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drawings/drawing3.xml" ContentType="application/vnd.openxmlformats-officedocument.drawing+xml"/>
  <Override PartName="/xl/embeddings/oleObject1.bin" ContentType="application/vnd.openxmlformats-officedocument.oleObject"/>
  <Override PartName="/xl/drawings/drawing4.xml" ContentType="application/vnd.openxmlformats-officedocument.drawing+xml"/>
  <Override PartName="/xl/embeddings/oleObject2.bin" ContentType="application/vnd.openxmlformats-officedocument.oleObject"/>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defaultThemeVersion="124226"/>
  <mc:AlternateContent xmlns:mc="http://schemas.openxmlformats.org/markup-compatibility/2006">
    <mc:Choice Requires="x15">
      <x15ac:absPath xmlns:x15ac="http://schemas.microsoft.com/office/spreadsheetml/2010/11/ac" url="C:\Users\pc\Documents\GitHub\Instalaciones_Especiales\Informes\Valorizacion\"/>
    </mc:Choice>
  </mc:AlternateContent>
  <xr:revisionPtr revIDLastSave="0" documentId="13_ncr:1_{0ACC6FF7-ED7A-4B73-94AA-09BF1FA2D03E}" xr6:coauthVersionLast="47" xr6:coauthVersionMax="47" xr10:uidLastSave="{00000000-0000-0000-0000-000000000000}"/>
  <bookViews>
    <workbookView xWindow="-120" yWindow="-120" windowWidth="29040" windowHeight="15720" tabRatio="860" firstSheet="29" activeTab="29" xr2:uid="{00000000-000D-0000-FFFF-FFFF00000000}"/>
  </bookViews>
  <sheets>
    <sheet name="Hoja2" sheetId="70" state="hidden" r:id="rId1"/>
    <sheet name="CRONGRAMA JULIO" sheetId="61" state="hidden" r:id="rId2"/>
    <sheet name="FICHA 1" sheetId="129" r:id="rId3"/>
    <sheet name="DATOS GENERALES" sheetId="97" r:id="rId4"/>
    <sheet name="Hoja5" sheetId="77" state="hidden" r:id="rId5"/>
    <sheet name="Hoja6" sheetId="78" state="hidden" r:id="rId6"/>
    <sheet name="Hoja7" sheetId="79" state="hidden" r:id="rId7"/>
    <sheet name="METRADOS PN" sheetId="63" state="hidden" r:id="rId8"/>
    <sheet name="FICHA 2 MAR" sheetId="118" r:id="rId9"/>
    <sheet name="PARTIDAS EJEC. dic" sheetId="131" r:id="rId10"/>
    <sheet name="P EJE MM" sheetId="133" r:id="rId11"/>
    <sheet name="P EJE PN" sheetId="134" r:id="rId12"/>
    <sheet name="RESUMEN GENERAL" sheetId="127" r:id="rId13"/>
    <sheet name="Curvaa SN (2)" sheetId="132" r:id="rId14"/>
    <sheet name="RES. VAL. " sheetId="43" r:id="rId15"/>
    <sheet name="MET AGOSTO" sheetId="64" state="hidden" r:id="rId16"/>
    <sheet name="Hoja4" sheetId="76" state="hidden" r:id="rId17"/>
    <sheet name="Hoja11" sheetId="83" state="hidden" r:id="rId18"/>
    <sheet name="Hoja10" sheetId="82" state="hidden" r:id="rId19"/>
    <sheet name="Hoja9" sheetId="81" state="hidden" r:id="rId20"/>
    <sheet name="Hoja3" sheetId="71" state="hidden" r:id="rId21"/>
    <sheet name="Hoja12" sheetId="84" state="hidden" r:id="rId22"/>
    <sheet name="Hoja8" sheetId="80" state="hidden" r:id="rId23"/>
    <sheet name="Hoja1" sheetId="58" state="hidden" r:id="rId24"/>
    <sheet name="P.NUEVAS PROYECTADAS" sheetId="62" state="hidden" r:id="rId25"/>
    <sheet name="MET.MM" sheetId="88" state="hidden" r:id="rId26"/>
    <sheet name="MET.PN" sheetId="87" state="hidden" r:id="rId27"/>
    <sheet name="VAL. AMP.2 COVID" sheetId="126" r:id="rId28"/>
    <sheet name="VAL AMP 3" sheetId="124" r:id="rId29"/>
    <sheet name="VAL. PRINC" sheetId="72" r:id="rId30"/>
    <sheet name="Hoja13" sheetId="135" r:id="rId31"/>
    <sheet name="VAL AMP 4 PN" sheetId="125" r:id="rId32"/>
    <sheet name="VAL AMP4 MM" sheetId="123" r:id="rId33"/>
    <sheet name="ABRIL " sheetId="85" state="hidden" r:id="rId34"/>
    <sheet name="Hoja14" sheetId="86" state="hidden" r:id="rId35"/>
    <sheet name="MET.ADIC" sheetId="45" state="hidden" r:id="rId36"/>
    <sheet name="MET.EXP" sheetId="46" state="hidden" r:id="rId37"/>
    <sheet name="CRON" sheetId="50" state="hidden" r:id="rId38"/>
    <sheet name="gantt (2)" sheetId="48" state="hidden" r:id="rId39"/>
  </sheets>
  <externalReferences>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s>
  <definedNames>
    <definedName name="\C" localSheetId="13">#REF!</definedName>
    <definedName name="\C" localSheetId="9">#REF!</definedName>
    <definedName name="\C">#REF!</definedName>
    <definedName name="\E" localSheetId="13">#REF!</definedName>
    <definedName name="\E" localSheetId="9">#REF!</definedName>
    <definedName name="\E">#REF!</definedName>
    <definedName name="\N" localSheetId="13">#REF!</definedName>
    <definedName name="\N" localSheetId="9">#REF!</definedName>
    <definedName name="\N">#REF!</definedName>
    <definedName name="\S" localSheetId="13">#REF!</definedName>
    <definedName name="\S" localSheetId="9">#REF!</definedName>
    <definedName name="\S">#REF!</definedName>
    <definedName name="\W" localSheetId="13">#REF!</definedName>
    <definedName name="\W" localSheetId="9">#REF!</definedName>
    <definedName name="\W">#REF!</definedName>
    <definedName name="___PAG1" localSheetId="13">#REF!</definedName>
    <definedName name="___PAG1" localSheetId="9">#REF!</definedName>
    <definedName name="___PAG1">#REF!</definedName>
    <definedName name="__AGO1" localSheetId="13">#REF!</definedName>
    <definedName name="__AGO1" localSheetId="9">#REF!</definedName>
    <definedName name="__AGO1">#REF!</definedName>
    <definedName name="__PAG1" localSheetId="13">#REF!</definedName>
    <definedName name="__PAG1" localSheetId="9">#REF!</definedName>
    <definedName name="__PAG1">#REF!</definedName>
    <definedName name="_1_0EL" localSheetId="13">'[1]#¡REF'!#REF!</definedName>
    <definedName name="_1_0EL" localSheetId="9">'[1]#¡REF'!#REF!</definedName>
    <definedName name="_1_0EL">'[1]#¡REF'!#REF!</definedName>
    <definedName name="_10_0ELECT" localSheetId="13">'[1]#¡REF'!#REF!</definedName>
    <definedName name="_10_0ELECT" localSheetId="9">'[1]#¡REF'!#REF!</definedName>
    <definedName name="_10_0ELECT">'[1]#¡REF'!#REF!</definedName>
    <definedName name="_10_0HIDRAND" localSheetId="13">'[1]#¡REF'!#REF!</definedName>
    <definedName name="_10_0HIDRAND" localSheetId="9">'[1]#¡REF'!#REF!</definedName>
    <definedName name="_10_0HIDRAND">'[1]#¡REF'!#REF!</definedName>
    <definedName name="_107_0ELSURE" localSheetId="13">'[2]#¡REF'!#REF!</definedName>
    <definedName name="_107_0ELSURE" localSheetId="9">'[2]#¡REF'!#REF!</definedName>
    <definedName name="_107_0ELSURE" localSheetId="12">'[2]#¡REF'!#REF!</definedName>
    <definedName name="_107_0ELSURE" localSheetId="28">'[2]#¡REF'!#REF!</definedName>
    <definedName name="_107_0ELSURE" localSheetId="31">'[2]#¡REF'!#REF!</definedName>
    <definedName name="_107_0ELSURE" localSheetId="32">'[2]#¡REF'!#REF!</definedName>
    <definedName name="_107_0ELSURE" localSheetId="27">'[2]#¡REF'!#REF!</definedName>
    <definedName name="_107_0ELSURE">'[2]#¡REF'!#REF!</definedName>
    <definedName name="_108_0ELSURE" localSheetId="13">'[2]#¡REF'!#REF!</definedName>
    <definedName name="_108_0ELSURE" localSheetId="9">'[2]#¡REF'!#REF!</definedName>
    <definedName name="_108_0ELSURE" localSheetId="12">'[2]#¡REF'!#REF!</definedName>
    <definedName name="_108_0ELSURE" localSheetId="28">'[2]#¡REF'!#REF!</definedName>
    <definedName name="_108_0ELSURE" localSheetId="31">'[2]#¡REF'!#REF!</definedName>
    <definedName name="_108_0ELSURE" localSheetId="32">'[2]#¡REF'!#REF!</definedName>
    <definedName name="_108_0ELSURE" localSheetId="27">'[2]#¡REF'!#REF!</definedName>
    <definedName name="_108_0ELSURE">'[2]#¡REF'!#REF!</definedName>
    <definedName name="_11_0EL" localSheetId="13">'[2]#¡REF'!#REF!</definedName>
    <definedName name="_11_0EL" localSheetId="9">'[2]#¡REF'!#REF!</definedName>
    <definedName name="_11_0EL" localSheetId="12">'[2]#¡REF'!#REF!</definedName>
    <definedName name="_11_0EL" localSheetId="28">'[2]#¡REF'!#REF!</definedName>
    <definedName name="_11_0EL" localSheetId="31">'[2]#¡REF'!#REF!</definedName>
    <definedName name="_11_0EL" localSheetId="32">'[2]#¡REF'!#REF!</definedName>
    <definedName name="_11_0EL" localSheetId="27">'[2]#¡REF'!#REF!</definedName>
    <definedName name="_11_0EL">'[2]#¡REF'!#REF!</definedName>
    <definedName name="_11_0S" localSheetId="13">'[1]#¡REF'!#REF!</definedName>
    <definedName name="_11_0S" localSheetId="9">'[1]#¡REF'!#REF!</definedName>
    <definedName name="_11_0S">'[1]#¡REF'!#REF!</definedName>
    <definedName name="_119_0HIDRAND" localSheetId="13">'[2]#¡REF'!#REF!</definedName>
    <definedName name="_119_0HIDRAND" localSheetId="9">'[2]#¡REF'!#REF!</definedName>
    <definedName name="_119_0HIDRAND" localSheetId="12">'[2]#¡REF'!#REF!</definedName>
    <definedName name="_119_0HIDRAND" localSheetId="28">'[2]#¡REF'!#REF!</definedName>
    <definedName name="_119_0HIDRAND" localSheetId="31">'[2]#¡REF'!#REF!</definedName>
    <definedName name="_119_0HIDRAND" localSheetId="32">'[2]#¡REF'!#REF!</definedName>
    <definedName name="_119_0HIDRAND" localSheetId="27">'[2]#¡REF'!#REF!</definedName>
    <definedName name="_119_0HIDRAND">'[2]#¡REF'!#REF!</definedName>
    <definedName name="_12_0EL" localSheetId="13">'[2]#¡REF'!#REF!</definedName>
    <definedName name="_12_0EL" localSheetId="9">'[2]#¡REF'!#REF!</definedName>
    <definedName name="_12_0EL" localSheetId="12">'[2]#¡REF'!#REF!</definedName>
    <definedName name="_12_0EL" localSheetId="28">'[2]#¡REF'!#REF!</definedName>
    <definedName name="_12_0EL" localSheetId="31">'[2]#¡REF'!#REF!</definedName>
    <definedName name="_12_0EL" localSheetId="32">'[2]#¡REF'!#REF!</definedName>
    <definedName name="_12_0EL" localSheetId="27">'[2]#¡REF'!#REF!</definedName>
    <definedName name="_12_0EL">'[2]#¡REF'!#REF!</definedName>
    <definedName name="_12_0ELECTROL" localSheetId="13">'[1]#¡REF'!#REF!</definedName>
    <definedName name="_12_0ELECTROL" localSheetId="9">'[1]#¡REF'!#REF!</definedName>
    <definedName name="_12_0ELECTROL">'[1]#¡REF'!#REF!</definedName>
    <definedName name="_120_0HIDRAND" localSheetId="13">'[2]#¡REF'!#REF!</definedName>
    <definedName name="_120_0HIDRAND" localSheetId="9">'[2]#¡REF'!#REF!</definedName>
    <definedName name="_120_0HIDRAND" localSheetId="12">'[2]#¡REF'!#REF!</definedName>
    <definedName name="_120_0HIDRAND" localSheetId="28">'[2]#¡REF'!#REF!</definedName>
    <definedName name="_120_0HIDRAND" localSheetId="31">'[2]#¡REF'!#REF!</definedName>
    <definedName name="_120_0HIDRAND" localSheetId="32">'[2]#¡REF'!#REF!</definedName>
    <definedName name="_120_0HIDRAND" localSheetId="27">'[2]#¡REF'!#REF!</definedName>
    <definedName name="_120_0HIDRAND">'[2]#¡REF'!#REF!</definedName>
    <definedName name="_131_0S" localSheetId="13">'[2]#¡REF'!#REF!</definedName>
    <definedName name="_131_0S" localSheetId="9">'[2]#¡REF'!#REF!</definedName>
    <definedName name="_131_0S" localSheetId="12">'[2]#¡REF'!#REF!</definedName>
    <definedName name="_131_0S" localSheetId="28">'[2]#¡REF'!#REF!</definedName>
    <definedName name="_131_0S" localSheetId="31">'[2]#¡REF'!#REF!</definedName>
    <definedName name="_131_0S" localSheetId="32">'[2]#¡REF'!#REF!</definedName>
    <definedName name="_131_0S" localSheetId="27">'[2]#¡REF'!#REF!</definedName>
    <definedName name="_131_0S">'[2]#¡REF'!#REF!</definedName>
    <definedName name="_132_0S" localSheetId="13">'[2]#¡REF'!#REF!</definedName>
    <definedName name="_132_0S" localSheetId="9">'[2]#¡REF'!#REF!</definedName>
    <definedName name="_132_0S" localSheetId="12">'[2]#¡REF'!#REF!</definedName>
    <definedName name="_132_0S" localSheetId="28">'[2]#¡REF'!#REF!</definedName>
    <definedName name="_132_0S" localSheetId="31">'[2]#¡REF'!#REF!</definedName>
    <definedName name="_132_0S" localSheetId="32">'[2]#¡REF'!#REF!</definedName>
    <definedName name="_132_0S" localSheetId="27">'[2]#¡REF'!#REF!</definedName>
    <definedName name="_132_0S">'[2]#¡REF'!#REF!</definedName>
    <definedName name="_14_0ELEORIE" localSheetId="13">'[1]#¡REF'!#REF!</definedName>
    <definedName name="_14_0ELEORIE" localSheetId="9">'[1]#¡REF'!#REF!</definedName>
    <definedName name="_14_0ELEORIE">'[1]#¡REF'!#REF!</definedName>
    <definedName name="_16_0ELNO" localSheetId="13">'[1]#¡REF'!#REF!</definedName>
    <definedName name="_16_0ELNO" localSheetId="9">'[1]#¡REF'!#REF!</definedName>
    <definedName name="_16_0ELNO">'[1]#¡REF'!#REF!</definedName>
    <definedName name="_18_0ELSURE" localSheetId="13">'[1]#¡REF'!#REF!</definedName>
    <definedName name="_18_0ELSURE" localSheetId="9">'[1]#¡REF'!#REF!</definedName>
    <definedName name="_18_0ELSURE">'[1]#¡REF'!#REF!</definedName>
    <definedName name="_2.6.2.3.2.6" localSheetId="13">#REF!</definedName>
    <definedName name="_2.6.2.3.2.6" localSheetId="9">#REF!</definedName>
    <definedName name="_2.6.2.3.2.6">#REF!</definedName>
    <definedName name="_2_0EL" localSheetId="13">'[1]#¡REF'!#REF!</definedName>
    <definedName name="_2_0EL" localSheetId="9">'[1]#¡REF'!#REF!</definedName>
    <definedName name="_2_0EL">'[1]#¡REF'!#REF!</definedName>
    <definedName name="_2_0ELCEN" localSheetId="13">'[1]#¡REF'!#REF!</definedName>
    <definedName name="_2_0ELCEN" localSheetId="9">'[1]#¡REF'!#REF!</definedName>
    <definedName name="_2_0ELCEN">'[1]#¡REF'!#REF!</definedName>
    <definedName name="_20_0HIDRAND" localSheetId="13">'[1]#¡REF'!#REF!</definedName>
    <definedName name="_20_0HIDRAND" localSheetId="9">'[1]#¡REF'!#REF!</definedName>
    <definedName name="_20_0HIDRAND">'[1]#¡REF'!#REF!</definedName>
    <definedName name="_22_0S" localSheetId="13">'[1]#¡REF'!#REF!</definedName>
    <definedName name="_22_0S" localSheetId="9">'[1]#¡REF'!#REF!</definedName>
    <definedName name="_22_0S">'[1]#¡REF'!#REF!</definedName>
    <definedName name="_23_0ELCEN" localSheetId="13">'[2]#¡REF'!#REF!</definedName>
    <definedName name="_23_0ELCEN" localSheetId="9">'[2]#¡REF'!#REF!</definedName>
    <definedName name="_23_0ELCEN" localSheetId="12">'[2]#¡REF'!#REF!</definedName>
    <definedName name="_23_0ELCEN" localSheetId="28">'[2]#¡REF'!#REF!</definedName>
    <definedName name="_23_0ELCEN" localSheetId="31">'[2]#¡REF'!#REF!</definedName>
    <definedName name="_23_0ELCEN" localSheetId="32">'[2]#¡REF'!#REF!</definedName>
    <definedName name="_23_0ELCEN" localSheetId="27">'[2]#¡REF'!#REF!</definedName>
    <definedName name="_23_0ELCEN">'[2]#¡REF'!#REF!</definedName>
    <definedName name="_24_0ELCEN" localSheetId="13">'[2]#¡REF'!#REF!</definedName>
    <definedName name="_24_0ELCEN" localSheetId="9">'[2]#¡REF'!#REF!</definedName>
    <definedName name="_24_0ELCEN" localSheetId="12">'[2]#¡REF'!#REF!</definedName>
    <definedName name="_24_0ELCEN" localSheetId="28">'[2]#¡REF'!#REF!</definedName>
    <definedName name="_24_0ELCEN" localSheetId="31">'[2]#¡REF'!#REF!</definedName>
    <definedName name="_24_0ELCEN" localSheetId="32">'[2]#¡REF'!#REF!</definedName>
    <definedName name="_24_0ELCEN" localSheetId="27">'[2]#¡REF'!#REF!</definedName>
    <definedName name="_24_0ELCEN">'[2]#¡REF'!#REF!</definedName>
    <definedName name="_3_0ELECSURE" localSheetId="13">'[1]#¡REF'!#REF!</definedName>
    <definedName name="_3_0ELECSURE" localSheetId="9">'[1]#¡REF'!#REF!</definedName>
    <definedName name="_3_0ELECSURE">'[1]#¡REF'!#REF!</definedName>
    <definedName name="_35_0ELECSURE" localSheetId="13">'[2]#¡REF'!#REF!</definedName>
    <definedName name="_35_0ELECSURE" localSheetId="9">'[2]#¡REF'!#REF!</definedName>
    <definedName name="_35_0ELECSURE" localSheetId="12">'[2]#¡REF'!#REF!</definedName>
    <definedName name="_35_0ELECSURE" localSheetId="28">'[2]#¡REF'!#REF!</definedName>
    <definedName name="_35_0ELECSURE" localSheetId="31">'[2]#¡REF'!#REF!</definedName>
    <definedName name="_35_0ELECSURE" localSheetId="32">'[2]#¡REF'!#REF!</definedName>
    <definedName name="_35_0ELECSURE" localSheetId="27">'[2]#¡REF'!#REF!</definedName>
    <definedName name="_35_0ELECSURE">'[2]#¡REF'!#REF!</definedName>
    <definedName name="_36_0ELECSURE" localSheetId="13">'[2]#¡REF'!#REF!</definedName>
    <definedName name="_36_0ELECSURE" localSheetId="9">'[2]#¡REF'!#REF!</definedName>
    <definedName name="_36_0ELECSURE" localSheetId="12">'[2]#¡REF'!#REF!</definedName>
    <definedName name="_36_0ELECSURE" localSheetId="28">'[2]#¡REF'!#REF!</definedName>
    <definedName name="_36_0ELECSURE" localSheetId="31">'[2]#¡REF'!#REF!</definedName>
    <definedName name="_36_0ELECSURE" localSheetId="32">'[2]#¡REF'!#REF!</definedName>
    <definedName name="_36_0ELECSURE" localSheetId="27">'[2]#¡REF'!#REF!</definedName>
    <definedName name="_36_0ELECSURE">'[2]#¡REF'!#REF!</definedName>
    <definedName name="_4" localSheetId="13">'[3]#¡REF'!#REF!</definedName>
    <definedName name="_4" localSheetId="9">'[3]#¡REF'!#REF!</definedName>
    <definedName name="_4" localSheetId="12">'[3]#¡REF'!#REF!</definedName>
    <definedName name="_4" localSheetId="32">'[3]#¡REF'!#REF!</definedName>
    <definedName name="_4">'[3]#¡REF'!#REF!</definedName>
    <definedName name="_4_0ELCEN" localSheetId="13">'[1]#¡REF'!#REF!</definedName>
    <definedName name="_4_0ELCEN" localSheetId="9">'[1]#¡REF'!#REF!</definedName>
    <definedName name="_4_0ELCEN">'[1]#¡REF'!#REF!</definedName>
    <definedName name="_4_0ELECSURME" localSheetId="13">'[1]#¡REF'!#REF!</definedName>
    <definedName name="_4_0ELECSURME" localSheetId="9">'[1]#¡REF'!#REF!</definedName>
    <definedName name="_4_0ELECSURME">'[1]#¡REF'!#REF!</definedName>
    <definedName name="_47_0ELECSURME" localSheetId="13">'[2]#¡REF'!#REF!</definedName>
    <definedName name="_47_0ELECSURME" localSheetId="9">'[2]#¡REF'!#REF!</definedName>
    <definedName name="_47_0ELECSURME" localSheetId="12">'[2]#¡REF'!#REF!</definedName>
    <definedName name="_47_0ELECSURME" localSheetId="28">'[2]#¡REF'!#REF!</definedName>
    <definedName name="_47_0ELECSURME" localSheetId="31">'[2]#¡REF'!#REF!</definedName>
    <definedName name="_47_0ELECSURME" localSheetId="32">'[2]#¡REF'!#REF!</definedName>
    <definedName name="_47_0ELECSURME" localSheetId="27">'[2]#¡REF'!#REF!</definedName>
    <definedName name="_47_0ELECSURME">'[2]#¡REF'!#REF!</definedName>
    <definedName name="_48_0ELECSURME" localSheetId="13">'[2]#¡REF'!#REF!</definedName>
    <definedName name="_48_0ELECSURME" localSheetId="9">'[2]#¡REF'!#REF!</definedName>
    <definedName name="_48_0ELECSURME" localSheetId="12">'[2]#¡REF'!#REF!</definedName>
    <definedName name="_48_0ELECSURME" localSheetId="28">'[2]#¡REF'!#REF!</definedName>
    <definedName name="_48_0ELECSURME" localSheetId="31">'[2]#¡REF'!#REF!</definedName>
    <definedName name="_48_0ELECSURME" localSheetId="32">'[2]#¡REF'!#REF!</definedName>
    <definedName name="_48_0ELECSURME" localSheetId="27">'[2]#¡REF'!#REF!</definedName>
    <definedName name="_48_0ELECSURME">'[2]#¡REF'!#REF!</definedName>
    <definedName name="_5_0ELECT" localSheetId="13">'[1]#¡REF'!#REF!</definedName>
    <definedName name="_5_0ELECT" localSheetId="9">'[1]#¡REF'!#REF!</definedName>
    <definedName name="_5_0ELECT">'[1]#¡REF'!#REF!</definedName>
    <definedName name="_59_0ELECT" localSheetId="13">'[2]#¡REF'!#REF!</definedName>
    <definedName name="_59_0ELECT" localSheetId="9">'[2]#¡REF'!#REF!</definedName>
    <definedName name="_59_0ELECT" localSheetId="12">'[2]#¡REF'!#REF!</definedName>
    <definedName name="_59_0ELECT" localSheetId="28">'[2]#¡REF'!#REF!</definedName>
    <definedName name="_59_0ELECT" localSheetId="31">'[2]#¡REF'!#REF!</definedName>
    <definedName name="_59_0ELECT" localSheetId="32">'[2]#¡REF'!#REF!</definedName>
    <definedName name="_59_0ELECT" localSheetId="27">'[2]#¡REF'!#REF!</definedName>
    <definedName name="_59_0ELECT">'[2]#¡REF'!#REF!</definedName>
    <definedName name="_6_0ELECSURE" localSheetId="13">'[1]#¡REF'!#REF!</definedName>
    <definedName name="_6_0ELECSURE" localSheetId="9">'[1]#¡REF'!#REF!</definedName>
    <definedName name="_6_0ELECSURE">'[1]#¡REF'!#REF!</definedName>
    <definedName name="_6_0ELECTROL" localSheetId="13">'[1]#¡REF'!#REF!</definedName>
    <definedName name="_6_0ELECTROL" localSheetId="9">'[1]#¡REF'!#REF!</definedName>
    <definedName name="_6_0ELECTROL">'[1]#¡REF'!#REF!</definedName>
    <definedName name="_60_0ELECT" localSheetId="13">'[2]#¡REF'!#REF!</definedName>
    <definedName name="_60_0ELECT" localSheetId="9">'[2]#¡REF'!#REF!</definedName>
    <definedName name="_60_0ELECT" localSheetId="12">'[2]#¡REF'!#REF!</definedName>
    <definedName name="_60_0ELECT" localSheetId="28">'[2]#¡REF'!#REF!</definedName>
    <definedName name="_60_0ELECT" localSheetId="31">'[2]#¡REF'!#REF!</definedName>
    <definedName name="_60_0ELECT" localSheetId="32">'[2]#¡REF'!#REF!</definedName>
    <definedName name="_60_0ELECT" localSheetId="27">'[2]#¡REF'!#REF!</definedName>
    <definedName name="_60_0ELECT">'[2]#¡REF'!#REF!</definedName>
    <definedName name="_7_0ELEORIE" localSheetId="13">'[1]#¡REF'!#REF!</definedName>
    <definedName name="_7_0ELEORIE" localSheetId="9">'[1]#¡REF'!#REF!</definedName>
    <definedName name="_7_0ELEORIE">'[1]#¡REF'!#REF!</definedName>
    <definedName name="_71_0ELECTROL" localSheetId="13">'[2]#¡REF'!#REF!</definedName>
    <definedName name="_71_0ELECTROL" localSheetId="9">'[2]#¡REF'!#REF!</definedName>
    <definedName name="_71_0ELECTROL" localSheetId="12">'[2]#¡REF'!#REF!</definedName>
    <definedName name="_71_0ELECTROL" localSheetId="28">'[2]#¡REF'!#REF!</definedName>
    <definedName name="_71_0ELECTROL" localSheetId="31">'[2]#¡REF'!#REF!</definedName>
    <definedName name="_71_0ELECTROL" localSheetId="32">'[2]#¡REF'!#REF!</definedName>
    <definedName name="_71_0ELECTROL" localSheetId="27">'[2]#¡REF'!#REF!</definedName>
    <definedName name="_71_0ELECTROL">'[2]#¡REF'!#REF!</definedName>
    <definedName name="_72_0ELECTROL" localSheetId="13">'[2]#¡REF'!#REF!</definedName>
    <definedName name="_72_0ELECTROL" localSheetId="9">'[2]#¡REF'!#REF!</definedName>
    <definedName name="_72_0ELECTROL" localSheetId="12">'[2]#¡REF'!#REF!</definedName>
    <definedName name="_72_0ELECTROL" localSheetId="28">'[2]#¡REF'!#REF!</definedName>
    <definedName name="_72_0ELECTROL" localSheetId="31">'[2]#¡REF'!#REF!</definedName>
    <definedName name="_72_0ELECTROL" localSheetId="32">'[2]#¡REF'!#REF!</definedName>
    <definedName name="_72_0ELECTROL" localSheetId="27">'[2]#¡REF'!#REF!</definedName>
    <definedName name="_72_0ELECTROL">'[2]#¡REF'!#REF!</definedName>
    <definedName name="_8_0ELECSURME" localSheetId="13">'[1]#¡REF'!#REF!</definedName>
    <definedName name="_8_0ELECSURME" localSheetId="9">'[1]#¡REF'!#REF!</definedName>
    <definedName name="_8_0ELECSURME">'[1]#¡REF'!#REF!</definedName>
    <definedName name="_8_0ELNO" localSheetId="13">'[1]#¡REF'!#REF!</definedName>
    <definedName name="_8_0ELNO" localSheetId="9">'[1]#¡REF'!#REF!</definedName>
    <definedName name="_8_0ELNO">'[1]#¡REF'!#REF!</definedName>
    <definedName name="_83_0ELEORIE" localSheetId="13">'[2]#¡REF'!#REF!</definedName>
    <definedName name="_83_0ELEORIE" localSheetId="9">'[2]#¡REF'!#REF!</definedName>
    <definedName name="_83_0ELEORIE" localSheetId="12">'[2]#¡REF'!#REF!</definedName>
    <definedName name="_83_0ELEORIE" localSheetId="28">'[2]#¡REF'!#REF!</definedName>
    <definedName name="_83_0ELEORIE" localSheetId="31">'[2]#¡REF'!#REF!</definedName>
    <definedName name="_83_0ELEORIE" localSheetId="32">'[2]#¡REF'!#REF!</definedName>
    <definedName name="_83_0ELEORIE" localSheetId="27">'[2]#¡REF'!#REF!</definedName>
    <definedName name="_83_0ELEORIE">'[2]#¡REF'!#REF!</definedName>
    <definedName name="_84_0ELEORIE" localSheetId="13">'[2]#¡REF'!#REF!</definedName>
    <definedName name="_84_0ELEORIE" localSheetId="9">'[2]#¡REF'!#REF!</definedName>
    <definedName name="_84_0ELEORIE" localSheetId="12">'[2]#¡REF'!#REF!</definedName>
    <definedName name="_84_0ELEORIE" localSheetId="28">'[2]#¡REF'!#REF!</definedName>
    <definedName name="_84_0ELEORIE" localSheetId="31">'[2]#¡REF'!#REF!</definedName>
    <definedName name="_84_0ELEORIE" localSheetId="32">'[2]#¡REF'!#REF!</definedName>
    <definedName name="_84_0ELEORIE" localSheetId="27">'[2]#¡REF'!#REF!</definedName>
    <definedName name="_84_0ELEORIE">'[2]#¡REF'!#REF!</definedName>
    <definedName name="_9_0ELSURE" localSheetId="13">'[1]#¡REF'!#REF!</definedName>
    <definedName name="_9_0ELSURE" localSheetId="9">'[1]#¡REF'!#REF!</definedName>
    <definedName name="_9_0ELSURE">'[1]#¡REF'!#REF!</definedName>
    <definedName name="_95_0ELNO" localSheetId="13">'[2]#¡REF'!#REF!</definedName>
    <definedName name="_95_0ELNO" localSheetId="9">'[2]#¡REF'!#REF!</definedName>
    <definedName name="_95_0ELNO" localSheetId="12">'[2]#¡REF'!#REF!</definedName>
    <definedName name="_95_0ELNO" localSheetId="28">'[2]#¡REF'!#REF!</definedName>
    <definedName name="_95_0ELNO" localSheetId="31">'[2]#¡REF'!#REF!</definedName>
    <definedName name="_95_0ELNO" localSheetId="32">'[2]#¡REF'!#REF!</definedName>
    <definedName name="_95_0ELNO" localSheetId="27">'[2]#¡REF'!#REF!</definedName>
    <definedName name="_95_0ELNO">'[2]#¡REF'!#REF!</definedName>
    <definedName name="_96_0ELNO" localSheetId="13">'[2]#¡REF'!#REF!</definedName>
    <definedName name="_96_0ELNO" localSheetId="9">'[2]#¡REF'!#REF!</definedName>
    <definedName name="_96_0ELNO" localSheetId="12">'[2]#¡REF'!#REF!</definedName>
    <definedName name="_96_0ELNO" localSheetId="28">'[2]#¡REF'!#REF!</definedName>
    <definedName name="_96_0ELNO" localSheetId="31">'[2]#¡REF'!#REF!</definedName>
    <definedName name="_96_0ELNO" localSheetId="32">'[2]#¡REF'!#REF!</definedName>
    <definedName name="_96_0ELNO" localSheetId="27">'[2]#¡REF'!#REF!</definedName>
    <definedName name="_96_0ELNO">'[2]#¡REF'!#REF!</definedName>
    <definedName name="_98" localSheetId="13">'[2]#¡REF'!#REF!</definedName>
    <definedName name="_98" localSheetId="9">'[2]#¡REF'!#REF!</definedName>
    <definedName name="_98" localSheetId="12">'[2]#¡REF'!#REF!</definedName>
    <definedName name="_98" localSheetId="32">'[2]#¡REF'!#REF!</definedName>
    <definedName name="_98">'[2]#¡REF'!#REF!</definedName>
    <definedName name="_A" localSheetId="13">'[2]#¡REF'!#REF!</definedName>
    <definedName name="_A" localSheetId="9">'[2]#¡REF'!#REF!</definedName>
    <definedName name="_A" localSheetId="12">'[2]#¡REF'!#REF!</definedName>
    <definedName name="_A" localSheetId="32">'[2]#¡REF'!#REF!</definedName>
    <definedName name="_A">'[2]#¡REF'!#REF!</definedName>
    <definedName name="_AGO1" localSheetId="13">#REF!</definedName>
    <definedName name="_AGO1" localSheetId="9">#REF!</definedName>
    <definedName name="_AGO1">#REF!</definedName>
    <definedName name="_C0001">[4]MATERIAL!$A$2:$R$57</definedName>
    <definedName name="_C002">[4]MATERIAL!$A$96:$R$146</definedName>
    <definedName name="_Fill" localSheetId="13" hidden="1">#REF!</definedName>
    <definedName name="_Fill" localSheetId="9" hidden="1">#REF!</definedName>
    <definedName name="_Fill" hidden="1">#REF!</definedName>
    <definedName name="_xlnm._FilterDatabase" localSheetId="37" hidden="1">CRON!$A$1:$N$168</definedName>
    <definedName name="_xlnm._FilterDatabase" localSheetId="35" hidden="1">MET.ADIC!$A$13:$K$66</definedName>
    <definedName name="_xlnm._FilterDatabase" localSheetId="28" hidden="1">'VAL AMP 3'!$L$1:$L$98</definedName>
    <definedName name="_xlnm._FilterDatabase" localSheetId="31" hidden="1">'VAL AMP 4 PN'!$C$1:$C$214</definedName>
    <definedName name="_xlnm._FilterDatabase" localSheetId="32" hidden="1">'VAL AMP4 MM'!$C$1:$C$283</definedName>
    <definedName name="_xlnm._FilterDatabase" localSheetId="27" hidden="1">'VAL. AMP.2 COVID'!$A$14:$S$39</definedName>
    <definedName name="_xlnm._FilterDatabase" localSheetId="29" hidden="1">'VAL. PRINC'!$B$10:$Q$46</definedName>
    <definedName name="_j" localSheetId="13">'[2]#¡REF'!#REF!</definedName>
    <definedName name="_j" localSheetId="8">'[2]#¡REF'!#REF!</definedName>
    <definedName name="_j" localSheetId="9">'[2]#¡REF'!#REF!</definedName>
    <definedName name="_j" localSheetId="12">'[2]#¡REF'!#REF!</definedName>
    <definedName name="_j" localSheetId="28">'[2]#¡REF'!#REF!</definedName>
    <definedName name="_j" localSheetId="31">'[2]#¡REF'!#REF!</definedName>
    <definedName name="_j" localSheetId="32">'[2]#¡REF'!#REF!</definedName>
    <definedName name="_j" localSheetId="27">'[2]#¡REF'!#REF!</definedName>
    <definedName name="_j">'[2]#¡REF'!#REF!</definedName>
    <definedName name="_Key1" hidden="1">'[5]ALT-PREC'!$D$10:$D$15</definedName>
    <definedName name="_Order1" hidden="1">0</definedName>
    <definedName name="_PAG1" localSheetId="13">#REF!</definedName>
    <definedName name="_PAG1" localSheetId="9">#REF!</definedName>
    <definedName name="_PAG1">#REF!</definedName>
    <definedName name="_Regression_Out" hidden="1">'[5]ALT-PREC'!$I$7</definedName>
    <definedName name="_Sort" hidden="1">'[5]ALT-PREC'!$C$10:$E$18</definedName>
    <definedName name="´ññ" localSheetId="13">#REF!</definedName>
    <definedName name="´ññ" localSheetId="9">#REF!</definedName>
    <definedName name="´ññ">#REF!</definedName>
    <definedName name="A" localSheetId="13">'[2]#¡REF'!#REF!</definedName>
    <definedName name="A" localSheetId="9">'[2]#¡REF'!#REF!</definedName>
    <definedName name="A" localSheetId="12">#REF!</definedName>
    <definedName name="A" localSheetId="28">'[2]#¡REF'!#REF!</definedName>
    <definedName name="A" localSheetId="31">'[2]#¡REF'!#REF!</definedName>
    <definedName name="A" localSheetId="32">'[2]#¡REF'!#REF!</definedName>
    <definedName name="A" localSheetId="27">'[2]#¡REF'!#REF!</definedName>
    <definedName name="A">'[2]#¡REF'!#REF!</definedName>
    <definedName name="AB" localSheetId="13">#REF!</definedName>
    <definedName name="AB" localSheetId="8">#REF!</definedName>
    <definedName name="AB" localSheetId="9">#REF!</definedName>
    <definedName name="AB" localSheetId="12">#REF!</definedName>
    <definedName name="AB" localSheetId="28">#REF!</definedName>
    <definedName name="AB" localSheetId="31">#REF!</definedName>
    <definedName name="AB" localSheetId="32">#REF!</definedName>
    <definedName name="AB" localSheetId="27">#REF!</definedName>
    <definedName name="AB">#REF!</definedName>
    <definedName name="ABC" localSheetId="13">'[6]#¡REF'!#REF!</definedName>
    <definedName name="ABC" localSheetId="9">'[6]#¡REF'!#REF!</definedName>
    <definedName name="ABC" localSheetId="12">#REF!</definedName>
    <definedName name="ABC" localSheetId="28">'[6]#¡REF'!#REF!</definedName>
    <definedName name="ABC" localSheetId="31">'[6]#¡REF'!#REF!</definedName>
    <definedName name="ABC" localSheetId="32">'[6]#¡REF'!#REF!</definedName>
    <definedName name="ABC" localSheetId="27">'[6]#¡REF'!#REF!</definedName>
    <definedName name="ABC">'[6]#¡REF'!#REF!</definedName>
    <definedName name="ACOSTOS">[7]AC!$A$5:$M$429</definedName>
    <definedName name="AD" localSheetId="13">#REF!</definedName>
    <definedName name="AD" localSheetId="9">#REF!</definedName>
    <definedName name="AD">#REF!</definedName>
    <definedName name="ADM" localSheetId="13">#REF!</definedName>
    <definedName name="ADM" localSheetId="9">#REF!</definedName>
    <definedName name="ADM">#REF!</definedName>
    <definedName name="ADV" localSheetId="13">'[3]#¡REF'!#REF!</definedName>
    <definedName name="ADV" localSheetId="9">'[3]#¡REF'!#REF!</definedName>
    <definedName name="ADV" localSheetId="12">'[3]#¡REF'!#REF!</definedName>
    <definedName name="ADV" localSheetId="28">'[3]#¡REF'!#REF!</definedName>
    <definedName name="ADV" localSheetId="31">'[3]#¡REF'!#REF!</definedName>
    <definedName name="ADV" localSheetId="32">'[3]#¡REF'!#REF!</definedName>
    <definedName name="ADV" localSheetId="27">'[3]#¡REF'!#REF!</definedName>
    <definedName name="ADV">'[3]#¡REF'!#REF!</definedName>
    <definedName name="ADVCC" localSheetId="13">'[8]#¡REF'!#REF!</definedName>
    <definedName name="ADVCC" localSheetId="9">'[8]#¡REF'!#REF!</definedName>
    <definedName name="ADVCC">'[8]#¡REF'!#REF!</definedName>
    <definedName name="afdxbv">[9]NTM!$C$28</definedName>
    <definedName name="AGO" localSheetId="13">#REF!</definedName>
    <definedName name="AGO" localSheetId="8">#REF!</definedName>
    <definedName name="AGO" localSheetId="9">#REF!</definedName>
    <definedName name="AGO" localSheetId="12">#REF!</definedName>
    <definedName name="AGO" localSheetId="28">#REF!</definedName>
    <definedName name="AGO" localSheetId="31">#REF!</definedName>
    <definedName name="AGO" localSheetId="32">#REF!</definedName>
    <definedName name="AGO" localSheetId="27">#REF!</definedName>
    <definedName name="AGO">#REF!</definedName>
    <definedName name="ALIS" localSheetId="13">#REF!</definedName>
    <definedName name="ALIS" localSheetId="9">#REF!</definedName>
    <definedName name="ALIS">#REF!</definedName>
    <definedName name="almacen" localSheetId="13">#REF!</definedName>
    <definedName name="almacen" localSheetId="9">#REF!</definedName>
    <definedName name="almacen">#REF!</definedName>
    <definedName name="almcen" localSheetId="13">#REF!</definedName>
    <definedName name="almcen" localSheetId="9">#REF!</definedName>
    <definedName name="almcen">#REF!</definedName>
    <definedName name="AMBIENTE" localSheetId="13">#REF!</definedName>
    <definedName name="AMBIENTE" localSheetId="9">#REF!</definedName>
    <definedName name="AMBIENTE">#REF!</definedName>
    <definedName name="AMBIENTEANT" localSheetId="13">#REF!</definedName>
    <definedName name="AMBIENTEANT" localSheetId="9">#REF!</definedName>
    <definedName name="AMBIENTEANT">#REF!</definedName>
    <definedName name="_xlnm.Extract" localSheetId="13">#REF!</definedName>
    <definedName name="_xlnm.Extract" localSheetId="9">#REF!</definedName>
    <definedName name="_xlnm.Extract" localSheetId="12">#REF!</definedName>
    <definedName name="_xlnm.Extract" localSheetId="28">#REF!</definedName>
    <definedName name="_xlnm.Extract" localSheetId="31">#REF!</definedName>
    <definedName name="_xlnm.Extract" localSheetId="32">#REF!</definedName>
    <definedName name="_xlnm.Extract" localSheetId="27">#REF!</definedName>
    <definedName name="_xlnm.Extract">#REF!</definedName>
    <definedName name="_xlnm.Print_Area" localSheetId="37">CRON!$B$6:$K$161</definedName>
    <definedName name="_xlnm.Print_Area" localSheetId="13">'Curvaa SN (2)'!$A$1:$M$104</definedName>
    <definedName name="_xlnm.Print_Area" localSheetId="3">'DATOS GENERALES'!$A$1:$G$29</definedName>
    <definedName name="_xlnm.Print_Area" localSheetId="2">'FICHA 1'!$B$1:$G$86</definedName>
    <definedName name="_xlnm.Print_Area" localSheetId="8">'FICHA 2 MAR'!$A$1:$AO$201</definedName>
    <definedName name="_xlnm.Print_Area" localSheetId="38">'gantt (2)'!$A$1:$I$248</definedName>
    <definedName name="_xlnm.Print_Area" localSheetId="18">Hoja10!$A$1:$D$329</definedName>
    <definedName name="_xlnm.Print_Area" localSheetId="17">Hoja11!$A$1:$AI$148</definedName>
    <definedName name="_xlnm.Print_Area" localSheetId="21">Hoja12!$A$1:$AI$160</definedName>
    <definedName name="_xlnm.Print_Area" localSheetId="0">Hoja2!$A$1:$P$112</definedName>
    <definedName name="_xlnm.Print_Area" localSheetId="20">Hoja3!$A$1:$AI$873</definedName>
    <definedName name="_xlnm.Print_Area" localSheetId="4">Hoja5!$A$1:$AI$167</definedName>
    <definedName name="_xlnm.Print_Area" localSheetId="5">Hoja6!$A$1:$AI$146</definedName>
    <definedName name="_xlnm.Print_Area" localSheetId="6">Hoja7!$A$1:$AI$78</definedName>
    <definedName name="_xlnm.Print_Area" localSheetId="19">Hoja9!$A$1:$AI$30</definedName>
    <definedName name="_xlnm.Print_Area" localSheetId="35">MET.ADIC!$A$1:$K$67</definedName>
    <definedName name="_xlnm.Print_Area" localSheetId="36">MET.EXP!$A$1:$K$171</definedName>
    <definedName name="_xlnm.Print_Area" localSheetId="25">MET.MM!$A$1:$AI$679</definedName>
    <definedName name="_xlnm.Print_Area" localSheetId="26">MET.PN!$A$1:$AI$144</definedName>
    <definedName name="_xlnm.Print_Area" localSheetId="10">'P EJE MM'!$B$2:$G$260</definedName>
    <definedName name="_xlnm.Print_Area" localSheetId="11">'P EJE PN'!$B$1:$G$192</definedName>
    <definedName name="_xlnm.Print_Area" localSheetId="24">'P.NUEVAS PROYECTADAS'!$A$1:$AI$66</definedName>
    <definedName name="_xlnm.Print_Area" localSheetId="9">'PARTIDAS EJEC. dic'!$B$1:$G$846</definedName>
    <definedName name="_xlnm.Print_Area" localSheetId="14">'RES. VAL. '!$A$1:$K$34</definedName>
    <definedName name="_xlnm.Print_Area" localSheetId="12">'RESUMEN GENERAL'!$A$1:$L$68</definedName>
    <definedName name="_xlnm.Print_Area" localSheetId="28">'VAL AMP 3'!$B$1:$S$74</definedName>
    <definedName name="_xlnm.Print_Area" localSheetId="31">'VAL AMP 4 PN'!$B$1:$S$197</definedName>
    <definedName name="_xlnm.Print_Area" localSheetId="32">'VAL AMP4 MM'!$B$1:$S$262</definedName>
    <definedName name="_xlnm.Print_Area" localSheetId="27">'VAL. AMP.2 COVID'!$B$1:$S$56</definedName>
    <definedName name="_xlnm.Print_Area" localSheetId="29">'VAL. PRINC'!$A$1:$Q$46</definedName>
    <definedName name="ARTE" localSheetId="13">#REF!</definedName>
    <definedName name="ARTE" localSheetId="9">#REF!</definedName>
    <definedName name="ARTE">#REF!</definedName>
    <definedName name="ARTEANT" localSheetId="13">#REF!</definedName>
    <definedName name="ARTEANT" localSheetId="9">#REF!</definedName>
    <definedName name="ARTEANT">#REF!</definedName>
    <definedName name="asadsfdgfhgjhkl" localSheetId="13">#REF!</definedName>
    <definedName name="asadsfdgfhgjhkl" localSheetId="9">#REF!</definedName>
    <definedName name="asadsfdgfhgjhkl">#REF!</definedName>
    <definedName name="b" localSheetId="13">'[2]#¡REF'!#REF!</definedName>
    <definedName name="b" localSheetId="8">'[2]#¡REF'!#REF!</definedName>
    <definedName name="b" localSheetId="9">'[2]#¡REF'!#REF!</definedName>
    <definedName name="b" localSheetId="12">#REF!</definedName>
    <definedName name="b" localSheetId="28">'[2]#¡REF'!#REF!</definedName>
    <definedName name="b" localSheetId="31">'[2]#¡REF'!#REF!</definedName>
    <definedName name="b" localSheetId="32">'[2]#¡REF'!#REF!</definedName>
    <definedName name="b" localSheetId="27">'[2]#¡REF'!#REF!</definedName>
    <definedName name="b">'[2]#¡REF'!#REF!</definedName>
    <definedName name="Base_datos_IM">[4]MATERIAL!$Q$10:$R$40</definedName>
    <definedName name="_xlnm.Database" localSheetId="13">#REF!</definedName>
    <definedName name="_xlnm.Database" localSheetId="38">#REF!</definedName>
    <definedName name="_xlnm.Database" localSheetId="35">#REF!</definedName>
    <definedName name="_xlnm.Database" localSheetId="36">#REF!</definedName>
    <definedName name="_xlnm.Database" localSheetId="9">#REF!</definedName>
    <definedName name="_xlnm.Database" localSheetId="14">#REF!</definedName>
    <definedName name="_xlnm.Database" localSheetId="12">#REF!</definedName>
    <definedName name="_xlnm.Database" localSheetId="28">#REF!</definedName>
    <definedName name="_xlnm.Database" localSheetId="31">#REF!</definedName>
    <definedName name="_xlnm.Database" localSheetId="32">#REF!</definedName>
    <definedName name="_xlnm.Database" localSheetId="27">#REF!</definedName>
    <definedName name="_xlnm.Database">#REF!</definedName>
    <definedName name="BBBB" localSheetId="13">#REF!</definedName>
    <definedName name="BBBB" localSheetId="9">#REF!</definedName>
    <definedName name="BBBB">#REF!</definedName>
    <definedName name="BLOQUE01" localSheetId="13">#REF!</definedName>
    <definedName name="BLOQUE01" localSheetId="9">#REF!</definedName>
    <definedName name="BLOQUE01" localSheetId="12">#REF!</definedName>
    <definedName name="BLOQUE01" localSheetId="28">#REF!</definedName>
    <definedName name="BLOQUE01" localSheetId="31">#REF!</definedName>
    <definedName name="BLOQUE01" localSheetId="32">#REF!</definedName>
    <definedName name="BLOQUE01">#REF!</definedName>
    <definedName name="BuiltIn_Print_Area" localSheetId="13">#REF!</definedName>
    <definedName name="BuiltIn_Print_Area" localSheetId="9">#REF!</definedName>
    <definedName name="BuiltIn_Print_Area">#REF!</definedName>
    <definedName name="BuiltIn_Print_Area___0" localSheetId="13">#REF!</definedName>
    <definedName name="BuiltIn_Print_Area___0" localSheetId="9">#REF!</definedName>
    <definedName name="BuiltIn_Print_Area___0">#REF!</definedName>
    <definedName name="CAB" localSheetId="13">[10]NTM!#REF!</definedName>
    <definedName name="CAB" localSheetId="9">[10]NTM!#REF!</definedName>
    <definedName name="CAB" localSheetId="12">[11]NTM!#REF!</definedName>
    <definedName name="CAB" localSheetId="28">[11]NTM!#REF!</definedName>
    <definedName name="CAB" localSheetId="32">[10]NTM!#REF!</definedName>
    <definedName name="CAB">[10]NTM!#REF!</definedName>
    <definedName name="cccc" localSheetId="13">#REF!</definedName>
    <definedName name="cccc" localSheetId="9">#REF!</definedName>
    <definedName name="cccc">#REF!</definedName>
    <definedName name="CD" localSheetId="13">#REF!</definedName>
    <definedName name="CD" localSheetId="9">#REF!</definedName>
    <definedName name="CD">#REF!</definedName>
    <definedName name="CHALLHUA" localSheetId="13">'[2]#¡REF'!#REF!</definedName>
    <definedName name="CHALLHUA" localSheetId="9">'[2]#¡REF'!#REF!</definedName>
    <definedName name="CHALLHUA">'[2]#¡REF'!#REF!</definedName>
    <definedName name="CONCLP" localSheetId="12">[11]NTM!$C$85:$C$90</definedName>
    <definedName name="CONCLP" localSheetId="28">[11]NTM!$C$85:$C$90</definedName>
    <definedName name="CONCLP">[12]NTM!$C$85:$C$90</definedName>
    <definedName name="CORT" localSheetId="12">[11]NTM!$C$70:$C$74</definedName>
    <definedName name="CORT" localSheetId="28">[11]NTM!$C$70:$C$74</definedName>
    <definedName name="CORT">[13]NTM!$C$70:$C$74</definedName>
    <definedName name="Corte" localSheetId="13">#REF!</definedName>
    <definedName name="Corte" localSheetId="9">#REF!</definedName>
    <definedName name="Corte">#REF!</definedName>
    <definedName name="_xlnm.Criteria" localSheetId="13">#REF!</definedName>
    <definedName name="_xlnm.Criteria" localSheetId="9">#REF!</definedName>
    <definedName name="_xlnm.Criteria" localSheetId="12">#REF!</definedName>
    <definedName name="_xlnm.Criteria" localSheetId="28">#REF!</definedName>
    <definedName name="_xlnm.Criteria" localSheetId="31">#REF!</definedName>
    <definedName name="_xlnm.Criteria" localSheetId="32">#REF!</definedName>
    <definedName name="_xlnm.Criteria" localSheetId="27">#REF!</definedName>
    <definedName name="_xlnm.Criteria">#REF!</definedName>
    <definedName name="Criterios_IM">[4]MATERIAL!$T$9:$U$10</definedName>
    <definedName name="CURVA">'[14](FF-03)'!$A$20:$R$1586</definedName>
    <definedName name="DDD" localSheetId="13">#REF!</definedName>
    <definedName name="DDD" localSheetId="9">#REF!</definedName>
    <definedName name="DDD">#REF!</definedName>
    <definedName name="DDDD" localSheetId="13">#REF!</definedName>
    <definedName name="DDDD" localSheetId="9">#REF!</definedName>
    <definedName name="DDDD">#REF!</definedName>
    <definedName name="DEFWEFRQF" localSheetId="13">#REF!</definedName>
    <definedName name="DEFWEFRQF" localSheetId="9">#REF!</definedName>
    <definedName name="DEFWEFRQF">#REF!</definedName>
    <definedName name="der" localSheetId="13">#REF!</definedName>
    <definedName name="der" localSheetId="9">#REF!</definedName>
    <definedName name="der">#REF!</definedName>
    <definedName name="DESCRIPCION" localSheetId="13">#REF!</definedName>
    <definedName name="DESCRIPCION" localSheetId="9">#REF!</definedName>
    <definedName name="DESCRIPCION" localSheetId="12">#REF!</definedName>
    <definedName name="DESCRIPCION" localSheetId="28">#REF!</definedName>
    <definedName name="DESCRIPCION" localSheetId="31">#REF!</definedName>
    <definedName name="DESCRIPCION" localSheetId="32">#REF!</definedName>
    <definedName name="DESCRIPCION" localSheetId="27">#REF!</definedName>
    <definedName name="DESCRIPCION">#REF!</definedName>
    <definedName name="DF" localSheetId="13">[15]Mensual!#REF!</definedName>
    <definedName name="DF" localSheetId="9">[15]Mensual!#REF!</definedName>
    <definedName name="DF">[15]Mensual!#REF!</definedName>
    <definedName name="DIAMD" localSheetId="12">[11]DATOS!$B$2:$B$10</definedName>
    <definedName name="DIAMD" localSheetId="28">[11]DATOS!$B$2:$B$10</definedName>
    <definedName name="DIAMD">[10]DATOS!$B$2:$B$10</definedName>
    <definedName name="DIAMD2" localSheetId="12">[11]DATOS!$F$5:$F$9</definedName>
    <definedName name="DIAMD2" localSheetId="28">[11]DATOS!$F$5:$F$9</definedName>
    <definedName name="DIAMD2">[10]DATOS!$F$5:$F$9</definedName>
    <definedName name="DIC" localSheetId="13">#REF!</definedName>
    <definedName name="DIC" localSheetId="9">#REF!</definedName>
    <definedName name="DIC" localSheetId="12">#REF!</definedName>
    <definedName name="DIC" localSheetId="28">#REF!</definedName>
    <definedName name="DIC" localSheetId="31">#REF!</definedName>
    <definedName name="DIC" localSheetId="32">#REF!</definedName>
    <definedName name="DIC" localSheetId="27">#REF!</definedName>
    <definedName name="DIC">#REF!</definedName>
    <definedName name="DIRECTO" localSheetId="13">#REF!</definedName>
    <definedName name="DIRECTO" localSheetId="9">#REF!</definedName>
    <definedName name="DIRECTO">#REF!</definedName>
    <definedName name="dist" localSheetId="12">[11]NTM!$C$28</definedName>
    <definedName name="dist" localSheetId="28">[11]NTM!$C$28</definedName>
    <definedName name="dist">[12]NTM!$C$28</definedName>
    <definedName name="dist2" localSheetId="12">[11]NTM!$E$52:$E$61</definedName>
    <definedName name="dist2" localSheetId="28">[11]NTM!$E$52:$E$61</definedName>
    <definedName name="dist2">[12]NTM!$E$52:$E$61</definedName>
    <definedName name="e" localSheetId="13">#REF!</definedName>
    <definedName name="e" localSheetId="9">#REF!</definedName>
    <definedName name="e">#REF!</definedName>
    <definedName name="ENE" localSheetId="13">#REF!</definedName>
    <definedName name="ENE" localSheetId="9">#REF!</definedName>
    <definedName name="ENE" localSheetId="12">#REF!</definedName>
    <definedName name="ENE" localSheetId="28">#REF!</definedName>
    <definedName name="ENE" localSheetId="31">#REF!</definedName>
    <definedName name="ENE" localSheetId="32">#REF!</definedName>
    <definedName name="ENE" localSheetId="27">#REF!</definedName>
    <definedName name="ENE">#REF!</definedName>
    <definedName name="erte88" localSheetId="13">#REF!</definedName>
    <definedName name="erte88" localSheetId="9">#REF!</definedName>
    <definedName name="erte88" localSheetId="12">#REF!</definedName>
    <definedName name="erte88" localSheetId="28">#REF!</definedName>
    <definedName name="erte88">#REF!</definedName>
    <definedName name="ESTRUCTURAS" localSheetId="13">#REF!</definedName>
    <definedName name="ESTRUCTURAS" localSheetId="9">#REF!</definedName>
    <definedName name="ESTRUCTURAS">#REF!</definedName>
    <definedName name="EXCAVACION" localSheetId="13">#REF!</definedName>
    <definedName name="EXCAVACION" localSheetId="9">#REF!</definedName>
    <definedName name="EXCAVACION">#REF!</definedName>
    <definedName name="EXCAVACIONANT" localSheetId="13">#REF!</definedName>
    <definedName name="EXCAVACIONANT" localSheetId="9">#REF!</definedName>
    <definedName name="EXCAVACIONANT">#REF!</definedName>
    <definedName name="Extracción_IM">[4]MATERIAL!$U$9:$U$39</definedName>
    <definedName name="facr" localSheetId="12">[11]NTM!$D$122</definedName>
    <definedName name="facr" localSheetId="28">[11]NTM!$D$122</definedName>
    <definedName name="facr">[12]NTM!$D$122</definedName>
    <definedName name="FACTRELACION" localSheetId="13">#REF!</definedName>
    <definedName name="FACTRELACION" localSheetId="9">#REF!</definedName>
    <definedName name="FACTRELACION">#REF!</definedName>
    <definedName name="fconc" localSheetId="12">[11]NTM!$C$120:$C$123</definedName>
    <definedName name="fconc" localSheetId="28">[11]NTM!$C$120:$C$123</definedName>
    <definedName name="fconc">[12]NTM!$C$120:$C$123</definedName>
    <definedName name="FEB" localSheetId="13">#REF!</definedName>
    <definedName name="FEB" localSheetId="9">#REF!</definedName>
    <definedName name="FEB" localSheetId="12">#REF!</definedName>
    <definedName name="FEB" localSheetId="28">#REF!</definedName>
    <definedName name="FEB" localSheetId="31">#REF!</definedName>
    <definedName name="FEB" localSheetId="32">#REF!</definedName>
    <definedName name="FEB" localSheetId="27">#REF!</definedName>
    <definedName name="FEB">#REF!</definedName>
    <definedName name="FEB0_7" localSheetId="13">#REF!</definedName>
    <definedName name="FEB0_7" localSheetId="9">#REF!</definedName>
    <definedName name="FEB0_7" localSheetId="12">#REF!</definedName>
    <definedName name="FEB0_7" localSheetId="32">#REF!</definedName>
    <definedName name="FEB0_7">#REF!</definedName>
    <definedName name="FHS6HJ6J" localSheetId="13">'[2]#¡REF'!#REF!</definedName>
    <definedName name="FHS6HJ6J" localSheetId="9">'[2]#¡REF'!#REF!</definedName>
    <definedName name="FHS6HJ6J" localSheetId="12">'[2]#¡REF'!#REF!</definedName>
    <definedName name="FHS6HJ6J" localSheetId="32">'[2]#¡REF'!#REF!</definedName>
    <definedName name="FHS6HJ6J">'[2]#¡REF'!#REF!</definedName>
    <definedName name="fnvkdnklgtrmtrlñ">[16]SOCTA2!$Q$10:$R$40</definedName>
    <definedName name="formato03" localSheetId="13">#REF!</definedName>
    <definedName name="formato03" localSheetId="9">#REF!</definedName>
    <definedName name="formato03">#REF!</definedName>
    <definedName name="formato04" localSheetId="13">#REF!</definedName>
    <definedName name="formato04" localSheetId="9">#REF!</definedName>
    <definedName name="formato04">#REF!</definedName>
    <definedName name="formato05" localSheetId="13">#REF!</definedName>
    <definedName name="formato05" localSheetId="9">#REF!</definedName>
    <definedName name="formato05">#REF!</definedName>
    <definedName name="formato06" localSheetId="13">#REF!</definedName>
    <definedName name="formato06" localSheetId="9">#REF!</definedName>
    <definedName name="formato06">#REF!</definedName>
    <definedName name="formato07" localSheetId="13">#REF!</definedName>
    <definedName name="formato07" localSheetId="9">#REF!</definedName>
    <definedName name="formato07">#REF!</definedName>
    <definedName name="formato08" localSheetId="13">#REF!</definedName>
    <definedName name="formato08" localSheetId="9">#REF!</definedName>
    <definedName name="formato08">#REF!</definedName>
    <definedName name="formato10" localSheetId="13">#REF!</definedName>
    <definedName name="formato10" localSheetId="9">#REF!</definedName>
    <definedName name="formato10">#REF!</definedName>
    <definedName name="formato11" localSheetId="13">#REF!</definedName>
    <definedName name="formato11" localSheetId="9">#REF!</definedName>
    <definedName name="formato11">#REF!</definedName>
    <definedName name="formato12" localSheetId="13">#REF!</definedName>
    <definedName name="formato12" localSheetId="9">#REF!</definedName>
    <definedName name="formato12">#REF!</definedName>
    <definedName name="formato13" localSheetId="13">#REF!</definedName>
    <definedName name="formato13" localSheetId="9">#REF!</definedName>
    <definedName name="formato13">#REF!</definedName>
    <definedName name="formato14" localSheetId="13">#REF!</definedName>
    <definedName name="formato14" localSheetId="9">#REF!</definedName>
    <definedName name="formato14">#REF!</definedName>
    <definedName name="formato15" localSheetId="13">#REF!</definedName>
    <definedName name="formato15" localSheetId="9">#REF!</definedName>
    <definedName name="formato15">#REF!</definedName>
    <definedName name="formato16" localSheetId="13">#REF!</definedName>
    <definedName name="formato16" localSheetId="9">#REF!</definedName>
    <definedName name="formato16">#REF!</definedName>
    <definedName name="formato17" localSheetId="13">#REF!</definedName>
    <definedName name="formato17" localSheetId="9">#REF!</definedName>
    <definedName name="formato17">#REF!</definedName>
    <definedName name="formato18" localSheetId="13">#REF!</definedName>
    <definedName name="formato18" localSheetId="9">#REF!</definedName>
    <definedName name="formato18">#REF!</definedName>
    <definedName name="formato201" localSheetId="13">#REF!</definedName>
    <definedName name="formato201" localSheetId="9">#REF!</definedName>
    <definedName name="formato201">#REF!</definedName>
    <definedName name="formato202" localSheetId="13">#REF!</definedName>
    <definedName name="formato202" localSheetId="9">#REF!</definedName>
    <definedName name="formato202">#REF!</definedName>
    <definedName name="formato21" localSheetId="13">#REF!</definedName>
    <definedName name="formato21" localSheetId="9">#REF!</definedName>
    <definedName name="formato21">#REF!</definedName>
    <definedName name="formato23" localSheetId="13">#REF!</definedName>
    <definedName name="formato23" localSheetId="9">#REF!</definedName>
    <definedName name="formato23">#REF!</definedName>
    <definedName name="formato26" localSheetId="13">#REF!</definedName>
    <definedName name="formato26" localSheetId="9">#REF!</definedName>
    <definedName name="formato26">#REF!</definedName>
    <definedName name="formato28" localSheetId="13">#REF!</definedName>
    <definedName name="formato28" localSheetId="9">#REF!</definedName>
    <definedName name="formato28">#REF!</definedName>
    <definedName name="formato29" localSheetId="13">#REF!</definedName>
    <definedName name="formato29" localSheetId="9">#REF!</definedName>
    <definedName name="formato29">#REF!</definedName>
    <definedName name="formato30" localSheetId="13">#REF!</definedName>
    <definedName name="formato30" localSheetId="9">#REF!</definedName>
    <definedName name="formato30">#REF!</definedName>
    <definedName name="formato31" localSheetId="13">#REF!</definedName>
    <definedName name="formato31" localSheetId="9">#REF!</definedName>
    <definedName name="formato31">#REF!</definedName>
    <definedName name="FR">[17]DATOS!$C$23</definedName>
    <definedName name="freddy" hidden="1">'[18]ALT-PREC'!$I$7</definedName>
    <definedName name="GGF" localSheetId="13">#REF!</definedName>
    <definedName name="GGF" localSheetId="9">#REF!</definedName>
    <definedName name="GGF">#REF!</definedName>
    <definedName name="ggg">[19]SOCTA2!$T$9:$U$10</definedName>
    <definedName name="GGT" localSheetId="13">#REF!</definedName>
    <definedName name="GGT" localSheetId="9">#REF!</definedName>
    <definedName name="GGT">#REF!</definedName>
    <definedName name="GGV" localSheetId="13">#REF!</definedName>
    <definedName name="GGV" localSheetId="9">#REF!</definedName>
    <definedName name="GGV">#REF!</definedName>
    <definedName name="HH">[19]SOCTA2!$T$9:$U$10</definedName>
    <definedName name="hhh" localSheetId="13">'[2]#¡REF'!#REF!</definedName>
    <definedName name="hhh" localSheetId="8">'[2]#¡REF'!#REF!</definedName>
    <definedName name="hhh" localSheetId="9">'[2]#¡REF'!#REF!</definedName>
    <definedName name="hhh" localSheetId="12">'[2]#¡REF'!#REF!</definedName>
    <definedName name="hhh" localSheetId="28">'[2]#¡REF'!#REF!</definedName>
    <definedName name="hhh" localSheetId="31">'[2]#¡REF'!#REF!</definedName>
    <definedName name="hhh" localSheetId="32">'[2]#¡REF'!#REF!</definedName>
    <definedName name="hhh" localSheetId="27">'[2]#¡REF'!#REF!</definedName>
    <definedName name="hhh">'[2]#¡REF'!#REF!</definedName>
    <definedName name="hhhhhhhhhhhhhh" localSheetId="13">'[2]#¡REF'!#REF!</definedName>
    <definedName name="hhhhhhhhhhhhhh" localSheetId="9">'[2]#¡REF'!#REF!</definedName>
    <definedName name="hhhhhhhhhhhhhh" localSheetId="12">'[2]#¡REF'!#REF!</definedName>
    <definedName name="hhhhhhhhhhhhhh" localSheetId="32">'[2]#¡REF'!#REF!</definedName>
    <definedName name="hhhhhhhhhhhhhh">'[2]#¡REF'!#REF!</definedName>
    <definedName name="HUGO">'[20](FF-03)'!$A$21:$F$1586</definedName>
    <definedName name="IE">'[20]R IE'!$C$17:$K$317</definedName>
    <definedName name="IGV" localSheetId="13">#REF!</definedName>
    <definedName name="IGV" localSheetId="9">#REF!</definedName>
    <definedName name="IGV">#REF!</definedName>
    <definedName name="INDICE" localSheetId="13">#REF!</definedName>
    <definedName name="INDICE" localSheetId="8">#REF!</definedName>
    <definedName name="INDICE" localSheetId="9">#REF!</definedName>
    <definedName name="INDICE" localSheetId="12">#REF!</definedName>
    <definedName name="INDICE" localSheetId="28">#REF!</definedName>
    <definedName name="INDICE" localSheetId="31">#REF!</definedName>
    <definedName name="INDICE" localSheetId="32">#REF!</definedName>
    <definedName name="INDICE" localSheetId="27">#REF!</definedName>
    <definedName name="INDICE">#REF!</definedName>
    <definedName name="INVENTARIO" localSheetId="13">#REF!</definedName>
    <definedName name="INVENTARIO" localSheetId="9">#REF!</definedName>
    <definedName name="INVENTARIO">#REF!</definedName>
    <definedName name="ITEMS" localSheetId="12">[11]NTM!$A$2:$A$211</definedName>
    <definedName name="ITEMS" localSheetId="28">[11]NTM!$A$2:$A$211</definedName>
    <definedName name="ITEMS">[12]NTM!$A$2:$A$203</definedName>
    <definedName name="IU" localSheetId="13">#REF!</definedName>
    <definedName name="IU" localSheetId="9">#REF!</definedName>
    <definedName name="IU" localSheetId="12">#REF!</definedName>
    <definedName name="IU" localSheetId="28">#REF!</definedName>
    <definedName name="IU" localSheetId="31">#REF!</definedName>
    <definedName name="IU" localSheetId="32">#REF!</definedName>
    <definedName name="IU" localSheetId="27">#REF!</definedName>
    <definedName name="IU">#REF!</definedName>
    <definedName name="JUL" localSheetId="13">#REF!</definedName>
    <definedName name="JUL" localSheetId="9">#REF!</definedName>
    <definedName name="JUL" localSheetId="12">#REF!</definedName>
    <definedName name="JUL" localSheetId="28">#REF!</definedName>
    <definedName name="JUL" localSheetId="31">#REF!</definedName>
    <definedName name="JUL" localSheetId="32">#REF!</definedName>
    <definedName name="JUL" localSheetId="27">#REF!</definedName>
    <definedName name="JUL">#REF!</definedName>
    <definedName name="JUN" localSheetId="13">#REF!</definedName>
    <definedName name="JUN" localSheetId="9">#REF!</definedName>
    <definedName name="JUN" localSheetId="12">#REF!</definedName>
    <definedName name="JUN" localSheetId="28">#REF!</definedName>
    <definedName name="JUN" localSheetId="31">#REF!</definedName>
    <definedName name="JUN" localSheetId="32">#REF!</definedName>
    <definedName name="JUN" localSheetId="27">#REF!</definedName>
    <definedName name="JUN">#REF!</definedName>
    <definedName name="k" localSheetId="13">'[2]#¡REF'!#REF!</definedName>
    <definedName name="k" localSheetId="8">'[2]#¡REF'!#REF!</definedName>
    <definedName name="k" localSheetId="9">'[2]#¡REF'!#REF!</definedName>
    <definedName name="k" localSheetId="12">'[2]#¡REF'!#REF!</definedName>
    <definedName name="k" localSheetId="28">'[2]#¡REF'!#REF!</definedName>
    <definedName name="k" localSheetId="31">'[2]#¡REF'!#REF!</definedName>
    <definedName name="k" localSheetId="32">'[2]#¡REF'!#REF!</definedName>
    <definedName name="k" localSheetId="27">'[2]#¡REF'!#REF!</definedName>
    <definedName name="k">'[2]#¡REF'!#REF!</definedName>
    <definedName name="l" localSheetId="13">#REF!</definedName>
    <definedName name="l" localSheetId="9">#REF!</definedName>
    <definedName name="l">#REF!</definedName>
    <definedName name="LAC" localSheetId="13">[10]NTM!#REF!</definedName>
    <definedName name="LAC" localSheetId="9">[10]NTM!#REF!</definedName>
    <definedName name="LAC" localSheetId="12">[11]NTM!#REF!</definedName>
    <definedName name="LAC" localSheetId="28">[11]NTM!#REF!</definedName>
    <definedName name="LAC" localSheetId="32">[10]NTM!#REF!</definedName>
    <definedName name="LAC">[10]NTM!#REF!</definedName>
    <definedName name="lll" localSheetId="13">#REF!</definedName>
    <definedName name="lll" localSheetId="9">#REF!</definedName>
    <definedName name="lll">#REF!</definedName>
    <definedName name="LUIS" localSheetId="13">#REF!</definedName>
    <definedName name="LUIS" localSheetId="9">#REF!</definedName>
    <definedName name="LUIS">#REF!</definedName>
    <definedName name="m" localSheetId="13">#REF!</definedName>
    <definedName name="m" localSheetId="9">#REF!</definedName>
    <definedName name="m">#REF!</definedName>
    <definedName name="MAR" localSheetId="13">#REF!</definedName>
    <definedName name="MAR" localSheetId="8">#REF!</definedName>
    <definedName name="MAR" localSheetId="9">#REF!</definedName>
    <definedName name="MAR" localSheetId="12">#REF!</definedName>
    <definedName name="MAR" localSheetId="28">#REF!</definedName>
    <definedName name="MAR" localSheetId="31">#REF!</definedName>
    <definedName name="MAR" localSheetId="32">#REF!</definedName>
    <definedName name="MAR" localSheetId="27">#REF!</definedName>
    <definedName name="MAR">#REF!</definedName>
    <definedName name="MAY" localSheetId="13">#REF!</definedName>
    <definedName name="MAY" localSheetId="9">#REF!</definedName>
    <definedName name="MAY" localSheetId="12">#REF!</definedName>
    <definedName name="MAY" localSheetId="28">#REF!</definedName>
    <definedName name="MAY" localSheetId="31">#REF!</definedName>
    <definedName name="MAY" localSheetId="32">#REF!</definedName>
    <definedName name="MAY" localSheetId="27">#REF!</definedName>
    <definedName name="MAY">#REF!</definedName>
    <definedName name="MC" localSheetId="13">#REF!</definedName>
    <definedName name="MC" localSheetId="9">#REF!</definedName>
    <definedName name="MC">#REF!</definedName>
    <definedName name="MEDIA" localSheetId="13">#REF!</definedName>
    <definedName name="MEDIA" localSheetId="9">#REF!</definedName>
    <definedName name="MEDIA">#REF!</definedName>
    <definedName name="meses" localSheetId="13">#REF!</definedName>
    <definedName name="meses" localSheetId="9">#REF!</definedName>
    <definedName name="meses" localSheetId="12">#REF!</definedName>
    <definedName name="meses" localSheetId="28">#REF!</definedName>
    <definedName name="meses" localSheetId="31">#REF!</definedName>
    <definedName name="meses" localSheetId="32">#REF!</definedName>
    <definedName name="meses" localSheetId="27">#REF!</definedName>
    <definedName name="meses">#REF!</definedName>
    <definedName name="METR.PART.NUEV" localSheetId="13">#REF!</definedName>
    <definedName name="METR.PART.NUEV" localSheetId="9">#REF!</definedName>
    <definedName name="METR.PART.NUEV">#REF!</definedName>
    <definedName name="mierdaaaaaaaaaaaaaa" localSheetId="13">#REF!</definedName>
    <definedName name="mierdaaaaaaaaaaaaaa" localSheetId="9">#REF!</definedName>
    <definedName name="mierdaaaaaaaaaaaaaa">#REF!</definedName>
    <definedName name="MLMLM" localSheetId="13">#REF!</definedName>
    <definedName name="MLMLM" localSheetId="9">#REF!</definedName>
    <definedName name="MLMLM">#REF!</definedName>
    <definedName name="MNP" localSheetId="13">'[3]#¡REF'!#REF!</definedName>
    <definedName name="MNP" localSheetId="8">'[3]#¡REF'!#REF!</definedName>
    <definedName name="MNP" localSheetId="9">'[3]#¡REF'!#REF!</definedName>
    <definedName name="MNP" localSheetId="12">'[3]#¡REF'!#REF!</definedName>
    <definedName name="MNP" localSheetId="28">'[3]#¡REF'!#REF!</definedName>
    <definedName name="MNP" localSheetId="31">'[3]#¡REF'!#REF!</definedName>
    <definedName name="MNP" localSheetId="32">'[3]#¡REF'!#REF!</definedName>
    <definedName name="MNP" localSheetId="27">'[3]#¡REF'!#REF!</definedName>
    <definedName name="MNP">'[3]#¡REF'!#REF!</definedName>
    <definedName name="N" localSheetId="13">#REF!</definedName>
    <definedName name="N" localSheetId="9">#REF!</definedName>
    <definedName name="N">#REF!</definedName>
    <definedName name="nb" localSheetId="13">#REF!</definedName>
    <definedName name="nb" localSheetId="9">#REF!</definedName>
    <definedName name="nb">#REF!</definedName>
    <definedName name="ngndfjg" localSheetId="13">#REF!</definedName>
    <definedName name="ngndfjg" localSheetId="9">#REF!</definedName>
    <definedName name="ngndfjg">#REF!</definedName>
    <definedName name="NNDSNDSN">'[21]Precios Estruc.'!$A$1:$E$339</definedName>
    <definedName name="NOB" localSheetId="13">#REF!</definedName>
    <definedName name="NOB" localSheetId="8">#REF!</definedName>
    <definedName name="NOB" localSheetId="9">#REF!</definedName>
    <definedName name="NOB" localSheetId="12">#REF!</definedName>
    <definedName name="NOB" localSheetId="28">#REF!</definedName>
    <definedName name="NOB" localSheetId="31">#REF!</definedName>
    <definedName name="NOB" localSheetId="32">#REF!</definedName>
    <definedName name="NOB" localSheetId="27">#REF!</definedName>
    <definedName name="NOB">#REF!</definedName>
    <definedName name="nueva" localSheetId="13">#REF!</definedName>
    <definedName name="nueva" localSheetId="9">#REF!</definedName>
    <definedName name="nueva">#REF!</definedName>
    <definedName name="NUEVO">[19]SOCTA2!$A$2:$R$57</definedName>
    <definedName name="ÑLMKKKKKKKKKKKKKKKKKKK" localSheetId="13">#REF!</definedName>
    <definedName name="ÑLMKKKKKKKKKKKKKKKKKKK" localSheetId="9">#REF!</definedName>
    <definedName name="ÑLMKKKKKKKKKKKKKKKKKKK">#REF!</definedName>
    <definedName name="OBRAS" localSheetId="13">#REF!</definedName>
    <definedName name="OBRAS" localSheetId="9">#REF!</definedName>
    <definedName name="OBRAS">#REF!</definedName>
    <definedName name="OBRASANT" localSheetId="13">#REF!</definedName>
    <definedName name="OBRASANT" localSheetId="9">#REF!</definedName>
    <definedName name="OBRASANT">#REF!</definedName>
    <definedName name="OCT" localSheetId="13">#REF!</definedName>
    <definedName name="OCT" localSheetId="9">#REF!</definedName>
    <definedName name="OCT" localSheetId="12">#REF!</definedName>
    <definedName name="OCT" localSheetId="28">#REF!</definedName>
    <definedName name="OCT" localSheetId="31">#REF!</definedName>
    <definedName name="OCT" localSheetId="32">#REF!</definedName>
    <definedName name="OCT" localSheetId="27">#REF!</definedName>
    <definedName name="OCT">#REF!</definedName>
    <definedName name="OLE_LINK1" localSheetId="13">#REF!</definedName>
    <definedName name="OLE_LINK1" localSheetId="9">#REF!</definedName>
    <definedName name="OLE_LINK1">#REF!</definedName>
    <definedName name="ope" localSheetId="13">[22]Hoja4!#REF!</definedName>
    <definedName name="ope" localSheetId="8">[22]Hoja4!#REF!</definedName>
    <definedName name="ope" localSheetId="9">[22]Hoja4!#REF!</definedName>
    <definedName name="ope" localSheetId="12">[22]Hoja4!#REF!</definedName>
    <definedName name="ope" localSheetId="28">[22]Hoja4!#REF!</definedName>
    <definedName name="ope" localSheetId="31">[22]Hoja4!#REF!</definedName>
    <definedName name="ope" localSheetId="32">[22]Hoja4!#REF!</definedName>
    <definedName name="ope" localSheetId="27">[22]Hoja4!#REF!</definedName>
    <definedName name="ope">[22]Hoja4!#REF!</definedName>
    <definedName name="OPPP" localSheetId="13">#REF!</definedName>
    <definedName name="OPPP" localSheetId="9">#REF!</definedName>
    <definedName name="OPPP">#REF!</definedName>
    <definedName name="PAAA" localSheetId="13">'[2]#¡REF'!#REF!</definedName>
    <definedName name="PAAA" localSheetId="9">'[2]#¡REF'!#REF!</definedName>
    <definedName name="PAAA" localSheetId="12">'[2]#¡REF'!#REF!</definedName>
    <definedName name="PAAA">'[2]#¡REF'!#REF!</definedName>
    <definedName name="PARTIDA" localSheetId="13">#REF!</definedName>
    <definedName name="PARTIDA" localSheetId="8">#REF!</definedName>
    <definedName name="PARTIDA" localSheetId="9">#REF!</definedName>
    <definedName name="PARTIDA" localSheetId="12">#REF!</definedName>
    <definedName name="PARTIDA" localSheetId="28">#REF!</definedName>
    <definedName name="PARTIDA" localSheetId="31">#REF!</definedName>
    <definedName name="PARTIDA" localSheetId="32">#REF!</definedName>
    <definedName name="PARTIDA" localSheetId="27">#REF!</definedName>
    <definedName name="PARTIDA">#REF!</definedName>
    <definedName name="PARTIDAS">[23]PARTIDAS!$1:$1048576</definedName>
    <definedName name="PAVIMENTOS" localSheetId="13">#REF!</definedName>
    <definedName name="PAVIMENTOS" localSheetId="9">#REF!</definedName>
    <definedName name="PAVIMENTOS">#REF!</definedName>
    <definedName name="PAVIMENTOSANT" localSheetId="13">#REF!</definedName>
    <definedName name="PAVIMENTOSANT" localSheetId="9">#REF!</definedName>
    <definedName name="PAVIMENTOSANT">#REF!</definedName>
    <definedName name="PGG" localSheetId="13">#REF!</definedName>
    <definedName name="PGG" localSheetId="9">#REF!</definedName>
    <definedName name="PGG">#REF!</definedName>
    <definedName name="PRECIOS" localSheetId="13">#REF!</definedName>
    <definedName name="PRECIOS" localSheetId="9">#REF!</definedName>
    <definedName name="PRECIOS">#REF!</definedName>
    <definedName name="PRECIOS2" localSheetId="13">#REF!</definedName>
    <definedName name="PRECIOS2" localSheetId="9">#REF!</definedName>
    <definedName name="PRECIOS2">#REF!</definedName>
    <definedName name="PRESUP" localSheetId="13">#REF!</definedName>
    <definedName name="PRESUP" localSheetId="9">#REF!</definedName>
    <definedName name="PRESUP">#REF!</definedName>
    <definedName name="Print_Area" localSheetId="13">#REF!</definedName>
    <definedName name="Print_Area" localSheetId="9">#REF!</definedName>
    <definedName name="Print_Area">#REF!</definedName>
    <definedName name="Print_Area_MI" localSheetId="13">#REF!</definedName>
    <definedName name="Print_Area_MI" localSheetId="9">#REF!</definedName>
    <definedName name="Print_Area_MI">#REF!</definedName>
    <definedName name="Progr" localSheetId="13">#REF!</definedName>
    <definedName name="Progr" localSheetId="9">#REF!</definedName>
    <definedName name="Progr">#REF!</definedName>
    <definedName name="PUU" localSheetId="13">#REF!</definedName>
    <definedName name="PUU" localSheetId="9">#REF!</definedName>
    <definedName name="PUU">#REF!</definedName>
    <definedName name="q" localSheetId="13">#REF!</definedName>
    <definedName name="q" localSheetId="9">#REF!</definedName>
    <definedName name="q">#REF!</definedName>
    <definedName name="qsdxs" localSheetId="13">'[2]#¡REF'!#REF!</definedName>
    <definedName name="qsdxs" localSheetId="8">'[2]#¡REF'!#REF!</definedName>
    <definedName name="qsdxs" localSheetId="9">'[2]#¡REF'!#REF!</definedName>
    <definedName name="qsdxs" localSheetId="12">'[2]#¡REF'!#REF!</definedName>
    <definedName name="qsdxs" localSheetId="28">'[2]#¡REF'!#REF!</definedName>
    <definedName name="qsdxs" localSheetId="31">'[2]#¡REF'!#REF!</definedName>
    <definedName name="qsdxs" localSheetId="32">'[2]#¡REF'!#REF!</definedName>
    <definedName name="qsdxs" localSheetId="27">'[2]#¡REF'!#REF!</definedName>
    <definedName name="qsdxs">'[2]#¡REF'!#REF!</definedName>
    <definedName name="qsqns" localSheetId="13">'[2]#¡REF'!#REF!</definedName>
    <definedName name="qsqns" localSheetId="9">'[2]#¡REF'!#REF!</definedName>
    <definedName name="qsqns" localSheetId="12">'[2]#¡REF'!#REF!</definedName>
    <definedName name="qsqns" localSheetId="28">'[2]#¡REF'!#REF!</definedName>
    <definedName name="qsqns" localSheetId="31">'[2]#¡REF'!#REF!</definedName>
    <definedName name="qsqns" localSheetId="32">'[2]#¡REF'!#REF!</definedName>
    <definedName name="qsqns" localSheetId="27">'[2]#¡REF'!#REF!</definedName>
    <definedName name="qsqns">'[2]#¡REF'!#REF!</definedName>
    <definedName name="QWE" localSheetId="13">#REF!</definedName>
    <definedName name="QWE" localSheetId="8">#REF!</definedName>
    <definedName name="QWE" localSheetId="9">#REF!</definedName>
    <definedName name="QWE" localSheetId="12">#REF!</definedName>
    <definedName name="QWE" localSheetId="28">#REF!</definedName>
    <definedName name="QWE" localSheetId="31">#REF!</definedName>
    <definedName name="QWE" localSheetId="32">#REF!</definedName>
    <definedName name="QWE" localSheetId="27">#REF!</definedName>
    <definedName name="QWE">#REF!</definedName>
    <definedName name="REALIG">[11]NTM!$C$177:$C$178</definedName>
    <definedName name="REVISAR" localSheetId="13">#REF!</definedName>
    <definedName name="REVISAR" localSheetId="9">#REF!</definedName>
    <definedName name="REVISAR" localSheetId="12">#REF!</definedName>
    <definedName name="REVISAR" localSheetId="28">#REF!</definedName>
    <definedName name="REVISAR" localSheetId="31">#REF!</definedName>
    <definedName name="REVISAR" localSheetId="32">#REF!</definedName>
    <definedName name="REVISAR" localSheetId="27">#REF!</definedName>
    <definedName name="REVISAR">#REF!</definedName>
    <definedName name="REVISAR1" localSheetId="13">#REF!</definedName>
    <definedName name="REVISAR1" localSheetId="9">#REF!</definedName>
    <definedName name="REVISAR1" localSheetId="12">#REF!</definedName>
    <definedName name="REVISAR1" localSheetId="28">#REF!</definedName>
    <definedName name="REVISAR1" localSheetId="31">#REF!</definedName>
    <definedName name="REVISAR1" localSheetId="32">#REF!</definedName>
    <definedName name="REVISAR1" localSheetId="27">#REF!</definedName>
    <definedName name="REVISAR1">#REF!</definedName>
    <definedName name="s" localSheetId="13">#REF!</definedName>
    <definedName name="s" localSheetId="9">#REF!</definedName>
    <definedName name="s">#REF!</definedName>
    <definedName name="sdfnhgnfgnfgbsdvsdcax" localSheetId="13">#REF!</definedName>
    <definedName name="sdfnhgnfgnfgbsdvsdcax" localSheetId="9">#REF!</definedName>
    <definedName name="sdfnhgnfgnfgbsdvsdcax">#REF!</definedName>
    <definedName name="SEÑALIZACION" localSheetId="13">#REF!</definedName>
    <definedName name="SEÑALIZACION" localSheetId="9">#REF!</definedName>
    <definedName name="SEÑALIZACION">#REF!</definedName>
    <definedName name="SEÑALIZACIONANT" localSheetId="13">#REF!</definedName>
    <definedName name="SEÑALIZACIONANT" localSheetId="9">#REF!</definedName>
    <definedName name="SEÑALIZACIONANT">#REF!</definedName>
    <definedName name="señalizavion" localSheetId="13">#REF!</definedName>
    <definedName name="señalizavion" localSheetId="9">#REF!</definedName>
    <definedName name="señalizavion">#REF!</definedName>
    <definedName name="SET" localSheetId="13">#REF!</definedName>
    <definedName name="SET" localSheetId="9">#REF!</definedName>
    <definedName name="SET" localSheetId="12">#REF!</definedName>
    <definedName name="SET" localSheetId="28">#REF!</definedName>
    <definedName name="SET" localSheetId="31">#REF!</definedName>
    <definedName name="SET" localSheetId="32">#REF!</definedName>
    <definedName name="SET" localSheetId="27">#REF!</definedName>
    <definedName name="SET">#REF!</definedName>
    <definedName name="SHARED_FORMULA_0">#N/A</definedName>
    <definedName name="SHARED_FORMULA_1">#N/A</definedName>
    <definedName name="SHARED_FORMULA_2">#N/A</definedName>
    <definedName name="SHARED_FORMULA_3">#N/A</definedName>
    <definedName name="SHARED_FORMULA_4">#N/A</definedName>
    <definedName name="SHARED_FORMULA_5">#N/A</definedName>
    <definedName name="SSSS" localSheetId="13">#REF!</definedName>
    <definedName name="SSSS" localSheetId="9">#REF!</definedName>
    <definedName name="SSSS">#REF!</definedName>
    <definedName name="TABLA" localSheetId="13">#REF!</definedName>
    <definedName name="TABLA" localSheetId="9">#REF!</definedName>
    <definedName name="TABLA" localSheetId="12">#REF!</definedName>
    <definedName name="TABLA" localSheetId="28">#REF!</definedName>
    <definedName name="TABLA" localSheetId="31">#REF!</definedName>
    <definedName name="TABLA" localSheetId="32">#REF!</definedName>
    <definedName name="TABLA" localSheetId="27">#REF!</definedName>
    <definedName name="TABLA">#REF!</definedName>
    <definedName name="tabtabtab">[24]LINEAS!$A$3:$BR$18</definedName>
    <definedName name="tareo1" localSheetId="13">#REF!</definedName>
    <definedName name="tareo1" localSheetId="9">#REF!</definedName>
    <definedName name="tareo1">#REF!</definedName>
    <definedName name="_xlnm.Print_Titles" localSheetId="37">CRON!$6:$19</definedName>
    <definedName name="_xlnm.Print_Titles" localSheetId="35">MET.ADIC!$1:$10</definedName>
    <definedName name="_xlnm.Print_Titles" localSheetId="36">MET.EXP!$1:$7</definedName>
    <definedName name="_xlnm.Print_Titles" localSheetId="9">'PARTIDAS EJEC. dic'!$6:$9</definedName>
    <definedName name="_xlnm.Print_Titles" localSheetId="28">'VAL AMP 3'!$1:$13</definedName>
    <definedName name="_xlnm.Print_Titles" localSheetId="31">'VAL AMP 4 PN'!$1:$14</definedName>
    <definedName name="_xlnm.Print_Titles" localSheetId="32">'VAL AMP4 MM'!$1:$12</definedName>
    <definedName name="_xlnm.Print_Titles" localSheetId="27">'VAL. AMP.2 COVID'!$1:$13</definedName>
    <definedName name="_xlnm.Print_Titles" localSheetId="29">'VAL. PRINC'!$1:$13</definedName>
    <definedName name="TOTAL" localSheetId="13">#REF!</definedName>
    <definedName name="TOTAL" localSheetId="9">#REF!</definedName>
    <definedName name="TOTAL">#REF!</definedName>
    <definedName name="TOTORAY" localSheetId="13">'[2]#¡REF'!#REF!</definedName>
    <definedName name="TOTORAY" localSheetId="9">'[2]#¡REF'!#REF!</definedName>
    <definedName name="TOTORAY">'[2]#¡REF'!#REF!</definedName>
    <definedName name="TRANSPORTE" localSheetId="13">#REF!</definedName>
    <definedName name="TRANSPORTE" localSheetId="9">#REF!</definedName>
    <definedName name="TRANSPORTE">#REF!</definedName>
    <definedName name="TRANSPORTEANT" localSheetId="13">#REF!</definedName>
    <definedName name="TRANSPORTEANT" localSheetId="9">#REF!</definedName>
    <definedName name="TRANSPORTEANT">#REF!</definedName>
    <definedName name="UND." localSheetId="13">#REF!</definedName>
    <definedName name="UND." localSheetId="8">#REF!</definedName>
    <definedName name="UND." localSheetId="9">#REF!</definedName>
    <definedName name="UND." localSheetId="12">#REF!</definedName>
    <definedName name="UND." localSheetId="28">#REF!</definedName>
    <definedName name="UND." localSheetId="31">#REF!</definedName>
    <definedName name="UND." localSheetId="32">#REF!</definedName>
    <definedName name="UND." localSheetId="27">#REF!</definedName>
    <definedName name="UND.">#REF!</definedName>
    <definedName name="UNID" localSheetId="12">[11]DATOS!$P$2:$P$14</definedName>
    <definedName name="UNID" localSheetId="28">[11]DATOS!$P$2:$P$14</definedName>
    <definedName name="UNID">[12]DATOS!$P$2:$P$14</definedName>
    <definedName name="UTILIDAD" localSheetId="13">#REF!</definedName>
    <definedName name="UTILIDAD" localSheetId="9">#REF!</definedName>
    <definedName name="UTILIDAD">#REF!</definedName>
    <definedName name="VAL.PART.NUEV." localSheetId="13">#REF!</definedName>
    <definedName name="VAL.PART.NUEV." localSheetId="9">#REF!</definedName>
    <definedName name="VAL.PART.NUEV.">#REF!</definedName>
    <definedName name="VALO">'[20](FF-03)'!$A$20:$R$1586</definedName>
    <definedName name="VALOREFERENCIAL" localSheetId="13">#REF!</definedName>
    <definedName name="VALOREFERENCIAL" localSheetId="9">#REF!</definedName>
    <definedName name="VALOREFERENCIAL">#REF!</definedName>
    <definedName name="VALORIZACION_MES">'[25]VALORIZACION 10'!$J$90</definedName>
    <definedName name="VARIOS" localSheetId="13">#REF!</definedName>
    <definedName name="VARIOS" localSheetId="9">#REF!</definedName>
    <definedName name="VARIOS">#REF!</definedName>
    <definedName name="VARIOSANT" localSheetId="13">#REF!</definedName>
    <definedName name="VARIOSANT" localSheetId="9">#REF!</definedName>
    <definedName name="VARIOSANT">#REF!</definedName>
    <definedName name="VFDSZFASF" localSheetId="13">#REF!</definedName>
    <definedName name="VFDSZFASF" localSheetId="9">#REF!</definedName>
    <definedName name="VFDSZFASF">#REF!</definedName>
    <definedName name="vg" localSheetId="13">#REF!</definedName>
    <definedName name="vg" localSheetId="9">#REF!</definedName>
    <definedName name="vg">#REF!</definedName>
    <definedName name="VR" localSheetId="13">#REF!</definedName>
    <definedName name="VR" localSheetId="9">#REF!</definedName>
    <definedName name="VR">#REF!</definedName>
    <definedName name="w" localSheetId="13">'[2]#¡REF'!#REF!</definedName>
    <definedName name="w" localSheetId="8">'[2]#¡REF'!#REF!</definedName>
    <definedName name="w" localSheetId="9">'[2]#¡REF'!#REF!</definedName>
    <definedName name="w" localSheetId="12">'[2]#¡REF'!#REF!</definedName>
    <definedName name="w" localSheetId="28">'[2]#¡REF'!#REF!</definedName>
    <definedName name="w" localSheetId="31">'[2]#¡REF'!#REF!</definedName>
    <definedName name="w" localSheetId="32">'[2]#¡REF'!#REF!</definedName>
    <definedName name="w" localSheetId="27">'[2]#¡REF'!#REF!</definedName>
    <definedName name="w">'[2]#¡REF'!#REF!</definedName>
    <definedName name="WW" localSheetId="13">[15]Mensual!#REF!</definedName>
    <definedName name="WW" localSheetId="9">[15]Mensual!#REF!</definedName>
    <definedName name="WW">[15]Mensual!#REF!</definedName>
    <definedName name="XC" localSheetId="13">[15]Mensual!#REF!</definedName>
    <definedName name="XC" localSheetId="9">[15]Mensual!#REF!</definedName>
    <definedName name="XC">[15]Mensual!#REF!</definedName>
    <definedName name="XX" localSheetId="13">[15]Mensual!#REF!</definedName>
    <definedName name="XX" localSheetId="9">[15]Mensual!#REF!</definedName>
    <definedName name="XX">[15]Mensual!#REF!</definedName>
    <definedName name="XXXX" localSheetId="13">[15]Mensual!#REF!</definedName>
    <definedName name="XXXX" localSheetId="9">[15]Mensual!#REF!</definedName>
    <definedName name="XXXX">[15]Mensual!#REF!</definedName>
    <definedName name="XXXXXX" localSheetId="13">[15]Mensual!#REF!</definedName>
    <definedName name="XXXXXX" localSheetId="9">[15]Mensual!#REF!</definedName>
    <definedName name="XXXXXX">[15]Mensual!#REF!</definedName>
    <definedName name="XXXXXXXXXXXXXXXXXXXX" localSheetId="13">'[1]#¡REF'!#REF!</definedName>
    <definedName name="XXXXXXXXXXXXXXXXXXXX" localSheetId="9">'[1]#¡REF'!#REF!</definedName>
    <definedName name="XXXXXXXXXXXXXXXXXXXX">'[1]#¡REF'!#REF!</definedName>
    <definedName name="yyyyyyyyy" localSheetId="13">#REF!</definedName>
    <definedName name="yyyyyyyyy" localSheetId="9">#REF!</definedName>
    <definedName name="yyyyyyyyy">#REF!</definedName>
    <definedName name="Z" localSheetId="13">#REF!</definedName>
    <definedName name="Z" localSheetId="9">#REF!</definedName>
    <definedName name="Z">#REF!</definedName>
    <definedName name="Z_56770540_A97A_11D1_870B_00002143DF72_.wvu.Rows" localSheetId="13"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8"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9"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12" hidden="1">[26]PRESUPUESTO!#REF!,[26]PRESUPUESTO!#REF!,[26]PRESUPUESTO!#REF!,[26]PRESUPUESTO!#REF!,[26]PRESUPUESTO!#REF!,[26]PRESUPUESTO!#REF!,[26]PRESUPUESTO!#REF!,[26]PRESUPUESTO!#REF!,[26]PRESUPUESTO!#REF!,[26]PRESUPUESTO!#REF!,[26]PRESUPUESTO!#REF!,[26]PRESUPUESTO!$287:$287,[26]PRESUPUESTO!$292:$294</definedName>
    <definedName name="Z_56770540_A97A_11D1_870B_00002143DF72_.wvu.Rows" localSheetId="28"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31"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32"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27"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hidden="1">[26]PRESUPUESTO!#REF!,[26]PRESUPUESTO!#REF!,[26]PRESUPUESTO!#REF!,[26]PRESUPUESTO!#REF!,[26]PRESUPUESTO!#REF!,[26]PRESUPUESTO!#REF!,[26]PRESUPUESTO!#REF!,[26]PRESUPUESTO!#REF!,[26]PRESUPUESTO!#REF!,[26]PRESUPUESTO!#REF!,[26]PRESUPUESTO!#REF!,[26]PRESUPUESTO!$A$287:$IV$287,[26]PRESUPUESTO!$A$292:$IV$294</definedName>
  </definedNames>
  <calcPr calcId="181029"/>
  <fileRecoveryPr autoRecover="0"/>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H17" i="72" l="1"/>
  <c r="L17" i="72" s="1"/>
  <c r="O17" i="72" s="1"/>
  <c r="P17" i="72" s="1"/>
  <c r="H45" i="72"/>
  <c r="H39" i="72"/>
  <c r="L39" i="72" s="1"/>
  <c r="O39" i="72" s="1"/>
  <c r="P39" i="72" s="1"/>
  <c r="H38" i="72"/>
  <c r="I38" i="72" s="1"/>
  <c r="H33" i="72"/>
  <c r="L33" i="72" s="1"/>
  <c r="O33" i="72" s="1"/>
  <c r="P33" i="72" s="1"/>
  <c r="H32" i="72"/>
  <c r="I32" i="72" s="1"/>
  <c r="H29" i="72"/>
  <c r="H28" i="72"/>
  <c r="L28" i="72" s="1"/>
  <c r="H27" i="72"/>
  <c r="L27" i="72" s="1"/>
  <c r="H18" i="72"/>
  <c r="L18" i="72" s="1"/>
  <c r="O18" i="72" s="1"/>
  <c r="P18" i="72" s="1"/>
  <c r="L45" i="72"/>
  <c r="H43" i="72"/>
  <c r="H42" i="72"/>
  <c r="I42" i="72" s="1"/>
  <c r="H31" i="72"/>
  <c r="I31" i="72" s="1"/>
  <c r="M31" i="72" s="1"/>
  <c r="H36" i="72"/>
  <c r="I36" i="72" s="1"/>
  <c r="H19" i="72"/>
  <c r="L19" i="72" s="1"/>
  <c r="O19" i="72" s="1"/>
  <c r="P19" i="72" s="1"/>
  <c r="G18" i="72"/>
  <c r="G19" i="72"/>
  <c r="G20" i="72"/>
  <c r="G21" i="72"/>
  <c r="G22" i="72"/>
  <c r="G23" i="72"/>
  <c r="G24" i="72"/>
  <c r="G25" i="72"/>
  <c r="G26" i="72"/>
  <c r="G27" i="72"/>
  <c r="G28" i="72"/>
  <c r="G29" i="72"/>
  <c r="G30" i="72"/>
  <c r="G31" i="72"/>
  <c r="G32" i="72"/>
  <c r="G33" i="72"/>
  <c r="G34" i="72"/>
  <c r="G35" i="72"/>
  <c r="G36" i="72"/>
  <c r="G37" i="72"/>
  <c r="G38" i="72"/>
  <c r="G39" i="72"/>
  <c r="G40" i="72"/>
  <c r="G41" i="72"/>
  <c r="G42" i="72"/>
  <c r="G43" i="72"/>
  <c r="G44" i="72"/>
  <c r="G45" i="72"/>
  <c r="G17" i="72"/>
  <c r="K18" i="72"/>
  <c r="K19" i="72"/>
  <c r="K20" i="72"/>
  <c r="K21" i="72"/>
  <c r="K22" i="72"/>
  <c r="K23" i="72"/>
  <c r="K24" i="72"/>
  <c r="K25" i="72"/>
  <c r="K26" i="72"/>
  <c r="K27" i="72"/>
  <c r="K28" i="72"/>
  <c r="K29" i="72"/>
  <c r="K30" i="72"/>
  <c r="K31" i="72"/>
  <c r="K32" i="72"/>
  <c r="K33" i="72"/>
  <c r="K34" i="72"/>
  <c r="K35" i="72"/>
  <c r="K36" i="72"/>
  <c r="K37" i="72"/>
  <c r="K38" i="72"/>
  <c r="K39" i="72"/>
  <c r="K40" i="72"/>
  <c r="K41" i="72"/>
  <c r="K42" i="72"/>
  <c r="K43" i="72"/>
  <c r="K44" i="72"/>
  <c r="K45" i="72"/>
  <c r="L20" i="72"/>
  <c r="O20" i="72" s="1"/>
  <c r="P20" i="72" s="1"/>
  <c r="L21" i="72"/>
  <c r="O21" i="72" s="1"/>
  <c r="P21" i="72" s="1"/>
  <c r="L22" i="72"/>
  <c r="O22" i="72" s="1"/>
  <c r="P22" i="72" s="1"/>
  <c r="L23" i="72"/>
  <c r="O23" i="72" s="1"/>
  <c r="P23" i="72" s="1"/>
  <c r="L24" i="72"/>
  <c r="O24" i="72" s="1"/>
  <c r="P24" i="72" s="1"/>
  <c r="L25" i="72"/>
  <c r="O25" i="72" s="1"/>
  <c r="P25" i="72" s="1"/>
  <c r="L26" i="72"/>
  <c r="O26" i="72" s="1"/>
  <c r="P26" i="72" s="1"/>
  <c r="L29" i="72"/>
  <c r="Q29" i="72" s="1"/>
  <c r="L30" i="72"/>
  <c r="O30" i="72" s="1"/>
  <c r="P30" i="72" s="1"/>
  <c r="L34" i="72"/>
  <c r="O34" i="72" s="1"/>
  <c r="P34" i="72" s="1"/>
  <c r="L35" i="72"/>
  <c r="O35" i="72" s="1"/>
  <c r="P35" i="72" s="1"/>
  <c r="L37" i="72"/>
  <c r="O37" i="72" s="1"/>
  <c r="P37" i="72" s="1"/>
  <c r="L40" i="72"/>
  <c r="O40" i="72" s="1"/>
  <c r="P40" i="72" s="1"/>
  <c r="L41" i="72"/>
  <c r="O41" i="72" s="1"/>
  <c r="P41" i="72" s="1"/>
  <c r="L42" i="72"/>
  <c r="O42" i="72" s="1"/>
  <c r="P42" i="72" s="1"/>
  <c r="L43" i="72"/>
  <c r="Q43" i="72" s="1"/>
  <c r="L44" i="72"/>
  <c r="O44" i="72" s="1"/>
  <c r="P44" i="72" s="1"/>
  <c r="K17" i="72"/>
  <c r="I18" i="72"/>
  <c r="I19" i="72"/>
  <c r="I20" i="72"/>
  <c r="I21" i="72"/>
  <c r="I22" i="72"/>
  <c r="I23" i="72"/>
  <c r="I24" i="72"/>
  <c r="I25" i="72"/>
  <c r="I26" i="72"/>
  <c r="I28" i="72"/>
  <c r="I29" i="72"/>
  <c r="M29" i="72" s="1"/>
  <c r="I30" i="72"/>
  <c r="I33" i="72"/>
  <c r="I34" i="72"/>
  <c r="I35" i="72"/>
  <c r="I37" i="72"/>
  <c r="M37" i="72" s="1"/>
  <c r="I39" i="72"/>
  <c r="I40" i="72"/>
  <c r="I41" i="72"/>
  <c r="I43" i="72"/>
  <c r="I44" i="72"/>
  <c r="N18" i="135"/>
  <c r="L36" i="72" l="1"/>
  <c r="N36" i="72" s="1"/>
  <c r="M30" i="72"/>
  <c r="M20" i="72"/>
  <c r="M28" i="72"/>
  <c r="L31" i="72"/>
  <c r="O31" i="72" s="1"/>
  <c r="P31" i="72" s="1"/>
  <c r="L38" i="72"/>
  <c r="O38" i="72" s="1"/>
  <c r="P38" i="72" s="1"/>
  <c r="I17" i="72"/>
  <c r="M17" i="72" s="1"/>
  <c r="M34" i="72"/>
  <c r="M44" i="72"/>
  <c r="M35" i="72"/>
  <c r="M38" i="72"/>
  <c r="M19" i="72"/>
  <c r="M26" i="72"/>
  <c r="N40" i="72"/>
  <c r="M39" i="72"/>
  <c r="O29" i="72"/>
  <c r="P29" i="72" s="1"/>
  <c r="N29" i="72"/>
  <c r="Q28" i="72"/>
  <c r="O28" i="72"/>
  <c r="P28" i="72" s="1"/>
  <c r="N28" i="72"/>
  <c r="O27" i="72"/>
  <c r="P27" i="72" s="1"/>
  <c r="Q27" i="72"/>
  <c r="N27" i="72"/>
  <c r="I27" i="72"/>
  <c r="M27" i="72" s="1"/>
  <c r="Q40" i="72"/>
  <c r="N39" i="72"/>
  <c r="Q39" i="72"/>
  <c r="N38" i="72"/>
  <c r="Q38" i="72"/>
  <c r="N33" i="72"/>
  <c r="Q33" i="72"/>
  <c r="N31" i="72"/>
  <c r="N41" i="72"/>
  <c r="Q41" i="72"/>
  <c r="Q45" i="72"/>
  <c r="O45" i="72"/>
  <c r="P45" i="72" s="1"/>
  <c r="I45" i="72"/>
  <c r="M45" i="72" s="1"/>
  <c r="O43" i="72"/>
  <c r="P43" i="72" s="1"/>
  <c r="L32" i="72"/>
  <c r="Q32" i="72" s="1"/>
  <c r="N45" i="72"/>
  <c r="N42" i="72"/>
  <c r="M42" i="72"/>
  <c r="Q42" i="72"/>
  <c r="N43" i="72"/>
  <c r="M43" i="72"/>
  <c r="G46" i="72"/>
  <c r="Q31" i="72"/>
  <c r="K46" i="72"/>
  <c r="Q36" i="72"/>
  <c r="O36" i="72"/>
  <c r="P36" i="72" s="1"/>
  <c r="N22" i="72"/>
  <c r="Q24" i="72"/>
  <c r="N21" i="72"/>
  <c r="N17" i="72"/>
  <c r="N25" i="72"/>
  <c r="Q25" i="72"/>
  <c r="N24" i="72"/>
  <c r="N23" i="72"/>
  <c r="Q23" i="72"/>
  <c r="Q22" i="72"/>
  <c r="Q21" i="72"/>
  <c r="N19" i="72"/>
  <c r="Q19" i="72"/>
  <c r="N18" i="72"/>
  <c r="Q18" i="72"/>
  <c r="Q17" i="72"/>
  <c r="M23" i="72"/>
  <c r="M41" i="72"/>
  <c r="M33" i="72"/>
  <c r="M22" i="72"/>
  <c r="M40" i="72"/>
  <c r="M32" i="72"/>
  <c r="M21" i="72"/>
  <c r="M36" i="72"/>
  <c r="M18" i="72"/>
  <c r="M24" i="72"/>
  <c r="M25" i="72"/>
  <c r="L147" i="118"/>
  <c r="G146" i="118"/>
  <c r="S141" i="118"/>
  <c r="S147" i="118" s="1"/>
  <c r="L141" i="118"/>
  <c r="L124" i="118"/>
  <c r="S117" i="118"/>
  <c r="L117" i="118"/>
  <c r="I46" i="72" l="1"/>
  <c r="O32" i="72"/>
  <c r="P32" i="72" s="1"/>
  <c r="N32" i="72"/>
  <c r="AA147" i="118"/>
  <c r="AI147" i="118" s="1"/>
  <c r="AN147" i="118" s="1"/>
  <c r="Q147" i="118"/>
  <c r="Y147" i="118"/>
  <c r="AR99" i="118"/>
  <c r="AG147" i="118" l="1"/>
  <c r="AQ102" i="118"/>
  <c r="AR131" i="118" l="1"/>
  <c r="AT131" i="118"/>
  <c r="AS131" i="118"/>
  <c r="AV130" i="118"/>
  <c r="R134" i="118"/>
  <c r="R132" i="118"/>
  <c r="R135" i="118"/>
  <c r="R133" i="118"/>
  <c r="R131" i="118"/>
  <c r="O135" i="118"/>
  <c r="O134" i="118"/>
  <c r="O133" i="118"/>
  <c r="O132" i="118"/>
  <c r="O131" i="118"/>
  <c r="L135" i="118"/>
  <c r="L134" i="118"/>
  <c r="L133" i="118"/>
  <c r="L132" i="118"/>
  <c r="L131" i="118"/>
  <c r="F810" i="131" l="1"/>
  <c r="F813" i="131"/>
  <c r="F815" i="131"/>
  <c r="F817" i="131"/>
  <c r="F820" i="131"/>
  <c r="F823" i="131"/>
  <c r="F825" i="131"/>
  <c r="F827" i="131"/>
  <c r="F828" i="131"/>
  <c r="F829" i="131"/>
  <c r="F830" i="131"/>
  <c r="F832" i="131"/>
  <c r="F834" i="131"/>
  <c r="F802" i="131"/>
  <c r="F803" i="131"/>
  <c r="F804" i="131"/>
  <c r="F807" i="131"/>
  <c r="F808" i="131"/>
  <c r="F809" i="131"/>
  <c r="I131" i="118"/>
  <c r="L53" i="124"/>
  <c r="F818" i="131" l="1"/>
  <c r="F806" i="131"/>
  <c r="L35" i="123" l="1"/>
  <c r="L34" i="123"/>
  <c r="L18" i="123"/>
  <c r="F113" i="131"/>
  <c r="L113" i="123" l="1"/>
  <c r="L184" i="125"/>
  <c r="L181" i="125"/>
  <c r="L180" i="125"/>
  <c r="L179" i="125"/>
  <c r="L178" i="125"/>
  <c r="L177" i="125"/>
  <c r="L169" i="125"/>
  <c r="L168" i="125"/>
  <c r="L165" i="125"/>
  <c r="L160" i="125"/>
  <c r="L159" i="125"/>
  <c r="L156" i="125"/>
  <c r="L155" i="125"/>
  <c r="L101" i="123"/>
  <c r="L97" i="123"/>
  <c r="L96" i="123"/>
  <c r="A70" i="132" l="1"/>
  <c r="A71" i="132" s="1"/>
  <c r="A72" i="132" s="1"/>
  <c r="A73" i="132" s="1"/>
  <c r="A74" i="132" s="1"/>
  <c r="A75" i="132" s="1"/>
  <c r="A76" i="132" s="1"/>
  <c r="A77" i="132" s="1"/>
  <c r="A78" i="132" s="1"/>
  <c r="A79" i="132" s="1"/>
  <c r="A80" i="132" s="1"/>
  <c r="A81" i="132" s="1"/>
  <c r="A82" i="132" s="1"/>
  <c r="A83" i="132" s="1"/>
  <c r="A84" i="132" s="1"/>
  <c r="A85" i="132" s="1"/>
  <c r="A86" i="132" s="1"/>
  <c r="A87" i="132" s="1"/>
  <c r="A88" i="132" s="1"/>
  <c r="A89" i="132" s="1"/>
  <c r="A90" i="132" s="1"/>
  <c r="A91" i="132" s="1"/>
  <c r="A92" i="132" s="1"/>
  <c r="A93" i="132" s="1"/>
  <c r="A94" i="132" s="1"/>
  <c r="A95" i="132" s="1"/>
  <c r="A96" i="132" s="1"/>
  <c r="A97" i="132" s="1"/>
  <c r="A98" i="132" s="1"/>
  <c r="A99" i="132" s="1"/>
  <c r="F84" i="127" l="1"/>
  <c r="P4" i="72" l="1"/>
  <c r="C208" i="134" l="1"/>
  <c r="C207" i="134"/>
  <c r="C206" i="134"/>
  <c r="C205" i="134"/>
  <c r="C204" i="134"/>
  <c r="C203" i="134"/>
  <c r="C202" i="134"/>
  <c r="C201" i="134"/>
  <c r="C221" i="134"/>
  <c r="C220" i="134"/>
  <c r="C219" i="134"/>
  <c r="C218" i="134"/>
  <c r="C216" i="134"/>
  <c r="C217" i="134"/>
  <c r="C215" i="134"/>
  <c r="C214" i="134"/>
  <c r="C213" i="134"/>
  <c r="C212" i="134"/>
  <c r="C211" i="134"/>
  <c r="C210" i="134"/>
  <c r="H221" i="134"/>
  <c r="D217" i="134"/>
  <c r="D216" i="134"/>
  <c r="D215" i="134"/>
  <c r="D214" i="134"/>
  <c r="D212" i="134"/>
  <c r="D210" i="134"/>
  <c r="H248" i="134" l="1"/>
  <c r="H232" i="134"/>
  <c r="H258" i="134"/>
  <c r="F258" i="134"/>
  <c r="E258" i="134"/>
  <c r="D258" i="134"/>
  <c r="F257" i="134"/>
  <c r="F256" i="134"/>
  <c r="E257" i="134"/>
  <c r="E256" i="134"/>
  <c r="D257" i="134"/>
  <c r="D256" i="134"/>
  <c r="F255" i="134"/>
  <c r="E255" i="134"/>
  <c r="D255" i="134"/>
  <c r="F254" i="134"/>
  <c r="F253" i="134"/>
  <c r="F252" i="134"/>
  <c r="F251" i="134"/>
  <c r="F250" i="134"/>
  <c r="E251" i="134"/>
  <c r="E252" i="134"/>
  <c r="E253" i="134"/>
  <c r="E254" i="134"/>
  <c r="E250" i="134"/>
  <c r="D254" i="134"/>
  <c r="D253" i="134"/>
  <c r="D251" i="134"/>
  <c r="D252" i="134"/>
  <c r="D250" i="134"/>
  <c r="H208" i="134" l="1"/>
  <c r="H262" i="134" s="1"/>
  <c r="E206" i="134"/>
  <c r="D206" i="134"/>
  <c r="F205" i="134"/>
  <c r="E205" i="134"/>
  <c r="D205" i="134"/>
  <c r="F208" i="134"/>
  <c r="E208" i="134"/>
  <c r="D208" i="134"/>
  <c r="F207" i="134"/>
  <c r="E207" i="134"/>
  <c r="D207" i="134"/>
  <c r="E204" i="134"/>
  <c r="D204" i="134"/>
  <c r="F203" i="134"/>
  <c r="E203" i="134"/>
  <c r="D203" i="134"/>
  <c r="F202" i="134"/>
  <c r="E202" i="134"/>
  <c r="D202" i="134"/>
  <c r="F201" i="134"/>
  <c r="E201" i="134"/>
  <c r="D201" i="134"/>
  <c r="F191" i="134" l="1"/>
  <c r="E191" i="134"/>
  <c r="C190" i="134"/>
  <c r="D190" i="134"/>
  <c r="C191" i="134"/>
  <c r="D191" i="134"/>
  <c r="D189" i="134"/>
  <c r="C189" i="134"/>
  <c r="F10" i="134" l="1"/>
  <c r="F11" i="134"/>
  <c r="F12" i="134"/>
  <c r="F18" i="134"/>
  <c r="F19" i="134"/>
  <c r="F20" i="134"/>
  <c r="F21" i="134"/>
  <c r="F22" i="134"/>
  <c r="F23" i="134"/>
  <c r="F26" i="134"/>
  <c r="F27" i="134"/>
  <c r="F28" i="134"/>
  <c r="F29" i="134"/>
  <c r="F30" i="134"/>
  <c r="F31" i="134"/>
  <c r="F32" i="134"/>
  <c r="F33" i="134"/>
  <c r="F34" i="134"/>
  <c r="F35" i="134"/>
  <c r="F36" i="134"/>
  <c r="F37" i="134"/>
  <c r="F38" i="134"/>
  <c r="F39" i="134"/>
  <c r="F40" i="134"/>
  <c r="F41" i="134"/>
  <c r="F42" i="134"/>
  <c r="F43" i="134"/>
  <c r="F44" i="134"/>
  <c r="F45" i="134"/>
  <c r="F46" i="134"/>
  <c r="F47" i="134"/>
  <c r="F48" i="134"/>
  <c r="F49" i="134"/>
  <c r="F50" i="134"/>
  <c r="F51" i="134"/>
  <c r="F52" i="134"/>
  <c r="F53" i="134"/>
  <c r="F54" i="134"/>
  <c r="F55" i="134"/>
  <c r="F56" i="134"/>
  <c r="F57" i="134"/>
  <c r="F58" i="134"/>
  <c r="F59" i="134"/>
  <c r="F60" i="134"/>
  <c r="F61" i="134"/>
  <c r="F62" i="134"/>
  <c r="F63" i="134"/>
  <c r="F64" i="134"/>
  <c r="F65" i="134"/>
  <c r="F66" i="134"/>
  <c r="F67" i="134"/>
  <c r="F68" i="134"/>
  <c r="F69" i="134"/>
  <c r="F70" i="134"/>
  <c r="F71" i="134"/>
  <c r="F72" i="134"/>
  <c r="F73" i="134"/>
  <c r="F74" i="134"/>
  <c r="F75" i="134"/>
  <c r="F76" i="134"/>
  <c r="F77" i="134"/>
  <c r="F78" i="134"/>
  <c r="F79" i="134"/>
  <c r="F80" i="134"/>
  <c r="F81" i="134"/>
  <c r="F82" i="134"/>
  <c r="F83" i="134"/>
  <c r="F84" i="134"/>
  <c r="F85" i="134"/>
  <c r="F86" i="134"/>
  <c r="F87" i="134"/>
  <c r="F88" i="134"/>
  <c r="F89" i="134"/>
  <c r="F90" i="134"/>
  <c r="F91" i="134"/>
  <c r="F92" i="134"/>
  <c r="F93" i="134"/>
  <c r="F94" i="134"/>
  <c r="F95" i="134"/>
  <c r="F96" i="134"/>
  <c r="F97" i="134"/>
  <c r="F98" i="134"/>
  <c r="F99" i="134"/>
  <c r="F100" i="134"/>
  <c r="F101" i="134"/>
  <c r="F102" i="134"/>
  <c r="F103" i="134"/>
  <c r="F104" i="134"/>
  <c r="F105" i="134"/>
  <c r="F106" i="134"/>
  <c r="F107" i="134"/>
  <c r="F108" i="134"/>
  <c r="F109" i="134"/>
  <c r="F110" i="134"/>
  <c r="F111" i="134"/>
  <c r="F112" i="134"/>
  <c r="F113" i="134"/>
  <c r="F114" i="134"/>
  <c r="F115" i="134"/>
  <c r="F116" i="134"/>
  <c r="F117" i="134"/>
  <c r="F118" i="134"/>
  <c r="F119" i="134"/>
  <c r="F120" i="134"/>
  <c r="F121" i="134"/>
  <c r="F122" i="134"/>
  <c r="F123" i="134"/>
  <c r="F124" i="134"/>
  <c r="F125" i="134"/>
  <c r="F126" i="134"/>
  <c r="F127" i="134"/>
  <c r="F128" i="134"/>
  <c r="F129" i="134"/>
  <c r="F130" i="134"/>
  <c r="F131" i="134"/>
  <c r="F132" i="134"/>
  <c r="F133" i="134"/>
  <c r="F134" i="134"/>
  <c r="F135" i="134"/>
  <c r="F136" i="134"/>
  <c r="F137" i="134"/>
  <c r="F138" i="134"/>
  <c r="F139" i="134"/>
  <c r="F140" i="134"/>
  <c r="F141" i="134"/>
  <c r="F144" i="134"/>
  <c r="F149" i="134"/>
  <c r="F150" i="134"/>
  <c r="F152" i="134"/>
  <c r="F158" i="134"/>
  <c r="F159" i="134"/>
  <c r="F163" i="134"/>
  <c r="F164" i="134"/>
  <c r="F165" i="134"/>
  <c r="F166" i="134"/>
  <c r="F173" i="134"/>
  <c r="F174" i="134"/>
  <c r="F175" i="134"/>
  <c r="F176" i="134"/>
  <c r="F177" i="134"/>
  <c r="F178" i="134"/>
  <c r="F179" i="134"/>
  <c r="F180" i="134"/>
  <c r="F181" i="134"/>
  <c r="F9" i="134"/>
  <c r="F11" i="133"/>
  <c r="F12" i="133"/>
  <c r="F13" i="133"/>
  <c r="F14" i="133"/>
  <c r="F15" i="133"/>
  <c r="F20" i="133"/>
  <c r="F21" i="133"/>
  <c r="F23" i="133"/>
  <c r="F24" i="133"/>
  <c r="F30" i="133"/>
  <c r="F31" i="133"/>
  <c r="F32" i="133"/>
  <c r="F34" i="133"/>
  <c r="F36" i="133"/>
  <c r="F38" i="133"/>
  <c r="F39" i="133"/>
  <c r="F40" i="133"/>
  <c r="F42" i="133"/>
  <c r="F43" i="133"/>
  <c r="F44" i="133"/>
  <c r="F45" i="133"/>
  <c r="F46" i="133"/>
  <c r="F47" i="133"/>
  <c r="F48" i="133"/>
  <c r="F50" i="133"/>
  <c r="F51" i="133"/>
  <c r="F52" i="133"/>
  <c r="F53" i="133"/>
  <c r="F55" i="133"/>
  <c r="F56" i="133"/>
  <c r="F57" i="133"/>
  <c r="F58" i="133"/>
  <c r="F60" i="133"/>
  <c r="F61" i="133"/>
  <c r="F62" i="133"/>
  <c r="F63" i="133"/>
  <c r="F65" i="133"/>
  <c r="F66" i="133"/>
  <c r="F67" i="133"/>
  <c r="F68" i="133"/>
  <c r="F70" i="133"/>
  <c r="F71" i="133"/>
  <c r="F72" i="133"/>
  <c r="F74" i="133"/>
  <c r="F75" i="133"/>
  <c r="F76" i="133"/>
  <c r="F78" i="133"/>
  <c r="F79" i="133"/>
  <c r="F80" i="133"/>
  <c r="F81" i="133"/>
  <c r="F82" i="133"/>
  <c r="F85" i="133"/>
  <c r="F86" i="133"/>
  <c r="F87" i="133"/>
  <c r="F91" i="133"/>
  <c r="F92" i="133"/>
  <c r="F93" i="133"/>
  <c r="F94" i="133"/>
  <c r="F95" i="133"/>
  <c r="F96" i="133"/>
  <c r="F97" i="133"/>
  <c r="F99" i="133"/>
  <c r="F100" i="133"/>
  <c r="F101" i="133"/>
  <c r="F103" i="133"/>
  <c r="F108" i="133"/>
  <c r="F109" i="133"/>
  <c r="F110" i="133"/>
  <c r="F113" i="133"/>
  <c r="F116" i="133"/>
  <c r="F118" i="133"/>
  <c r="F121" i="133"/>
  <c r="F122" i="133"/>
  <c r="F123" i="133"/>
  <c r="F124" i="133"/>
  <c r="F125" i="133"/>
  <c r="F126" i="133"/>
  <c r="F128" i="133"/>
  <c r="F129" i="133"/>
  <c r="F130" i="133"/>
  <c r="F131" i="133"/>
  <c r="F132" i="133"/>
  <c r="F133" i="133"/>
  <c r="F135" i="133"/>
  <c r="F136" i="133"/>
  <c r="F138" i="133"/>
  <c r="F139" i="133"/>
  <c r="F141" i="133"/>
  <c r="F143" i="133"/>
  <c r="F147" i="133"/>
  <c r="F148" i="133"/>
  <c r="F149" i="133"/>
  <c r="F150" i="133"/>
  <c r="F151" i="133"/>
  <c r="F152" i="133"/>
  <c r="F153" i="133"/>
  <c r="F154" i="133"/>
  <c r="F155" i="133"/>
  <c r="F156" i="133"/>
  <c r="F157" i="133"/>
  <c r="F158" i="133"/>
  <c r="F159" i="133"/>
  <c r="F160" i="133"/>
  <c r="F161" i="133"/>
  <c r="F162" i="133"/>
  <c r="F163" i="133"/>
  <c r="F164" i="133"/>
  <c r="F166" i="133"/>
  <c r="F167" i="133"/>
  <c r="F168" i="133"/>
  <c r="F171" i="133"/>
  <c r="F172" i="133"/>
  <c r="F174" i="133"/>
  <c r="F175" i="133"/>
  <c r="F176" i="133"/>
  <c r="F177" i="133"/>
  <c r="F179" i="133"/>
  <c r="F180" i="133"/>
  <c r="F181" i="133"/>
  <c r="F182" i="133"/>
  <c r="F183" i="133"/>
  <c r="F184" i="133"/>
  <c r="F185" i="133"/>
  <c r="F186" i="133"/>
  <c r="F187" i="133"/>
  <c r="F188" i="133"/>
  <c r="F189" i="133"/>
  <c r="F191" i="133"/>
  <c r="F192" i="133"/>
  <c r="F193" i="133"/>
  <c r="F196" i="133"/>
  <c r="F197" i="133"/>
  <c r="F198" i="133"/>
  <c r="F199" i="133"/>
  <c r="F201" i="133"/>
  <c r="F202" i="133"/>
  <c r="F206" i="133"/>
  <c r="F207" i="133"/>
  <c r="F208" i="133"/>
  <c r="F210" i="133"/>
  <c r="F211" i="133"/>
  <c r="F212" i="133"/>
  <c r="F214" i="133"/>
  <c r="F215" i="133"/>
  <c r="F218" i="133"/>
  <c r="F219" i="133"/>
  <c r="F221" i="133"/>
  <c r="F222" i="133"/>
  <c r="F224" i="133"/>
  <c r="F225" i="133"/>
  <c r="F228" i="133"/>
  <c r="F229" i="133"/>
  <c r="F230" i="133"/>
  <c r="F231" i="133"/>
  <c r="F232" i="133"/>
  <c r="F233" i="133"/>
  <c r="F240" i="133"/>
  <c r="F241" i="133"/>
  <c r="F243" i="133"/>
  <c r="F246" i="133"/>
  <c r="F248" i="133"/>
  <c r="F250" i="133"/>
  <c r="F10" i="133"/>
  <c r="F14" i="131"/>
  <c r="F15" i="131"/>
  <c r="F16" i="131"/>
  <c r="F17" i="131"/>
  <c r="F18" i="131"/>
  <c r="F20" i="131"/>
  <c r="F21" i="131"/>
  <c r="F22" i="131"/>
  <c r="F23" i="131"/>
  <c r="F25" i="131"/>
  <c r="F27" i="131"/>
  <c r="F29" i="131"/>
  <c r="F30" i="131"/>
  <c r="F31" i="131"/>
  <c r="F32" i="131"/>
  <c r="F33" i="131"/>
  <c r="F34" i="131"/>
  <c r="F35" i="131"/>
  <c r="F36" i="131"/>
  <c r="F37" i="131"/>
  <c r="F38" i="131"/>
  <c r="F39" i="131"/>
  <c r="F40" i="131"/>
  <c r="F41" i="131"/>
  <c r="F42" i="131"/>
  <c r="F43" i="131"/>
  <c r="F44" i="131"/>
  <c r="F45" i="131"/>
  <c r="F46" i="131"/>
  <c r="F47" i="131"/>
  <c r="F48" i="131"/>
  <c r="F49" i="131"/>
  <c r="F50" i="131"/>
  <c r="F51" i="131"/>
  <c r="F52" i="131"/>
  <c r="F53" i="131"/>
  <c r="F54" i="131"/>
  <c r="F55" i="131"/>
  <c r="F56" i="131"/>
  <c r="F57" i="131"/>
  <c r="F58" i="131"/>
  <c r="F59" i="131"/>
  <c r="F60" i="131"/>
  <c r="F61" i="131"/>
  <c r="F62" i="131"/>
  <c r="F63" i="131"/>
  <c r="F64" i="131"/>
  <c r="F65" i="131"/>
  <c r="F66" i="131"/>
  <c r="F67" i="131"/>
  <c r="F68" i="131"/>
  <c r="F70" i="131"/>
  <c r="F71" i="131"/>
  <c r="F72" i="131"/>
  <c r="F73" i="131"/>
  <c r="F74" i="131"/>
  <c r="F75" i="131"/>
  <c r="F78" i="131"/>
  <c r="F79" i="131"/>
  <c r="F81" i="131"/>
  <c r="F82" i="131"/>
  <c r="F83" i="131"/>
  <c r="F88" i="131"/>
  <c r="F90" i="131"/>
  <c r="F91" i="131"/>
  <c r="F93" i="131"/>
  <c r="F94" i="131"/>
  <c r="F96" i="131"/>
  <c r="F97" i="131"/>
  <c r="F98" i="131"/>
  <c r="F99" i="131"/>
  <c r="F101" i="131"/>
  <c r="F102" i="131"/>
  <c r="F104" i="131"/>
  <c r="F105" i="131"/>
  <c r="F107" i="131"/>
  <c r="F108" i="131"/>
  <c r="F110" i="131"/>
  <c r="F111" i="131"/>
  <c r="F116" i="131"/>
  <c r="F117" i="131"/>
  <c r="F119" i="131"/>
  <c r="F120" i="131"/>
  <c r="F121" i="131"/>
  <c r="F123" i="131"/>
  <c r="F124" i="131"/>
  <c r="F125" i="131"/>
  <c r="F127" i="131"/>
  <c r="F128" i="131"/>
  <c r="F129" i="131"/>
  <c r="F130" i="131"/>
  <c r="F131" i="131"/>
  <c r="F132" i="131"/>
  <c r="F134" i="131"/>
  <c r="F135" i="131"/>
  <c r="F136" i="131"/>
  <c r="F138" i="131"/>
  <c r="F139" i="131"/>
  <c r="F140" i="131"/>
  <c r="F142" i="131"/>
  <c r="F143" i="131"/>
  <c r="F144" i="131"/>
  <c r="F146" i="131"/>
  <c r="F147" i="131"/>
  <c r="F148" i="131"/>
  <c r="F150" i="131"/>
  <c r="F151" i="131"/>
  <c r="F152" i="131"/>
  <c r="F153" i="131"/>
  <c r="F155" i="131"/>
  <c r="F156" i="131"/>
  <c r="F157" i="131"/>
  <c r="F158" i="131"/>
  <c r="F160" i="131"/>
  <c r="F161" i="131"/>
  <c r="F162" i="131"/>
  <c r="F163" i="131"/>
  <c r="F165" i="131"/>
  <c r="F166" i="131"/>
  <c r="F167" i="131"/>
  <c r="F168" i="131"/>
  <c r="F170" i="131"/>
  <c r="F171" i="131"/>
  <c r="F172" i="131"/>
  <c r="F173" i="131"/>
  <c r="F175" i="131"/>
  <c r="F176" i="131"/>
  <c r="F177" i="131"/>
  <c r="F178" i="131"/>
  <c r="F180" i="131"/>
  <c r="F181" i="131"/>
  <c r="F182" i="131"/>
  <c r="F184" i="131"/>
  <c r="F185" i="131"/>
  <c r="F186" i="131"/>
  <c r="F188" i="131"/>
  <c r="F189" i="131"/>
  <c r="F190" i="131"/>
  <c r="F192" i="131"/>
  <c r="F193" i="131"/>
  <c r="F194" i="131"/>
  <c r="F196" i="131"/>
  <c r="F197" i="131"/>
  <c r="F198" i="131"/>
  <c r="F200" i="131"/>
  <c r="F201" i="131"/>
  <c r="F202" i="131"/>
  <c r="F205" i="131"/>
  <c r="F206" i="131"/>
  <c r="F207" i="131"/>
  <c r="F208" i="131"/>
  <c r="F210" i="131"/>
  <c r="F211" i="131"/>
  <c r="F212" i="131"/>
  <c r="F215" i="131"/>
  <c r="F216" i="131"/>
  <c r="F217" i="131"/>
  <c r="F218" i="131"/>
  <c r="F220" i="131"/>
  <c r="F221" i="131"/>
  <c r="F222" i="131"/>
  <c r="F224" i="131"/>
  <c r="F227" i="131"/>
  <c r="F228" i="131"/>
  <c r="F229" i="131"/>
  <c r="F230" i="131"/>
  <c r="F232" i="131"/>
  <c r="F233" i="131"/>
  <c r="F234" i="131"/>
  <c r="F235" i="131"/>
  <c r="F236" i="131"/>
  <c r="F237" i="131"/>
  <c r="F238" i="131"/>
  <c r="F239" i="131"/>
  <c r="F241" i="131"/>
  <c r="F242" i="131"/>
  <c r="F243" i="131"/>
  <c r="F244" i="131"/>
  <c r="F245" i="131"/>
  <c r="F246" i="131"/>
  <c r="F247" i="131"/>
  <c r="F248" i="131"/>
  <c r="F249" i="131"/>
  <c r="F250" i="131"/>
  <c r="F252" i="131"/>
  <c r="F253" i="131"/>
  <c r="F254" i="131"/>
  <c r="F255" i="131"/>
  <c r="F256" i="131"/>
  <c r="F257" i="131"/>
  <c r="F258" i="131"/>
  <c r="F259" i="131"/>
  <c r="F260" i="131"/>
  <c r="F261" i="131"/>
  <c r="F263" i="131"/>
  <c r="F264" i="131"/>
  <c r="F265" i="131"/>
  <c r="F267" i="131"/>
  <c r="F268" i="131"/>
  <c r="F269" i="131"/>
  <c r="F270" i="131"/>
  <c r="F271" i="131"/>
  <c r="F273" i="131"/>
  <c r="F274" i="131"/>
  <c r="F277" i="131"/>
  <c r="F278" i="131"/>
  <c r="F281" i="131"/>
  <c r="F282" i="131"/>
  <c r="F283" i="131"/>
  <c r="F286" i="131"/>
  <c r="F288" i="131"/>
  <c r="F290" i="131"/>
  <c r="F291" i="131"/>
  <c r="F293" i="131"/>
  <c r="F294" i="131"/>
  <c r="F295" i="131"/>
  <c r="F296" i="131"/>
  <c r="F297" i="131"/>
  <c r="F298" i="131"/>
  <c r="F299" i="131"/>
  <c r="F300" i="131"/>
  <c r="F304" i="131"/>
  <c r="F305" i="131"/>
  <c r="F306" i="131"/>
  <c r="F308" i="131"/>
  <c r="F309" i="131"/>
  <c r="F314" i="131"/>
  <c r="F315" i="131"/>
  <c r="F316" i="131"/>
  <c r="F317" i="131"/>
  <c r="F318" i="131"/>
  <c r="F319" i="131"/>
  <c r="F320" i="131"/>
  <c r="F321" i="131"/>
  <c r="F323" i="131"/>
  <c r="F324" i="131"/>
  <c r="F325" i="131"/>
  <c r="F328" i="131"/>
  <c r="F329" i="131"/>
  <c r="F330" i="131"/>
  <c r="F331" i="131"/>
  <c r="F334" i="131"/>
  <c r="F335" i="131"/>
  <c r="F336" i="131"/>
  <c r="F338" i="131"/>
  <c r="F339" i="131"/>
  <c r="F341" i="131"/>
  <c r="F344" i="131"/>
  <c r="F345" i="131"/>
  <c r="F347" i="131"/>
  <c r="F348" i="131"/>
  <c r="F349" i="131"/>
  <c r="F352" i="131"/>
  <c r="F353" i="131"/>
  <c r="F354" i="131"/>
  <c r="F356" i="131"/>
  <c r="F357" i="131"/>
  <c r="F358" i="131"/>
  <c r="F359" i="131"/>
  <c r="F361" i="131"/>
  <c r="F362" i="131"/>
  <c r="F363" i="131"/>
  <c r="F364" i="131"/>
  <c r="F365" i="131"/>
  <c r="F366" i="131"/>
  <c r="F367" i="131"/>
  <c r="F368" i="131"/>
  <c r="F369" i="131"/>
  <c r="F371" i="131"/>
  <c r="F372" i="131"/>
  <c r="F373" i="131"/>
  <c r="F374" i="131"/>
  <c r="F375" i="131"/>
  <c r="F376" i="131"/>
  <c r="F377" i="131"/>
  <c r="F378" i="131"/>
  <c r="F381" i="131"/>
  <c r="F382" i="131"/>
  <c r="F383" i="131"/>
  <c r="F384" i="131"/>
  <c r="F385" i="131"/>
  <c r="F386" i="131"/>
  <c r="F387" i="131"/>
  <c r="F388" i="131"/>
  <c r="F389" i="131"/>
  <c r="F391" i="131"/>
  <c r="F392" i="131"/>
  <c r="F393" i="131"/>
  <c r="F395" i="131"/>
  <c r="F396" i="131"/>
  <c r="F397" i="131"/>
  <c r="F398" i="131"/>
  <c r="F399" i="131"/>
  <c r="F400" i="131"/>
  <c r="F401" i="131"/>
  <c r="F402" i="131"/>
  <c r="F403" i="131"/>
  <c r="F404" i="131"/>
  <c r="F406" i="131"/>
  <c r="F407" i="131"/>
  <c r="F408" i="131"/>
  <c r="F410" i="131"/>
  <c r="F411" i="131"/>
  <c r="F412" i="131"/>
  <c r="F414" i="131"/>
  <c r="F415" i="131"/>
  <c r="F416" i="131"/>
  <c r="F417" i="131"/>
  <c r="F418" i="131"/>
  <c r="F419" i="131"/>
  <c r="F421" i="131"/>
  <c r="F422" i="131"/>
  <c r="F423" i="131"/>
  <c r="F424" i="131"/>
  <c r="F425" i="131"/>
  <c r="F428" i="131"/>
  <c r="F429" i="131"/>
  <c r="F430" i="131"/>
  <c r="F431" i="131"/>
  <c r="F432" i="131"/>
  <c r="F433" i="131"/>
  <c r="F434" i="131"/>
  <c r="F435" i="131"/>
  <c r="F436" i="131"/>
  <c r="F440" i="131"/>
  <c r="F441" i="131"/>
  <c r="F442" i="131"/>
  <c r="F443" i="131"/>
  <c r="F444" i="131"/>
  <c r="F445" i="131"/>
  <c r="F446" i="131"/>
  <c r="F448" i="131"/>
  <c r="F449" i="131"/>
  <c r="F450" i="131"/>
  <c r="F451" i="131"/>
  <c r="F452" i="131"/>
  <c r="F453" i="131"/>
  <c r="F454" i="131"/>
  <c r="F455" i="131"/>
  <c r="F456" i="131"/>
  <c r="F457" i="131"/>
  <c r="F458" i="131"/>
  <c r="F459" i="131"/>
  <c r="F460" i="131"/>
  <c r="F461" i="131"/>
  <c r="F462" i="131"/>
  <c r="F463" i="131"/>
  <c r="F464" i="131"/>
  <c r="F465" i="131"/>
  <c r="F466" i="131"/>
  <c r="F467" i="131"/>
  <c r="F468" i="131"/>
  <c r="F469" i="131"/>
  <c r="F470" i="131"/>
  <c r="F471" i="131"/>
  <c r="F472" i="131"/>
  <c r="F474" i="131"/>
  <c r="F475" i="131"/>
  <c r="F476" i="131"/>
  <c r="F478" i="131"/>
  <c r="F479" i="131"/>
  <c r="F481" i="131"/>
  <c r="F482" i="131"/>
  <c r="F483" i="131"/>
  <c r="F484" i="131"/>
  <c r="F485" i="131"/>
  <c r="F488" i="131"/>
  <c r="F489" i="131"/>
  <c r="F490" i="131"/>
  <c r="F492" i="131"/>
  <c r="F493" i="131"/>
  <c r="F494" i="131"/>
  <c r="F495" i="131"/>
  <c r="F498" i="131"/>
  <c r="F499" i="131"/>
  <c r="F501" i="131"/>
  <c r="F504" i="131"/>
  <c r="F505" i="131"/>
  <c r="F506" i="131"/>
  <c r="F507" i="131"/>
  <c r="F510" i="131"/>
  <c r="F511" i="131"/>
  <c r="F512" i="131"/>
  <c r="F513" i="131"/>
  <c r="F514" i="131"/>
  <c r="F515" i="131"/>
  <c r="F516" i="131"/>
  <c r="F517" i="131"/>
  <c r="F518" i="131"/>
  <c r="F519" i="131"/>
  <c r="F520" i="131"/>
  <c r="F523" i="131"/>
  <c r="F524" i="131"/>
  <c r="F525" i="131"/>
  <c r="F526" i="131"/>
  <c r="F528" i="131"/>
  <c r="F532" i="131"/>
  <c r="F535" i="131"/>
  <c r="F536" i="131"/>
  <c r="F537" i="131"/>
  <c r="F538" i="131"/>
  <c r="F539" i="131"/>
  <c r="F541" i="131"/>
  <c r="F542" i="131"/>
  <c r="F543" i="131"/>
  <c r="F544" i="131"/>
  <c r="F545" i="131"/>
  <c r="F546" i="131"/>
  <c r="F548" i="131"/>
  <c r="F549" i="131"/>
  <c r="F550" i="131"/>
  <c r="F551" i="131"/>
  <c r="F552" i="131"/>
  <c r="F553" i="131"/>
  <c r="F554" i="131"/>
  <c r="F557" i="131"/>
  <c r="F558" i="131"/>
  <c r="F559" i="131"/>
  <c r="F560" i="131"/>
  <c r="F563" i="131"/>
  <c r="F564" i="131"/>
  <c r="F565" i="131"/>
  <c r="F566" i="131"/>
  <c r="F567" i="131"/>
  <c r="F571" i="131"/>
  <c r="F573" i="131"/>
  <c r="F574" i="131"/>
  <c r="F576" i="131"/>
  <c r="F577" i="131"/>
  <c r="F578" i="131"/>
  <c r="F579" i="131"/>
  <c r="F580" i="131"/>
  <c r="F581" i="131"/>
  <c r="F582" i="131"/>
  <c r="F584" i="131"/>
  <c r="F585" i="131"/>
  <c r="F586" i="131"/>
  <c r="F587" i="131"/>
  <c r="F588" i="131"/>
  <c r="F589" i="131"/>
  <c r="F593" i="131"/>
  <c r="F596" i="131"/>
  <c r="F599" i="131"/>
  <c r="F611" i="131"/>
  <c r="F612" i="131"/>
  <c r="F615" i="131"/>
  <c r="F616" i="131"/>
  <c r="F617" i="131"/>
  <c r="F618" i="131"/>
  <c r="F619" i="131"/>
  <c r="F620" i="131"/>
  <c r="F621" i="131"/>
  <c r="F622" i="131"/>
  <c r="F623" i="131"/>
  <c r="F624" i="131"/>
  <c r="F625" i="131"/>
  <c r="F626" i="131"/>
  <c r="F627" i="131"/>
  <c r="F628" i="131"/>
  <c r="F629" i="131"/>
  <c r="F630" i="131"/>
  <c r="F631" i="131"/>
  <c r="F632" i="131"/>
  <c r="F633" i="131"/>
  <c r="F634" i="131"/>
  <c r="F635" i="131"/>
  <c r="F636" i="131"/>
  <c r="F637" i="131"/>
  <c r="F639" i="131"/>
  <c r="F640" i="131"/>
  <c r="F642" i="131"/>
  <c r="F643" i="131"/>
  <c r="F644" i="131"/>
  <c r="F645" i="131"/>
  <c r="F646" i="131"/>
  <c r="F647" i="131"/>
  <c r="F648" i="131"/>
  <c r="F649" i="131"/>
  <c r="F650" i="131"/>
  <c r="F651" i="131"/>
  <c r="F652" i="131"/>
  <c r="F653" i="131"/>
  <c r="F654" i="131"/>
  <c r="F655" i="131"/>
  <c r="F656" i="131"/>
  <c r="F657" i="131"/>
  <c r="F658" i="131"/>
  <c r="F659" i="131"/>
  <c r="F660" i="131"/>
  <c r="F661" i="131"/>
  <c r="F662" i="131"/>
  <c r="F663" i="131"/>
  <c r="F664" i="131"/>
  <c r="F665" i="131"/>
  <c r="F666" i="131"/>
  <c r="F667" i="131"/>
  <c r="F670" i="131"/>
  <c r="F671" i="131"/>
  <c r="F672" i="131"/>
  <c r="F673" i="131"/>
  <c r="F676" i="131"/>
  <c r="F678" i="131"/>
  <c r="F679" i="131"/>
  <c r="F680" i="131"/>
  <c r="F681" i="131"/>
  <c r="F682" i="131"/>
  <c r="F683" i="131"/>
  <c r="F684" i="131"/>
  <c r="F685" i="131"/>
  <c r="F686" i="131"/>
  <c r="F687" i="131"/>
  <c r="F689" i="131"/>
  <c r="F690" i="131"/>
  <c r="F691" i="131"/>
  <c r="F692" i="131"/>
  <c r="F704" i="131"/>
  <c r="F705" i="131"/>
  <c r="F707" i="131"/>
  <c r="F708" i="131"/>
  <c r="F712" i="131"/>
  <c r="F714" i="131"/>
  <c r="F715" i="131"/>
  <c r="F720" i="131"/>
  <c r="F722" i="131"/>
  <c r="F724" i="131"/>
  <c r="F725" i="131"/>
  <c r="F726" i="131"/>
  <c r="F748" i="131"/>
  <c r="F749" i="131"/>
  <c r="F750" i="131"/>
  <c r="F751" i="131"/>
  <c r="F754" i="131"/>
  <c r="F757" i="131"/>
  <c r="F760" i="131"/>
  <c r="F762" i="131"/>
  <c r="F763" i="131"/>
  <c r="F764" i="131"/>
  <c r="F766" i="131"/>
  <c r="F767" i="131"/>
  <c r="F768" i="131"/>
  <c r="F769" i="131"/>
  <c r="F772" i="131"/>
  <c r="F773" i="131"/>
  <c r="F776" i="131"/>
  <c r="F780" i="131"/>
  <c r="F784" i="131"/>
  <c r="F785" i="131"/>
  <c r="F787" i="131"/>
  <c r="F788" i="131"/>
  <c r="F789" i="131"/>
  <c r="F790" i="131"/>
  <c r="F791" i="131"/>
  <c r="F792" i="131"/>
  <c r="F793" i="131"/>
  <c r="F794" i="131"/>
  <c r="F795" i="131"/>
  <c r="F800" i="131"/>
  <c r="F801" i="131"/>
  <c r="X131" i="118" l="1"/>
  <c r="O136" i="118"/>
  <c r="R136" i="118"/>
  <c r="AQ132" i="118" s="1"/>
  <c r="F244" i="133" l="1"/>
  <c r="F237" i="133"/>
  <c r="F235" i="133"/>
  <c r="F236" i="133"/>
  <c r="F205" i="133"/>
  <c r="F717" i="131"/>
  <c r="F711" i="131"/>
  <c r="F675" i="131"/>
  <c r="F638" i="131"/>
  <c r="F609" i="131"/>
  <c r="F608" i="131"/>
  <c r="F606" i="131"/>
  <c r="F605" i="131"/>
  <c r="F604" i="131"/>
  <c r="F603" i="131"/>
  <c r="F602" i="131"/>
  <c r="F598" i="131" l="1"/>
  <c r="F592" i="131"/>
  <c r="F575" i="131"/>
  <c r="F570" i="131"/>
  <c r="F562" i="131"/>
  <c r="F534" i="131"/>
  <c r="F530" i="131"/>
  <c r="F529" i="131"/>
  <c r="F527" i="131"/>
  <c r="F16" i="134" l="1"/>
  <c r="F15" i="134"/>
  <c r="F14" i="134"/>
  <c r="F35" i="133"/>
  <c r="F28" i="133"/>
  <c r="F27" i="133"/>
  <c r="F86" i="131"/>
  <c r="F80" i="131"/>
  <c r="F26" i="131"/>
  <c r="F12" i="131"/>
  <c r="F405" i="131" l="1"/>
  <c r="F160" i="134"/>
  <c r="F147" i="134"/>
  <c r="F146" i="134"/>
  <c r="F98" i="133"/>
  <c r="F427" i="131"/>
  <c r="F346" i="131"/>
  <c r="F343" i="131"/>
  <c r="F312" i="131"/>
  <c r="F301" i="131"/>
  <c r="F285" i="131"/>
  <c r="F280" i="131"/>
  <c r="F292" i="131" l="1"/>
  <c r="F380" i="131" l="1"/>
  <c r="F326" i="131" l="1"/>
  <c r="F279" i="131" l="1"/>
  <c r="F302" i="131" l="1"/>
  <c r="F322" i="131" l="1"/>
  <c r="F153" i="134" l="1"/>
  <c r="F117" i="133" l="1"/>
  <c r="F156" i="134"/>
  <c r="F115" i="133" l="1"/>
  <c r="F106" i="133" l="1"/>
  <c r="F303" i="131" l="1"/>
  <c r="F172" i="134" l="1"/>
  <c r="F169" i="134"/>
  <c r="F289" i="131" l="1"/>
  <c r="F170" i="134"/>
  <c r="F168" i="134"/>
  <c r="F171" i="134"/>
  <c r="F89" i="133" l="1"/>
  <c r="F151" i="134"/>
  <c r="F287" i="131"/>
  <c r="F90" i="133" l="1"/>
  <c r="F782" i="131" l="1"/>
  <c r="F756" i="131"/>
  <c r="F774" i="131" l="1"/>
  <c r="F742" i="131"/>
  <c r="F740" i="131"/>
  <c r="F738" i="131"/>
  <c r="F737" i="131"/>
  <c r="F736" i="131"/>
  <c r="F735" i="131"/>
  <c r="F734" i="131"/>
  <c r="F752" i="131" l="1"/>
  <c r="F778" i="131"/>
  <c r="F765" i="131"/>
  <c r="F759" i="131"/>
  <c r="F798" i="131"/>
  <c r="F732" i="131"/>
  <c r="F744" i="131"/>
  <c r="F746" i="131"/>
  <c r="F733" i="131"/>
  <c r="F745" i="131"/>
  <c r="F102" i="132" l="1"/>
  <c r="F108" i="132"/>
  <c r="G107" i="132"/>
  <c r="F106" i="132"/>
  <c r="F105" i="132"/>
  <c r="F107" i="132" l="1"/>
  <c r="AT140" i="118" l="1"/>
  <c r="AT138" i="118"/>
  <c r="L136" i="118"/>
  <c r="AV133" i="118" s="1"/>
  <c r="AQ141" i="118"/>
  <c r="G108" i="118" l="1"/>
  <c r="L108" i="118" s="1"/>
  <c r="H79" i="127" l="1"/>
  <c r="H80" i="127" s="1"/>
  <c r="I80" i="127" s="1"/>
  <c r="G76" i="127"/>
  <c r="G77" i="127" s="1"/>
  <c r="AE30" i="72" l="1"/>
  <c r="AE31" i="72"/>
  <c r="C81" i="127"/>
  <c r="G140" i="118" l="1"/>
  <c r="V65" i="118" l="1"/>
  <c r="V63" i="118"/>
  <c r="L98" i="118" l="1"/>
  <c r="AQ100" i="118" s="1"/>
  <c r="AA135" i="118" l="1"/>
  <c r="AA134" i="118"/>
  <c r="S73" i="132" l="1"/>
  <c r="R68" i="132" l="1"/>
  <c r="Q67" i="132" l="1"/>
  <c r="R67" i="132" s="1"/>
  <c r="Q66" i="132"/>
  <c r="Q73" i="132" l="1"/>
  <c r="R66" i="132"/>
  <c r="R73" i="132" s="1"/>
  <c r="P73" i="132"/>
  <c r="X58" i="132" l="1"/>
  <c r="AB59" i="132" l="1"/>
  <c r="AF59" i="132"/>
  <c r="AF61" i="132"/>
  <c r="AF60" i="132"/>
  <c r="AF58" i="132"/>
  <c r="AE58" i="132"/>
  <c r="W58" i="132"/>
  <c r="V58" i="132"/>
  <c r="U58" i="132"/>
  <c r="T58" i="132"/>
  <c r="S58" i="132"/>
  <c r="R58" i="132"/>
  <c r="Q58" i="132"/>
  <c r="P58" i="132"/>
  <c r="AI63" i="132" l="1"/>
  <c r="I90" i="132" s="1"/>
  <c r="AJ63" i="132"/>
  <c r="I91" i="132" s="1"/>
  <c r="AK63" i="132"/>
  <c r="Z63" i="132" l="1"/>
  <c r="I81" i="132" s="1"/>
  <c r="AA63" i="132"/>
  <c r="I82" i="132" s="1"/>
  <c r="AB63" i="132"/>
  <c r="I83" i="132" s="1"/>
  <c r="AC63" i="132"/>
  <c r="I84" i="132" s="1"/>
  <c r="AD63" i="132"/>
  <c r="I85" i="132" s="1"/>
  <c r="AE63" i="132"/>
  <c r="I86" i="132" s="1"/>
  <c r="AF63" i="132"/>
  <c r="I87" i="132" s="1"/>
  <c r="AG63" i="132"/>
  <c r="AH63" i="132"/>
  <c r="I89" i="132" s="1"/>
  <c r="Y63" i="132"/>
  <c r="I80" i="132" s="1"/>
  <c r="B130" i="132" l="1"/>
  <c r="B129" i="132"/>
  <c r="AQ100" i="132"/>
  <c r="AQ69" i="132"/>
  <c r="AQ70" i="132" s="1"/>
  <c r="AQ71" i="132" s="1"/>
  <c r="AQ72" i="132" s="1"/>
  <c r="AQ73" i="132" s="1"/>
  <c r="AQ74" i="132" s="1"/>
  <c r="AP69" i="132"/>
  <c r="AP70" i="132" s="1"/>
  <c r="AP71" i="132" s="1"/>
  <c r="AP72" i="132" s="1"/>
  <c r="AP73" i="132" s="1"/>
  <c r="AP74" i="132" s="1"/>
  <c r="AP75" i="132" s="1"/>
  <c r="AP76" i="132" s="1"/>
  <c r="AP77" i="132" s="1"/>
  <c r="D5" i="132"/>
  <c r="D4" i="132"/>
  <c r="AQ75" i="132" l="1"/>
  <c r="AQ76" i="132" s="1"/>
  <c r="AQ77" i="132" s="1"/>
  <c r="AR74" i="132"/>
  <c r="V102" i="123" l="1"/>
  <c r="Y178" i="125" l="1"/>
  <c r="Y179" i="125"/>
  <c r="Y180" i="125"/>
  <c r="Y181" i="125"/>
  <c r="Y177" i="125"/>
  <c r="W179" i="125" l="1"/>
  <c r="W180" i="125"/>
  <c r="W181" i="125"/>
  <c r="W178" i="125"/>
  <c r="F132" i="118" l="1"/>
  <c r="K258" i="123" l="1"/>
  <c r="R42" i="127"/>
  <c r="R22" i="127" l="1"/>
  <c r="R24" i="127"/>
  <c r="R25" i="127"/>
  <c r="R30" i="127"/>
  <c r="R40" i="127"/>
  <c r="Q22" i="127"/>
  <c r="Q24" i="127"/>
  <c r="Q25" i="127"/>
  <c r="Q30" i="127"/>
  <c r="Q40" i="127"/>
  <c r="G102" i="118" l="1"/>
  <c r="G101" i="118"/>
  <c r="G100" i="118"/>
  <c r="G99" i="118"/>
  <c r="G98" i="118"/>
  <c r="G96" i="118"/>
  <c r="G97" i="118" l="1"/>
  <c r="AR102" i="118" s="1"/>
  <c r="D20" i="127"/>
  <c r="D19" i="127"/>
  <c r="D18" i="127"/>
  <c r="D17" i="127"/>
  <c r="D16" i="127"/>
  <c r="D15" i="127"/>
  <c r="D14" i="127"/>
  <c r="H67" i="127"/>
  <c r="J67" i="127" s="1"/>
  <c r="M67" i="127" s="1"/>
  <c r="H66" i="127"/>
  <c r="J66" i="127" s="1"/>
  <c r="F65" i="127"/>
  <c r="D65" i="127"/>
  <c r="C65" i="127"/>
  <c r="F62" i="127"/>
  <c r="D62" i="127"/>
  <c r="C62" i="127"/>
  <c r="F61" i="127"/>
  <c r="D61" i="127"/>
  <c r="C61" i="127"/>
  <c r="F60" i="127"/>
  <c r="D60" i="127"/>
  <c r="C60" i="127"/>
  <c r="F58" i="127"/>
  <c r="F57" i="127"/>
  <c r="D57" i="127"/>
  <c r="C57" i="127"/>
  <c r="F56" i="127"/>
  <c r="D56" i="127"/>
  <c r="C56" i="127"/>
  <c r="H53" i="127"/>
  <c r="J53" i="127" s="1"/>
  <c r="F53" i="127"/>
  <c r="G53" i="127" s="1"/>
  <c r="D53" i="127"/>
  <c r="E53" i="127" s="1"/>
  <c r="H52" i="127"/>
  <c r="J52" i="127" s="1"/>
  <c r="F52" i="127"/>
  <c r="G52" i="127" s="1"/>
  <c r="D52" i="127"/>
  <c r="E52" i="127" s="1"/>
  <c r="H51" i="127"/>
  <c r="J51" i="127" s="1"/>
  <c r="K51" i="127" s="1"/>
  <c r="F51" i="127"/>
  <c r="G51" i="127" s="1"/>
  <c r="D51" i="127"/>
  <c r="E51" i="127" s="1"/>
  <c r="H50" i="127"/>
  <c r="J50" i="127" s="1"/>
  <c r="F50" i="127"/>
  <c r="G50" i="127" s="1"/>
  <c r="D50" i="127"/>
  <c r="E50" i="127" s="1"/>
  <c r="H49" i="127"/>
  <c r="I49" i="127" s="1"/>
  <c r="F49" i="127"/>
  <c r="G49" i="127" s="1"/>
  <c r="D49" i="127"/>
  <c r="E49" i="127" s="1"/>
  <c r="H48" i="127"/>
  <c r="I48" i="127" s="1"/>
  <c r="F48" i="127"/>
  <c r="G48" i="127" s="1"/>
  <c r="D48" i="127"/>
  <c r="E48" i="127" s="1"/>
  <c r="H47" i="127"/>
  <c r="J47" i="127" s="1"/>
  <c r="F47" i="127"/>
  <c r="G47" i="127" s="1"/>
  <c r="D47" i="127"/>
  <c r="E47" i="127" s="1"/>
  <c r="H46" i="127"/>
  <c r="J46" i="127" s="1"/>
  <c r="F46" i="127"/>
  <c r="G46" i="127" s="1"/>
  <c r="D46" i="127"/>
  <c r="E46" i="127" s="1"/>
  <c r="H45" i="127"/>
  <c r="J45" i="127" s="1"/>
  <c r="M45" i="127" s="1"/>
  <c r="N48" i="127" s="1"/>
  <c r="F45" i="127"/>
  <c r="G45" i="127" s="1"/>
  <c r="D45" i="127"/>
  <c r="E45" i="127" s="1"/>
  <c r="H44" i="127"/>
  <c r="I44" i="127" s="1"/>
  <c r="F44" i="127"/>
  <c r="G44" i="127" s="1"/>
  <c r="D44" i="127"/>
  <c r="E44" i="127" s="1"/>
  <c r="C43" i="127"/>
  <c r="F39" i="127"/>
  <c r="D39" i="127"/>
  <c r="M20" i="127"/>
  <c r="M15" i="127"/>
  <c r="F12" i="127"/>
  <c r="H12" i="127" s="1"/>
  <c r="J12" i="127" s="1"/>
  <c r="Q16" i="127" l="1"/>
  <c r="Q17" i="127"/>
  <c r="Q18" i="127"/>
  <c r="Q19" i="127"/>
  <c r="Q15" i="127"/>
  <c r="Q20" i="127"/>
  <c r="Q14" i="127"/>
  <c r="D55" i="127"/>
  <c r="G39" i="127"/>
  <c r="Q39" i="127"/>
  <c r="G60" i="127"/>
  <c r="J49" i="127"/>
  <c r="M49" i="127" s="1"/>
  <c r="G57" i="127"/>
  <c r="G56" i="127"/>
  <c r="E61" i="127"/>
  <c r="I45" i="127"/>
  <c r="H56" i="127"/>
  <c r="I56" i="127" s="1"/>
  <c r="H39" i="127"/>
  <c r="J44" i="127"/>
  <c r="E57" i="127"/>
  <c r="G61" i="127"/>
  <c r="J48" i="127"/>
  <c r="C55" i="127"/>
  <c r="C59" i="127"/>
  <c r="C58" i="127" s="1"/>
  <c r="E62" i="127"/>
  <c r="D43" i="127"/>
  <c r="E43" i="127" s="1"/>
  <c r="E56" i="127"/>
  <c r="D59" i="127"/>
  <c r="H59" i="127" s="1"/>
  <c r="H58" i="127" s="1"/>
  <c r="G62" i="127"/>
  <c r="D13" i="127"/>
  <c r="M50" i="127"/>
  <c r="N50" i="127" s="1"/>
  <c r="K50" i="127"/>
  <c r="M52" i="127"/>
  <c r="N53" i="127" s="1"/>
  <c r="K52" i="127"/>
  <c r="M47" i="127"/>
  <c r="N49" i="127" s="1"/>
  <c r="K47" i="127"/>
  <c r="M66" i="127"/>
  <c r="J65" i="127"/>
  <c r="M46" i="127"/>
  <c r="N47" i="127" s="1"/>
  <c r="K46" i="127"/>
  <c r="M53" i="127"/>
  <c r="N52" i="127" s="1"/>
  <c r="K53" i="127"/>
  <c r="F43" i="127"/>
  <c r="K45" i="127"/>
  <c r="I46" i="127"/>
  <c r="I50" i="127"/>
  <c r="H57" i="127"/>
  <c r="I57" i="127" s="1"/>
  <c r="E60" i="127"/>
  <c r="H65" i="127"/>
  <c r="E39" i="127"/>
  <c r="H43" i="127"/>
  <c r="I47" i="127"/>
  <c r="I51" i="127"/>
  <c r="I52" i="127"/>
  <c r="I53" i="127"/>
  <c r="F55" i="127"/>
  <c r="L90" i="118" l="1"/>
  <c r="Q13" i="127"/>
  <c r="I39" i="127"/>
  <c r="J56" i="127"/>
  <c r="M56" i="127" s="1"/>
  <c r="J43" i="127"/>
  <c r="K43" i="127" s="1"/>
  <c r="K49" i="127"/>
  <c r="D58" i="127"/>
  <c r="D54" i="127" s="1"/>
  <c r="D68" i="127" s="1"/>
  <c r="C54" i="127"/>
  <c r="J39" i="127"/>
  <c r="K39" i="127" s="1"/>
  <c r="K48" i="127"/>
  <c r="M48" i="127"/>
  <c r="N46" i="127" s="1"/>
  <c r="M44" i="127"/>
  <c r="K44" i="127"/>
  <c r="J57" i="127"/>
  <c r="F54" i="127"/>
  <c r="H55" i="127"/>
  <c r="H54" i="127" s="1"/>
  <c r="J59" i="127"/>
  <c r="G43" i="127"/>
  <c r="I43" i="127"/>
  <c r="C68" i="127" l="1"/>
  <c r="E68" i="127" s="1"/>
  <c r="C73" i="127"/>
  <c r="R39" i="127"/>
  <c r="J55" i="127"/>
  <c r="K56" i="127"/>
  <c r="I54" i="127"/>
  <c r="E54" i="127"/>
  <c r="G54" i="127"/>
  <c r="H68" i="127"/>
  <c r="I68" i="127" s="1"/>
  <c r="F68" i="127"/>
  <c r="M59" i="127"/>
  <c r="N44" i="127" s="1"/>
  <c r="J58" i="127"/>
  <c r="M57" i="127"/>
  <c r="N45" i="127" s="1"/>
  <c r="K57" i="127"/>
  <c r="J54" i="127" l="1"/>
  <c r="K54" i="127" s="1"/>
  <c r="N54" i="127"/>
  <c r="G68" i="127"/>
  <c r="J68" i="127" l="1"/>
  <c r="J74" i="127" s="1"/>
  <c r="K68" i="127" l="1"/>
  <c r="K38" i="126"/>
  <c r="L99" i="118" s="1"/>
  <c r="K36" i="126"/>
  <c r="K34" i="126"/>
  <c r="K33" i="126"/>
  <c r="K32" i="126"/>
  <c r="K30" i="126"/>
  <c r="K28" i="126"/>
  <c r="K26" i="126"/>
  <c r="K24" i="126"/>
  <c r="K22" i="126"/>
  <c r="K20" i="126"/>
  <c r="K19" i="126"/>
  <c r="K17" i="126"/>
  <c r="K16" i="126"/>
  <c r="H48" i="126"/>
  <c r="H47" i="126"/>
  <c r="H46" i="126"/>
  <c r="H45" i="126"/>
  <c r="N36" i="126"/>
  <c r="O36" i="126" s="1"/>
  <c r="M36" i="126"/>
  <c r="I36" i="126"/>
  <c r="H36" i="126"/>
  <c r="U36" i="126" s="1"/>
  <c r="N34" i="126"/>
  <c r="O34" i="126" s="1"/>
  <c r="P34" i="126" s="1"/>
  <c r="M34" i="126"/>
  <c r="I34" i="126"/>
  <c r="H34" i="126"/>
  <c r="U34" i="126" s="1"/>
  <c r="N33" i="126"/>
  <c r="O33" i="126" s="1"/>
  <c r="M33" i="126"/>
  <c r="I33" i="126"/>
  <c r="H33" i="126"/>
  <c r="U33" i="126" s="1"/>
  <c r="N32" i="126"/>
  <c r="O32" i="126" s="1"/>
  <c r="P32" i="126" s="1"/>
  <c r="M32" i="126"/>
  <c r="I32" i="126"/>
  <c r="H32" i="126"/>
  <c r="U32" i="126" s="1"/>
  <c r="N30" i="126"/>
  <c r="Q30" i="126" s="1"/>
  <c r="R30" i="126" s="1"/>
  <c r="M30" i="126"/>
  <c r="I30" i="126"/>
  <c r="H30" i="126"/>
  <c r="U30" i="126" s="1"/>
  <c r="Q28" i="126"/>
  <c r="R28" i="126" s="1"/>
  <c r="N28" i="126"/>
  <c r="O28" i="126" s="1"/>
  <c r="M28" i="126"/>
  <c r="I28" i="126"/>
  <c r="H28" i="126"/>
  <c r="U28" i="126" s="1"/>
  <c r="N26" i="126"/>
  <c r="Q26" i="126" s="1"/>
  <c r="R26" i="126" s="1"/>
  <c r="M26" i="126"/>
  <c r="I26" i="126"/>
  <c r="H26" i="126"/>
  <c r="U26" i="126" s="1"/>
  <c r="N24" i="126"/>
  <c r="Q24" i="126" s="1"/>
  <c r="R24" i="126" s="1"/>
  <c r="M24" i="126"/>
  <c r="I24" i="126"/>
  <c r="H24" i="126"/>
  <c r="N22" i="126"/>
  <c r="O22" i="126" s="1"/>
  <c r="P22" i="126" s="1"/>
  <c r="M22" i="126"/>
  <c r="I22" i="126"/>
  <c r="H22" i="126"/>
  <c r="Y20" i="126"/>
  <c r="N20" i="126"/>
  <c r="O20" i="126" s="1"/>
  <c r="M20" i="126"/>
  <c r="I20" i="126"/>
  <c r="H20" i="126"/>
  <c r="U20" i="126" s="1"/>
  <c r="Y19" i="126"/>
  <c r="N19" i="126"/>
  <c r="O19" i="126" s="1"/>
  <c r="M19" i="126"/>
  <c r="I19" i="126"/>
  <c r="H19" i="126"/>
  <c r="U19" i="126" s="1"/>
  <c r="Y18" i="126"/>
  <c r="U18" i="126"/>
  <c r="T18" i="126"/>
  <c r="N17" i="126"/>
  <c r="O17" i="126" s="1"/>
  <c r="M17" i="126"/>
  <c r="I17" i="126"/>
  <c r="H17" i="126"/>
  <c r="Y16" i="126"/>
  <c r="N16" i="126"/>
  <c r="O16" i="126" s="1"/>
  <c r="P16" i="126" s="1"/>
  <c r="M16" i="126"/>
  <c r="I16" i="126"/>
  <c r="H16" i="126"/>
  <c r="U16" i="126" s="1"/>
  <c r="P36" i="126" l="1"/>
  <c r="P19" i="126"/>
  <c r="O26" i="126"/>
  <c r="P26" i="126" s="1"/>
  <c r="Q22" i="126"/>
  <c r="R22" i="126" s="1"/>
  <c r="S22" i="126" s="1"/>
  <c r="P20" i="126"/>
  <c r="S24" i="126"/>
  <c r="Q20" i="126"/>
  <c r="R20" i="126" s="1"/>
  <c r="T20" i="126" s="1"/>
  <c r="V20" i="126" s="1"/>
  <c r="Q34" i="126"/>
  <c r="R34" i="126" s="1"/>
  <c r="T34" i="126" s="1"/>
  <c r="V34" i="126" s="1"/>
  <c r="O30" i="126"/>
  <c r="P30" i="126" s="1"/>
  <c r="P33" i="126"/>
  <c r="U24" i="126"/>
  <c r="Q33" i="126"/>
  <c r="R33" i="126" s="1"/>
  <c r="T33" i="126" s="1"/>
  <c r="V33" i="126" s="1"/>
  <c r="P17" i="126"/>
  <c r="P28" i="126"/>
  <c r="T30" i="126"/>
  <c r="V30" i="126" s="1"/>
  <c r="H37" i="126"/>
  <c r="H61" i="126" s="1"/>
  <c r="I37" i="126"/>
  <c r="M37" i="126"/>
  <c r="F23" i="127" s="1"/>
  <c r="V18" i="126"/>
  <c r="T28" i="126"/>
  <c r="V28" i="126" s="1"/>
  <c r="K37" i="126"/>
  <c r="O24" i="126"/>
  <c r="P24" i="126" s="1"/>
  <c r="T22" i="126"/>
  <c r="O38" i="126"/>
  <c r="R38" i="126" s="1"/>
  <c r="S26" i="126"/>
  <c r="S30" i="126"/>
  <c r="Y15" i="126"/>
  <c r="Y24" i="126" s="1"/>
  <c r="Q16" i="126"/>
  <c r="R16" i="126" s="1"/>
  <c r="S16" i="126" s="1"/>
  <c r="S33" i="126"/>
  <c r="Q36" i="126"/>
  <c r="R36" i="126" s="1"/>
  <c r="T36" i="126" s="1"/>
  <c r="V36" i="126" s="1"/>
  <c r="Q19" i="126"/>
  <c r="R19" i="126" s="1"/>
  <c r="T19" i="126" s="1"/>
  <c r="V19" i="126" s="1"/>
  <c r="U22" i="126"/>
  <c r="S28" i="126"/>
  <c r="Q32" i="126"/>
  <c r="R32" i="126" s="1"/>
  <c r="T32" i="126" s="1"/>
  <c r="V32" i="126" s="1"/>
  <c r="S34" i="126" l="1"/>
  <c r="S20" i="126"/>
  <c r="I57" i="126"/>
  <c r="V22" i="126"/>
  <c r="W37" i="126"/>
  <c r="M42" i="126"/>
  <c r="H44" i="126"/>
  <c r="Z24" i="126"/>
  <c r="AA24" i="126" s="1"/>
  <c r="H39" i="126"/>
  <c r="T39" i="126" s="1"/>
  <c r="L37" i="126"/>
  <c r="J37" i="126"/>
  <c r="D23" i="127"/>
  <c r="K39" i="126"/>
  <c r="S92" i="118"/>
  <c r="C23" i="127"/>
  <c r="G92" i="118" s="1"/>
  <c r="I39" i="126"/>
  <c r="K42" i="126"/>
  <c r="S36" i="126"/>
  <c r="S19" i="126"/>
  <c r="M39" i="126"/>
  <c r="T24" i="126"/>
  <c r="V24" i="126" s="1"/>
  <c r="T16" i="126"/>
  <c r="V16" i="126" s="1"/>
  <c r="R37" i="126"/>
  <c r="T26" i="126"/>
  <c r="V26" i="126" s="1"/>
  <c r="O37" i="126"/>
  <c r="S32" i="126"/>
  <c r="L39" i="126" l="1"/>
  <c r="J23" i="127"/>
  <c r="K23" i="127" s="1"/>
  <c r="S37" i="126"/>
  <c r="J39" i="126"/>
  <c r="H23" i="127"/>
  <c r="N37" i="126"/>
  <c r="G23" i="127"/>
  <c r="L92" i="118"/>
  <c r="Q23" i="127"/>
  <c r="E23" i="127"/>
  <c r="R39" i="126"/>
  <c r="S39" i="126" s="1"/>
  <c r="T37" i="126"/>
  <c r="X37" i="126" s="1"/>
  <c r="S42" i="126"/>
  <c r="P42" i="126"/>
  <c r="O39" i="126"/>
  <c r="N39" i="126" s="1"/>
  <c r="I23" i="127" l="1"/>
  <c r="R23" i="127"/>
  <c r="W39" i="126"/>
  <c r="X39" i="126" s="1"/>
  <c r="N203" i="125" l="1"/>
  <c r="M203" i="125"/>
  <c r="P197" i="125"/>
  <c r="P195" i="125"/>
  <c r="P193" i="125"/>
  <c r="P192" i="125"/>
  <c r="P191" i="125"/>
  <c r="N190" i="125"/>
  <c r="O190" i="125" s="1"/>
  <c r="M190" i="125"/>
  <c r="I190" i="125"/>
  <c r="H190" i="125"/>
  <c r="S189" i="125"/>
  <c r="I189" i="125"/>
  <c r="N188" i="125"/>
  <c r="Q188" i="125" s="1"/>
  <c r="R188" i="125" s="1"/>
  <c r="M188" i="125"/>
  <c r="I188" i="125"/>
  <c r="H188" i="125"/>
  <c r="N187" i="125"/>
  <c r="Q187" i="125" s="1"/>
  <c r="R187" i="125" s="1"/>
  <c r="S187" i="125" s="1"/>
  <c r="M187" i="125"/>
  <c r="I187" i="125"/>
  <c r="H187" i="125"/>
  <c r="N186" i="125"/>
  <c r="O186" i="125" s="1"/>
  <c r="P186" i="125" s="1"/>
  <c r="M186" i="125"/>
  <c r="I186" i="125"/>
  <c r="H186" i="125"/>
  <c r="S185" i="125"/>
  <c r="I185" i="125"/>
  <c r="N184" i="125"/>
  <c r="Q184" i="125" s="1"/>
  <c r="R184" i="125" s="1"/>
  <c r="M184" i="125"/>
  <c r="I184" i="125"/>
  <c r="H184" i="125"/>
  <c r="N183" i="125"/>
  <c r="Q183" i="125" s="1"/>
  <c r="R183" i="125" s="1"/>
  <c r="M183" i="125"/>
  <c r="I183" i="125"/>
  <c r="H183" i="125"/>
  <c r="N182" i="125"/>
  <c r="O182" i="125" s="1"/>
  <c r="M182" i="125"/>
  <c r="I182" i="125"/>
  <c r="H182" i="125"/>
  <c r="N181" i="125"/>
  <c r="O181" i="125" s="1"/>
  <c r="M181" i="125"/>
  <c r="I181" i="125"/>
  <c r="H181" i="125"/>
  <c r="N180" i="125"/>
  <c r="O180" i="125" s="1"/>
  <c r="M180" i="125"/>
  <c r="I180" i="125"/>
  <c r="H180" i="125"/>
  <c r="N179" i="125"/>
  <c r="Q179" i="125" s="1"/>
  <c r="M179" i="125"/>
  <c r="I179" i="125"/>
  <c r="H179" i="125"/>
  <c r="N178" i="125"/>
  <c r="Q178" i="125" s="1"/>
  <c r="M178" i="125"/>
  <c r="I178" i="125"/>
  <c r="H178" i="125"/>
  <c r="N177" i="125"/>
  <c r="Q177" i="125" s="1"/>
  <c r="M177" i="125"/>
  <c r="I177" i="125"/>
  <c r="H177" i="125"/>
  <c r="S176" i="125"/>
  <c r="I176" i="125"/>
  <c r="N175" i="125"/>
  <c r="Q175" i="125" s="1"/>
  <c r="R175" i="125" s="1"/>
  <c r="S175" i="125" s="1"/>
  <c r="M175" i="125"/>
  <c r="I175" i="125"/>
  <c r="H175" i="125"/>
  <c r="S174" i="125"/>
  <c r="I174" i="125"/>
  <c r="N173" i="125"/>
  <c r="Q173" i="125" s="1"/>
  <c r="R173" i="125" s="1"/>
  <c r="M173" i="125"/>
  <c r="I173" i="125"/>
  <c r="H173" i="125"/>
  <c r="N172" i="125"/>
  <c r="Q172" i="125" s="1"/>
  <c r="R172" i="125" s="1"/>
  <c r="M172" i="125"/>
  <c r="I172" i="125"/>
  <c r="H172" i="125"/>
  <c r="S171" i="125"/>
  <c r="I171" i="125"/>
  <c r="S170" i="125"/>
  <c r="I170" i="125"/>
  <c r="N169" i="125"/>
  <c r="Q169" i="125" s="1"/>
  <c r="R169" i="125" s="1"/>
  <c r="M169" i="125"/>
  <c r="I169" i="125"/>
  <c r="H169" i="125"/>
  <c r="N168" i="125"/>
  <c r="Q168" i="125" s="1"/>
  <c r="R168" i="125" s="1"/>
  <c r="M168" i="125"/>
  <c r="I168" i="125"/>
  <c r="H168" i="125"/>
  <c r="N167" i="125"/>
  <c r="Q167" i="125" s="1"/>
  <c r="R167" i="125" s="1"/>
  <c r="M167" i="125"/>
  <c r="I167" i="125"/>
  <c r="H167" i="125"/>
  <c r="S166" i="125"/>
  <c r="I166" i="125"/>
  <c r="N165" i="125"/>
  <c r="Q165" i="125" s="1"/>
  <c r="R165" i="125" s="1"/>
  <c r="S165" i="125" s="1"/>
  <c r="M165" i="125"/>
  <c r="I165" i="125"/>
  <c r="H165" i="125"/>
  <c r="S164" i="125"/>
  <c r="I164" i="125"/>
  <c r="S163" i="125"/>
  <c r="I163" i="125"/>
  <c r="N162" i="125"/>
  <c r="Q162" i="125" s="1"/>
  <c r="R162" i="125" s="1"/>
  <c r="M162" i="125"/>
  <c r="I162" i="125"/>
  <c r="H162" i="125"/>
  <c r="N161" i="125"/>
  <c r="Q161" i="125" s="1"/>
  <c r="R161" i="125" s="1"/>
  <c r="M161" i="125"/>
  <c r="I161" i="125"/>
  <c r="H161" i="125"/>
  <c r="N160" i="125"/>
  <c r="Q160" i="125" s="1"/>
  <c r="R160" i="125" s="1"/>
  <c r="M160" i="125"/>
  <c r="I160" i="125"/>
  <c r="H160" i="125"/>
  <c r="N159" i="125"/>
  <c r="Q159" i="125" s="1"/>
  <c r="R159" i="125" s="1"/>
  <c r="M159" i="125"/>
  <c r="I159" i="125"/>
  <c r="H159" i="125"/>
  <c r="N158" i="125"/>
  <c r="Q158" i="125" s="1"/>
  <c r="R158" i="125" s="1"/>
  <c r="M158" i="125"/>
  <c r="I158" i="125"/>
  <c r="H158" i="125"/>
  <c r="S157" i="125"/>
  <c r="I157" i="125"/>
  <c r="N156" i="125"/>
  <c r="O156" i="125" s="1"/>
  <c r="M156" i="125"/>
  <c r="I156" i="125"/>
  <c r="H156" i="125"/>
  <c r="N155" i="125"/>
  <c r="Q155" i="125" s="1"/>
  <c r="R155" i="125" s="1"/>
  <c r="M155" i="125"/>
  <c r="I155" i="125"/>
  <c r="H155" i="125"/>
  <c r="S154" i="125"/>
  <c r="I154" i="125"/>
  <c r="N153" i="125"/>
  <c r="Q153" i="125" s="1"/>
  <c r="R153" i="125" s="1"/>
  <c r="M153" i="125"/>
  <c r="I153" i="125"/>
  <c r="H153" i="125"/>
  <c r="S152" i="125"/>
  <c r="I152" i="125"/>
  <c r="I151" i="125"/>
  <c r="N150" i="125"/>
  <c r="Q150" i="125" s="1"/>
  <c r="R150" i="125" s="1"/>
  <c r="M150" i="125"/>
  <c r="I150" i="125"/>
  <c r="H150" i="125"/>
  <c r="S149" i="125"/>
  <c r="I149" i="125"/>
  <c r="N148" i="125"/>
  <c r="O148" i="125" s="1"/>
  <c r="M148" i="125"/>
  <c r="I148" i="125"/>
  <c r="H148" i="125"/>
  <c r="S147" i="125"/>
  <c r="I147" i="125"/>
  <c r="N146" i="125"/>
  <c r="Q146" i="125" s="1"/>
  <c r="R146" i="125" s="1"/>
  <c r="M146" i="125"/>
  <c r="I146" i="125"/>
  <c r="H146" i="125"/>
  <c r="S145" i="125"/>
  <c r="I145" i="125"/>
  <c r="N144" i="125"/>
  <c r="O144" i="125" s="1"/>
  <c r="P144" i="125" s="1"/>
  <c r="M144" i="125"/>
  <c r="I144" i="125"/>
  <c r="H144" i="125"/>
  <c r="N143" i="125"/>
  <c r="Q143" i="125" s="1"/>
  <c r="R143" i="125" s="1"/>
  <c r="M143" i="125"/>
  <c r="I143" i="125"/>
  <c r="H143" i="125"/>
  <c r="N142" i="125"/>
  <c r="Q142" i="125" s="1"/>
  <c r="R142" i="125" s="1"/>
  <c r="S142" i="125" s="1"/>
  <c r="M142" i="125"/>
  <c r="I142" i="125"/>
  <c r="H142" i="125"/>
  <c r="N141" i="125"/>
  <c r="Q141" i="125" s="1"/>
  <c r="R141" i="125" s="1"/>
  <c r="M141" i="125"/>
  <c r="I141" i="125"/>
  <c r="H141" i="125"/>
  <c r="N140" i="125"/>
  <c r="O140" i="125" s="1"/>
  <c r="P140" i="125" s="1"/>
  <c r="M140" i="125"/>
  <c r="I140" i="125"/>
  <c r="H140" i="125"/>
  <c r="S139" i="125"/>
  <c r="I139" i="125"/>
  <c r="N138" i="125"/>
  <c r="Q138" i="125" s="1"/>
  <c r="R138" i="125" s="1"/>
  <c r="M138" i="125"/>
  <c r="I138" i="125"/>
  <c r="H138" i="125"/>
  <c r="N137" i="125"/>
  <c r="O137" i="125" s="1"/>
  <c r="M137" i="125"/>
  <c r="I137" i="125"/>
  <c r="H137" i="125"/>
  <c r="S136" i="125"/>
  <c r="I136" i="125"/>
  <c r="N135" i="125"/>
  <c r="Q135" i="125" s="1"/>
  <c r="R135" i="125" s="1"/>
  <c r="S135" i="125" s="1"/>
  <c r="M135" i="125"/>
  <c r="I135" i="125"/>
  <c r="H135" i="125"/>
  <c r="N134" i="125"/>
  <c r="Q134" i="125" s="1"/>
  <c r="R134" i="125" s="1"/>
  <c r="M134" i="125"/>
  <c r="I134" i="125"/>
  <c r="H134" i="125"/>
  <c r="N133" i="125"/>
  <c r="Q133" i="125" s="1"/>
  <c r="R133" i="125" s="1"/>
  <c r="S133" i="125" s="1"/>
  <c r="M133" i="125"/>
  <c r="I133" i="125"/>
  <c r="H133" i="125"/>
  <c r="N132" i="125"/>
  <c r="O132" i="125" s="1"/>
  <c r="M132" i="125"/>
  <c r="I132" i="125"/>
  <c r="H132" i="125"/>
  <c r="N131" i="125"/>
  <c r="Q131" i="125" s="1"/>
  <c r="R131" i="125" s="1"/>
  <c r="S131" i="125" s="1"/>
  <c r="M131" i="125"/>
  <c r="I131" i="125"/>
  <c r="H131" i="125"/>
  <c r="S130" i="125"/>
  <c r="I130" i="125"/>
  <c r="N129" i="125"/>
  <c r="Q129" i="125" s="1"/>
  <c r="R129" i="125" s="1"/>
  <c r="M129" i="125"/>
  <c r="I129" i="125"/>
  <c r="H129" i="125"/>
  <c r="S128" i="125"/>
  <c r="I128" i="125"/>
  <c r="N127" i="125"/>
  <c r="Q127" i="125" s="1"/>
  <c r="R127" i="125" s="1"/>
  <c r="M127" i="125"/>
  <c r="I127" i="125"/>
  <c r="H127" i="125"/>
  <c r="N126" i="125"/>
  <c r="Q126" i="125" s="1"/>
  <c r="R126" i="125" s="1"/>
  <c r="S126" i="125" s="1"/>
  <c r="M126" i="125"/>
  <c r="I126" i="125"/>
  <c r="H126" i="125"/>
  <c r="N125" i="125"/>
  <c r="O125" i="125" s="1"/>
  <c r="P125" i="125" s="1"/>
  <c r="M125" i="125"/>
  <c r="I125" i="125"/>
  <c r="H125" i="125"/>
  <c r="N124" i="125"/>
  <c r="O124" i="125" s="1"/>
  <c r="P124" i="125" s="1"/>
  <c r="M124" i="125"/>
  <c r="I124" i="125"/>
  <c r="H124" i="125"/>
  <c r="N123" i="125"/>
  <c r="O123" i="125" s="1"/>
  <c r="M123" i="125"/>
  <c r="I123" i="125"/>
  <c r="H123" i="125"/>
  <c r="N122" i="125"/>
  <c r="Q122" i="125" s="1"/>
  <c r="R122" i="125" s="1"/>
  <c r="S122" i="125" s="1"/>
  <c r="M122" i="125"/>
  <c r="I122" i="125"/>
  <c r="H122" i="125"/>
  <c r="O121" i="125"/>
  <c r="N121" i="125"/>
  <c r="Q121" i="125" s="1"/>
  <c r="R121" i="125" s="1"/>
  <c r="M121" i="125"/>
  <c r="I121" i="125"/>
  <c r="H121" i="125"/>
  <c r="N120" i="125"/>
  <c r="O120" i="125" s="1"/>
  <c r="M120" i="125"/>
  <c r="I120" i="125"/>
  <c r="H120" i="125"/>
  <c r="S119" i="125"/>
  <c r="I119" i="125"/>
  <c r="N118" i="125"/>
  <c r="Q118" i="125" s="1"/>
  <c r="R118" i="125" s="1"/>
  <c r="M118" i="125"/>
  <c r="I118" i="125"/>
  <c r="H118" i="125"/>
  <c r="N117" i="125"/>
  <c r="Q117" i="125" s="1"/>
  <c r="R117" i="125" s="1"/>
  <c r="M117" i="125"/>
  <c r="I117" i="125"/>
  <c r="H117" i="125"/>
  <c r="S116" i="125"/>
  <c r="I116" i="125"/>
  <c r="N115" i="125"/>
  <c r="Q115" i="125" s="1"/>
  <c r="R115" i="125" s="1"/>
  <c r="M115" i="125"/>
  <c r="I115" i="125"/>
  <c r="H115" i="125"/>
  <c r="N114" i="125"/>
  <c r="Q114" i="125" s="1"/>
  <c r="R114" i="125" s="1"/>
  <c r="M114" i="125"/>
  <c r="I114" i="125"/>
  <c r="H114" i="125"/>
  <c r="N113" i="125"/>
  <c r="Q113" i="125" s="1"/>
  <c r="R113" i="125" s="1"/>
  <c r="M113" i="125"/>
  <c r="I113" i="125"/>
  <c r="H113" i="125"/>
  <c r="N112" i="125"/>
  <c r="O112" i="125" s="1"/>
  <c r="M112" i="125"/>
  <c r="I112" i="125"/>
  <c r="H112" i="125"/>
  <c r="N111" i="125"/>
  <c r="Q111" i="125" s="1"/>
  <c r="R111" i="125" s="1"/>
  <c r="M111" i="125"/>
  <c r="I111" i="125"/>
  <c r="H111" i="125"/>
  <c r="S110" i="125"/>
  <c r="I110" i="125"/>
  <c r="N109" i="125"/>
  <c r="Q109" i="125" s="1"/>
  <c r="R109" i="125" s="1"/>
  <c r="M109" i="125"/>
  <c r="I109" i="125"/>
  <c r="H109" i="125"/>
  <c r="S108" i="125"/>
  <c r="I108" i="125"/>
  <c r="N107" i="125"/>
  <c r="Q107" i="125" s="1"/>
  <c r="R107" i="125" s="1"/>
  <c r="M107" i="125"/>
  <c r="I107" i="125"/>
  <c r="H107" i="125"/>
  <c r="N106" i="125"/>
  <c r="Q106" i="125" s="1"/>
  <c r="R106" i="125" s="1"/>
  <c r="M106" i="125"/>
  <c r="I106" i="125"/>
  <c r="H106" i="125"/>
  <c r="N105" i="125"/>
  <c r="Q105" i="125" s="1"/>
  <c r="R105" i="125" s="1"/>
  <c r="M105" i="125"/>
  <c r="I105" i="125"/>
  <c r="H105" i="125"/>
  <c r="N104" i="125"/>
  <c r="O104" i="125" s="1"/>
  <c r="M104" i="125"/>
  <c r="I104" i="125"/>
  <c r="H104" i="125"/>
  <c r="N103" i="125"/>
  <c r="O103" i="125" s="1"/>
  <c r="M103" i="125"/>
  <c r="I103" i="125"/>
  <c r="H103" i="125"/>
  <c r="N102" i="125"/>
  <c r="Q102" i="125" s="1"/>
  <c r="R102" i="125" s="1"/>
  <c r="M102" i="125"/>
  <c r="I102" i="125"/>
  <c r="H102" i="125"/>
  <c r="N101" i="125"/>
  <c r="Q101" i="125" s="1"/>
  <c r="R101" i="125" s="1"/>
  <c r="M101" i="125"/>
  <c r="I101" i="125"/>
  <c r="H101" i="125"/>
  <c r="N100" i="125"/>
  <c r="O100" i="125" s="1"/>
  <c r="P100" i="125" s="1"/>
  <c r="M100" i="125"/>
  <c r="I100" i="125"/>
  <c r="H100" i="125"/>
  <c r="N99" i="125"/>
  <c r="Q99" i="125" s="1"/>
  <c r="R99" i="125" s="1"/>
  <c r="M99" i="125"/>
  <c r="I99" i="125"/>
  <c r="H99" i="125"/>
  <c r="N98" i="125"/>
  <c r="Q98" i="125" s="1"/>
  <c r="R98" i="125" s="1"/>
  <c r="S98" i="125" s="1"/>
  <c r="M98" i="125"/>
  <c r="I98" i="125"/>
  <c r="H98" i="125"/>
  <c r="N97" i="125"/>
  <c r="Q97" i="125" s="1"/>
  <c r="R97" i="125" s="1"/>
  <c r="M97" i="125"/>
  <c r="I97" i="125"/>
  <c r="H97" i="125"/>
  <c r="N96" i="125"/>
  <c r="O96" i="125" s="1"/>
  <c r="P96" i="125" s="1"/>
  <c r="M96" i="125"/>
  <c r="I96" i="125"/>
  <c r="H96" i="125"/>
  <c r="S95" i="125"/>
  <c r="I95" i="125"/>
  <c r="N94" i="125"/>
  <c r="Q94" i="125" s="1"/>
  <c r="R94" i="125" s="1"/>
  <c r="M94" i="125"/>
  <c r="I94" i="125"/>
  <c r="H94" i="125"/>
  <c r="S93" i="125"/>
  <c r="I93" i="125"/>
  <c r="N92" i="125"/>
  <c r="O92" i="125" s="1"/>
  <c r="M92" i="125"/>
  <c r="I92" i="125"/>
  <c r="H92" i="125"/>
  <c r="N91" i="125"/>
  <c r="Q91" i="125" s="1"/>
  <c r="R91" i="125" s="1"/>
  <c r="S91" i="125" s="1"/>
  <c r="M91" i="125"/>
  <c r="I91" i="125"/>
  <c r="H91" i="125"/>
  <c r="N90" i="125"/>
  <c r="Q90" i="125" s="1"/>
  <c r="R90" i="125" s="1"/>
  <c r="M90" i="125"/>
  <c r="I90" i="125"/>
  <c r="H90" i="125"/>
  <c r="N89" i="125"/>
  <c r="Q89" i="125" s="1"/>
  <c r="R89" i="125" s="1"/>
  <c r="S89" i="125" s="1"/>
  <c r="M89" i="125"/>
  <c r="I89" i="125"/>
  <c r="H89" i="125"/>
  <c r="N88" i="125"/>
  <c r="O88" i="125" s="1"/>
  <c r="M88" i="125"/>
  <c r="I88" i="125"/>
  <c r="H88" i="125"/>
  <c r="N87" i="125"/>
  <c r="O87" i="125" s="1"/>
  <c r="P87" i="125" s="1"/>
  <c r="M87" i="125"/>
  <c r="I87" i="125"/>
  <c r="H87" i="125"/>
  <c r="N86" i="125"/>
  <c r="Q86" i="125" s="1"/>
  <c r="R86" i="125" s="1"/>
  <c r="M86" i="125"/>
  <c r="I86" i="125"/>
  <c r="H86" i="125"/>
  <c r="N85" i="125"/>
  <c r="Q85" i="125" s="1"/>
  <c r="R85" i="125" s="1"/>
  <c r="S85" i="125" s="1"/>
  <c r="M85" i="125"/>
  <c r="I85" i="125"/>
  <c r="H85" i="125"/>
  <c r="N84" i="125"/>
  <c r="O84" i="125" s="1"/>
  <c r="M84" i="125"/>
  <c r="I84" i="125"/>
  <c r="H84" i="125"/>
  <c r="N83" i="125"/>
  <c r="Q83" i="125" s="1"/>
  <c r="R83" i="125" s="1"/>
  <c r="S83" i="125" s="1"/>
  <c r="M83" i="125"/>
  <c r="I83" i="125"/>
  <c r="H83" i="125"/>
  <c r="N82" i="125"/>
  <c r="Q82" i="125" s="1"/>
  <c r="R82" i="125" s="1"/>
  <c r="M82" i="125"/>
  <c r="I82" i="125"/>
  <c r="H82" i="125"/>
  <c r="N81" i="125"/>
  <c r="Q81" i="125" s="1"/>
  <c r="R81" i="125" s="1"/>
  <c r="S81" i="125" s="1"/>
  <c r="M81" i="125"/>
  <c r="I81" i="125"/>
  <c r="H81" i="125"/>
  <c r="N80" i="125"/>
  <c r="O80" i="125" s="1"/>
  <c r="M80" i="125"/>
  <c r="I80" i="125"/>
  <c r="H80" i="125"/>
  <c r="N79" i="125"/>
  <c r="Q79" i="125" s="1"/>
  <c r="R79" i="125" s="1"/>
  <c r="M79" i="125"/>
  <c r="I79" i="125"/>
  <c r="H79" i="125"/>
  <c r="N78" i="125"/>
  <c r="Q78" i="125" s="1"/>
  <c r="R78" i="125" s="1"/>
  <c r="M78" i="125"/>
  <c r="I78" i="125"/>
  <c r="H78" i="125"/>
  <c r="N77" i="125"/>
  <c r="O77" i="125" s="1"/>
  <c r="M77" i="125"/>
  <c r="I77" i="125"/>
  <c r="H77" i="125"/>
  <c r="S76" i="125"/>
  <c r="I76" i="125"/>
  <c r="N75" i="125"/>
  <c r="Q75" i="125" s="1"/>
  <c r="R75" i="125" s="1"/>
  <c r="M75" i="125"/>
  <c r="I75" i="125"/>
  <c r="H75" i="125"/>
  <c r="S74" i="125"/>
  <c r="I74" i="125"/>
  <c r="N73" i="125"/>
  <c r="O73" i="125" s="1"/>
  <c r="M73" i="125"/>
  <c r="I73" i="125"/>
  <c r="H73" i="125"/>
  <c r="N72" i="125"/>
  <c r="O72" i="125" s="1"/>
  <c r="M72" i="125"/>
  <c r="I72" i="125"/>
  <c r="H72" i="125"/>
  <c r="N71" i="125"/>
  <c r="O71" i="125" s="1"/>
  <c r="M71" i="125"/>
  <c r="I71" i="125"/>
  <c r="H71" i="125"/>
  <c r="N70" i="125"/>
  <c r="Q70" i="125" s="1"/>
  <c r="R70" i="125" s="1"/>
  <c r="M70" i="125"/>
  <c r="I70" i="125"/>
  <c r="H70" i="125"/>
  <c r="N69" i="125"/>
  <c r="Q69" i="125" s="1"/>
  <c r="R69" i="125" s="1"/>
  <c r="M69" i="125"/>
  <c r="I69" i="125"/>
  <c r="H69" i="125"/>
  <c r="N68" i="125"/>
  <c r="O68" i="125" s="1"/>
  <c r="M68" i="125"/>
  <c r="I68" i="125"/>
  <c r="H68" i="125"/>
  <c r="N67" i="125"/>
  <c r="Q67" i="125" s="1"/>
  <c r="R67" i="125" s="1"/>
  <c r="M67" i="125"/>
  <c r="I67" i="125"/>
  <c r="H67" i="125"/>
  <c r="N66" i="125"/>
  <c r="Q66" i="125" s="1"/>
  <c r="R66" i="125" s="1"/>
  <c r="M66" i="125"/>
  <c r="I66" i="125"/>
  <c r="H66" i="125"/>
  <c r="N65" i="125"/>
  <c r="Q65" i="125" s="1"/>
  <c r="R65" i="125" s="1"/>
  <c r="M65" i="125"/>
  <c r="I65" i="125"/>
  <c r="H65" i="125"/>
  <c r="N64" i="125"/>
  <c r="O64" i="125" s="1"/>
  <c r="M64" i="125"/>
  <c r="I64" i="125"/>
  <c r="H64" i="125"/>
  <c r="S63" i="125"/>
  <c r="I63" i="125"/>
  <c r="N62" i="125"/>
  <c r="Q62" i="125" s="1"/>
  <c r="R62" i="125" s="1"/>
  <c r="M62" i="125"/>
  <c r="I62" i="125"/>
  <c r="H62" i="125"/>
  <c r="S61" i="125"/>
  <c r="I61" i="125"/>
  <c r="N60" i="125"/>
  <c r="O60" i="125" s="1"/>
  <c r="M60" i="125"/>
  <c r="I60" i="125"/>
  <c r="H60" i="125"/>
  <c r="N59" i="125"/>
  <c r="Q59" i="125" s="1"/>
  <c r="R59" i="125" s="1"/>
  <c r="M59" i="125"/>
  <c r="I59" i="125"/>
  <c r="H59" i="125"/>
  <c r="N58" i="125"/>
  <c r="Q58" i="125" s="1"/>
  <c r="R58" i="125" s="1"/>
  <c r="M58" i="125"/>
  <c r="I58" i="125"/>
  <c r="H58" i="125"/>
  <c r="N57" i="125"/>
  <c r="O57" i="125" s="1"/>
  <c r="M57" i="125"/>
  <c r="I57" i="125"/>
  <c r="H57" i="125"/>
  <c r="N56" i="125"/>
  <c r="O56" i="125" s="1"/>
  <c r="M56" i="125"/>
  <c r="I56" i="125"/>
  <c r="H56" i="125"/>
  <c r="N55" i="125"/>
  <c r="Q55" i="125" s="1"/>
  <c r="R55" i="125" s="1"/>
  <c r="M55" i="125"/>
  <c r="I55" i="125"/>
  <c r="H55" i="125"/>
  <c r="N54" i="125"/>
  <c r="Q54" i="125" s="1"/>
  <c r="R54" i="125" s="1"/>
  <c r="M54" i="125"/>
  <c r="I54" i="125"/>
  <c r="H54" i="125"/>
  <c r="N53" i="125"/>
  <c r="Q53" i="125" s="1"/>
  <c r="R53" i="125" s="1"/>
  <c r="M53" i="125"/>
  <c r="I53" i="125"/>
  <c r="H53" i="125"/>
  <c r="N52" i="125"/>
  <c r="O52" i="125" s="1"/>
  <c r="M52" i="125"/>
  <c r="I52" i="125"/>
  <c r="H52" i="125"/>
  <c r="N51" i="125"/>
  <c r="Q51" i="125" s="1"/>
  <c r="R51" i="125" s="1"/>
  <c r="M51" i="125"/>
  <c r="I51" i="125"/>
  <c r="H51" i="125"/>
  <c r="S50" i="125"/>
  <c r="I50" i="125"/>
  <c r="N49" i="125"/>
  <c r="Q49" i="125" s="1"/>
  <c r="R49" i="125" s="1"/>
  <c r="M49" i="125"/>
  <c r="I49" i="125"/>
  <c r="H49" i="125"/>
  <c r="S48" i="125"/>
  <c r="I48" i="125"/>
  <c r="N47" i="125"/>
  <c r="Q47" i="125" s="1"/>
  <c r="R47" i="125" s="1"/>
  <c r="M47" i="125"/>
  <c r="I47" i="125"/>
  <c r="H47" i="125"/>
  <c r="N46" i="125"/>
  <c r="Q46" i="125" s="1"/>
  <c r="R46" i="125" s="1"/>
  <c r="M46" i="125"/>
  <c r="I46" i="125"/>
  <c r="H46" i="125"/>
  <c r="N45" i="125"/>
  <c r="O45" i="125" s="1"/>
  <c r="M45" i="125"/>
  <c r="I45" i="125"/>
  <c r="H45" i="125"/>
  <c r="Q44" i="125"/>
  <c r="R44" i="125" s="1"/>
  <c r="N44" i="125"/>
  <c r="O44" i="125" s="1"/>
  <c r="M44" i="125"/>
  <c r="I44" i="125"/>
  <c r="H44" i="125"/>
  <c r="N43" i="125"/>
  <c r="O43" i="125" s="1"/>
  <c r="M43" i="125"/>
  <c r="I43" i="125"/>
  <c r="H43" i="125"/>
  <c r="N42" i="125"/>
  <c r="Q42" i="125" s="1"/>
  <c r="R42" i="125" s="1"/>
  <c r="M42" i="125"/>
  <c r="I42" i="125"/>
  <c r="H42" i="125"/>
  <c r="N41" i="125"/>
  <c r="Q41" i="125" s="1"/>
  <c r="R41" i="125" s="1"/>
  <c r="M41" i="125"/>
  <c r="I41" i="125"/>
  <c r="H41" i="125"/>
  <c r="N40" i="125"/>
  <c r="O40" i="125" s="1"/>
  <c r="M40" i="125"/>
  <c r="I40" i="125"/>
  <c r="H40" i="125"/>
  <c r="N39" i="125"/>
  <c r="Q39" i="125" s="1"/>
  <c r="R39" i="125" s="1"/>
  <c r="M39" i="125"/>
  <c r="I39" i="125"/>
  <c r="H39" i="125"/>
  <c r="N38" i="125"/>
  <c r="Q38" i="125" s="1"/>
  <c r="R38" i="125" s="1"/>
  <c r="M38" i="125"/>
  <c r="I38" i="125"/>
  <c r="H38" i="125"/>
  <c r="N37" i="125"/>
  <c r="Q37" i="125" s="1"/>
  <c r="R37" i="125" s="1"/>
  <c r="M37" i="125"/>
  <c r="I37" i="125"/>
  <c r="H37" i="125"/>
  <c r="N36" i="125"/>
  <c r="O36" i="125" s="1"/>
  <c r="M36" i="125"/>
  <c r="I36" i="125"/>
  <c r="H36" i="125"/>
  <c r="N35" i="125"/>
  <c r="Q35" i="125" s="1"/>
  <c r="R35" i="125" s="1"/>
  <c r="M35" i="125"/>
  <c r="I35" i="125"/>
  <c r="H35" i="125"/>
  <c r="S34" i="125"/>
  <c r="S33" i="125"/>
  <c r="N32" i="125"/>
  <c r="Q32" i="125" s="1"/>
  <c r="R32" i="125" s="1"/>
  <c r="M32" i="125"/>
  <c r="I32" i="125"/>
  <c r="H32" i="125"/>
  <c r="N31" i="125"/>
  <c r="O31" i="125" s="1"/>
  <c r="P31" i="125" s="1"/>
  <c r="M31" i="125"/>
  <c r="I31" i="125"/>
  <c r="H31" i="125"/>
  <c r="N30" i="125"/>
  <c r="Q30" i="125" s="1"/>
  <c r="R30" i="125" s="1"/>
  <c r="M30" i="125"/>
  <c r="I30" i="125"/>
  <c r="H30" i="125"/>
  <c r="N29" i="125"/>
  <c r="M29" i="125"/>
  <c r="I29" i="125"/>
  <c r="H29" i="125"/>
  <c r="N28" i="125"/>
  <c r="Q28" i="125" s="1"/>
  <c r="R28" i="125" s="1"/>
  <c r="M28" i="125"/>
  <c r="I28" i="125"/>
  <c r="H28" i="125"/>
  <c r="N27" i="125"/>
  <c r="O27" i="125" s="1"/>
  <c r="P27" i="125" s="1"/>
  <c r="M27" i="125"/>
  <c r="I27" i="125"/>
  <c r="H27" i="125"/>
  <c r="S26" i="125"/>
  <c r="N25" i="125"/>
  <c r="Q25" i="125" s="1"/>
  <c r="R25" i="125" s="1"/>
  <c r="M25" i="125"/>
  <c r="I25" i="125"/>
  <c r="H25" i="125"/>
  <c r="N24" i="125"/>
  <c r="O24" i="125" s="1"/>
  <c r="M24" i="125"/>
  <c r="I24" i="125"/>
  <c r="H24" i="125"/>
  <c r="V24" i="125" s="1"/>
  <c r="N23" i="125"/>
  <c r="Q23" i="125" s="1"/>
  <c r="R23" i="125" s="1"/>
  <c r="M23" i="125"/>
  <c r="I23" i="125"/>
  <c r="H23" i="125"/>
  <c r="V23" i="125" s="1"/>
  <c r="V22" i="125"/>
  <c r="W22" i="125" s="1"/>
  <c r="U22" i="125"/>
  <c r="S22" i="125"/>
  <c r="N21" i="125"/>
  <c r="Q21" i="125" s="1"/>
  <c r="R21" i="125" s="1"/>
  <c r="M21" i="125"/>
  <c r="I21" i="125"/>
  <c r="H21" i="125"/>
  <c r="V21" i="125" s="1"/>
  <c r="Z20" i="125"/>
  <c r="V20" i="125"/>
  <c r="U20" i="125"/>
  <c r="S20" i="125"/>
  <c r="Z19" i="125"/>
  <c r="V19" i="125"/>
  <c r="U19" i="125"/>
  <c r="S19" i="125"/>
  <c r="Z18" i="125"/>
  <c r="N18" i="125"/>
  <c r="Q18" i="125" s="1"/>
  <c r="R18" i="125" s="1"/>
  <c r="M18" i="125"/>
  <c r="I18" i="125"/>
  <c r="H18" i="125"/>
  <c r="Z17" i="125"/>
  <c r="V17" i="125"/>
  <c r="U17" i="125"/>
  <c r="Z16" i="125"/>
  <c r="P16" i="125"/>
  <c r="R6" i="125"/>
  <c r="S109" i="125" l="1"/>
  <c r="S118" i="125"/>
  <c r="P123" i="125"/>
  <c r="S127" i="125"/>
  <c r="P132" i="125"/>
  <c r="Q190" i="125"/>
  <c r="R190" i="125" s="1"/>
  <c r="P121" i="125"/>
  <c r="S62" i="125"/>
  <c r="S75" i="125"/>
  <c r="P80" i="125"/>
  <c r="S82" i="125"/>
  <c r="P84" i="125"/>
  <c r="S86" i="125"/>
  <c r="P88" i="125"/>
  <c r="S90" i="125"/>
  <c r="P92" i="125"/>
  <c r="S97" i="125"/>
  <c r="S102" i="125"/>
  <c r="M206" i="125"/>
  <c r="O79" i="125"/>
  <c r="P45" i="125"/>
  <c r="S47" i="125"/>
  <c r="P52" i="125"/>
  <c r="S54" i="125"/>
  <c r="S138" i="125"/>
  <c r="S150" i="125"/>
  <c r="S99" i="125"/>
  <c r="S101" i="125"/>
  <c r="P103" i="125"/>
  <c r="S105" i="125"/>
  <c r="S107" i="125"/>
  <c r="P112" i="125"/>
  <c r="S114" i="125"/>
  <c r="S121" i="125"/>
  <c r="P156" i="125"/>
  <c r="P36" i="125"/>
  <c r="P24" i="125"/>
  <c r="S44" i="125"/>
  <c r="S51" i="125"/>
  <c r="S53" i="125"/>
  <c r="S55" i="125"/>
  <c r="S155" i="125"/>
  <c r="S167" i="125"/>
  <c r="S169" i="125"/>
  <c r="O133" i="125"/>
  <c r="P133" i="125" s="1"/>
  <c r="R179" i="125"/>
  <c r="S179" i="125" s="1"/>
  <c r="U179" i="125"/>
  <c r="R178" i="125"/>
  <c r="S178" i="125" s="1"/>
  <c r="U178" i="125"/>
  <c r="R177" i="125"/>
  <c r="S177" i="125" s="1"/>
  <c r="U177" i="125"/>
  <c r="W20" i="125"/>
  <c r="P40" i="125"/>
  <c r="P44" i="125"/>
  <c r="O65" i="125"/>
  <c r="P65" i="125" s="1"/>
  <c r="S67" i="125"/>
  <c r="S69" i="125"/>
  <c r="P71" i="125"/>
  <c r="P73" i="125"/>
  <c r="S78" i="125"/>
  <c r="S129" i="125"/>
  <c r="Z15" i="125"/>
  <c r="Z22" i="125" s="1"/>
  <c r="O55" i="125"/>
  <c r="P55" i="125" s="1"/>
  <c r="P57" i="125"/>
  <c r="S59" i="125"/>
  <c r="P64" i="125"/>
  <c r="S117" i="125"/>
  <c r="S134" i="125"/>
  <c r="S141" i="125"/>
  <c r="S143" i="125"/>
  <c r="P148" i="125"/>
  <c r="C38" i="127"/>
  <c r="Q156" i="125"/>
  <c r="R156" i="125" s="1"/>
  <c r="S156" i="125" s="1"/>
  <c r="S173" i="125"/>
  <c r="P180" i="125"/>
  <c r="P182" i="125"/>
  <c r="W17" i="125"/>
  <c r="W19" i="125"/>
  <c r="S39" i="125"/>
  <c r="P43" i="125"/>
  <c r="S49" i="125"/>
  <c r="S66" i="125"/>
  <c r="P68" i="125"/>
  <c r="S70" i="125"/>
  <c r="P72" i="125"/>
  <c r="P77" i="125"/>
  <c r="S79" i="125"/>
  <c r="P79" i="125"/>
  <c r="P104" i="125"/>
  <c r="S106" i="125"/>
  <c r="S111" i="125"/>
  <c r="S113" i="125"/>
  <c r="S115" i="125"/>
  <c r="P120" i="125"/>
  <c r="P137" i="125"/>
  <c r="S146" i="125"/>
  <c r="S159" i="125"/>
  <c r="S161" i="125"/>
  <c r="I191" i="125"/>
  <c r="C37" i="127"/>
  <c r="S30" i="125"/>
  <c r="O47" i="125"/>
  <c r="P47" i="125" s="1"/>
  <c r="P56" i="125"/>
  <c r="S58" i="125"/>
  <c r="P60" i="125"/>
  <c r="S65" i="125"/>
  <c r="S94" i="125"/>
  <c r="P181" i="125"/>
  <c r="S183" i="125"/>
  <c r="O178" i="125"/>
  <c r="P178" i="125" s="1"/>
  <c r="F38" i="127"/>
  <c r="G38" i="127" s="1"/>
  <c r="O23" i="125"/>
  <c r="P23" i="125" s="1"/>
  <c r="Q43" i="125"/>
  <c r="R43" i="125" s="1"/>
  <c r="S43" i="125" s="1"/>
  <c r="Q45" i="125"/>
  <c r="R45" i="125" s="1"/>
  <c r="S45" i="125" s="1"/>
  <c r="O49" i="125"/>
  <c r="P49" i="125" s="1"/>
  <c r="Q73" i="125"/>
  <c r="R73" i="125" s="1"/>
  <c r="S73" i="125" s="1"/>
  <c r="O115" i="125"/>
  <c r="P115" i="125" s="1"/>
  <c r="Q123" i="125"/>
  <c r="R123" i="125" s="1"/>
  <c r="S123" i="125" s="1"/>
  <c r="O165" i="125"/>
  <c r="P165" i="125" s="1"/>
  <c r="Q57" i="125"/>
  <c r="R57" i="125" s="1"/>
  <c r="S57" i="125" s="1"/>
  <c r="Q103" i="125"/>
  <c r="R103" i="125" s="1"/>
  <c r="S103" i="125" s="1"/>
  <c r="O175" i="125"/>
  <c r="P175" i="125" s="1"/>
  <c r="O177" i="125"/>
  <c r="P177" i="125" s="1"/>
  <c r="Q52" i="125"/>
  <c r="R52" i="125" s="1"/>
  <c r="S52" i="125" s="1"/>
  <c r="O179" i="125"/>
  <c r="P179" i="125" s="1"/>
  <c r="Q71" i="125"/>
  <c r="R71" i="125" s="1"/>
  <c r="S71" i="125" s="1"/>
  <c r="O85" i="125"/>
  <c r="P85" i="125" s="1"/>
  <c r="M191" i="125"/>
  <c r="F37" i="127"/>
  <c r="O21" i="125"/>
  <c r="P21" i="125" s="1"/>
  <c r="O28" i="125"/>
  <c r="P28" i="125" s="1"/>
  <c r="O39" i="125"/>
  <c r="P39" i="125" s="1"/>
  <c r="O67" i="125"/>
  <c r="P67" i="125" s="1"/>
  <c r="O81" i="125"/>
  <c r="P81" i="125" s="1"/>
  <c r="Q88" i="125"/>
  <c r="R88" i="125" s="1"/>
  <c r="S88" i="125" s="1"/>
  <c r="O101" i="125"/>
  <c r="P101" i="125" s="1"/>
  <c r="O107" i="125"/>
  <c r="P107" i="125" s="1"/>
  <c r="O109" i="125"/>
  <c r="P109" i="125" s="1"/>
  <c r="O117" i="125"/>
  <c r="P117" i="125" s="1"/>
  <c r="Q137" i="125"/>
  <c r="R137" i="125" s="1"/>
  <c r="S137" i="125" s="1"/>
  <c r="O169" i="125"/>
  <c r="P169" i="125" s="1"/>
  <c r="Q77" i="125"/>
  <c r="R77" i="125" s="1"/>
  <c r="S77" i="125" s="1"/>
  <c r="Q87" i="125"/>
  <c r="R87" i="125" s="1"/>
  <c r="S87" i="125" s="1"/>
  <c r="Q125" i="125"/>
  <c r="R125" i="125" s="1"/>
  <c r="S125" i="125" s="1"/>
  <c r="O168" i="125"/>
  <c r="P168" i="125" s="1"/>
  <c r="Q182" i="125"/>
  <c r="R182" i="125" s="1"/>
  <c r="S182" i="125" s="1"/>
  <c r="O41" i="125"/>
  <c r="P41" i="125" s="1"/>
  <c r="O69" i="125"/>
  <c r="P69" i="125" s="1"/>
  <c r="O83" i="125"/>
  <c r="P83" i="125" s="1"/>
  <c r="Q96" i="125"/>
  <c r="R96" i="125" s="1"/>
  <c r="S96" i="125" s="1"/>
  <c r="O99" i="125"/>
  <c r="P99" i="125" s="1"/>
  <c r="O105" i="125"/>
  <c r="P105" i="125" s="1"/>
  <c r="Q124" i="125"/>
  <c r="R124" i="125" s="1"/>
  <c r="S124" i="125" s="1"/>
  <c r="O129" i="125"/>
  <c r="P129" i="125" s="1"/>
  <c r="O131" i="125"/>
  <c r="P131" i="125" s="1"/>
  <c r="O141" i="125"/>
  <c r="P141" i="125" s="1"/>
  <c r="Q144" i="125"/>
  <c r="R144" i="125" s="1"/>
  <c r="S144" i="125" s="1"/>
  <c r="Q72" i="125"/>
  <c r="R72" i="125" s="1"/>
  <c r="S72" i="125" s="1"/>
  <c r="Q181" i="125"/>
  <c r="Q186" i="125"/>
  <c r="R186" i="125" s="1"/>
  <c r="S186" i="125" s="1"/>
  <c r="Q104" i="125"/>
  <c r="R104" i="125" s="1"/>
  <c r="S104" i="125" s="1"/>
  <c r="Q180" i="125"/>
  <c r="S153" i="125"/>
  <c r="S37" i="125"/>
  <c r="D38" i="127"/>
  <c r="Q38" i="127" s="1"/>
  <c r="S160" i="125"/>
  <c r="S162" i="125"/>
  <c r="S172" i="125"/>
  <c r="S184" i="125"/>
  <c r="S188" i="125"/>
  <c r="S21" i="125"/>
  <c r="O32" i="125"/>
  <c r="P32" i="125" s="1"/>
  <c r="O51" i="125"/>
  <c r="P51" i="125" s="1"/>
  <c r="O53" i="125"/>
  <c r="P53" i="125" s="1"/>
  <c r="Q56" i="125"/>
  <c r="R56" i="125" s="1"/>
  <c r="S56" i="125" s="1"/>
  <c r="O75" i="125"/>
  <c r="P75" i="125" s="1"/>
  <c r="O97" i="125"/>
  <c r="P97" i="125" s="1"/>
  <c r="Q100" i="125"/>
  <c r="R100" i="125" s="1"/>
  <c r="S100" i="125" s="1"/>
  <c r="O135" i="125"/>
  <c r="P135" i="125" s="1"/>
  <c r="O143" i="125"/>
  <c r="P143" i="125" s="1"/>
  <c r="O167" i="125"/>
  <c r="P167" i="125" s="1"/>
  <c r="S25" i="125"/>
  <c r="Q40" i="125"/>
  <c r="R40" i="125" s="1"/>
  <c r="S40" i="125" s="1"/>
  <c r="S46" i="125"/>
  <c r="Q68" i="125"/>
  <c r="R68" i="125" s="1"/>
  <c r="S68" i="125" s="1"/>
  <c r="Q84" i="125"/>
  <c r="R84" i="125" s="1"/>
  <c r="S84" i="125" s="1"/>
  <c r="O91" i="125"/>
  <c r="P91" i="125" s="1"/>
  <c r="O111" i="125"/>
  <c r="P111" i="125" s="1"/>
  <c r="O113" i="125"/>
  <c r="P113" i="125" s="1"/>
  <c r="Q120" i="125"/>
  <c r="R120" i="125" s="1"/>
  <c r="S120" i="125" s="1"/>
  <c r="Q148" i="125"/>
  <c r="R148" i="125" s="1"/>
  <c r="S148" i="125" s="1"/>
  <c r="O153" i="125"/>
  <c r="D37" i="127"/>
  <c r="Q31" i="125"/>
  <c r="R31" i="125" s="1"/>
  <c r="S31" i="125" s="1"/>
  <c r="O37" i="125"/>
  <c r="P37" i="125" s="1"/>
  <c r="S23" i="125"/>
  <c r="O25" i="125"/>
  <c r="P25" i="125" s="1"/>
  <c r="Q27" i="125"/>
  <c r="R27" i="125" s="1"/>
  <c r="S27" i="125" s="1"/>
  <c r="S41" i="125"/>
  <c r="O59" i="125"/>
  <c r="P59" i="125" s="1"/>
  <c r="Q92" i="125"/>
  <c r="R92" i="125" s="1"/>
  <c r="S92" i="125" s="1"/>
  <c r="Q112" i="125"/>
  <c r="R112" i="125" s="1"/>
  <c r="S112" i="125" s="1"/>
  <c r="O127" i="125"/>
  <c r="P127" i="125" s="1"/>
  <c r="O155" i="125"/>
  <c r="P155" i="125" s="1"/>
  <c r="O159" i="125"/>
  <c r="P159" i="125" s="1"/>
  <c r="O160" i="125"/>
  <c r="P160" i="125" s="1"/>
  <c r="O161" i="125"/>
  <c r="P161" i="125" s="1"/>
  <c r="O162" i="125"/>
  <c r="P162" i="125" s="1"/>
  <c r="S168" i="125"/>
  <c r="O172" i="125"/>
  <c r="P172" i="125" s="1"/>
  <c r="O173" i="125"/>
  <c r="P173" i="125" s="1"/>
  <c r="O184" i="125"/>
  <c r="P184" i="125" s="1"/>
  <c r="O188" i="125"/>
  <c r="P188" i="125" s="1"/>
  <c r="S32" i="125"/>
  <c r="S35" i="125"/>
  <c r="Q64" i="125"/>
  <c r="R64" i="125" s="1"/>
  <c r="S64" i="125" s="1"/>
  <c r="Q80" i="125"/>
  <c r="R80" i="125" s="1"/>
  <c r="S80" i="125" s="1"/>
  <c r="O89" i="125"/>
  <c r="P89" i="125" s="1"/>
  <c r="Q132" i="125"/>
  <c r="R132" i="125" s="1"/>
  <c r="S132" i="125" s="1"/>
  <c r="Q140" i="125"/>
  <c r="R140" i="125" s="1"/>
  <c r="S140" i="125" s="1"/>
  <c r="O158" i="125"/>
  <c r="P158" i="125" s="1"/>
  <c r="O183" i="125"/>
  <c r="P183" i="125" s="1"/>
  <c r="O187" i="125"/>
  <c r="P187" i="125" s="1"/>
  <c r="O18" i="125"/>
  <c r="P18" i="125" s="1"/>
  <c r="Q24" i="125"/>
  <c r="R24" i="125" s="1"/>
  <c r="U24" i="125" s="1"/>
  <c r="W24" i="125" s="1"/>
  <c r="S28" i="125"/>
  <c r="Q60" i="125"/>
  <c r="R60" i="125" s="1"/>
  <c r="S60" i="125" s="1"/>
  <c r="S18" i="125"/>
  <c r="S38" i="125"/>
  <c r="H191" i="125"/>
  <c r="V18" i="125"/>
  <c r="U21" i="125"/>
  <c r="W21" i="125" s="1"/>
  <c r="S158" i="125"/>
  <c r="Q29" i="125"/>
  <c r="R29" i="125" s="1"/>
  <c r="S29" i="125" s="1"/>
  <c r="O29" i="125"/>
  <c r="P29" i="125" s="1"/>
  <c r="S190" i="125"/>
  <c r="K191" i="125"/>
  <c r="Q36" i="125"/>
  <c r="R36" i="125" s="1"/>
  <c r="S42" i="125"/>
  <c r="O38" i="125"/>
  <c r="P38" i="125" s="1"/>
  <c r="O42" i="125"/>
  <c r="P42" i="125" s="1"/>
  <c r="O46" i="125"/>
  <c r="P46" i="125" s="1"/>
  <c r="O54" i="125"/>
  <c r="P54" i="125" s="1"/>
  <c r="O58" i="125"/>
  <c r="P58" i="125" s="1"/>
  <c r="O62" i="125"/>
  <c r="P62" i="125" s="1"/>
  <c r="O66" i="125"/>
  <c r="P66" i="125" s="1"/>
  <c r="O70" i="125"/>
  <c r="P70" i="125" s="1"/>
  <c r="O78" i="125"/>
  <c r="P78" i="125" s="1"/>
  <c r="O82" i="125"/>
  <c r="P82" i="125" s="1"/>
  <c r="O86" i="125"/>
  <c r="P86" i="125" s="1"/>
  <c r="O90" i="125"/>
  <c r="P90" i="125" s="1"/>
  <c r="O94" i="125"/>
  <c r="P94" i="125" s="1"/>
  <c r="O98" i="125"/>
  <c r="P98" i="125" s="1"/>
  <c r="O102" i="125"/>
  <c r="P102" i="125" s="1"/>
  <c r="O106" i="125"/>
  <c r="P106" i="125" s="1"/>
  <c r="O114" i="125"/>
  <c r="P114" i="125" s="1"/>
  <c r="O118" i="125"/>
  <c r="P118" i="125" s="1"/>
  <c r="O122" i="125"/>
  <c r="P122" i="125" s="1"/>
  <c r="O126" i="125"/>
  <c r="P126" i="125" s="1"/>
  <c r="O134" i="125"/>
  <c r="P134" i="125" s="1"/>
  <c r="O138" i="125"/>
  <c r="P138" i="125" s="1"/>
  <c r="O142" i="125"/>
  <c r="P142" i="125" s="1"/>
  <c r="O146" i="125"/>
  <c r="P146" i="125" s="1"/>
  <c r="O150" i="125"/>
  <c r="P150" i="125" s="1"/>
  <c r="P190" i="125"/>
  <c r="O30" i="125"/>
  <c r="P30" i="125" s="1"/>
  <c r="O35" i="125"/>
  <c r="P35" i="125" s="1"/>
  <c r="C36" i="127" l="1"/>
  <c r="G95" i="118" s="1"/>
  <c r="I199" i="125"/>
  <c r="U23" i="125"/>
  <c r="W23" i="125" s="1"/>
  <c r="I195" i="125"/>
  <c r="I197" i="125" s="1"/>
  <c r="R180" i="125"/>
  <c r="S180" i="125" s="1"/>
  <c r="U180" i="125"/>
  <c r="R181" i="125"/>
  <c r="S181" i="125" s="1"/>
  <c r="U181" i="125"/>
  <c r="L191" i="125"/>
  <c r="M194" i="125" s="1"/>
  <c r="AA22" i="125"/>
  <c r="AB22" i="125" s="1"/>
  <c r="N199" i="125"/>
  <c r="F36" i="127"/>
  <c r="G36" i="127" s="1"/>
  <c r="G37" i="127"/>
  <c r="D36" i="127"/>
  <c r="Q36" i="127" s="1"/>
  <c r="Q37" i="127"/>
  <c r="H37" i="127"/>
  <c r="J37" i="127"/>
  <c r="K37" i="127" s="1"/>
  <c r="U18" i="125"/>
  <c r="W18" i="125" s="1"/>
  <c r="H38" i="127"/>
  <c r="P153" i="125"/>
  <c r="S24" i="125"/>
  <c r="O191" i="125"/>
  <c r="N205" i="125"/>
  <c r="F204" i="125"/>
  <c r="F203" i="125"/>
  <c r="H195" i="125"/>
  <c r="H197" i="125" s="1"/>
  <c r="U197" i="125" s="1"/>
  <c r="X191" i="125"/>
  <c r="H202" i="125"/>
  <c r="D202" i="125"/>
  <c r="J191" i="125"/>
  <c r="S36" i="125"/>
  <c r="M193" i="125" l="1"/>
  <c r="M196" i="125"/>
  <c r="M192" i="125"/>
  <c r="R191" i="125"/>
  <c r="Q191" i="125" s="1"/>
  <c r="J38" i="127"/>
  <c r="K38" i="127" s="1"/>
  <c r="L95" i="118"/>
  <c r="E36" i="127"/>
  <c r="S95" i="118"/>
  <c r="I37" i="127"/>
  <c r="R37" i="127"/>
  <c r="I38" i="127"/>
  <c r="H36" i="127"/>
  <c r="O194" i="125"/>
  <c r="R194" i="125" s="1"/>
  <c r="L102" i="118"/>
  <c r="N191" i="125"/>
  <c r="N200" i="125" s="1"/>
  <c r="O200" i="125" s="1"/>
  <c r="S102" i="118" l="1"/>
  <c r="O193" i="125"/>
  <c r="R193" i="125" s="1"/>
  <c r="O196" i="125"/>
  <c r="R196" i="125" s="1"/>
  <c r="M195" i="125"/>
  <c r="M197" i="125" s="1"/>
  <c r="L197" i="125" s="1"/>
  <c r="U195" i="125"/>
  <c r="U191" i="125"/>
  <c r="Y191" i="125" s="1"/>
  <c r="O199" i="125"/>
  <c r="R38" i="127"/>
  <c r="AA95" i="118"/>
  <c r="I36" i="127"/>
  <c r="J36" i="127"/>
  <c r="K36" i="127" s="1"/>
  <c r="O192" i="125"/>
  <c r="K202" i="125"/>
  <c r="K195" i="125"/>
  <c r="K197" i="125" s="1"/>
  <c r="J197" i="125" s="1"/>
  <c r="R36" i="127" l="1"/>
  <c r="R192" i="125"/>
  <c r="R195" i="125" s="1"/>
  <c r="R197" i="125" s="1"/>
  <c r="O195" i="125"/>
  <c r="O197" i="125" s="1"/>
  <c r="N197" i="125" l="1"/>
  <c r="X197" i="125"/>
  <c r="Y197" i="125" s="1"/>
  <c r="S201" i="125"/>
  <c r="Q197" i="125"/>
  <c r="N87" i="124" l="1"/>
  <c r="M87" i="124"/>
  <c r="H73" i="124"/>
  <c r="H72" i="124"/>
  <c r="H71" i="124"/>
  <c r="H70" i="124"/>
  <c r="N59" i="124"/>
  <c r="O59" i="124" s="1"/>
  <c r="P59" i="124" s="1"/>
  <c r="M59" i="124"/>
  <c r="K59" i="124"/>
  <c r="I59" i="124"/>
  <c r="H59" i="124"/>
  <c r="U59" i="124" s="1"/>
  <c r="N58" i="124"/>
  <c r="Q58" i="124" s="1"/>
  <c r="R58" i="124" s="1"/>
  <c r="M58" i="124"/>
  <c r="K58" i="124"/>
  <c r="I58" i="124"/>
  <c r="H58" i="124"/>
  <c r="U58" i="124" s="1"/>
  <c r="N57" i="124"/>
  <c r="O57" i="124" s="1"/>
  <c r="M57" i="124"/>
  <c r="K57" i="124"/>
  <c r="I57" i="124"/>
  <c r="H57" i="124"/>
  <c r="U57" i="124" s="1"/>
  <c r="N56" i="124"/>
  <c r="O56" i="124" s="1"/>
  <c r="P56" i="124" s="1"/>
  <c r="M56" i="124"/>
  <c r="K56" i="124"/>
  <c r="I56" i="124"/>
  <c r="H56" i="124"/>
  <c r="U56" i="124" s="1"/>
  <c r="U55" i="124"/>
  <c r="N55" i="124"/>
  <c r="Q55" i="124" s="1"/>
  <c r="R55" i="124" s="1"/>
  <c r="M55" i="124"/>
  <c r="K55" i="124"/>
  <c r="I55" i="124"/>
  <c r="H55" i="124"/>
  <c r="T54" i="124"/>
  <c r="N54" i="124"/>
  <c r="M54" i="124"/>
  <c r="I54" i="124"/>
  <c r="H54" i="124"/>
  <c r="U54" i="124" s="1"/>
  <c r="V54" i="124" s="1"/>
  <c r="N53" i="124"/>
  <c r="Q53" i="124" s="1"/>
  <c r="R53" i="124" s="1"/>
  <c r="M53" i="124"/>
  <c r="K53" i="124"/>
  <c r="I53" i="124"/>
  <c r="H53" i="124"/>
  <c r="U53" i="124" s="1"/>
  <c r="T52" i="124"/>
  <c r="I52" i="124"/>
  <c r="H52" i="124"/>
  <c r="U52" i="124" s="1"/>
  <c r="T51" i="124"/>
  <c r="I51" i="124"/>
  <c r="H51" i="124"/>
  <c r="U51" i="124" s="1"/>
  <c r="N50" i="124"/>
  <c r="O50" i="124" s="1"/>
  <c r="M50" i="124"/>
  <c r="K50" i="124"/>
  <c r="I50" i="124"/>
  <c r="H50" i="124"/>
  <c r="U50" i="124" s="1"/>
  <c r="T49" i="124"/>
  <c r="I49" i="124"/>
  <c r="H49" i="124"/>
  <c r="U49" i="124" s="1"/>
  <c r="V49" i="124" s="1"/>
  <c r="N48" i="124"/>
  <c r="Q48" i="124" s="1"/>
  <c r="R48" i="124" s="1"/>
  <c r="M48" i="124"/>
  <c r="K48" i="124"/>
  <c r="I48" i="124"/>
  <c r="H48" i="124"/>
  <c r="U48" i="124" s="1"/>
  <c r="T47" i="124"/>
  <c r="I47" i="124"/>
  <c r="H47" i="124"/>
  <c r="U47" i="124" s="1"/>
  <c r="N46" i="124"/>
  <c r="O46" i="124" s="1"/>
  <c r="M46" i="124"/>
  <c r="K46" i="124"/>
  <c r="I46" i="124"/>
  <c r="H46" i="124"/>
  <c r="U46" i="124" s="1"/>
  <c r="T45" i="124"/>
  <c r="I45" i="124"/>
  <c r="H45" i="124"/>
  <c r="U45" i="124" s="1"/>
  <c r="V45" i="124" s="1"/>
  <c r="T44" i="124"/>
  <c r="I44" i="124"/>
  <c r="H44" i="124"/>
  <c r="U44" i="124" s="1"/>
  <c r="N43" i="124"/>
  <c r="Q43" i="124" s="1"/>
  <c r="R43" i="124" s="1"/>
  <c r="M43" i="124"/>
  <c r="K43" i="124"/>
  <c r="I43" i="124"/>
  <c r="H43" i="124"/>
  <c r="U43" i="124" s="1"/>
  <c r="T42" i="124"/>
  <c r="I42" i="124"/>
  <c r="H42" i="124"/>
  <c r="U42" i="124" s="1"/>
  <c r="N41" i="124"/>
  <c r="Q41" i="124" s="1"/>
  <c r="R41" i="124" s="1"/>
  <c r="M41" i="124"/>
  <c r="K41" i="124"/>
  <c r="I41" i="124"/>
  <c r="H41" i="124"/>
  <c r="U41" i="124" s="1"/>
  <c r="N40" i="124"/>
  <c r="Q40" i="124" s="1"/>
  <c r="R40" i="124" s="1"/>
  <c r="M40" i="124"/>
  <c r="K40" i="124"/>
  <c r="I40" i="124"/>
  <c r="H40" i="124"/>
  <c r="U40" i="124" s="1"/>
  <c r="N39" i="124"/>
  <c r="O39" i="124" s="1"/>
  <c r="M39" i="124"/>
  <c r="K39" i="124"/>
  <c r="I39" i="124"/>
  <c r="H39" i="124"/>
  <c r="U39" i="124" s="1"/>
  <c r="T38" i="124"/>
  <c r="I38" i="124"/>
  <c r="H38" i="124"/>
  <c r="U38" i="124" s="1"/>
  <c r="T37" i="124"/>
  <c r="I37" i="124"/>
  <c r="H37" i="124"/>
  <c r="U37" i="124" s="1"/>
  <c r="N36" i="124"/>
  <c r="O36" i="124" s="1"/>
  <c r="M36" i="124"/>
  <c r="K36" i="124"/>
  <c r="I36" i="124"/>
  <c r="H36" i="124"/>
  <c r="U36" i="124" s="1"/>
  <c r="N35" i="124"/>
  <c r="Q35" i="124" s="1"/>
  <c r="R35" i="124" s="1"/>
  <c r="M35" i="124"/>
  <c r="K35" i="124"/>
  <c r="I35" i="124"/>
  <c r="H35" i="124"/>
  <c r="U35" i="124" s="1"/>
  <c r="T34" i="124"/>
  <c r="I34" i="124"/>
  <c r="H34" i="124"/>
  <c r="U34" i="124" s="1"/>
  <c r="T33" i="124"/>
  <c r="I33" i="124"/>
  <c r="H33" i="124"/>
  <c r="U33" i="124" s="1"/>
  <c r="V33" i="124" s="1"/>
  <c r="N32" i="124"/>
  <c r="O32" i="124" s="1"/>
  <c r="M32" i="124"/>
  <c r="K32" i="124"/>
  <c r="I32" i="124"/>
  <c r="H32" i="124"/>
  <c r="U32" i="124" s="1"/>
  <c r="N31" i="124"/>
  <c r="O31" i="124" s="1"/>
  <c r="M31" i="124"/>
  <c r="K31" i="124"/>
  <c r="I31" i="124"/>
  <c r="H31" i="124"/>
  <c r="U31" i="124" s="1"/>
  <c r="N30" i="124"/>
  <c r="Q30" i="124" s="1"/>
  <c r="R30" i="124" s="1"/>
  <c r="M30" i="124"/>
  <c r="K30" i="124"/>
  <c r="I30" i="124"/>
  <c r="H30" i="124"/>
  <c r="U30" i="124" s="1"/>
  <c r="N29" i="124"/>
  <c r="O29" i="124" s="1"/>
  <c r="M29" i="124"/>
  <c r="K29" i="124"/>
  <c r="I29" i="124"/>
  <c r="H29" i="124"/>
  <c r="U29" i="124" s="1"/>
  <c r="N28" i="124"/>
  <c r="Q28" i="124" s="1"/>
  <c r="R28" i="124" s="1"/>
  <c r="M28" i="124"/>
  <c r="K28" i="124"/>
  <c r="I28" i="124"/>
  <c r="H28" i="124"/>
  <c r="U28" i="124" s="1"/>
  <c r="U27" i="124"/>
  <c r="N27" i="124"/>
  <c r="Q27" i="124" s="1"/>
  <c r="R27" i="124" s="1"/>
  <c r="M27" i="124"/>
  <c r="K27" i="124"/>
  <c r="I27" i="124"/>
  <c r="H27" i="124"/>
  <c r="T26" i="124"/>
  <c r="P26" i="124"/>
  <c r="I26" i="124"/>
  <c r="H26" i="124"/>
  <c r="U26" i="124" s="1"/>
  <c r="V26" i="124" s="1"/>
  <c r="N25" i="124"/>
  <c r="Q25" i="124" s="1"/>
  <c r="R25" i="124" s="1"/>
  <c r="M25" i="124"/>
  <c r="K25" i="124"/>
  <c r="I25" i="124"/>
  <c r="H25" i="124"/>
  <c r="U25" i="124" s="1"/>
  <c r="N24" i="124"/>
  <c r="Q24" i="124" s="1"/>
  <c r="R24" i="124" s="1"/>
  <c r="M24" i="124"/>
  <c r="K24" i="124"/>
  <c r="I24" i="124"/>
  <c r="H24" i="124"/>
  <c r="U24" i="124" s="1"/>
  <c r="N23" i="124"/>
  <c r="O23" i="124" s="1"/>
  <c r="M23" i="124"/>
  <c r="K23" i="124"/>
  <c r="I23" i="124"/>
  <c r="H23" i="124"/>
  <c r="U23" i="124" s="1"/>
  <c r="N22" i="124"/>
  <c r="O22" i="124" s="1"/>
  <c r="M22" i="124"/>
  <c r="K22" i="124"/>
  <c r="I22" i="124"/>
  <c r="H22" i="124"/>
  <c r="U22" i="124" s="1"/>
  <c r="U21" i="124"/>
  <c r="N21" i="124"/>
  <c r="Q21" i="124" s="1"/>
  <c r="R21" i="124" s="1"/>
  <c r="M21" i="124"/>
  <c r="K21" i="124"/>
  <c r="I21" i="124"/>
  <c r="H21" i="124"/>
  <c r="Y20" i="124"/>
  <c r="N20" i="124"/>
  <c r="O20" i="124" s="1"/>
  <c r="P20" i="124" s="1"/>
  <c r="M20" i="124"/>
  <c r="K20" i="124"/>
  <c r="I20" i="124"/>
  <c r="H20" i="124"/>
  <c r="U20" i="124" s="1"/>
  <c r="Y19" i="124"/>
  <c r="N19" i="124"/>
  <c r="Q19" i="124" s="1"/>
  <c r="R19" i="124" s="1"/>
  <c r="M19" i="124"/>
  <c r="K19" i="124"/>
  <c r="I19" i="124"/>
  <c r="H19" i="124"/>
  <c r="U19" i="124" s="1"/>
  <c r="Y18" i="124"/>
  <c r="N18" i="124"/>
  <c r="Q18" i="124" s="1"/>
  <c r="R18" i="124" s="1"/>
  <c r="M18" i="124"/>
  <c r="K18" i="124"/>
  <c r="I18" i="124"/>
  <c r="H18" i="124"/>
  <c r="U18" i="124" s="1"/>
  <c r="Y17" i="124"/>
  <c r="N17" i="124"/>
  <c r="Q17" i="124" s="1"/>
  <c r="R17" i="124" s="1"/>
  <c r="M17" i="124"/>
  <c r="K17" i="124"/>
  <c r="I17" i="124"/>
  <c r="H17" i="124"/>
  <c r="U17" i="124" s="1"/>
  <c r="Y16" i="124"/>
  <c r="P16" i="124"/>
  <c r="R4" i="124"/>
  <c r="V44" i="124" l="1"/>
  <c r="S26" i="124"/>
  <c r="P36" i="124"/>
  <c r="V42" i="124"/>
  <c r="V51" i="124"/>
  <c r="Q29" i="124"/>
  <c r="R29" i="124" s="1"/>
  <c r="S29" i="124" s="1"/>
  <c r="P46" i="124"/>
  <c r="V34" i="124"/>
  <c r="V47" i="124"/>
  <c r="I60" i="124"/>
  <c r="P23" i="124"/>
  <c r="P29" i="124"/>
  <c r="F27" i="127"/>
  <c r="G27" i="127" s="1"/>
  <c r="V37" i="124"/>
  <c r="P57" i="124"/>
  <c r="D27" i="127"/>
  <c r="Q39" i="124"/>
  <c r="R39" i="124" s="1"/>
  <c r="Q36" i="124"/>
  <c r="R36" i="124" s="1"/>
  <c r="T36" i="124" s="1"/>
  <c r="V36" i="124" s="1"/>
  <c r="O43" i="124"/>
  <c r="P43" i="124" s="1"/>
  <c r="Q22" i="124"/>
  <c r="R22" i="124" s="1"/>
  <c r="O18" i="124"/>
  <c r="P18" i="124" s="1"/>
  <c r="O28" i="124"/>
  <c r="P28" i="124" s="1"/>
  <c r="C28" i="127"/>
  <c r="V38" i="124"/>
  <c r="Q46" i="124"/>
  <c r="R46" i="124" s="1"/>
  <c r="T46" i="124" s="1"/>
  <c r="V52" i="124"/>
  <c r="Q57" i="124"/>
  <c r="R57" i="124" s="1"/>
  <c r="S57" i="124" s="1"/>
  <c r="Q20" i="124"/>
  <c r="R20" i="124" s="1"/>
  <c r="O27" i="124"/>
  <c r="P27" i="124" s="1"/>
  <c r="D28" i="127"/>
  <c r="Q56" i="124"/>
  <c r="R56" i="124" s="1"/>
  <c r="S56" i="124" s="1"/>
  <c r="P32" i="124"/>
  <c r="C29" i="127"/>
  <c r="P31" i="124"/>
  <c r="Q32" i="124"/>
  <c r="R32" i="124" s="1"/>
  <c r="S32" i="124" s="1"/>
  <c r="O41" i="124"/>
  <c r="P41" i="124" s="1"/>
  <c r="O48" i="124"/>
  <c r="P48" i="124" s="1"/>
  <c r="O24" i="124"/>
  <c r="P24" i="124" s="1"/>
  <c r="Q31" i="124"/>
  <c r="R31" i="124" s="1"/>
  <c r="S31" i="124" s="1"/>
  <c r="O35" i="124"/>
  <c r="P35" i="124" s="1"/>
  <c r="F29" i="127"/>
  <c r="G29" i="127" s="1"/>
  <c r="C27" i="127"/>
  <c r="P22" i="124"/>
  <c r="Q23" i="124"/>
  <c r="R23" i="124" s="1"/>
  <c r="S23" i="124" s="1"/>
  <c r="P39" i="124"/>
  <c r="F28" i="127"/>
  <c r="S53" i="124"/>
  <c r="Q59" i="124"/>
  <c r="R59" i="124" s="1"/>
  <c r="S59" i="124" s="1"/>
  <c r="H60" i="124"/>
  <c r="N89" i="124" s="1"/>
  <c r="S22" i="124"/>
  <c r="P50" i="124"/>
  <c r="Q50" i="124"/>
  <c r="R50" i="124" s="1"/>
  <c r="T50" i="124" s="1"/>
  <c r="V50" i="124" s="1"/>
  <c r="Y15" i="124"/>
  <c r="Y22" i="124" s="1"/>
  <c r="M60" i="124"/>
  <c r="S40" i="124"/>
  <c r="T39" i="124"/>
  <c r="V39" i="124" s="1"/>
  <c r="S39" i="124"/>
  <c r="T20" i="124"/>
  <c r="V20" i="124" s="1"/>
  <c r="S19" i="124"/>
  <c r="S41" i="124"/>
  <c r="S48" i="124"/>
  <c r="S25" i="124"/>
  <c r="O53" i="124"/>
  <c r="T53" i="124" s="1"/>
  <c r="V53" i="124" s="1"/>
  <c r="O55" i="124"/>
  <c r="P55" i="124" s="1"/>
  <c r="O21" i="124"/>
  <c r="P21" i="124" s="1"/>
  <c r="O30" i="124"/>
  <c r="P30" i="124" s="1"/>
  <c r="O19" i="124"/>
  <c r="O25" i="124"/>
  <c r="P25" i="124" s="1"/>
  <c r="O40" i="124"/>
  <c r="P40" i="124" s="1"/>
  <c r="V46" i="124"/>
  <c r="O58" i="124"/>
  <c r="P58" i="124" s="1"/>
  <c r="K60" i="124"/>
  <c r="O17" i="124"/>
  <c r="T17" i="124" s="1"/>
  <c r="V17" i="124" s="1"/>
  <c r="D29" i="127"/>
  <c r="S18" i="124"/>
  <c r="S27" i="124"/>
  <c r="T35" i="124"/>
  <c r="V35" i="124" s="1"/>
  <c r="S35" i="124"/>
  <c r="T57" i="124"/>
  <c r="V57" i="124" s="1"/>
  <c r="S43" i="124"/>
  <c r="T22" i="124"/>
  <c r="V22" i="124" s="1"/>
  <c r="T29" i="124"/>
  <c r="V29" i="124" s="1"/>
  <c r="I63" i="124"/>
  <c r="I64" i="124" s="1"/>
  <c r="T64" i="124" s="1"/>
  <c r="S17" i="124"/>
  <c r="S21" i="124"/>
  <c r="S28" i="124"/>
  <c r="S58" i="124"/>
  <c r="F87" i="124"/>
  <c r="S55" i="124"/>
  <c r="S20" i="124"/>
  <c r="S24" i="124"/>
  <c r="S30" i="124"/>
  <c r="S46" i="124"/>
  <c r="W60" i="124"/>
  <c r="H69" i="124"/>
  <c r="F88" i="124"/>
  <c r="H86" i="124"/>
  <c r="S36" i="124" l="1"/>
  <c r="T56" i="124"/>
  <c r="V56" i="124" s="1"/>
  <c r="T27" i="124"/>
  <c r="V27" i="124" s="1"/>
  <c r="T32" i="124"/>
  <c r="V32" i="124" s="1"/>
  <c r="E27" i="127"/>
  <c r="T43" i="124"/>
  <c r="V43" i="124" s="1"/>
  <c r="T18" i="124"/>
  <c r="V18" i="124" s="1"/>
  <c r="F26" i="127"/>
  <c r="S93" i="118" s="1"/>
  <c r="S50" i="124"/>
  <c r="Q27" i="127"/>
  <c r="T31" i="124"/>
  <c r="V31" i="124" s="1"/>
  <c r="T23" i="124"/>
  <c r="V23" i="124" s="1"/>
  <c r="R60" i="124"/>
  <c r="S67" i="124" s="1"/>
  <c r="T59" i="124"/>
  <c r="V59" i="124" s="1"/>
  <c r="T48" i="124"/>
  <c r="V48" i="124" s="1"/>
  <c r="T41" i="124"/>
  <c r="V41" i="124" s="1"/>
  <c r="T30" i="124"/>
  <c r="V30" i="124" s="1"/>
  <c r="E28" i="127"/>
  <c r="Q28" i="127"/>
  <c r="E29" i="127"/>
  <c r="Q29" i="127"/>
  <c r="H27" i="127"/>
  <c r="O60" i="124"/>
  <c r="J60" i="124"/>
  <c r="K62" i="124" s="1"/>
  <c r="M81" i="124"/>
  <c r="T58" i="124"/>
  <c r="V58" i="124" s="1"/>
  <c r="G28" i="127"/>
  <c r="D26" i="127"/>
  <c r="Q26" i="127" s="1"/>
  <c r="C26" i="127"/>
  <c r="T28" i="124"/>
  <c r="V28" i="124" s="1"/>
  <c r="T24" i="124"/>
  <c r="V24" i="124" s="1"/>
  <c r="I81" i="124"/>
  <c r="M67" i="124"/>
  <c r="L60" i="124"/>
  <c r="Z22" i="124"/>
  <c r="AA22" i="124" s="1"/>
  <c r="P53" i="124"/>
  <c r="H29" i="127"/>
  <c r="E87" i="124"/>
  <c r="K67" i="124"/>
  <c r="P19" i="124"/>
  <c r="T55" i="124"/>
  <c r="V55" i="124" s="1"/>
  <c r="E88" i="124"/>
  <c r="H28" i="127"/>
  <c r="T19" i="124"/>
  <c r="V19" i="124" s="1"/>
  <c r="T40" i="124"/>
  <c r="V40" i="124" s="1"/>
  <c r="T21" i="124"/>
  <c r="V21" i="124" s="1"/>
  <c r="P17" i="124"/>
  <c r="T25" i="124"/>
  <c r="V25" i="124" s="1"/>
  <c r="L93" i="118" l="1"/>
  <c r="P82" i="124"/>
  <c r="P85" i="124"/>
  <c r="S60" i="124"/>
  <c r="T63" i="124"/>
  <c r="T60" i="124"/>
  <c r="X60" i="124" s="1"/>
  <c r="J27" i="127"/>
  <c r="R27" i="127" s="1"/>
  <c r="G93" i="118"/>
  <c r="K61" i="124"/>
  <c r="G26" i="127"/>
  <c r="M62" i="124"/>
  <c r="M61" i="124"/>
  <c r="I28" i="127"/>
  <c r="J28" i="127"/>
  <c r="K28" i="127" s="1"/>
  <c r="N60" i="124"/>
  <c r="N84" i="124" s="1"/>
  <c r="O84" i="124" s="1"/>
  <c r="P67" i="124"/>
  <c r="J29" i="127"/>
  <c r="K29" i="127" s="1"/>
  <c r="I29" i="127"/>
  <c r="I27" i="127"/>
  <c r="H26" i="127"/>
  <c r="O62" i="124" l="1"/>
  <c r="R62" i="124" s="1"/>
  <c r="R28" i="127"/>
  <c r="L100" i="118"/>
  <c r="K86" i="124"/>
  <c r="K63" i="124"/>
  <c r="K64" i="124" s="1"/>
  <c r="J64" i="124" s="1"/>
  <c r="R29" i="127"/>
  <c r="S100" i="118"/>
  <c r="M63" i="124"/>
  <c r="M64" i="124" s="1"/>
  <c r="L64" i="124" s="1"/>
  <c r="O61" i="124"/>
  <c r="K27" i="127"/>
  <c r="J26" i="127"/>
  <c r="K26" i="127" s="1"/>
  <c r="I26" i="127"/>
  <c r="R26" i="127" l="1"/>
  <c r="R61" i="124"/>
  <c r="R63" i="124" s="1"/>
  <c r="R64" i="124" s="1"/>
  <c r="O63" i="124"/>
  <c r="O64" i="124" s="1"/>
  <c r="N272" i="123"/>
  <c r="M272" i="123"/>
  <c r="Q266" i="123"/>
  <c r="Q265" i="123"/>
  <c r="Q264" i="123"/>
  <c r="P264" i="123"/>
  <c r="P263" i="123"/>
  <c r="P262" i="123"/>
  <c r="P260" i="123"/>
  <c r="P259" i="123"/>
  <c r="P258" i="123"/>
  <c r="N257" i="123"/>
  <c r="Q257" i="123" s="1"/>
  <c r="R257" i="123" s="1"/>
  <c r="M257" i="123"/>
  <c r="I257" i="123"/>
  <c r="H257" i="123"/>
  <c r="S256" i="123"/>
  <c r="R256" i="123"/>
  <c r="P256" i="123"/>
  <c r="O256" i="123"/>
  <c r="N255" i="123"/>
  <c r="O255" i="123" s="1"/>
  <c r="M255" i="123"/>
  <c r="I255" i="123"/>
  <c r="H255" i="123"/>
  <c r="R254" i="123"/>
  <c r="P254" i="123"/>
  <c r="O254" i="123"/>
  <c r="M254" i="123"/>
  <c r="I254" i="123"/>
  <c r="S254" i="123" s="1"/>
  <c r="H254" i="123"/>
  <c r="N253" i="123"/>
  <c r="O253" i="123" s="1"/>
  <c r="M253" i="123"/>
  <c r="I253" i="123"/>
  <c r="H253" i="123"/>
  <c r="S252" i="123"/>
  <c r="R252" i="123"/>
  <c r="P252" i="123"/>
  <c r="O252" i="123"/>
  <c r="M252" i="123"/>
  <c r="N251" i="123"/>
  <c r="O251" i="123" s="1"/>
  <c r="M251" i="123"/>
  <c r="I251" i="123"/>
  <c r="H251" i="123"/>
  <c r="N250" i="123"/>
  <c r="Q250" i="123" s="1"/>
  <c r="R250" i="123" s="1"/>
  <c r="M250" i="123"/>
  <c r="I250" i="123"/>
  <c r="H250" i="123"/>
  <c r="R249" i="123"/>
  <c r="P249" i="123"/>
  <c r="O249" i="123"/>
  <c r="M249" i="123"/>
  <c r="I249" i="123"/>
  <c r="S249" i="123" s="1"/>
  <c r="H249" i="123"/>
  <c r="N248" i="123"/>
  <c r="Q248" i="123" s="1"/>
  <c r="R248" i="123" s="1"/>
  <c r="M248" i="123"/>
  <c r="I248" i="123"/>
  <c r="H248" i="123"/>
  <c r="N247" i="123"/>
  <c r="Q247" i="123" s="1"/>
  <c r="R247" i="123" s="1"/>
  <c r="M247" i="123"/>
  <c r="I247" i="123"/>
  <c r="H247" i="123"/>
  <c r="R246" i="123"/>
  <c r="P246" i="123"/>
  <c r="O246" i="123"/>
  <c r="M246" i="123"/>
  <c r="I246" i="123"/>
  <c r="S246" i="123" s="1"/>
  <c r="H246" i="123"/>
  <c r="P245" i="123"/>
  <c r="N245" i="123"/>
  <c r="O245" i="123" s="1"/>
  <c r="M245" i="123"/>
  <c r="I245" i="123"/>
  <c r="S245" i="123" s="1"/>
  <c r="H245" i="123"/>
  <c r="N244" i="123"/>
  <c r="Q244" i="123" s="1"/>
  <c r="R244" i="123" s="1"/>
  <c r="M244" i="123"/>
  <c r="I244" i="123"/>
  <c r="H244" i="123"/>
  <c r="N243" i="123"/>
  <c r="Q243" i="123" s="1"/>
  <c r="R243" i="123" s="1"/>
  <c r="M243" i="123"/>
  <c r="I243" i="123"/>
  <c r="H243" i="123"/>
  <c r="N242" i="123"/>
  <c r="O242" i="123" s="1"/>
  <c r="M242" i="123"/>
  <c r="I242" i="123"/>
  <c r="H242" i="123"/>
  <c r="R241" i="123"/>
  <c r="P241" i="123"/>
  <c r="O241" i="123"/>
  <c r="M241" i="123"/>
  <c r="I241" i="123"/>
  <c r="S241" i="123" s="1"/>
  <c r="H241" i="123"/>
  <c r="N240" i="123"/>
  <c r="O240" i="123" s="1"/>
  <c r="M240" i="123"/>
  <c r="I240" i="123"/>
  <c r="H240" i="123"/>
  <c r="N239" i="123"/>
  <c r="Q239" i="123" s="1"/>
  <c r="R239" i="123" s="1"/>
  <c r="M239" i="123"/>
  <c r="I239" i="123"/>
  <c r="H239" i="123"/>
  <c r="R238" i="123"/>
  <c r="P238" i="123"/>
  <c r="O238" i="123"/>
  <c r="M238" i="123"/>
  <c r="I238" i="123"/>
  <c r="S238" i="123" s="1"/>
  <c r="H238" i="123"/>
  <c r="N237" i="123"/>
  <c r="Q237" i="123" s="1"/>
  <c r="R237" i="123" s="1"/>
  <c r="M237" i="123"/>
  <c r="I237" i="123"/>
  <c r="H237" i="123"/>
  <c r="N236" i="123"/>
  <c r="O236" i="123" s="1"/>
  <c r="M236" i="123"/>
  <c r="I236" i="123"/>
  <c r="H236" i="123"/>
  <c r="N235" i="123"/>
  <c r="Q235" i="123" s="1"/>
  <c r="R235" i="123" s="1"/>
  <c r="S235" i="123" s="1"/>
  <c r="M235" i="123"/>
  <c r="I235" i="123"/>
  <c r="H235" i="123"/>
  <c r="R234" i="123"/>
  <c r="P234" i="123"/>
  <c r="O234" i="123"/>
  <c r="M234" i="123"/>
  <c r="I234" i="123"/>
  <c r="S234" i="123" s="1"/>
  <c r="H234" i="123"/>
  <c r="P233" i="123"/>
  <c r="N233" i="123"/>
  <c r="Q233" i="123" s="1"/>
  <c r="R233" i="123" s="1"/>
  <c r="M233" i="123"/>
  <c r="I233" i="123"/>
  <c r="S233" i="123" s="1"/>
  <c r="H233" i="123"/>
  <c r="N232" i="123"/>
  <c r="M232" i="123"/>
  <c r="I232" i="123"/>
  <c r="H232" i="123"/>
  <c r="N231" i="123"/>
  <c r="O231" i="123" s="1"/>
  <c r="M231" i="123"/>
  <c r="I231" i="123"/>
  <c r="H231" i="123"/>
  <c r="R230" i="123"/>
  <c r="P230" i="123"/>
  <c r="O230" i="123"/>
  <c r="M230" i="123"/>
  <c r="I230" i="123"/>
  <c r="S230" i="123" s="1"/>
  <c r="H230" i="123"/>
  <c r="N229" i="123"/>
  <c r="Q229" i="123" s="1"/>
  <c r="R229" i="123" s="1"/>
  <c r="M229" i="123"/>
  <c r="I229" i="123"/>
  <c r="H229" i="123"/>
  <c r="N228" i="123"/>
  <c r="Q228" i="123" s="1"/>
  <c r="R228" i="123" s="1"/>
  <c r="M228" i="123"/>
  <c r="I228" i="123"/>
  <c r="H228" i="123"/>
  <c r="R227" i="123"/>
  <c r="P227" i="123"/>
  <c r="O227" i="123"/>
  <c r="M227" i="123"/>
  <c r="I227" i="123"/>
  <c r="S227" i="123" s="1"/>
  <c r="H227" i="123"/>
  <c r="N226" i="123"/>
  <c r="M226" i="123"/>
  <c r="I226" i="123"/>
  <c r="H226" i="123"/>
  <c r="N225" i="123"/>
  <c r="O225" i="123" s="1"/>
  <c r="M225" i="123"/>
  <c r="I225" i="123"/>
  <c r="H225" i="123"/>
  <c r="R224" i="123"/>
  <c r="P224" i="123"/>
  <c r="O224" i="123"/>
  <c r="M224" i="123"/>
  <c r="I224" i="123"/>
  <c r="S224" i="123" s="1"/>
  <c r="H224" i="123"/>
  <c r="P223" i="123"/>
  <c r="N223" i="123"/>
  <c r="Q223" i="123" s="1"/>
  <c r="R223" i="123" s="1"/>
  <c r="M223" i="123"/>
  <c r="I223" i="123"/>
  <c r="S223" i="123" s="1"/>
  <c r="H223" i="123"/>
  <c r="N222" i="123"/>
  <c r="Q222" i="123" s="1"/>
  <c r="R222" i="123" s="1"/>
  <c r="M222" i="123"/>
  <c r="I222" i="123"/>
  <c r="H222" i="123"/>
  <c r="N221" i="123"/>
  <c r="Q221" i="123" s="1"/>
  <c r="R221" i="123" s="1"/>
  <c r="M221" i="123"/>
  <c r="I221" i="123"/>
  <c r="H221" i="123"/>
  <c r="R220" i="123"/>
  <c r="P220" i="123"/>
  <c r="O220" i="123"/>
  <c r="M220" i="123"/>
  <c r="I220" i="123"/>
  <c r="S220" i="123" s="1"/>
  <c r="H220" i="123"/>
  <c r="N219" i="123"/>
  <c r="O219" i="123" s="1"/>
  <c r="M219" i="123"/>
  <c r="I219" i="123"/>
  <c r="H219" i="123"/>
  <c r="N218" i="123"/>
  <c r="Q218" i="123" s="1"/>
  <c r="R218" i="123" s="1"/>
  <c r="M218" i="123"/>
  <c r="I218" i="123"/>
  <c r="H218" i="123"/>
  <c r="N217" i="123"/>
  <c r="Q217" i="123" s="1"/>
  <c r="R217" i="123" s="1"/>
  <c r="M217" i="123"/>
  <c r="I217" i="123"/>
  <c r="H217" i="123"/>
  <c r="R216" i="123"/>
  <c r="P216" i="123"/>
  <c r="O216" i="123"/>
  <c r="M216" i="123"/>
  <c r="I216" i="123"/>
  <c r="S216" i="123" s="1"/>
  <c r="H216" i="123"/>
  <c r="N215" i="123"/>
  <c r="Q215" i="123" s="1"/>
  <c r="R215" i="123" s="1"/>
  <c r="M215" i="123"/>
  <c r="I215" i="123"/>
  <c r="H215" i="123"/>
  <c r="N214" i="123"/>
  <c r="O214" i="123" s="1"/>
  <c r="M214" i="123"/>
  <c r="I214" i="123"/>
  <c r="H214" i="123"/>
  <c r="R213" i="123"/>
  <c r="P213" i="123"/>
  <c r="O213" i="123"/>
  <c r="M213" i="123"/>
  <c r="I213" i="123"/>
  <c r="S213" i="123" s="1"/>
  <c r="H213" i="123"/>
  <c r="N212" i="123"/>
  <c r="Q212" i="123" s="1"/>
  <c r="R212" i="123" s="1"/>
  <c r="M212" i="123"/>
  <c r="I212" i="123"/>
  <c r="H212" i="123"/>
  <c r="R211" i="123"/>
  <c r="P211" i="123"/>
  <c r="O211" i="123"/>
  <c r="M211" i="123"/>
  <c r="I211" i="123"/>
  <c r="S211" i="123" s="1"/>
  <c r="H211" i="123"/>
  <c r="R210" i="123"/>
  <c r="P210" i="123"/>
  <c r="O210" i="123"/>
  <c r="M210" i="123"/>
  <c r="I210" i="123"/>
  <c r="S210" i="123" s="1"/>
  <c r="H210" i="123"/>
  <c r="N209" i="123"/>
  <c r="O209" i="123" s="1"/>
  <c r="M209" i="123"/>
  <c r="I209" i="123"/>
  <c r="H209" i="123"/>
  <c r="N208" i="123"/>
  <c r="Q208" i="123" s="1"/>
  <c r="R208" i="123" s="1"/>
  <c r="M208" i="123"/>
  <c r="I208" i="123"/>
  <c r="H208" i="123"/>
  <c r="R207" i="123"/>
  <c r="P207" i="123"/>
  <c r="O207" i="123"/>
  <c r="M207" i="123"/>
  <c r="I207" i="123"/>
  <c r="S207" i="123" s="1"/>
  <c r="H207" i="123"/>
  <c r="N206" i="123"/>
  <c r="O206" i="123" s="1"/>
  <c r="M206" i="123"/>
  <c r="I206" i="123"/>
  <c r="H206" i="123"/>
  <c r="N205" i="123"/>
  <c r="Q205" i="123" s="1"/>
  <c r="R205" i="123" s="1"/>
  <c r="M205" i="123"/>
  <c r="I205" i="123"/>
  <c r="H205" i="123"/>
  <c r="N204" i="123"/>
  <c r="Q204" i="123" s="1"/>
  <c r="R204" i="123" s="1"/>
  <c r="M204" i="123"/>
  <c r="I204" i="123"/>
  <c r="H204" i="123"/>
  <c r="N203" i="123"/>
  <c r="Q203" i="123" s="1"/>
  <c r="R203" i="123" s="1"/>
  <c r="M203" i="123"/>
  <c r="I203" i="123"/>
  <c r="H203" i="123"/>
  <c r="R202" i="123"/>
  <c r="P202" i="123"/>
  <c r="O202" i="123"/>
  <c r="M202" i="123"/>
  <c r="I202" i="123"/>
  <c r="S202" i="123" s="1"/>
  <c r="H202" i="123"/>
  <c r="R201" i="123"/>
  <c r="P201" i="123"/>
  <c r="O201" i="123"/>
  <c r="M201" i="123"/>
  <c r="I201" i="123"/>
  <c r="S201" i="123" s="1"/>
  <c r="H201" i="123"/>
  <c r="N200" i="123"/>
  <c r="O200" i="123" s="1"/>
  <c r="M200" i="123"/>
  <c r="I200" i="123"/>
  <c r="H200" i="123"/>
  <c r="N199" i="123"/>
  <c r="Q199" i="123" s="1"/>
  <c r="R199" i="123" s="1"/>
  <c r="M199" i="123"/>
  <c r="I199" i="123"/>
  <c r="H199" i="123"/>
  <c r="N198" i="123"/>
  <c r="Q198" i="123" s="1"/>
  <c r="R198" i="123" s="1"/>
  <c r="M198" i="123"/>
  <c r="I198" i="123"/>
  <c r="H198" i="123"/>
  <c r="R197" i="123"/>
  <c r="P197" i="123"/>
  <c r="O197" i="123"/>
  <c r="M197" i="123"/>
  <c r="I197" i="123"/>
  <c r="S197" i="123" s="1"/>
  <c r="H197" i="123"/>
  <c r="N196" i="123"/>
  <c r="Q196" i="123" s="1"/>
  <c r="R196" i="123" s="1"/>
  <c r="M196" i="123"/>
  <c r="I196" i="123"/>
  <c r="H196" i="123"/>
  <c r="N195" i="123"/>
  <c r="O195" i="123" s="1"/>
  <c r="M195" i="123"/>
  <c r="I195" i="123"/>
  <c r="H195" i="123"/>
  <c r="N194" i="123"/>
  <c r="Q194" i="123" s="1"/>
  <c r="R194" i="123" s="1"/>
  <c r="M194" i="123"/>
  <c r="I194" i="123"/>
  <c r="H194" i="123"/>
  <c r="N193" i="123"/>
  <c r="Q193" i="123" s="1"/>
  <c r="R193" i="123" s="1"/>
  <c r="M193" i="123"/>
  <c r="I193" i="123"/>
  <c r="H193" i="123"/>
  <c r="N192" i="123"/>
  <c r="Q192" i="123" s="1"/>
  <c r="R192" i="123" s="1"/>
  <c r="M192" i="123"/>
  <c r="I192" i="123"/>
  <c r="H192" i="123"/>
  <c r="N191" i="123"/>
  <c r="O191" i="123" s="1"/>
  <c r="M191" i="123"/>
  <c r="I191" i="123"/>
  <c r="H191" i="123"/>
  <c r="N190" i="123"/>
  <c r="Q190" i="123" s="1"/>
  <c r="R190" i="123" s="1"/>
  <c r="M190" i="123"/>
  <c r="I190" i="123"/>
  <c r="H190" i="123"/>
  <c r="N189" i="123"/>
  <c r="Q189" i="123" s="1"/>
  <c r="R189" i="123" s="1"/>
  <c r="M189" i="123"/>
  <c r="I189" i="123"/>
  <c r="H189" i="123"/>
  <c r="N188" i="123"/>
  <c r="Q188" i="123" s="1"/>
  <c r="R188" i="123" s="1"/>
  <c r="M188" i="123"/>
  <c r="I188" i="123"/>
  <c r="H188" i="123"/>
  <c r="N187" i="123"/>
  <c r="O187" i="123" s="1"/>
  <c r="M187" i="123"/>
  <c r="I187" i="123"/>
  <c r="H187" i="123"/>
  <c r="N186" i="123"/>
  <c r="Q186" i="123" s="1"/>
  <c r="R186" i="123" s="1"/>
  <c r="M186" i="123"/>
  <c r="I186" i="123"/>
  <c r="H186" i="123"/>
  <c r="R185" i="123"/>
  <c r="P185" i="123"/>
  <c r="O185" i="123"/>
  <c r="M185" i="123"/>
  <c r="I185" i="123"/>
  <c r="S185" i="123" s="1"/>
  <c r="H185" i="123"/>
  <c r="N184" i="123"/>
  <c r="O184" i="123" s="1"/>
  <c r="M184" i="123"/>
  <c r="I184" i="123"/>
  <c r="H184" i="123"/>
  <c r="N183" i="123"/>
  <c r="M183" i="123"/>
  <c r="I183" i="123"/>
  <c r="H183" i="123"/>
  <c r="N182" i="123"/>
  <c r="O182" i="123" s="1"/>
  <c r="M182" i="123"/>
  <c r="I182" i="123"/>
  <c r="H182" i="123"/>
  <c r="N181" i="123"/>
  <c r="Q181" i="123" s="1"/>
  <c r="R181" i="123" s="1"/>
  <c r="M181" i="123"/>
  <c r="I181" i="123"/>
  <c r="H181" i="123"/>
  <c r="R180" i="123"/>
  <c r="P180" i="123"/>
  <c r="O180" i="123"/>
  <c r="M180" i="123"/>
  <c r="I180" i="123"/>
  <c r="S180" i="123" s="1"/>
  <c r="H180" i="123"/>
  <c r="N179" i="123"/>
  <c r="O179" i="123" s="1"/>
  <c r="M179" i="123"/>
  <c r="I179" i="123"/>
  <c r="H179" i="123"/>
  <c r="N178" i="123"/>
  <c r="Q178" i="123" s="1"/>
  <c r="R178" i="123" s="1"/>
  <c r="M178" i="123"/>
  <c r="I178" i="123"/>
  <c r="H178" i="123"/>
  <c r="R177" i="123"/>
  <c r="P177" i="123"/>
  <c r="O177" i="123"/>
  <c r="M177" i="123"/>
  <c r="I177" i="123"/>
  <c r="S177" i="123" s="1"/>
  <c r="H177" i="123"/>
  <c r="R176" i="123"/>
  <c r="P176" i="123"/>
  <c r="O176" i="123"/>
  <c r="M176" i="123"/>
  <c r="I176" i="123"/>
  <c r="S176" i="123" s="1"/>
  <c r="H176" i="123"/>
  <c r="N175" i="123"/>
  <c r="O175" i="123" s="1"/>
  <c r="M175" i="123"/>
  <c r="I175" i="123"/>
  <c r="H175" i="123"/>
  <c r="R174" i="123"/>
  <c r="P174" i="123"/>
  <c r="O174" i="123"/>
  <c r="M174" i="123"/>
  <c r="I174" i="123"/>
  <c r="S174" i="123" s="1"/>
  <c r="H174" i="123"/>
  <c r="N173" i="123"/>
  <c r="Q173" i="123" s="1"/>
  <c r="R173" i="123" s="1"/>
  <c r="M173" i="123"/>
  <c r="I173" i="123"/>
  <c r="H173" i="123"/>
  <c r="R172" i="123"/>
  <c r="P172" i="123"/>
  <c r="O172" i="123"/>
  <c r="M172" i="123"/>
  <c r="I172" i="123"/>
  <c r="S172" i="123" s="1"/>
  <c r="H172" i="123"/>
  <c r="N171" i="123"/>
  <c r="Q171" i="123" s="1"/>
  <c r="R171" i="123" s="1"/>
  <c r="M171" i="123"/>
  <c r="I171" i="123"/>
  <c r="H171" i="123"/>
  <c r="N170" i="123"/>
  <c r="M170" i="123"/>
  <c r="I170" i="123"/>
  <c r="H170" i="123"/>
  <c r="N169" i="123"/>
  <c r="O169" i="123" s="1"/>
  <c r="M169" i="123"/>
  <c r="I169" i="123"/>
  <c r="H169" i="123"/>
  <c r="N168" i="123"/>
  <c r="Q168" i="123" s="1"/>
  <c r="R168" i="123" s="1"/>
  <c r="M168" i="123"/>
  <c r="I168" i="123"/>
  <c r="H168" i="123"/>
  <c r="N167" i="123"/>
  <c r="Q167" i="123" s="1"/>
  <c r="R167" i="123" s="1"/>
  <c r="M167" i="123"/>
  <c r="I167" i="123"/>
  <c r="H167" i="123"/>
  <c r="N166" i="123"/>
  <c r="Q166" i="123" s="1"/>
  <c r="R166" i="123" s="1"/>
  <c r="M166" i="123"/>
  <c r="I166" i="123"/>
  <c r="H166" i="123"/>
  <c r="N165" i="123"/>
  <c r="O165" i="123" s="1"/>
  <c r="M165" i="123"/>
  <c r="I165" i="123"/>
  <c r="H165" i="123"/>
  <c r="N164" i="123"/>
  <c r="Q164" i="123" s="1"/>
  <c r="R164" i="123" s="1"/>
  <c r="M164" i="123"/>
  <c r="I164" i="123"/>
  <c r="H164" i="123"/>
  <c r="N163" i="123"/>
  <c r="Q163" i="123" s="1"/>
  <c r="R163" i="123" s="1"/>
  <c r="M163" i="123"/>
  <c r="I163" i="123"/>
  <c r="H163" i="123"/>
  <c r="N162" i="123"/>
  <c r="Q162" i="123" s="1"/>
  <c r="R162" i="123" s="1"/>
  <c r="M162" i="123"/>
  <c r="I162" i="123"/>
  <c r="H162" i="123"/>
  <c r="N161" i="123"/>
  <c r="O161" i="123" s="1"/>
  <c r="M161" i="123"/>
  <c r="I161" i="123"/>
  <c r="H161" i="123"/>
  <c r="N160" i="123"/>
  <c r="Q160" i="123" s="1"/>
  <c r="R160" i="123" s="1"/>
  <c r="M160" i="123"/>
  <c r="I160" i="123"/>
  <c r="H160" i="123"/>
  <c r="R159" i="123"/>
  <c r="P159" i="123"/>
  <c r="O159" i="123"/>
  <c r="M159" i="123"/>
  <c r="I159" i="123"/>
  <c r="S159" i="123" s="1"/>
  <c r="H159" i="123"/>
  <c r="N158" i="123"/>
  <c r="Q158" i="123" s="1"/>
  <c r="R158" i="123" s="1"/>
  <c r="M158" i="123"/>
  <c r="I158" i="123"/>
  <c r="H158" i="123"/>
  <c r="N157" i="123"/>
  <c r="Q157" i="123" s="1"/>
  <c r="R157" i="123" s="1"/>
  <c r="M157" i="123"/>
  <c r="I157" i="123"/>
  <c r="H157" i="123"/>
  <c r="N156" i="123"/>
  <c r="O156" i="123" s="1"/>
  <c r="M156" i="123"/>
  <c r="I156" i="123"/>
  <c r="H156" i="123"/>
  <c r="N155" i="123"/>
  <c r="Q155" i="123" s="1"/>
  <c r="R155" i="123" s="1"/>
  <c r="M155" i="123"/>
  <c r="I155" i="123"/>
  <c r="H155" i="123"/>
  <c r="N154" i="123"/>
  <c r="Q154" i="123" s="1"/>
  <c r="R154" i="123" s="1"/>
  <c r="M154" i="123"/>
  <c r="I154" i="123"/>
  <c r="H154" i="123"/>
  <c r="H153" i="123"/>
  <c r="H152" i="123"/>
  <c r="H151" i="123"/>
  <c r="N150" i="123"/>
  <c r="Q150" i="123" s="1"/>
  <c r="R150" i="123" s="1"/>
  <c r="M150" i="123"/>
  <c r="I150" i="123"/>
  <c r="H150" i="123"/>
  <c r="R149" i="123"/>
  <c r="P149" i="123"/>
  <c r="O149" i="123"/>
  <c r="M149" i="123"/>
  <c r="I149" i="123"/>
  <c r="S149" i="123" s="1"/>
  <c r="H149" i="123"/>
  <c r="N148" i="123"/>
  <c r="O148" i="123" s="1"/>
  <c r="M148" i="123"/>
  <c r="I148" i="123"/>
  <c r="H148" i="123"/>
  <c r="R147" i="123"/>
  <c r="P147" i="123"/>
  <c r="O147" i="123"/>
  <c r="M147" i="123"/>
  <c r="I147" i="123"/>
  <c r="S147" i="123" s="1"/>
  <c r="H147" i="123"/>
  <c r="N146" i="123"/>
  <c r="Q146" i="123" s="1"/>
  <c r="R146" i="123" s="1"/>
  <c r="M146" i="123"/>
  <c r="I146" i="123"/>
  <c r="H146" i="123"/>
  <c r="N145" i="123"/>
  <c r="Q145" i="123" s="1"/>
  <c r="R145" i="123" s="1"/>
  <c r="M145" i="123"/>
  <c r="I145" i="123"/>
  <c r="H145" i="123"/>
  <c r="R144" i="123"/>
  <c r="P144" i="123"/>
  <c r="O144" i="123"/>
  <c r="M144" i="123"/>
  <c r="I144" i="123"/>
  <c r="S144" i="123" s="1"/>
  <c r="H144" i="123"/>
  <c r="N143" i="123"/>
  <c r="Q143" i="123" s="1"/>
  <c r="R143" i="123" s="1"/>
  <c r="M143" i="123"/>
  <c r="I143" i="123"/>
  <c r="H143" i="123"/>
  <c r="N142" i="123"/>
  <c r="O142" i="123" s="1"/>
  <c r="M142" i="123"/>
  <c r="I142" i="123"/>
  <c r="H142" i="123"/>
  <c r="R141" i="123"/>
  <c r="P141" i="123"/>
  <c r="O141" i="123"/>
  <c r="M141" i="123"/>
  <c r="I141" i="123"/>
  <c r="S141" i="123" s="1"/>
  <c r="H141" i="123"/>
  <c r="N140" i="123"/>
  <c r="Q140" i="123" s="1"/>
  <c r="R140" i="123" s="1"/>
  <c r="M140" i="123"/>
  <c r="I140" i="123"/>
  <c r="H140" i="123"/>
  <c r="N139" i="123"/>
  <c r="Q139" i="123" s="1"/>
  <c r="R139" i="123" s="1"/>
  <c r="M139" i="123"/>
  <c r="I139" i="123"/>
  <c r="H139" i="123"/>
  <c r="N138" i="123"/>
  <c r="M138" i="123"/>
  <c r="I138" i="123"/>
  <c r="H138" i="123"/>
  <c r="N137" i="123"/>
  <c r="O137" i="123" s="1"/>
  <c r="M137" i="123"/>
  <c r="I137" i="123"/>
  <c r="H137" i="123"/>
  <c r="N136" i="123"/>
  <c r="Q136" i="123" s="1"/>
  <c r="R136" i="123" s="1"/>
  <c r="M136" i="123"/>
  <c r="I136" i="123"/>
  <c r="H136" i="123"/>
  <c r="N135" i="123"/>
  <c r="Q135" i="123" s="1"/>
  <c r="R135" i="123" s="1"/>
  <c r="M135" i="123"/>
  <c r="I135" i="123"/>
  <c r="H135" i="123"/>
  <c r="R134" i="123"/>
  <c r="P134" i="123"/>
  <c r="O134" i="123"/>
  <c r="M134" i="123"/>
  <c r="I134" i="123"/>
  <c r="S134" i="123" s="1"/>
  <c r="H134" i="123"/>
  <c r="N133" i="123"/>
  <c r="Q133" i="123" s="1"/>
  <c r="R133" i="123" s="1"/>
  <c r="M133" i="123"/>
  <c r="I133" i="123"/>
  <c r="H133" i="123"/>
  <c r="N132" i="123"/>
  <c r="O132" i="123" s="1"/>
  <c r="M132" i="123"/>
  <c r="I132" i="123"/>
  <c r="H132" i="123"/>
  <c r="R131" i="123"/>
  <c r="P131" i="123"/>
  <c r="O131" i="123"/>
  <c r="M131" i="123"/>
  <c r="I131" i="123"/>
  <c r="S131" i="123" s="1"/>
  <c r="H131" i="123"/>
  <c r="N130" i="123"/>
  <c r="Q130" i="123" s="1"/>
  <c r="R130" i="123" s="1"/>
  <c r="M130" i="123"/>
  <c r="I130" i="123"/>
  <c r="H130" i="123"/>
  <c r="R129" i="123"/>
  <c r="P129" i="123"/>
  <c r="O129" i="123"/>
  <c r="M129" i="123"/>
  <c r="I129" i="123"/>
  <c r="S129" i="123" s="1"/>
  <c r="H129" i="123"/>
  <c r="N128" i="123"/>
  <c r="Q128" i="123" s="1"/>
  <c r="R128" i="123" s="1"/>
  <c r="M128" i="123"/>
  <c r="I128" i="123"/>
  <c r="H128" i="123"/>
  <c r="R127" i="123"/>
  <c r="P127" i="123"/>
  <c r="O127" i="123"/>
  <c r="M127" i="123"/>
  <c r="I127" i="123"/>
  <c r="S127" i="123" s="1"/>
  <c r="H127" i="123"/>
  <c r="R126" i="123"/>
  <c r="P126" i="123"/>
  <c r="O126" i="123"/>
  <c r="M126" i="123"/>
  <c r="I126" i="123"/>
  <c r="S126" i="123" s="1"/>
  <c r="H126" i="123"/>
  <c r="N125" i="123"/>
  <c r="O125" i="123" s="1"/>
  <c r="M125" i="123"/>
  <c r="I125" i="123"/>
  <c r="H125" i="123"/>
  <c r="N124" i="123"/>
  <c r="M124" i="123"/>
  <c r="I124" i="123"/>
  <c r="H124" i="123"/>
  <c r="N123" i="123"/>
  <c r="Q123" i="123" s="1"/>
  <c r="R123" i="123" s="1"/>
  <c r="M123" i="123"/>
  <c r="I123" i="123"/>
  <c r="H123" i="123"/>
  <c r="N122" i="123"/>
  <c r="M122" i="123"/>
  <c r="I122" i="123"/>
  <c r="H122" i="123"/>
  <c r="R121" i="123"/>
  <c r="P121" i="123"/>
  <c r="O121" i="123"/>
  <c r="M121" i="123"/>
  <c r="I121" i="123"/>
  <c r="S121" i="123" s="1"/>
  <c r="H121" i="123"/>
  <c r="N120" i="123"/>
  <c r="Q120" i="123" s="1"/>
  <c r="R120" i="123" s="1"/>
  <c r="M120" i="123"/>
  <c r="I120" i="123"/>
  <c r="H120" i="123"/>
  <c r="R119" i="123"/>
  <c r="P119" i="123"/>
  <c r="O119" i="123"/>
  <c r="M119" i="123"/>
  <c r="I119" i="123"/>
  <c r="S119" i="123" s="1"/>
  <c r="H119" i="123"/>
  <c r="R118" i="123"/>
  <c r="P118" i="123"/>
  <c r="O118" i="123"/>
  <c r="M118" i="123"/>
  <c r="I118" i="123"/>
  <c r="S118" i="123" s="1"/>
  <c r="H118" i="123"/>
  <c r="N117" i="123"/>
  <c r="O117" i="123" s="1"/>
  <c r="M117" i="123"/>
  <c r="I117" i="123"/>
  <c r="H117" i="123"/>
  <c r="N116" i="123"/>
  <c r="Q116" i="123" s="1"/>
  <c r="R116" i="123" s="1"/>
  <c r="M116" i="123"/>
  <c r="I116" i="123"/>
  <c r="H116" i="123"/>
  <c r="N115" i="123"/>
  <c r="M115" i="123"/>
  <c r="I115" i="123"/>
  <c r="H115" i="123"/>
  <c r="R114" i="123"/>
  <c r="P114" i="123"/>
  <c r="O114" i="123"/>
  <c r="M114" i="123"/>
  <c r="I114" i="123"/>
  <c r="S114" i="123" s="1"/>
  <c r="H114" i="123"/>
  <c r="N113" i="123"/>
  <c r="Q113" i="123" s="1"/>
  <c r="R113" i="123" s="1"/>
  <c r="M113" i="123"/>
  <c r="I113" i="123"/>
  <c r="H113" i="123"/>
  <c r="S112" i="123"/>
  <c r="H112" i="123"/>
  <c r="S111" i="123"/>
  <c r="H111" i="123"/>
  <c r="N110" i="123"/>
  <c r="O110" i="123" s="1"/>
  <c r="P110" i="123" s="1"/>
  <c r="M110" i="123"/>
  <c r="I110" i="123"/>
  <c r="H110" i="123"/>
  <c r="S109" i="123"/>
  <c r="R109" i="123"/>
  <c r="P109" i="123"/>
  <c r="O109" i="123"/>
  <c r="M109" i="123"/>
  <c r="I109" i="123"/>
  <c r="H109" i="123"/>
  <c r="N108" i="123"/>
  <c r="Q108" i="123" s="1"/>
  <c r="R108" i="123" s="1"/>
  <c r="S108" i="123" s="1"/>
  <c r="M108" i="123"/>
  <c r="I108" i="123"/>
  <c r="H108" i="123"/>
  <c r="N107" i="123"/>
  <c r="M107" i="123"/>
  <c r="I107" i="123"/>
  <c r="H107" i="123"/>
  <c r="N106" i="123"/>
  <c r="Q106" i="123" s="1"/>
  <c r="R106" i="123" s="1"/>
  <c r="M106" i="123"/>
  <c r="I106" i="123"/>
  <c r="H106" i="123"/>
  <c r="N105" i="123"/>
  <c r="O105" i="123" s="1"/>
  <c r="M105" i="123"/>
  <c r="I105" i="123"/>
  <c r="H105" i="123"/>
  <c r="N104" i="123"/>
  <c r="Q104" i="123" s="1"/>
  <c r="R104" i="123" s="1"/>
  <c r="S104" i="123" s="1"/>
  <c r="M104" i="123"/>
  <c r="I104" i="123"/>
  <c r="H104" i="123"/>
  <c r="N103" i="123"/>
  <c r="M103" i="123"/>
  <c r="I103" i="123"/>
  <c r="H103" i="123"/>
  <c r="N102" i="123"/>
  <c r="Q102" i="123" s="1"/>
  <c r="R102" i="123" s="1"/>
  <c r="M102" i="123"/>
  <c r="I102" i="123"/>
  <c r="H102" i="123"/>
  <c r="N101" i="123"/>
  <c r="O101" i="123" s="1"/>
  <c r="M101" i="123"/>
  <c r="I101" i="123"/>
  <c r="H101" i="123"/>
  <c r="N100" i="123"/>
  <c r="Q100" i="123" s="1"/>
  <c r="R100" i="123" s="1"/>
  <c r="S100" i="123" s="1"/>
  <c r="M100" i="123"/>
  <c r="I100" i="123"/>
  <c r="H100" i="123"/>
  <c r="N99" i="123"/>
  <c r="M99" i="123"/>
  <c r="I99" i="123"/>
  <c r="H99" i="123"/>
  <c r="N98" i="123"/>
  <c r="Q98" i="123" s="1"/>
  <c r="R98" i="123" s="1"/>
  <c r="M98" i="123"/>
  <c r="I98" i="123"/>
  <c r="H98" i="123"/>
  <c r="N97" i="123"/>
  <c r="O97" i="123" s="1"/>
  <c r="M97" i="123"/>
  <c r="I97" i="123"/>
  <c r="H97" i="123"/>
  <c r="N96" i="123"/>
  <c r="Q96" i="123" s="1"/>
  <c r="R96" i="123" s="1"/>
  <c r="M96" i="123"/>
  <c r="I96" i="123"/>
  <c r="H96" i="123"/>
  <c r="R95" i="123"/>
  <c r="P95" i="123"/>
  <c r="O95" i="123"/>
  <c r="M95" i="123"/>
  <c r="I95" i="123"/>
  <c r="S95" i="123" s="1"/>
  <c r="H95" i="123"/>
  <c r="N94" i="123"/>
  <c r="M94" i="123"/>
  <c r="I94" i="123"/>
  <c r="H94" i="123"/>
  <c r="N93" i="123"/>
  <c r="Q93" i="123" s="1"/>
  <c r="R93" i="123" s="1"/>
  <c r="M93" i="123"/>
  <c r="I93" i="123"/>
  <c r="H93" i="123"/>
  <c r="N92" i="123"/>
  <c r="O92" i="123" s="1"/>
  <c r="M92" i="123"/>
  <c r="I92" i="123"/>
  <c r="H92" i="123"/>
  <c r="H91" i="123"/>
  <c r="H90" i="123"/>
  <c r="N89" i="123"/>
  <c r="Q89" i="123" s="1"/>
  <c r="R89" i="123" s="1"/>
  <c r="S89" i="123" s="1"/>
  <c r="M89" i="123"/>
  <c r="I89" i="123"/>
  <c r="H89" i="123"/>
  <c r="N87" i="123"/>
  <c r="O87" i="123" s="1"/>
  <c r="M87" i="123"/>
  <c r="I87" i="123"/>
  <c r="H87" i="123"/>
  <c r="N86" i="123"/>
  <c r="Q86" i="123" s="1"/>
  <c r="R86" i="123" s="1"/>
  <c r="M86" i="123"/>
  <c r="I86" i="123"/>
  <c r="H86" i="123"/>
  <c r="N85" i="123"/>
  <c r="O85" i="123" s="1"/>
  <c r="M85" i="123"/>
  <c r="I85" i="123"/>
  <c r="H85" i="123"/>
  <c r="R84" i="123"/>
  <c r="P84" i="123"/>
  <c r="O84" i="123"/>
  <c r="M84" i="123"/>
  <c r="I84" i="123"/>
  <c r="S84" i="123" s="1"/>
  <c r="H84" i="123"/>
  <c r="N83" i="123"/>
  <c r="Q83" i="123" s="1"/>
  <c r="R83" i="123" s="1"/>
  <c r="M83" i="123"/>
  <c r="I83" i="123"/>
  <c r="H83" i="123"/>
  <c r="N82" i="123"/>
  <c r="O82" i="123" s="1"/>
  <c r="M82" i="123"/>
  <c r="I82" i="123"/>
  <c r="H82" i="123"/>
  <c r="N81" i="123"/>
  <c r="Q81" i="123" s="1"/>
  <c r="R81" i="123" s="1"/>
  <c r="M81" i="123"/>
  <c r="I81" i="123"/>
  <c r="H81" i="123"/>
  <c r="R80" i="123"/>
  <c r="P80" i="123"/>
  <c r="O80" i="123"/>
  <c r="M80" i="123"/>
  <c r="I80" i="123"/>
  <c r="S80" i="123" s="1"/>
  <c r="H80" i="123"/>
  <c r="N79" i="123"/>
  <c r="O79" i="123" s="1"/>
  <c r="P79" i="123" s="1"/>
  <c r="M79" i="123"/>
  <c r="I79" i="123"/>
  <c r="H79" i="123"/>
  <c r="N78" i="123"/>
  <c r="Q78" i="123" s="1"/>
  <c r="R78" i="123" s="1"/>
  <c r="M78" i="123"/>
  <c r="I78" i="123"/>
  <c r="H78" i="123"/>
  <c r="N77" i="123"/>
  <c r="O77" i="123" s="1"/>
  <c r="P77" i="123" s="1"/>
  <c r="M77" i="123"/>
  <c r="I77" i="123"/>
  <c r="H77" i="123"/>
  <c r="R76" i="123"/>
  <c r="P76" i="123"/>
  <c r="O76" i="123"/>
  <c r="M76" i="123"/>
  <c r="I76" i="123"/>
  <c r="S76" i="123" s="1"/>
  <c r="H76" i="123"/>
  <c r="N75" i="123"/>
  <c r="Q75" i="123" s="1"/>
  <c r="R75" i="123" s="1"/>
  <c r="M75" i="123"/>
  <c r="I75" i="123"/>
  <c r="H75" i="123"/>
  <c r="N74" i="123"/>
  <c r="O74" i="123" s="1"/>
  <c r="M74" i="123"/>
  <c r="I74" i="123"/>
  <c r="H74" i="123"/>
  <c r="N73" i="123"/>
  <c r="Q73" i="123" s="1"/>
  <c r="R73" i="123" s="1"/>
  <c r="M73" i="123"/>
  <c r="I73" i="123"/>
  <c r="H73" i="123"/>
  <c r="N72" i="123"/>
  <c r="O72" i="123" s="1"/>
  <c r="M72" i="123"/>
  <c r="I72" i="123"/>
  <c r="H72" i="123"/>
  <c r="R71" i="123"/>
  <c r="P71" i="123"/>
  <c r="O71" i="123"/>
  <c r="M71" i="123"/>
  <c r="I71" i="123"/>
  <c r="S71" i="123" s="1"/>
  <c r="H71" i="123"/>
  <c r="N70" i="123"/>
  <c r="Q70" i="123" s="1"/>
  <c r="R70" i="123" s="1"/>
  <c r="M70" i="123"/>
  <c r="I70" i="123"/>
  <c r="H70" i="123"/>
  <c r="N69" i="123"/>
  <c r="O69" i="123" s="1"/>
  <c r="M69" i="123"/>
  <c r="I69" i="123"/>
  <c r="H69" i="123"/>
  <c r="N68" i="123"/>
  <c r="Q68" i="123" s="1"/>
  <c r="R68" i="123" s="1"/>
  <c r="M68" i="123"/>
  <c r="I68" i="123"/>
  <c r="H68" i="123"/>
  <c r="N67" i="123"/>
  <c r="O67" i="123" s="1"/>
  <c r="M67" i="123"/>
  <c r="I67" i="123"/>
  <c r="H67" i="123"/>
  <c r="R66" i="123"/>
  <c r="P66" i="123"/>
  <c r="O66" i="123"/>
  <c r="M66" i="123"/>
  <c r="I66" i="123"/>
  <c r="S66" i="123" s="1"/>
  <c r="H66" i="123"/>
  <c r="N65" i="123"/>
  <c r="Q65" i="123" s="1"/>
  <c r="R65" i="123" s="1"/>
  <c r="M65" i="123"/>
  <c r="I65" i="123"/>
  <c r="H65" i="123"/>
  <c r="N64" i="123"/>
  <c r="O64" i="123" s="1"/>
  <c r="M64" i="123"/>
  <c r="I64" i="123"/>
  <c r="H64" i="123"/>
  <c r="N63" i="123"/>
  <c r="Q63" i="123" s="1"/>
  <c r="R63" i="123" s="1"/>
  <c r="M63" i="123"/>
  <c r="I63" i="123"/>
  <c r="H63" i="123"/>
  <c r="N62" i="123"/>
  <c r="O62" i="123" s="1"/>
  <c r="M62" i="123"/>
  <c r="I62" i="123"/>
  <c r="H62" i="123"/>
  <c r="R61" i="123"/>
  <c r="P61" i="123"/>
  <c r="O61" i="123"/>
  <c r="M61" i="123"/>
  <c r="I61" i="123"/>
  <c r="S61" i="123" s="1"/>
  <c r="H61" i="123"/>
  <c r="N60" i="123"/>
  <c r="Q60" i="123" s="1"/>
  <c r="R60" i="123" s="1"/>
  <c r="S60" i="123" s="1"/>
  <c r="M60" i="123"/>
  <c r="I60" i="123"/>
  <c r="H60" i="123"/>
  <c r="N59" i="123"/>
  <c r="O59" i="123" s="1"/>
  <c r="P59" i="123" s="1"/>
  <c r="M59" i="123"/>
  <c r="I59" i="123"/>
  <c r="H59" i="123"/>
  <c r="N58" i="123"/>
  <c r="Q58" i="123" s="1"/>
  <c r="R58" i="123" s="1"/>
  <c r="S58" i="123" s="1"/>
  <c r="M58" i="123"/>
  <c r="I58" i="123"/>
  <c r="H58" i="123"/>
  <c r="N57" i="123"/>
  <c r="O57" i="123" s="1"/>
  <c r="M57" i="123"/>
  <c r="I57" i="123"/>
  <c r="H57" i="123"/>
  <c r="R56" i="123"/>
  <c r="P56" i="123"/>
  <c r="O56" i="123"/>
  <c r="M56" i="123"/>
  <c r="I56" i="123"/>
  <c r="S56" i="123" s="1"/>
  <c r="H56" i="123"/>
  <c r="N55" i="123"/>
  <c r="Q55" i="123" s="1"/>
  <c r="R55" i="123" s="1"/>
  <c r="M55" i="123"/>
  <c r="I55" i="123"/>
  <c r="H55" i="123"/>
  <c r="N54" i="123"/>
  <c r="O54" i="123" s="1"/>
  <c r="M54" i="123"/>
  <c r="I54" i="123"/>
  <c r="H54" i="123"/>
  <c r="N53" i="123"/>
  <c r="Q53" i="123" s="1"/>
  <c r="R53" i="123" s="1"/>
  <c r="M53" i="123"/>
  <c r="I53" i="123"/>
  <c r="H53" i="123"/>
  <c r="R52" i="123"/>
  <c r="P52" i="123"/>
  <c r="O52" i="123"/>
  <c r="M52" i="123"/>
  <c r="I52" i="123"/>
  <c r="S52" i="123" s="1"/>
  <c r="H52" i="123"/>
  <c r="N51" i="123"/>
  <c r="O51" i="123" s="1"/>
  <c r="P51" i="123" s="1"/>
  <c r="M51" i="123"/>
  <c r="I51" i="123"/>
  <c r="H51" i="123"/>
  <c r="N50" i="123"/>
  <c r="Q50" i="123" s="1"/>
  <c r="R50" i="123" s="1"/>
  <c r="M50" i="123"/>
  <c r="I50" i="123"/>
  <c r="H50" i="123"/>
  <c r="N49" i="123"/>
  <c r="O49" i="123" s="1"/>
  <c r="P49" i="123" s="1"/>
  <c r="M49" i="123"/>
  <c r="I49" i="123"/>
  <c r="H49" i="123"/>
  <c r="S48" i="123"/>
  <c r="N47" i="123"/>
  <c r="Q47" i="123" s="1"/>
  <c r="R47" i="123" s="1"/>
  <c r="M47" i="123"/>
  <c r="I47" i="123"/>
  <c r="H47" i="123"/>
  <c r="N46" i="123"/>
  <c r="O46" i="123" s="1"/>
  <c r="M46" i="123"/>
  <c r="I46" i="123"/>
  <c r="H46" i="123"/>
  <c r="N45" i="123"/>
  <c r="Q45" i="123" s="1"/>
  <c r="R45" i="123" s="1"/>
  <c r="M45" i="123"/>
  <c r="I45" i="123"/>
  <c r="H45" i="123"/>
  <c r="H44" i="123"/>
  <c r="N43" i="123"/>
  <c r="Q43" i="123" s="1"/>
  <c r="R43" i="123" s="1"/>
  <c r="M43" i="123"/>
  <c r="I43" i="123"/>
  <c r="H43" i="123"/>
  <c r="N42" i="123"/>
  <c r="Q42" i="123" s="1"/>
  <c r="R42" i="123" s="1"/>
  <c r="M42" i="123"/>
  <c r="I42" i="123"/>
  <c r="H42" i="123"/>
  <c r="N41" i="123"/>
  <c r="O41" i="123" s="1"/>
  <c r="M41" i="123"/>
  <c r="I41" i="123"/>
  <c r="H41" i="123"/>
  <c r="S40" i="123"/>
  <c r="R40" i="123"/>
  <c r="P40" i="123"/>
  <c r="O40" i="123"/>
  <c r="M40" i="123"/>
  <c r="N39" i="123"/>
  <c r="Q39" i="123" s="1"/>
  <c r="R39" i="123" s="1"/>
  <c r="M39" i="123"/>
  <c r="I39" i="123"/>
  <c r="H39" i="123"/>
  <c r="N38" i="123"/>
  <c r="O38" i="123" s="1"/>
  <c r="M38" i="123"/>
  <c r="I38" i="123"/>
  <c r="H38" i="123"/>
  <c r="N37" i="123"/>
  <c r="Q37" i="123" s="1"/>
  <c r="R37" i="123" s="1"/>
  <c r="M37" i="123"/>
  <c r="I37" i="123"/>
  <c r="H37" i="123"/>
  <c r="R36" i="123"/>
  <c r="S36" i="123"/>
  <c r="H36" i="123"/>
  <c r="N35" i="123"/>
  <c r="Q35" i="123" s="1"/>
  <c r="R35" i="123" s="1"/>
  <c r="M35" i="123"/>
  <c r="I35" i="123"/>
  <c r="H35" i="123"/>
  <c r="N34" i="123"/>
  <c r="Q34" i="123" s="1"/>
  <c r="R34" i="123" s="1"/>
  <c r="M34" i="123"/>
  <c r="I34" i="123"/>
  <c r="H34" i="123"/>
  <c r="S33" i="123"/>
  <c r="H33" i="123"/>
  <c r="S32" i="123"/>
  <c r="H32" i="123"/>
  <c r="N31" i="123"/>
  <c r="Q31" i="123" s="1"/>
  <c r="R31" i="123" s="1"/>
  <c r="M31" i="123"/>
  <c r="I31" i="123"/>
  <c r="H31" i="123"/>
  <c r="N30" i="123"/>
  <c r="Q30" i="123" s="1"/>
  <c r="R30" i="123" s="1"/>
  <c r="M30" i="123"/>
  <c r="I30" i="123"/>
  <c r="H30" i="123"/>
  <c r="R29" i="123"/>
  <c r="P29" i="123"/>
  <c r="S29" i="123"/>
  <c r="H29" i="123"/>
  <c r="N28" i="123"/>
  <c r="O28" i="123" s="1"/>
  <c r="M28" i="123"/>
  <c r="I28" i="123"/>
  <c r="H28" i="123"/>
  <c r="N27" i="123"/>
  <c r="Q27" i="123" s="1"/>
  <c r="R27" i="123" s="1"/>
  <c r="M27" i="123"/>
  <c r="I27" i="123"/>
  <c r="H27" i="123"/>
  <c r="H26" i="123"/>
  <c r="I25" i="123"/>
  <c r="H25" i="123"/>
  <c r="S24" i="123"/>
  <c r="U23" i="123"/>
  <c r="S23" i="123"/>
  <c r="T23" i="123"/>
  <c r="N22" i="123"/>
  <c r="Q22" i="123" s="1"/>
  <c r="R22" i="123" s="1"/>
  <c r="M22" i="123"/>
  <c r="I22" i="123"/>
  <c r="H22" i="123"/>
  <c r="U22" i="123" s="1"/>
  <c r="N21" i="123"/>
  <c r="Q21" i="123" s="1"/>
  <c r="R21" i="123" s="1"/>
  <c r="M21" i="123"/>
  <c r="I21" i="123"/>
  <c r="H21" i="123"/>
  <c r="U21" i="123" s="1"/>
  <c r="I20" i="123"/>
  <c r="H20" i="123"/>
  <c r="U20" i="123" s="1"/>
  <c r="Y19" i="123"/>
  <c r="N19" i="123"/>
  <c r="O19" i="123" s="1"/>
  <c r="M19" i="123"/>
  <c r="I19" i="123"/>
  <c r="H19" i="123"/>
  <c r="U19" i="123" s="1"/>
  <c r="Y18" i="123"/>
  <c r="N18" i="123"/>
  <c r="Q18" i="123" s="1"/>
  <c r="R18" i="123" s="1"/>
  <c r="M18" i="123"/>
  <c r="I18" i="123"/>
  <c r="H18" i="123"/>
  <c r="U18" i="123" s="1"/>
  <c r="Y17" i="123"/>
  <c r="U17" i="123"/>
  <c r="N17" i="123"/>
  <c r="Q17" i="123" s="1"/>
  <c r="R17" i="123" s="1"/>
  <c r="M17" i="123"/>
  <c r="I17" i="123"/>
  <c r="H17" i="123"/>
  <c r="Y16" i="123"/>
  <c r="U16" i="123"/>
  <c r="T16" i="123"/>
  <c r="Y15" i="123"/>
  <c r="P15" i="123"/>
  <c r="R4" i="123"/>
  <c r="P57" i="123" l="1"/>
  <c r="P200" i="123"/>
  <c r="P255" i="123"/>
  <c r="S35" i="123"/>
  <c r="S31" i="123"/>
  <c r="P19" i="123"/>
  <c r="P225" i="123"/>
  <c r="P41" i="123"/>
  <c r="S43" i="123"/>
  <c r="P156" i="123"/>
  <c r="O279" i="123"/>
  <c r="P46" i="123"/>
  <c r="S63" i="123"/>
  <c r="S65" i="123"/>
  <c r="S136" i="123"/>
  <c r="S140" i="123"/>
  <c r="P148" i="123"/>
  <c r="P179" i="123"/>
  <c r="S186" i="123"/>
  <c r="S190" i="123"/>
  <c r="S194" i="123"/>
  <c r="V16" i="123"/>
  <c r="S78" i="123"/>
  <c r="P97" i="123"/>
  <c r="P101" i="123"/>
  <c r="P105" i="123"/>
  <c r="P142" i="123"/>
  <c r="P62" i="123"/>
  <c r="P64" i="123"/>
  <c r="S130" i="123"/>
  <c r="P137" i="123"/>
  <c r="S164" i="123"/>
  <c r="S168" i="123"/>
  <c r="S47" i="123"/>
  <c r="S50" i="123"/>
  <c r="O124" i="123"/>
  <c r="P124" i="123" s="1"/>
  <c r="Q124" i="123"/>
  <c r="P54" i="123"/>
  <c r="S73" i="123"/>
  <c r="S75" i="123"/>
  <c r="P85" i="123"/>
  <c r="P87" i="123"/>
  <c r="P175" i="123"/>
  <c r="P187" i="123"/>
  <c r="P191" i="123"/>
  <c r="P195" i="123"/>
  <c r="P209" i="123"/>
  <c r="P242" i="123"/>
  <c r="I258" i="123"/>
  <c r="C32" i="127"/>
  <c r="S39" i="123"/>
  <c r="S68" i="123"/>
  <c r="S70" i="123"/>
  <c r="P82" i="123"/>
  <c r="S116" i="123"/>
  <c r="P132" i="123"/>
  <c r="P219" i="123"/>
  <c r="P182" i="123"/>
  <c r="P184" i="123"/>
  <c r="S199" i="123"/>
  <c r="P206" i="123"/>
  <c r="O89" i="123"/>
  <c r="P89" i="123" s="1"/>
  <c r="C33" i="127"/>
  <c r="C34" i="127"/>
  <c r="P161" i="123"/>
  <c r="P165" i="123"/>
  <c r="P169" i="123"/>
  <c r="P214" i="123"/>
  <c r="P236" i="123"/>
  <c r="P28" i="123"/>
  <c r="S53" i="123"/>
  <c r="S55" i="123"/>
  <c r="P72" i="123"/>
  <c r="P74" i="123"/>
  <c r="S86" i="123"/>
  <c r="S123" i="123"/>
  <c r="P125" i="123"/>
  <c r="C35" i="127"/>
  <c r="P231" i="123"/>
  <c r="P253" i="123"/>
  <c r="V23" i="123"/>
  <c r="P38" i="123"/>
  <c r="P67" i="123"/>
  <c r="P69" i="123"/>
  <c r="S81" i="123"/>
  <c r="S83" i="123"/>
  <c r="P92" i="123"/>
  <c r="P117" i="123"/>
  <c r="O188" i="123"/>
  <c r="P188" i="123" s="1"/>
  <c r="Q209" i="123"/>
  <c r="R209" i="123" s="1"/>
  <c r="S209" i="123" s="1"/>
  <c r="S215" i="123"/>
  <c r="F35" i="127"/>
  <c r="Q206" i="123"/>
  <c r="R206" i="123" s="1"/>
  <c r="O215" i="123"/>
  <c r="P215" i="123" s="1"/>
  <c r="Q169" i="123"/>
  <c r="R169" i="123" s="1"/>
  <c r="S169" i="123" s="1"/>
  <c r="S217" i="123"/>
  <c r="F34" i="127"/>
  <c r="F33" i="127"/>
  <c r="O123" i="123"/>
  <c r="P123" i="123" s="1"/>
  <c r="S158" i="123"/>
  <c r="Q184" i="123"/>
  <c r="R184" i="123" s="1"/>
  <c r="S184" i="123" s="1"/>
  <c r="Q137" i="123"/>
  <c r="R137" i="123" s="1"/>
  <c r="S137" i="123" s="1"/>
  <c r="S173" i="123"/>
  <c r="O96" i="123"/>
  <c r="P96" i="123" s="1"/>
  <c r="S154" i="123"/>
  <c r="Q92" i="123"/>
  <c r="R92" i="123" s="1"/>
  <c r="O116" i="123"/>
  <c r="P116" i="123" s="1"/>
  <c r="O133" i="123"/>
  <c r="P133" i="123" s="1"/>
  <c r="O167" i="123"/>
  <c r="P167" i="123" s="1"/>
  <c r="S192" i="123"/>
  <c r="S198" i="123"/>
  <c r="Q219" i="123"/>
  <c r="R219" i="123" s="1"/>
  <c r="S219" i="123" s="1"/>
  <c r="Q236" i="123"/>
  <c r="R236" i="123" s="1"/>
  <c r="S236" i="123" s="1"/>
  <c r="Q255" i="123"/>
  <c r="R255" i="123" s="1"/>
  <c r="S255" i="123" s="1"/>
  <c r="Q148" i="123"/>
  <c r="R148" i="123" s="1"/>
  <c r="S148" i="123" s="1"/>
  <c r="S162" i="123"/>
  <c r="Q187" i="123"/>
  <c r="R187" i="123" s="1"/>
  <c r="S187" i="123" s="1"/>
  <c r="O30" i="123"/>
  <c r="P30" i="123" s="1"/>
  <c r="Q110" i="123"/>
  <c r="R110" i="123" s="1"/>
  <c r="S110" i="123" s="1"/>
  <c r="S113" i="123"/>
  <c r="S145" i="123"/>
  <c r="Q179" i="123"/>
  <c r="R179" i="123" s="1"/>
  <c r="S179" i="123" s="1"/>
  <c r="S237" i="123"/>
  <c r="Q156" i="123"/>
  <c r="R156" i="123" s="1"/>
  <c r="S156" i="123" s="1"/>
  <c r="D32" i="127"/>
  <c r="O73" i="123"/>
  <c r="P73" i="123" s="1"/>
  <c r="S133" i="123"/>
  <c r="O162" i="123"/>
  <c r="P162" i="123" s="1"/>
  <c r="Q165" i="123"/>
  <c r="R165" i="123" s="1"/>
  <c r="S165" i="123" s="1"/>
  <c r="Q245" i="123"/>
  <c r="R245" i="123" s="1"/>
  <c r="Q41" i="123"/>
  <c r="R41" i="123" s="1"/>
  <c r="S41" i="123" s="1"/>
  <c r="O58" i="123"/>
  <c r="P58" i="123" s="1"/>
  <c r="O145" i="123"/>
  <c r="P145" i="123" s="1"/>
  <c r="Q225" i="123"/>
  <c r="R225" i="123" s="1"/>
  <c r="S225" i="123" s="1"/>
  <c r="O83" i="123"/>
  <c r="P83" i="123" s="1"/>
  <c r="O247" i="123"/>
  <c r="P247" i="123" s="1"/>
  <c r="Q19" i="123"/>
  <c r="R19" i="123" s="1"/>
  <c r="T19" i="123" s="1"/>
  <c r="V19" i="123" s="1"/>
  <c r="O35" i="123"/>
  <c r="P35" i="123" s="1"/>
  <c r="O43" i="123"/>
  <c r="P43" i="123" s="1"/>
  <c r="Q57" i="123"/>
  <c r="R57" i="123" s="1"/>
  <c r="S57" i="123" s="1"/>
  <c r="O104" i="123"/>
  <c r="P104" i="123" s="1"/>
  <c r="Q125" i="123"/>
  <c r="R125" i="123" s="1"/>
  <c r="S125" i="123" s="1"/>
  <c r="S146" i="123"/>
  <c r="O150" i="123"/>
  <c r="P150" i="123" s="1"/>
  <c r="D34" i="127"/>
  <c r="S157" i="123"/>
  <c r="Q182" i="123"/>
  <c r="R182" i="123" s="1"/>
  <c r="S182" i="123" s="1"/>
  <c r="S188" i="123"/>
  <c r="O193" i="123"/>
  <c r="P193" i="123" s="1"/>
  <c r="Q200" i="123"/>
  <c r="R200" i="123" s="1"/>
  <c r="S200" i="123" s="1"/>
  <c r="Q214" i="123"/>
  <c r="R214" i="123" s="1"/>
  <c r="S214" i="123" s="1"/>
  <c r="O222" i="123"/>
  <c r="P222" i="123" s="1"/>
  <c r="O233" i="123"/>
  <c r="O244" i="123"/>
  <c r="P244" i="123" s="1"/>
  <c r="Q251" i="123"/>
  <c r="R251" i="123" s="1"/>
  <c r="S251" i="123" s="1"/>
  <c r="O55" i="123"/>
  <c r="P55" i="123" s="1"/>
  <c r="Q54" i="123"/>
  <c r="R54" i="123" s="1"/>
  <c r="S54" i="123" s="1"/>
  <c r="O68" i="123"/>
  <c r="P68" i="123" s="1"/>
  <c r="D33" i="127"/>
  <c r="R124" i="123"/>
  <c r="S124" i="123" s="1"/>
  <c r="O139" i="123"/>
  <c r="P139" i="123" s="1"/>
  <c r="D35" i="127"/>
  <c r="S37" i="123"/>
  <c r="S45" i="123"/>
  <c r="O100" i="123"/>
  <c r="P100" i="123" s="1"/>
  <c r="S160" i="123"/>
  <c r="Q175" i="123"/>
  <c r="R175" i="123" s="1"/>
  <c r="S175" i="123" s="1"/>
  <c r="S229" i="123"/>
  <c r="O237" i="123"/>
  <c r="P237" i="123" s="1"/>
  <c r="Q49" i="123"/>
  <c r="R49" i="123" s="1"/>
  <c r="S49" i="123" s="1"/>
  <c r="O108" i="123"/>
  <c r="P108" i="123" s="1"/>
  <c r="O78" i="123"/>
  <c r="P78" i="123" s="1"/>
  <c r="O93" i="123"/>
  <c r="P93" i="123" s="1"/>
  <c r="S247" i="123"/>
  <c r="S248" i="123"/>
  <c r="S257" i="123"/>
  <c r="S30" i="123"/>
  <c r="O239" i="123"/>
  <c r="P239" i="123" s="1"/>
  <c r="S18" i="123"/>
  <c r="O63" i="123"/>
  <c r="P63" i="123" s="1"/>
  <c r="S98" i="123"/>
  <c r="O128" i="123"/>
  <c r="P128" i="123" s="1"/>
  <c r="Q142" i="123"/>
  <c r="R142" i="123" s="1"/>
  <c r="S142" i="123" s="1"/>
  <c r="O157" i="123"/>
  <c r="P157" i="123" s="1"/>
  <c r="S193" i="123"/>
  <c r="Q195" i="123"/>
  <c r="R195" i="123" s="1"/>
  <c r="S195" i="123" s="1"/>
  <c r="S218" i="123"/>
  <c r="S222" i="123"/>
  <c r="S244" i="123"/>
  <c r="Q51" i="123"/>
  <c r="R51" i="123" s="1"/>
  <c r="S51" i="123" s="1"/>
  <c r="S139" i="123"/>
  <c r="Q161" i="123"/>
  <c r="R161" i="123" s="1"/>
  <c r="S161" i="123" s="1"/>
  <c r="S163" i="123"/>
  <c r="S181" i="123"/>
  <c r="Q191" i="123"/>
  <c r="R191" i="123" s="1"/>
  <c r="S191" i="123" s="1"/>
  <c r="S204" i="123"/>
  <c r="S228" i="123"/>
  <c r="Q231" i="123"/>
  <c r="R231" i="123" s="1"/>
  <c r="S231" i="123" s="1"/>
  <c r="Q240" i="123"/>
  <c r="R240" i="123" s="1"/>
  <c r="S240" i="123" s="1"/>
  <c r="Q242" i="123"/>
  <c r="R242" i="123" s="1"/>
  <c r="S242" i="123" s="1"/>
  <c r="Q253" i="123"/>
  <c r="R253" i="123" s="1"/>
  <c r="S253" i="123" s="1"/>
  <c r="W64" i="124"/>
  <c r="X64" i="124" s="1"/>
  <c r="N64" i="124"/>
  <c r="S64" i="124"/>
  <c r="S85" i="124"/>
  <c r="S27" i="123"/>
  <c r="S22" i="123"/>
  <c r="S34" i="123"/>
  <c r="S42" i="123"/>
  <c r="S21" i="123"/>
  <c r="S96" i="123"/>
  <c r="S17" i="123"/>
  <c r="Q232" i="123"/>
  <c r="R232" i="123" s="1"/>
  <c r="S232" i="123" s="1"/>
  <c r="O232" i="123"/>
  <c r="P232" i="123" s="1"/>
  <c r="O81" i="123"/>
  <c r="P81" i="123" s="1"/>
  <c r="Q87" i="123"/>
  <c r="R87" i="123" s="1"/>
  <c r="S87" i="123" s="1"/>
  <c r="Q103" i="123"/>
  <c r="R103" i="123" s="1"/>
  <c r="S103" i="123" s="1"/>
  <c r="O103" i="123"/>
  <c r="P103" i="123" s="1"/>
  <c r="S135" i="123"/>
  <c r="O143" i="123"/>
  <c r="P143" i="123" s="1"/>
  <c r="O18" i="123"/>
  <c r="P18" i="123" s="1"/>
  <c r="Q59" i="123"/>
  <c r="R59" i="123" s="1"/>
  <c r="S59" i="123" s="1"/>
  <c r="Q62" i="123"/>
  <c r="R62" i="123" s="1"/>
  <c r="S62" i="123" s="1"/>
  <c r="O65" i="123"/>
  <c r="P65" i="123" s="1"/>
  <c r="Q72" i="123"/>
  <c r="R72" i="123" s="1"/>
  <c r="S72" i="123" s="1"/>
  <c r="Q183" i="123"/>
  <c r="R183" i="123" s="1"/>
  <c r="S183" i="123" s="1"/>
  <c r="O183" i="123"/>
  <c r="P183" i="123" s="1"/>
  <c r="O196" i="123"/>
  <c r="P196" i="123" s="1"/>
  <c r="Q226" i="123"/>
  <c r="R226" i="123" s="1"/>
  <c r="S226" i="123" s="1"/>
  <c r="O226" i="123"/>
  <c r="P226" i="123" s="1"/>
  <c r="Q99" i="123"/>
  <c r="R99" i="123" s="1"/>
  <c r="S99" i="123" s="1"/>
  <c r="O99" i="123"/>
  <c r="P99" i="123" s="1"/>
  <c r="O102" i="123"/>
  <c r="P102" i="123" s="1"/>
  <c r="Q115" i="123"/>
  <c r="R115" i="123" s="1"/>
  <c r="S115" i="123" s="1"/>
  <c r="O115" i="123"/>
  <c r="P115" i="123" s="1"/>
  <c r="O166" i="123"/>
  <c r="P166" i="123" s="1"/>
  <c r="O70" i="123"/>
  <c r="P70" i="123" s="1"/>
  <c r="Q85" i="123"/>
  <c r="R85" i="123" s="1"/>
  <c r="S85" i="123" s="1"/>
  <c r="Q69" i="123"/>
  <c r="R69" i="123" s="1"/>
  <c r="S69" i="123" s="1"/>
  <c r="Q79" i="123"/>
  <c r="R79" i="123" s="1"/>
  <c r="S79" i="123" s="1"/>
  <c r="O17" i="123"/>
  <c r="T17" i="123" s="1"/>
  <c r="V17" i="123" s="1"/>
  <c r="O27" i="123"/>
  <c r="P27" i="123" s="1"/>
  <c r="O34" i="123"/>
  <c r="P34" i="123" s="1"/>
  <c r="O37" i="123"/>
  <c r="P37" i="123" s="1"/>
  <c r="O42" i="123"/>
  <c r="P42" i="123" s="1"/>
  <c r="O45" i="123"/>
  <c r="P45" i="123" s="1"/>
  <c r="S93" i="123"/>
  <c r="Q101" i="123"/>
  <c r="R101" i="123" s="1"/>
  <c r="S101" i="123" s="1"/>
  <c r="Q117" i="123"/>
  <c r="R117" i="123" s="1"/>
  <c r="S117" i="123" s="1"/>
  <c r="S150" i="123"/>
  <c r="S155" i="123"/>
  <c r="Q170" i="123"/>
  <c r="R170" i="123" s="1"/>
  <c r="S170" i="123" s="1"/>
  <c r="O170" i="123"/>
  <c r="P170" i="123" s="1"/>
  <c r="S205" i="123"/>
  <c r="O60" i="123"/>
  <c r="P60" i="123" s="1"/>
  <c r="O86" i="123"/>
  <c r="P86" i="123" s="1"/>
  <c r="O106" i="123"/>
  <c r="P106" i="123" s="1"/>
  <c r="O120" i="123"/>
  <c r="P120" i="123" s="1"/>
  <c r="Q138" i="123"/>
  <c r="R138" i="123" s="1"/>
  <c r="S138" i="123" s="1"/>
  <c r="O138" i="123"/>
  <c r="P138" i="123" s="1"/>
  <c r="O75" i="123"/>
  <c r="P75" i="123" s="1"/>
  <c r="Q105" i="123"/>
  <c r="R105" i="123" s="1"/>
  <c r="S105" i="123" s="1"/>
  <c r="O21" i="123"/>
  <c r="P21" i="123" s="1"/>
  <c r="O22" i="123"/>
  <c r="P22" i="123" s="1"/>
  <c r="Q64" i="123"/>
  <c r="R64" i="123" s="1"/>
  <c r="S64" i="123" s="1"/>
  <c r="Q74" i="123"/>
  <c r="R74" i="123" s="1"/>
  <c r="S74" i="123" s="1"/>
  <c r="O31" i="123"/>
  <c r="P31" i="123" s="1"/>
  <c r="O39" i="123"/>
  <c r="P39" i="123" s="1"/>
  <c r="O47" i="123"/>
  <c r="P47" i="123" s="1"/>
  <c r="O98" i="123"/>
  <c r="P98" i="123" s="1"/>
  <c r="S106" i="123"/>
  <c r="O113" i="123"/>
  <c r="P113" i="123" s="1"/>
  <c r="S120" i="123"/>
  <c r="Q82" i="123"/>
  <c r="R82" i="123" s="1"/>
  <c r="S82" i="123" s="1"/>
  <c r="Q67" i="123"/>
  <c r="R67" i="123" s="1"/>
  <c r="S67" i="123" s="1"/>
  <c r="Q77" i="123"/>
  <c r="R77" i="123" s="1"/>
  <c r="S77" i="123" s="1"/>
  <c r="O178" i="123"/>
  <c r="P178" i="123" s="1"/>
  <c r="Q28" i="123"/>
  <c r="R28" i="123" s="1"/>
  <c r="S28" i="123" s="1"/>
  <c r="Q38" i="123"/>
  <c r="R38" i="123" s="1"/>
  <c r="S38" i="123" s="1"/>
  <c r="Q46" i="123"/>
  <c r="R46" i="123" s="1"/>
  <c r="S46" i="123" s="1"/>
  <c r="O50" i="123"/>
  <c r="P50" i="123" s="1"/>
  <c r="O53" i="123"/>
  <c r="P53" i="123" s="1"/>
  <c r="Q94" i="123"/>
  <c r="R94" i="123" s="1"/>
  <c r="S94" i="123" s="1"/>
  <c r="O94" i="123"/>
  <c r="P94" i="123" s="1"/>
  <c r="Q97" i="123"/>
  <c r="R97" i="123" s="1"/>
  <c r="S97" i="123" s="1"/>
  <c r="S212" i="123"/>
  <c r="H258" i="123"/>
  <c r="S102" i="123"/>
  <c r="Q107" i="123"/>
  <c r="R107" i="123" s="1"/>
  <c r="S107" i="123" s="1"/>
  <c r="O107" i="123"/>
  <c r="P107" i="123" s="1"/>
  <c r="Q122" i="123"/>
  <c r="R122" i="123" s="1"/>
  <c r="S122" i="123" s="1"/>
  <c r="O122" i="123"/>
  <c r="P122" i="123" s="1"/>
  <c r="S128" i="123"/>
  <c r="S167" i="123"/>
  <c r="S203" i="123"/>
  <c r="S208" i="123"/>
  <c r="S221" i="123"/>
  <c r="S243" i="123"/>
  <c r="O248" i="123"/>
  <c r="P248" i="123" s="1"/>
  <c r="S143" i="123"/>
  <c r="S166" i="123"/>
  <c r="S171" i="123"/>
  <c r="S178" i="123"/>
  <c r="S196" i="123"/>
  <c r="S206" i="123"/>
  <c r="S250" i="123"/>
  <c r="P251" i="123"/>
  <c r="O192" i="123"/>
  <c r="P192" i="123" s="1"/>
  <c r="S239" i="123"/>
  <c r="Q132" i="123"/>
  <c r="R132" i="123" s="1"/>
  <c r="S132" i="123" s="1"/>
  <c r="S189" i="123"/>
  <c r="O203" i="123"/>
  <c r="O208" i="123"/>
  <c r="P208" i="123" s="1"/>
  <c r="O221" i="123"/>
  <c r="P221" i="123" s="1"/>
  <c r="P240" i="123"/>
  <c r="O243" i="123"/>
  <c r="P243" i="123" s="1"/>
  <c r="O135" i="123"/>
  <c r="P135" i="123" s="1"/>
  <c r="O154" i="123"/>
  <c r="O158" i="123"/>
  <c r="P158" i="123" s="1"/>
  <c r="O163" i="123"/>
  <c r="P163" i="123" s="1"/>
  <c r="O171" i="123"/>
  <c r="P171" i="123" s="1"/>
  <c r="O189" i="123"/>
  <c r="P189" i="123" s="1"/>
  <c r="O198" i="123"/>
  <c r="P198" i="123" s="1"/>
  <c r="O204" i="123"/>
  <c r="P204" i="123" s="1"/>
  <c r="O217" i="123"/>
  <c r="P217" i="123" s="1"/>
  <c r="O228" i="123"/>
  <c r="P228" i="123" s="1"/>
  <c r="O250" i="123"/>
  <c r="P250" i="123" s="1"/>
  <c r="O257" i="123"/>
  <c r="P257" i="123" s="1"/>
  <c r="O130" i="123"/>
  <c r="P130" i="123" s="1"/>
  <c r="O136" i="123"/>
  <c r="P136" i="123" s="1"/>
  <c r="O140" i="123"/>
  <c r="P140" i="123" s="1"/>
  <c r="O146" i="123"/>
  <c r="P146" i="123" s="1"/>
  <c r="O155" i="123"/>
  <c r="P155" i="123" s="1"/>
  <c r="O160" i="123"/>
  <c r="P160" i="123" s="1"/>
  <c r="O164" i="123"/>
  <c r="P164" i="123" s="1"/>
  <c r="O168" i="123"/>
  <c r="P168" i="123" s="1"/>
  <c r="O173" i="123"/>
  <c r="P173" i="123" s="1"/>
  <c r="O181" i="123"/>
  <c r="P181" i="123" s="1"/>
  <c r="O186" i="123"/>
  <c r="P186" i="123" s="1"/>
  <c r="O190" i="123"/>
  <c r="P190" i="123" s="1"/>
  <c r="O194" i="123"/>
  <c r="P194" i="123" s="1"/>
  <c r="O199" i="123"/>
  <c r="P199" i="123" s="1"/>
  <c r="O205" i="123"/>
  <c r="P205" i="123" s="1"/>
  <c r="O212" i="123"/>
  <c r="P212" i="123" s="1"/>
  <c r="O218" i="123"/>
  <c r="P218" i="123" s="1"/>
  <c r="O223" i="123"/>
  <c r="O229" i="123"/>
  <c r="P229" i="123" s="1"/>
  <c r="O235" i="123"/>
  <c r="P235" i="123" s="1"/>
  <c r="G35" i="127" l="1"/>
  <c r="J258" i="123"/>
  <c r="E42" i="43"/>
  <c r="G33" i="127"/>
  <c r="I263" i="123"/>
  <c r="I262" i="123"/>
  <c r="C31" i="127"/>
  <c r="C79" i="127" s="1"/>
  <c r="G34" i="127"/>
  <c r="L101" i="118"/>
  <c r="AR100" i="118" s="1"/>
  <c r="E33" i="127"/>
  <c r="Q33" i="127"/>
  <c r="E32" i="127"/>
  <c r="Q32" i="127"/>
  <c r="E35" i="127"/>
  <c r="Q35" i="127"/>
  <c r="D31" i="127"/>
  <c r="E34" i="127"/>
  <c r="Q34" i="127"/>
  <c r="S92" i="123"/>
  <c r="J33" i="127"/>
  <c r="K33" i="127" s="1"/>
  <c r="S19" i="123"/>
  <c r="J35" i="127"/>
  <c r="K35" i="127" s="1"/>
  <c r="H33" i="127"/>
  <c r="T18" i="123"/>
  <c r="V18" i="123" s="1"/>
  <c r="P154" i="123"/>
  <c r="H34" i="127"/>
  <c r="P203" i="123"/>
  <c r="H35" i="127"/>
  <c r="J34" i="127"/>
  <c r="K34" i="127" s="1"/>
  <c r="T21" i="123"/>
  <c r="V21" i="123" s="1"/>
  <c r="P17" i="123"/>
  <c r="N274" i="123"/>
  <c r="F273" i="123"/>
  <c r="H262" i="123"/>
  <c r="T262" i="123" s="1"/>
  <c r="W258" i="123"/>
  <c r="F272" i="123"/>
  <c r="H271" i="123"/>
  <c r="K265" i="123"/>
  <c r="T22" i="123"/>
  <c r="V22" i="123" s="1"/>
  <c r="AQ99" i="118" l="1"/>
  <c r="L97" i="118"/>
  <c r="G94" i="118"/>
  <c r="C21" i="127"/>
  <c r="I35" i="127"/>
  <c r="R35" i="127"/>
  <c r="I34" i="127"/>
  <c r="R34" i="127"/>
  <c r="Q31" i="127"/>
  <c r="D21" i="127"/>
  <c r="D41" i="127"/>
  <c r="G105" i="132" s="1"/>
  <c r="H105" i="132" s="1"/>
  <c r="L94" i="118"/>
  <c r="E31" i="127"/>
  <c r="I33" i="127"/>
  <c r="R33" i="127"/>
  <c r="K262" i="123"/>
  <c r="J262" i="123" s="1"/>
  <c r="K271" i="123"/>
  <c r="G91" i="118" l="1"/>
  <c r="AQ87" i="118"/>
  <c r="E21" i="127"/>
  <c r="Q21" i="127"/>
  <c r="Q41" i="127"/>
  <c r="D70" i="127"/>
  <c r="E32" i="43" l="1"/>
  <c r="E33" i="43"/>
  <c r="E31" i="43"/>
  <c r="E24" i="43"/>
  <c r="E25" i="43"/>
  <c r="E26" i="43"/>
  <c r="E27" i="43"/>
  <c r="E28" i="43"/>
  <c r="E29" i="43"/>
  <c r="E23" i="43"/>
  <c r="W17" i="72" l="1"/>
  <c r="W18" i="72"/>
  <c r="W19" i="72"/>
  <c r="W20" i="72"/>
  <c r="W21" i="72"/>
  <c r="W22" i="72"/>
  <c r="W23" i="72"/>
  <c r="W24" i="72"/>
  <c r="W25" i="72"/>
  <c r="W26" i="72"/>
  <c r="W27" i="72"/>
  <c r="W28" i="72"/>
  <c r="W29" i="72"/>
  <c r="W30" i="72"/>
  <c r="W31" i="72"/>
  <c r="W32" i="72"/>
  <c r="W33" i="72"/>
  <c r="W34" i="72"/>
  <c r="W35" i="72"/>
  <c r="W36" i="72"/>
  <c r="W37" i="72"/>
  <c r="W38" i="72"/>
  <c r="W39" i="72"/>
  <c r="W40" i="72"/>
  <c r="W41" i="72"/>
  <c r="W42" i="72"/>
  <c r="W43" i="72"/>
  <c r="W44" i="72"/>
  <c r="W45" i="72"/>
  <c r="W16" i="72"/>
  <c r="S32" i="72"/>
  <c r="S28" i="72"/>
  <c r="S23" i="72"/>
  <c r="S17" i="72"/>
  <c r="U38" i="72" l="1"/>
  <c r="U34" i="72"/>
  <c r="U22" i="72"/>
  <c r="U37" i="72"/>
  <c r="U40" i="72"/>
  <c r="U24" i="72"/>
  <c r="U20" i="72"/>
  <c r="U41" i="72"/>
  <c r="U25" i="72"/>
  <c r="U43" i="72"/>
  <c r="U39" i="72"/>
  <c r="U35" i="72"/>
  <c r="AD23" i="72" l="1"/>
  <c r="AD28" i="72"/>
  <c r="U42" i="72"/>
  <c r="U29" i="72"/>
  <c r="U45" i="72"/>
  <c r="U18" i="72"/>
  <c r="AE18" i="72"/>
  <c r="U19" i="72"/>
  <c r="U16" i="72"/>
  <c r="AE16" i="72"/>
  <c r="U23" i="72"/>
  <c r="R23" i="72"/>
  <c r="U28" i="72"/>
  <c r="R28" i="72"/>
  <c r="Z34" i="72"/>
  <c r="U21" i="72"/>
  <c r="U30" i="72"/>
  <c r="U31" i="72"/>
  <c r="U44" i="72"/>
  <c r="U27" i="72"/>
  <c r="U33" i="72"/>
  <c r="AE17" i="72"/>
  <c r="U36" i="72"/>
  <c r="U26" i="72"/>
  <c r="AD32" i="72" l="1"/>
  <c r="U32" i="72"/>
  <c r="R32" i="72"/>
  <c r="C20" i="127"/>
  <c r="E20" i="127" s="1"/>
  <c r="U17" i="72"/>
  <c r="R17" i="72"/>
  <c r="Z33" i="72"/>
  <c r="Z29" i="72"/>
  <c r="C16" i="127" s="1"/>
  <c r="E16" i="127" s="1"/>
  <c r="Z32" i="72"/>
  <c r="C19" i="127" s="1"/>
  <c r="E19" i="127" s="1"/>
  <c r="Z30" i="72"/>
  <c r="C17" i="127" s="1"/>
  <c r="E17" i="127" s="1"/>
  <c r="Z28" i="72"/>
  <c r="C15" i="127" s="1"/>
  <c r="E15" i="127" s="1"/>
  <c r="Z27" i="72"/>
  <c r="C14" i="127" s="1"/>
  <c r="E14" i="127" s="1"/>
  <c r="Z31" i="72"/>
  <c r="C18" i="127" s="1"/>
  <c r="E18" i="127" s="1"/>
  <c r="H263" i="134"/>
  <c r="H264" i="134" s="1"/>
  <c r="C13" i="127" l="1"/>
  <c r="C41" i="127" l="1"/>
  <c r="C76" i="127"/>
  <c r="G90" i="118"/>
  <c r="G103" i="118" s="1"/>
  <c r="E13" i="127"/>
  <c r="G108" i="132" l="1"/>
  <c r="H108" i="132" s="1"/>
  <c r="C82" i="127"/>
  <c r="E41" i="127"/>
  <c r="E26" i="127"/>
  <c r="C70" i="127"/>
  <c r="E70" i="127" s="1"/>
  <c r="N55" i="127"/>
  <c r="F16" i="127" l="1"/>
  <c r="G16" i="127" s="1"/>
  <c r="F20" i="127"/>
  <c r="G20" i="127" s="1"/>
  <c r="F19" i="127"/>
  <c r="G19" i="127" s="1"/>
  <c r="F18" i="127"/>
  <c r="G18" i="127" s="1"/>
  <c r="AX149" i="118" l="1"/>
  <c r="AW149" i="118"/>
  <c r="AV149" i="118"/>
  <c r="AU149" i="118"/>
  <c r="AT149" i="118"/>
  <c r="AS149" i="118"/>
  <c r="AR149" i="118"/>
  <c r="AQ149" i="118"/>
  <c r="X135" i="118"/>
  <c r="X134" i="118"/>
  <c r="AA133" i="118"/>
  <c r="X133" i="118"/>
  <c r="AA132" i="118"/>
  <c r="X132" i="118"/>
  <c r="AA131" i="118"/>
  <c r="I132" i="118"/>
  <c r="F133" i="118" s="1"/>
  <c r="I133" i="118" s="1"/>
  <c r="F134" i="118" s="1"/>
  <c r="I134" i="118" s="1"/>
  <c r="F135" i="118" s="1"/>
  <c r="I135" i="118" s="1"/>
  <c r="S124" i="118"/>
  <c r="AA124" i="118" s="1"/>
  <c r="AA108" i="118"/>
  <c r="AG108" i="118" s="1"/>
  <c r="Y108" i="118"/>
  <c r="Q108" i="118"/>
  <c r="AA102" i="118"/>
  <c r="AI102" i="118" s="1"/>
  <c r="AN102" i="118" s="1"/>
  <c r="Y102" i="118"/>
  <c r="Q102" i="118"/>
  <c r="Q101" i="118"/>
  <c r="AA100" i="118"/>
  <c r="AI100" i="118" s="1"/>
  <c r="AN100" i="118" s="1"/>
  <c r="Y100" i="118"/>
  <c r="Q100" i="118"/>
  <c r="AA99" i="118"/>
  <c r="Y99" i="118"/>
  <c r="Q99" i="118"/>
  <c r="AA96" i="118"/>
  <c r="AI96" i="118" s="1"/>
  <c r="AN96" i="118" s="1"/>
  <c r="Y96" i="118"/>
  <c r="Q96" i="118"/>
  <c r="AI95" i="118"/>
  <c r="AN95" i="118" s="1"/>
  <c r="Y95" i="118"/>
  <c r="Q95" i="118"/>
  <c r="Q94" i="118"/>
  <c r="AA93" i="118"/>
  <c r="AI93" i="118" s="1"/>
  <c r="AN93" i="118" s="1"/>
  <c r="Y93" i="118"/>
  <c r="Q93" i="118"/>
  <c r="AA92" i="118"/>
  <c r="AI92" i="118" s="1"/>
  <c r="Y92" i="118"/>
  <c r="Q92" i="118"/>
  <c r="L91" i="118"/>
  <c r="AQ90" i="118"/>
  <c r="G88" i="118"/>
  <c r="AF43" i="118"/>
  <c r="G116" i="118" s="1"/>
  <c r="AE43" i="118"/>
  <c r="AB43" i="118"/>
  <c r="Y43" i="118"/>
  <c r="M30" i="118"/>
  <c r="M6" i="118"/>
  <c r="X34" i="72"/>
  <c r="X33" i="72"/>
  <c r="Q117" i="118" l="1"/>
  <c r="Y117" i="118"/>
  <c r="X136" i="118"/>
  <c r="AI99" i="118"/>
  <c r="AN99" i="118" s="1"/>
  <c r="AQ41" i="118"/>
  <c r="AI108" i="118"/>
  <c r="AN108" i="118" s="1"/>
  <c r="AG100" i="118"/>
  <c r="AG95" i="118"/>
  <c r="AG93" i="118"/>
  <c r="AI43" i="118"/>
  <c r="AG102" i="118"/>
  <c r="AA117" i="118"/>
  <c r="AG92" i="118"/>
  <c r="AQ115" i="118"/>
  <c r="AA136" i="118"/>
  <c r="Q98" i="118"/>
  <c r="Q91" i="118"/>
  <c r="AG96" i="118"/>
  <c r="AG99" i="118"/>
  <c r="Q97" i="118"/>
  <c r="AY149" i="118"/>
  <c r="AD17" i="72"/>
  <c r="AI44" i="118" l="1"/>
  <c r="G124" i="118"/>
  <c r="AG117" i="118"/>
  <c r="AI117" i="118"/>
  <c r="AN117" i="118" s="1"/>
  <c r="Q124" i="118" l="1"/>
  <c r="AI124" i="118"/>
  <c r="AN124" i="118" s="1"/>
  <c r="Y124" i="118"/>
  <c r="AG124" i="118"/>
  <c r="AQ139" i="118"/>
  <c r="Y141" i="118"/>
  <c r="E21" i="43" l="1"/>
  <c r="E18" i="43"/>
  <c r="E17" i="43"/>
  <c r="E14" i="43" l="1"/>
  <c r="E19" i="43"/>
  <c r="E20" i="43"/>
  <c r="E16" i="43"/>
  <c r="Z36" i="72" l="1"/>
  <c r="Z37" i="72" s="1"/>
  <c r="G89" i="118" l="1"/>
  <c r="AC46" i="72"/>
  <c r="S29" i="72" l="1"/>
  <c r="S40" i="72" l="1"/>
  <c r="S39" i="72"/>
  <c r="S38" i="72"/>
  <c r="S19" i="72"/>
  <c r="S45" i="72"/>
  <c r="S37" i="72"/>
  <c r="S27" i="72"/>
  <c r="S44" i="72"/>
  <c r="S36" i="72"/>
  <c r="S26" i="72"/>
  <c r="S43" i="72"/>
  <c r="S35" i="72"/>
  <c r="S25" i="72"/>
  <c r="H20" i="127"/>
  <c r="S42" i="72"/>
  <c r="S34" i="72"/>
  <c r="S24" i="72"/>
  <c r="S41" i="72"/>
  <c r="S33" i="72"/>
  <c r="S22" i="72"/>
  <c r="AD33" i="72" l="1"/>
  <c r="AD43" i="72"/>
  <c r="AD39" i="72"/>
  <c r="J20" i="127"/>
  <c r="K20" i="127" s="1"/>
  <c r="AD42" i="72"/>
  <c r="AD29" i="72"/>
  <c r="AD27" i="72"/>
  <c r="AD45" i="72"/>
  <c r="I20" i="127"/>
  <c r="S18" i="72"/>
  <c r="G33" i="43"/>
  <c r="AD36" i="72" l="1"/>
  <c r="AD26" i="72"/>
  <c r="AD40" i="72"/>
  <c r="AD38" i="72"/>
  <c r="AD41" i="72"/>
  <c r="AD44" i="72"/>
  <c r="AD25" i="72"/>
  <c r="AD24" i="72"/>
  <c r="AD35" i="72"/>
  <c r="AD19" i="72"/>
  <c r="AD18" i="72"/>
  <c r="AD37" i="72"/>
  <c r="AD34" i="72"/>
  <c r="AD22" i="72"/>
  <c r="J19" i="127"/>
  <c r="K19" i="127" s="1"/>
  <c r="J16" i="127"/>
  <c r="K16" i="127" s="1"/>
  <c r="R20" i="127"/>
  <c r="J18" i="127"/>
  <c r="K18" i="127" s="1"/>
  <c r="G21" i="43" l="1"/>
  <c r="G24" i="43" l="1"/>
  <c r="G26" i="43"/>
  <c r="G28" i="43"/>
  <c r="G29" i="43"/>
  <c r="G23" i="43"/>
  <c r="F32" i="43"/>
  <c r="F33" i="43"/>
  <c r="F31" i="43"/>
  <c r="F25" i="43"/>
  <c r="F26" i="43"/>
  <c r="F27" i="43"/>
  <c r="F28" i="43"/>
  <c r="F29" i="43"/>
  <c r="F24" i="43"/>
  <c r="E22" i="43"/>
  <c r="L22" i="43" s="1"/>
  <c r="F21" i="43" l="1"/>
  <c r="H21" i="43" s="1"/>
  <c r="I21" i="43" s="1"/>
  <c r="J21" i="43" l="1"/>
  <c r="K21" i="43" s="1"/>
  <c r="G43" i="43" l="1"/>
  <c r="G42" i="43"/>
  <c r="I42" i="43"/>
  <c r="H33" i="43" l="1"/>
  <c r="B33" i="43"/>
  <c r="B32" i="43"/>
  <c r="B31" i="43"/>
  <c r="B29" i="43"/>
  <c r="B28" i="43"/>
  <c r="B27" i="43"/>
  <c r="B26" i="43"/>
  <c r="B25" i="43"/>
  <c r="B24" i="43"/>
  <c r="B23" i="43"/>
  <c r="H23" i="43" l="1"/>
  <c r="I23" i="43" s="1"/>
  <c r="H24" i="43"/>
  <c r="J24" i="43" l="1"/>
  <c r="I24" i="43"/>
  <c r="G31" i="43" l="1"/>
  <c r="Z19" i="72" l="1"/>
  <c r="G20" i="43" s="1"/>
  <c r="Z18" i="72"/>
  <c r="G19" i="43" s="1"/>
  <c r="N15" i="72" l="1"/>
  <c r="S16" i="72" l="1"/>
  <c r="AD16" i="72" l="1"/>
  <c r="J43" i="43"/>
  <c r="J33" i="43" l="1"/>
  <c r="K33" i="43" s="1"/>
  <c r="I33" i="43"/>
  <c r="H31" i="43" l="1"/>
  <c r="G32" i="43"/>
  <c r="H32" i="43" s="1"/>
  <c r="J32" i="43" l="1"/>
  <c r="K32" i="43" s="1"/>
  <c r="I32" i="43"/>
  <c r="J31" i="43"/>
  <c r="K31" i="43" s="1"/>
  <c r="I31" i="43"/>
  <c r="AI73" i="87" l="1"/>
  <c r="AI74" i="87"/>
  <c r="S509" i="88"/>
  <c r="R509" i="88"/>
  <c r="V509" i="88"/>
  <c r="U509" i="88"/>
  <c r="S499" i="88"/>
  <c r="R499" i="88"/>
  <c r="U499" i="88"/>
  <c r="V499" i="88"/>
  <c r="G128" i="87"/>
  <c r="AI128" i="87" s="1"/>
  <c r="AI134" i="87"/>
  <c r="AI135" i="87"/>
  <c r="AI136" i="87"/>
  <c r="AI137" i="87"/>
  <c r="AI138" i="87"/>
  <c r="AI139" i="87"/>
  <c r="AI140" i="87"/>
  <c r="AI141" i="87"/>
  <c r="AI142" i="87"/>
  <c r="AL133" i="87"/>
  <c r="P133" i="87"/>
  <c r="AI133" i="87" s="1"/>
  <c r="G132" i="87"/>
  <c r="AI132" i="87" s="1"/>
  <c r="U131" i="87"/>
  <c r="R131" i="87"/>
  <c r="U130" i="87"/>
  <c r="J130" i="87"/>
  <c r="H129" i="87"/>
  <c r="G129" i="87"/>
  <c r="AI127" i="87"/>
  <c r="AI126" i="87"/>
  <c r="AI125" i="87"/>
  <c r="AI124" i="87"/>
  <c r="AI123" i="87"/>
  <c r="AI122" i="87"/>
  <c r="AI121" i="87"/>
  <c r="AI120" i="87"/>
  <c r="AI119" i="87"/>
  <c r="AI118" i="87"/>
  <c r="AI117" i="87"/>
  <c r="AI116" i="87"/>
  <c r="AI115" i="87"/>
  <c r="AI114" i="87"/>
  <c r="AI113" i="87"/>
  <c r="R112" i="87"/>
  <c r="Q112" i="87"/>
  <c r="P112" i="87"/>
  <c r="O112" i="87"/>
  <c r="N112" i="87"/>
  <c r="AI111" i="87"/>
  <c r="AI110" i="87"/>
  <c r="AI109" i="87"/>
  <c r="AI108" i="87"/>
  <c r="AI107" i="87"/>
  <c r="AI106" i="87"/>
  <c r="AI105" i="87"/>
  <c r="AI104" i="87"/>
  <c r="AI103" i="87"/>
  <c r="AI102" i="87"/>
  <c r="AI101" i="87"/>
  <c r="AI100" i="87"/>
  <c r="AI99" i="87"/>
  <c r="AI98" i="87"/>
  <c r="AI97" i="87"/>
  <c r="AI96" i="87"/>
  <c r="AI95" i="87"/>
  <c r="AI94" i="87"/>
  <c r="AI93" i="87"/>
  <c r="AI92" i="87"/>
  <c r="AI91" i="87"/>
  <c r="AI90" i="87"/>
  <c r="AI89" i="87"/>
  <c r="AI88" i="87"/>
  <c r="AI87" i="87"/>
  <c r="AI86" i="87"/>
  <c r="AI85" i="87"/>
  <c r="AI84" i="87"/>
  <c r="AI83" i="87"/>
  <c r="AI82" i="87"/>
  <c r="AI81" i="87"/>
  <c r="AI80" i="87"/>
  <c r="AI79" i="87"/>
  <c r="AI78" i="87"/>
  <c r="AI77" i="87"/>
  <c r="AI76" i="87"/>
  <c r="AI75" i="87"/>
  <c r="AI72" i="87"/>
  <c r="AI71" i="87"/>
  <c r="AI70" i="87"/>
  <c r="AI69" i="87"/>
  <c r="AI68" i="87"/>
  <c r="W67" i="87"/>
  <c r="AI67" i="87" s="1"/>
  <c r="AI66" i="87"/>
  <c r="AC65" i="87"/>
  <c r="AI65" i="87" s="1"/>
  <c r="AI64" i="87"/>
  <c r="AI63" i="87"/>
  <c r="AI62" i="87"/>
  <c r="AI61" i="87"/>
  <c r="AI60" i="87"/>
  <c r="AI59" i="87"/>
  <c r="AI58" i="87"/>
  <c r="AI57" i="87"/>
  <c r="AI56" i="87"/>
  <c r="AI55" i="87"/>
  <c r="AI54" i="87"/>
  <c r="AI53" i="87"/>
  <c r="AI52" i="87"/>
  <c r="AI51" i="87"/>
  <c r="AI50" i="87"/>
  <c r="AI49" i="87"/>
  <c r="AI48" i="87"/>
  <c r="AI47" i="87"/>
  <c r="AI46" i="87"/>
  <c r="AI45" i="87"/>
  <c r="AI44" i="87"/>
  <c r="AI43" i="87"/>
  <c r="AI42" i="87"/>
  <c r="AI41" i="87"/>
  <c r="AI40" i="87"/>
  <c r="AI39" i="87"/>
  <c r="AI38" i="87"/>
  <c r="AI37" i="87"/>
  <c r="AI36" i="87"/>
  <c r="AI35" i="87"/>
  <c r="AI34" i="87"/>
  <c r="AI33" i="87"/>
  <c r="AI32" i="87"/>
  <c r="D31" i="87"/>
  <c r="AI31" i="87" s="1"/>
  <c r="AI30" i="87"/>
  <c r="AI29" i="87"/>
  <c r="AI28" i="87"/>
  <c r="AI27" i="87"/>
  <c r="AI26" i="87"/>
  <c r="AI25" i="87"/>
  <c r="AI24" i="87"/>
  <c r="AI23" i="87"/>
  <c r="AI22" i="87"/>
  <c r="AI21" i="87"/>
  <c r="AI20" i="87"/>
  <c r="AI19" i="87"/>
  <c r="AI18" i="87"/>
  <c r="AK18" i="87" s="1"/>
  <c r="AM18" i="87" s="1"/>
  <c r="AO18" i="87" s="1"/>
  <c r="AQ18" i="87" s="1"/>
  <c r="AI17" i="87"/>
  <c r="AK17" i="87" s="1"/>
  <c r="AM17" i="87" s="1"/>
  <c r="AO17" i="87" s="1"/>
  <c r="AQ17" i="87" s="1"/>
  <c r="AI16" i="87"/>
  <c r="AK16" i="87" s="1"/>
  <c r="AM16" i="87" s="1"/>
  <c r="AO16" i="87" s="1"/>
  <c r="AQ16" i="87" s="1"/>
  <c r="AI15" i="87"/>
  <c r="AK15" i="87" s="1"/>
  <c r="AM15" i="87" s="1"/>
  <c r="AO15" i="87" s="1"/>
  <c r="AQ15" i="87" s="1"/>
  <c r="Y14" i="87"/>
  <c r="AI14" i="87" s="1"/>
  <c r="AK14" i="87" s="1"/>
  <c r="AM14" i="87" s="1"/>
  <c r="AO14" i="87" s="1"/>
  <c r="AQ14" i="87" s="1"/>
  <c r="AP13" i="87"/>
  <c r="AL13" i="87"/>
  <c r="AI13" i="87"/>
  <c r="AK13" i="87" s="1"/>
  <c r="AO12" i="87"/>
  <c r="AI12" i="87"/>
  <c r="AK12" i="87" s="1"/>
  <c r="AO11" i="87"/>
  <c r="AI11" i="87"/>
  <c r="AK11" i="87" s="1"/>
  <c r="E9" i="87"/>
  <c r="F9" i="87" s="1"/>
  <c r="G9" i="87" s="1"/>
  <c r="H9" i="87" s="1"/>
  <c r="I9" i="87" s="1"/>
  <c r="J9" i="87" s="1"/>
  <c r="K9" i="87" s="1"/>
  <c r="L9" i="87" s="1"/>
  <c r="M9" i="87" s="1"/>
  <c r="N9" i="87" s="1"/>
  <c r="O9" i="87" s="1"/>
  <c r="P9" i="87" s="1"/>
  <c r="Q9" i="87" s="1"/>
  <c r="R9" i="87" s="1"/>
  <c r="S9" i="87" s="1"/>
  <c r="T9" i="87" s="1"/>
  <c r="U9" i="87" s="1"/>
  <c r="V9" i="87" s="1"/>
  <c r="W9" i="87" s="1"/>
  <c r="X9" i="87" s="1"/>
  <c r="Y9" i="87" s="1"/>
  <c r="Z9" i="87" s="1"/>
  <c r="AA9" i="87" s="1"/>
  <c r="AB9" i="87" s="1"/>
  <c r="AC9" i="87" s="1"/>
  <c r="AD9" i="87" s="1"/>
  <c r="AE9" i="87" s="1"/>
  <c r="AF9" i="87" s="1"/>
  <c r="AG9" i="87" s="1"/>
  <c r="AH9" i="87" s="1"/>
  <c r="B5" i="87"/>
  <c r="AL679" i="88"/>
  <c r="AM679" i="88" s="1"/>
  <c r="AI678" i="88"/>
  <c r="AK678" i="88" s="1"/>
  <c r="AM678" i="88" s="1"/>
  <c r="AI677" i="88"/>
  <c r="AK677" i="88" s="1"/>
  <c r="AM677" i="88" s="1"/>
  <c r="AI676" i="88"/>
  <c r="AK676" i="88" s="1"/>
  <c r="AM676" i="88" s="1"/>
  <c r="AI675" i="88"/>
  <c r="AK675" i="88" s="1"/>
  <c r="AM675" i="88" s="1"/>
  <c r="AI674" i="88"/>
  <c r="AK674" i="88" s="1"/>
  <c r="AM674" i="88" s="1"/>
  <c r="AI673" i="88"/>
  <c r="AK673" i="88" s="1"/>
  <c r="AM673" i="88" s="1"/>
  <c r="AI672" i="88"/>
  <c r="AK672" i="88" s="1"/>
  <c r="AM672" i="88" s="1"/>
  <c r="AI671" i="88"/>
  <c r="AK671" i="88" s="1"/>
  <c r="AM671" i="88" s="1"/>
  <c r="AI670" i="88"/>
  <c r="AK670" i="88" s="1"/>
  <c r="AM670" i="88" s="1"/>
  <c r="AI669" i="88"/>
  <c r="AK669" i="88" s="1"/>
  <c r="AM669" i="88" s="1"/>
  <c r="AI668" i="88"/>
  <c r="AK668" i="88" s="1"/>
  <c r="AM668" i="88" s="1"/>
  <c r="AI667" i="88"/>
  <c r="AK667" i="88" s="1"/>
  <c r="AM667" i="88" s="1"/>
  <c r="AI666" i="88"/>
  <c r="AK666" i="88" s="1"/>
  <c r="AM666" i="88" s="1"/>
  <c r="AI665" i="88"/>
  <c r="AK665" i="88" s="1"/>
  <c r="AM665" i="88" s="1"/>
  <c r="AI664" i="88"/>
  <c r="AK664" i="88" s="1"/>
  <c r="AM664" i="88" s="1"/>
  <c r="AI663" i="88"/>
  <c r="AK663" i="88" s="1"/>
  <c r="AM663" i="88" s="1"/>
  <c r="AI662" i="88"/>
  <c r="AK662" i="88" s="1"/>
  <c r="AM662" i="88" s="1"/>
  <c r="AI661" i="88"/>
  <c r="AK661" i="88" s="1"/>
  <c r="AM661" i="88" s="1"/>
  <c r="AI660" i="88"/>
  <c r="AK660" i="88" s="1"/>
  <c r="AM660" i="88" s="1"/>
  <c r="AI659" i="88"/>
  <c r="AK659" i="88" s="1"/>
  <c r="AM659" i="88" s="1"/>
  <c r="AI658" i="88"/>
  <c r="AK658" i="88" s="1"/>
  <c r="AM658" i="88" s="1"/>
  <c r="AI657" i="88"/>
  <c r="AK657" i="88" s="1"/>
  <c r="AM657" i="88" s="1"/>
  <c r="AI656" i="88"/>
  <c r="AK656" i="88" s="1"/>
  <c r="AM656" i="88" s="1"/>
  <c r="AI655" i="88"/>
  <c r="AK655" i="88" s="1"/>
  <c r="AM655" i="88" s="1"/>
  <c r="AI654" i="88"/>
  <c r="AK654" i="88" s="1"/>
  <c r="AM654" i="88" s="1"/>
  <c r="AI653" i="88"/>
  <c r="AK653" i="88" s="1"/>
  <c r="AM653" i="88" s="1"/>
  <c r="AI652" i="88"/>
  <c r="AK652" i="88" s="1"/>
  <c r="AM652" i="88" s="1"/>
  <c r="AI651" i="88"/>
  <c r="AK651" i="88" s="1"/>
  <c r="AM651" i="88" s="1"/>
  <c r="AI650" i="88"/>
  <c r="AK650" i="88" s="1"/>
  <c r="AM650" i="88" s="1"/>
  <c r="AI649" i="88"/>
  <c r="AK649" i="88" s="1"/>
  <c r="AM649" i="88" s="1"/>
  <c r="AI648" i="88"/>
  <c r="AK648" i="88" s="1"/>
  <c r="AM648" i="88" s="1"/>
  <c r="AI647" i="88"/>
  <c r="AK647" i="88" s="1"/>
  <c r="AM647" i="88" s="1"/>
  <c r="AI646" i="88"/>
  <c r="AK646" i="88" s="1"/>
  <c r="AM646" i="88" s="1"/>
  <c r="AI645" i="88"/>
  <c r="AK645" i="88" s="1"/>
  <c r="AM645" i="88" s="1"/>
  <c r="AI644" i="88"/>
  <c r="AK644" i="88" s="1"/>
  <c r="AM644" i="88" s="1"/>
  <c r="AI643" i="88"/>
  <c r="AK643" i="88" s="1"/>
  <c r="AM643" i="88" s="1"/>
  <c r="AI642" i="88"/>
  <c r="AK642" i="88" s="1"/>
  <c r="AM642" i="88" s="1"/>
  <c r="AI641" i="88"/>
  <c r="AK641" i="88" s="1"/>
  <c r="AM641" i="88" s="1"/>
  <c r="AI640" i="88"/>
  <c r="AK640" i="88" s="1"/>
  <c r="AM640" i="88" s="1"/>
  <c r="AI639" i="88"/>
  <c r="AK639" i="88" s="1"/>
  <c r="AM639" i="88" s="1"/>
  <c r="AI638" i="88"/>
  <c r="AK638" i="88" s="1"/>
  <c r="AM638" i="88" s="1"/>
  <c r="AI637" i="88"/>
  <c r="AK637" i="88" s="1"/>
  <c r="AM637" i="88" s="1"/>
  <c r="AI636" i="88"/>
  <c r="AK636" i="88" s="1"/>
  <c r="AM636" i="88" s="1"/>
  <c r="AI635" i="88"/>
  <c r="AK635" i="88" s="1"/>
  <c r="AM635" i="88" s="1"/>
  <c r="AI634" i="88"/>
  <c r="AK634" i="88" s="1"/>
  <c r="AM634" i="88" s="1"/>
  <c r="AI633" i="88"/>
  <c r="AK633" i="88" s="1"/>
  <c r="AM633" i="88" s="1"/>
  <c r="AI632" i="88"/>
  <c r="AK632" i="88" s="1"/>
  <c r="AM632" i="88" s="1"/>
  <c r="AI631" i="88"/>
  <c r="AK631" i="88" s="1"/>
  <c r="AM631" i="88" s="1"/>
  <c r="AI630" i="88"/>
  <c r="AK630" i="88" s="1"/>
  <c r="AM630" i="88" s="1"/>
  <c r="AI629" i="88"/>
  <c r="AK629" i="88" s="1"/>
  <c r="AM629" i="88" s="1"/>
  <c r="AI628" i="88"/>
  <c r="AK628" i="88" s="1"/>
  <c r="AM628" i="88" s="1"/>
  <c r="AI627" i="88"/>
  <c r="AK627" i="88" s="1"/>
  <c r="AM627" i="88" s="1"/>
  <c r="AI626" i="88"/>
  <c r="AK626" i="88" s="1"/>
  <c r="AM626" i="88" s="1"/>
  <c r="AI625" i="88"/>
  <c r="AK625" i="88" s="1"/>
  <c r="AM625" i="88" s="1"/>
  <c r="AI624" i="88"/>
  <c r="AK624" i="88" s="1"/>
  <c r="AM624" i="88" s="1"/>
  <c r="AI623" i="88"/>
  <c r="AK623" i="88" s="1"/>
  <c r="AM623" i="88" s="1"/>
  <c r="AI622" i="88"/>
  <c r="AK622" i="88" s="1"/>
  <c r="AM622" i="88" s="1"/>
  <c r="AI621" i="88"/>
  <c r="AK621" i="88" s="1"/>
  <c r="AM621" i="88" s="1"/>
  <c r="AI620" i="88"/>
  <c r="AK620" i="88" s="1"/>
  <c r="AM620" i="88" s="1"/>
  <c r="AI619" i="88"/>
  <c r="AK619" i="88" s="1"/>
  <c r="AM619" i="88" s="1"/>
  <c r="AI618" i="88"/>
  <c r="AK618" i="88" s="1"/>
  <c r="AM618" i="88" s="1"/>
  <c r="AI617" i="88"/>
  <c r="AK617" i="88" s="1"/>
  <c r="AM617" i="88" s="1"/>
  <c r="AI616" i="88"/>
  <c r="AK616" i="88" s="1"/>
  <c r="AM616" i="88" s="1"/>
  <c r="AI615" i="88"/>
  <c r="AK615" i="88" s="1"/>
  <c r="AM615" i="88" s="1"/>
  <c r="AI614" i="88"/>
  <c r="AK614" i="88" s="1"/>
  <c r="AM614" i="88" s="1"/>
  <c r="AI613" i="88"/>
  <c r="AK613" i="88" s="1"/>
  <c r="AM613" i="88" s="1"/>
  <c r="AI612" i="88"/>
  <c r="AK612" i="88" s="1"/>
  <c r="AM612" i="88" s="1"/>
  <c r="AI611" i="88"/>
  <c r="AK611" i="88" s="1"/>
  <c r="AM611" i="88" s="1"/>
  <c r="AI610" i="88"/>
  <c r="AK610" i="88" s="1"/>
  <c r="AM610" i="88" s="1"/>
  <c r="AI609" i="88"/>
  <c r="AK609" i="88" s="1"/>
  <c r="AM609" i="88" s="1"/>
  <c r="AI608" i="88"/>
  <c r="AK608" i="88" s="1"/>
  <c r="AM608" i="88" s="1"/>
  <c r="AI607" i="88"/>
  <c r="AK607" i="88" s="1"/>
  <c r="AM607" i="88" s="1"/>
  <c r="AI606" i="88"/>
  <c r="AK606" i="88" s="1"/>
  <c r="AM606" i="88" s="1"/>
  <c r="AI605" i="88"/>
  <c r="AK605" i="88" s="1"/>
  <c r="AM605" i="88" s="1"/>
  <c r="AI604" i="88"/>
  <c r="AK604" i="88" s="1"/>
  <c r="AM604" i="88" s="1"/>
  <c r="AI603" i="88"/>
  <c r="AK603" i="88" s="1"/>
  <c r="AM603" i="88" s="1"/>
  <c r="AI602" i="88"/>
  <c r="AK602" i="88" s="1"/>
  <c r="AM602" i="88" s="1"/>
  <c r="AI601" i="88"/>
  <c r="AK601" i="88" s="1"/>
  <c r="AM601" i="88" s="1"/>
  <c r="AI600" i="88"/>
  <c r="AK600" i="88" s="1"/>
  <c r="AM600" i="88" s="1"/>
  <c r="AI599" i="88"/>
  <c r="AK599" i="88" s="1"/>
  <c r="AM599" i="88" s="1"/>
  <c r="AI598" i="88"/>
  <c r="AK598" i="88" s="1"/>
  <c r="AM598" i="88" s="1"/>
  <c r="AI597" i="88"/>
  <c r="AK597" i="88" s="1"/>
  <c r="AM597" i="88" s="1"/>
  <c r="AI596" i="88"/>
  <c r="AK596" i="88" s="1"/>
  <c r="AM596" i="88" s="1"/>
  <c r="AI595" i="88"/>
  <c r="AK595" i="88" s="1"/>
  <c r="AM595" i="88" s="1"/>
  <c r="AI594" i="88"/>
  <c r="AK594" i="88" s="1"/>
  <c r="AM594" i="88" s="1"/>
  <c r="AI593" i="88"/>
  <c r="AK593" i="88" s="1"/>
  <c r="AM593" i="88" s="1"/>
  <c r="AI592" i="88"/>
  <c r="AK592" i="88" s="1"/>
  <c r="AM592" i="88" s="1"/>
  <c r="AI591" i="88"/>
  <c r="AK591" i="88" s="1"/>
  <c r="AM591" i="88" s="1"/>
  <c r="AI590" i="88"/>
  <c r="AK590" i="88" s="1"/>
  <c r="AM590" i="88" s="1"/>
  <c r="AI589" i="88"/>
  <c r="AK589" i="88" s="1"/>
  <c r="AM589" i="88" s="1"/>
  <c r="AI588" i="88"/>
  <c r="AK588" i="88" s="1"/>
  <c r="AM588" i="88" s="1"/>
  <c r="AI587" i="88"/>
  <c r="AK587" i="88" s="1"/>
  <c r="AM587" i="88" s="1"/>
  <c r="AI586" i="88"/>
  <c r="AK586" i="88" s="1"/>
  <c r="AM586" i="88" s="1"/>
  <c r="AI585" i="88"/>
  <c r="AK585" i="88" s="1"/>
  <c r="AM585" i="88" s="1"/>
  <c r="AI584" i="88"/>
  <c r="AK584" i="88" s="1"/>
  <c r="AM584" i="88" s="1"/>
  <c r="AI583" i="88"/>
  <c r="AK583" i="88" s="1"/>
  <c r="AM583" i="88" s="1"/>
  <c r="AI582" i="88"/>
  <c r="AK582" i="88" s="1"/>
  <c r="AM582" i="88" s="1"/>
  <c r="AI581" i="88"/>
  <c r="AK581" i="88" s="1"/>
  <c r="AM581" i="88" s="1"/>
  <c r="AI580" i="88"/>
  <c r="AK580" i="88" s="1"/>
  <c r="AM580" i="88" s="1"/>
  <c r="AI579" i="88"/>
  <c r="AK579" i="88" s="1"/>
  <c r="AM579" i="88" s="1"/>
  <c r="AI578" i="88"/>
  <c r="AK578" i="88" s="1"/>
  <c r="AM578" i="88" s="1"/>
  <c r="AI577" i="88"/>
  <c r="AK577" i="88" s="1"/>
  <c r="AM577" i="88" s="1"/>
  <c r="AI576" i="88"/>
  <c r="AK576" i="88" s="1"/>
  <c r="AM576" i="88" s="1"/>
  <c r="AI575" i="88"/>
  <c r="AK575" i="88" s="1"/>
  <c r="AM575" i="88" s="1"/>
  <c r="AI574" i="88"/>
  <c r="AK574" i="88" s="1"/>
  <c r="AM574" i="88" s="1"/>
  <c r="AI573" i="88"/>
  <c r="AK573" i="88" s="1"/>
  <c r="AM573" i="88" s="1"/>
  <c r="AI572" i="88"/>
  <c r="AK572" i="88" s="1"/>
  <c r="AM572" i="88" s="1"/>
  <c r="AI571" i="88"/>
  <c r="AK571" i="88" s="1"/>
  <c r="AM571" i="88" s="1"/>
  <c r="AI570" i="88"/>
  <c r="AK570" i="88" s="1"/>
  <c r="AM570" i="88" s="1"/>
  <c r="AI569" i="88"/>
  <c r="AK569" i="88" s="1"/>
  <c r="AM569" i="88" s="1"/>
  <c r="AI568" i="88"/>
  <c r="AK568" i="88" s="1"/>
  <c r="AM568" i="88" s="1"/>
  <c r="AI567" i="88"/>
  <c r="AK567" i="88" s="1"/>
  <c r="AM567" i="88" s="1"/>
  <c r="AI566" i="88"/>
  <c r="AK566" i="88" s="1"/>
  <c r="AM566" i="88" s="1"/>
  <c r="AI565" i="88"/>
  <c r="AK565" i="88" s="1"/>
  <c r="AM565" i="88" s="1"/>
  <c r="AI564" i="88"/>
  <c r="AK564" i="88" s="1"/>
  <c r="AM564" i="88" s="1"/>
  <c r="AI563" i="88"/>
  <c r="AK563" i="88" s="1"/>
  <c r="AM563" i="88" s="1"/>
  <c r="AI562" i="88"/>
  <c r="AK562" i="88" s="1"/>
  <c r="AM562" i="88" s="1"/>
  <c r="AI561" i="88"/>
  <c r="AK561" i="88" s="1"/>
  <c r="AM561" i="88" s="1"/>
  <c r="AI560" i="88"/>
  <c r="AK560" i="88" s="1"/>
  <c r="AM560" i="88" s="1"/>
  <c r="AI559" i="88"/>
  <c r="AK559" i="88" s="1"/>
  <c r="AM559" i="88" s="1"/>
  <c r="AI558" i="88"/>
  <c r="AK558" i="88" s="1"/>
  <c r="AM558" i="88" s="1"/>
  <c r="AI557" i="88"/>
  <c r="AK557" i="88" s="1"/>
  <c r="AM557" i="88" s="1"/>
  <c r="AI556" i="88"/>
  <c r="AK556" i="88" s="1"/>
  <c r="AM556" i="88" s="1"/>
  <c r="AI555" i="88"/>
  <c r="AK555" i="88" s="1"/>
  <c r="AM555" i="88" s="1"/>
  <c r="AI554" i="88"/>
  <c r="AK554" i="88" s="1"/>
  <c r="AM554" i="88" s="1"/>
  <c r="AI553" i="88"/>
  <c r="AK553" i="88" s="1"/>
  <c r="AM553" i="88" s="1"/>
  <c r="AI552" i="88"/>
  <c r="AK552" i="88" s="1"/>
  <c r="AM552" i="88" s="1"/>
  <c r="AI551" i="88"/>
  <c r="AK551" i="88" s="1"/>
  <c r="AM551" i="88" s="1"/>
  <c r="AI550" i="88"/>
  <c r="AK550" i="88" s="1"/>
  <c r="AM550" i="88" s="1"/>
  <c r="AI549" i="88"/>
  <c r="AK549" i="88" s="1"/>
  <c r="AM549" i="88" s="1"/>
  <c r="AI548" i="88"/>
  <c r="AK548" i="88" s="1"/>
  <c r="AM548" i="88" s="1"/>
  <c r="AI547" i="88"/>
  <c r="AK547" i="88" s="1"/>
  <c r="AM547" i="88" s="1"/>
  <c r="AI546" i="88"/>
  <c r="AK546" i="88" s="1"/>
  <c r="AM546" i="88" s="1"/>
  <c r="AI545" i="88"/>
  <c r="AK545" i="88" s="1"/>
  <c r="AM545" i="88" s="1"/>
  <c r="AI544" i="88"/>
  <c r="AK544" i="88" s="1"/>
  <c r="AM544" i="88" s="1"/>
  <c r="AI543" i="88"/>
  <c r="AK543" i="88" s="1"/>
  <c r="AM543" i="88" s="1"/>
  <c r="AI542" i="88"/>
  <c r="AK542" i="88" s="1"/>
  <c r="AM542" i="88" s="1"/>
  <c r="AI541" i="88"/>
  <c r="AK541" i="88" s="1"/>
  <c r="AM541" i="88" s="1"/>
  <c r="AI540" i="88"/>
  <c r="AK540" i="88" s="1"/>
  <c r="AM540" i="88" s="1"/>
  <c r="AI539" i="88"/>
  <c r="AK539" i="88" s="1"/>
  <c r="AM539" i="88" s="1"/>
  <c r="AI538" i="88"/>
  <c r="AK538" i="88" s="1"/>
  <c r="AM538" i="88" s="1"/>
  <c r="AI537" i="88"/>
  <c r="AK537" i="88" s="1"/>
  <c r="AM537" i="88" s="1"/>
  <c r="AI536" i="88"/>
  <c r="AK536" i="88" s="1"/>
  <c r="AM536" i="88" s="1"/>
  <c r="AI535" i="88"/>
  <c r="AK535" i="88" s="1"/>
  <c r="AM535" i="88" s="1"/>
  <c r="AI534" i="88"/>
  <c r="AK534" i="88" s="1"/>
  <c r="AM534" i="88" s="1"/>
  <c r="AI533" i="88"/>
  <c r="AK533" i="88" s="1"/>
  <c r="AM533" i="88" s="1"/>
  <c r="AI532" i="88"/>
  <c r="AK532" i="88" s="1"/>
  <c r="AM532" i="88" s="1"/>
  <c r="AI531" i="88"/>
  <c r="AK531" i="88" s="1"/>
  <c r="AM531" i="88" s="1"/>
  <c r="AI530" i="88"/>
  <c r="AK530" i="88" s="1"/>
  <c r="AM530" i="88" s="1"/>
  <c r="AI529" i="88"/>
  <c r="AK529" i="88" s="1"/>
  <c r="AM529" i="88" s="1"/>
  <c r="AI528" i="88"/>
  <c r="AK528" i="88" s="1"/>
  <c r="AM528" i="88" s="1"/>
  <c r="AI527" i="88"/>
  <c r="AK527" i="88" s="1"/>
  <c r="AM527" i="88" s="1"/>
  <c r="AI526" i="88"/>
  <c r="AK526" i="88" s="1"/>
  <c r="AM526" i="88" s="1"/>
  <c r="AI525" i="88"/>
  <c r="AK525" i="88" s="1"/>
  <c r="AM525" i="88" s="1"/>
  <c r="AI524" i="88"/>
  <c r="AK524" i="88" s="1"/>
  <c r="AM524" i="88" s="1"/>
  <c r="AI523" i="88"/>
  <c r="AK523" i="88" s="1"/>
  <c r="AM523" i="88" s="1"/>
  <c r="AI522" i="88"/>
  <c r="AK522" i="88" s="1"/>
  <c r="AM522" i="88" s="1"/>
  <c r="AI521" i="88"/>
  <c r="AK521" i="88" s="1"/>
  <c r="AM521" i="88" s="1"/>
  <c r="AI520" i="88"/>
  <c r="AK520" i="88" s="1"/>
  <c r="AM520" i="88" s="1"/>
  <c r="AI519" i="88"/>
  <c r="AK519" i="88" s="1"/>
  <c r="AM519" i="88" s="1"/>
  <c r="AI518" i="88"/>
  <c r="AK518" i="88" s="1"/>
  <c r="AM518" i="88" s="1"/>
  <c r="AI517" i="88"/>
  <c r="AK517" i="88" s="1"/>
  <c r="AM517" i="88" s="1"/>
  <c r="AI516" i="88"/>
  <c r="AK516" i="88" s="1"/>
  <c r="AM516" i="88" s="1"/>
  <c r="AI515" i="88"/>
  <c r="AK515" i="88" s="1"/>
  <c r="AM515" i="88" s="1"/>
  <c r="AI514" i="88"/>
  <c r="AK514" i="88" s="1"/>
  <c r="AM514" i="88" s="1"/>
  <c r="AI513" i="88"/>
  <c r="AK513" i="88" s="1"/>
  <c r="AM513" i="88" s="1"/>
  <c r="AI512" i="88"/>
  <c r="AK512" i="88" s="1"/>
  <c r="AM512" i="88" s="1"/>
  <c r="AI511" i="88"/>
  <c r="AK511" i="88" s="1"/>
  <c r="AM511" i="88" s="1"/>
  <c r="AI510" i="88"/>
  <c r="AK510" i="88" s="1"/>
  <c r="AM510" i="88" s="1"/>
  <c r="AC509" i="88"/>
  <c r="Z509" i="88"/>
  <c r="AI508" i="88"/>
  <c r="AK508" i="88" s="1"/>
  <c r="AM508" i="88" s="1"/>
  <c r="AI507" i="88"/>
  <c r="AK507" i="88" s="1"/>
  <c r="AM507" i="88" s="1"/>
  <c r="AI506" i="88"/>
  <c r="AK506" i="88" s="1"/>
  <c r="AM506" i="88" s="1"/>
  <c r="AI505" i="88"/>
  <c r="AK505" i="88" s="1"/>
  <c r="AM505" i="88" s="1"/>
  <c r="AI504" i="88"/>
  <c r="AK504" i="88" s="1"/>
  <c r="AM504" i="88" s="1"/>
  <c r="AI503" i="88"/>
  <c r="AK503" i="88" s="1"/>
  <c r="AM503" i="88" s="1"/>
  <c r="AI502" i="88"/>
  <c r="AK502" i="88" s="1"/>
  <c r="AM502" i="88" s="1"/>
  <c r="Y501" i="88"/>
  <c r="V501" i="88"/>
  <c r="S501" i="88"/>
  <c r="R501" i="88"/>
  <c r="P501" i="88"/>
  <c r="AI500" i="88"/>
  <c r="AK500" i="88" s="1"/>
  <c r="AM500" i="88" s="1"/>
  <c r="AC499" i="88"/>
  <c r="Z499" i="88"/>
  <c r="Q499" i="88"/>
  <c r="AI498" i="88"/>
  <c r="AK498" i="88" s="1"/>
  <c r="AM498" i="88" s="1"/>
  <c r="AI497" i="88"/>
  <c r="AK497" i="88" s="1"/>
  <c r="AM497" i="88" s="1"/>
  <c r="AI496" i="88"/>
  <c r="AK496" i="88" s="1"/>
  <c r="AM496" i="88" s="1"/>
  <c r="AI495" i="88"/>
  <c r="AK495" i="88" s="1"/>
  <c r="AM495" i="88" s="1"/>
  <c r="AI494" i="88"/>
  <c r="AK494" i="88" s="1"/>
  <c r="AM494" i="88" s="1"/>
  <c r="AI493" i="88"/>
  <c r="AK493" i="88" s="1"/>
  <c r="AM493" i="88" s="1"/>
  <c r="AI492" i="88"/>
  <c r="AK492" i="88" s="1"/>
  <c r="AM492" i="88" s="1"/>
  <c r="AI491" i="88"/>
  <c r="AK491" i="88" s="1"/>
  <c r="AM491" i="88" s="1"/>
  <c r="AI490" i="88"/>
  <c r="AK490" i="88" s="1"/>
  <c r="AM490" i="88" s="1"/>
  <c r="AI489" i="88"/>
  <c r="AK489" i="88" s="1"/>
  <c r="AM489" i="88" s="1"/>
  <c r="AI488" i="88"/>
  <c r="AK488" i="88" s="1"/>
  <c r="AM488" i="88" s="1"/>
  <c r="AI487" i="88"/>
  <c r="AK487" i="88" s="1"/>
  <c r="AM487" i="88" s="1"/>
  <c r="AI486" i="88"/>
  <c r="AK486" i="88" s="1"/>
  <c r="AM486" i="88" s="1"/>
  <c r="AI485" i="88"/>
  <c r="AK485" i="88" s="1"/>
  <c r="AM485" i="88" s="1"/>
  <c r="AI484" i="88"/>
  <c r="AK484" i="88" s="1"/>
  <c r="AM484" i="88" s="1"/>
  <c r="AI483" i="88"/>
  <c r="AK483" i="88" s="1"/>
  <c r="AM483" i="88" s="1"/>
  <c r="AI482" i="88"/>
  <c r="AK482" i="88" s="1"/>
  <c r="AM482" i="88" s="1"/>
  <c r="AI481" i="88"/>
  <c r="AK481" i="88" s="1"/>
  <c r="AM481" i="88" s="1"/>
  <c r="AI480" i="88"/>
  <c r="AK480" i="88" s="1"/>
  <c r="AM480" i="88" s="1"/>
  <c r="AI479" i="88"/>
  <c r="AK479" i="88" s="1"/>
  <c r="AM479" i="88" s="1"/>
  <c r="AI478" i="88"/>
  <c r="AK478" i="88" s="1"/>
  <c r="AM478" i="88" s="1"/>
  <c r="AI477" i="88"/>
  <c r="AK477" i="88" s="1"/>
  <c r="AM477" i="88" s="1"/>
  <c r="AI476" i="88"/>
  <c r="AK476" i="88" s="1"/>
  <c r="AM476" i="88" s="1"/>
  <c r="AI475" i="88"/>
  <c r="AK475" i="88" s="1"/>
  <c r="AM475" i="88" s="1"/>
  <c r="AI474" i="88"/>
  <c r="AK474" i="88" s="1"/>
  <c r="AM474" i="88" s="1"/>
  <c r="AI473" i="88"/>
  <c r="AK473" i="88" s="1"/>
  <c r="AM473" i="88" s="1"/>
  <c r="AI472" i="88"/>
  <c r="AK472" i="88" s="1"/>
  <c r="AM472" i="88" s="1"/>
  <c r="AI471" i="88"/>
  <c r="AK471" i="88" s="1"/>
  <c r="AM471" i="88" s="1"/>
  <c r="AI470" i="88"/>
  <c r="AK470" i="88" s="1"/>
  <c r="AM470" i="88" s="1"/>
  <c r="AI469" i="88"/>
  <c r="AK469" i="88" s="1"/>
  <c r="AM469" i="88" s="1"/>
  <c r="AI468" i="88"/>
  <c r="AK468" i="88" s="1"/>
  <c r="AM468" i="88" s="1"/>
  <c r="AI467" i="88"/>
  <c r="AK467" i="88" s="1"/>
  <c r="AM467" i="88" s="1"/>
  <c r="AI466" i="88"/>
  <c r="AK466" i="88" s="1"/>
  <c r="AM466" i="88" s="1"/>
  <c r="AI465" i="88"/>
  <c r="AK465" i="88" s="1"/>
  <c r="AM465" i="88" s="1"/>
  <c r="AI464" i="88"/>
  <c r="AK464" i="88" s="1"/>
  <c r="AM464" i="88" s="1"/>
  <c r="AI463" i="88"/>
  <c r="AK463" i="88" s="1"/>
  <c r="AM463" i="88" s="1"/>
  <c r="AI462" i="88"/>
  <c r="AK462" i="88" s="1"/>
  <c r="AM462" i="88" s="1"/>
  <c r="AI461" i="88"/>
  <c r="AK461" i="88" s="1"/>
  <c r="AM461" i="88" s="1"/>
  <c r="AI460" i="88"/>
  <c r="AK460" i="88" s="1"/>
  <c r="AM460" i="88" s="1"/>
  <c r="AI459" i="88"/>
  <c r="AK459" i="88" s="1"/>
  <c r="AM459" i="88" s="1"/>
  <c r="AI458" i="88"/>
  <c r="AK458" i="88" s="1"/>
  <c r="AM458" i="88" s="1"/>
  <c r="AI457" i="88"/>
  <c r="AK457" i="88" s="1"/>
  <c r="AM457" i="88" s="1"/>
  <c r="AI456" i="88"/>
  <c r="AK456" i="88" s="1"/>
  <c r="AM456" i="88" s="1"/>
  <c r="AI455" i="88"/>
  <c r="AK455" i="88" s="1"/>
  <c r="AM455" i="88" s="1"/>
  <c r="AI454" i="88"/>
  <c r="AK454" i="88" s="1"/>
  <c r="AM454" i="88" s="1"/>
  <c r="AI453" i="88"/>
  <c r="AK453" i="88" s="1"/>
  <c r="AM453" i="88" s="1"/>
  <c r="AI452" i="88"/>
  <c r="AK452" i="88" s="1"/>
  <c r="AM452" i="88" s="1"/>
  <c r="AI451" i="88"/>
  <c r="AK451" i="88" s="1"/>
  <c r="AM451" i="88" s="1"/>
  <c r="AI450" i="88"/>
  <c r="AK450" i="88" s="1"/>
  <c r="AM450" i="88" s="1"/>
  <c r="AI449" i="88"/>
  <c r="AK449" i="88" s="1"/>
  <c r="AM449" i="88" s="1"/>
  <c r="AI448" i="88"/>
  <c r="AK448" i="88" s="1"/>
  <c r="AM448" i="88" s="1"/>
  <c r="AI447" i="88"/>
  <c r="AK447" i="88" s="1"/>
  <c r="AM447" i="88" s="1"/>
  <c r="AI446" i="88"/>
  <c r="AK446" i="88" s="1"/>
  <c r="AM446" i="88" s="1"/>
  <c r="AI445" i="88"/>
  <c r="AK445" i="88" s="1"/>
  <c r="AM445" i="88" s="1"/>
  <c r="AI444" i="88"/>
  <c r="AK444" i="88" s="1"/>
  <c r="AM444" i="88" s="1"/>
  <c r="AI443" i="88"/>
  <c r="AK443" i="88" s="1"/>
  <c r="AM443" i="88" s="1"/>
  <c r="AI442" i="88"/>
  <c r="AK442" i="88" s="1"/>
  <c r="AM442" i="88" s="1"/>
  <c r="AI441" i="88"/>
  <c r="AK441" i="88" s="1"/>
  <c r="AM441" i="88" s="1"/>
  <c r="AI440" i="88"/>
  <c r="AK440" i="88" s="1"/>
  <c r="AM440" i="88" s="1"/>
  <c r="AI439" i="88"/>
  <c r="AK439" i="88" s="1"/>
  <c r="AM439" i="88" s="1"/>
  <c r="AI438" i="88"/>
  <c r="AK438" i="88" s="1"/>
  <c r="AM438" i="88" s="1"/>
  <c r="AI437" i="88"/>
  <c r="AK437" i="88" s="1"/>
  <c r="AM437" i="88" s="1"/>
  <c r="AI436" i="88"/>
  <c r="AK436" i="88" s="1"/>
  <c r="AM436" i="88" s="1"/>
  <c r="AI435" i="88"/>
  <c r="AK435" i="88" s="1"/>
  <c r="AM435" i="88" s="1"/>
  <c r="AI434" i="88"/>
  <c r="AK434" i="88" s="1"/>
  <c r="AM434" i="88" s="1"/>
  <c r="AI433" i="88"/>
  <c r="AK433" i="88" s="1"/>
  <c r="AM433" i="88" s="1"/>
  <c r="AI432" i="88"/>
  <c r="AK432" i="88" s="1"/>
  <c r="AM432" i="88" s="1"/>
  <c r="AI431" i="88"/>
  <c r="AK431" i="88" s="1"/>
  <c r="AM431" i="88" s="1"/>
  <c r="AI430" i="88"/>
  <c r="AK430" i="88" s="1"/>
  <c r="AM430" i="88" s="1"/>
  <c r="AI429" i="88"/>
  <c r="AK429" i="88" s="1"/>
  <c r="AM429" i="88" s="1"/>
  <c r="AI428" i="88"/>
  <c r="AK428" i="88" s="1"/>
  <c r="AM428" i="88" s="1"/>
  <c r="AI427" i="88"/>
  <c r="AK427" i="88" s="1"/>
  <c r="AM427" i="88" s="1"/>
  <c r="AI426" i="88"/>
  <c r="AK426" i="88" s="1"/>
  <c r="AM426" i="88" s="1"/>
  <c r="AI425" i="88"/>
  <c r="AK425" i="88" s="1"/>
  <c r="AM425" i="88" s="1"/>
  <c r="AI424" i="88"/>
  <c r="AK424" i="88" s="1"/>
  <c r="AM424" i="88" s="1"/>
  <c r="AI423" i="88"/>
  <c r="AK423" i="88" s="1"/>
  <c r="AM423" i="88" s="1"/>
  <c r="AI422" i="88"/>
  <c r="AK422" i="88" s="1"/>
  <c r="AM422" i="88" s="1"/>
  <c r="AI421" i="88"/>
  <c r="AK421" i="88" s="1"/>
  <c r="AM421" i="88" s="1"/>
  <c r="AI420" i="88"/>
  <c r="AK420" i="88" s="1"/>
  <c r="AM420" i="88" s="1"/>
  <c r="AI419" i="88"/>
  <c r="AK419" i="88" s="1"/>
  <c r="AM419" i="88" s="1"/>
  <c r="AI418" i="88"/>
  <c r="AK418" i="88" s="1"/>
  <c r="AM418" i="88" s="1"/>
  <c r="AI417" i="88"/>
  <c r="AK417" i="88" s="1"/>
  <c r="AM417" i="88" s="1"/>
  <c r="AI416" i="88"/>
  <c r="AK416" i="88" s="1"/>
  <c r="AM416" i="88" s="1"/>
  <c r="AI415" i="88"/>
  <c r="AK415" i="88" s="1"/>
  <c r="AM415" i="88" s="1"/>
  <c r="AI414" i="88"/>
  <c r="AK414" i="88" s="1"/>
  <c r="AM414" i="88" s="1"/>
  <c r="AI413" i="88"/>
  <c r="AK413" i="88" s="1"/>
  <c r="AM413" i="88" s="1"/>
  <c r="AI412" i="88"/>
  <c r="AK412" i="88" s="1"/>
  <c r="AM412" i="88" s="1"/>
  <c r="AI411" i="88"/>
  <c r="AK411" i="88" s="1"/>
  <c r="AM411" i="88" s="1"/>
  <c r="AI410" i="88"/>
  <c r="AK410" i="88" s="1"/>
  <c r="AM410" i="88" s="1"/>
  <c r="AI409" i="88"/>
  <c r="AK409" i="88" s="1"/>
  <c r="AM409" i="88" s="1"/>
  <c r="AI408" i="88"/>
  <c r="AK408" i="88" s="1"/>
  <c r="AM408" i="88" s="1"/>
  <c r="AI407" i="88"/>
  <c r="AK407" i="88" s="1"/>
  <c r="AM407" i="88" s="1"/>
  <c r="AI406" i="88"/>
  <c r="AK406" i="88" s="1"/>
  <c r="AM406" i="88" s="1"/>
  <c r="AI405" i="88"/>
  <c r="AK405" i="88" s="1"/>
  <c r="AM405" i="88" s="1"/>
  <c r="AI404" i="88"/>
  <c r="AK404" i="88" s="1"/>
  <c r="AM404" i="88" s="1"/>
  <c r="AI403" i="88"/>
  <c r="AK403" i="88" s="1"/>
  <c r="AM403" i="88" s="1"/>
  <c r="AI402" i="88"/>
  <c r="AK402" i="88" s="1"/>
  <c r="AM402" i="88" s="1"/>
  <c r="AI401" i="88"/>
  <c r="AK401" i="88" s="1"/>
  <c r="AM401" i="88" s="1"/>
  <c r="AI400" i="88"/>
  <c r="AK400" i="88" s="1"/>
  <c r="AM400" i="88" s="1"/>
  <c r="AI399" i="88"/>
  <c r="AK399" i="88" s="1"/>
  <c r="AM399" i="88" s="1"/>
  <c r="AI398" i="88"/>
  <c r="AK398" i="88" s="1"/>
  <c r="AM398" i="88" s="1"/>
  <c r="AI397" i="88"/>
  <c r="AK397" i="88" s="1"/>
  <c r="AM397" i="88" s="1"/>
  <c r="AI396" i="88"/>
  <c r="AK396" i="88" s="1"/>
  <c r="AM396" i="88" s="1"/>
  <c r="AI395" i="88"/>
  <c r="AK395" i="88" s="1"/>
  <c r="AM395" i="88" s="1"/>
  <c r="AI394" i="88"/>
  <c r="AK394" i="88" s="1"/>
  <c r="AM394" i="88" s="1"/>
  <c r="AI393" i="88"/>
  <c r="AK393" i="88" s="1"/>
  <c r="AM393" i="88" s="1"/>
  <c r="AI392" i="88"/>
  <c r="AK392" i="88" s="1"/>
  <c r="AM392" i="88" s="1"/>
  <c r="AI391" i="88"/>
  <c r="AK391" i="88" s="1"/>
  <c r="AM391" i="88" s="1"/>
  <c r="AI390" i="88"/>
  <c r="AK390" i="88" s="1"/>
  <c r="AM390" i="88" s="1"/>
  <c r="AI389" i="88"/>
  <c r="AK389" i="88" s="1"/>
  <c r="AM389" i="88" s="1"/>
  <c r="AI388" i="88"/>
  <c r="AK388" i="88" s="1"/>
  <c r="AM388" i="88" s="1"/>
  <c r="AI387" i="88"/>
  <c r="AK387" i="88" s="1"/>
  <c r="AM387" i="88" s="1"/>
  <c r="AI386" i="88"/>
  <c r="AK386" i="88" s="1"/>
  <c r="AM386" i="88" s="1"/>
  <c r="AI385" i="88"/>
  <c r="AK385" i="88" s="1"/>
  <c r="AM385" i="88" s="1"/>
  <c r="AI384" i="88"/>
  <c r="AK384" i="88" s="1"/>
  <c r="AM384" i="88" s="1"/>
  <c r="AI383" i="88"/>
  <c r="AK383" i="88" s="1"/>
  <c r="AM383" i="88" s="1"/>
  <c r="AI382" i="88"/>
  <c r="AK382" i="88" s="1"/>
  <c r="AM382" i="88" s="1"/>
  <c r="AI381" i="88"/>
  <c r="AK381" i="88" s="1"/>
  <c r="AM381" i="88" s="1"/>
  <c r="AI380" i="88"/>
  <c r="AK380" i="88" s="1"/>
  <c r="AM380" i="88" s="1"/>
  <c r="AI379" i="88"/>
  <c r="AK379" i="88" s="1"/>
  <c r="AM379" i="88" s="1"/>
  <c r="AI378" i="88"/>
  <c r="AK378" i="88" s="1"/>
  <c r="AM378" i="88" s="1"/>
  <c r="AI377" i="88"/>
  <c r="AK377" i="88" s="1"/>
  <c r="AM377" i="88" s="1"/>
  <c r="AI376" i="88"/>
  <c r="AK376" i="88" s="1"/>
  <c r="AM376" i="88" s="1"/>
  <c r="AI375" i="88"/>
  <c r="AK375" i="88" s="1"/>
  <c r="AM375" i="88" s="1"/>
  <c r="AI374" i="88"/>
  <c r="AK374" i="88" s="1"/>
  <c r="AM374" i="88" s="1"/>
  <c r="AI373" i="88"/>
  <c r="AK373" i="88" s="1"/>
  <c r="AM373" i="88" s="1"/>
  <c r="AI372" i="88"/>
  <c r="AK372" i="88" s="1"/>
  <c r="AM372" i="88" s="1"/>
  <c r="AI371" i="88"/>
  <c r="AK371" i="88" s="1"/>
  <c r="AM371" i="88" s="1"/>
  <c r="AI370" i="88"/>
  <c r="AK370" i="88" s="1"/>
  <c r="AM370" i="88" s="1"/>
  <c r="AI369" i="88"/>
  <c r="AK369" i="88" s="1"/>
  <c r="AM369" i="88" s="1"/>
  <c r="AI368" i="88"/>
  <c r="AK368" i="88" s="1"/>
  <c r="AM368" i="88" s="1"/>
  <c r="AI367" i="88"/>
  <c r="AK367" i="88" s="1"/>
  <c r="AM367" i="88" s="1"/>
  <c r="AI366" i="88"/>
  <c r="AK366" i="88" s="1"/>
  <c r="AM366" i="88" s="1"/>
  <c r="AI365" i="88"/>
  <c r="AK365" i="88" s="1"/>
  <c r="AM365" i="88" s="1"/>
  <c r="AI364" i="88"/>
  <c r="AK364" i="88" s="1"/>
  <c r="AM364" i="88" s="1"/>
  <c r="AI363" i="88"/>
  <c r="AK363" i="88" s="1"/>
  <c r="AM363" i="88" s="1"/>
  <c r="AI362" i="88"/>
  <c r="AK362" i="88" s="1"/>
  <c r="AM362" i="88" s="1"/>
  <c r="AI361" i="88"/>
  <c r="AK361" i="88" s="1"/>
  <c r="AM361" i="88" s="1"/>
  <c r="AI360" i="88"/>
  <c r="AK360" i="88" s="1"/>
  <c r="AM360" i="88" s="1"/>
  <c r="AI359" i="88"/>
  <c r="AK359" i="88" s="1"/>
  <c r="AM359" i="88" s="1"/>
  <c r="AI358" i="88"/>
  <c r="AK358" i="88" s="1"/>
  <c r="AM358" i="88" s="1"/>
  <c r="AI357" i="88"/>
  <c r="AK357" i="88" s="1"/>
  <c r="AM357" i="88" s="1"/>
  <c r="AI356" i="88"/>
  <c r="AK356" i="88" s="1"/>
  <c r="AM356" i="88" s="1"/>
  <c r="AI355" i="88"/>
  <c r="AK355" i="88" s="1"/>
  <c r="AM355" i="88" s="1"/>
  <c r="AI354" i="88"/>
  <c r="AK354" i="88" s="1"/>
  <c r="AM354" i="88" s="1"/>
  <c r="AI353" i="88"/>
  <c r="AK353" i="88" s="1"/>
  <c r="AM353" i="88" s="1"/>
  <c r="AI352" i="88"/>
  <c r="AK352" i="88" s="1"/>
  <c r="AM352" i="88" s="1"/>
  <c r="AI351" i="88"/>
  <c r="AK351" i="88" s="1"/>
  <c r="AM351" i="88" s="1"/>
  <c r="AI350" i="88"/>
  <c r="AK350" i="88" s="1"/>
  <c r="AM350" i="88" s="1"/>
  <c r="AI349" i="88"/>
  <c r="AK349" i="88" s="1"/>
  <c r="AM349" i="88" s="1"/>
  <c r="AI348" i="88"/>
  <c r="AK348" i="88" s="1"/>
  <c r="AM348" i="88" s="1"/>
  <c r="AI347" i="88"/>
  <c r="AK347" i="88" s="1"/>
  <c r="AM347" i="88" s="1"/>
  <c r="AI346" i="88"/>
  <c r="AK346" i="88" s="1"/>
  <c r="AM346" i="88" s="1"/>
  <c r="AI345" i="88"/>
  <c r="AK345" i="88" s="1"/>
  <c r="AM345" i="88" s="1"/>
  <c r="AI344" i="88"/>
  <c r="AK344" i="88" s="1"/>
  <c r="AM344" i="88" s="1"/>
  <c r="AI343" i="88"/>
  <c r="AK343" i="88" s="1"/>
  <c r="AM343" i="88" s="1"/>
  <c r="AI342" i="88"/>
  <c r="AK342" i="88" s="1"/>
  <c r="AM342" i="88" s="1"/>
  <c r="AI341" i="88"/>
  <c r="AK341" i="88" s="1"/>
  <c r="AM341" i="88" s="1"/>
  <c r="AI340" i="88"/>
  <c r="AK340" i="88" s="1"/>
  <c r="AM340" i="88" s="1"/>
  <c r="AI339" i="88"/>
  <c r="AK339" i="88" s="1"/>
  <c r="AM339" i="88" s="1"/>
  <c r="AI338" i="88"/>
  <c r="AK338" i="88" s="1"/>
  <c r="AM338" i="88" s="1"/>
  <c r="AI337" i="88"/>
  <c r="AK337" i="88" s="1"/>
  <c r="AM337" i="88" s="1"/>
  <c r="AI336" i="88"/>
  <c r="AK336" i="88" s="1"/>
  <c r="AM336" i="88" s="1"/>
  <c r="AI335" i="88"/>
  <c r="AK335" i="88" s="1"/>
  <c r="AM335" i="88" s="1"/>
  <c r="AI334" i="88"/>
  <c r="AK334" i="88" s="1"/>
  <c r="AM334" i="88" s="1"/>
  <c r="AI333" i="88"/>
  <c r="AK333" i="88" s="1"/>
  <c r="AM333" i="88" s="1"/>
  <c r="AI332" i="88"/>
  <c r="AK332" i="88" s="1"/>
  <c r="AM332" i="88" s="1"/>
  <c r="AI331" i="88"/>
  <c r="AK331" i="88" s="1"/>
  <c r="AM331" i="88" s="1"/>
  <c r="AI330" i="88"/>
  <c r="AK330" i="88" s="1"/>
  <c r="AM330" i="88" s="1"/>
  <c r="AI329" i="88"/>
  <c r="AK329" i="88" s="1"/>
  <c r="AM329" i="88" s="1"/>
  <c r="AI328" i="88"/>
  <c r="AK328" i="88" s="1"/>
  <c r="AM328" i="88" s="1"/>
  <c r="AI327" i="88"/>
  <c r="AK327" i="88" s="1"/>
  <c r="AM327" i="88" s="1"/>
  <c r="AI326" i="88"/>
  <c r="AK326" i="88" s="1"/>
  <c r="AM326" i="88" s="1"/>
  <c r="AI325" i="88"/>
  <c r="AK325" i="88" s="1"/>
  <c r="AM325" i="88" s="1"/>
  <c r="AI324" i="88"/>
  <c r="AK324" i="88" s="1"/>
  <c r="AM324" i="88" s="1"/>
  <c r="AI323" i="88"/>
  <c r="AK323" i="88" s="1"/>
  <c r="AM323" i="88" s="1"/>
  <c r="AI322" i="88"/>
  <c r="AK322" i="88" s="1"/>
  <c r="AM322" i="88" s="1"/>
  <c r="AI321" i="88"/>
  <c r="AK321" i="88" s="1"/>
  <c r="AM321" i="88" s="1"/>
  <c r="AI320" i="88"/>
  <c r="AK320" i="88" s="1"/>
  <c r="AM320" i="88" s="1"/>
  <c r="AI319" i="88"/>
  <c r="AK319" i="88" s="1"/>
  <c r="AM319" i="88" s="1"/>
  <c r="AI318" i="88"/>
  <c r="AK318" i="88" s="1"/>
  <c r="AM318" i="88" s="1"/>
  <c r="AI317" i="88"/>
  <c r="AK317" i="88" s="1"/>
  <c r="AM317" i="88" s="1"/>
  <c r="AI316" i="88"/>
  <c r="AK316" i="88" s="1"/>
  <c r="AM316" i="88" s="1"/>
  <c r="AI315" i="88"/>
  <c r="AK315" i="88" s="1"/>
  <c r="AM315" i="88" s="1"/>
  <c r="AI314" i="88"/>
  <c r="AK314" i="88" s="1"/>
  <c r="AM314" i="88" s="1"/>
  <c r="AI313" i="88"/>
  <c r="AK313" i="88" s="1"/>
  <c r="AM313" i="88" s="1"/>
  <c r="AI312" i="88"/>
  <c r="AK312" i="88" s="1"/>
  <c r="AM312" i="88" s="1"/>
  <c r="AI311" i="88"/>
  <c r="AK311" i="88" s="1"/>
  <c r="AM311" i="88" s="1"/>
  <c r="AI310" i="88"/>
  <c r="AK310" i="88" s="1"/>
  <c r="AM310" i="88" s="1"/>
  <c r="AI309" i="88"/>
  <c r="AK309" i="88" s="1"/>
  <c r="AM309" i="88" s="1"/>
  <c r="AI308" i="88"/>
  <c r="AK308" i="88" s="1"/>
  <c r="AM308" i="88" s="1"/>
  <c r="AI307" i="88"/>
  <c r="AK307" i="88" s="1"/>
  <c r="AM307" i="88" s="1"/>
  <c r="AI306" i="88"/>
  <c r="AK306" i="88" s="1"/>
  <c r="AM306" i="88" s="1"/>
  <c r="AI305" i="88"/>
  <c r="AK305" i="88" s="1"/>
  <c r="AM305" i="88" s="1"/>
  <c r="AI304" i="88"/>
  <c r="AK304" i="88" s="1"/>
  <c r="AM304" i="88" s="1"/>
  <c r="AI303" i="88"/>
  <c r="AK303" i="88" s="1"/>
  <c r="AM303" i="88" s="1"/>
  <c r="AI302" i="88"/>
  <c r="AK302" i="88" s="1"/>
  <c r="AM302" i="88" s="1"/>
  <c r="AI301" i="88"/>
  <c r="AK301" i="88" s="1"/>
  <c r="AM301" i="88" s="1"/>
  <c r="AI300" i="88"/>
  <c r="AK300" i="88" s="1"/>
  <c r="AM300" i="88" s="1"/>
  <c r="AI299" i="88"/>
  <c r="AK299" i="88" s="1"/>
  <c r="AM299" i="88" s="1"/>
  <c r="AI298" i="88"/>
  <c r="AK298" i="88" s="1"/>
  <c r="AM298" i="88" s="1"/>
  <c r="AI297" i="88"/>
  <c r="AK297" i="88" s="1"/>
  <c r="AM297" i="88" s="1"/>
  <c r="AI296" i="88"/>
  <c r="AK296" i="88" s="1"/>
  <c r="AM296" i="88" s="1"/>
  <c r="AI295" i="88"/>
  <c r="AK295" i="88" s="1"/>
  <c r="AM295" i="88" s="1"/>
  <c r="AI294" i="88"/>
  <c r="AK294" i="88" s="1"/>
  <c r="AM294" i="88" s="1"/>
  <c r="AI293" i="88"/>
  <c r="AK293" i="88" s="1"/>
  <c r="AM293" i="88" s="1"/>
  <c r="AI292" i="88"/>
  <c r="AK292" i="88" s="1"/>
  <c r="AM292" i="88" s="1"/>
  <c r="AI291" i="88"/>
  <c r="AK291" i="88" s="1"/>
  <c r="AM291" i="88" s="1"/>
  <c r="AI290" i="88"/>
  <c r="AK290" i="88" s="1"/>
  <c r="AM290" i="88" s="1"/>
  <c r="AI289" i="88"/>
  <c r="AK289" i="88" s="1"/>
  <c r="AM289" i="88" s="1"/>
  <c r="AI288" i="88"/>
  <c r="AK288" i="88" s="1"/>
  <c r="AM288" i="88" s="1"/>
  <c r="AI287" i="88"/>
  <c r="AK287" i="88" s="1"/>
  <c r="AM287" i="88" s="1"/>
  <c r="AI286" i="88"/>
  <c r="AK286" i="88" s="1"/>
  <c r="AM286" i="88" s="1"/>
  <c r="AI285" i="88"/>
  <c r="AK285" i="88" s="1"/>
  <c r="AM285" i="88" s="1"/>
  <c r="AI284" i="88"/>
  <c r="AK284" i="88" s="1"/>
  <c r="AM284" i="88" s="1"/>
  <c r="AI283" i="88"/>
  <c r="AK283" i="88" s="1"/>
  <c r="AM283" i="88" s="1"/>
  <c r="AI282" i="88"/>
  <c r="AK282" i="88" s="1"/>
  <c r="AM282" i="88" s="1"/>
  <c r="AI281" i="88"/>
  <c r="AK281" i="88" s="1"/>
  <c r="AM281" i="88" s="1"/>
  <c r="AI280" i="88"/>
  <c r="AK280" i="88" s="1"/>
  <c r="AM280" i="88" s="1"/>
  <c r="AI279" i="88"/>
  <c r="AK279" i="88" s="1"/>
  <c r="AM279" i="88" s="1"/>
  <c r="AI278" i="88"/>
  <c r="AK278" i="88" s="1"/>
  <c r="AM278" i="88" s="1"/>
  <c r="AI277" i="88"/>
  <c r="AK277" i="88" s="1"/>
  <c r="AM277" i="88" s="1"/>
  <c r="AI276" i="88"/>
  <c r="AK276" i="88" s="1"/>
  <c r="AM276" i="88" s="1"/>
  <c r="AI275" i="88"/>
  <c r="AK275" i="88" s="1"/>
  <c r="AM275" i="88" s="1"/>
  <c r="AI274" i="88"/>
  <c r="AK274" i="88" s="1"/>
  <c r="AM274" i="88" s="1"/>
  <c r="AI273" i="88"/>
  <c r="AK273" i="88" s="1"/>
  <c r="AM273" i="88" s="1"/>
  <c r="AI272" i="88"/>
  <c r="AK272" i="88" s="1"/>
  <c r="AM272" i="88" s="1"/>
  <c r="AI271" i="88"/>
  <c r="AK271" i="88" s="1"/>
  <c r="AM271" i="88" s="1"/>
  <c r="AI270" i="88"/>
  <c r="AK270" i="88" s="1"/>
  <c r="AM270" i="88" s="1"/>
  <c r="AI269" i="88"/>
  <c r="AK269" i="88" s="1"/>
  <c r="AM269" i="88" s="1"/>
  <c r="AI268" i="88"/>
  <c r="AK268" i="88" s="1"/>
  <c r="AM268" i="88" s="1"/>
  <c r="AI267" i="88"/>
  <c r="AK267" i="88" s="1"/>
  <c r="AM267" i="88" s="1"/>
  <c r="AI266" i="88"/>
  <c r="AK266" i="88" s="1"/>
  <c r="AM266" i="88" s="1"/>
  <c r="AI265" i="88"/>
  <c r="AK265" i="88" s="1"/>
  <c r="AM265" i="88" s="1"/>
  <c r="AI264" i="88"/>
  <c r="AK264" i="88" s="1"/>
  <c r="AM264" i="88" s="1"/>
  <c r="AI263" i="88"/>
  <c r="AK263" i="88" s="1"/>
  <c r="AM263" i="88" s="1"/>
  <c r="AI262" i="88"/>
  <c r="AK262" i="88" s="1"/>
  <c r="AM262" i="88" s="1"/>
  <c r="AI261" i="88"/>
  <c r="AK261" i="88" s="1"/>
  <c r="AM261" i="88" s="1"/>
  <c r="AI260" i="88"/>
  <c r="AK260" i="88" s="1"/>
  <c r="AM260" i="88" s="1"/>
  <c r="AI259" i="88"/>
  <c r="AK259" i="88" s="1"/>
  <c r="AM259" i="88" s="1"/>
  <c r="AI258" i="88"/>
  <c r="AK258" i="88" s="1"/>
  <c r="AM258" i="88" s="1"/>
  <c r="AI257" i="88"/>
  <c r="AK257" i="88" s="1"/>
  <c r="AM257" i="88" s="1"/>
  <c r="AI256" i="88"/>
  <c r="AK256" i="88" s="1"/>
  <c r="AM256" i="88" s="1"/>
  <c r="AI255" i="88"/>
  <c r="AK255" i="88" s="1"/>
  <c r="AM255" i="88" s="1"/>
  <c r="AI254" i="88"/>
  <c r="AK254" i="88" s="1"/>
  <c r="AM254" i="88" s="1"/>
  <c r="AI253" i="88"/>
  <c r="AK253" i="88" s="1"/>
  <c r="AM253" i="88" s="1"/>
  <c r="AI252" i="88"/>
  <c r="AK252" i="88" s="1"/>
  <c r="AM252" i="88" s="1"/>
  <c r="AI251" i="88"/>
  <c r="AK251" i="88" s="1"/>
  <c r="AM251" i="88" s="1"/>
  <c r="AI250" i="88"/>
  <c r="AK250" i="88" s="1"/>
  <c r="AM250" i="88" s="1"/>
  <c r="AI249" i="88"/>
  <c r="AK249" i="88" s="1"/>
  <c r="AM249" i="88" s="1"/>
  <c r="AI248" i="88"/>
  <c r="AK248" i="88" s="1"/>
  <c r="AM248" i="88" s="1"/>
  <c r="AI247" i="88"/>
  <c r="AK247" i="88" s="1"/>
  <c r="AM247" i="88" s="1"/>
  <c r="AI246" i="88"/>
  <c r="AK246" i="88" s="1"/>
  <c r="AM246" i="88" s="1"/>
  <c r="AI245" i="88"/>
  <c r="AK245" i="88" s="1"/>
  <c r="AM245" i="88" s="1"/>
  <c r="AI244" i="88"/>
  <c r="AK244" i="88" s="1"/>
  <c r="AM244" i="88" s="1"/>
  <c r="AI243" i="88"/>
  <c r="AK243" i="88" s="1"/>
  <c r="AM243" i="88" s="1"/>
  <c r="AI242" i="88"/>
  <c r="AK242" i="88" s="1"/>
  <c r="AM242" i="88" s="1"/>
  <c r="AI241" i="88"/>
  <c r="AK241" i="88" s="1"/>
  <c r="AM241" i="88" s="1"/>
  <c r="AI240" i="88"/>
  <c r="AK240" i="88" s="1"/>
  <c r="AM240" i="88" s="1"/>
  <c r="D239" i="88"/>
  <c r="AI239" i="88" s="1"/>
  <c r="AK239" i="88" s="1"/>
  <c r="AM239" i="88" s="1"/>
  <c r="X238" i="88"/>
  <c r="AI238" i="88" s="1"/>
  <c r="AK238" i="88" s="1"/>
  <c r="AM238" i="88" s="1"/>
  <c r="W237" i="88"/>
  <c r="L237" i="88"/>
  <c r="J237" i="88"/>
  <c r="AI236" i="88"/>
  <c r="AK236" i="88" s="1"/>
  <c r="AM236" i="88" s="1"/>
  <c r="AI235" i="88"/>
  <c r="AK235" i="88" s="1"/>
  <c r="AM235" i="88" s="1"/>
  <c r="AI234" i="88"/>
  <c r="AK234" i="88" s="1"/>
  <c r="AM234" i="88" s="1"/>
  <c r="AI233" i="88"/>
  <c r="AK233" i="88" s="1"/>
  <c r="AM233" i="88" s="1"/>
  <c r="AI232" i="88"/>
  <c r="AK232" i="88" s="1"/>
  <c r="AM232" i="88" s="1"/>
  <c r="AI231" i="88"/>
  <c r="AK231" i="88" s="1"/>
  <c r="AM231" i="88" s="1"/>
  <c r="AI230" i="88"/>
  <c r="AK230" i="88" s="1"/>
  <c r="AM230" i="88" s="1"/>
  <c r="AI229" i="88"/>
  <c r="AK229" i="88" s="1"/>
  <c r="AM229" i="88" s="1"/>
  <c r="AI228" i="88"/>
  <c r="AK228" i="88" s="1"/>
  <c r="AM228" i="88" s="1"/>
  <c r="AI227" i="88"/>
  <c r="AK227" i="88" s="1"/>
  <c r="AM227" i="88" s="1"/>
  <c r="AI226" i="88"/>
  <c r="AK226" i="88" s="1"/>
  <c r="AM226" i="88" s="1"/>
  <c r="AI225" i="88"/>
  <c r="AK225" i="88" s="1"/>
  <c r="AM225" i="88" s="1"/>
  <c r="AI224" i="88"/>
  <c r="AK224" i="88" s="1"/>
  <c r="AM224" i="88" s="1"/>
  <c r="AI223" i="88"/>
  <c r="AK223" i="88" s="1"/>
  <c r="AM223" i="88" s="1"/>
  <c r="AI222" i="88"/>
  <c r="AK222" i="88" s="1"/>
  <c r="AM222" i="88" s="1"/>
  <c r="AI221" i="88"/>
  <c r="AK221" i="88" s="1"/>
  <c r="AM221" i="88" s="1"/>
  <c r="AI220" i="88"/>
  <c r="AK220" i="88" s="1"/>
  <c r="AM220" i="88" s="1"/>
  <c r="AI219" i="88"/>
  <c r="AK219" i="88" s="1"/>
  <c r="AM219" i="88" s="1"/>
  <c r="AI218" i="88"/>
  <c r="AK218" i="88" s="1"/>
  <c r="AM218" i="88" s="1"/>
  <c r="AI217" i="88"/>
  <c r="AK217" i="88" s="1"/>
  <c r="AM217" i="88" s="1"/>
  <c r="AI216" i="88"/>
  <c r="AK216" i="88" s="1"/>
  <c r="AM216" i="88" s="1"/>
  <c r="AI215" i="88"/>
  <c r="AK215" i="88" s="1"/>
  <c r="AM215" i="88" s="1"/>
  <c r="AI214" i="88"/>
  <c r="AK214" i="88" s="1"/>
  <c r="AM214" i="88" s="1"/>
  <c r="AI213" i="88"/>
  <c r="AK213" i="88" s="1"/>
  <c r="AM213" i="88" s="1"/>
  <c r="AI212" i="88"/>
  <c r="AK212" i="88" s="1"/>
  <c r="AM212" i="88" s="1"/>
  <c r="AI211" i="88"/>
  <c r="AK211" i="88" s="1"/>
  <c r="AM211" i="88" s="1"/>
  <c r="AI210" i="88"/>
  <c r="AK210" i="88" s="1"/>
  <c r="AM210" i="88" s="1"/>
  <c r="AI209" i="88"/>
  <c r="AK209" i="88" s="1"/>
  <c r="AM209" i="88" s="1"/>
  <c r="AI208" i="88"/>
  <c r="AK208" i="88" s="1"/>
  <c r="AM208" i="88" s="1"/>
  <c r="AI207" i="88"/>
  <c r="AK207" i="88" s="1"/>
  <c r="AM207" i="88" s="1"/>
  <c r="AI206" i="88"/>
  <c r="AK206" i="88" s="1"/>
  <c r="AM206" i="88" s="1"/>
  <c r="AI205" i="88"/>
  <c r="AK205" i="88" s="1"/>
  <c r="AM205" i="88" s="1"/>
  <c r="AI204" i="88"/>
  <c r="AK204" i="88" s="1"/>
  <c r="AM204" i="88" s="1"/>
  <c r="AI203" i="88"/>
  <c r="AK203" i="88" s="1"/>
  <c r="AM203" i="88" s="1"/>
  <c r="AI202" i="88"/>
  <c r="AK202" i="88" s="1"/>
  <c r="AM202" i="88" s="1"/>
  <c r="AI201" i="88"/>
  <c r="AK201" i="88" s="1"/>
  <c r="AM201" i="88" s="1"/>
  <c r="AI200" i="88"/>
  <c r="AK200" i="88" s="1"/>
  <c r="AM200" i="88" s="1"/>
  <c r="AI199" i="88"/>
  <c r="AK199" i="88" s="1"/>
  <c r="AM199" i="88" s="1"/>
  <c r="AI198" i="88"/>
  <c r="AK198" i="88" s="1"/>
  <c r="AM198" i="88" s="1"/>
  <c r="AI197" i="88"/>
  <c r="AK197" i="88" s="1"/>
  <c r="AM197" i="88" s="1"/>
  <c r="AI196" i="88"/>
  <c r="AK196" i="88" s="1"/>
  <c r="AM196" i="88" s="1"/>
  <c r="AI195" i="88"/>
  <c r="AK195" i="88" s="1"/>
  <c r="AM195" i="88" s="1"/>
  <c r="AI194" i="88"/>
  <c r="AK194" i="88" s="1"/>
  <c r="AM194" i="88" s="1"/>
  <c r="AI193" i="88"/>
  <c r="AK193" i="88" s="1"/>
  <c r="AM193" i="88" s="1"/>
  <c r="AI192" i="88"/>
  <c r="AK192" i="88" s="1"/>
  <c r="AM192" i="88" s="1"/>
  <c r="AI191" i="88"/>
  <c r="AK191" i="88" s="1"/>
  <c r="AM191" i="88" s="1"/>
  <c r="AI190" i="88"/>
  <c r="AK190" i="88" s="1"/>
  <c r="AM190" i="88" s="1"/>
  <c r="AI189" i="88"/>
  <c r="AK189" i="88" s="1"/>
  <c r="AM189" i="88" s="1"/>
  <c r="AI188" i="88"/>
  <c r="AK188" i="88" s="1"/>
  <c r="AM188" i="88" s="1"/>
  <c r="AI187" i="88"/>
  <c r="AK187" i="88" s="1"/>
  <c r="AM187" i="88" s="1"/>
  <c r="AI186" i="88"/>
  <c r="AK186" i="88" s="1"/>
  <c r="AM186" i="88" s="1"/>
  <c r="AI185" i="88"/>
  <c r="AK185" i="88" s="1"/>
  <c r="AM185" i="88" s="1"/>
  <c r="AI184" i="88"/>
  <c r="AK184" i="88" s="1"/>
  <c r="AM184" i="88" s="1"/>
  <c r="AI183" i="88"/>
  <c r="AK183" i="88" s="1"/>
  <c r="AM183" i="88" s="1"/>
  <c r="AI182" i="88"/>
  <c r="AK182" i="88" s="1"/>
  <c r="AM182" i="88" s="1"/>
  <c r="AI181" i="88"/>
  <c r="AK181" i="88" s="1"/>
  <c r="AM181" i="88" s="1"/>
  <c r="AI180" i="88"/>
  <c r="AK180" i="88" s="1"/>
  <c r="AM180" i="88" s="1"/>
  <c r="AI179" i="88"/>
  <c r="AK179" i="88" s="1"/>
  <c r="AM179" i="88" s="1"/>
  <c r="AI178" i="88"/>
  <c r="AK178" i="88" s="1"/>
  <c r="AM178" i="88" s="1"/>
  <c r="AI177" i="88"/>
  <c r="AK177" i="88" s="1"/>
  <c r="AM177" i="88" s="1"/>
  <c r="AI176" i="88"/>
  <c r="AK176" i="88" s="1"/>
  <c r="AM176" i="88" s="1"/>
  <c r="AI175" i="88"/>
  <c r="AK175" i="88" s="1"/>
  <c r="AM175" i="88" s="1"/>
  <c r="AI174" i="88"/>
  <c r="AK174" i="88" s="1"/>
  <c r="AM174" i="88" s="1"/>
  <c r="AI173" i="88"/>
  <c r="AK173" i="88" s="1"/>
  <c r="AM173" i="88" s="1"/>
  <c r="AI172" i="88"/>
  <c r="AK172" i="88" s="1"/>
  <c r="AM172" i="88" s="1"/>
  <c r="AI171" i="88"/>
  <c r="AK171" i="88" s="1"/>
  <c r="AM171" i="88" s="1"/>
  <c r="AI170" i="88"/>
  <c r="AK170" i="88" s="1"/>
  <c r="AM170" i="88" s="1"/>
  <c r="AI169" i="88"/>
  <c r="AK169" i="88" s="1"/>
  <c r="AM169" i="88" s="1"/>
  <c r="AI168" i="88"/>
  <c r="AK168" i="88" s="1"/>
  <c r="AM168" i="88" s="1"/>
  <c r="AI167" i="88"/>
  <c r="AK167" i="88" s="1"/>
  <c r="AM167" i="88" s="1"/>
  <c r="AI166" i="88"/>
  <c r="AK166" i="88" s="1"/>
  <c r="AM166" i="88" s="1"/>
  <c r="AI165" i="88"/>
  <c r="AK165" i="88" s="1"/>
  <c r="AM165" i="88" s="1"/>
  <c r="AI164" i="88"/>
  <c r="AK164" i="88" s="1"/>
  <c r="AM164" i="88" s="1"/>
  <c r="AI163" i="88"/>
  <c r="AK163" i="88" s="1"/>
  <c r="AM163" i="88" s="1"/>
  <c r="AI162" i="88"/>
  <c r="AK162" i="88" s="1"/>
  <c r="AM162" i="88" s="1"/>
  <c r="AI161" i="88"/>
  <c r="AK161" i="88" s="1"/>
  <c r="AM161" i="88" s="1"/>
  <c r="AI160" i="88"/>
  <c r="AK160" i="88" s="1"/>
  <c r="AM160" i="88" s="1"/>
  <c r="AI159" i="88"/>
  <c r="AK159" i="88" s="1"/>
  <c r="AM159" i="88" s="1"/>
  <c r="AI158" i="88"/>
  <c r="AK158" i="88" s="1"/>
  <c r="AM158" i="88" s="1"/>
  <c r="AI157" i="88"/>
  <c r="AK157" i="88" s="1"/>
  <c r="AM157" i="88" s="1"/>
  <c r="AI156" i="88"/>
  <c r="AK156" i="88" s="1"/>
  <c r="AM156" i="88" s="1"/>
  <c r="AI155" i="88"/>
  <c r="AK155" i="88" s="1"/>
  <c r="AM155" i="88" s="1"/>
  <c r="AI154" i="88"/>
  <c r="AK154" i="88" s="1"/>
  <c r="AM154" i="88" s="1"/>
  <c r="AI153" i="88"/>
  <c r="AK153" i="88" s="1"/>
  <c r="AM153" i="88" s="1"/>
  <c r="AI152" i="88"/>
  <c r="AK152" i="88" s="1"/>
  <c r="AM152" i="88" s="1"/>
  <c r="AI151" i="88"/>
  <c r="AK151" i="88" s="1"/>
  <c r="AM151" i="88" s="1"/>
  <c r="AI150" i="88"/>
  <c r="AK150" i="88" s="1"/>
  <c r="AM150" i="88" s="1"/>
  <c r="AI149" i="88"/>
  <c r="AK149" i="88" s="1"/>
  <c r="AM149" i="88" s="1"/>
  <c r="AI148" i="88"/>
  <c r="AK148" i="88" s="1"/>
  <c r="AM148" i="88" s="1"/>
  <c r="AI147" i="88"/>
  <c r="AK147" i="88" s="1"/>
  <c r="AM147" i="88" s="1"/>
  <c r="AI146" i="88"/>
  <c r="AK146" i="88" s="1"/>
  <c r="AM146" i="88" s="1"/>
  <c r="AI145" i="88"/>
  <c r="AK145" i="88" s="1"/>
  <c r="AM145" i="88" s="1"/>
  <c r="AI144" i="88"/>
  <c r="AK144" i="88" s="1"/>
  <c r="AM144" i="88" s="1"/>
  <c r="AI143" i="88"/>
  <c r="AK143" i="88" s="1"/>
  <c r="AM143" i="88" s="1"/>
  <c r="AI142" i="88"/>
  <c r="AK142" i="88" s="1"/>
  <c r="AM142" i="88" s="1"/>
  <c r="AI141" i="88"/>
  <c r="AK141" i="88" s="1"/>
  <c r="AM141" i="88" s="1"/>
  <c r="AI140" i="88"/>
  <c r="AK140" i="88" s="1"/>
  <c r="AM140" i="88" s="1"/>
  <c r="AI139" i="88"/>
  <c r="AK139" i="88" s="1"/>
  <c r="AM139" i="88" s="1"/>
  <c r="AI138" i="88"/>
  <c r="AK138" i="88" s="1"/>
  <c r="AM138" i="88" s="1"/>
  <c r="AI137" i="88"/>
  <c r="AK137" i="88" s="1"/>
  <c r="AM137" i="88" s="1"/>
  <c r="AI136" i="88"/>
  <c r="AK136" i="88" s="1"/>
  <c r="AM136" i="88" s="1"/>
  <c r="AI135" i="88"/>
  <c r="AK135" i="88" s="1"/>
  <c r="AM135" i="88" s="1"/>
  <c r="AI134" i="88"/>
  <c r="AK134" i="88" s="1"/>
  <c r="AM134" i="88" s="1"/>
  <c r="AI133" i="88"/>
  <c r="AK133" i="88" s="1"/>
  <c r="AM133" i="88" s="1"/>
  <c r="AI132" i="88"/>
  <c r="AK132" i="88" s="1"/>
  <c r="AM132" i="88" s="1"/>
  <c r="AI131" i="88"/>
  <c r="AK131" i="88" s="1"/>
  <c r="AM131" i="88" s="1"/>
  <c r="AI130" i="88"/>
  <c r="AK130" i="88" s="1"/>
  <c r="AM130" i="88" s="1"/>
  <c r="AI129" i="88"/>
  <c r="AK129" i="88" s="1"/>
  <c r="AM129" i="88" s="1"/>
  <c r="AI128" i="88"/>
  <c r="AK128" i="88" s="1"/>
  <c r="AM128" i="88" s="1"/>
  <c r="AI127" i="88"/>
  <c r="AK127" i="88" s="1"/>
  <c r="AM127" i="88" s="1"/>
  <c r="AI126" i="88"/>
  <c r="AK126" i="88" s="1"/>
  <c r="AM126" i="88" s="1"/>
  <c r="AI125" i="88"/>
  <c r="AK125" i="88" s="1"/>
  <c r="AM125" i="88" s="1"/>
  <c r="AI124" i="88"/>
  <c r="AK124" i="88" s="1"/>
  <c r="AM124" i="88" s="1"/>
  <c r="AI123" i="88"/>
  <c r="AK123" i="88" s="1"/>
  <c r="AM123" i="88" s="1"/>
  <c r="AI122" i="88"/>
  <c r="AK122" i="88" s="1"/>
  <c r="AM122" i="88" s="1"/>
  <c r="AI121" i="88"/>
  <c r="AK121" i="88" s="1"/>
  <c r="AM121" i="88" s="1"/>
  <c r="AI120" i="88"/>
  <c r="AK120" i="88" s="1"/>
  <c r="AM120" i="88" s="1"/>
  <c r="AI119" i="88"/>
  <c r="AK119" i="88" s="1"/>
  <c r="AM119" i="88" s="1"/>
  <c r="AI118" i="88"/>
  <c r="AK118" i="88" s="1"/>
  <c r="AM118" i="88" s="1"/>
  <c r="AI117" i="88"/>
  <c r="AK117" i="88" s="1"/>
  <c r="AM117" i="88" s="1"/>
  <c r="AI116" i="88"/>
  <c r="AK116" i="88" s="1"/>
  <c r="AM116" i="88" s="1"/>
  <c r="AI115" i="88"/>
  <c r="AK115" i="88" s="1"/>
  <c r="AM115" i="88" s="1"/>
  <c r="AI114" i="88"/>
  <c r="AK114" i="88" s="1"/>
  <c r="AM114" i="88" s="1"/>
  <c r="AI113" i="88"/>
  <c r="AK113" i="88" s="1"/>
  <c r="AM113" i="88" s="1"/>
  <c r="AI112" i="88"/>
  <c r="AK112" i="88" s="1"/>
  <c r="AM112" i="88" s="1"/>
  <c r="AI111" i="88"/>
  <c r="AK111" i="88" s="1"/>
  <c r="AM111" i="88" s="1"/>
  <c r="AI110" i="88"/>
  <c r="AK110" i="88" s="1"/>
  <c r="AM110" i="88" s="1"/>
  <c r="AI109" i="88"/>
  <c r="AK109" i="88" s="1"/>
  <c r="AM109" i="88" s="1"/>
  <c r="AI108" i="88"/>
  <c r="AK108" i="88" s="1"/>
  <c r="AM108" i="88" s="1"/>
  <c r="AI107" i="88"/>
  <c r="AK107" i="88" s="1"/>
  <c r="AM107" i="88" s="1"/>
  <c r="AI106" i="88"/>
  <c r="AK106" i="88" s="1"/>
  <c r="AM106" i="88" s="1"/>
  <c r="AI105" i="88"/>
  <c r="AK105" i="88" s="1"/>
  <c r="AM105" i="88" s="1"/>
  <c r="AI104" i="88"/>
  <c r="AK104" i="88" s="1"/>
  <c r="AM104" i="88" s="1"/>
  <c r="AI103" i="88"/>
  <c r="AK103" i="88" s="1"/>
  <c r="AM103" i="88" s="1"/>
  <c r="AI102" i="88"/>
  <c r="AK102" i="88" s="1"/>
  <c r="AM102" i="88" s="1"/>
  <c r="AI101" i="88"/>
  <c r="AK101" i="88" s="1"/>
  <c r="AM101" i="88" s="1"/>
  <c r="AI100" i="88"/>
  <c r="AK100" i="88" s="1"/>
  <c r="AM100" i="88" s="1"/>
  <c r="AI99" i="88"/>
  <c r="AK99" i="88" s="1"/>
  <c r="AM99" i="88" s="1"/>
  <c r="AI98" i="88"/>
  <c r="AK98" i="88" s="1"/>
  <c r="AM98" i="88" s="1"/>
  <c r="AI97" i="88"/>
  <c r="AK97" i="88" s="1"/>
  <c r="AM97" i="88" s="1"/>
  <c r="AI96" i="88"/>
  <c r="AK96" i="88" s="1"/>
  <c r="AM96" i="88" s="1"/>
  <c r="AI95" i="88"/>
  <c r="AK95" i="88" s="1"/>
  <c r="AM95" i="88" s="1"/>
  <c r="AI94" i="88"/>
  <c r="AK94" i="88" s="1"/>
  <c r="AM94" i="88" s="1"/>
  <c r="AI93" i="88"/>
  <c r="AK93" i="88" s="1"/>
  <c r="AM93" i="88" s="1"/>
  <c r="AI92" i="88"/>
  <c r="AK92" i="88" s="1"/>
  <c r="AM92" i="88" s="1"/>
  <c r="AI91" i="88"/>
  <c r="AK91" i="88" s="1"/>
  <c r="AM91" i="88" s="1"/>
  <c r="AI90" i="88"/>
  <c r="AK90" i="88" s="1"/>
  <c r="AM90" i="88" s="1"/>
  <c r="AI89" i="88"/>
  <c r="AK89" i="88" s="1"/>
  <c r="AM89" i="88" s="1"/>
  <c r="AI88" i="88"/>
  <c r="AK88" i="88" s="1"/>
  <c r="AM88" i="88" s="1"/>
  <c r="AI87" i="88"/>
  <c r="AK87" i="88" s="1"/>
  <c r="AM87" i="88" s="1"/>
  <c r="AI86" i="88"/>
  <c r="AK86" i="88" s="1"/>
  <c r="AM86" i="88" s="1"/>
  <c r="AI85" i="88"/>
  <c r="AK85" i="88" s="1"/>
  <c r="AM85" i="88" s="1"/>
  <c r="AI84" i="88"/>
  <c r="AK84" i="88" s="1"/>
  <c r="AM84" i="88" s="1"/>
  <c r="AI83" i="88"/>
  <c r="AK83" i="88" s="1"/>
  <c r="AM83" i="88" s="1"/>
  <c r="AI82" i="88"/>
  <c r="AK82" i="88" s="1"/>
  <c r="AM82" i="88" s="1"/>
  <c r="AI81" i="88"/>
  <c r="AK81" i="88" s="1"/>
  <c r="AM81" i="88" s="1"/>
  <c r="AI80" i="88"/>
  <c r="AK80" i="88" s="1"/>
  <c r="AM80" i="88" s="1"/>
  <c r="AI79" i="88"/>
  <c r="AK79" i="88" s="1"/>
  <c r="AM79" i="88" s="1"/>
  <c r="AI78" i="88"/>
  <c r="AK78" i="88" s="1"/>
  <c r="AM78" i="88" s="1"/>
  <c r="AI77" i="88"/>
  <c r="AK77" i="88" s="1"/>
  <c r="AM77" i="88" s="1"/>
  <c r="AI76" i="88"/>
  <c r="AK76" i="88" s="1"/>
  <c r="AM76" i="88" s="1"/>
  <c r="AI75" i="88"/>
  <c r="AK75" i="88" s="1"/>
  <c r="AM75" i="88" s="1"/>
  <c r="AI74" i="88"/>
  <c r="AK74" i="88" s="1"/>
  <c r="AM74" i="88" s="1"/>
  <c r="AI73" i="88"/>
  <c r="AK73" i="88" s="1"/>
  <c r="AM73" i="88" s="1"/>
  <c r="AI72" i="88"/>
  <c r="AK72" i="88" s="1"/>
  <c r="AM72" i="88" s="1"/>
  <c r="AI71" i="88"/>
  <c r="AK71" i="88" s="1"/>
  <c r="AM71" i="88" s="1"/>
  <c r="AI70" i="88"/>
  <c r="AK70" i="88" s="1"/>
  <c r="AM70" i="88" s="1"/>
  <c r="AI69" i="88"/>
  <c r="AK69" i="88" s="1"/>
  <c r="AM69" i="88" s="1"/>
  <c r="AI68" i="88"/>
  <c r="AK68" i="88" s="1"/>
  <c r="AM68" i="88" s="1"/>
  <c r="AI67" i="88"/>
  <c r="AK67" i="88" s="1"/>
  <c r="AM67" i="88" s="1"/>
  <c r="AI66" i="88"/>
  <c r="AK66" i="88" s="1"/>
  <c r="AM66" i="88" s="1"/>
  <c r="AI65" i="88"/>
  <c r="AK65" i="88" s="1"/>
  <c r="AM65" i="88" s="1"/>
  <c r="AI64" i="88"/>
  <c r="AK64" i="88" s="1"/>
  <c r="AM64" i="88" s="1"/>
  <c r="AI63" i="88"/>
  <c r="AK63" i="88" s="1"/>
  <c r="AM63" i="88" s="1"/>
  <c r="AI62" i="88"/>
  <c r="AK62" i="88" s="1"/>
  <c r="AM62" i="88" s="1"/>
  <c r="AI61" i="88"/>
  <c r="AK61" i="88" s="1"/>
  <c r="AM61" i="88" s="1"/>
  <c r="AI60" i="88"/>
  <c r="AK60" i="88" s="1"/>
  <c r="AM60" i="88" s="1"/>
  <c r="AI59" i="88"/>
  <c r="AK59" i="88" s="1"/>
  <c r="AM59" i="88" s="1"/>
  <c r="AI58" i="88"/>
  <c r="AK58" i="88" s="1"/>
  <c r="AM58" i="88" s="1"/>
  <c r="AI57" i="88"/>
  <c r="AK57" i="88" s="1"/>
  <c r="AM57" i="88" s="1"/>
  <c r="AI56" i="88"/>
  <c r="AK56" i="88" s="1"/>
  <c r="AM56" i="88" s="1"/>
  <c r="AI55" i="88"/>
  <c r="AK55" i="88" s="1"/>
  <c r="AM55" i="88" s="1"/>
  <c r="AI54" i="88"/>
  <c r="AK54" i="88" s="1"/>
  <c r="AM54" i="88" s="1"/>
  <c r="AI53" i="88"/>
  <c r="AK53" i="88" s="1"/>
  <c r="AM53" i="88" s="1"/>
  <c r="AI52" i="88"/>
  <c r="AK52" i="88" s="1"/>
  <c r="AM52" i="88" s="1"/>
  <c r="AI51" i="88"/>
  <c r="AK51" i="88" s="1"/>
  <c r="AM51" i="88" s="1"/>
  <c r="AI50" i="88"/>
  <c r="AK50" i="88" s="1"/>
  <c r="AM50" i="88" s="1"/>
  <c r="AI49" i="88"/>
  <c r="AK49" i="88" s="1"/>
  <c r="AM49" i="88" s="1"/>
  <c r="AI48" i="88"/>
  <c r="AK48" i="88" s="1"/>
  <c r="AM48" i="88" s="1"/>
  <c r="AI47" i="88"/>
  <c r="AK47" i="88" s="1"/>
  <c r="AM47" i="88" s="1"/>
  <c r="AI46" i="88"/>
  <c r="AK46" i="88" s="1"/>
  <c r="AM46" i="88" s="1"/>
  <c r="AI45" i="88"/>
  <c r="AK45" i="88" s="1"/>
  <c r="AM45" i="88" s="1"/>
  <c r="AI44" i="88"/>
  <c r="AK44" i="88" s="1"/>
  <c r="AM44" i="88" s="1"/>
  <c r="AI43" i="88"/>
  <c r="AK43" i="88" s="1"/>
  <c r="AM43" i="88" s="1"/>
  <c r="AI42" i="88"/>
  <c r="AK42" i="88" s="1"/>
  <c r="AM42" i="88" s="1"/>
  <c r="AI41" i="88"/>
  <c r="AK41" i="88" s="1"/>
  <c r="AM41" i="88" s="1"/>
  <c r="AI40" i="88"/>
  <c r="AK40" i="88" s="1"/>
  <c r="AM40" i="88" s="1"/>
  <c r="AI39" i="88"/>
  <c r="AI38" i="88"/>
  <c r="AI37" i="88"/>
  <c r="AI36" i="88"/>
  <c r="AI35" i="88"/>
  <c r="AK35" i="88" s="1"/>
  <c r="AM35" i="88" s="1"/>
  <c r="AI34" i="88"/>
  <c r="AK34" i="88" s="1"/>
  <c r="AM34" i="88" s="1"/>
  <c r="AI33" i="88"/>
  <c r="AK33" i="88" s="1"/>
  <c r="AM33" i="88" s="1"/>
  <c r="AI32" i="88"/>
  <c r="AK32" i="88" s="1"/>
  <c r="AM32" i="88" s="1"/>
  <c r="AI31" i="88"/>
  <c r="AK31" i="88" s="1"/>
  <c r="AM31" i="88" s="1"/>
  <c r="AI30" i="88"/>
  <c r="AK30" i="88" s="1"/>
  <c r="AM30" i="88" s="1"/>
  <c r="AI29" i="88"/>
  <c r="AK29" i="88" s="1"/>
  <c r="AM29" i="88" s="1"/>
  <c r="AI28" i="88"/>
  <c r="AK28" i="88" s="1"/>
  <c r="AM28" i="88" s="1"/>
  <c r="AI27" i="88"/>
  <c r="AK27" i="88" s="1"/>
  <c r="AM27" i="88" s="1"/>
  <c r="AI26" i="88"/>
  <c r="AK26" i="88" s="1"/>
  <c r="AM26" i="88" s="1"/>
  <c r="AI25" i="88"/>
  <c r="AK25" i="88" s="1"/>
  <c r="AM25" i="88" s="1"/>
  <c r="AI24" i="88"/>
  <c r="AK24" i="88" s="1"/>
  <c r="AM24" i="88" s="1"/>
  <c r="AI23" i="88"/>
  <c r="AK23" i="88" s="1"/>
  <c r="AM23" i="88" s="1"/>
  <c r="AI22" i="88"/>
  <c r="AK22" i="88" s="1"/>
  <c r="AM22" i="88" s="1"/>
  <c r="AI21" i="88"/>
  <c r="AK21" i="88" s="1"/>
  <c r="AM21" i="88" s="1"/>
  <c r="AI20" i="88"/>
  <c r="AK20" i="88" s="1"/>
  <c r="AM20" i="88" s="1"/>
  <c r="AO19" i="88"/>
  <c r="AP20" i="88" s="1"/>
  <c r="AI19" i="88"/>
  <c r="AK19" i="88" s="1"/>
  <c r="AO20" i="88" s="1"/>
  <c r="AI18" i="88"/>
  <c r="AI17" i="88"/>
  <c r="AK17" i="88" s="1"/>
  <c r="AM17" i="88" s="1"/>
  <c r="AI16" i="88"/>
  <c r="AK16" i="88" s="1"/>
  <c r="AM16" i="88" s="1"/>
  <c r="AI15" i="88"/>
  <c r="AK15" i="88" s="1"/>
  <c r="AM15" i="88" s="1"/>
  <c r="AI14" i="88"/>
  <c r="AK14" i="88" s="1"/>
  <c r="AM14" i="88" s="1"/>
  <c r="AI13" i="88"/>
  <c r="AK13" i="88" s="1"/>
  <c r="AM13" i="88" s="1"/>
  <c r="AI12" i="88"/>
  <c r="AI11" i="88"/>
  <c r="E9" i="88"/>
  <c r="F9" i="88" s="1"/>
  <c r="G9" i="88" s="1"/>
  <c r="H9" i="88" s="1"/>
  <c r="I9" i="88" s="1"/>
  <c r="J9" i="88" s="1"/>
  <c r="K9" i="88" s="1"/>
  <c r="L9" i="88" s="1"/>
  <c r="M9" i="88" s="1"/>
  <c r="N9" i="88" s="1"/>
  <c r="O9" i="88" s="1"/>
  <c r="P9" i="88" s="1"/>
  <c r="Q9" i="88" s="1"/>
  <c r="R9" i="88" s="1"/>
  <c r="S9" i="88" s="1"/>
  <c r="T9" i="88" s="1"/>
  <c r="U9" i="88" s="1"/>
  <c r="V9" i="88" s="1"/>
  <c r="W9" i="88" s="1"/>
  <c r="X9" i="88" s="1"/>
  <c r="Y9" i="88" s="1"/>
  <c r="Z9" i="88" s="1"/>
  <c r="AA9" i="88" s="1"/>
  <c r="AB9" i="88" s="1"/>
  <c r="AC9" i="88" s="1"/>
  <c r="AD9" i="88" s="1"/>
  <c r="AE9" i="88" s="1"/>
  <c r="AF9" i="88" s="1"/>
  <c r="AG9" i="88" s="1"/>
  <c r="AH9" i="88" s="1"/>
  <c r="B5" i="88"/>
  <c r="AI131" i="87" l="1"/>
  <c r="AI501" i="88"/>
  <c r="AK501" i="88" s="1"/>
  <c r="AM501" i="88" s="1"/>
  <c r="AI112" i="87"/>
  <c r="AI130" i="87"/>
  <c r="AI237" i="88"/>
  <c r="AK237" i="88" s="1"/>
  <c r="AM237" i="88" s="1"/>
  <c r="AI499" i="88"/>
  <c r="AK499" i="88" s="1"/>
  <c r="AM499" i="88" s="1"/>
  <c r="AM13" i="87"/>
  <c r="AO13" i="87" s="1"/>
  <c r="AQ13" i="87" s="1"/>
  <c r="AI129" i="87"/>
  <c r="AM19" i="88"/>
  <c r="AO26" i="88" s="1"/>
  <c r="AI509" i="88"/>
  <c r="AK509" i="88" s="1"/>
  <c r="AM509" i="88" s="1"/>
  <c r="B2" i="85" l="1"/>
  <c r="K4" i="85"/>
  <c r="E7" i="85"/>
  <c r="F14" i="85"/>
  <c r="C16" i="85"/>
  <c r="F16" i="85"/>
  <c r="C17" i="85"/>
  <c r="F17" i="85"/>
  <c r="C18" i="85"/>
  <c r="F18" i="85"/>
  <c r="C19" i="85"/>
  <c r="F19" i="85"/>
  <c r="E20" i="85"/>
  <c r="E21" i="85" s="1"/>
  <c r="F40" i="85"/>
  <c r="F41" i="85"/>
  <c r="F42" i="85"/>
  <c r="E24" i="85" l="1"/>
  <c r="E22" i="85"/>
  <c r="E40" i="85"/>
  <c r="E25" i="85"/>
  <c r="E23" i="85"/>
  <c r="F20" i="85"/>
  <c r="F21" i="85" s="1"/>
  <c r="F44" i="85"/>
  <c r="E26" i="85" l="1"/>
  <c r="E31" i="85" s="1"/>
  <c r="F47" i="85"/>
  <c r="F23" i="85"/>
  <c r="F25" i="85"/>
  <c r="F22" i="85"/>
  <c r="F24" i="85"/>
  <c r="E50" i="85"/>
  <c r="E51" i="85" s="1"/>
  <c r="F26" i="85" l="1"/>
  <c r="F31" i="85" s="1"/>
  <c r="AI19" i="84" l="1"/>
  <c r="AL19" i="84" s="1"/>
  <c r="AN19" i="84" s="1"/>
  <c r="AI20" i="84"/>
  <c r="AL20" i="84" s="1"/>
  <c r="AN20" i="84" s="1"/>
  <c r="L145" i="84"/>
  <c r="AI145" i="84" s="1"/>
  <c r="AK145" i="84" s="1"/>
  <c r="AM139" i="84"/>
  <c r="AN139" i="84" s="1"/>
  <c r="AI139" i="84"/>
  <c r="AE138" i="84"/>
  <c r="AI138" i="84" s="1"/>
  <c r="AL138" i="84" s="1"/>
  <c r="AN138" i="84" s="1"/>
  <c r="AE137" i="84"/>
  <c r="AI137" i="84" s="1"/>
  <c r="AL137" i="84" s="1"/>
  <c r="AN137" i="84" s="1"/>
  <c r="AE136" i="84"/>
  <c r="AI136" i="84" s="1"/>
  <c r="AL136" i="84" s="1"/>
  <c r="AN136" i="84" s="1"/>
  <c r="AI135" i="84"/>
  <c r="AL135" i="84" s="1"/>
  <c r="AN135" i="84" s="1"/>
  <c r="AI134" i="84"/>
  <c r="AL134" i="84" s="1"/>
  <c r="AN134" i="84" s="1"/>
  <c r="R133" i="84"/>
  <c r="AI133" i="84" s="1"/>
  <c r="AL133" i="84" s="1"/>
  <c r="AN133" i="84" s="1"/>
  <c r="AI132" i="84"/>
  <c r="AL132" i="84" s="1"/>
  <c r="AN132" i="84" s="1"/>
  <c r="AI131" i="84"/>
  <c r="AL131" i="84" s="1"/>
  <c r="AN131" i="84" s="1"/>
  <c r="AI130" i="84"/>
  <c r="AL130" i="84" s="1"/>
  <c r="AN130" i="84" s="1"/>
  <c r="AI129" i="84"/>
  <c r="AL129" i="84" s="1"/>
  <c r="AN129" i="84" s="1"/>
  <c r="AA128" i="84"/>
  <c r="Z128" i="84"/>
  <c r="Y128" i="84"/>
  <c r="AI127" i="84"/>
  <c r="AL127" i="84" s="1"/>
  <c r="AN127" i="84" s="1"/>
  <c r="AI126" i="84"/>
  <c r="AL126" i="84" s="1"/>
  <c r="AN126" i="84" s="1"/>
  <c r="AE125" i="84"/>
  <c r="AD125" i="84"/>
  <c r="AB125" i="84"/>
  <c r="AA125" i="84"/>
  <c r="T125" i="84"/>
  <c r="S125" i="84"/>
  <c r="R125" i="84"/>
  <c r="Q125" i="84"/>
  <c r="AI124" i="84"/>
  <c r="AL124" i="84" s="1"/>
  <c r="AN124" i="84" s="1"/>
  <c r="AI123" i="84"/>
  <c r="AL123" i="84" s="1"/>
  <c r="AN123" i="84" s="1"/>
  <c r="E122" i="84"/>
  <c r="AI122" i="84" s="1"/>
  <c r="AL122" i="84" s="1"/>
  <c r="AN122" i="84" s="1"/>
  <c r="AI121" i="84"/>
  <c r="AL121" i="84" s="1"/>
  <c r="AN121" i="84" s="1"/>
  <c r="R120" i="84"/>
  <c r="AI120" i="84" s="1"/>
  <c r="AL120" i="84" s="1"/>
  <c r="AN120" i="84" s="1"/>
  <c r="T119" i="84"/>
  <c r="R119" i="84"/>
  <c r="Q119" i="84"/>
  <c r="P119" i="84"/>
  <c r="S118" i="84"/>
  <c r="R118" i="84"/>
  <c r="Q118" i="84"/>
  <c r="P118" i="84"/>
  <c r="M118" i="84"/>
  <c r="T117" i="84"/>
  <c r="S117" i="84"/>
  <c r="R117" i="84"/>
  <c r="Q117" i="84"/>
  <c r="T116" i="84"/>
  <c r="S116" i="84"/>
  <c r="R116" i="84"/>
  <c r="Q116" i="84"/>
  <c r="P116" i="84"/>
  <c r="M116" i="84"/>
  <c r="AI115" i="84"/>
  <c r="AL115" i="84" s="1"/>
  <c r="AN115" i="84" s="1"/>
  <c r="N114" i="84"/>
  <c r="L114" i="84"/>
  <c r="L113" i="84"/>
  <c r="AI113" i="84" s="1"/>
  <c r="AL113" i="84" s="1"/>
  <c r="AN113" i="84" s="1"/>
  <c r="AI112" i="84"/>
  <c r="AL112" i="84" s="1"/>
  <c r="AN112" i="84" s="1"/>
  <c r="AI111" i="84"/>
  <c r="AL111" i="84" s="1"/>
  <c r="AN111" i="84" s="1"/>
  <c r="AI110" i="84"/>
  <c r="AL110" i="84" s="1"/>
  <c r="AN110" i="84" s="1"/>
  <c r="AI109" i="84"/>
  <c r="AL109" i="84" s="1"/>
  <c r="AN109" i="84" s="1"/>
  <c r="AB108" i="84"/>
  <c r="AA108" i="84"/>
  <c r="AI107" i="84"/>
  <c r="AL107" i="84" s="1"/>
  <c r="AN107" i="84" s="1"/>
  <c r="AB106" i="84"/>
  <c r="AA106" i="84"/>
  <c r="I106" i="84"/>
  <c r="G106" i="84"/>
  <c r="F106" i="84"/>
  <c r="Z105" i="84"/>
  <c r="Y105" i="84"/>
  <c r="I104" i="84"/>
  <c r="AI104" i="84" s="1"/>
  <c r="AL104" i="84" s="1"/>
  <c r="AN104" i="84" s="1"/>
  <c r="I103" i="84"/>
  <c r="AI103" i="84" s="1"/>
  <c r="AL103" i="84" s="1"/>
  <c r="AN103" i="84" s="1"/>
  <c r="AB102" i="84"/>
  <c r="AA102" i="84"/>
  <c r="X101" i="84"/>
  <c r="W101" i="84"/>
  <c r="I101" i="84"/>
  <c r="G101" i="84"/>
  <c r="F101" i="84"/>
  <c r="AI100" i="84"/>
  <c r="AL100" i="84" s="1"/>
  <c r="AN100" i="84" s="1"/>
  <c r="I99" i="84"/>
  <c r="G99" i="84"/>
  <c r="F99" i="84"/>
  <c r="AI98" i="84"/>
  <c r="AL98" i="84" s="1"/>
  <c r="AN98" i="84" s="1"/>
  <c r="AI97" i="84"/>
  <c r="AL97" i="84" s="1"/>
  <c r="AN97" i="84" s="1"/>
  <c r="AI96" i="84"/>
  <c r="AL96" i="84" s="1"/>
  <c r="AN96" i="84" s="1"/>
  <c r="AI95" i="84"/>
  <c r="AL95" i="84" s="1"/>
  <c r="AN95" i="84" s="1"/>
  <c r="AI94" i="84"/>
  <c r="AL94" i="84" s="1"/>
  <c r="AN94" i="84" s="1"/>
  <c r="AF93" i="84"/>
  <c r="AE93" i="84"/>
  <c r="AD93" i="84"/>
  <c r="K92" i="84"/>
  <c r="J92" i="84"/>
  <c r="I92" i="84"/>
  <c r="K91" i="84"/>
  <c r="AI91" i="84" s="1"/>
  <c r="AL91" i="84" s="1"/>
  <c r="AN91" i="84" s="1"/>
  <c r="P90" i="84"/>
  <c r="N90" i="84"/>
  <c r="M90" i="84"/>
  <c r="L90" i="84"/>
  <c r="K90" i="84"/>
  <c r="J90" i="84"/>
  <c r="K89" i="84"/>
  <c r="J89" i="84"/>
  <c r="I89" i="84"/>
  <c r="AI88" i="84"/>
  <c r="AL88" i="84" s="1"/>
  <c r="AN88" i="84" s="1"/>
  <c r="AE87" i="84"/>
  <c r="AI87" i="84" s="1"/>
  <c r="AL87" i="84" s="1"/>
  <c r="AN87" i="84" s="1"/>
  <c r="AI86" i="84"/>
  <c r="AL86" i="84" s="1"/>
  <c r="AN86" i="84" s="1"/>
  <c r="AI85" i="84"/>
  <c r="AL85" i="84" s="1"/>
  <c r="AN85" i="84" s="1"/>
  <c r="AI84" i="84"/>
  <c r="AL84" i="84" s="1"/>
  <c r="AN84" i="84" s="1"/>
  <c r="AI83" i="84"/>
  <c r="AL83" i="84" s="1"/>
  <c r="AN83" i="84" s="1"/>
  <c r="AD82" i="84"/>
  <c r="AI82" i="84" s="1"/>
  <c r="AL82" i="84" s="1"/>
  <c r="AN82" i="84" s="1"/>
  <c r="W81" i="84"/>
  <c r="T81" i="84"/>
  <c r="S81" i="84"/>
  <c r="AI80" i="84"/>
  <c r="AL80" i="84" s="1"/>
  <c r="AN80" i="84" s="1"/>
  <c r="AI79" i="84"/>
  <c r="AL79" i="84" s="1"/>
  <c r="AN79" i="84" s="1"/>
  <c r="AI78" i="84"/>
  <c r="AL78" i="84" s="1"/>
  <c r="AN78" i="84" s="1"/>
  <c r="E77" i="84"/>
  <c r="AI77" i="84" s="1"/>
  <c r="AL77" i="84" s="1"/>
  <c r="AN77" i="84" s="1"/>
  <c r="AI76" i="84"/>
  <c r="AL76" i="84" s="1"/>
  <c r="AN76" i="84" s="1"/>
  <c r="AI75" i="84"/>
  <c r="AL75" i="84" s="1"/>
  <c r="AN75" i="84" s="1"/>
  <c r="AI74" i="84"/>
  <c r="AL74" i="84" s="1"/>
  <c r="AN74" i="84" s="1"/>
  <c r="AI73" i="84"/>
  <c r="AL73" i="84" s="1"/>
  <c r="AN73" i="84" s="1"/>
  <c r="AI72" i="84"/>
  <c r="AL72" i="84" s="1"/>
  <c r="AN72" i="84" s="1"/>
  <c r="AD71" i="84"/>
  <c r="AB71" i="84"/>
  <c r="AA71" i="84"/>
  <c r="W71" i="84"/>
  <c r="S71" i="84"/>
  <c r="R71" i="84"/>
  <c r="M71" i="84"/>
  <c r="K71" i="84"/>
  <c r="J71" i="84"/>
  <c r="AD70" i="84"/>
  <c r="X70" i="84"/>
  <c r="T70" i="84"/>
  <c r="L70" i="84"/>
  <c r="E70" i="84"/>
  <c r="AE69" i="84"/>
  <c r="AB69" i="84"/>
  <c r="Y69" i="84"/>
  <c r="X69" i="84"/>
  <c r="T69" i="84"/>
  <c r="S69" i="84"/>
  <c r="M69" i="84"/>
  <c r="K69" i="84"/>
  <c r="E69" i="84"/>
  <c r="AI68" i="84"/>
  <c r="AL68" i="84" s="1"/>
  <c r="AN68" i="84" s="1"/>
  <c r="Q67" i="84"/>
  <c r="P67" i="84"/>
  <c r="I67" i="84"/>
  <c r="G67" i="84"/>
  <c r="F67" i="84"/>
  <c r="AI66" i="84"/>
  <c r="AL66" i="84" s="1"/>
  <c r="AN66" i="84" s="1"/>
  <c r="AI65" i="84"/>
  <c r="AL65" i="84" s="1"/>
  <c r="AN65" i="84" s="1"/>
  <c r="AI64" i="84"/>
  <c r="AL64" i="84" s="1"/>
  <c r="AN64" i="84" s="1"/>
  <c r="AI63" i="84"/>
  <c r="AL63" i="84" s="1"/>
  <c r="AN63" i="84" s="1"/>
  <c r="S62" i="84"/>
  <c r="J62" i="84"/>
  <c r="P61" i="84"/>
  <c r="J61" i="84"/>
  <c r="Y60" i="84"/>
  <c r="J60" i="84"/>
  <c r="AI59" i="84"/>
  <c r="AL59" i="84" s="1"/>
  <c r="AN59" i="84" s="1"/>
  <c r="Y58" i="84"/>
  <c r="M58" i="84"/>
  <c r="AA57" i="84"/>
  <c r="Z57" i="84"/>
  <c r="J57" i="84"/>
  <c r="AA56" i="84"/>
  <c r="Z56" i="84"/>
  <c r="J56" i="84"/>
  <c r="AI55" i="84"/>
  <c r="AL55" i="84" s="1"/>
  <c r="AN55" i="84" s="1"/>
  <c r="Y54" i="84"/>
  <c r="X54" i="84"/>
  <c r="X53" i="84"/>
  <c r="AI53" i="84" s="1"/>
  <c r="AL53" i="84" s="1"/>
  <c r="AN53" i="84" s="1"/>
  <c r="AI52" i="84"/>
  <c r="AL52" i="84" s="1"/>
  <c r="AN52" i="84" s="1"/>
  <c r="AI51" i="84"/>
  <c r="AL51" i="84" s="1"/>
  <c r="AN51" i="84" s="1"/>
  <c r="L50" i="84"/>
  <c r="K50" i="84"/>
  <c r="I50" i="84"/>
  <c r="G50" i="84"/>
  <c r="AI49" i="84"/>
  <c r="AL49" i="84" s="1"/>
  <c r="AN49" i="84" s="1"/>
  <c r="Z48" i="84"/>
  <c r="P48" i="84"/>
  <c r="J48" i="84"/>
  <c r="F48" i="84"/>
  <c r="AI47" i="84"/>
  <c r="AL47" i="84" s="1"/>
  <c r="AN47" i="84" s="1"/>
  <c r="AI46" i="84"/>
  <c r="AL46" i="84" s="1"/>
  <c r="AN46" i="84" s="1"/>
  <c r="AI45" i="84"/>
  <c r="AL45" i="84" s="1"/>
  <c r="AN45" i="84" s="1"/>
  <c r="AI44" i="84"/>
  <c r="AL44" i="84" s="1"/>
  <c r="AN44" i="84" s="1"/>
  <c r="AI43" i="84"/>
  <c r="AL43" i="84" s="1"/>
  <c r="AN43" i="84" s="1"/>
  <c r="AF42" i="84"/>
  <c r="N42" i="84"/>
  <c r="AI41" i="84"/>
  <c r="AL41" i="84" s="1"/>
  <c r="AN41" i="84" s="1"/>
  <c r="AI40" i="84"/>
  <c r="AL40" i="84" s="1"/>
  <c r="AN40" i="84" s="1"/>
  <c r="AF39" i="84"/>
  <c r="AI39" i="84" s="1"/>
  <c r="AL39" i="84" s="1"/>
  <c r="AN39" i="84" s="1"/>
  <c r="Y38" i="84"/>
  <c r="AI38" i="84" s="1"/>
  <c r="AL38" i="84" s="1"/>
  <c r="AN38" i="84" s="1"/>
  <c r="Z37" i="84"/>
  <c r="AI37" i="84" s="1"/>
  <c r="AL37" i="84" s="1"/>
  <c r="AN37" i="84" s="1"/>
  <c r="Y36" i="84"/>
  <c r="AI36" i="84" s="1"/>
  <c r="AL36" i="84" s="1"/>
  <c r="AN36" i="84" s="1"/>
  <c r="AI35" i="84"/>
  <c r="AL35" i="84" s="1"/>
  <c r="AN35" i="84" s="1"/>
  <c r="AI34" i="84"/>
  <c r="AL34" i="84" s="1"/>
  <c r="AN34" i="84" s="1"/>
  <c r="AI33" i="84"/>
  <c r="AL33" i="84" s="1"/>
  <c r="AN33" i="84" s="1"/>
  <c r="AI32" i="84"/>
  <c r="AL32" i="84" s="1"/>
  <c r="AN32" i="84" s="1"/>
  <c r="AI31" i="84"/>
  <c r="AL31" i="84" s="1"/>
  <c r="AN31" i="84" s="1"/>
  <c r="AI30" i="84"/>
  <c r="AL30" i="84" s="1"/>
  <c r="AN30" i="84" s="1"/>
  <c r="AI29" i="84"/>
  <c r="AL29" i="84" s="1"/>
  <c r="AN29" i="84" s="1"/>
  <c r="F28" i="84"/>
  <c r="AI28" i="84" s="1"/>
  <c r="AL28" i="84" s="1"/>
  <c r="AN28" i="84" s="1"/>
  <c r="F27" i="84"/>
  <c r="AI27" i="84" s="1"/>
  <c r="AL27" i="84" s="1"/>
  <c r="AN27" i="84" s="1"/>
  <c r="AI26" i="84"/>
  <c r="AL26" i="84" s="1"/>
  <c r="AN26" i="84" s="1"/>
  <c r="AI25" i="84"/>
  <c r="AL25" i="84" s="1"/>
  <c r="AN25" i="84" s="1"/>
  <c r="AG24" i="84"/>
  <c r="AI24" i="84" s="1"/>
  <c r="AL24" i="84" s="1"/>
  <c r="AN24" i="84" s="1"/>
  <c r="AI23" i="84"/>
  <c r="AL23" i="84" s="1"/>
  <c r="AN23" i="84" s="1"/>
  <c r="AI22" i="84"/>
  <c r="AL22" i="84" s="1"/>
  <c r="AN22" i="84" s="1"/>
  <c r="AI21" i="84"/>
  <c r="AL21" i="84" s="1"/>
  <c r="AN21" i="84" s="1"/>
  <c r="AI18" i="84"/>
  <c r="AL18" i="84" s="1"/>
  <c r="AN18" i="84" s="1"/>
  <c r="AI17" i="84"/>
  <c r="AL17" i="84" s="1"/>
  <c r="AN17" i="84" s="1"/>
  <c r="AI16" i="84"/>
  <c r="AL16" i="84" s="1"/>
  <c r="AN16" i="84" s="1"/>
  <c r="AI15" i="84"/>
  <c r="AL15" i="84" s="1"/>
  <c r="AN15" i="84" s="1"/>
  <c r="AI14" i="84"/>
  <c r="AL14" i="84" s="1"/>
  <c r="AN14" i="84" s="1"/>
  <c r="AI13" i="84"/>
  <c r="AL13" i="84" s="1"/>
  <c r="AN13" i="84" s="1"/>
  <c r="AI12" i="84"/>
  <c r="AI11" i="84"/>
  <c r="E9" i="84"/>
  <c r="F9" i="84" s="1"/>
  <c r="G9" i="84" s="1"/>
  <c r="H9" i="84" s="1"/>
  <c r="I9" i="84" s="1"/>
  <c r="J9" i="84" s="1"/>
  <c r="K9" i="84" s="1"/>
  <c r="L9" i="84" s="1"/>
  <c r="M9" i="84" s="1"/>
  <c r="N9" i="84" s="1"/>
  <c r="O9" i="84" s="1"/>
  <c r="P9" i="84" s="1"/>
  <c r="Q9" i="84" s="1"/>
  <c r="R9" i="84" s="1"/>
  <c r="S9" i="84" s="1"/>
  <c r="T9" i="84" s="1"/>
  <c r="U9" i="84" s="1"/>
  <c r="V9" i="84" s="1"/>
  <c r="W9" i="84" s="1"/>
  <c r="X9" i="84" s="1"/>
  <c r="Y9" i="84" s="1"/>
  <c r="Z9" i="84" s="1"/>
  <c r="AA9" i="84" s="1"/>
  <c r="AB9" i="84" s="1"/>
  <c r="AC9" i="84" s="1"/>
  <c r="AD9" i="84" s="1"/>
  <c r="AE9" i="84" s="1"/>
  <c r="AF9" i="84" s="1"/>
  <c r="AG9" i="84" s="1"/>
  <c r="AH9" i="84" s="1"/>
  <c r="B5" i="84"/>
  <c r="AI60" i="84" l="1"/>
  <c r="AL60" i="84" s="1"/>
  <c r="AN60" i="84" s="1"/>
  <c r="AI57" i="84"/>
  <c r="AL57" i="84" s="1"/>
  <c r="AN57" i="84" s="1"/>
  <c r="AI93" i="84"/>
  <c r="AL93" i="84" s="1"/>
  <c r="AN93" i="84" s="1"/>
  <c r="AI54" i="84"/>
  <c r="AL54" i="84" s="1"/>
  <c r="AN54" i="84" s="1"/>
  <c r="AI56" i="84"/>
  <c r="AL56" i="84" s="1"/>
  <c r="AN56" i="84" s="1"/>
  <c r="AI61" i="84"/>
  <c r="AL61" i="84" s="1"/>
  <c r="AN61" i="84" s="1"/>
  <c r="AI92" i="84"/>
  <c r="AL92" i="84" s="1"/>
  <c r="AN92" i="84" s="1"/>
  <c r="AI99" i="84"/>
  <c r="AL99" i="84" s="1"/>
  <c r="AN99" i="84" s="1"/>
  <c r="AI71" i="84"/>
  <c r="AL71" i="84" s="1"/>
  <c r="AN71" i="84" s="1"/>
  <c r="AI106" i="84"/>
  <c r="AL106" i="84" s="1"/>
  <c r="AN106" i="84" s="1"/>
  <c r="AI42" i="84"/>
  <c r="AL42" i="84" s="1"/>
  <c r="AN42" i="84" s="1"/>
  <c r="AI58" i="84"/>
  <c r="AL58" i="84" s="1"/>
  <c r="AN58" i="84" s="1"/>
  <c r="AI81" i="84"/>
  <c r="AL81" i="84" s="1"/>
  <c r="AN81" i="84" s="1"/>
  <c r="AI117" i="84"/>
  <c r="AL117" i="84" s="1"/>
  <c r="AN117" i="84" s="1"/>
  <c r="AI67" i="84"/>
  <c r="AL67" i="84" s="1"/>
  <c r="AN67" i="84" s="1"/>
  <c r="AI101" i="84"/>
  <c r="AL101" i="84" s="1"/>
  <c r="AN101" i="84" s="1"/>
  <c r="AI48" i="84"/>
  <c r="AL48" i="84" s="1"/>
  <c r="AN48" i="84" s="1"/>
  <c r="AI62" i="84"/>
  <c r="AL62" i="84" s="1"/>
  <c r="AN62" i="84" s="1"/>
  <c r="AI69" i="84"/>
  <c r="AL69" i="84" s="1"/>
  <c r="AN69" i="84" s="1"/>
  <c r="AI90" i="84"/>
  <c r="AL90" i="84" s="1"/>
  <c r="AN90" i="84" s="1"/>
  <c r="AI70" i="84"/>
  <c r="AL70" i="84" s="1"/>
  <c r="AN70" i="84" s="1"/>
  <c r="AI108" i="84"/>
  <c r="AL108" i="84" s="1"/>
  <c r="AN108" i="84" s="1"/>
  <c r="AI105" i="84"/>
  <c r="AL105" i="84" s="1"/>
  <c r="AN105" i="84" s="1"/>
  <c r="AI114" i="84"/>
  <c r="AL114" i="84" s="1"/>
  <c r="AN114" i="84" s="1"/>
  <c r="AI116" i="84"/>
  <c r="AL116" i="84" s="1"/>
  <c r="AN116" i="84" s="1"/>
  <c r="AI50" i="84"/>
  <c r="AL50" i="84" s="1"/>
  <c r="AN50" i="84" s="1"/>
  <c r="AI89" i="84"/>
  <c r="AL89" i="84" s="1"/>
  <c r="AN89" i="84" s="1"/>
  <c r="AI102" i="84"/>
  <c r="AL102" i="84" s="1"/>
  <c r="AN102" i="84" s="1"/>
  <c r="AI118" i="84"/>
  <c r="AL118" i="84" s="1"/>
  <c r="AN118" i="84" s="1"/>
  <c r="AI119" i="84"/>
  <c r="AL119" i="84" s="1"/>
  <c r="AN119" i="84" s="1"/>
  <c r="AI128" i="84"/>
  <c r="AL128" i="84" s="1"/>
  <c r="AN128" i="84" s="1"/>
  <c r="AI125" i="84"/>
  <c r="AL125" i="84" s="1"/>
  <c r="AN125" i="84" s="1"/>
  <c r="AL57" i="79" l="1"/>
  <c r="AI57" i="79"/>
  <c r="AI56" i="79"/>
  <c r="G55" i="79"/>
  <c r="AI55" i="79" s="1"/>
  <c r="G54" i="79"/>
  <c r="AI54" i="79" s="1"/>
  <c r="AI53" i="79"/>
  <c r="AI52" i="79"/>
  <c r="G51" i="79"/>
  <c r="AI51" i="79" s="1"/>
  <c r="G50" i="79"/>
  <c r="AI50" i="79" s="1"/>
  <c r="AI49" i="79"/>
  <c r="AI48" i="79"/>
  <c r="AI47" i="79"/>
  <c r="AI46" i="79"/>
  <c r="D45" i="79"/>
  <c r="AI45" i="79" s="1"/>
  <c r="E44" i="79"/>
  <c r="AI44" i="79" s="1"/>
  <c r="AI43" i="79"/>
  <c r="AI42" i="79"/>
  <c r="D41" i="79"/>
  <c r="AI41" i="79" s="1"/>
  <c r="E40" i="79"/>
  <c r="AI40" i="79" s="1"/>
  <c r="AI39" i="79"/>
  <c r="AI38" i="79"/>
  <c r="D37" i="79"/>
  <c r="AI37" i="79" s="1"/>
  <c r="E36" i="79"/>
  <c r="AI36" i="79" s="1"/>
  <c r="AI35" i="79"/>
  <c r="AI34" i="79"/>
  <c r="AI33" i="79"/>
  <c r="AF32" i="79"/>
  <c r="AE32" i="79"/>
  <c r="AG31" i="79"/>
  <c r="AF31" i="79"/>
  <c r="AF30" i="79"/>
  <c r="AI30" i="79" s="1"/>
  <c r="AI29" i="79"/>
  <c r="AD28" i="79"/>
  <c r="D28" i="79"/>
  <c r="AI27" i="79"/>
  <c r="AI26" i="79"/>
  <c r="AI25" i="79"/>
  <c r="AI24" i="79"/>
  <c r="E23" i="79"/>
  <c r="AI23" i="79" s="1"/>
  <c r="AI22" i="79"/>
  <c r="AI21" i="79"/>
  <c r="I20" i="79"/>
  <c r="D20" i="79"/>
  <c r="AI19" i="79"/>
  <c r="AI18" i="79"/>
  <c r="E17" i="79"/>
  <c r="AI17" i="79" s="1"/>
  <c r="AI16" i="79"/>
  <c r="AI15" i="79"/>
  <c r="AI14" i="79"/>
  <c r="AI13" i="79"/>
  <c r="AK13" i="79" s="1"/>
  <c r="AM13" i="79" s="1"/>
  <c r="AO13" i="79" s="1"/>
  <c r="AQ13" i="79" s="1"/>
  <c r="AO12" i="79"/>
  <c r="AI12" i="79"/>
  <c r="AK12" i="79" s="1"/>
  <c r="AO11" i="79"/>
  <c r="AI11" i="79"/>
  <c r="AK11" i="79" s="1"/>
  <c r="E9" i="79"/>
  <c r="F9" i="79" s="1"/>
  <c r="G9" i="79" s="1"/>
  <c r="H9" i="79" s="1"/>
  <c r="I9" i="79" s="1"/>
  <c r="J9" i="79" s="1"/>
  <c r="K9" i="79" s="1"/>
  <c r="L9" i="79" s="1"/>
  <c r="M9" i="79" s="1"/>
  <c r="N9" i="79" s="1"/>
  <c r="O9" i="79" s="1"/>
  <c r="P9" i="79" s="1"/>
  <c r="Q9" i="79" s="1"/>
  <c r="R9" i="79" s="1"/>
  <c r="S9" i="79" s="1"/>
  <c r="T9" i="79" s="1"/>
  <c r="U9" i="79" s="1"/>
  <c r="V9" i="79" s="1"/>
  <c r="W9" i="79" s="1"/>
  <c r="X9" i="79" s="1"/>
  <c r="Y9" i="79" s="1"/>
  <c r="Z9" i="79" s="1"/>
  <c r="AA9" i="79" s="1"/>
  <c r="AB9" i="79" s="1"/>
  <c r="AC9" i="79" s="1"/>
  <c r="AD9" i="79" s="1"/>
  <c r="AE9" i="79" s="1"/>
  <c r="AF9" i="79" s="1"/>
  <c r="AG9" i="79" s="1"/>
  <c r="AH9" i="79" s="1"/>
  <c r="B5" i="79"/>
  <c r="AL146" i="78"/>
  <c r="AM146" i="78" s="1"/>
  <c r="AI145" i="78"/>
  <c r="AK145" i="78" s="1"/>
  <c r="AM145" i="78" s="1"/>
  <c r="AI144" i="78"/>
  <c r="AK144" i="78" s="1"/>
  <c r="AM144" i="78" s="1"/>
  <c r="AI143" i="78"/>
  <c r="AK143" i="78" s="1"/>
  <c r="AM143" i="78" s="1"/>
  <c r="AI142" i="78"/>
  <c r="AK142" i="78" s="1"/>
  <c r="AM142" i="78" s="1"/>
  <c r="AI141" i="78"/>
  <c r="AK141" i="78" s="1"/>
  <c r="AM141" i="78" s="1"/>
  <c r="AI140" i="78"/>
  <c r="AK140" i="78" s="1"/>
  <c r="AM140" i="78" s="1"/>
  <c r="AI139" i="78"/>
  <c r="AK139" i="78" s="1"/>
  <c r="AM139" i="78" s="1"/>
  <c r="AI138" i="78"/>
  <c r="AK138" i="78" s="1"/>
  <c r="AM138" i="78" s="1"/>
  <c r="AI137" i="78"/>
  <c r="AK137" i="78" s="1"/>
  <c r="AM137" i="78" s="1"/>
  <c r="AI136" i="78"/>
  <c r="AK136" i="78" s="1"/>
  <c r="AM136" i="78" s="1"/>
  <c r="AI135" i="78"/>
  <c r="AK135" i="78" s="1"/>
  <c r="AM135" i="78" s="1"/>
  <c r="AI134" i="78"/>
  <c r="AK134" i="78" s="1"/>
  <c r="AM134" i="78" s="1"/>
  <c r="AI133" i="78"/>
  <c r="AK133" i="78" s="1"/>
  <c r="AM133" i="78" s="1"/>
  <c r="AI132" i="78"/>
  <c r="AK132" i="78" s="1"/>
  <c r="AM132" i="78" s="1"/>
  <c r="AI131" i="78"/>
  <c r="AK131" i="78" s="1"/>
  <c r="AM131" i="78" s="1"/>
  <c r="AI130" i="78"/>
  <c r="AK130" i="78" s="1"/>
  <c r="AM130" i="78" s="1"/>
  <c r="AI129" i="78"/>
  <c r="AK129" i="78" s="1"/>
  <c r="AM129" i="78" s="1"/>
  <c r="AI128" i="78"/>
  <c r="AK128" i="78" s="1"/>
  <c r="AM128" i="78" s="1"/>
  <c r="AI127" i="78"/>
  <c r="AK127" i="78" s="1"/>
  <c r="AM127" i="78" s="1"/>
  <c r="AI126" i="78"/>
  <c r="AK126" i="78" s="1"/>
  <c r="AM126" i="78" s="1"/>
  <c r="AI125" i="78"/>
  <c r="AK125" i="78" s="1"/>
  <c r="AM125" i="78" s="1"/>
  <c r="AI124" i="78"/>
  <c r="AK124" i="78" s="1"/>
  <c r="AM124" i="78" s="1"/>
  <c r="AI123" i="78"/>
  <c r="AK123" i="78" s="1"/>
  <c r="AM123" i="78" s="1"/>
  <c r="AI122" i="78"/>
  <c r="AK122" i="78" s="1"/>
  <c r="AM122" i="78" s="1"/>
  <c r="AI121" i="78"/>
  <c r="AK121" i="78" s="1"/>
  <c r="AM121" i="78" s="1"/>
  <c r="AI120" i="78"/>
  <c r="AK120" i="78" s="1"/>
  <c r="AM120" i="78" s="1"/>
  <c r="AI119" i="78"/>
  <c r="AK119" i="78" s="1"/>
  <c r="AM119" i="78" s="1"/>
  <c r="AI118" i="78"/>
  <c r="AK118" i="78" s="1"/>
  <c r="AM118" i="78" s="1"/>
  <c r="AI117" i="78"/>
  <c r="AK117" i="78" s="1"/>
  <c r="AM117" i="78" s="1"/>
  <c r="AI116" i="78"/>
  <c r="AK116" i="78" s="1"/>
  <c r="AM116" i="78" s="1"/>
  <c r="AI115" i="78"/>
  <c r="AK115" i="78" s="1"/>
  <c r="AM115" i="78" s="1"/>
  <c r="AI114" i="78"/>
  <c r="AK114" i="78" s="1"/>
  <c r="AM114" i="78" s="1"/>
  <c r="AI113" i="78"/>
  <c r="AK113" i="78" s="1"/>
  <c r="AM113" i="78" s="1"/>
  <c r="AI112" i="78"/>
  <c r="AK112" i="78" s="1"/>
  <c r="AM112" i="78" s="1"/>
  <c r="AI111" i="78"/>
  <c r="AK111" i="78" s="1"/>
  <c r="AM111" i="78" s="1"/>
  <c r="AI110" i="78"/>
  <c r="AK110" i="78" s="1"/>
  <c r="AM110" i="78" s="1"/>
  <c r="AI109" i="78"/>
  <c r="AK109" i="78" s="1"/>
  <c r="AM109" i="78" s="1"/>
  <c r="AI108" i="78"/>
  <c r="AK108" i="78" s="1"/>
  <c r="AM108" i="78" s="1"/>
  <c r="AI107" i="78"/>
  <c r="AK107" i="78" s="1"/>
  <c r="AM107" i="78" s="1"/>
  <c r="AI106" i="78"/>
  <c r="AK106" i="78" s="1"/>
  <c r="AM106" i="78" s="1"/>
  <c r="AI105" i="78"/>
  <c r="AK105" i="78" s="1"/>
  <c r="AM105" i="78" s="1"/>
  <c r="AI104" i="78"/>
  <c r="AK104" i="78" s="1"/>
  <c r="AM104" i="78" s="1"/>
  <c r="AI103" i="78"/>
  <c r="AK103" i="78" s="1"/>
  <c r="AM103" i="78" s="1"/>
  <c r="AI102" i="78"/>
  <c r="AK102" i="78" s="1"/>
  <c r="AM102" i="78" s="1"/>
  <c r="AI101" i="78"/>
  <c r="AK101" i="78" s="1"/>
  <c r="AM101" i="78" s="1"/>
  <c r="AI100" i="78"/>
  <c r="AK100" i="78" s="1"/>
  <c r="AM100" i="78" s="1"/>
  <c r="AI99" i="78"/>
  <c r="AK99" i="78" s="1"/>
  <c r="AM99" i="78" s="1"/>
  <c r="AI98" i="78"/>
  <c r="AK98" i="78" s="1"/>
  <c r="AM98" i="78" s="1"/>
  <c r="AI97" i="78"/>
  <c r="AK97" i="78" s="1"/>
  <c r="AM97" i="78" s="1"/>
  <c r="AI96" i="78"/>
  <c r="AK96" i="78" s="1"/>
  <c r="AM96" i="78" s="1"/>
  <c r="AI95" i="78"/>
  <c r="AK95" i="78" s="1"/>
  <c r="AM95" i="78" s="1"/>
  <c r="AI94" i="78"/>
  <c r="AK94" i="78" s="1"/>
  <c r="AM94" i="78" s="1"/>
  <c r="AI93" i="78"/>
  <c r="AK93" i="78" s="1"/>
  <c r="AM93" i="78" s="1"/>
  <c r="AI92" i="78"/>
  <c r="AK92" i="78" s="1"/>
  <c r="AM92" i="78" s="1"/>
  <c r="AI91" i="78"/>
  <c r="AK91" i="78" s="1"/>
  <c r="AM91" i="78" s="1"/>
  <c r="AI90" i="78"/>
  <c r="AK90" i="78" s="1"/>
  <c r="AM90" i="78" s="1"/>
  <c r="AI89" i="78"/>
  <c r="AK89" i="78" s="1"/>
  <c r="AM89" i="78" s="1"/>
  <c r="AI88" i="78"/>
  <c r="AK88" i="78" s="1"/>
  <c r="AM88" i="78" s="1"/>
  <c r="AI87" i="78"/>
  <c r="AK87" i="78" s="1"/>
  <c r="AM87" i="78" s="1"/>
  <c r="AI86" i="78"/>
  <c r="AK86" i="78" s="1"/>
  <c r="AM86" i="78" s="1"/>
  <c r="AI85" i="78"/>
  <c r="AK85" i="78" s="1"/>
  <c r="AM85" i="78" s="1"/>
  <c r="AI84" i="78"/>
  <c r="AK84" i="78" s="1"/>
  <c r="AM84" i="78" s="1"/>
  <c r="AI83" i="78"/>
  <c r="AK83" i="78" s="1"/>
  <c r="AM83" i="78" s="1"/>
  <c r="AI82" i="78"/>
  <c r="AK82" i="78" s="1"/>
  <c r="AM82" i="78" s="1"/>
  <c r="AI81" i="78"/>
  <c r="AK81" i="78" s="1"/>
  <c r="AM81" i="78" s="1"/>
  <c r="AI80" i="78"/>
  <c r="AK80" i="78" s="1"/>
  <c r="AM80" i="78" s="1"/>
  <c r="AI79" i="78"/>
  <c r="AK79" i="78" s="1"/>
  <c r="AM79" i="78" s="1"/>
  <c r="AI78" i="78"/>
  <c r="AK78" i="78" s="1"/>
  <c r="AM78" i="78" s="1"/>
  <c r="AI77" i="78"/>
  <c r="AK77" i="78" s="1"/>
  <c r="AM77" i="78" s="1"/>
  <c r="AI76" i="78"/>
  <c r="AK76" i="78" s="1"/>
  <c r="AM76" i="78" s="1"/>
  <c r="AI75" i="78"/>
  <c r="AK75" i="78" s="1"/>
  <c r="AM75" i="78" s="1"/>
  <c r="AI74" i="78"/>
  <c r="AK74" i="78" s="1"/>
  <c r="AM74" i="78" s="1"/>
  <c r="AI73" i="78"/>
  <c r="AK73" i="78" s="1"/>
  <c r="AM73" i="78" s="1"/>
  <c r="AI72" i="78"/>
  <c r="AK72" i="78" s="1"/>
  <c r="AM72" i="78" s="1"/>
  <c r="AI71" i="78"/>
  <c r="AK71" i="78" s="1"/>
  <c r="AM71" i="78" s="1"/>
  <c r="AI70" i="78"/>
  <c r="AK70" i="78" s="1"/>
  <c r="AM70" i="78" s="1"/>
  <c r="AI69" i="78"/>
  <c r="AK69" i="78" s="1"/>
  <c r="AM69" i="78" s="1"/>
  <c r="K68" i="78"/>
  <c r="AI68" i="78" s="1"/>
  <c r="AK68" i="78" s="1"/>
  <c r="AM68" i="78" s="1"/>
  <c r="K67" i="78"/>
  <c r="J67" i="78"/>
  <c r="AI66" i="78"/>
  <c r="AK66" i="78" s="1"/>
  <c r="AM66" i="78" s="1"/>
  <c r="AI65" i="78"/>
  <c r="AK65" i="78" s="1"/>
  <c r="AM65" i="78" s="1"/>
  <c r="W64" i="78"/>
  <c r="V64" i="78"/>
  <c r="AI63" i="78"/>
  <c r="AK63" i="78" s="1"/>
  <c r="AM63" i="78" s="1"/>
  <c r="AI62" i="78"/>
  <c r="AK62" i="78" s="1"/>
  <c r="AM62" i="78" s="1"/>
  <c r="AI61" i="78"/>
  <c r="AK61" i="78" s="1"/>
  <c r="AM61" i="78" s="1"/>
  <c r="E60" i="78"/>
  <c r="AI60" i="78" s="1"/>
  <c r="AK60" i="78" s="1"/>
  <c r="AM60" i="78" s="1"/>
  <c r="AI59" i="78"/>
  <c r="AK59" i="78" s="1"/>
  <c r="AM59" i="78" s="1"/>
  <c r="AI58" i="78"/>
  <c r="AK58" i="78" s="1"/>
  <c r="AM58" i="78" s="1"/>
  <c r="AI57" i="78"/>
  <c r="AK57" i="78" s="1"/>
  <c r="AM57" i="78" s="1"/>
  <c r="AI56" i="78"/>
  <c r="AK56" i="78" s="1"/>
  <c r="AM56" i="78" s="1"/>
  <c r="AI55" i="78"/>
  <c r="AK55" i="78" s="1"/>
  <c r="AM55" i="78" s="1"/>
  <c r="AI54" i="78"/>
  <c r="AK54" i="78" s="1"/>
  <c r="AM54" i="78" s="1"/>
  <c r="AI53" i="78"/>
  <c r="AK53" i="78" s="1"/>
  <c r="AM53" i="78" s="1"/>
  <c r="AI52" i="78"/>
  <c r="AK52" i="78" s="1"/>
  <c r="AM52" i="78" s="1"/>
  <c r="AI51" i="78"/>
  <c r="AK51" i="78" s="1"/>
  <c r="AM51" i="78" s="1"/>
  <c r="AI50" i="78"/>
  <c r="AK50" i="78" s="1"/>
  <c r="AM50" i="78" s="1"/>
  <c r="AI49" i="78"/>
  <c r="AK49" i="78" s="1"/>
  <c r="AM49" i="78" s="1"/>
  <c r="AI48" i="78"/>
  <c r="AK48" i="78" s="1"/>
  <c r="AM48" i="78" s="1"/>
  <c r="AI47" i="78"/>
  <c r="AK47" i="78" s="1"/>
  <c r="AM47" i="78" s="1"/>
  <c r="AI46" i="78"/>
  <c r="AK46" i="78" s="1"/>
  <c r="AM46" i="78" s="1"/>
  <c r="AI45" i="78"/>
  <c r="AK45" i="78" s="1"/>
  <c r="AM45" i="78" s="1"/>
  <c r="AI44" i="78"/>
  <c r="AK44" i="78" s="1"/>
  <c r="AM44" i="78" s="1"/>
  <c r="AI43" i="78"/>
  <c r="AK43" i="78" s="1"/>
  <c r="AM43" i="78" s="1"/>
  <c r="AI42" i="78"/>
  <c r="AK42" i="78" s="1"/>
  <c r="AM42" i="78" s="1"/>
  <c r="X41" i="78"/>
  <c r="AI41" i="78" s="1"/>
  <c r="AK41" i="78" s="1"/>
  <c r="AM41" i="78" s="1"/>
  <c r="AI40" i="78"/>
  <c r="AK40" i="78" s="1"/>
  <c r="AM40" i="78" s="1"/>
  <c r="AI39" i="78"/>
  <c r="AK39" i="78" s="1"/>
  <c r="AM39" i="78" s="1"/>
  <c r="AI38" i="78"/>
  <c r="AK38" i="78" s="1"/>
  <c r="AM38" i="78" s="1"/>
  <c r="AI37" i="78"/>
  <c r="AK37" i="78" s="1"/>
  <c r="AM37" i="78" s="1"/>
  <c r="AI36" i="78"/>
  <c r="AK36" i="78" s="1"/>
  <c r="AM36" i="78" s="1"/>
  <c r="AI35" i="78"/>
  <c r="AK35" i="78" s="1"/>
  <c r="AM35" i="78" s="1"/>
  <c r="AG34" i="78"/>
  <c r="Z34" i="78"/>
  <c r="Y34" i="78"/>
  <c r="O34" i="78"/>
  <c r="K34" i="78"/>
  <c r="AI33" i="78"/>
  <c r="AK33" i="78" s="1"/>
  <c r="AM33" i="78" s="1"/>
  <c r="AI32" i="78"/>
  <c r="AK32" i="78" s="1"/>
  <c r="AM32" i="78" s="1"/>
  <c r="AI31" i="78"/>
  <c r="AK31" i="78" s="1"/>
  <c r="AM31" i="78" s="1"/>
  <c r="AI30" i="78"/>
  <c r="AK30" i="78" s="1"/>
  <c r="AM30" i="78" s="1"/>
  <c r="AI29" i="78"/>
  <c r="AK29" i="78" s="1"/>
  <c r="AM29" i="78" s="1"/>
  <c r="AI28" i="78"/>
  <c r="AK28" i="78" s="1"/>
  <c r="AM28" i="78" s="1"/>
  <c r="X27" i="78"/>
  <c r="AI27" i="78" s="1"/>
  <c r="AK27" i="78" s="1"/>
  <c r="AM27" i="78" s="1"/>
  <c r="AI26" i="78"/>
  <c r="AK26" i="78" s="1"/>
  <c r="AM26" i="78" s="1"/>
  <c r="AI25" i="78"/>
  <c r="AK25" i="78" s="1"/>
  <c r="AM25" i="78" s="1"/>
  <c r="AI24" i="78"/>
  <c r="AK24" i="78" s="1"/>
  <c r="AM24" i="78" s="1"/>
  <c r="AI23" i="78"/>
  <c r="AK23" i="78" s="1"/>
  <c r="AM23" i="78" s="1"/>
  <c r="AI22" i="78"/>
  <c r="AK22" i="78" s="1"/>
  <c r="AM22" i="78" s="1"/>
  <c r="AI21" i="78"/>
  <c r="AK21" i="78" s="1"/>
  <c r="AM21" i="78" s="1"/>
  <c r="AI20" i="78"/>
  <c r="AK20" i="78" s="1"/>
  <c r="AM20" i="78" s="1"/>
  <c r="AI19" i="78"/>
  <c r="AK19" i="78" s="1"/>
  <c r="AM19" i="78" s="1"/>
  <c r="AI18" i="78"/>
  <c r="AK18" i="78" s="1"/>
  <c r="AM18" i="78" s="1"/>
  <c r="AI17" i="78"/>
  <c r="AK17" i="78" s="1"/>
  <c r="AM17" i="78" s="1"/>
  <c r="AI16" i="78"/>
  <c r="AK16" i="78" s="1"/>
  <c r="AM16" i="78" s="1"/>
  <c r="AI15" i="78"/>
  <c r="AK15" i="78" s="1"/>
  <c r="AM15" i="78" s="1"/>
  <c r="AI14" i="78"/>
  <c r="AK14" i="78" s="1"/>
  <c r="AM14" i="78" s="1"/>
  <c r="AO13" i="78"/>
  <c r="K13" i="78"/>
  <c r="J13" i="78"/>
  <c r="I13" i="78"/>
  <c r="AI12" i="78"/>
  <c r="AI11" i="78"/>
  <c r="E9" i="78"/>
  <c r="F9" i="78" s="1"/>
  <c r="G9" i="78" s="1"/>
  <c r="H9" i="78" s="1"/>
  <c r="I9" i="78" s="1"/>
  <c r="J9" i="78" s="1"/>
  <c r="K9" i="78" s="1"/>
  <c r="L9" i="78" s="1"/>
  <c r="M9" i="78" s="1"/>
  <c r="N9" i="78" s="1"/>
  <c r="O9" i="78" s="1"/>
  <c r="P9" i="78" s="1"/>
  <c r="Q9" i="78" s="1"/>
  <c r="R9" i="78" s="1"/>
  <c r="S9" i="78" s="1"/>
  <c r="T9" i="78" s="1"/>
  <c r="U9" i="78" s="1"/>
  <c r="V9" i="78" s="1"/>
  <c r="W9" i="78" s="1"/>
  <c r="X9" i="78" s="1"/>
  <c r="Y9" i="78" s="1"/>
  <c r="Z9" i="78" s="1"/>
  <c r="AA9" i="78" s="1"/>
  <c r="AB9" i="78" s="1"/>
  <c r="AC9" i="78" s="1"/>
  <c r="AD9" i="78" s="1"/>
  <c r="AE9" i="78" s="1"/>
  <c r="AF9" i="78" s="1"/>
  <c r="AG9" i="78" s="1"/>
  <c r="AH9" i="78" s="1"/>
  <c r="B5" i="78"/>
  <c r="AI12" i="77"/>
  <c r="AK12" i="77" s="1"/>
  <c r="AM12" i="77" s="1"/>
  <c r="L152" i="77"/>
  <c r="AI152" i="77" s="1"/>
  <c r="AJ152" i="77" s="1"/>
  <c r="AL146" i="77"/>
  <c r="AM146" i="77" s="1"/>
  <c r="AI146" i="77"/>
  <c r="AI145" i="77"/>
  <c r="AK145" i="77" s="1"/>
  <c r="AM145" i="77" s="1"/>
  <c r="AI144" i="77"/>
  <c r="AK144" i="77" s="1"/>
  <c r="AM144" i="77" s="1"/>
  <c r="AI143" i="77"/>
  <c r="AK143" i="77" s="1"/>
  <c r="AM143" i="77" s="1"/>
  <c r="AI142" i="77"/>
  <c r="AK142" i="77" s="1"/>
  <c r="AM142" i="77" s="1"/>
  <c r="I141" i="77"/>
  <c r="H141" i="77"/>
  <c r="E141" i="77"/>
  <c r="D141" i="77"/>
  <c r="K140" i="77"/>
  <c r="J140" i="77"/>
  <c r="E140" i="77"/>
  <c r="D140" i="77"/>
  <c r="I139" i="77"/>
  <c r="E139" i="77"/>
  <c r="D139" i="77"/>
  <c r="AI138" i="77"/>
  <c r="AK138" i="77" s="1"/>
  <c r="AM138" i="77" s="1"/>
  <c r="AI137" i="77"/>
  <c r="AK137" i="77" s="1"/>
  <c r="AM137" i="77" s="1"/>
  <c r="AI136" i="77"/>
  <c r="AK136" i="77" s="1"/>
  <c r="AM136" i="77" s="1"/>
  <c r="AI135" i="77"/>
  <c r="AK135" i="77" s="1"/>
  <c r="AM135" i="77" s="1"/>
  <c r="AI134" i="77"/>
  <c r="AK134" i="77" s="1"/>
  <c r="AM134" i="77" s="1"/>
  <c r="AG133" i="77"/>
  <c r="AF133" i="77"/>
  <c r="AD133" i="77"/>
  <c r="AC133" i="77"/>
  <c r="AB133" i="77"/>
  <c r="Y133" i="77"/>
  <c r="AI132" i="77"/>
  <c r="AK132" i="77" s="1"/>
  <c r="AM132" i="77" s="1"/>
  <c r="AE131" i="77"/>
  <c r="AD131" i="77"/>
  <c r="AC131" i="77"/>
  <c r="AB131" i="77"/>
  <c r="AI130" i="77"/>
  <c r="AK130" i="77" s="1"/>
  <c r="AM130" i="77" s="1"/>
  <c r="O129" i="77"/>
  <c r="N129" i="77"/>
  <c r="L129" i="77"/>
  <c r="K129" i="77"/>
  <c r="J129" i="77"/>
  <c r="H129" i="77"/>
  <c r="AI128" i="77"/>
  <c r="AK128" i="77" s="1"/>
  <c r="AM128" i="77" s="1"/>
  <c r="AI127" i="77"/>
  <c r="AK127" i="77" s="1"/>
  <c r="AM127" i="77" s="1"/>
  <c r="U126" i="77"/>
  <c r="S126" i="77"/>
  <c r="O126" i="77"/>
  <c r="N126" i="77"/>
  <c r="AI125" i="77"/>
  <c r="AK125" i="77" s="1"/>
  <c r="AM125" i="77" s="1"/>
  <c r="X124" i="77"/>
  <c r="U124" i="77"/>
  <c r="R124" i="77"/>
  <c r="AI123" i="77"/>
  <c r="AK123" i="77" s="1"/>
  <c r="AM123" i="77" s="1"/>
  <c r="O122" i="77"/>
  <c r="AI122" i="77" s="1"/>
  <c r="AK122" i="77" s="1"/>
  <c r="AM122" i="77" s="1"/>
  <c r="AI121" i="77"/>
  <c r="AK121" i="77" s="1"/>
  <c r="AM121" i="77" s="1"/>
  <c r="AI120" i="77"/>
  <c r="AK120" i="77" s="1"/>
  <c r="AM120" i="77" s="1"/>
  <c r="AI119" i="77"/>
  <c r="AK119" i="77" s="1"/>
  <c r="AM119" i="77" s="1"/>
  <c r="AE118" i="77"/>
  <c r="AI118" i="77" s="1"/>
  <c r="AK118" i="77" s="1"/>
  <c r="AM118" i="77" s="1"/>
  <c r="AF117" i="77"/>
  <c r="S117" i="77"/>
  <c r="AI116" i="77"/>
  <c r="AK116" i="77" s="1"/>
  <c r="AM116" i="77" s="1"/>
  <c r="AD115" i="77"/>
  <c r="S115" i="77"/>
  <c r="AI114" i="77"/>
  <c r="AK114" i="77" s="1"/>
  <c r="AM114" i="77" s="1"/>
  <c r="AI113" i="77"/>
  <c r="AK113" i="77" s="1"/>
  <c r="AM113" i="77" s="1"/>
  <c r="AI112" i="77"/>
  <c r="AK112" i="77" s="1"/>
  <c r="AM112" i="77" s="1"/>
  <c r="AI111" i="77"/>
  <c r="AK111" i="77" s="1"/>
  <c r="AM111" i="77" s="1"/>
  <c r="Z110" i="77"/>
  <c r="AI110" i="77" s="1"/>
  <c r="AK110" i="77" s="1"/>
  <c r="AM110" i="77" s="1"/>
  <c r="AD109" i="77"/>
  <c r="I109" i="77"/>
  <c r="AE108" i="77"/>
  <c r="J108" i="77"/>
  <c r="H108" i="77"/>
  <c r="AI107" i="77"/>
  <c r="AK107" i="77" s="1"/>
  <c r="AM107" i="77" s="1"/>
  <c r="AG106" i="77"/>
  <c r="Z106" i="77"/>
  <c r="Y106" i="77"/>
  <c r="D106" i="77"/>
  <c r="AI105" i="77"/>
  <c r="AK105" i="77" s="1"/>
  <c r="AM105" i="77" s="1"/>
  <c r="AI104" i="77"/>
  <c r="AK104" i="77" s="1"/>
  <c r="AM104" i="77" s="1"/>
  <c r="K103" i="77"/>
  <c r="AI103" i="77" s="1"/>
  <c r="AK103" i="77" s="1"/>
  <c r="AM103" i="77" s="1"/>
  <c r="K102" i="77"/>
  <c r="AI102" i="77" s="1"/>
  <c r="AK102" i="77" s="1"/>
  <c r="AM102" i="77" s="1"/>
  <c r="AI101" i="77"/>
  <c r="AK101" i="77" s="1"/>
  <c r="AM101" i="77" s="1"/>
  <c r="AI100" i="77"/>
  <c r="AK100" i="77" s="1"/>
  <c r="AM100" i="77" s="1"/>
  <c r="X99" i="77"/>
  <c r="E99" i="77"/>
  <c r="AI98" i="77"/>
  <c r="AK98" i="77" s="1"/>
  <c r="AM98" i="77" s="1"/>
  <c r="AI97" i="77"/>
  <c r="AK97" i="77" s="1"/>
  <c r="AM97" i="77" s="1"/>
  <c r="AI96" i="77"/>
  <c r="AK96" i="77" s="1"/>
  <c r="AM96" i="77" s="1"/>
  <c r="AI95" i="77"/>
  <c r="AK95" i="77" s="1"/>
  <c r="AM95" i="77" s="1"/>
  <c r="AI94" i="77"/>
  <c r="AK94" i="77" s="1"/>
  <c r="AM94" i="77" s="1"/>
  <c r="AC93" i="77"/>
  <c r="AB93" i="77"/>
  <c r="AC92" i="77"/>
  <c r="AB92" i="77"/>
  <c r="AC91" i="77"/>
  <c r="AI91" i="77" s="1"/>
  <c r="AK91" i="77" s="1"/>
  <c r="AM91" i="77" s="1"/>
  <c r="AI90" i="77"/>
  <c r="AK90" i="77" s="1"/>
  <c r="AM90" i="77" s="1"/>
  <c r="AI89" i="77"/>
  <c r="AK89" i="77" s="1"/>
  <c r="AM89" i="77" s="1"/>
  <c r="Y88" i="77"/>
  <c r="X88" i="77"/>
  <c r="R88" i="77"/>
  <c r="O88" i="77"/>
  <c r="AC87" i="77"/>
  <c r="O87" i="77"/>
  <c r="AI86" i="77"/>
  <c r="AK86" i="77" s="1"/>
  <c r="AM86" i="77" s="1"/>
  <c r="E85" i="77"/>
  <c r="AI85" i="77" s="1"/>
  <c r="AK85" i="77" s="1"/>
  <c r="AM85" i="77" s="1"/>
  <c r="J84" i="77"/>
  <c r="AI84" i="77" s="1"/>
  <c r="AK84" i="77" s="1"/>
  <c r="AM84" i="77" s="1"/>
  <c r="J83" i="77"/>
  <c r="AI83" i="77" s="1"/>
  <c r="AK83" i="77" s="1"/>
  <c r="AM83" i="77" s="1"/>
  <c r="AI82" i="77"/>
  <c r="AK82" i="77" s="1"/>
  <c r="AM82" i="77" s="1"/>
  <c r="G81" i="77"/>
  <c r="AI81" i="77" s="1"/>
  <c r="AK81" i="77" s="1"/>
  <c r="AM81" i="77" s="1"/>
  <c r="H80" i="77"/>
  <c r="G80" i="77"/>
  <c r="I79" i="77"/>
  <c r="G79" i="77"/>
  <c r="AI78" i="77"/>
  <c r="AK78" i="77" s="1"/>
  <c r="AM78" i="77" s="1"/>
  <c r="E77" i="77"/>
  <c r="AI77" i="77" s="1"/>
  <c r="AK77" i="77" s="1"/>
  <c r="AM77" i="77" s="1"/>
  <c r="E76" i="77"/>
  <c r="AI76" i="77" s="1"/>
  <c r="AK76" i="77" s="1"/>
  <c r="AM76" i="77" s="1"/>
  <c r="AI75" i="77"/>
  <c r="AK75" i="77" s="1"/>
  <c r="AM75" i="77" s="1"/>
  <c r="AI74" i="77"/>
  <c r="AK74" i="77" s="1"/>
  <c r="AM74" i="77" s="1"/>
  <c r="D73" i="77"/>
  <c r="AI73" i="77" s="1"/>
  <c r="AK73" i="77" s="1"/>
  <c r="AM73" i="77" s="1"/>
  <c r="D72" i="77"/>
  <c r="AI72" i="77" s="1"/>
  <c r="AK72" i="77" s="1"/>
  <c r="AM72" i="77" s="1"/>
  <c r="AI71" i="77"/>
  <c r="AK71" i="77" s="1"/>
  <c r="AM71" i="77" s="1"/>
  <c r="L70" i="77"/>
  <c r="K70" i="77"/>
  <c r="J70" i="77"/>
  <c r="R69" i="77"/>
  <c r="H69" i="77"/>
  <c r="D68" i="77"/>
  <c r="AI68" i="77" s="1"/>
  <c r="AK68" i="77" s="1"/>
  <c r="AM68" i="77" s="1"/>
  <c r="D67" i="77"/>
  <c r="AI67" i="77" s="1"/>
  <c r="AK67" i="77" s="1"/>
  <c r="AM67" i="77" s="1"/>
  <c r="AI66" i="77"/>
  <c r="AK66" i="77" s="1"/>
  <c r="AM66" i="77" s="1"/>
  <c r="AI65" i="77"/>
  <c r="AK65" i="77" s="1"/>
  <c r="AM65" i="77" s="1"/>
  <c r="AI64" i="77"/>
  <c r="AK64" i="77" s="1"/>
  <c r="AM64" i="77" s="1"/>
  <c r="AI63" i="77"/>
  <c r="AK63" i="77" s="1"/>
  <c r="AM63" i="77" s="1"/>
  <c r="AD62" i="77"/>
  <c r="AI62" i="77" s="1"/>
  <c r="AK62" i="77" s="1"/>
  <c r="AM62" i="77" s="1"/>
  <c r="AF61" i="77"/>
  <c r="AE61" i="77"/>
  <c r="AF60" i="77"/>
  <c r="AI60" i="77" s="1"/>
  <c r="AK60" i="77" s="1"/>
  <c r="AM60" i="77" s="1"/>
  <c r="AI59" i="77"/>
  <c r="AK59" i="77" s="1"/>
  <c r="AM59" i="77" s="1"/>
  <c r="AI58" i="77"/>
  <c r="AK58" i="77" s="1"/>
  <c r="AM58" i="77" s="1"/>
  <c r="AF57" i="77"/>
  <c r="AI57" i="77" s="1"/>
  <c r="AK57" i="77" s="1"/>
  <c r="AM57" i="77" s="1"/>
  <c r="AF56" i="77"/>
  <c r="AI56" i="77" s="1"/>
  <c r="AK56" i="77" s="1"/>
  <c r="AM56" i="77" s="1"/>
  <c r="AE55" i="77"/>
  <c r="AI55" i="77" s="1"/>
  <c r="AK55" i="77" s="1"/>
  <c r="AM55" i="77" s="1"/>
  <c r="AI54" i="77"/>
  <c r="AK54" i="77" s="1"/>
  <c r="AM54" i="77" s="1"/>
  <c r="O53" i="77"/>
  <c r="AI53" i="77" s="1"/>
  <c r="AK53" i="77" s="1"/>
  <c r="AM53" i="77" s="1"/>
  <c r="AI52" i="77"/>
  <c r="AK52" i="77" s="1"/>
  <c r="AM52" i="77" s="1"/>
  <c r="AI51" i="77"/>
  <c r="AK51" i="77" s="1"/>
  <c r="AM51" i="77" s="1"/>
  <c r="AI50" i="77"/>
  <c r="AK50" i="77" s="1"/>
  <c r="AM50" i="77" s="1"/>
  <c r="AI49" i="77"/>
  <c r="AK49" i="77" s="1"/>
  <c r="AM49" i="77" s="1"/>
  <c r="AI48" i="77"/>
  <c r="AK48" i="77" s="1"/>
  <c r="AM48" i="77" s="1"/>
  <c r="U47" i="77"/>
  <c r="O47" i="77"/>
  <c r="N47" i="77"/>
  <c r="L47" i="77"/>
  <c r="K47" i="77"/>
  <c r="AE46" i="77"/>
  <c r="AD46" i="77"/>
  <c r="U46" i="77"/>
  <c r="O46" i="77"/>
  <c r="N46" i="77"/>
  <c r="L46" i="77"/>
  <c r="K46" i="77"/>
  <c r="AD45" i="77"/>
  <c r="U45" i="77"/>
  <c r="O45" i="77"/>
  <c r="N45" i="77"/>
  <c r="K45" i="77"/>
  <c r="AI44" i="77"/>
  <c r="AK44" i="77" s="1"/>
  <c r="AM44" i="77" s="1"/>
  <c r="AI43" i="77"/>
  <c r="AK43" i="77" s="1"/>
  <c r="AM43" i="77" s="1"/>
  <c r="Y42" i="77"/>
  <c r="AI42" i="77" s="1"/>
  <c r="AK42" i="77" s="1"/>
  <c r="AM42" i="77" s="1"/>
  <c r="AI41" i="77"/>
  <c r="AK41" i="77" s="1"/>
  <c r="AM41" i="77" s="1"/>
  <c r="AI40" i="77"/>
  <c r="AK40" i="77" s="1"/>
  <c r="AM40" i="77" s="1"/>
  <c r="AI39" i="77"/>
  <c r="AK39" i="77" s="1"/>
  <c r="AM39" i="77" s="1"/>
  <c r="AI38" i="77"/>
  <c r="AK38" i="77" s="1"/>
  <c r="AM38" i="77" s="1"/>
  <c r="AI37" i="77"/>
  <c r="AK37" i="77" s="1"/>
  <c r="AM37" i="77" s="1"/>
  <c r="AI36" i="77"/>
  <c r="AK36" i="77" s="1"/>
  <c r="AM36" i="77" s="1"/>
  <c r="X35" i="77"/>
  <c r="AI35" i="77" s="1"/>
  <c r="AK35" i="77" s="1"/>
  <c r="AM35" i="77" s="1"/>
  <c r="W34" i="77"/>
  <c r="V34" i="77"/>
  <c r="AB33" i="77"/>
  <c r="AI33" i="77" s="1"/>
  <c r="AK33" i="77" s="1"/>
  <c r="AM33" i="77" s="1"/>
  <c r="AI32" i="77"/>
  <c r="AK32" i="77" s="1"/>
  <c r="AM32" i="77" s="1"/>
  <c r="V31" i="77"/>
  <c r="AI31" i="77" s="1"/>
  <c r="AK31" i="77" s="1"/>
  <c r="AM31" i="77" s="1"/>
  <c r="V30" i="77"/>
  <c r="AI30" i="77" s="1"/>
  <c r="AK30" i="77" s="1"/>
  <c r="AM30" i="77" s="1"/>
  <c r="AB29" i="77"/>
  <c r="V29" i="77"/>
  <c r="AI28" i="77"/>
  <c r="AK28" i="77" s="1"/>
  <c r="AM28" i="77" s="1"/>
  <c r="J27" i="77"/>
  <c r="AI27" i="77" s="1"/>
  <c r="AK27" i="77" s="1"/>
  <c r="AM27" i="77" s="1"/>
  <c r="AB26" i="77"/>
  <c r="U26" i="77"/>
  <c r="AB25" i="77"/>
  <c r="U25" i="77"/>
  <c r="AI24" i="77"/>
  <c r="AK24" i="77" s="1"/>
  <c r="AM24" i="77" s="1"/>
  <c r="K23" i="77"/>
  <c r="AI23" i="77" s="1"/>
  <c r="AK23" i="77" s="1"/>
  <c r="AM23" i="77" s="1"/>
  <c r="AI22" i="77"/>
  <c r="AK22" i="77" s="1"/>
  <c r="AM22" i="77" s="1"/>
  <c r="AI21" i="77"/>
  <c r="AK21" i="77" s="1"/>
  <c r="AM21" i="77" s="1"/>
  <c r="AI20" i="77"/>
  <c r="AK20" i="77" s="1"/>
  <c r="AM20" i="77" s="1"/>
  <c r="J19" i="77"/>
  <c r="AI19" i="77" s="1"/>
  <c r="AK19" i="77" s="1"/>
  <c r="AM19" i="77" s="1"/>
  <c r="J18" i="77"/>
  <c r="AI18" i="77" s="1"/>
  <c r="AK18" i="77" s="1"/>
  <c r="AM18" i="77" s="1"/>
  <c r="AI17" i="77"/>
  <c r="AK17" i="77" s="1"/>
  <c r="AM17" i="77" s="1"/>
  <c r="AI16" i="77"/>
  <c r="AK16" i="77" s="1"/>
  <c r="AM16" i="77" s="1"/>
  <c r="AI15" i="77"/>
  <c r="AK15" i="77" s="1"/>
  <c r="AM15" i="77" s="1"/>
  <c r="AI14" i="77"/>
  <c r="AK14" i="77" s="1"/>
  <c r="AM14" i="77" s="1"/>
  <c r="L13" i="77"/>
  <c r="AI13" i="77" s="1"/>
  <c r="AK13" i="77" s="1"/>
  <c r="AM13" i="77" s="1"/>
  <c r="AI11" i="77"/>
  <c r="E9" i="77"/>
  <c r="F9" i="77" s="1"/>
  <c r="G9" i="77" s="1"/>
  <c r="H9" i="77" s="1"/>
  <c r="I9" i="77" s="1"/>
  <c r="J9" i="77" s="1"/>
  <c r="K9" i="77" s="1"/>
  <c r="L9" i="77" s="1"/>
  <c r="M9" i="77" s="1"/>
  <c r="N9" i="77" s="1"/>
  <c r="O9" i="77" s="1"/>
  <c r="P9" i="77" s="1"/>
  <c r="Q9" i="77" s="1"/>
  <c r="R9" i="77" s="1"/>
  <c r="S9" i="77" s="1"/>
  <c r="T9" i="77" s="1"/>
  <c r="U9" i="77" s="1"/>
  <c r="V9" i="77" s="1"/>
  <c r="W9" i="77" s="1"/>
  <c r="X9" i="77" s="1"/>
  <c r="Y9" i="77" s="1"/>
  <c r="Z9" i="77" s="1"/>
  <c r="AA9" i="77" s="1"/>
  <c r="AB9" i="77" s="1"/>
  <c r="AC9" i="77" s="1"/>
  <c r="AD9" i="77" s="1"/>
  <c r="AE9" i="77" s="1"/>
  <c r="AF9" i="77" s="1"/>
  <c r="AG9" i="77" s="1"/>
  <c r="AH9" i="77" s="1"/>
  <c r="B5" i="77"/>
  <c r="AI20" i="79" l="1"/>
  <c r="AI32" i="79"/>
  <c r="AI28" i="79"/>
  <c r="AI31" i="79"/>
  <c r="AI13" i="78"/>
  <c r="AI34" i="78"/>
  <c r="AI67" i="78"/>
  <c r="AI64" i="78"/>
  <c r="AI115" i="77"/>
  <c r="AK115" i="77" s="1"/>
  <c r="AM115" i="77" s="1"/>
  <c r="AI70" i="77"/>
  <c r="AK70" i="77" s="1"/>
  <c r="AM70" i="77" s="1"/>
  <c r="AI99" i="77"/>
  <c r="AK99" i="77" s="1"/>
  <c r="AM99" i="77" s="1"/>
  <c r="AI29" i="77"/>
  <c r="AK29" i="77" s="1"/>
  <c r="AM29" i="77" s="1"/>
  <c r="AI69" i="77"/>
  <c r="AK69" i="77" s="1"/>
  <c r="AM69" i="77" s="1"/>
  <c r="AI117" i="77"/>
  <c r="AK117" i="77" s="1"/>
  <c r="AM117" i="77" s="1"/>
  <c r="AI92" i="77"/>
  <c r="AK92" i="77" s="1"/>
  <c r="AM92" i="77" s="1"/>
  <c r="AI108" i="77"/>
  <c r="AK108" i="77" s="1"/>
  <c r="AM108" i="77" s="1"/>
  <c r="AI47" i="77"/>
  <c r="AK47" i="77" s="1"/>
  <c r="AM47" i="77" s="1"/>
  <c r="AI131" i="77"/>
  <c r="AK131" i="77" s="1"/>
  <c r="AM131" i="77" s="1"/>
  <c r="AI34" i="77"/>
  <c r="AK34" i="77" s="1"/>
  <c r="AM34" i="77" s="1"/>
  <c r="AI46" i="77"/>
  <c r="AK46" i="77" s="1"/>
  <c r="AM46" i="77" s="1"/>
  <c r="AI61" i="77"/>
  <c r="AK61" i="77" s="1"/>
  <c r="AM61" i="77" s="1"/>
  <c r="AI79" i="77"/>
  <c r="AK79" i="77" s="1"/>
  <c r="AM79" i="77" s="1"/>
  <c r="AI126" i="77"/>
  <c r="AK126" i="77" s="1"/>
  <c r="AM126" i="77" s="1"/>
  <c r="AI26" i="77"/>
  <c r="AK26" i="77" s="1"/>
  <c r="AM26" i="77" s="1"/>
  <c r="AI88" i="77"/>
  <c r="AK88" i="77" s="1"/>
  <c r="AM88" i="77" s="1"/>
  <c r="AI93" i="77"/>
  <c r="AK93" i="77" s="1"/>
  <c r="AM93" i="77" s="1"/>
  <c r="AI106" i="77"/>
  <c r="AK106" i="77" s="1"/>
  <c r="AM106" i="77" s="1"/>
  <c r="AI45" i="77"/>
  <c r="AK45" i="77" s="1"/>
  <c r="AM45" i="77" s="1"/>
  <c r="AI124" i="77"/>
  <c r="AK124" i="77" s="1"/>
  <c r="AM124" i="77" s="1"/>
  <c r="AI25" i="77"/>
  <c r="AK25" i="77" s="1"/>
  <c r="AM25" i="77" s="1"/>
  <c r="AI80" i="77"/>
  <c r="AK80" i="77" s="1"/>
  <c r="AM80" i="77" s="1"/>
  <c r="AI87" i="77"/>
  <c r="AK87" i="77" s="1"/>
  <c r="AM87" i="77" s="1"/>
  <c r="AI140" i="77"/>
  <c r="AK140" i="77" s="1"/>
  <c r="AM140" i="77" s="1"/>
  <c r="AI109" i="77"/>
  <c r="AK109" i="77" s="1"/>
  <c r="AM109" i="77" s="1"/>
  <c r="AI129" i="77"/>
  <c r="AK129" i="77" s="1"/>
  <c r="AM129" i="77" s="1"/>
  <c r="AI133" i="77"/>
  <c r="AK133" i="77" s="1"/>
  <c r="AM133" i="77" s="1"/>
  <c r="AI139" i="77"/>
  <c r="AK139" i="77" s="1"/>
  <c r="AM139" i="77" s="1"/>
  <c r="AI141" i="77"/>
  <c r="AK141" i="77" s="1"/>
  <c r="AM141" i="77" s="1"/>
  <c r="AK64" i="78" l="1"/>
  <c r="AM64" i="78" s="1"/>
  <c r="AK67" i="78"/>
  <c r="AM67" i="78" s="1"/>
  <c r="AK34" i="78"/>
  <c r="AM34" i="78" s="1"/>
  <c r="AK13" i="78"/>
  <c r="AM13" i="78" s="1"/>
  <c r="AO15" i="78" s="1"/>
  <c r="K7" i="85" l="1"/>
  <c r="K6" i="85"/>
  <c r="K5" i="85"/>
  <c r="E6" i="85"/>
  <c r="E5" i="85"/>
  <c r="E4" i="85"/>
  <c r="C19" i="43"/>
  <c r="C18" i="43"/>
  <c r="C17" i="43"/>
  <c r="C16" i="43"/>
  <c r="AB872" i="71" l="1"/>
  <c r="AA872" i="71"/>
  <c r="Y872" i="71"/>
  <c r="X872" i="71"/>
  <c r="W872" i="71"/>
  <c r="V872" i="71"/>
  <c r="U872" i="71"/>
  <c r="T872" i="71"/>
  <c r="R872" i="71"/>
  <c r="I872" i="71"/>
  <c r="D872" i="71"/>
  <c r="AI871" i="71"/>
  <c r="AI870" i="71"/>
  <c r="AI869" i="71"/>
  <c r="J868" i="71"/>
  <c r="AI868" i="71" s="1"/>
  <c r="K867" i="71"/>
  <c r="AI867" i="71" s="1"/>
  <c r="AI866" i="71"/>
  <c r="AI865" i="71"/>
  <c r="I864" i="71"/>
  <c r="AI864" i="71" s="1"/>
  <c r="J863" i="71"/>
  <c r="AI863" i="71" s="1"/>
  <c r="AI862" i="71"/>
  <c r="AI861" i="71"/>
  <c r="AI860" i="71"/>
  <c r="AI859" i="71"/>
  <c r="AI858" i="71"/>
  <c r="AI857" i="71"/>
  <c r="J856" i="71"/>
  <c r="AI856" i="71" s="1"/>
  <c r="O855" i="71"/>
  <c r="N855" i="71"/>
  <c r="AI854" i="71"/>
  <c r="AI853" i="71"/>
  <c r="J852" i="71"/>
  <c r="AI852" i="71" s="1"/>
  <c r="O851" i="71"/>
  <c r="N851" i="71"/>
  <c r="K851" i="71"/>
  <c r="AI850" i="71"/>
  <c r="AI849" i="71"/>
  <c r="AI848" i="71"/>
  <c r="AI847" i="71"/>
  <c r="AI846" i="71"/>
  <c r="AI845" i="71"/>
  <c r="AI844" i="71"/>
  <c r="AI843" i="71"/>
  <c r="AI842" i="71"/>
  <c r="AI841" i="71"/>
  <c r="AB840" i="71"/>
  <c r="AI840" i="71" s="1"/>
  <c r="AI839" i="71"/>
  <c r="AK839" i="71" s="1"/>
  <c r="AM839" i="71" s="1"/>
  <c r="AO839" i="71" s="1"/>
  <c r="AQ839" i="71" s="1"/>
  <c r="AI838" i="71"/>
  <c r="AK838" i="71" s="1"/>
  <c r="AM838" i="71" s="1"/>
  <c r="AO838" i="71" s="1"/>
  <c r="AQ838" i="71" s="1"/>
  <c r="AI837" i="71"/>
  <c r="AK837" i="71" s="1"/>
  <c r="AM837" i="71" s="1"/>
  <c r="AO837" i="71" s="1"/>
  <c r="AQ837" i="71" s="1"/>
  <c r="AI836" i="71"/>
  <c r="AK836" i="71" s="1"/>
  <c r="AM836" i="71" s="1"/>
  <c r="AO836" i="71" s="1"/>
  <c r="AQ836" i="71" s="1"/>
  <c r="AI835" i="71"/>
  <c r="AK835" i="71" s="1"/>
  <c r="AM835" i="71" s="1"/>
  <c r="AO835" i="71" s="1"/>
  <c r="AQ835" i="71" s="1"/>
  <c r="AP834" i="71"/>
  <c r="AL834" i="71"/>
  <c r="AI834" i="71"/>
  <c r="AK834" i="71" s="1"/>
  <c r="AO833" i="71"/>
  <c r="AI833" i="71"/>
  <c r="AK833" i="71" s="1"/>
  <c r="AO832" i="71"/>
  <c r="AI832" i="71"/>
  <c r="AK832" i="71" s="1"/>
  <c r="AI830" i="71"/>
  <c r="AK830" i="71" s="1"/>
  <c r="AM830" i="71" s="1"/>
  <c r="F829" i="71"/>
  <c r="AI829" i="71" s="1"/>
  <c r="AK829" i="71" s="1"/>
  <c r="AM829" i="71" s="1"/>
  <c r="G828" i="71"/>
  <c r="AI828" i="71" s="1"/>
  <c r="AK828" i="71" s="1"/>
  <c r="AM828" i="71" s="1"/>
  <c r="AI827" i="71"/>
  <c r="AK827" i="71" s="1"/>
  <c r="AM827" i="71" s="1"/>
  <c r="AI826" i="71"/>
  <c r="AK826" i="71" s="1"/>
  <c r="AM826" i="71" s="1"/>
  <c r="AI825" i="71"/>
  <c r="AK825" i="71" s="1"/>
  <c r="AM825" i="71" s="1"/>
  <c r="AI824" i="71"/>
  <c r="AK824" i="71" s="1"/>
  <c r="AM824" i="71" s="1"/>
  <c r="AI823" i="71"/>
  <c r="AK823" i="71" s="1"/>
  <c r="AM823" i="71" s="1"/>
  <c r="AI822" i="71"/>
  <c r="AK822" i="71" s="1"/>
  <c r="AM822" i="71" s="1"/>
  <c r="AI821" i="71"/>
  <c r="AK821" i="71" s="1"/>
  <c r="AM821" i="71" s="1"/>
  <c r="AI820" i="71"/>
  <c r="AK820" i="71" s="1"/>
  <c r="AM820" i="71" s="1"/>
  <c r="AI819" i="71"/>
  <c r="AK819" i="71" s="1"/>
  <c r="AM819" i="71" s="1"/>
  <c r="AI818" i="71"/>
  <c r="AK818" i="71" s="1"/>
  <c r="AM818" i="71" s="1"/>
  <c r="AI817" i="71"/>
  <c r="AK817" i="71" s="1"/>
  <c r="AM817" i="71" s="1"/>
  <c r="AI816" i="71"/>
  <c r="AK816" i="71" s="1"/>
  <c r="AM816" i="71" s="1"/>
  <c r="AI815" i="71"/>
  <c r="AK815" i="71" s="1"/>
  <c r="AM815" i="71" s="1"/>
  <c r="AI814" i="71"/>
  <c r="AK814" i="71" s="1"/>
  <c r="AM814" i="71" s="1"/>
  <c r="AI813" i="71"/>
  <c r="AK813" i="71" s="1"/>
  <c r="AM813" i="71" s="1"/>
  <c r="AI812" i="71"/>
  <c r="AK812" i="71" s="1"/>
  <c r="AM812" i="71" s="1"/>
  <c r="AI811" i="71"/>
  <c r="AK811" i="71" s="1"/>
  <c r="AM811" i="71" s="1"/>
  <c r="AI810" i="71"/>
  <c r="AK810" i="71" s="1"/>
  <c r="AM810" i="71" s="1"/>
  <c r="AI809" i="71"/>
  <c r="AK809" i="71" s="1"/>
  <c r="AM809" i="71" s="1"/>
  <c r="AI808" i="71"/>
  <c r="AK808" i="71" s="1"/>
  <c r="AM808" i="71" s="1"/>
  <c r="AI807" i="71"/>
  <c r="AK807" i="71" s="1"/>
  <c r="AM807" i="71" s="1"/>
  <c r="AI806" i="71"/>
  <c r="AK806" i="71" s="1"/>
  <c r="AM806" i="71" s="1"/>
  <c r="AI805" i="71"/>
  <c r="AK805" i="71" s="1"/>
  <c r="AM805" i="71" s="1"/>
  <c r="AI804" i="71"/>
  <c r="AK804" i="71" s="1"/>
  <c r="AM804" i="71" s="1"/>
  <c r="AI803" i="71"/>
  <c r="AK803" i="71" s="1"/>
  <c r="AM803" i="71" s="1"/>
  <c r="AI802" i="71"/>
  <c r="AK802" i="71" s="1"/>
  <c r="AM802" i="71" s="1"/>
  <c r="AI801" i="71"/>
  <c r="AK801" i="71" s="1"/>
  <c r="AM801" i="71" s="1"/>
  <c r="AI800" i="71"/>
  <c r="AK800" i="71" s="1"/>
  <c r="AM800" i="71" s="1"/>
  <c r="AI799" i="71"/>
  <c r="AK799" i="71" s="1"/>
  <c r="AM799" i="71" s="1"/>
  <c r="AI798" i="71"/>
  <c r="AK798" i="71" s="1"/>
  <c r="AM798" i="71" s="1"/>
  <c r="AI797" i="71"/>
  <c r="AK797" i="71" s="1"/>
  <c r="AM797" i="71" s="1"/>
  <c r="AI796" i="71"/>
  <c r="AK796" i="71" s="1"/>
  <c r="AM796" i="71" s="1"/>
  <c r="AI795" i="71"/>
  <c r="AK795" i="71" s="1"/>
  <c r="AM795" i="71" s="1"/>
  <c r="AI794" i="71"/>
  <c r="AK794" i="71" s="1"/>
  <c r="AM794" i="71" s="1"/>
  <c r="AI793" i="71"/>
  <c r="AK793" i="71" s="1"/>
  <c r="AM793" i="71" s="1"/>
  <c r="AI792" i="71"/>
  <c r="AK792" i="71" s="1"/>
  <c r="AM792" i="71" s="1"/>
  <c r="AI791" i="71"/>
  <c r="AK791" i="71" s="1"/>
  <c r="AM791" i="71" s="1"/>
  <c r="AI790" i="71"/>
  <c r="AK790" i="71" s="1"/>
  <c r="AM790" i="71" s="1"/>
  <c r="AI789" i="71"/>
  <c r="AK789" i="71" s="1"/>
  <c r="AM789" i="71" s="1"/>
  <c r="AI788" i="71"/>
  <c r="AK788" i="71" s="1"/>
  <c r="AM788" i="71" s="1"/>
  <c r="AI787" i="71"/>
  <c r="AK787" i="71" s="1"/>
  <c r="AM787" i="71" s="1"/>
  <c r="AI786" i="71"/>
  <c r="AK786" i="71" s="1"/>
  <c r="AM786" i="71" s="1"/>
  <c r="AI785" i="71"/>
  <c r="AK785" i="71" s="1"/>
  <c r="AM785" i="71" s="1"/>
  <c r="AI784" i="71"/>
  <c r="AK784" i="71" s="1"/>
  <c r="AM784" i="71" s="1"/>
  <c r="AI783" i="71"/>
  <c r="AK783" i="71" s="1"/>
  <c r="AM783" i="71" s="1"/>
  <c r="AI782" i="71"/>
  <c r="AK782" i="71" s="1"/>
  <c r="AM782" i="71" s="1"/>
  <c r="H781" i="71"/>
  <c r="AI781" i="71" s="1"/>
  <c r="AK781" i="71" s="1"/>
  <c r="AM781" i="71" s="1"/>
  <c r="I780" i="71"/>
  <c r="AI780" i="71" s="1"/>
  <c r="AK780" i="71" s="1"/>
  <c r="AM780" i="71" s="1"/>
  <c r="AI779" i="71"/>
  <c r="AK779" i="71" s="1"/>
  <c r="AM779" i="71" s="1"/>
  <c r="AI778" i="71"/>
  <c r="AK778" i="71" s="1"/>
  <c r="AM778" i="71" s="1"/>
  <c r="AI777" i="71"/>
  <c r="AK777" i="71" s="1"/>
  <c r="AM777" i="71" s="1"/>
  <c r="AI776" i="71"/>
  <c r="AK776" i="71" s="1"/>
  <c r="AM776" i="71" s="1"/>
  <c r="AI775" i="71"/>
  <c r="AK775" i="71" s="1"/>
  <c r="AM775" i="71" s="1"/>
  <c r="AI774" i="71"/>
  <c r="AK774" i="71" s="1"/>
  <c r="AM774" i="71" s="1"/>
  <c r="AI773" i="71"/>
  <c r="AK773" i="71" s="1"/>
  <c r="AM773" i="71" s="1"/>
  <c r="AI772" i="71"/>
  <c r="AK772" i="71" s="1"/>
  <c r="AM772" i="71" s="1"/>
  <c r="AI771" i="71"/>
  <c r="AK771" i="71" s="1"/>
  <c r="AM771" i="71" s="1"/>
  <c r="AI770" i="71"/>
  <c r="AK770" i="71" s="1"/>
  <c r="AM770" i="71" s="1"/>
  <c r="AI769" i="71"/>
  <c r="AK769" i="71" s="1"/>
  <c r="AM769" i="71" s="1"/>
  <c r="AI768" i="71"/>
  <c r="AK768" i="71" s="1"/>
  <c r="AM768" i="71" s="1"/>
  <c r="AI767" i="71"/>
  <c r="AK767" i="71" s="1"/>
  <c r="AM767" i="71" s="1"/>
  <c r="AI766" i="71"/>
  <c r="AK766" i="71" s="1"/>
  <c r="AM766" i="71" s="1"/>
  <c r="AI765" i="71"/>
  <c r="AK765" i="71" s="1"/>
  <c r="AM765" i="71" s="1"/>
  <c r="AI764" i="71"/>
  <c r="AK764" i="71" s="1"/>
  <c r="AM764" i="71" s="1"/>
  <c r="AI763" i="71"/>
  <c r="AK763" i="71" s="1"/>
  <c r="AM763" i="71" s="1"/>
  <c r="AI762" i="71"/>
  <c r="AK762" i="71" s="1"/>
  <c r="AM762" i="71" s="1"/>
  <c r="AI761" i="71"/>
  <c r="AK761" i="71" s="1"/>
  <c r="AM761" i="71" s="1"/>
  <c r="AI760" i="71"/>
  <c r="AK760" i="71" s="1"/>
  <c r="AM760" i="71" s="1"/>
  <c r="AI759" i="71"/>
  <c r="AK759" i="71" s="1"/>
  <c r="AM759" i="71" s="1"/>
  <c r="AI758" i="71"/>
  <c r="AK758" i="71" s="1"/>
  <c r="AM758" i="71" s="1"/>
  <c r="AI757" i="71"/>
  <c r="AK757" i="71" s="1"/>
  <c r="AM757" i="71" s="1"/>
  <c r="AI756" i="71"/>
  <c r="AK756" i="71" s="1"/>
  <c r="AM756" i="71" s="1"/>
  <c r="AI755" i="71"/>
  <c r="AK755" i="71" s="1"/>
  <c r="AM755" i="71" s="1"/>
  <c r="AI754" i="71"/>
  <c r="AK754" i="71" s="1"/>
  <c r="AM754" i="71" s="1"/>
  <c r="AI753" i="71"/>
  <c r="AK753" i="71" s="1"/>
  <c r="AM753" i="71" s="1"/>
  <c r="AI752" i="71"/>
  <c r="AK752" i="71" s="1"/>
  <c r="AM752" i="71" s="1"/>
  <c r="AI751" i="71"/>
  <c r="AK751" i="71" s="1"/>
  <c r="AM751" i="71" s="1"/>
  <c r="AI750" i="71"/>
  <c r="AK750" i="71" s="1"/>
  <c r="AM750" i="71" s="1"/>
  <c r="AI749" i="71"/>
  <c r="AK749" i="71" s="1"/>
  <c r="AM749" i="71" s="1"/>
  <c r="AI748" i="71"/>
  <c r="AK748" i="71" s="1"/>
  <c r="AM748" i="71" s="1"/>
  <c r="AI747" i="71"/>
  <c r="AK747" i="71" s="1"/>
  <c r="AM747" i="71" s="1"/>
  <c r="AI746" i="71"/>
  <c r="AK746" i="71" s="1"/>
  <c r="AM746" i="71" s="1"/>
  <c r="AI745" i="71"/>
  <c r="AK745" i="71" s="1"/>
  <c r="AM745" i="71" s="1"/>
  <c r="AI744" i="71"/>
  <c r="AK744" i="71" s="1"/>
  <c r="AM744" i="71" s="1"/>
  <c r="AI743" i="71"/>
  <c r="AK743" i="71" s="1"/>
  <c r="AM743" i="71" s="1"/>
  <c r="AI742" i="71"/>
  <c r="AK742" i="71" s="1"/>
  <c r="AM742" i="71" s="1"/>
  <c r="AI741" i="71"/>
  <c r="AK741" i="71" s="1"/>
  <c r="AM741" i="71" s="1"/>
  <c r="AI740" i="71"/>
  <c r="AK740" i="71" s="1"/>
  <c r="AM740" i="71" s="1"/>
  <c r="AI739" i="71"/>
  <c r="AK739" i="71" s="1"/>
  <c r="AM739" i="71" s="1"/>
  <c r="AI738" i="71"/>
  <c r="AK738" i="71" s="1"/>
  <c r="AM738" i="71" s="1"/>
  <c r="AI737" i="71"/>
  <c r="AK737" i="71" s="1"/>
  <c r="AM737" i="71" s="1"/>
  <c r="AI736" i="71"/>
  <c r="AK736" i="71" s="1"/>
  <c r="AM736" i="71" s="1"/>
  <c r="AI735" i="71"/>
  <c r="AK735" i="71" s="1"/>
  <c r="AM735" i="71" s="1"/>
  <c r="AI734" i="71"/>
  <c r="AK734" i="71" s="1"/>
  <c r="AM734" i="71" s="1"/>
  <c r="AI733" i="71"/>
  <c r="AK733" i="71" s="1"/>
  <c r="AM733" i="71" s="1"/>
  <c r="AI732" i="71"/>
  <c r="AK732" i="71" s="1"/>
  <c r="AM732" i="71" s="1"/>
  <c r="AI731" i="71"/>
  <c r="AK731" i="71" s="1"/>
  <c r="AM731" i="71" s="1"/>
  <c r="AI730" i="71"/>
  <c r="AK730" i="71" s="1"/>
  <c r="AM730" i="71" s="1"/>
  <c r="AI729" i="71"/>
  <c r="AK729" i="71" s="1"/>
  <c r="AM729" i="71" s="1"/>
  <c r="AI728" i="71"/>
  <c r="AK728" i="71" s="1"/>
  <c r="AM728" i="71" s="1"/>
  <c r="AI727" i="71"/>
  <c r="AK727" i="71" s="1"/>
  <c r="AM727" i="71" s="1"/>
  <c r="AI726" i="71"/>
  <c r="AK726" i="71" s="1"/>
  <c r="AM726" i="71" s="1"/>
  <c r="AI725" i="71"/>
  <c r="AK725" i="71" s="1"/>
  <c r="AM725" i="71" s="1"/>
  <c r="AI724" i="71"/>
  <c r="AK724" i="71" s="1"/>
  <c r="AM724" i="71" s="1"/>
  <c r="AI723" i="71"/>
  <c r="AK723" i="71" s="1"/>
  <c r="AM723" i="71" s="1"/>
  <c r="AI722" i="71"/>
  <c r="AK722" i="71" s="1"/>
  <c r="AM722" i="71" s="1"/>
  <c r="AI721" i="71"/>
  <c r="AK721" i="71" s="1"/>
  <c r="AM721" i="71" s="1"/>
  <c r="AI720" i="71"/>
  <c r="AK720" i="71" s="1"/>
  <c r="AM720" i="71" s="1"/>
  <c r="AI719" i="71"/>
  <c r="AK719" i="71" s="1"/>
  <c r="AM719" i="71" s="1"/>
  <c r="AI718" i="71"/>
  <c r="AK718" i="71" s="1"/>
  <c r="AM718" i="71" s="1"/>
  <c r="AI717" i="71"/>
  <c r="AK717" i="71" s="1"/>
  <c r="AM717" i="71" s="1"/>
  <c r="AI716" i="71"/>
  <c r="AK716" i="71" s="1"/>
  <c r="AM716" i="71" s="1"/>
  <c r="AI715" i="71"/>
  <c r="AK715" i="71" s="1"/>
  <c r="AM715" i="71" s="1"/>
  <c r="AI714" i="71"/>
  <c r="AK714" i="71" s="1"/>
  <c r="AM714" i="71" s="1"/>
  <c r="AI713" i="71"/>
  <c r="AK713" i="71" s="1"/>
  <c r="AM713" i="71" s="1"/>
  <c r="AI712" i="71"/>
  <c r="AK712" i="71" s="1"/>
  <c r="AM712" i="71" s="1"/>
  <c r="AI711" i="71"/>
  <c r="AK711" i="71" s="1"/>
  <c r="AM711" i="71" s="1"/>
  <c r="AI710" i="71"/>
  <c r="AK710" i="71" s="1"/>
  <c r="AM710" i="71" s="1"/>
  <c r="AI709" i="71"/>
  <c r="AK709" i="71" s="1"/>
  <c r="AM709" i="71" s="1"/>
  <c r="AI708" i="71"/>
  <c r="AK708" i="71" s="1"/>
  <c r="AM708" i="71" s="1"/>
  <c r="AI707" i="71"/>
  <c r="AK707" i="71" s="1"/>
  <c r="AM707" i="71" s="1"/>
  <c r="AI706" i="71"/>
  <c r="AK706" i="71" s="1"/>
  <c r="AM706" i="71" s="1"/>
  <c r="AI705" i="71"/>
  <c r="AK705" i="71" s="1"/>
  <c r="AM705" i="71" s="1"/>
  <c r="AI704" i="71"/>
  <c r="AK704" i="71" s="1"/>
  <c r="AM704" i="71" s="1"/>
  <c r="AI703" i="71"/>
  <c r="AK703" i="71" s="1"/>
  <c r="AM703" i="71" s="1"/>
  <c r="AI702" i="71"/>
  <c r="AK702" i="71" s="1"/>
  <c r="AM702" i="71" s="1"/>
  <c r="AI701" i="71"/>
  <c r="AK701" i="71" s="1"/>
  <c r="AM701" i="71" s="1"/>
  <c r="AI700" i="71"/>
  <c r="AK700" i="71" s="1"/>
  <c r="AM700" i="71" s="1"/>
  <c r="AI699" i="71"/>
  <c r="AK699" i="71" s="1"/>
  <c r="AM699" i="71" s="1"/>
  <c r="AI698" i="71"/>
  <c r="AK698" i="71" s="1"/>
  <c r="AM698" i="71" s="1"/>
  <c r="AI697" i="71"/>
  <c r="AK697" i="71" s="1"/>
  <c r="AM697" i="71" s="1"/>
  <c r="AO696" i="71"/>
  <c r="AP697" i="71" s="1"/>
  <c r="AI696" i="71"/>
  <c r="AK696" i="71" s="1"/>
  <c r="AO697" i="71" s="1"/>
  <c r="M695" i="71"/>
  <c r="K695" i="71"/>
  <c r="L695" i="71" s="1"/>
  <c r="J695" i="71"/>
  <c r="H695" i="71"/>
  <c r="F695" i="71"/>
  <c r="P695" i="71" s="1"/>
  <c r="AI694" i="71"/>
  <c r="AK694" i="71" s="1"/>
  <c r="AM694" i="71" s="1"/>
  <c r="AI693" i="71"/>
  <c r="AK693" i="71" s="1"/>
  <c r="AM693" i="71" s="1"/>
  <c r="AI692" i="71"/>
  <c r="AK692" i="71" s="1"/>
  <c r="AM692" i="71" s="1"/>
  <c r="AI691" i="71"/>
  <c r="AK691" i="71" s="1"/>
  <c r="AM691" i="71" s="1"/>
  <c r="AI690" i="71"/>
  <c r="AK690" i="71" s="1"/>
  <c r="AM690" i="71" s="1"/>
  <c r="AI689" i="71"/>
  <c r="AI688" i="71"/>
  <c r="L686" i="71"/>
  <c r="AI686" i="71" s="1"/>
  <c r="AJ686" i="71" s="1"/>
  <c r="AL680" i="71"/>
  <c r="AM680" i="71" s="1"/>
  <c r="AI680" i="71"/>
  <c r="AI679" i="71"/>
  <c r="AK679" i="71" s="1"/>
  <c r="AM679" i="71" s="1"/>
  <c r="AI678" i="71"/>
  <c r="AK678" i="71" s="1"/>
  <c r="AM678" i="71" s="1"/>
  <c r="AI677" i="71"/>
  <c r="AK677" i="71" s="1"/>
  <c r="AM677" i="71" s="1"/>
  <c r="AI676" i="71"/>
  <c r="AK676" i="71" s="1"/>
  <c r="AM676" i="71" s="1"/>
  <c r="AI675" i="71"/>
  <c r="AK675" i="71" s="1"/>
  <c r="AM675" i="71" s="1"/>
  <c r="AI674" i="71"/>
  <c r="AK674" i="71" s="1"/>
  <c r="AM674" i="71" s="1"/>
  <c r="AI673" i="71"/>
  <c r="AK673" i="71" s="1"/>
  <c r="AM673" i="71" s="1"/>
  <c r="AI672" i="71"/>
  <c r="AK672" i="71" s="1"/>
  <c r="AM672" i="71" s="1"/>
  <c r="AI671" i="71"/>
  <c r="AK671" i="71" s="1"/>
  <c r="AM671" i="71" s="1"/>
  <c r="AI670" i="71"/>
  <c r="AK670" i="71" s="1"/>
  <c r="AM670" i="71" s="1"/>
  <c r="AI669" i="71"/>
  <c r="AK669" i="71" s="1"/>
  <c r="AM669" i="71" s="1"/>
  <c r="AI668" i="71"/>
  <c r="AK668" i="71" s="1"/>
  <c r="AM668" i="71" s="1"/>
  <c r="AI667" i="71"/>
  <c r="AK667" i="71" s="1"/>
  <c r="AM667" i="71" s="1"/>
  <c r="AI666" i="71"/>
  <c r="AK666" i="71" s="1"/>
  <c r="AM666" i="71" s="1"/>
  <c r="AI665" i="71"/>
  <c r="AK665" i="71" s="1"/>
  <c r="AM665" i="71" s="1"/>
  <c r="AI664" i="71"/>
  <c r="AK664" i="71" s="1"/>
  <c r="AM664" i="71" s="1"/>
  <c r="AI663" i="71"/>
  <c r="AK663" i="71" s="1"/>
  <c r="AM663" i="71" s="1"/>
  <c r="AI662" i="71"/>
  <c r="AK662" i="71" s="1"/>
  <c r="AM662" i="71" s="1"/>
  <c r="AI661" i="71"/>
  <c r="AK661" i="71" s="1"/>
  <c r="AM661" i="71" s="1"/>
  <c r="AI660" i="71"/>
  <c r="AK660" i="71" s="1"/>
  <c r="AM660" i="71" s="1"/>
  <c r="AI659" i="71"/>
  <c r="AK659" i="71" s="1"/>
  <c r="AM659" i="71" s="1"/>
  <c r="AI658" i="71"/>
  <c r="AK658" i="71" s="1"/>
  <c r="AM658" i="71" s="1"/>
  <c r="AI657" i="71"/>
  <c r="AK657" i="71" s="1"/>
  <c r="AM657" i="71" s="1"/>
  <c r="AI656" i="71"/>
  <c r="AK656" i="71" s="1"/>
  <c r="AM656" i="71" s="1"/>
  <c r="AI655" i="71"/>
  <c r="AK655" i="71" s="1"/>
  <c r="AM655" i="71" s="1"/>
  <c r="AI654" i="71"/>
  <c r="AK654" i="71" s="1"/>
  <c r="AM654" i="71" s="1"/>
  <c r="AI653" i="71"/>
  <c r="AK653" i="71" s="1"/>
  <c r="AM653" i="71" s="1"/>
  <c r="AI652" i="71"/>
  <c r="AK652" i="71" s="1"/>
  <c r="AM652" i="71" s="1"/>
  <c r="AI651" i="71"/>
  <c r="AK651" i="71" s="1"/>
  <c r="AM651" i="71" s="1"/>
  <c r="AI650" i="71"/>
  <c r="AK650" i="71" s="1"/>
  <c r="AM650" i="71" s="1"/>
  <c r="AI649" i="71"/>
  <c r="AK649" i="71" s="1"/>
  <c r="AM649" i="71" s="1"/>
  <c r="AI648" i="71"/>
  <c r="AK648" i="71" s="1"/>
  <c r="AM648" i="71" s="1"/>
  <c r="AI647" i="71"/>
  <c r="AK647" i="71" s="1"/>
  <c r="AM647" i="71" s="1"/>
  <c r="AI646" i="71"/>
  <c r="AK646" i="71" s="1"/>
  <c r="AM646" i="71" s="1"/>
  <c r="AI645" i="71"/>
  <c r="AK645" i="71" s="1"/>
  <c r="AM645" i="71" s="1"/>
  <c r="AI644" i="71"/>
  <c r="AK644" i="71" s="1"/>
  <c r="AM644" i="71" s="1"/>
  <c r="AI643" i="71"/>
  <c r="AK643" i="71" s="1"/>
  <c r="AM643" i="71" s="1"/>
  <c r="AI642" i="71"/>
  <c r="AK642" i="71" s="1"/>
  <c r="AM642" i="71" s="1"/>
  <c r="AI641" i="71"/>
  <c r="AK641" i="71" s="1"/>
  <c r="AM641" i="71" s="1"/>
  <c r="AI640" i="71"/>
  <c r="AK640" i="71" s="1"/>
  <c r="AM640" i="71" s="1"/>
  <c r="AI639" i="71"/>
  <c r="AK639" i="71" s="1"/>
  <c r="AM639" i="71" s="1"/>
  <c r="AI638" i="71"/>
  <c r="AK638" i="71" s="1"/>
  <c r="AM638" i="71" s="1"/>
  <c r="AI637" i="71"/>
  <c r="AK637" i="71" s="1"/>
  <c r="AM637" i="71" s="1"/>
  <c r="AI636" i="71"/>
  <c r="AK636" i="71" s="1"/>
  <c r="AM636" i="71" s="1"/>
  <c r="AI635" i="71"/>
  <c r="AK635" i="71" s="1"/>
  <c r="AM635" i="71" s="1"/>
  <c r="AI634" i="71"/>
  <c r="AK634" i="71" s="1"/>
  <c r="AM634" i="71" s="1"/>
  <c r="AI633" i="71"/>
  <c r="AK633" i="71" s="1"/>
  <c r="AM633" i="71" s="1"/>
  <c r="AI632" i="71"/>
  <c r="AK632" i="71" s="1"/>
  <c r="AM632" i="71" s="1"/>
  <c r="AI631" i="71"/>
  <c r="AK631" i="71" s="1"/>
  <c r="AM631" i="71" s="1"/>
  <c r="AI630" i="71"/>
  <c r="AK630" i="71" s="1"/>
  <c r="AM630" i="71" s="1"/>
  <c r="AI629" i="71"/>
  <c r="AK629" i="71" s="1"/>
  <c r="AM629" i="71" s="1"/>
  <c r="AI628" i="71"/>
  <c r="AK628" i="71" s="1"/>
  <c r="AM628" i="71" s="1"/>
  <c r="AI627" i="71"/>
  <c r="AK627" i="71" s="1"/>
  <c r="AM627" i="71" s="1"/>
  <c r="AI626" i="71"/>
  <c r="AK626" i="71" s="1"/>
  <c r="AM626" i="71" s="1"/>
  <c r="AI625" i="71"/>
  <c r="AK625" i="71" s="1"/>
  <c r="AM625" i="71" s="1"/>
  <c r="AI624" i="71"/>
  <c r="AK624" i="71" s="1"/>
  <c r="AM624" i="71" s="1"/>
  <c r="AI623" i="71"/>
  <c r="AK623" i="71" s="1"/>
  <c r="AM623" i="71" s="1"/>
  <c r="AI622" i="71"/>
  <c r="AK622" i="71" s="1"/>
  <c r="AM622" i="71" s="1"/>
  <c r="AI621" i="71"/>
  <c r="AK621" i="71" s="1"/>
  <c r="AM621" i="71" s="1"/>
  <c r="AI620" i="71"/>
  <c r="AK620" i="71" s="1"/>
  <c r="AM620" i="71" s="1"/>
  <c r="AI619" i="71"/>
  <c r="AK619" i="71" s="1"/>
  <c r="AM619" i="71" s="1"/>
  <c r="AI618" i="71"/>
  <c r="AK618" i="71" s="1"/>
  <c r="AM618" i="71" s="1"/>
  <c r="AI617" i="71"/>
  <c r="AK617" i="71" s="1"/>
  <c r="AM617" i="71" s="1"/>
  <c r="AI616" i="71"/>
  <c r="AK616" i="71" s="1"/>
  <c r="AM616" i="71" s="1"/>
  <c r="AI615" i="71"/>
  <c r="AK615" i="71" s="1"/>
  <c r="AM615" i="71" s="1"/>
  <c r="AI614" i="71"/>
  <c r="AK614" i="71" s="1"/>
  <c r="AM614" i="71" s="1"/>
  <c r="AI613" i="71"/>
  <c r="AK613" i="71" s="1"/>
  <c r="AM613" i="71" s="1"/>
  <c r="AI612" i="71"/>
  <c r="AK612" i="71" s="1"/>
  <c r="AM612" i="71" s="1"/>
  <c r="AI611" i="71"/>
  <c r="AK611" i="71" s="1"/>
  <c r="AM611" i="71" s="1"/>
  <c r="AI610" i="71"/>
  <c r="AK610" i="71" s="1"/>
  <c r="AM610" i="71" s="1"/>
  <c r="AI609" i="71"/>
  <c r="AK609" i="71" s="1"/>
  <c r="AM609" i="71" s="1"/>
  <c r="AI608" i="71"/>
  <c r="AK608" i="71" s="1"/>
  <c r="AM608" i="71" s="1"/>
  <c r="AI607" i="71"/>
  <c r="AK607" i="71" s="1"/>
  <c r="AM607" i="71" s="1"/>
  <c r="AI606" i="71"/>
  <c r="AK606" i="71" s="1"/>
  <c r="AM606" i="71" s="1"/>
  <c r="AI605" i="71"/>
  <c r="AK605" i="71" s="1"/>
  <c r="AM605" i="71" s="1"/>
  <c r="AI604" i="71"/>
  <c r="AK604" i="71" s="1"/>
  <c r="AM604" i="71" s="1"/>
  <c r="AI603" i="71"/>
  <c r="AK603" i="71" s="1"/>
  <c r="AM603" i="71" s="1"/>
  <c r="AI602" i="71"/>
  <c r="AK602" i="71" s="1"/>
  <c r="AM602" i="71" s="1"/>
  <c r="AI601" i="71"/>
  <c r="AK601" i="71" s="1"/>
  <c r="AM601" i="71" s="1"/>
  <c r="AI600" i="71"/>
  <c r="AK600" i="71" s="1"/>
  <c r="AM600" i="71" s="1"/>
  <c r="AI599" i="71"/>
  <c r="AK599" i="71" s="1"/>
  <c r="AM599" i="71" s="1"/>
  <c r="AI598" i="71"/>
  <c r="AK598" i="71" s="1"/>
  <c r="AM598" i="71" s="1"/>
  <c r="AI597" i="71"/>
  <c r="AK597" i="71" s="1"/>
  <c r="AM597" i="71" s="1"/>
  <c r="AI596" i="71"/>
  <c r="AK596" i="71" s="1"/>
  <c r="AM596" i="71" s="1"/>
  <c r="AI595" i="71"/>
  <c r="AK595" i="71" s="1"/>
  <c r="AM595" i="71" s="1"/>
  <c r="AI594" i="71"/>
  <c r="AK594" i="71" s="1"/>
  <c r="AM594" i="71" s="1"/>
  <c r="AI593" i="71"/>
  <c r="AK593" i="71" s="1"/>
  <c r="AM593" i="71" s="1"/>
  <c r="AI592" i="71"/>
  <c r="AK592" i="71" s="1"/>
  <c r="AM592" i="71" s="1"/>
  <c r="AI591" i="71"/>
  <c r="AK591" i="71" s="1"/>
  <c r="AM591" i="71" s="1"/>
  <c r="AI590" i="71"/>
  <c r="AK590" i="71" s="1"/>
  <c r="AM590" i="71" s="1"/>
  <c r="AI589" i="71"/>
  <c r="AK589" i="71" s="1"/>
  <c r="AM589" i="71" s="1"/>
  <c r="AI588" i="71"/>
  <c r="AK588" i="71" s="1"/>
  <c r="AM588" i="71" s="1"/>
  <c r="AI587" i="71"/>
  <c r="AK587" i="71" s="1"/>
  <c r="AM587" i="71" s="1"/>
  <c r="AI586" i="71"/>
  <c r="AK586" i="71" s="1"/>
  <c r="AM586" i="71" s="1"/>
  <c r="AI585" i="71"/>
  <c r="AK585" i="71" s="1"/>
  <c r="AM585" i="71" s="1"/>
  <c r="AI584" i="71"/>
  <c r="AK584" i="71" s="1"/>
  <c r="AM584" i="71" s="1"/>
  <c r="AI583" i="71"/>
  <c r="AK583" i="71" s="1"/>
  <c r="AM583" i="71" s="1"/>
  <c r="AI582" i="71"/>
  <c r="AK582" i="71" s="1"/>
  <c r="AM582" i="71" s="1"/>
  <c r="AI581" i="71"/>
  <c r="AK581" i="71" s="1"/>
  <c r="AM581" i="71" s="1"/>
  <c r="AI580" i="71"/>
  <c r="AK580" i="71" s="1"/>
  <c r="AM580" i="71" s="1"/>
  <c r="AI579" i="71"/>
  <c r="AK579" i="71" s="1"/>
  <c r="AM579" i="71" s="1"/>
  <c r="AI578" i="71"/>
  <c r="AK578" i="71" s="1"/>
  <c r="AM578" i="71" s="1"/>
  <c r="AI577" i="71"/>
  <c r="AK577" i="71" s="1"/>
  <c r="AM577" i="71" s="1"/>
  <c r="AI576" i="71"/>
  <c r="AK576" i="71" s="1"/>
  <c r="AM576" i="71" s="1"/>
  <c r="AI575" i="71"/>
  <c r="AK575" i="71" s="1"/>
  <c r="AM575" i="71" s="1"/>
  <c r="AI574" i="71"/>
  <c r="AK574" i="71" s="1"/>
  <c r="AM574" i="71" s="1"/>
  <c r="AI573" i="71"/>
  <c r="AK573" i="71" s="1"/>
  <c r="AM573" i="71" s="1"/>
  <c r="AI572" i="71"/>
  <c r="AK572" i="71" s="1"/>
  <c r="AM572" i="71" s="1"/>
  <c r="AI571" i="71"/>
  <c r="AK571" i="71" s="1"/>
  <c r="AM571" i="71" s="1"/>
  <c r="AI570" i="71"/>
  <c r="AK570" i="71" s="1"/>
  <c r="AM570" i="71" s="1"/>
  <c r="AI569" i="71"/>
  <c r="AK569" i="71" s="1"/>
  <c r="AM569" i="71" s="1"/>
  <c r="AI568" i="71"/>
  <c r="AK568" i="71" s="1"/>
  <c r="AM568" i="71" s="1"/>
  <c r="AI567" i="71"/>
  <c r="AK567" i="71" s="1"/>
  <c r="AM567" i="71" s="1"/>
  <c r="AI566" i="71"/>
  <c r="AK566" i="71" s="1"/>
  <c r="AM566" i="71" s="1"/>
  <c r="AI565" i="71"/>
  <c r="AK565" i="71" s="1"/>
  <c r="AM565" i="71" s="1"/>
  <c r="AI564" i="71"/>
  <c r="AK564" i="71" s="1"/>
  <c r="AM564" i="71" s="1"/>
  <c r="AI563" i="71"/>
  <c r="AK563" i="71" s="1"/>
  <c r="AM563" i="71" s="1"/>
  <c r="AI562" i="71"/>
  <c r="AK562" i="71" s="1"/>
  <c r="AM562" i="71" s="1"/>
  <c r="AI561" i="71"/>
  <c r="AK561" i="71" s="1"/>
  <c r="AM561" i="71" s="1"/>
  <c r="AI560" i="71"/>
  <c r="AK560" i="71" s="1"/>
  <c r="AM560" i="71" s="1"/>
  <c r="AI559" i="71"/>
  <c r="AK559" i="71" s="1"/>
  <c r="AM559" i="71" s="1"/>
  <c r="AI558" i="71"/>
  <c r="AK558" i="71" s="1"/>
  <c r="AM558" i="71" s="1"/>
  <c r="AI557" i="71"/>
  <c r="AK557" i="71" s="1"/>
  <c r="AM557" i="71" s="1"/>
  <c r="AI556" i="71"/>
  <c r="AK556" i="71" s="1"/>
  <c r="AM556" i="71" s="1"/>
  <c r="AI555" i="71"/>
  <c r="AK555" i="71" s="1"/>
  <c r="AM555" i="71" s="1"/>
  <c r="AI554" i="71"/>
  <c r="AK554" i="71" s="1"/>
  <c r="AM554" i="71" s="1"/>
  <c r="AI553" i="71"/>
  <c r="AK553" i="71" s="1"/>
  <c r="AM553" i="71" s="1"/>
  <c r="AI552" i="71"/>
  <c r="AK552" i="71" s="1"/>
  <c r="AM552" i="71" s="1"/>
  <c r="AI551" i="71"/>
  <c r="AK551" i="71" s="1"/>
  <c r="AM551" i="71" s="1"/>
  <c r="AI550" i="71"/>
  <c r="AK550" i="71" s="1"/>
  <c r="AM550" i="71" s="1"/>
  <c r="AI549" i="71"/>
  <c r="AK549" i="71" s="1"/>
  <c r="AM549" i="71" s="1"/>
  <c r="AI548" i="71"/>
  <c r="AK548" i="71" s="1"/>
  <c r="AM548" i="71" s="1"/>
  <c r="AI547" i="71"/>
  <c r="AK547" i="71" s="1"/>
  <c r="AM547" i="71" s="1"/>
  <c r="AI546" i="71"/>
  <c r="AK546" i="71" s="1"/>
  <c r="AM546" i="71" s="1"/>
  <c r="AI545" i="71"/>
  <c r="AK545" i="71" s="1"/>
  <c r="AM545" i="71" s="1"/>
  <c r="AI544" i="71"/>
  <c r="AK544" i="71" s="1"/>
  <c r="AM544" i="71" s="1"/>
  <c r="AI543" i="71"/>
  <c r="AK543" i="71" s="1"/>
  <c r="AM543" i="71" s="1"/>
  <c r="AI542" i="71"/>
  <c r="AK542" i="71" s="1"/>
  <c r="AM542" i="71" s="1"/>
  <c r="AI541" i="71"/>
  <c r="AK541" i="71" s="1"/>
  <c r="AM541" i="71" s="1"/>
  <c r="AI540" i="71"/>
  <c r="AK540" i="71" s="1"/>
  <c r="AM540" i="71" s="1"/>
  <c r="AI539" i="71"/>
  <c r="AK539" i="71" s="1"/>
  <c r="AM539" i="71" s="1"/>
  <c r="AI538" i="71"/>
  <c r="AK538" i="71" s="1"/>
  <c r="AM538" i="71" s="1"/>
  <c r="AI537" i="71"/>
  <c r="AK537" i="71" s="1"/>
  <c r="AM537" i="71" s="1"/>
  <c r="AI536" i="71"/>
  <c r="AK536" i="71" s="1"/>
  <c r="AM536" i="71" s="1"/>
  <c r="AI535" i="71"/>
  <c r="AK535" i="71" s="1"/>
  <c r="AM535" i="71" s="1"/>
  <c r="AI534" i="71"/>
  <c r="AK534" i="71" s="1"/>
  <c r="AM534" i="71" s="1"/>
  <c r="AI533" i="71"/>
  <c r="AK533" i="71" s="1"/>
  <c r="AM533" i="71" s="1"/>
  <c r="AI532" i="71"/>
  <c r="AK532" i="71" s="1"/>
  <c r="AM532" i="71" s="1"/>
  <c r="AI531" i="71"/>
  <c r="AK531" i="71" s="1"/>
  <c r="AM531" i="71" s="1"/>
  <c r="AI530" i="71"/>
  <c r="AK530" i="71" s="1"/>
  <c r="AM530" i="71" s="1"/>
  <c r="AI529" i="71"/>
  <c r="AK529" i="71" s="1"/>
  <c r="AM529" i="71" s="1"/>
  <c r="AI528" i="71"/>
  <c r="AK528" i="71" s="1"/>
  <c r="AM528" i="71" s="1"/>
  <c r="AI527" i="71"/>
  <c r="AK527" i="71" s="1"/>
  <c r="AM527" i="71" s="1"/>
  <c r="AI526" i="71"/>
  <c r="AK526" i="71" s="1"/>
  <c r="AM526" i="71" s="1"/>
  <c r="AI525" i="71"/>
  <c r="AK525" i="71" s="1"/>
  <c r="AM525" i="71" s="1"/>
  <c r="AI524" i="71"/>
  <c r="AK524" i="71" s="1"/>
  <c r="AM524" i="71" s="1"/>
  <c r="AI523" i="71"/>
  <c r="AK523" i="71" s="1"/>
  <c r="AM523" i="71" s="1"/>
  <c r="AI522" i="71"/>
  <c r="AK522" i="71" s="1"/>
  <c r="AM522" i="71" s="1"/>
  <c r="AI521" i="71"/>
  <c r="AK521" i="71" s="1"/>
  <c r="AM521" i="71" s="1"/>
  <c r="AI520" i="71"/>
  <c r="AK520" i="71" s="1"/>
  <c r="AM520" i="71" s="1"/>
  <c r="AI519" i="71"/>
  <c r="AK519" i="71" s="1"/>
  <c r="AM519" i="71" s="1"/>
  <c r="AI518" i="71"/>
  <c r="AK518" i="71" s="1"/>
  <c r="AM518" i="71" s="1"/>
  <c r="AI517" i="71"/>
  <c r="AK517" i="71" s="1"/>
  <c r="AM517" i="71" s="1"/>
  <c r="AI516" i="71"/>
  <c r="AK516" i="71" s="1"/>
  <c r="AM516" i="71" s="1"/>
  <c r="AI515" i="71"/>
  <c r="AK515" i="71" s="1"/>
  <c r="AM515" i="71" s="1"/>
  <c r="AI514" i="71"/>
  <c r="AK514" i="71" s="1"/>
  <c r="AM514" i="71" s="1"/>
  <c r="AI513" i="71"/>
  <c r="AK513" i="71" s="1"/>
  <c r="AM513" i="71" s="1"/>
  <c r="AI512" i="71"/>
  <c r="AK512" i="71" s="1"/>
  <c r="AM512" i="71" s="1"/>
  <c r="AI511" i="71"/>
  <c r="AK511" i="71" s="1"/>
  <c r="AM511" i="71" s="1"/>
  <c r="AI510" i="71"/>
  <c r="AK510" i="71" s="1"/>
  <c r="AM510" i="71" s="1"/>
  <c r="AI509" i="71"/>
  <c r="AK509" i="71" s="1"/>
  <c r="AM509" i="71" s="1"/>
  <c r="AI508" i="71"/>
  <c r="AK508" i="71" s="1"/>
  <c r="AM508" i="71" s="1"/>
  <c r="AI507" i="71"/>
  <c r="AK507" i="71" s="1"/>
  <c r="AM507" i="71" s="1"/>
  <c r="AI506" i="71"/>
  <c r="AK506" i="71" s="1"/>
  <c r="AM506" i="71" s="1"/>
  <c r="AI505" i="71"/>
  <c r="AK505" i="71" s="1"/>
  <c r="AM505" i="71" s="1"/>
  <c r="AI504" i="71"/>
  <c r="AK504" i="71" s="1"/>
  <c r="AM504" i="71" s="1"/>
  <c r="AI503" i="71"/>
  <c r="AK503" i="71" s="1"/>
  <c r="AM503" i="71" s="1"/>
  <c r="AI502" i="71"/>
  <c r="AK502" i="71" s="1"/>
  <c r="AM502" i="71" s="1"/>
  <c r="AI501" i="71"/>
  <c r="AK501" i="71" s="1"/>
  <c r="AM501" i="71" s="1"/>
  <c r="AI500" i="71"/>
  <c r="AK500" i="71" s="1"/>
  <c r="AM500" i="71" s="1"/>
  <c r="AI499" i="71"/>
  <c r="AK499" i="71" s="1"/>
  <c r="AM499" i="71" s="1"/>
  <c r="AI498" i="71"/>
  <c r="AK498" i="71" s="1"/>
  <c r="AM498" i="71" s="1"/>
  <c r="AI497" i="71"/>
  <c r="AK497" i="71" s="1"/>
  <c r="AM497" i="71" s="1"/>
  <c r="AI496" i="71"/>
  <c r="AK496" i="71" s="1"/>
  <c r="AM496" i="71" s="1"/>
  <c r="AI495" i="71"/>
  <c r="AK495" i="71" s="1"/>
  <c r="AM495" i="71" s="1"/>
  <c r="AI494" i="71"/>
  <c r="AK494" i="71" s="1"/>
  <c r="AM494" i="71" s="1"/>
  <c r="AI493" i="71"/>
  <c r="AK493" i="71" s="1"/>
  <c r="AM493" i="71" s="1"/>
  <c r="AI492" i="71"/>
  <c r="AK492" i="71" s="1"/>
  <c r="AM492" i="71" s="1"/>
  <c r="AI491" i="71"/>
  <c r="AK491" i="71" s="1"/>
  <c r="AM491" i="71" s="1"/>
  <c r="AI490" i="71"/>
  <c r="AK490" i="71" s="1"/>
  <c r="AM490" i="71" s="1"/>
  <c r="AI489" i="71"/>
  <c r="AK489" i="71" s="1"/>
  <c r="AM489" i="71" s="1"/>
  <c r="AI488" i="71"/>
  <c r="AK488" i="71" s="1"/>
  <c r="AM488" i="71" s="1"/>
  <c r="AI487" i="71"/>
  <c r="AK487" i="71" s="1"/>
  <c r="AM487" i="71" s="1"/>
  <c r="AI486" i="71"/>
  <c r="AK486" i="71" s="1"/>
  <c r="AM486" i="71" s="1"/>
  <c r="AI485" i="71"/>
  <c r="AK485" i="71" s="1"/>
  <c r="AM485" i="71" s="1"/>
  <c r="AI484" i="71"/>
  <c r="AK484" i="71" s="1"/>
  <c r="AM484" i="71" s="1"/>
  <c r="AI483" i="71"/>
  <c r="AK483" i="71" s="1"/>
  <c r="AM483" i="71" s="1"/>
  <c r="AI482" i="71"/>
  <c r="AK482" i="71" s="1"/>
  <c r="AM482" i="71" s="1"/>
  <c r="AI481" i="71"/>
  <c r="AK481" i="71" s="1"/>
  <c r="AM481" i="71" s="1"/>
  <c r="AI480" i="71"/>
  <c r="AK480" i="71" s="1"/>
  <c r="AM480" i="71" s="1"/>
  <c r="AI479" i="71"/>
  <c r="AK479" i="71" s="1"/>
  <c r="AM479" i="71" s="1"/>
  <c r="AI478" i="71"/>
  <c r="AK478" i="71" s="1"/>
  <c r="AM478" i="71" s="1"/>
  <c r="AI477" i="71"/>
  <c r="AK477" i="71" s="1"/>
  <c r="AM477" i="71" s="1"/>
  <c r="AI476" i="71"/>
  <c r="AK476" i="71" s="1"/>
  <c r="AM476" i="71" s="1"/>
  <c r="AI475" i="71"/>
  <c r="AK475" i="71" s="1"/>
  <c r="AM475" i="71" s="1"/>
  <c r="AI474" i="71"/>
  <c r="AK474" i="71" s="1"/>
  <c r="AM474" i="71" s="1"/>
  <c r="AI473" i="71"/>
  <c r="AK473" i="71" s="1"/>
  <c r="AM473" i="71" s="1"/>
  <c r="AI472" i="71"/>
  <c r="AK472" i="71" s="1"/>
  <c r="AM472" i="71" s="1"/>
  <c r="AI471" i="71"/>
  <c r="AK471" i="71" s="1"/>
  <c r="AM471" i="71" s="1"/>
  <c r="AI470" i="71"/>
  <c r="AK470" i="71" s="1"/>
  <c r="AM470" i="71" s="1"/>
  <c r="AI469" i="71"/>
  <c r="AK469" i="71" s="1"/>
  <c r="AM469" i="71" s="1"/>
  <c r="AI468" i="71"/>
  <c r="AK468" i="71" s="1"/>
  <c r="AM468" i="71" s="1"/>
  <c r="AI467" i="71"/>
  <c r="AK467" i="71" s="1"/>
  <c r="AM467" i="71" s="1"/>
  <c r="AI466" i="71"/>
  <c r="AK466" i="71" s="1"/>
  <c r="AM466" i="71" s="1"/>
  <c r="AI465" i="71"/>
  <c r="AK465" i="71" s="1"/>
  <c r="AM465" i="71" s="1"/>
  <c r="AI464" i="71"/>
  <c r="AK464" i="71" s="1"/>
  <c r="AM464" i="71" s="1"/>
  <c r="AI463" i="71"/>
  <c r="AK463" i="71" s="1"/>
  <c r="AM463" i="71" s="1"/>
  <c r="AI462" i="71"/>
  <c r="AK462" i="71" s="1"/>
  <c r="AM462" i="71" s="1"/>
  <c r="AI461" i="71"/>
  <c r="AK461" i="71" s="1"/>
  <c r="AM461" i="71" s="1"/>
  <c r="AI460" i="71"/>
  <c r="AK460" i="71" s="1"/>
  <c r="AM460" i="71" s="1"/>
  <c r="AI459" i="71"/>
  <c r="AK459" i="71" s="1"/>
  <c r="AM459" i="71" s="1"/>
  <c r="AI458" i="71"/>
  <c r="AK458" i="71" s="1"/>
  <c r="AM458" i="71" s="1"/>
  <c r="AI457" i="71"/>
  <c r="AK457" i="71" s="1"/>
  <c r="AM457" i="71" s="1"/>
  <c r="AI456" i="71"/>
  <c r="AK456" i="71" s="1"/>
  <c r="AM456" i="71" s="1"/>
  <c r="AI455" i="71"/>
  <c r="AK455" i="71" s="1"/>
  <c r="AM455" i="71" s="1"/>
  <c r="AI454" i="71"/>
  <c r="AK454" i="71" s="1"/>
  <c r="AM454" i="71" s="1"/>
  <c r="AI453" i="71"/>
  <c r="AK453" i="71" s="1"/>
  <c r="AM453" i="71" s="1"/>
  <c r="AI452" i="71"/>
  <c r="AK452" i="71" s="1"/>
  <c r="AM452" i="71" s="1"/>
  <c r="AI451" i="71"/>
  <c r="AK451" i="71" s="1"/>
  <c r="AM451" i="71" s="1"/>
  <c r="AI450" i="71"/>
  <c r="AK450" i="71" s="1"/>
  <c r="AM450" i="71" s="1"/>
  <c r="AI449" i="71"/>
  <c r="AK449" i="71" s="1"/>
  <c r="AM449" i="71" s="1"/>
  <c r="AI448" i="71"/>
  <c r="AK448" i="71" s="1"/>
  <c r="AM448" i="71" s="1"/>
  <c r="AI447" i="71"/>
  <c r="AK447" i="71" s="1"/>
  <c r="AM447" i="71" s="1"/>
  <c r="AI446" i="71"/>
  <c r="AK446" i="71" s="1"/>
  <c r="AM446" i="71" s="1"/>
  <c r="AI445" i="71"/>
  <c r="AK445" i="71" s="1"/>
  <c r="AM445" i="71" s="1"/>
  <c r="AI444" i="71"/>
  <c r="AK444" i="71" s="1"/>
  <c r="AM444" i="71" s="1"/>
  <c r="AI443" i="71"/>
  <c r="AK443" i="71" s="1"/>
  <c r="AM443" i="71" s="1"/>
  <c r="AI442" i="71"/>
  <c r="AK442" i="71" s="1"/>
  <c r="AM442" i="71" s="1"/>
  <c r="AI441" i="71"/>
  <c r="AK441" i="71" s="1"/>
  <c r="AM441" i="71" s="1"/>
  <c r="AI440" i="71"/>
  <c r="AK440" i="71" s="1"/>
  <c r="AM440" i="71" s="1"/>
  <c r="AI439" i="71"/>
  <c r="AK439" i="71" s="1"/>
  <c r="AM439" i="71" s="1"/>
  <c r="AI438" i="71"/>
  <c r="AK438" i="71" s="1"/>
  <c r="AM438" i="71" s="1"/>
  <c r="AI437" i="71"/>
  <c r="AK437" i="71" s="1"/>
  <c r="AM437" i="71" s="1"/>
  <c r="AI436" i="71"/>
  <c r="AK436" i="71" s="1"/>
  <c r="AM436" i="71" s="1"/>
  <c r="AI435" i="71"/>
  <c r="AK435" i="71" s="1"/>
  <c r="AM435" i="71" s="1"/>
  <c r="AI434" i="71"/>
  <c r="AK434" i="71" s="1"/>
  <c r="AM434" i="71" s="1"/>
  <c r="AI433" i="71"/>
  <c r="AK433" i="71" s="1"/>
  <c r="AM433" i="71" s="1"/>
  <c r="AI432" i="71"/>
  <c r="AK432" i="71" s="1"/>
  <c r="AM432" i="71" s="1"/>
  <c r="AI431" i="71"/>
  <c r="AK431" i="71" s="1"/>
  <c r="AM431" i="71" s="1"/>
  <c r="AI430" i="71"/>
  <c r="AK430" i="71" s="1"/>
  <c r="AM430" i="71" s="1"/>
  <c r="AI429" i="71"/>
  <c r="AK429" i="71" s="1"/>
  <c r="AM429" i="71" s="1"/>
  <c r="AI428" i="71"/>
  <c r="AK428" i="71" s="1"/>
  <c r="AM428" i="71" s="1"/>
  <c r="AI427" i="71"/>
  <c r="AK427" i="71" s="1"/>
  <c r="AM427" i="71" s="1"/>
  <c r="AI426" i="71"/>
  <c r="AK426" i="71" s="1"/>
  <c r="AM426" i="71" s="1"/>
  <c r="AI425" i="71"/>
  <c r="AK425" i="71" s="1"/>
  <c r="AM425" i="71" s="1"/>
  <c r="AI424" i="71"/>
  <c r="AK424" i="71" s="1"/>
  <c r="AM424" i="71" s="1"/>
  <c r="AI423" i="71"/>
  <c r="AK423" i="71" s="1"/>
  <c r="AM423" i="71" s="1"/>
  <c r="AI422" i="71"/>
  <c r="AK422" i="71" s="1"/>
  <c r="AM422" i="71" s="1"/>
  <c r="AI421" i="71"/>
  <c r="AK421" i="71" s="1"/>
  <c r="AM421" i="71" s="1"/>
  <c r="AI420" i="71"/>
  <c r="AK420" i="71" s="1"/>
  <c r="AM420" i="71" s="1"/>
  <c r="AI419" i="71"/>
  <c r="AK419" i="71" s="1"/>
  <c r="AM419" i="71" s="1"/>
  <c r="AI418" i="71"/>
  <c r="AK418" i="71" s="1"/>
  <c r="AM418" i="71" s="1"/>
  <c r="AI417" i="71"/>
  <c r="AK417" i="71" s="1"/>
  <c r="AM417" i="71" s="1"/>
  <c r="AI416" i="71"/>
  <c r="AK416" i="71" s="1"/>
  <c r="AM416" i="71" s="1"/>
  <c r="AI415" i="71"/>
  <c r="AK415" i="71" s="1"/>
  <c r="AM415" i="71" s="1"/>
  <c r="AI414" i="71"/>
  <c r="AK414" i="71" s="1"/>
  <c r="AM414" i="71" s="1"/>
  <c r="AI413" i="71"/>
  <c r="AK413" i="71" s="1"/>
  <c r="AM413" i="71" s="1"/>
  <c r="AI412" i="71"/>
  <c r="AK412" i="71" s="1"/>
  <c r="AM412" i="71" s="1"/>
  <c r="AI411" i="71"/>
  <c r="AK411" i="71" s="1"/>
  <c r="AM411" i="71" s="1"/>
  <c r="AI410" i="71"/>
  <c r="AK410" i="71" s="1"/>
  <c r="AM410" i="71" s="1"/>
  <c r="AI409" i="71"/>
  <c r="AK409" i="71" s="1"/>
  <c r="AM409" i="71" s="1"/>
  <c r="AI408" i="71"/>
  <c r="AK408" i="71" s="1"/>
  <c r="AM408" i="71" s="1"/>
  <c r="AI407" i="71"/>
  <c r="AK407" i="71" s="1"/>
  <c r="AM407" i="71" s="1"/>
  <c r="AI406" i="71"/>
  <c r="AK406" i="71" s="1"/>
  <c r="AM406" i="71" s="1"/>
  <c r="AI405" i="71"/>
  <c r="AK405" i="71" s="1"/>
  <c r="AM405" i="71" s="1"/>
  <c r="AI404" i="71"/>
  <c r="AK404" i="71" s="1"/>
  <c r="AM404" i="71" s="1"/>
  <c r="AI403" i="71"/>
  <c r="AK403" i="71" s="1"/>
  <c r="AM403" i="71" s="1"/>
  <c r="AI402" i="71"/>
  <c r="AK402" i="71" s="1"/>
  <c r="AM402" i="71" s="1"/>
  <c r="AI401" i="71"/>
  <c r="AK401" i="71" s="1"/>
  <c r="AM401" i="71" s="1"/>
  <c r="AI400" i="71"/>
  <c r="AK400" i="71" s="1"/>
  <c r="AM400" i="71" s="1"/>
  <c r="AI399" i="71"/>
  <c r="AK399" i="71" s="1"/>
  <c r="AM399" i="71" s="1"/>
  <c r="AI398" i="71"/>
  <c r="AK398" i="71" s="1"/>
  <c r="AM398" i="71" s="1"/>
  <c r="AI397" i="71"/>
  <c r="AK397" i="71" s="1"/>
  <c r="AM397" i="71" s="1"/>
  <c r="AI396" i="71"/>
  <c r="AK396" i="71" s="1"/>
  <c r="AM396" i="71" s="1"/>
  <c r="AI395" i="71"/>
  <c r="AK395" i="71" s="1"/>
  <c r="AM395" i="71" s="1"/>
  <c r="AI394" i="71"/>
  <c r="AK394" i="71" s="1"/>
  <c r="AM394" i="71" s="1"/>
  <c r="AI393" i="71"/>
  <c r="AK393" i="71" s="1"/>
  <c r="AM393" i="71" s="1"/>
  <c r="AI392" i="71"/>
  <c r="AK392" i="71" s="1"/>
  <c r="AM392" i="71" s="1"/>
  <c r="AI391" i="71"/>
  <c r="AK391" i="71" s="1"/>
  <c r="AM391" i="71" s="1"/>
  <c r="AI390" i="71"/>
  <c r="AK390" i="71" s="1"/>
  <c r="AM390" i="71" s="1"/>
  <c r="AI389" i="71"/>
  <c r="AK389" i="71" s="1"/>
  <c r="AM389" i="71" s="1"/>
  <c r="AI388" i="71"/>
  <c r="AK388" i="71" s="1"/>
  <c r="AM388" i="71" s="1"/>
  <c r="AI387" i="71"/>
  <c r="AK387" i="71" s="1"/>
  <c r="AM387" i="71" s="1"/>
  <c r="AI386" i="71"/>
  <c r="AK386" i="71" s="1"/>
  <c r="AM386" i="71" s="1"/>
  <c r="AI385" i="71"/>
  <c r="AK385" i="71" s="1"/>
  <c r="AM385" i="71" s="1"/>
  <c r="AI384" i="71"/>
  <c r="AK384" i="71" s="1"/>
  <c r="AM384" i="71" s="1"/>
  <c r="AI383" i="71"/>
  <c r="AK383" i="71" s="1"/>
  <c r="AM383" i="71" s="1"/>
  <c r="AI382" i="71"/>
  <c r="AK382" i="71" s="1"/>
  <c r="AM382" i="71" s="1"/>
  <c r="AI381" i="71"/>
  <c r="AK381" i="71" s="1"/>
  <c r="AM381" i="71" s="1"/>
  <c r="AI380" i="71"/>
  <c r="AK380" i="71" s="1"/>
  <c r="AM380" i="71" s="1"/>
  <c r="AI379" i="71"/>
  <c r="AK379" i="71" s="1"/>
  <c r="AM379" i="71" s="1"/>
  <c r="AI378" i="71"/>
  <c r="AK378" i="71" s="1"/>
  <c r="AM378" i="71" s="1"/>
  <c r="AI377" i="71"/>
  <c r="AK377" i="71" s="1"/>
  <c r="AM377" i="71" s="1"/>
  <c r="AI376" i="71"/>
  <c r="AK376" i="71" s="1"/>
  <c r="AM376" i="71" s="1"/>
  <c r="AI375" i="71"/>
  <c r="AK375" i="71" s="1"/>
  <c r="AM375" i="71" s="1"/>
  <c r="AI374" i="71"/>
  <c r="AK374" i="71" s="1"/>
  <c r="AM374" i="71" s="1"/>
  <c r="AI373" i="71"/>
  <c r="AK373" i="71" s="1"/>
  <c r="AM373" i="71" s="1"/>
  <c r="AI372" i="71"/>
  <c r="AK372" i="71" s="1"/>
  <c r="AM372" i="71" s="1"/>
  <c r="AI371" i="71"/>
  <c r="AK371" i="71" s="1"/>
  <c r="AM371" i="71" s="1"/>
  <c r="AI370" i="71"/>
  <c r="AK370" i="71" s="1"/>
  <c r="AM370" i="71" s="1"/>
  <c r="AI369" i="71"/>
  <c r="AK369" i="71" s="1"/>
  <c r="AM369" i="71" s="1"/>
  <c r="AI368" i="71"/>
  <c r="AK368" i="71" s="1"/>
  <c r="AM368" i="71" s="1"/>
  <c r="AI367" i="71"/>
  <c r="AK367" i="71" s="1"/>
  <c r="AM367" i="71" s="1"/>
  <c r="AI366" i="71"/>
  <c r="AK366" i="71" s="1"/>
  <c r="AM366" i="71" s="1"/>
  <c r="AI365" i="71"/>
  <c r="AK365" i="71" s="1"/>
  <c r="AM365" i="71" s="1"/>
  <c r="AI364" i="71"/>
  <c r="AK364" i="71" s="1"/>
  <c r="AM364" i="71" s="1"/>
  <c r="AI363" i="71"/>
  <c r="AK363" i="71" s="1"/>
  <c r="AM363" i="71" s="1"/>
  <c r="AI362" i="71"/>
  <c r="AK362" i="71" s="1"/>
  <c r="AM362" i="71" s="1"/>
  <c r="AI361" i="71"/>
  <c r="AK361" i="71" s="1"/>
  <c r="AM361" i="71" s="1"/>
  <c r="AI360" i="71"/>
  <c r="AK360" i="71" s="1"/>
  <c r="AM360" i="71" s="1"/>
  <c r="AI359" i="71"/>
  <c r="AK359" i="71" s="1"/>
  <c r="AM359" i="71" s="1"/>
  <c r="AI358" i="71"/>
  <c r="AK358" i="71" s="1"/>
  <c r="AM358" i="71" s="1"/>
  <c r="AI357" i="71"/>
  <c r="AK357" i="71" s="1"/>
  <c r="AM357" i="71" s="1"/>
  <c r="AI356" i="71"/>
  <c r="AK356" i="71" s="1"/>
  <c r="AM356" i="71" s="1"/>
  <c r="AI355" i="71"/>
  <c r="AK355" i="71" s="1"/>
  <c r="AM355" i="71" s="1"/>
  <c r="AI354" i="71"/>
  <c r="AK354" i="71" s="1"/>
  <c r="AM354" i="71" s="1"/>
  <c r="AI353" i="71"/>
  <c r="AK353" i="71" s="1"/>
  <c r="AM353" i="71" s="1"/>
  <c r="AI352" i="71"/>
  <c r="AK352" i="71" s="1"/>
  <c r="AM352" i="71" s="1"/>
  <c r="AI351" i="71"/>
  <c r="AK351" i="71" s="1"/>
  <c r="AM351" i="71" s="1"/>
  <c r="AI350" i="71"/>
  <c r="AK350" i="71" s="1"/>
  <c r="AM350" i="71" s="1"/>
  <c r="AI349" i="71"/>
  <c r="AK349" i="71" s="1"/>
  <c r="AM349" i="71" s="1"/>
  <c r="AI348" i="71"/>
  <c r="AK348" i="71" s="1"/>
  <c r="AM348" i="71" s="1"/>
  <c r="AI347" i="71"/>
  <c r="AK347" i="71" s="1"/>
  <c r="AM347" i="71" s="1"/>
  <c r="AI346" i="71"/>
  <c r="AK346" i="71" s="1"/>
  <c r="AM346" i="71" s="1"/>
  <c r="AI345" i="71"/>
  <c r="AK345" i="71" s="1"/>
  <c r="AM345" i="71" s="1"/>
  <c r="AI344" i="71"/>
  <c r="AK344" i="71" s="1"/>
  <c r="AM344" i="71" s="1"/>
  <c r="AI343" i="71"/>
  <c r="AK343" i="71" s="1"/>
  <c r="AM343" i="71" s="1"/>
  <c r="AI342" i="71"/>
  <c r="AK342" i="71" s="1"/>
  <c r="AM342" i="71" s="1"/>
  <c r="AI341" i="71"/>
  <c r="AK341" i="71" s="1"/>
  <c r="AM341" i="71" s="1"/>
  <c r="AI340" i="71"/>
  <c r="AK340" i="71" s="1"/>
  <c r="AM340" i="71" s="1"/>
  <c r="AI339" i="71"/>
  <c r="AK339" i="71" s="1"/>
  <c r="AM339" i="71" s="1"/>
  <c r="AI338" i="71"/>
  <c r="AK338" i="71" s="1"/>
  <c r="AM338" i="71" s="1"/>
  <c r="AI337" i="71"/>
  <c r="AK337" i="71" s="1"/>
  <c r="AM337" i="71" s="1"/>
  <c r="AI336" i="71"/>
  <c r="AK336" i="71" s="1"/>
  <c r="AM336" i="71" s="1"/>
  <c r="AI335" i="71"/>
  <c r="AK335" i="71" s="1"/>
  <c r="AM335" i="71" s="1"/>
  <c r="AI334" i="71"/>
  <c r="AK334" i="71" s="1"/>
  <c r="AM334" i="71" s="1"/>
  <c r="AI333" i="71"/>
  <c r="AK333" i="71" s="1"/>
  <c r="AM333" i="71" s="1"/>
  <c r="AI332" i="71"/>
  <c r="AK332" i="71" s="1"/>
  <c r="AM332" i="71" s="1"/>
  <c r="AI331" i="71"/>
  <c r="AK331" i="71" s="1"/>
  <c r="AM331" i="71" s="1"/>
  <c r="AI330" i="71"/>
  <c r="AK330" i="71" s="1"/>
  <c r="AM330" i="71" s="1"/>
  <c r="AI329" i="71"/>
  <c r="AK329" i="71" s="1"/>
  <c r="AM329" i="71" s="1"/>
  <c r="AI328" i="71"/>
  <c r="AK328" i="71" s="1"/>
  <c r="AM328" i="71" s="1"/>
  <c r="AI327" i="71"/>
  <c r="AK327" i="71" s="1"/>
  <c r="AM327" i="71" s="1"/>
  <c r="AI326" i="71"/>
  <c r="AK326" i="71" s="1"/>
  <c r="AM326" i="71" s="1"/>
  <c r="AI325" i="71"/>
  <c r="AK325" i="71" s="1"/>
  <c r="AM325" i="71" s="1"/>
  <c r="AI324" i="71"/>
  <c r="AK324" i="71" s="1"/>
  <c r="AM324" i="71" s="1"/>
  <c r="AI323" i="71"/>
  <c r="AK323" i="71" s="1"/>
  <c r="AM323" i="71" s="1"/>
  <c r="AI322" i="71"/>
  <c r="AK322" i="71" s="1"/>
  <c r="AM322" i="71" s="1"/>
  <c r="AI321" i="71"/>
  <c r="AK321" i="71" s="1"/>
  <c r="AM321" i="71" s="1"/>
  <c r="AI320" i="71"/>
  <c r="AK320" i="71" s="1"/>
  <c r="AM320" i="71" s="1"/>
  <c r="AI319" i="71"/>
  <c r="AK319" i="71" s="1"/>
  <c r="AM319" i="71" s="1"/>
  <c r="AI318" i="71"/>
  <c r="AK318" i="71" s="1"/>
  <c r="AM318" i="71" s="1"/>
  <c r="AI317" i="71"/>
  <c r="AK317" i="71" s="1"/>
  <c r="AM317" i="71" s="1"/>
  <c r="AI316" i="71"/>
  <c r="AK316" i="71" s="1"/>
  <c r="AM316" i="71" s="1"/>
  <c r="AI315" i="71"/>
  <c r="AK315" i="71" s="1"/>
  <c r="AM315" i="71" s="1"/>
  <c r="AI314" i="71"/>
  <c r="AK314" i="71" s="1"/>
  <c r="AM314" i="71" s="1"/>
  <c r="AI313" i="71"/>
  <c r="AK313" i="71" s="1"/>
  <c r="AM313" i="71" s="1"/>
  <c r="AI312" i="71"/>
  <c r="AK312" i="71" s="1"/>
  <c r="AM312" i="71" s="1"/>
  <c r="AI311" i="71"/>
  <c r="AK311" i="71" s="1"/>
  <c r="AM311" i="71" s="1"/>
  <c r="AI310" i="71"/>
  <c r="AK310" i="71" s="1"/>
  <c r="AM310" i="71" s="1"/>
  <c r="AI309" i="71"/>
  <c r="AK309" i="71" s="1"/>
  <c r="AM309" i="71" s="1"/>
  <c r="AI308" i="71"/>
  <c r="AK308" i="71" s="1"/>
  <c r="AM308" i="71" s="1"/>
  <c r="AI307" i="71"/>
  <c r="AK307" i="71" s="1"/>
  <c r="AM307" i="71" s="1"/>
  <c r="AI306" i="71"/>
  <c r="AK306" i="71" s="1"/>
  <c r="AM306" i="71" s="1"/>
  <c r="AI305" i="71"/>
  <c r="AK305" i="71" s="1"/>
  <c r="AM305" i="71" s="1"/>
  <c r="AI304" i="71"/>
  <c r="AK304" i="71" s="1"/>
  <c r="AM304" i="71" s="1"/>
  <c r="AI303" i="71"/>
  <c r="AK303" i="71" s="1"/>
  <c r="AM303" i="71" s="1"/>
  <c r="AI302" i="71"/>
  <c r="AK302" i="71" s="1"/>
  <c r="AM302" i="71" s="1"/>
  <c r="AI301" i="71"/>
  <c r="AK301" i="71" s="1"/>
  <c r="AM301" i="71" s="1"/>
  <c r="AI300" i="71"/>
  <c r="AK300" i="71" s="1"/>
  <c r="AM300" i="71" s="1"/>
  <c r="AI299" i="71"/>
  <c r="AK299" i="71" s="1"/>
  <c r="AM299" i="71" s="1"/>
  <c r="AI298" i="71"/>
  <c r="AK298" i="71" s="1"/>
  <c r="AM298" i="71" s="1"/>
  <c r="AI297" i="71"/>
  <c r="AK297" i="71" s="1"/>
  <c r="AM297" i="71" s="1"/>
  <c r="AI296" i="71"/>
  <c r="AK296" i="71" s="1"/>
  <c r="AM296" i="71" s="1"/>
  <c r="AI295" i="71"/>
  <c r="AK295" i="71" s="1"/>
  <c r="AM295" i="71" s="1"/>
  <c r="AI294" i="71"/>
  <c r="AK294" i="71" s="1"/>
  <c r="AM294" i="71" s="1"/>
  <c r="AI293" i="71"/>
  <c r="AK293" i="71" s="1"/>
  <c r="AM293" i="71" s="1"/>
  <c r="X292" i="71"/>
  <c r="AI292" i="71" s="1"/>
  <c r="AK292" i="71" s="1"/>
  <c r="AM292" i="71" s="1"/>
  <c r="AI291" i="71"/>
  <c r="AK291" i="71" s="1"/>
  <c r="AM291" i="71" s="1"/>
  <c r="AI290" i="71"/>
  <c r="AK290" i="71" s="1"/>
  <c r="AM290" i="71" s="1"/>
  <c r="AI289" i="71"/>
  <c r="AK289" i="71" s="1"/>
  <c r="AM289" i="71" s="1"/>
  <c r="AI288" i="71"/>
  <c r="AK288" i="71" s="1"/>
  <c r="AM288" i="71" s="1"/>
  <c r="AI287" i="71"/>
  <c r="AK287" i="71" s="1"/>
  <c r="AM287" i="71" s="1"/>
  <c r="AI286" i="71"/>
  <c r="AK286" i="71" s="1"/>
  <c r="AM286" i="71" s="1"/>
  <c r="AI285" i="71"/>
  <c r="AK285" i="71" s="1"/>
  <c r="AM285" i="71" s="1"/>
  <c r="AI284" i="71"/>
  <c r="AK284" i="71" s="1"/>
  <c r="AM284" i="71" s="1"/>
  <c r="AI283" i="71"/>
  <c r="AK283" i="71" s="1"/>
  <c r="AM283" i="71" s="1"/>
  <c r="AI282" i="71"/>
  <c r="AK282" i="71" s="1"/>
  <c r="AM282" i="71" s="1"/>
  <c r="AI281" i="71"/>
  <c r="AK281" i="71" s="1"/>
  <c r="AM281" i="71" s="1"/>
  <c r="AI280" i="71"/>
  <c r="AK280" i="71" s="1"/>
  <c r="AM280" i="71" s="1"/>
  <c r="AI279" i="71"/>
  <c r="AK279" i="71" s="1"/>
  <c r="AM279" i="71" s="1"/>
  <c r="AI278" i="71"/>
  <c r="AK278" i="71" s="1"/>
  <c r="AM278" i="71" s="1"/>
  <c r="AI277" i="71"/>
  <c r="AK277" i="71" s="1"/>
  <c r="AM277" i="71" s="1"/>
  <c r="AI276" i="71"/>
  <c r="AK276" i="71" s="1"/>
  <c r="AM276" i="71" s="1"/>
  <c r="AI275" i="71"/>
  <c r="AK275" i="71" s="1"/>
  <c r="AM275" i="71" s="1"/>
  <c r="AI274" i="71"/>
  <c r="AK274" i="71" s="1"/>
  <c r="AM274" i="71" s="1"/>
  <c r="AI273" i="71"/>
  <c r="AK273" i="71" s="1"/>
  <c r="AM273" i="71" s="1"/>
  <c r="AI272" i="71"/>
  <c r="AK272" i="71" s="1"/>
  <c r="AM272" i="71" s="1"/>
  <c r="AI271" i="71"/>
  <c r="AK271" i="71" s="1"/>
  <c r="AM271" i="71" s="1"/>
  <c r="AI270" i="71"/>
  <c r="AK270" i="71" s="1"/>
  <c r="AM270" i="71" s="1"/>
  <c r="AI269" i="71"/>
  <c r="AK269" i="71" s="1"/>
  <c r="AM269" i="71" s="1"/>
  <c r="W268" i="71"/>
  <c r="Q268" i="71"/>
  <c r="O268" i="71"/>
  <c r="M268" i="71"/>
  <c r="X267" i="71"/>
  <c r="U267" i="71"/>
  <c r="T267" i="71"/>
  <c r="R267" i="71"/>
  <c r="P267" i="71"/>
  <c r="O267" i="71"/>
  <c r="M267" i="71"/>
  <c r="AI266" i="71"/>
  <c r="AK266" i="71" s="1"/>
  <c r="AM266" i="71" s="1"/>
  <c r="AI265" i="71"/>
  <c r="AK265" i="71" s="1"/>
  <c r="AM265" i="71" s="1"/>
  <c r="AI264" i="71"/>
  <c r="AK264" i="71" s="1"/>
  <c r="AM264" i="71" s="1"/>
  <c r="AI263" i="71"/>
  <c r="AK263" i="71" s="1"/>
  <c r="AM263" i="71" s="1"/>
  <c r="AI262" i="71"/>
  <c r="AK262" i="71" s="1"/>
  <c r="AM262" i="71" s="1"/>
  <c r="AI261" i="71"/>
  <c r="AK261" i="71" s="1"/>
  <c r="AM261" i="71" s="1"/>
  <c r="AI260" i="71"/>
  <c r="AK260" i="71" s="1"/>
  <c r="AM260" i="71" s="1"/>
  <c r="AI259" i="71"/>
  <c r="AK259" i="71" s="1"/>
  <c r="AM259" i="71" s="1"/>
  <c r="Z258" i="71"/>
  <c r="AI258" i="71" s="1"/>
  <c r="AK258" i="71" s="1"/>
  <c r="AM258" i="71" s="1"/>
  <c r="AC257" i="71"/>
  <c r="AA257" i="71"/>
  <c r="AD256" i="71"/>
  <c r="AB256" i="71"/>
  <c r="AI255" i="71"/>
  <c r="AK255" i="71" s="1"/>
  <c r="AM255" i="71" s="1"/>
  <c r="AI254" i="71"/>
  <c r="AK254" i="71" s="1"/>
  <c r="AM254" i="71" s="1"/>
  <c r="AI253" i="71"/>
  <c r="AK253" i="71" s="1"/>
  <c r="AM253" i="71" s="1"/>
  <c r="AI252" i="71"/>
  <c r="AK252" i="71" s="1"/>
  <c r="AM252" i="71" s="1"/>
  <c r="AI251" i="71"/>
  <c r="AK251" i="71" s="1"/>
  <c r="AM251" i="71" s="1"/>
  <c r="AI250" i="71"/>
  <c r="AK250" i="71" s="1"/>
  <c r="AM250" i="71" s="1"/>
  <c r="AI249" i="71"/>
  <c r="AK249" i="71" s="1"/>
  <c r="AM249" i="71" s="1"/>
  <c r="AI248" i="71"/>
  <c r="AK248" i="71" s="1"/>
  <c r="AM248" i="71" s="1"/>
  <c r="AB247" i="71"/>
  <c r="AI247" i="71" s="1"/>
  <c r="AK247" i="71" s="1"/>
  <c r="AM247" i="71" s="1"/>
  <c r="AB246" i="71"/>
  <c r="AI246" i="71" s="1"/>
  <c r="AK246" i="71" s="1"/>
  <c r="AM246" i="71" s="1"/>
  <c r="AI245" i="71"/>
  <c r="AK245" i="71" s="1"/>
  <c r="AM245" i="71" s="1"/>
  <c r="AI244" i="71"/>
  <c r="AK244" i="71" s="1"/>
  <c r="AM244" i="71" s="1"/>
  <c r="AI243" i="71"/>
  <c r="AK243" i="71" s="1"/>
  <c r="AM243" i="71" s="1"/>
  <c r="AI242" i="71"/>
  <c r="AK242" i="71" s="1"/>
  <c r="AM242" i="71" s="1"/>
  <c r="AI241" i="71"/>
  <c r="AK241" i="71" s="1"/>
  <c r="AM241" i="71" s="1"/>
  <c r="AD240" i="71"/>
  <c r="AA240" i="71"/>
  <c r="X240" i="71"/>
  <c r="W240" i="71"/>
  <c r="U240" i="71"/>
  <c r="R240" i="71"/>
  <c r="P240" i="71"/>
  <c r="AI239" i="71"/>
  <c r="AK239" i="71" s="1"/>
  <c r="AM239" i="71" s="1"/>
  <c r="AI238" i="71"/>
  <c r="AK238" i="71" s="1"/>
  <c r="AM238" i="71" s="1"/>
  <c r="AI237" i="71"/>
  <c r="AK237" i="71" s="1"/>
  <c r="AM237" i="71" s="1"/>
  <c r="AI236" i="71"/>
  <c r="AK236" i="71" s="1"/>
  <c r="AM236" i="71" s="1"/>
  <c r="AD235" i="71"/>
  <c r="AA235" i="71"/>
  <c r="W235" i="71"/>
  <c r="AI234" i="71"/>
  <c r="AK234" i="71" s="1"/>
  <c r="AM234" i="71" s="1"/>
  <c r="AI233" i="71"/>
  <c r="AK233" i="71" s="1"/>
  <c r="AM233" i="71" s="1"/>
  <c r="AB232" i="71"/>
  <c r="V232" i="71"/>
  <c r="Q232" i="71"/>
  <c r="AI231" i="71"/>
  <c r="AK231" i="71" s="1"/>
  <c r="AM231" i="71" s="1"/>
  <c r="AI230" i="71"/>
  <c r="AK230" i="71" s="1"/>
  <c r="AM230" i="71" s="1"/>
  <c r="AI229" i="71"/>
  <c r="AK229" i="71" s="1"/>
  <c r="AM229" i="71" s="1"/>
  <c r="AI228" i="71"/>
  <c r="AK228" i="71" s="1"/>
  <c r="AM228" i="71" s="1"/>
  <c r="AI227" i="71"/>
  <c r="AK227" i="71" s="1"/>
  <c r="AM227" i="71" s="1"/>
  <c r="AI226" i="71"/>
  <c r="AK226" i="71" s="1"/>
  <c r="AM226" i="71" s="1"/>
  <c r="AI225" i="71"/>
  <c r="AK225" i="71" s="1"/>
  <c r="AM225" i="71" s="1"/>
  <c r="AI224" i="71"/>
  <c r="AK224" i="71" s="1"/>
  <c r="AM224" i="71" s="1"/>
  <c r="AI223" i="71"/>
  <c r="AK223" i="71" s="1"/>
  <c r="AM223" i="71" s="1"/>
  <c r="AI222" i="71"/>
  <c r="AK222" i="71" s="1"/>
  <c r="AM222" i="71" s="1"/>
  <c r="AI221" i="71"/>
  <c r="AK221" i="71" s="1"/>
  <c r="AM221" i="71" s="1"/>
  <c r="AI220" i="71"/>
  <c r="AK220" i="71" s="1"/>
  <c r="AM220" i="71" s="1"/>
  <c r="AI219" i="71"/>
  <c r="AK219" i="71" s="1"/>
  <c r="AM219" i="71" s="1"/>
  <c r="AI218" i="71"/>
  <c r="AK218" i="71" s="1"/>
  <c r="AM218" i="71" s="1"/>
  <c r="AI217" i="71"/>
  <c r="AK217" i="71" s="1"/>
  <c r="AM217" i="71" s="1"/>
  <c r="AI216" i="71"/>
  <c r="AK216" i="71" s="1"/>
  <c r="AM216" i="71" s="1"/>
  <c r="AI215" i="71"/>
  <c r="AK215" i="71" s="1"/>
  <c r="AM215" i="71" s="1"/>
  <c r="AI214" i="71"/>
  <c r="AK214" i="71" s="1"/>
  <c r="AM214" i="71" s="1"/>
  <c r="AI213" i="71"/>
  <c r="AK213" i="71" s="1"/>
  <c r="AM213" i="71" s="1"/>
  <c r="AI212" i="71"/>
  <c r="AK212" i="71" s="1"/>
  <c r="AM212" i="71" s="1"/>
  <c r="AI211" i="71"/>
  <c r="AK211" i="71" s="1"/>
  <c r="AM211" i="71" s="1"/>
  <c r="AI210" i="71"/>
  <c r="AK210" i="71" s="1"/>
  <c r="AM210" i="71" s="1"/>
  <c r="AI209" i="71"/>
  <c r="AK209" i="71" s="1"/>
  <c r="AM209" i="71" s="1"/>
  <c r="AI208" i="71"/>
  <c r="AK208" i="71" s="1"/>
  <c r="AM208" i="71" s="1"/>
  <c r="AI207" i="71"/>
  <c r="AK207" i="71" s="1"/>
  <c r="AM207" i="71" s="1"/>
  <c r="AI206" i="71"/>
  <c r="AK206" i="71" s="1"/>
  <c r="AM206" i="71" s="1"/>
  <c r="AI205" i="71"/>
  <c r="AK205" i="71" s="1"/>
  <c r="AM205" i="71" s="1"/>
  <c r="AI204" i="71"/>
  <c r="AK204" i="71" s="1"/>
  <c r="AM204" i="71" s="1"/>
  <c r="AI203" i="71"/>
  <c r="AK203" i="71" s="1"/>
  <c r="AM203" i="71" s="1"/>
  <c r="AI202" i="71"/>
  <c r="AK202" i="71" s="1"/>
  <c r="AM202" i="71" s="1"/>
  <c r="AI201" i="71"/>
  <c r="AK201" i="71" s="1"/>
  <c r="AM201" i="71" s="1"/>
  <c r="AI200" i="71"/>
  <c r="AK200" i="71" s="1"/>
  <c r="AM200" i="71" s="1"/>
  <c r="AI199" i="71"/>
  <c r="AK199" i="71" s="1"/>
  <c r="AM199" i="71" s="1"/>
  <c r="AI198" i="71"/>
  <c r="AK198" i="71" s="1"/>
  <c r="AM198" i="71" s="1"/>
  <c r="AI197" i="71"/>
  <c r="AK197" i="71" s="1"/>
  <c r="AM197" i="71" s="1"/>
  <c r="AI196" i="71"/>
  <c r="AK196" i="71" s="1"/>
  <c r="AM196" i="71" s="1"/>
  <c r="AI195" i="71"/>
  <c r="AK195" i="71" s="1"/>
  <c r="AM195" i="71" s="1"/>
  <c r="AI194" i="71"/>
  <c r="AK194" i="71" s="1"/>
  <c r="AM194" i="71" s="1"/>
  <c r="AI193" i="71"/>
  <c r="AK193" i="71" s="1"/>
  <c r="AM193" i="71" s="1"/>
  <c r="AI192" i="71"/>
  <c r="AK192" i="71" s="1"/>
  <c r="AM192" i="71" s="1"/>
  <c r="AI191" i="71"/>
  <c r="AK191" i="71" s="1"/>
  <c r="AM191" i="71" s="1"/>
  <c r="AI190" i="71"/>
  <c r="AK190" i="71" s="1"/>
  <c r="AM190" i="71" s="1"/>
  <c r="AI189" i="71"/>
  <c r="AK189" i="71" s="1"/>
  <c r="AM189" i="71" s="1"/>
  <c r="AI188" i="71"/>
  <c r="AK188" i="71" s="1"/>
  <c r="AM188" i="71" s="1"/>
  <c r="AI187" i="71"/>
  <c r="AK187" i="71" s="1"/>
  <c r="AM187" i="71" s="1"/>
  <c r="AI186" i="71"/>
  <c r="AK186" i="71" s="1"/>
  <c r="AM186" i="71" s="1"/>
  <c r="AI185" i="71"/>
  <c r="AK185" i="71" s="1"/>
  <c r="AM185" i="71" s="1"/>
  <c r="AI184" i="71"/>
  <c r="AK184" i="71" s="1"/>
  <c r="AM184" i="71" s="1"/>
  <c r="AI183" i="71"/>
  <c r="AK183" i="71" s="1"/>
  <c r="AM183" i="71" s="1"/>
  <c r="AI182" i="71"/>
  <c r="AK182" i="71" s="1"/>
  <c r="AM182" i="71" s="1"/>
  <c r="AI181" i="71"/>
  <c r="AK181" i="71" s="1"/>
  <c r="AM181" i="71" s="1"/>
  <c r="AI180" i="71"/>
  <c r="AK180" i="71" s="1"/>
  <c r="AM180" i="71" s="1"/>
  <c r="AI179" i="71"/>
  <c r="AK179" i="71" s="1"/>
  <c r="AM179" i="71" s="1"/>
  <c r="AI178" i="71"/>
  <c r="AK178" i="71" s="1"/>
  <c r="AM178" i="71" s="1"/>
  <c r="AI177" i="71"/>
  <c r="AK177" i="71" s="1"/>
  <c r="AM177" i="71" s="1"/>
  <c r="AI176" i="71"/>
  <c r="AK176" i="71" s="1"/>
  <c r="AM176" i="71" s="1"/>
  <c r="AI175" i="71"/>
  <c r="AK175" i="71" s="1"/>
  <c r="AM175" i="71" s="1"/>
  <c r="AI174" i="71"/>
  <c r="AK174" i="71" s="1"/>
  <c r="AM174" i="71" s="1"/>
  <c r="AI173" i="71"/>
  <c r="AK173" i="71" s="1"/>
  <c r="AM173" i="71" s="1"/>
  <c r="AI172" i="71"/>
  <c r="AK172" i="71" s="1"/>
  <c r="AM172" i="71" s="1"/>
  <c r="AI171" i="71"/>
  <c r="AK171" i="71" s="1"/>
  <c r="AM171" i="71" s="1"/>
  <c r="AI170" i="71"/>
  <c r="AK170" i="71" s="1"/>
  <c r="AM170" i="71" s="1"/>
  <c r="AH169" i="71"/>
  <c r="AF169" i="71"/>
  <c r="AD169" i="71"/>
  <c r="AC169" i="71"/>
  <c r="AB169" i="71"/>
  <c r="AI168" i="71"/>
  <c r="AK168" i="71" s="1"/>
  <c r="AM168" i="71" s="1"/>
  <c r="AI167" i="71"/>
  <c r="AK167" i="71" s="1"/>
  <c r="AM167" i="71" s="1"/>
  <c r="AI166" i="71"/>
  <c r="AK166" i="71" s="1"/>
  <c r="AM166" i="71" s="1"/>
  <c r="Y165" i="71"/>
  <c r="X165" i="71"/>
  <c r="W165" i="71"/>
  <c r="U165" i="71"/>
  <c r="W164" i="71"/>
  <c r="AI164" i="71" s="1"/>
  <c r="AK164" i="71" s="1"/>
  <c r="AM164" i="71" s="1"/>
  <c r="AI163" i="71"/>
  <c r="AK163" i="71" s="1"/>
  <c r="AM163" i="71" s="1"/>
  <c r="AI162" i="71"/>
  <c r="AK162" i="71" s="1"/>
  <c r="AM162" i="71" s="1"/>
  <c r="AI161" i="71"/>
  <c r="AK161" i="71" s="1"/>
  <c r="AM161" i="71" s="1"/>
  <c r="AI160" i="71"/>
  <c r="AK160" i="71" s="1"/>
  <c r="AM160" i="71" s="1"/>
  <c r="AI159" i="71"/>
  <c r="AK159" i="71" s="1"/>
  <c r="AM159" i="71" s="1"/>
  <c r="AI158" i="71"/>
  <c r="AK158" i="71" s="1"/>
  <c r="AM158" i="71" s="1"/>
  <c r="X157" i="71"/>
  <c r="Q157" i="71"/>
  <c r="P157" i="71"/>
  <c r="O157" i="71"/>
  <c r="X156" i="71"/>
  <c r="Q156" i="71"/>
  <c r="P156" i="71"/>
  <c r="AI155" i="71"/>
  <c r="AK155" i="71" s="1"/>
  <c r="AM155" i="71" s="1"/>
  <c r="AI154" i="71"/>
  <c r="AK154" i="71" s="1"/>
  <c r="AM154" i="71" s="1"/>
  <c r="F153" i="71"/>
  <c r="AI153" i="71" s="1"/>
  <c r="AK153" i="71" s="1"/>
  <c r="AM153" i="71" s="1"/>
  <c r="G152" i="71"/>
  <c r="AI152" i="71" s="1"/>
  <c r="AK152" i="71" s="1"/>
  <c r="AM152" i="71" s="1"/>
  <c r="AI151" i="71"/>
  <c r="AK151" i="71" s="1"/>
  <c r="AM151" i="71" s="1"/>
  <c r="AI150" i="71"/>
  <c r="AK150" i="71" s="1"/>
  <c r="AM150" i="71" s="1"/>
  <c r="AI149" i="71"/>
  <c r="AK149" i="71" s="1"/>
  <c r="AM149" i="71" s="1"/>
  <c r="AI148" i="71"/>
  <c r="AK148" i="71" s="1"/>
  <c r="AM148" i="71" s="1"/>
  <c r="AI147" i="71"/>
  <c r="AK147" i="71" s="1"/>
  <c r="AM147" i="71" s="1"/>
  <c r="AI146" i="71"/>
  <c r="AK146" i="71" s="1"/>
  <c r="AM146" i="71" s="1"/>
  <c r="AI145" i="71"/>
  <c r="AK145" i="71" s="1"/>
  <c r="AM145" i="71" s="1"/>
  <c r="AI144" i="71"/>
  <c r="AK144" i="71" s="1"/>
  <c r="AM144" i="71" s="1"/>
  <c r="AI143" i="71"/>
  <c r="AK143" i="71" s="1"/>
  <c r="AM143" i="71" s="1"/>
  <c r="AI142" i="71"/>
  <c r="AK142" i="71" s="1"/>
  <c r="AM142" i="71" s="1"/>
  <c r="AI141" i="71"/>
  <c r="AK141" i="71" s="1"/>
  <c r="AM141" i="71" s="1"/>
  <c r="AI140" i="71"/>
  <c r="AK140" i="71" s="1"/>
  <c r="AM140" i="71" s="1"/>
  <c r="H139" i="71"/>
  <c r="AI139" i="71" s="1"/>
  <c r="AK139" i="71" s="1"/>
  <c r="AM139" i="71" s="1"/>
  <c r="H138" i="71"/>
  <c r="AI138" i="71" s="1"/>
  <c r="AK138" i="71" s="1"/>
  <c r="AM138" i="71" s="1"/>
  <c r="H137" i="71"/>
  <c r="AI137" i="71" s="1"/>
  <c r="AK137" i="71" s="1"/>
  <c r="AM137" i="71" s="1"/>
  <c r="AI136" i="71"/>
  <c r="AK136" i="71" s="1"/>
  <c r="AM136" i="71" s="1"/>
  <c r="AI135" i="71"/>
  <c r="AK135" i="71" s="1"/>
  <c r="AM135" i="71" s="1"/>
  <c r="AI134" i="71"/>
  <c r="AK134" i="71" s="1"/>
  <c r="AM134" i="71" s="1"/>
  <c r="AI133" i="71"/>
  <c r="AK133" i="71" s="1"/>
  <c r="AM133" i="71" s="1"/>
  <c r="AI132" i="71"/>
  <c r="AK132" i="71" s="1"/>
  <c r="AM132" i="71" s="1"/>
  <c r="AI131" i="71"/>
  <c r="AK131" i="71" s="1"/>
  <c r="AM131" i="71" s="1"/>
  <c r="AI130" i="71"/>
  <c r="AK130" i="71" s="1"/>
  <c r="AM130" i="71" s="1"/>
  <c r="AI129" i="71"/>
  <c r="AK129" i="71" s="1"/>
  <c r="AM129" i="71" s="1"/>
  <c r="AI128" i="71"/>
  <c r="AK128" i="71" s="1"/>
  <c r="AM128" i="71" s="1"/>
  <c r="AI127" i="71"/>
  <c r="AK127" i="71" s="1"/>
  <c r="AM127" i="71" s="1"/>
  <c r="AI126" i="71"/>
  <c r="AK126" i="71" s="1"/>
  <c r="AM126" i="71" s="1"/>
  <c r="AI125" i="71"/>
  <c r="AK125" i="71" s="1"/>
  <c r="AM125" i="71" s="1"/>
  <c r="AI124" i="71"/>
  <c r="AK124" i="71" s="1"/>
  <c r="AM124" i="71" s="1"/>
  <c r="AI123" i="71"/>
  <c r="AK123" i="71" s="1"/>
  <c r="AM123" i="71" s="1"/>
  <c r="AI122" i="71"/>
  <c r="AK122" i="71" s="1"/>
  <c r="AM122" i="71" s="1"/>
  <c r="AH121" i="71"/>
  <c r="AF121" i="71"/>
  <c r="AD121" i="71"/>
  <c r="AC121" i="71"/>
  <c r="AB121" i="71"/>
  <c r="AI120" i="71"/>
  <c r="AK120" i="71" s="1"/>
  <c r="AM120" i="71" s="1"/>
  <c r="AI119" i="71"/>
  <c r="AK119" i="71" s="1"/>
  <c r="AM119" i="71" s="1"/>
  <c r="AI118" i="71"/>
  <c r="AK118" i="71" s="1"/>
  <c r="AM118" i="71" s="1"/>
  <c r="Y117" i="71"/>
  <c r="X117" i="71"/>
  <c r="W117" i="71"/>
  <c r="AI116" i="71"/>
  <c r="AK116" i="71" s="1"/>
  <c r="AM116" i="71" s="1"/>
  <c r="AI115" i="71"/>
  <c r="AK115" i="71" s="1"/>
  <c r="AM115" i="71" s="1"/>
  <c r="AI114" i="71"/>
  <c r="AK114" i="71" s="1"/>
  <c r="AM114" i="71" s="1"/>
  <c r="AI113" i="71"/>
  <c r="AK113" i="71" s="1"/>
  <c r="AM113" i="71" s="1"/>
  <c r="AI112" i="71"/>
  <c r="AK112" i="71" s="1"/>
  <c r="AM112" i="71" s="1"/>
  <c r="AI111" i="71"/>
  <c r="AK111" i="71" s="1"/>
  <c r="AM111" i="71" s="1"/>
  <c r="AI110" i="71"/>
  <c r="AK110" i="71" s="1"/>
  <c r="AM110" i="71" s="1"/>
  <c r="R109" i="71"/>
  <c r="Q109" i="71"/>
  <c r="T108" i="71"/>
  <c r="Q108" i="71"/>
  <c r="AI107" i="71"/>
  <c r="AK107" i="71" s="1"/>
  <c r="AM107" i="71" s="1"/>
  <c r="AI106" i="71"/>
  <c r="AK106" i="71" s="1"/>
  <c r="AM106" i="71" s="1"/>
  <c r="H105" i="71"/>
  <c r="AI105" i="71" s="1"/>
  <c r="AK105" i="71" s="1"/>
  <c r="AM105" i="71" s="1"/>
  <c r="I104" i="71"/>
  <c r="AI104" i="71" s="1"/>
  <c r="AK104" i="71" s="1"/>
  <c r="AM104" i="71" s="1"/>
  <c r="AI103" i="71"/>
  <c r="AK103" i="71" s="1"/>
  <c r="AM103" i="71" s="1"/>
  <c r="AI102" i="71"/>
  <c r="AK102" i="71" s="1"/>
  <c r="AM102" i="71" s="1"/>
  <c r="AI101" i="71"/>
  <c r="AK101" i="71" s="1"/>
  <c r="AM101" i="71" s="1"/>
  <c r="AI100" i="71"/>
  <c r="AK100" i="71" s="1"/>
  <c r="AM100" i="71" s="1"/>
  <c r="AI99" i="71"/>
  <c r="AK99" i="71" s="1"/>
  <c r="AM99" i="71" s="1"/>
  <c r="AI98" i="71"/>
  <c r="AK98" i="71" s="1"/>
  <c r="AM98" i="71" s="1"/>
  <c r="AI97" i="71"/>
  <c r="AK97" i="71" s="1"/>
  <c r="AM97" i="71" s="1"/>
  <c r="AI96" i="71"/>
  <c r="AK96" i="71" s="1"/>
  <c r="AM96" i="71" s="1"/>
  <c r="AI95" i="71"/>
  <c r="AK95" i="71" s="1"/>
  <c r="AM95" i="71" s="1"/>
  <c r="AI94" i="71"/>
  <c r="AK94" i="71" s="1"/>
  <c r="AM94" i="71" s="1"/>
  <c r="AI93" i="71"/>
  <c r="AK93" i="71" s="1"/>
  <c r="AM93" i="71" s="1"/>
  <c r="AI92" i="71"/>
  <c r="AK92" i="71" s="1"/>
  <c r="AM92" i="71" s="1"/>
  <c r="AI91" i="71"/>
  <c r="AK91" i="71" s="1"/>
  <c r="AM91" i="71" s="1"/>
  <c r="AI90" i="71"/>
  <c r="AK90" i="71" s="1"/>
  <c r="AM90" i="71" s="1"/>
  <c r="AI89" i="71"/>
  <c r="AK89" i="71" s="1"/>
  <c r="AM89" i="71" s="1"/>
  <c r="AI88" i="71"/>
  <c r="AK88" i="71" s="1"/>
  <c r="AM88" i="71" s="1"/>
  <c r="AI87" i="71"/>
  <c r="AK87" i="71" s="1"/>
  <c r="AM87" i="71" s="1"/>
  <c r="AI86" i="71"/>
  <c r="AK86" i="71" s="1"/>
  <c r="AM86" i="71" s="1"/>
  <c r="AI85" i="71"/>
  <c r="AK85" i="71" s="1"/>
  <c r="AM85" i="71" s="1"/>
  <c r="AI84" i="71"/>
  <c r="AK84" i="71" s="1"/>
  <c r="AM84" i="71" s="1"/>
  <c r="AI83" i="71"/>
  <c r="AK83" i="71" s="1"/>
  <c r="AM83" i="71" s="1"/>
  <c r="AI82" i="71"/>
  <c r="AK82" i="71" s="1"/>
  <c r="AM82" i="71" s="1"/>
  <c r="AI81" i="71"/>
  <c r="AK81" i="71" s="1"/>
  <c r="AM81" i="71" s="1"/>
  <c r="AI80" i="71"/>
  <c r="AK80" i="71" s="1"/>
  <c r="AM80" i="71" s="1"/>
  <c r="AI79" i="71"/>
  <c r="AK79" i="71" s="1"/>
  <c r="AM79" i="71" s="1"/>
  <c r="AI78" i="71"/>
  <c r="AK78" i="71" s="1"/>
  <c r="AM78" i="71" s="1"/>
  <c r="AI77" i="71"/>
  <c r="AK77" i="71" s="1"/>
  <c r="AM77" i="71" s="1"/>
  <c r="AI76" i="71"/>
  <c r="AK76" i="71" s="1"/>
  <c r="AM76" i="71" s="1"/>
  <c r="AI75" i="71"/>
  <c r="AK75" i="71" s="1"/>
  <c r="AM75" i="71" s="1"/>
  <c r="AI74" i="71"/>
  <c r="AK74" i="71" s="1"/>
  <c r="AM74" i="71" s="1"/>
  <c r="AI73" i="71"/>
  <c r="AK73" i="71" s="1"/>
  <c r="AM73" i="71" s="1"/>
  <c r="AI72" i="71"/>
  <c r="AK72" i="71" s="1"/>
  <c r="AM72" i="71" s="1"/>
  <c r="AI71" i="71"/>
  <c r="AK71" i="71" s="1"/>
  <c r="AM71" i="71" s="1"/>
  <c r="AI70" i="71"/>
  <c r="AK70" i="71" s="1"/>
  <c r="AM70" i="71" s="1"/>
  <c r="AI69" i="71"/>
  <c r="AK69" i="71" s="1"/>
  <c r="AM69" i="71" s="1"/>
  <c r="AI68" i="71"/>
  <c r="AK68" i="71" s="1"/>
  <c r="AM68" i="71" s="1"/>
  <c r="AI67" i="71"/>
  <c r="AK67" i="71" s="1"/>
  <c r="AM67" i="71" s="1"/>
  <c r="AI66" i="71"/>
  <c r="AK66" i="71" s="1"/>
  <c r="AM66" i="71" s="1"/>
  <c r="AI65" i="71"/>
  <c r="AK65" i="71" s="1"/>
  <c r="AM65" i="71" s="1"/>
  <c r="AI64" i="71"/>
  <c r="AK64" i="71" s="1"/>
  <c r="AM64" i="71" s="1"/>
  <c r="AI63" i="71"/>
  <c r="AK63" i="71" s="1"/>
  <c r="AM63" i="71" s="1"/>
  <c r="AI62" i="71"/>
  <c r="AK62" i="71" s="1"/>
  <c r="AM62" i="71" s="1"/>
  <c r="AI61" i="71"/>
  <c r="AK61" i="71" s="1"/>
  <c r="AM61" i="71" s="1"/>
  <c r="AI60" i="71"/>
  <c r="AK60" i="71" s="1"/>
  <c r="AM60" i="71" s="1"/>
  <c r="AI59" i="71"/>
  <c r="AK59" i="71" s="1"/>
  <c r="AM59" i="71" s="1"/>
  <c r="AI58" i="71"/>
  <c r="AK58" i="71" s="1"/>
  <c r="AM58" i="71" s="1"/>
  <c r="AI57" i="71"/>
  <c r="AK57" i="71" s="1"/>
  <c r="AM57" i="71" s="1"/>
  <c r="AI56" i="71"/>
  <c r="AK56" i="71" s="1"/>
  <c r="AM56" i="71" s="1"/>
  <c r="AI55" i="71"/>
  <c r="AK55" i="71" s="1"/>
  <c r="AM55" i="71" s="1"/>
  <c r="AI54" i="71"/>
  <c r="AK54" i="71" s="1"/>
  <c r="AM54" i="71" s="1"/>
  <c r="AI53" i="71"/>
  <c r="AK53" i="71" s="1"/>
  <c r="AM53" i="71" s="1"/>
  <c r="AI52" i="71"/>
  <c r="AK52" i="71" s="1"/>
  <c r="AM52" i="71" s="1"/>
  <c r="AI51" i="71"/>
  <c r="AK51" i="71" s="1"/>
  <c r="AM51" i="71" s="1"/>
  <c r="AI50" i="71"/>
  <c r="AK50" i="71" s="1"/>
  <c r="AM50" i="71" s="1"/>
  <c r="AI49" i="71"/>
  <c r="AK49" i="71" s="1"/>
  <c r="AM49" i="71" s="1"/>
  <c r="AI48" i="71"/>
  <c r="AK48" i="71" s="1"/>
  <c r="AM48" i="71" s="1"/>
  <c r="AI47" i="71"/>
  <c r="AK47" i="71" s="1"/>
  <c r="AM47" i="71" s="1"/>
  <c r="AI46" i="71"/>
  <c r="AK46" i="71" s="1"/>
  <c r="AM46" i="71" s="1"/>
  <c r="AI45" i="71"/>
  <c r="AK45" i="71" s="1"/>
  <c r="AM45" i="71" s="1"/>
  <c r="AI44" i="71"/>
  <c r="AK44" i="71" s="1"/>
  <c r="AM44" i="71" s="1"/>
  <c r="AI43" i="71"/>
  <c r="AK43" i="71" s="1"/>
  <c r="AM43" i="71" s="1"/>
  <c r="AI42" i="71"/>
  <c r="AK42" i="71" s="1"/>
  <c r="AM42" i="71" s="1"/>
  <c r="AI41" i="71"/>
  <c r="AK41" i="71" s="1"/>
  <c r="AM41" i="71" s="1"/>
  <c r="AI40" i="71"/>
  <c r="AK40" i="71" s="1"/>
  <c r="AM40" i="71" s="1"/>
  <c r="AI39" i="71"/>
  <c r="AK39" i="71" s="1"/>
  <c r="AM39" i="71" s="1"/>
  <c r="AI38" i="71"/>
  <c r="AK38" i="71" s="1"/>
  <c r="AM38" i="71" s="1"/>
  <c r="AI37" i="71"/>
  <c r="AK37" i="71" s="1"/>
  <c r="AM37" i="71" s="1"/>
  <c r="AI36" i="71"/>
  <c r="AK36" i="71" s="1"/>
  <c r="AM36" i="71" s="1"/>
  <c r="AI35" i="71"/>
  <c r="AK35" i="71" s="1"/>
  <c r="AM35" i="71" s="1"/>
  <c r="AI34" i="71"/>
  <c r="AK34" i="71" s="1"/>
  <c r="AM34" i="71" s="1"/>
  <c r="AI33" i="71"/>
  <c r="AK33" i="71" s="1"/>
  <c r="AM33" i="71" s="1"/>
  <c r="AI32" i="71"/>
  <c r="AK32" i="71" s="1"/>
  <c r="AM32" i="71" s="1"/>
  <c r="AI31" i="71"/>
  <c r="AK31" i="71" s="1"/>
  <c r="AM31" i="71" s="1"/>
  <c r="AI30" i="71"/>
  <c r="AK30" i="71" s="1"/>
  <c r="AM30" i="71" s="1"/>
  <c r="AI29" i="71"/>
  <c r="AK29" i="71" s="1"/>
  <c r="AM29" i="71" s="1"/>
  <c r="AI28" i="71"/>
  <c r="AK28" i="71" s="1"/>
  <c r="AM28" i="71" s="1"/>
  <c r="AI27" i="71"/>
  <c r="AK27" i="71" s="1"/>
  <c r="AM27" i="71" s="1"/>
  <c r="AI26" i="71"/>
  <c r="AK26" i="71" s="1"/>
  <c r="AM26" i="71" s="1"/>
  <c r="AI25" i="71"/>
  <c r="AK25" i="71" s="1"/>
  <c r="AM25" i="71" s="1"/>
  <c r="AI24" i="71"/>
  <c r="AK24" i="71" s="1"/>
  <c r="AM24" i="71" s="1"/>
  <c r="AI23" i="71"/>
  <c r="AK23" i="71" s="1"/>
  <c r="AM23" i="71" s="1"/>
  <c r="AI22" i="71"/>
  <c r="AK22" i="71" s="1"/>
  <c r="AM22" i="71" s="1"/>
  <c r="AI21" i="71"/>
  <c r="AK21" i="71" s="1"/>
  <c r="AM21" i="71" s="1"/>
  <c r="AI20" i="71"/>
  <c r="AK20" i="71" s="1"/>
  <c r="AM20" i="71" s="1"/>
  <c r="AI19" i="71"/>
  <c r="AK19" i="71" s="1"/>
  <c r="AM19" i="71" s="1"/>
  <c r="AI18" i="71"/>
  <c r="AK18" i="71" s="1"/>
  <c r="AM18" i="71" s="1"/>
  <c r="AI17" i="71"/>
  <c r="AK17" i="71" s="1"/>
  <c r="AM17" i="71" s="1"/>
  <c r="AI16" i="71"/>
  <c r="AK16" i="71" s="1"/>
  <c r="AM16" i="71" s="1"/>
  <c r="AI15" i="71"/>
  <c r="AK15" i="71" s="1"/>
  <c r="AM15" i="71" s="1"/>
  <c r="AI14" i="71"/>
  <c r="AK14" i="71" s="1"/>
  <c r="AM14" i="71" s="1"/>
  <c r="AI13" i="71"/>
  <c r="AK13" i="71" s="1"/>
  <c r="AM13" i="71" s="1"/>
  <c r="AI12" i="71"/>
  <c r="AI11" i="71"/>
  <c r="E9" i="71"/>
  <c r="F9" i="71" s="1"/>
  <c r="G9" i="71" s="1"/>
  <c r="H9" i="71" s="1"/>
  <c r="I9" i="71" s="1"/>
  <c r="J9" i="71" s="1"/>
  <c r="K9" i="71" s="1"/>
  <c r="L9" i="71" s="1"/>
  <c r="M9" i="71" s="1"/>
  <c r="N9" i="71" s="1"/>
  <c r="O9" i="71" s="1"/>
  <c r="P9" i="71" s="1"/>
  <c r="Q9" i="71" s="1"/>
  <c r="R9" i="71" s="1"/>
  <c r="S9" i="71" s="1"/>
  <c r="T9" i="71" s="1"/>
  <c r="U9" i="71" s="1"/>
  <c r="V9" i="71" s="1"/>
  <c r="W9" i="71" s="1"/>
  <c r="X9" i="71" s="1"/>
  <c r="Y9" i="71" s="1"/>
  <c r="Z9" i="71" s="1"/>
  <c r="AA9" i="71" s="1"/>
  <c r="AB9" i="71" s="1"/>
  <c r="AC9" i="71" s="1"/>
  <c r="AD9" i="71" s="1"/>
  <c r="AE9" i="71" s="1"/>
  <c r="AF9" i="71" s="1"/>
  <c r="AG9" i="71" s="1"/>
  <c r="AH9" i="71" s="1"/>
  <c r="B5" i="71"/>
  <c r="AI256" i="71" l="1"/>
  <c r="AK256" i="71" s="1"/>
  <c r="AM256" i="71" s="1"/>
  <c r="AI232" i="71"/>
  <c r="AK232" i="71" s="1"/>
  <c r="AM232" i="71" s="1"/>
  <c r="AI156" i="71"/>
  <c r="AK156" i="71" s="1"/>
  <c r="AM156" i="71" s="1"/>
  <c r="AI268" i="71"/>
  <c r="AK268" i="71" s="1"/>
  <c r="AM268" i="71" s="1"/>
  <c r="AI235" i="71"/>
  <c r="AK235" i="71" s="1"/>
  <c r="AM235" i="71" s="1"/>
  <c r="AI257" i="71"/>
  <c r="AK257" i="71" s="1"/>
  <c r="AM257" i="71" s="1"/>
  <c r="AI872" i="71"/>
  <c r="AI165" i="71"/>
  <c r="AK165" i="71" s="1"/>
  <c r="AM165" i="71" s="1"/>
  <c r="AI240" i="71"/>
  <c r="AK240" i="71" s="1"/>
  <c r="AM240" i="71" s="1"/>
  <c r="AM834" i="71"/>
  <c r="AO834" i="71" s="1"/>
  <c r="AQ834" i="71" s="1"/>
  <c r="AI267" i="71"/>
  <c r="AK267" i="71" s="1"/>
  <c r="AM267" i="71" s="1"/>
  <c r="AI851" i="71"/>
  <c r="AI855" i="71"/>
  <c r="AI108" i="71"/>
  <c r="AK108" i="71" s="1"/>
  <c r="AM108" i="71" s="1"/>
  <c r="AI117" i="71"/>
  <c r="AK117" i="71" s="1"/>
  <c r="AM117" i="71" s="1"/>
  <c r="AI169" i="71"/>
  <c r="AK169" i="71" s="1"/>
  <c r="AM169" i="71" s="1"/>
  <c r="AM696" i="71"/>
  <c r="AO703" i="71" s="1"/>
  <c r="N695" i="71"/>
  <c r="O695" i="71" s="1"/>
  <c r="AI109" i="71"/>
  <c r="AK109" i="71" s="1"/>
  <c r="AM109" i="71" s="1"/>
  <c r="AI157" i="71"/>
  <c r="AK157" i="71" s="1"/>
  <c r="AM157" i="71" s="1"/>
  <c r="AI121" i="71"/>
  <c r="AK121" i="71" s="1"/>
  <c r="AM121" i="71" s="1"/>
  <c r="F103" i="70" l="1"/>
  <c r="F102" i="70"/>
  <c r="F101" i="70"/>
  <c r="F100" i="70"/>
  <c r="H82" i="70"/>
  <c r="F82" i="70"/>
  <c r="M81" i="70"/>
  <c r="K81" i="70"/>
  <c r="H81" i="70"/>
  <c r="F81" i="70"/>
  <c r="P81" i="70" s="1"/>
  <c r="M80" i="70"/>
  <c r="K80" i="70"/>
  <c r="L80" i="70" s="1"/>
  <c r="H80" i="70"/>
  <c r="F80" i="70"/>
  <c r="P80" i="70" s="1"/>
  <c r="M79" i="70"/>
  <c r="K79" i="70"/>
  <c r="L79" i="70" s="1"/>
  <c r="H79" i="70"/>
  <c r="F79" i="70"/>
  <c r="P79" i="70" s="1"/>
  <c r="I78" i="70"/>
  <c r="H78" i="70"/>
  <c r="F78" i="70"/>
  <c r="H77" i="70"/>
  <c r="F77" i="70"/>
  <c r="M76" i="70"/>
  <c r="K76" i="70"/>
  <c r="N76" i="70" s="1"/>
  <c r="O76" i="70" s="1"/>
  <c r="H76" i="70"/>
  <c r="F76" i="70"/>
  <c r="P76" i="70" s="1"/>
  <c r="M75" i="70"/>
  <c r="K75" i="70"/>
  <c r="N75" i="70" s="1"/>
  <c r="O75" i="70" s="1"/>
  <c r="H75" i="70"/>
  <c r="F75" i="70"/>
  <c r="P75" i="70" s="1"/>
  <c r="I74" i="70"/>
  <c r="H74" i="70"/>
  <c r="F74" i="70"/>
  <c r="H73" i="70"/>
  <c r="F73" i="70"/>
  <c r="H72" i="70"/>
  <c r="F72" i="70"/>
  <c r="M71" i="70"/>
  <c r="K71" i="70"/>
  <c r="N71" i="70" s="1"/>
  <c r="O71" i="70" s="1"/>
  <c r="H71" i="70"/>
  <c r="F71" i="70"/>
  <c r="P71" i="70" s="1"/>
  <c r="M70" i="70"/>
  <c r="K70" i="70"/>
  <c r="N70" i="70" s="1"/>
  <c r="O70" i="70" s="1"/>
  <c r="H70" i="70"/>
  <c r="F70" i="70"/>
  <c r="P70" i="70" s="1"/>
  <c r="H69" i="70"/>
  <c r="F69" i="70"/>
  <c r="H68" i="70"/>
  <c r="F68" i="70"/>
  <c r="H67" i="70"/>
  <c r="F67" i="70"/>
  <c r="M66" i="70"/>
  <c r="K66" i="70"/>
  <c r="N66" i="70" s="1"/>
  <c r="O66" i="70" s="1"/>
  <c r="H66" i="70"/>
  <c r="F66" i="70"/>
  <c r="P66" i="70" s="1"/>
  <c r="H65" i="70"/>
  <c r="F65" i="70"/>
  <c r="M64" i="70"/>
  <c r="K64" i="70"/>
  <c r="N64" i="70" s="1"/>
  <c r="O64" i="70" s="1"/>
  <c r="H64" i="70"/>
  <c r="F64" i="70"/>
  <c r="P64" i="70" s="1"/>
  <c r="M63" i="70"/>
  <c r="K63" i="70"/>
  <c r="N63" i="70" s="1"/>
  <c r="O63" i="70" s="1"/>
  <c r="H63" i="70"/>
  <c r="F63" i="70"/>
  <c r="P63" i="70" s="1"/>
  <c r="H62" i="70"/>
  <c r="F62" i="70"/>
  <c r="M61" i="70"/>
  <c r="K61" i="70"/>
  <c r="L61" i="70" s="1"/>
  <c r="H61" i="70"/>
  <c r="F61" i="70"/>
  <c r="P61" i="70" s="1"/>
  <c r="H60" i="70"/>
  <c r="F60" i="70"/>
  <c r="M59" i="70"/>
  <c r="K59" i="70"/>
  <c r="L59" i="70" s="1"/>
  <c r="H59" i="70"/>
  <c r="F59" i="70"/>
  <c r="P59" i="70" s="1"/>
  <c r="M58" i="70"/>
  <c r="K58" i="70"/>
  <c r="L58" i="70" s="1"/>
  <c r="H58" i="70"/>
  <c r="F58" i="70"/>
  <c r="P58" i="70" s="1"/>
  <c r="H57" i="70"/>
  <c r="F57" i="70"/>
  <c r="M56" i="70"/>
  <c r="H56" i="70"/>
  <c r="F56" i="70"/>
  <c r="P56" i="70" s="1"/>
  <c r="H55" i="70"/>
  <c r="F55" i="70"/>
  <c r="M54" i="70"/>
  <c r="K54" i="70"/>
  <c r="N54" i="70" s="1"/>
  <c r="O54" i="70" s="1"/>
  <c r="H54" i="70"/>
  <c r="F54" i="70"/>
  <c r="P54" i="70" s="1"/>
  <c r="H53" i="70"/>
  <c r="F53" i="70"/>
  <c r="H52" i="70"/>
  <c r="F52" i="70"/>
  <c r="M51" i="70"/>
  <c r="K51" i="70"/>
  <c r="L51" i="70" s="1"/>
  <c r="H51" i="70"/>
  <c r="F51" i="70"/>
  <c r="P51" i="70" s="1"/>
  <c r="H50" i="70"/>
  <c r="F50" i="70"/>
  <c r="H49" i="70"/>
  <c r="F49" i="70"/>
  <c r="H47" i="70"/>
  <c r="F47" i="70"/>
  <c r="H46" i="70"/>
  <c r="F46" i="70"/>
  <c r="M45" i="70"/>
  <c r="K45" i="70"/>
  <c r="H45" i="70"/>
  <c r="F45" i="70"/>
  <c r="P45" i="70" s="1"/>
  <c r="M44" i="70"/>
  <c r="K44" i="70"/>
  <c r="L44" i="70" s="1"/>
  <c r="H44" i="70"/>
  <c r="F44" i="70"/>
  <c r="P44" i="70" s="1"/>
  <c r="M43" i="70"/>
  <c r="K43" i="70"/>
  <c r="L43" i="70" s="1"/>
  <c r="H43" i="70"/>
  <c r="F43" i="70"/>
  <c r="P43" i="70" s="1"/>
  <c r="H42" i="70"/>
  <c r="F42" i="70"/>
  <c r="M41" i="70"/>
  <c r="K41" i="70"/>
  <c r="L41" i="70" s="1"/>
  <c r="H41" i="70"/>
  <c r="F41" i="70"/>
  <c r="P41" i="70" s="1"/>
  <c r="H40" i="70"/>
  <c r="F40" i="70"/>
  <c r="M39" i="70"/>
  <c r="K39" i="70"/>
  <c r="H39" i="70"/>
  <c r="F39" i="70"/>
  <c r="P39" i="70" s="1"/>
  <c r="H38" i="70"/>
  <c r="F38" i="70"/>
  <c r="H37" i="70"/>
  <c r="F37" i="70"/>
  <c r="M36" i="70"/>
  <c r="K36" i="70"/>
  <c r="N36" i="70" s="1"/>
  <c r="O36" i="70" s="1"/>
  <c r="H36" i="70"/>
  <c r="F36" i="70"/>
  <c r="P36" i="70" s="1"/>
  <c r="H35" i="70"/>
  <c r="F35" i="70"/>
  <c r="H34" i="70"/>
  <c r="F34" i="70"/>
  <c r="M33" i="70"/>
  <c r="K33" i="70"/>
  <c r="H33" i="70"/>
  <c r="F33" i="70"/>
  <c r="P33" i="70" s="1"/>
  <c r="H32" i="70"/>
  <c r="F32" i="70"/>
  <c r="H31" i="70"/>
  <c r="F31" i="70"/>
  <c r="M30" i="70"/>
  <c r="K30" i="70"/>
  <c r="N30" i="70" s="1"/>
  <c r="O30" i="70" s="1"/>
  <c r="H30" i="70"/>
  <c r="F30" i="70"/>
  <c r="P30" i="70" s="1"/>
  <c r="M29" i="70"/>
  <c r="K29" i="70"/>
  <c r="N29" i="70" s="1"/>
  <c r="O29" i="70" s="1"/>
  <c r="H29" i="70"/>
  <c r="F29" i="70"/>
  <c r="P29" i="70" s="1"/>
  <c r="M28" i="70"/>
  <c r="K28" i="70"/>
  <c r="N28" i="70" s="1"/>
  <c r="O28" i="70" s="1"/>
  <c r="H28" i="70"/>
  <c r="F28" i="70"/>
  <c r="P28" i="70" s="1"/>
  <c r="M27" i="70"/>
  <c r="K27" i="70"/>
  <c r="H27" i="70"/>
  <c r="F27" i="70"/>
  <c r="P27" i="70" s="1"/>
  <c r="P26" i="70"/>
  <c r="M26" i="70"/>
  <c r="K26" i="70"/>
  <c r="L26" i="70" s="1"/>
  <c r="H26" i="70"/>
  <c r="H25" i="70"/>
  <c r="F25" i="70"/>
  <c r="H24" i="70"/>
  <c r="F24" i="70"/>
  <c r="H23" i="70"/>
  <c r="F23" i="70"/>
  <c r="H22" i="70"/>
  <c r="F22" i="70"/>
  <c r="H21" i="70"/>
  <c r="F21" i="70"/>
  <c r="H20" i="70"/>
  <c r="F20" i="70"/>
  <c r="M19" i="70"/>
  <c r="K19" i="70"/>
  <c r="H19" i="70"/>
  <c r="F19" i="70"/>
  <c r="P19" i="70" s="1"/>
  <c r="H18" i="70"/>
  <c r="F18" i="70"/>
  <c r="H17" i="70"/>
  <c r="F17" i="70"/>
  <c r="H16" i="70"/>
  <c r="F16" i="70"/>
  <c r="M15" i="70"/>
  <c r="K78" i="70" l="1"/>
  <c r="L78" i="70" s="1"/>
  <c r="M78" i="70" s="1"/>
  <c r="K74" i="70"/>
  <c r="L74" i="70" s="1"/>
  <c r="M74" i="70" s="1"/>
  <c r="N80" i="70"/>
  <c r="O80" i="70" s="1"/>
  <c r="L75" i="70"/>
  <c r="N41" i="70"/>
  <c r="O41" i="70" s="1"/>
  <c r="N43" i="70"/>
  <c r="O43" i="70" s="1"/>
  <c r="N44" i="70"/>
  <c r="O44" i="70" s="1"/>
  <c r="L36" i="70"/>
  <c r="N79" i="70"/>
  <c r="O79" i="70" s="1"/>
  <c r="H83" i="70"/>
  <c r="H86" i="70" s="1"/>
  <c r="L28" i="70"/>
  <c r="L76" i="70"/>
  <c r="N27" i="70"/>
  <c r="O27" i="70" s="1"/>
  <c r="L27" i="70"/>
  <c r="N39" i="70"/>
  <c r="O39" i="70" s="1"/>
  <c r="L39" i="70"/>
  <c r="N45" i="70"/>
  <c r="O45" i="70" s="1"/>
  <c r="L45" i="70"/>
  <c r="L19" i="70"/>
  <c r="N19" i="70"/>
  <c r="O19" i="70" s="1"/>
  <c r="N33" i="70"/>
  <c r="O33" i="70" s="1"/>
  <c r="L33" i="70"/>
  <c r="L81" i="70"/>
  <c r="N81" i="70"/>
  <c r="O81" i="70" s="1"/>
  <c r="F83" i="70"/>
  <c r="N26" i="70"/>
  <c r="O26" i="70" s="1"/>
  <c r="L54" i="70"/>
  <c r="L29" i="70"/>
  <c r="L30" i="70"/>
  <c r="N51" i="70"/>
  <c r="O51" i="70" s="1"/>
  <c r="N58" i="70"/>
  <c r="O58" i="70" s="1"/>
  <c r="N59" i="70"/>
  <c r="O59" i="70" s="1"/>
  <c r="N61" i="70"/>
  <c r="O61" i="70" s="1"/>
  <c r="L63" i="70"/>
  <c r="L64" i="70"/>
  <c r="L66" i="70"/>
  <c r="L70" i="70"/>
  <c r="L71" i="70"/>
  <c r="J74" i="70"/>
  <c r="J78" i="70"/>
  <c r="H88" i="70" l="1"/>
  <c r="N78" i="70"/>
  <c r="O78" i="70" s="1"/>
  <c r="P78" i="70" s="1"/>
  <c r="N74" i="70"/>
  <c r="O74" i="70" s="1"/>
  <c r="P74" i="70" s="1"/>
  <c r="G112" i="70"/>
  <c r="H112" i="70"/>
  <c r="I83" i="70"/>
  <c r="H85" i="70"/>
  <c r="H84" i="70"/>
  <c r="H87" i="70"/>
  <c r="F99" i="70"/>
  <c r="F87" i="70"/>
  <c r="O87" i="70" s="1"/>
  <c r="F85" i="70"/>
  <c r="O85" i="70" s="1"/>
  <c r="F88" i="70"/>
  <c r="O88" i="70" s="1"/>
  <c r="F86" i="70"/>
  <c r="F84" i="70"/>
  <c r="H97" i="70"/>
  <c r="H89" i="70" l="1"/>
  <c r="H94" i="70" s="1"/>
  <c r="F89" i="70"/>
  <c r="F94" i="70" s="1"/>
  <c r="I94" i="70" l="1"/>
  <c r="I16" i="70" l="1"/>
  <c r="I68" i="70"/>
  <c r="I62" i="70"/>
  <c r="I22" i="70"/>
  <c r="I17" i="70"/>
  <c r="I82" i="70"/>
  <c r="I77" i="70"/>
  <c r="I67" i="70"/>
  <c r="I56" i="70"/>
  <c r="I38" i="70"/>
  <c r="I25" i="70"/>
  <c r="I21" i="70"/>
  <c r="I73" i="70"/>
  <c r="I55" i="70"/>
  <c r="I53" i="70"/>
  <c r="I50" i="70"/>
  <c r="I47" i="70"/>
  <c r="I40" i="70"/>
  <c r="I37" i="70"/>
  <c r="I32" i="70"/>
  <c r="I24" i="70"/>
  <c r="I20" i="70"/>
  <c r="I72" i="70"/>
  <c r="I69" i="70"/>
  <c r="I65" i="70"/>
  <c r="I60" i="70"/>
  <c r="I57" i="70"/>
  <c r="I52" i="70"/>
  <c r="I49" i="70"/>
  <c r="I46" i="70"/>
  <c r="I42" i="70"/>
  <c r="I34" i="70"/>
  <c r="I31" i="70"/>
  <c r="I23" i="70"/>
  <c r="I18" i="70"/>
  <c r="I35" i="70"/>
  <c r="J23" i="70" l="1"/>
  <c r="K23" i="70"/>
  <c r="J34" i="70"/>
  <c r="K34" i="70"/>
  <c r="J49" i="70"/>
  <c r="K49" i="70"/>
  <c r="K65" i="70"/>
  <c r="J65" i="70"/>
  <c r="K24" i="70"/>
  <c r="J24" i="70"/>
  <c r="K40" i="70"/>
  <c r="J40" i="70"/>
  <c r="J53" i="70"/>
  <c r="K53" i="70"/>
  <c r="K38" i="70"/>
  <c r="J38" i="70"/>
  <c r="J56" i="70"/>
  <c r="K56" i="70"/>
  <c r="K16" i="70"/>
  <c r="J16" i="70"/>
  <c r="J57" i="70"/>
  <c r="K57" i="70"/>
  <c r="K72" i="70"/>
  <c r="J72" i="70"/>
  <c r="K32" i="70"/>
  <c r="J32" i="70"/>
  <c r="K47" i="70"/>
  <c r="J47" i="70"/>
  <c r="J73" i="70"/>
  <c r="K73" i="70"/>
  <c r="K25" i="70"/>
  <c r="J25" i="70"/>
  <c r="J77" i="70"/>
  <c r="K77" i="70"/>
  <c r="K22" i="70"/>
  <c r="J22" i="70"/>
  <c r="J62" i="70"/>
  <c r="K62" i="70"/>
  <c r="J18" i="70"/>
  <c r="K18" i="70"/>
  <c r="K31" i="70"/>
  <c r="J31" i="70"/>
  <c r="K42" i="70"/>
  <c r="J42" i="70"/>
  <c r="K46" i="70"/>
  <c r="J46" i="70"/>
  <c r="J52" i="70"/>
  <c r="K52" i="70"/>
  <c r="J60" i="70"/>
  <c r="K60" i="70"/>
  <c r="K69" i="70"/>
  <c r="J69" i="70"/>
  <c r="K20" i="70"/>
  <c r="J20" i="70"/>
  <c r="K37" i="70"/>
  <c r="J37" i="70"/>
  <c r="K50" i="70"/>
  <c r="J50" i="70"/>
  <c r="J55" i="70"/>
  <c r="K55" i="70"/>
  <c r="K21" i="70"/>
  <c r="J21" i="70"/>
  <c r="K67" i="70"/>
  <c r="J67" i="70"/>
  <c r="J82" i="70"/>
  <c r="K82" i="70"/>
  <c r="K17" i="70"/>
  <c r="J17" i="70"/>
  <c r="J68" i="70"/>
  <c r="K68" i="70"/>
  <c r="K35" i="70"/>
  <c r="J35" i="70"/>
  <c r="G40" i="85" l="1"/>
  <c r="H40" i="85" s="1"/>
  <c r="J83" i="70"/>
  <c r="K83" i="70" s="1"/>
  <c r="N17" i="70"/>
  <c r="O17" i="70" s="1"/>
  <c r="P17" i="70" s="1"/>
  <c r="L17" i="70"/>
  <c r="M17" i="70" s="1"/>
  <c r="L42" i="70"/>
  <c r="M42" i="70" s="1"/>
  <c r="N42" i="70"/>
  <c r="O42" i="70" s="1"/>
  <c r="P42" i="70" s="1"/>
  <c r="L31" i="70"/>
  <c r="M31" i="70" s="1"/>
  <c r="N31" i="70"/>
  <c r="O31" i="70" s="1"/>
  <c r="P31" i="70" s="1"/>
  <c r="N62" i="70"/>
  <c r="O62" i="70" s="1"/>
  <c r="P62" i="70" s="1"/>
  <c r="L62" i="70"/>
  <c r="M62" i="70" s="1"/>
  <c r="N22" i="70"/>
  <c r="O22" i="70" s="1"/>
  <c r="P22" i="70" s="1"/>
  <c r="L22" i="70"/>
  <c r="M22" i="70" s="1"/>
  <c r="N73" i="70"/>
  <c r="O73" i="70" s="1"/>
  <c r="P73" i="70" s="1"/>
  <c r="L73" i="70"/>
  <c r="M73" i="70" s="1"/>
  <c r="L57" i="70"/>
  <c r="M57" i="70" s="1"/>
  <c r="N57" i="70"/>
  <c r="O57" i="70" s="1"/>
  <c r="P57" i="70" s="1"/>
  <c r="L23" i="70"/>
  <c r="M23" i="70" s="1"/>
  <c r="N23" i="70"/>
  <c r="O23" i="70" s="1"/>
  <c r="P23" i="70" s="1"/>
  <c r="N69" i="70"/>
  <c r="O69" i="70" s="1"/>
  <c r="P69" i="70" s="1"/>
  <c r="L69" i="70"/>
  <c r="M69" i="70" s="1"/>
  <c r="L52" i="70"/>
  <c r="M52" i="70" s="1"/>
  <c r="N52" i="70"/>
  <c r="O52" i="70" s="1"/>
  <c r="P52" i="70" s="1"/>
  <c r="L18" i="70"/>
  <c r="M18" i="70" s="1"/>
  <c r="N18" i="70"/>
  <c r="O18" i="70" s="1"/>
  <c r="P18" i="70" s="1"/>
  <c r="L47" i="70"/>
  <c r="M47" i="70" s="1"/>
  <c r="N47" i="70"/>
  <c r="O47" i="70" s="1"/>
  <c r="P47" i="70" s="1"/>
  <c r="L56" i="70"/>
  <c r="N56" i="70"/>
  <c r="O56" i="70" s="1"/>
  <c r="N38" i="70"/>
  <c r="O38" i="70" s="1"/>
  <c r="P38" i="70" s="1"/>
  <c r="L38" i="70"/>
  <c r="M38" i="70" s="1"/>
  <c r="L65" i="70"/>
  <c r="M65" i="70" s="1"/>
  <c r="N65" i="70"/>
  <c r="O65" i="70" s="1"/>
  <c r="P65" i="70" s="1"/>
  <c r="N34" i="70"/>
  <c r="O34" i="70" s="1"/>
  <c r="P34" i="70" s="1"/>
  <c r="L34" i="70"/>
  <c r="M34" i="70" s="1"/>
  <c r="N68" i="70"/>
  <c r="O68" i="70" s="1"/>
  <c r="P68" i="70" s="1"/>
  <c r="L68" i="70"/>
  <c r="M68" i="70" s="1"/>
  <c r="L82" i="70"/>
  <c r="M82" i="70" s="1"/>
  <c r="N82" i="70"/>
  <c r="O82" i="70" s="1"/>
  <c r="P82" i="70" s="1"/>
  <c r="N21" i="70"/>
  <c r="O21" i="70" s="1"/>
  <c r="P21" i="70" s="1"/>
  <c r="L21" i="70"/>
  <c r="M21" i="70" s="1"/>
  <c r="L20" i="70"/>
  <c r="M20" i="70" s="1"/>
  <c r="N20" i="70"/>
  <c r="O20" i="70" s="1"/>
  <c r="P20" i="70" s="1"/>
  <c r="N60" i="70"/>
  <c r="O60" i="70" s="1"/>
  <c r="P60" i="70" s="1"/>
  <c r="L60" i="70"/>
  <c r="M60" i="70" s="1"/>
  <c r="N46" i="70"/>
  <c r="O46" i="70" s="1"/>
  <c r="P46" i="70" s="1"/>
  <c r="L46" i="70"/>
  <c r="M46" i="70" s="1"/>
  <c r="N77" i="70"/>
  <c r="O77" i="70" s="1"/>
  <c r="P77" i="70" s="1"/>
  <c r="L77" i="70"/>
  <c r="M77" i="70" s="1"/>
  <c r="N16" i="70"/>
  <c r="O16" i="70" s="1"/>
  <c r="P16" i="70" s="1"/>
  <c r="L16" i="70"/>
  <c r="M16" i="70" s="1"/>
  <c r="L53" i="70"/>
  <c r="M53" i="70" s="1"/>
  <c r="N53" i="70"/>
  <c r="O53" i="70" s="1"/>
  <c r="P53" i="70" s="1"/>
  <c r="N24" i="70"/>
  <c r="O24" i="70" s="1"/>
  <c r="P24" i="70" s="1"/>
  <c r="L24" i="70"/>
  <c r="M24" i="70" s="1"/>
  <c r="N49" i="70"/>
  <c r="O49" i="70" s="1"/>
  <c r="P49" i="70" s="1"/>
  <c r="L49" i="70"/>
  <c r="M49" i="70" s="1"/>
  <c r="L67" i="70"/>
  <c r="M67" i="70" s="1"/>
  <c r="N67" i="70"/>
  <c r="O67" i="70" s="1"/>
  <c r="P67" i="70" s="1"/>
  <c r="N55" i="70"/>
  <c r="O55" i="70" s="1"/>
  <c r="P55" i="70" s="1"/>
  <c r="L55" i="70"/>
  <c r="M55" i="70" s="1"/>
  <c r="L50" i="70"/>
  <c r="M50" i="70" s="1"/>
  <c r="N50" i="70"/>
  <c r="O50" i="70" s="1"/>
  <c r="P50" i="70" s="1"/>
  <c r="L37" i="70"/>
  <c r="M37" i="70" s="1"/>
  <c r="N37" i="70"/>
  <c r="O37" i="70" s="1"/>
  <c r="P37" i="70" s="1"/>
  <c r="N25" i="70"/>
  <c r="O25" i="70" s="1"/>
  <c r="P25" i="70" s="1"/>
  <c r="L25" i="70"/>
  <c r="M25" i="70" s="1"/>
  <c r="N32" i="70"/>
  <c r="O32" i="70" s="1"/>
  <c r="P32" i="70" s="1"/>
  <c r="L32" i="70"/>
  <c r="M32" i="70" s="1"/>
  <c r="N72" i="70"/>
  <c r="O72" i="70" s="1"/>
  <c r="P72" i="70" s="1"/>
  <c r="L72" i="70"/>
  <c r="M72" i="70" s="1"/>
  <c r="L40" i="70"/>
  <c r="M40" i="70" s="1"/>
  <c r="N40" i="70"/>
  <c r="O40" i="70" s="1"/>
  <c r="P40" i="70" s="1"/>
  <c r="L35" i="70"/>
  <c r="N35" i="70"/>
  <c r="O35" i="70" s="1"/>
  <c r="I40" i="85" l="1"/>
  <c r="J40" i="85"/>
  <c r="J86" i="70"/>
  <c r="J97" i="70"/>
  <c r="J84" i="70"/>
  <c r="P35" i="70"/>
  <c r="O83" i="70"/>
  <c r="M35" i="70"/>
  <c r="L83" i="70"/>
  <c r="K40" i="85" l="1"/>
  <c r="J89" i="70"/>
  <c r="J94" i="70" s="1"/>
  <c r="K94" i="70" s="1"/>
  <c r="M97" i="70"/>
  <c r="L86" i="70"/>
  <c r="O86" i="70" s="1"/>
  <c r="M83" i="70"/>
  <c r="L84" i="70"/>
  <c r="O84" i="70" s="1"/>
  <c r="P97" i="70"/>
  <c r="P83" i="70"/>
  <c r="R83" i="70"/>
  <c r="O89" i="70" l="1"/>
  <c r="O94" i="70" s="1"/>
  <c r="P94" i="70" s="1"/>
  <c r="L89" i="70"/>
  <c r="L94" i="70" s="1"/>
  <c r="M94" i="70" l="1"/>
  <c r="O111" i="70"/>
  <c r="O112" i="70" s="1"/>
  <c r="L686" i="64" l="1"/>
  <c r="AI686" i="64" s="1"/>
  <c r="AJ686" i="64" s="1"/>
  <c r="AL680" i="64"/>
  <c r="AM680" i="64" s="1"/>
  <c r="AI679" i="64"/>
  <c r="AK679" i="64" s="1"/>
  <c r="AM679" i="64" s="1"/>
  <c r="AI678" i="64"/>
  <c r="AK678" i="64" s="1"/>
  <c r="AM678" i="64" s="1"/>
  <c r="AI677" i="64"/>
  <c r="AK677" i="64" s="1"/>
  <c r="AM677" i="64" s="1"/>
  <c r="AI676" i="64"/>
  <c r="AK676" i="64" s="1"/>
  <c r="AM676" i="64" s="1"/>
  <c r="AI675" i="64"/>
  <c r="AK675" i="64" s="1"/>
  <c r="AM675" i="64" s="1"/>
  <c r="AI674" i="64"/>
  <c r="AK674" i="64" s="1"/>
  <c r="AM674" i="64" s="1"/>
  <c r="AI673" i="64"/>
  <c r="AK673" i="64" s="1"/>
  <c r="AM673" i="64" s="1"/>
  <c r="AI672" i="64"/>
  <c r="AK672" i="64" s="1"/>
  <c r="AM672" i="64" s="1"/>
  <c r="AI671" i="64"/>
  <c r="AK671" i="64" s="1"/>
  <c r="AM671" i="64" s="1"/>
  <c r="AI670" i="64"/>
  <c r="AK670" i="64" s="1"/>
  <c r="AM670" i="64" s="1"/>
  <c r="AI669" i="64"/>
  <c r="AK669" i="64" s="1"/>
  <c r="AM669" i="64" s="1"/>
  <c r="AI668" i="64"/>
  <c r="AK668" i="64" s="1"/>
  <c r="AM668" i="64" s="1"/>
  <c r="AI667" i="64"/>
  <c r="AK667" i="64" s="1"/>
  <c r="AM667" i="64" s="1"/>
  <c r="AI666" i="64"/>
  <c r="AK666" i="64" s="1"/>
  <c r="AM666" i="64" s="1"/>
  <c r="AI665" i="64"/>
  <c r="AK665" i="64" s="1"/>
  <c r="AM665" i="64" s="1"/>
  <c r="AI664" i="64"/>
  <c r="AK664" i="64" s="1"/>
  <c r="AM664" i="64" s="1"/>
  <c r="AI663" i="64"/>
  <c r="AK663" i="64" s="1"/>
  <c r="AM663" i="64" s="1"/>
  <c r="AI662" i="64"/>
  <c r="AK662" i="64" s="1"/>
  <c r="AM662" i="64" s="1"/>
  <c r="AI661" i="64"/>
  <c r="AK661" i="64" s="1"/>
  <c r="AM661" i="64" s="1"/>
  <c r="AI660" i="64"/>
  <c r="AK660" i="64" s="1"/>
  <c r="AM660" i="64" s="1"/>
  <c r="AI659" i="64"/>
  <c r="AK659" i="64" s="1"/>
  <c r="AM659" i="64" s="1"/>
  <c r="AI658" i="64"/>
  <c r="AK658" i="64" s="1"/>
  <c r="AM658" i="64" s="1"/>
  <c r="AI657" i="64"/>
  <c r="AK657" i="64" s="1"/>
  <c r="AM657" i="64" s="1"/>
  <c r="AI656" i="64"/>
  <c r="AK656" i="64" s="1"/>
  <c r="AM656" i="64" s="1"/>
  <c r="AI655" i="64"/>
  <c r="AK655" i="64" s="1"/>
  <c r="AM655" i="64" s="1"/>
  <c r="AI654" i="64"/>
  <c r="AK654" i="64" s="1"/>
  <c r="AM654" i="64" s="1"/>
  <c r="AI653" i="64"/>
  <c r="AK653" i="64" s="1"/>
  <c r="AM653" i="64" s="1"/>
  <c r="AI652" i="64"/>
  <c r="AK652" i="64" s="1"/>
  <c r="AM652" i="64" s="1"/>
  <c r="AI651" i="64"/>
  <c r="AK651" i="64" s="1"/>
  <c r="AM651" i="64" s="1"/>
  <c r="AI650" i="64"/>
  <c r="AK650" i="64" s="1"/>
  <c r="AM650" i="64" s="1"/>
  <c r="AI649" i="64"/>
  <c r="AK649" i="64" s="1"/>
  <c r="AM649" i="64" s="1"/>
  <c r="AI648" i="64"/>
  <c r="AK648" i="64" s="1"/>
  <c r="AM648" i="64" s="1"/>
  <c r="AI647" i="64"/>
  <c r="AK647" i="64" s="1"/>
  <c r="AM647" i="64" s="1"/>
  <c r="AI646" i="64"/>
  <c r="AK646" i="64" s="1"/>
  <c r="AM646" i="64" s="1"/>
  <c r="AI645" i="64"/>
  <c r="AK645" i="64" s="1"/>
  <c r="AM645" i="64" s="1"/>
  <c r="AI644" i="64"/>
  <c r="AK644" i="64" s="1"/>
  <c r="AM644" i="64" s="1"/>
  <c r="AI643" i="64"/>
  <c r="AK643" i="64" s="1"/>
  <c r="AM643" i="64" s="1"/>
  <c r="AI642" i="64"/>
  <c r="AK642" i="64" s="1"/>
  <c r="AM642" i="64" s="1"/>
  <c r="AI641" i="64"/>
  <c r="AK641" i="64" s="1"/>
  <c r="AM641" i="64" s="1"/>
  <c r="AI640" i="64"/>
  <c r="AK640" i="64" s="1"/>
  <c r="AM640" i="64" s="1"/>
  <c r="AI639" i="64"/>
  <c r="AK639" i="64" s="1"/>
  <c r="AM639" i="64" s="1"/>
  <c r="AI638" i="64"/>
  <c r="AK638" i="64" s="1"/>
  <c r="AM638" i="64" s="1"/>
  <c r="AI637" i="64"/>
  <c r="AK637" i="64" s="1"/>
  <c r="AM637" i="64" s="1"/>
  <c r="AI636" i="64"/>
  <c r="AK636" i="64" s="1"/>
  <c r="AM636" i="64" s="1"/>
  <c r="AI635" i="64"/>
  <c r="AK635" i="64" s="1"/>
  <c r="AM635" i="64" s="1"/>
  <c r="AI634" i="64"/>
  <c r="AK634" i="64" s="1"/>
  <c r="AM634" i="64" s="1"/>
  <c r="AI633" i="64"/>
  <c r="AK633" i="64" s="1"/>
  <c r="AM633" i="64" s="1"/>
  <c r="AI632" i="64"/>
  <c r="AK632" i="64" s="1"/>
  <c r="AM632" i="64" s="1"/>
  <c r="AI631" i="64"/>
  <c r="AK631" i="64" s="1"/>
  <c r="AM631" i="64" s="1"/>
  <c r="AI630" i="64"/>
  <c r="AK630" i="64" s="1"/>
  <c r="AM630" i="64" s="1"/>
  <c r="AI629" i="64"/>
  <c r="AK629" i="64" s="1"/>
  <c r="AM629" i="64" s="1"/>
  <c r="AI628" i="64"/>
  <c r="AK628" i="64" s="1"/>
  <c r="AM628" i="64" s="1"/>
  <c r="AI627" i="64"/>
  <c r="AK627" i="64" s="1"/>
  <c r="AM627" i="64" s="1"/>
  <c r="AI626" i="64"/>
  <c r="AK626" i="64" s="1"/>
  <c r="AM626" i="64" s="1"/>
  <c r="AI625" i="64"/>
  <c r="AK625" i="64" s="1"/>
  <c r="AM625" i="64" s="1"/>
  <c r="AI624" i="64"/>
  <c r="AK624" i="64" s="1"/>
  <c r="AM624" i="64" s="1"/>
  <c r="AI623" i="64"/>
  <c r="AK623" i="64" s="1"/>
  <c r="AM623" i="64" s="1"/>
  <c r="AI622" i="64"/>
  <c r="AK622" i="64" s="1"/>
  <c r="AM622" i="64" s="1"/>
  <c r="AI621" i="64"/>
  <c r="AK621" i="64" s="1"/>
  <c r="AM621" i="64" s="1"/>
  <c r="AI620" i="64"/>
  <c r="AK620" i="64" s="1"/>
  <c r="AM620" i="64" s="1"/>
  <c r="AI619" i="64"/>
  <c r="AK619" i="64" s="1"/>
  <c r="AM619" i="64" s="1"/>
  <c r="AI618" i="64"/>
  <c r="AK618" i="64" s="1"/>
  <c r="AM618" i="64" s="1"/>
  <c r="AI617" i="64"/>
  <c r="AK617" i="64" s="1"/>
  <c r="AM617" i="64" s="1"/>
  <c r="AI616" i="64"/>
  <c r="AK616" i="64" s="1"/>
  <c r="AM616" i="64" s="1"/>
  <c r="AI615" i="64"/>
  <c r="AK615" i="64" s="1"/>
  <c r="AM615" i="64" s="1"/>
  <c r="AI614" i="64"/>
  <c r="AK614" i="64" s="1"/>
  <c r="AM614" i="64" s="1"/>
  <c r="AI613" i="64"/>
  <c r="AK613" i="64" s="1"/>
  <c r="AM613" i="64" s="1"/>
  <c r="AI612" i="64"/>
  <c r="AK612" i="64" s="1"/>
  <c r="AM612" i="64" s="1"/>
  <c r="AI611" i="64"/>
  <c r="AK611" i="64" s="1"/>
  <c r="AM611" i="64" s="1"/>
  <c r="AI610" i="64"/>
  <c r="AK610" i="64" s="1"/>
  <c r="AM610" i="64" s="1"/>
  <c r="AI609" i="64"/>
  <c r="AK609" i="64" s="1"/>
  <c r="AM609" i="64" s="1"/>
  <c r="AI608" i="64"/>
  <c r="AK608" i="64" s="1"/>
  <c r="AM608" i="64" s="1"/>
  <c r="AI607" i="64"/>
  <c r="AK607" i="64" s="1"/>
  <c r="AM607" i="64" s="1"/>
  <c r="AI606" i="64"/>
  <c r="AK606" i="64" s="1"/>
  <c r="AM606" i="64" s="1"/>
  <c r="AI605" i="64"/>
  <c r="AK605" i="64" s="1"/>
  <c r="AM605" i="64" s="1"/>
  <c r="AI604" i="64"/>
  <c r="AK604" i="64" s="1"/>
  <c r="AM604" i="64" s="1"/>
  <c r="AI603" i="64"/>
  <c r="AK603" i="64" s="1"/>
  <c r="AM603" i="64" s="1"/>
  <c r="AI602" i="64"/>
  <c r="AK602" i="64" s="1"/>
  <c r="AM602" i="64" s="1"/>
  <c r="AI601" i="64"/>
  <c r="AK601" i="64" s="1"/>
  <c r="AM601" i="64" s="1"/>
  <c r="AI600" i="64"/>
  <c r="AK600" i="64" s="1"/>
  <c r="AM600" i="64" s="1"/>
  <c r="AI599" i="64"/>
  <c r="AK599" i="64" s="1"/>
  <c r="AM599" i="64" s="1"/>
  <c r="AI598" i="64"/>
  <c r="AK598" i="64" s="1"/>
  <c r="AM598" i="64" s="1"/>
  <c r="AI597" i="64"/>
  <c r="AK597" i="64" s="1"/>
  <c r="AM597" i="64" s="1"/>
  <c r="AI596" i="64"/>
  <c r="AK596" i="64" s="1"/>
  <c r="AM596" i="64" s="1"/>
  <c r="AI595" i="64"/>
  <c r="AK595" i="64" s="1"/>
  <c r="AM595" i="64" s="1"/>
  <c r="AI594" i="64"/>
  <c r="AK594" i="64" s="1"/>
  <c r="AM594" i="64" s="1"/>
  <c r="AI593" i="64"/>
  <c r="AK593" i="64" s="1"/>
  <c r="AM593" i="64" s="1"/>
  <c r="AI592" i="64"/>
  <c r="AK592" i="64" s="1"/>
  <c r="AM592" i="64" s="1"/>
  <c r="AI591" i="64"/>
  <c r="AK591" i="64" s="1"/>
  <c r="AM591" i="64" s="1"/>
  <c r="AI590" i="64"/>
  <c r="AK590" i="64" s="1"/>
  <c r="AM590" i="64" s="1"/>
  <c r="AI589" i="64"/>
  <c r="AK589" i="64" s="1"/>
  <c r="AM589" i="64" s="1"/>
  <c r="AI588" i="64"/>
  <c r="AK588" i="64" s="1"/>
  <c r="AM588" i="64" s="1"/>
  <c r="AI587" i="64"/>
  <c r="AK587" i="64" s="1"/>
  <c r="AM587" i="64" s="1"/>
  <c r="AI586" i="64"/>
  <c r="AK586" i="64" s="1"/>
  <c r="AM586" i="64" s="1"/>
  <c r="AI585" i="64"/>
  <c r="AK585" i="64" s="1"/>
  <c r="AM585" i="64" s="1"/>
  <c r="AI584" i="64"/>
  <c r="AK584" i="64" s="1"/>
  <c r="AM584" i="64" s="1"/>
  <c r="AI583" i="64"/>
  <c r="AK583" i="64" s="1"/>
  <c r="AM583" i="64" s="1"/>
  <c r="AI582" i="64"/>
  <c r="AK582" i="64" s="1"/>
  <c r="AM582" i="64" s="1"/>
  <c r="AI581" i="64"/>
  <c r="AK581" i="64" s="1"/>
  <c r="AM581" i="64" s="1"/>
  <c r="AI580" i="64"/>
  <c r="AK580" i="64" s="1"/>
  <c r="AM580" i="64" s="1"/>
  <c r="AI579" i="64"/>
  <c r="AK579" i="64" s="1"/>
  <c r="AM579" i="64" s="1"/>
  <c r="AI578" i="64"/>
  <c r="AK578" i="64" s="1"/>
  <c r="AM578" i="64" s="1"/>
  <c r="AI577" i="64"/>
  <c r="AK577" i="64" s="1"/>
  <c r="AM577" i="64" s="1"/>
  <c r="AI576" i="64"/>
  <c r="AK576" i="64" s="1"/>
  <c r="AM576" i="64" s="1"/>
  <c r="AI575" i="64"/>
  <c r="AK575" i="64" s="1"/>
  <c r="AM575" i="64" s="1"/>
  <c r="AI574" i="64"/>
  <c r="AK574" i="64" s="1"/>
  <c r="AM574" i="64" s="1"/>
  <c r="AI573" i="64"/>
  <c r="AK573" i="64" s="1"/>
  <c r="AM573" i="64" s="1"/>
  <c r="AI572" i="64"/>
  <c r="AK572" i="64" s="1"/>
  <c r="AM572" i="64" s="1"/>
  <c r="AI571" i="64"/>
  <c r="AK571" i="64" s="1"/>
  <c r="AM571" i="64" s="1"/>
  <c r="AI570" i="64"/>
  <c r="AK570" i="64" s="1"/>
  <c r="AM570" i="64" s="1"/>
  <c r="AI569" i="64"/>
  <c r="AK569" i="64" s="1"/>
  <c r="AM569" i="64" s="1"/>
  <c r="AI568" i="64"/>
  <c r="AK568" i="64" s="1"/>
  <c r="AM568" i="64" s="1"/>
  <c r="AI567" i="64"/>
  <c r="AK567" i="64" s="1"/>
  <c r="AM567" i="64" s="1"/>
  <c r="AI566" i="64"/>
  <c r="AK566" i="64" s="1"/>
  <c r="AM566" i="64" s="1"/>
  <c r="AI565" i="64"/>
  <c r="AK565" i="64" s="1"/>
  <c r="AM565" i="64" s="1"/>
  <c r="AI564" i="64"/>
  <c r="AK564" i="64" s="1"/>
  <c r="AM564" i="64" s="1"/>
  <c r="AI563" i="64"/>
  <c r="AK563" i="64" s="1"/>
  <c r="AM563" i="64" s="1"/>
  <c r="AI562" i="64"/>
  <c r="AK562" i="64" s="1"/>
  <c r="AM562" i="64" s="1"/>
  <c r="AI561" i="64"/>
  <c r="AK561" i="64" s="1"/>
  <c r="AM561" i="64" s="1"/>
  <c r="AI560" i="64"/>
  <c r="AK560" i="64" s="1"/>
  <c r="AM560" i="64" s="1"/>
  <c r="AI559" i="64"/>
  <c r="AK559" i="64" s="1"/>
  <c r="AM559" i="64" s="1"/>
  <c r="AI558" i="64"/>
  <c r="AK558" i="64" s="1"/>
  <c r="AM558" i="64" s="1"/>
  <c r="AI557" i="64"/>
  <c r="AK557" i="64" s="1"/>
  <c r="AM557" i="64" s="1"/>
  <c r="AI556" i="64"/>
  <c r="AK556" i="64" s="1"/>
  <c r="AM556" i="64" s="1"/>
  <c r="AI555" i="64"/>
  <c r="AK555" i="64" s="1"/>
  <c r="AM555" i="64" s="1"/>
  <c r="AI554" i="64"/>
  <c r="AK554" i="64" s="1"/>
  <c r="AM554" i="64" s="1"/>
  <c r="AI553" i="64"/>
  <c r="AK553" i="64" s="1"/>
  <c r="AM553" i="64" s="1"/>
  <c r="AI552" i="64"/>
  <c r="AK552" i="64" s="1"/>
  <c r="AM552" i="64" s="1"/>
  <c r="AI551" i="64"/>
  <c r="AK551" i="64" s="1"/>
  <c r="AM551" i="64" s="1"/>
  <c r="AI550" i="64"/>
  <c r="AK550" i="64" s="1"/>
  <c r="AM550" i="64" s="1"/>
  <c r="AI549" i="64"/>
  <c r="AK549" i="64" s="1"/>
  <c r="AM549" i="64" s="1"/>
  <c r="AI548" i="64"/>
  <c r="AK548" i="64" s="1"/>
  <c r="AM548" i="64" s="1"/>
  <c r="AI547" i="64"/>
  <c r="AK547" i="64" s="1"/>
  <c r="AM547" i="64" s="1"/>
  <c r="AI546" i="64"/>
  <c r="AK546" i="64" s="1"/>
  <c r="AM546" i="64" s="1"/>
  <c r="AI545" i="64"/>
  <c r="AK545" i="64" s="1"/>
  <c r="AM545" i="64" s="1"/>
  <c r="AI544" i="64"/>
  <c r="AK544" i="64" s="1"/>
  <c r="AM544" i="64" s="1"/>
  <c r="AI543" i="64"/>
  <c r="AK543" i="64" s="1"/>
  <c r="AM543" i="64" s="1"/>
  <c r="AI542" i="64"/>
  <c r="AK542" i="64" s="1"/>
  <c r="AM542" i="64" s="1"/>
  <c r="AI541" i="64"/>
  <c r="AK541" i="64" s="1"/>
  <c r="AM541" i="64" s="1"/>
  <c r="AI540" i="64"/>
  <c r="AK540" i="64" s="1"/>
  <c r="AM540" i="64" s="1"/>
  <c r="AI539" i="64"/>
  <c r="AK539" i="64" s="1"/>
  <c r="AM539" i="64" s="1"/>
  <c r="AI538" i="64"/>
  <c r="AK538" i="64" s="1"/>
  <c r="AM538" i="64" s="1"/>
  <c r="AI537" i="64"/>
  <c r="AK537" i="64" s="1"/>
  <c r="AM537" i="64" s="1"/>
  <c r="AI536" i="64"/>
  <c r="AK536" i="64" s="1"/>
  <c r="AM536" i="64" s="1"/>
  <c r="AI535" i="64"/>
  <c r="AK535" i="64" s="1"/>
  <c r="AM535" i="64" s="1"/>
  <c r="AI534" i="64"/>
  <c r="AK534" i="64" s="1"/>
  <c r="AM534" i="64" s="1"/>
  <c r="AI533" i="64"/>
  <c r="AK533" i="64" s="1"/>
  <c r="AM533" i="64" s="1"/>
  <c r="AI532" i="64"/>
  <c r="AK532" i="64" s="1"/>
  <c r="AM532" i="64" s="1"/>
  <c r="AI531" i="64"/>
  <c r="AK531" i="64" s="1"/>
  <c r="AM531" i="64" s="1"/>
  <c r="AI530" i="64"/>
  <c r="AK530" i="64" s="1"/>
  <c r="AM530" i="64" s="1"/>
  <c r="AI529" i="64"/>
  <c r="AK529" i="64" s="1"/>
  <c r="AM529" i="64" s="1"/>
  <c r="AI528" i="64"/>
  <c r="AK528" i="64" s="1"/>
  <c r="AM528" i="64" s="1"/>
  <c r="AI527" i="64"/>
  <c r="AK527" i="64" s="1"/>
  <c r="AM527" i="64" s="1"/>
  <c r="AI526" i="64"/>
  <c r="AK526" i="64" s="1"/>
  <c r="AM526" i="64" s="1"/>
  <c r="AI525" i="64"/>
  <c r="AK525" i="64" s="1"/>
  <c r="AM525" i="64" s="1"/>
  <c r="AI524" i="64"/>
  <c r="AK524" i="64" s="1"/>
  <c r="AM524" i="64" s="1"/>
  <c r="AI523" i="64"/>
  <c r="AK523" i="64" s="1"/>
  <c r="AM523" i="64" s="1"/>
  <c r="AI522" i="64"/>
  <c r="AK522" i="64" s="1"/>
  <c r="AM522" i="64" s="1"/>
  <c r="AI521" i="64"/>
  <c r="AK521" i="64" s="1"/>
  <c r="AM521" i="64" s="1"/>
  <c r="AI520" i="64"/>
  <c r="AK520" i="64" s="1"/>
  <c r="AM520" i="64" s="1"/>
  <c r="AI519" i="64"/>
  <c r="AK519" i="64" s="1"/>
  <c r="AM519" i="64" s="1"/>
  <c r="AI518" i="64"/>
  <c r="AK518" i="64" s="1"/>
  <c r="AM518" i="64" s="1"/>
  <c r="AI517" i="64"/>
  <c r="AK517" i="64" s="1"/>
  <c r="AM517" i="64" s="1"/>
  <c r="AI516" i="64"/>
  <c r="AK516" i="64" s="1"/>
  <c r="AM516" i="64" s="1"/>
  <c r="AI515" i="64"/>
  <c r="AK515" i="64" s="1"/>
  <c r="AM515" i="64" s="1"/>
  <c r="AI514" i="64"/>
  <c r="AK514" i="64" s="1"/>
  <c r="AM514" i="64" s="1"/>
  <c r="AI513" i="64"/>
  <c r="AK513" i="64" s="1"/>
  <c r="AM513" i="64" s="1"/>
  <c r="AI512" i="64"/>
  <c r="AK512" i="64" s="1"/>
  <c r="AM512" i="64" s="1"/>
  <c r="AI511" i="64"/>
  <c r="AK511" i="64" s="1"/>
  <c r="AM511" i="64" s="1"/>
  <c r="AI510" i="64"/>
  <c r="AK510" i="64" s="1"/>
  <c r="AM510" i="64" s="1"/>
  <c r="AI509" i="64"/>
  <c r="AK509" i="64" s="1"/>
  <c r="AM509" i="64" s="1"/>
  <c r="AI508" i="64"/>
  <c r="AK508" i="64" s="1"/>
  <c r="AM508" i="64" s="1"/>
  <c r="AI507" i="64"/>
  <c r="AK507" i="64" s="1"/>
  <c r="AM507" i="64" s="1"/>
  <c r="AI506" i="64"/>
  <c r="AK506" i="64" s="1"/>
  <c r="AM506" i="64" s="1"/>
  <c r="AI505" i="64"/>
  <c r="AK505" i="64" s="1"/>
  <c r="AM505" i="64" s="1"/>
  <c r="AI504" i="64"/>
  <c r="AK504" i="64" s="1"/>
  <c r="AM504" i="64" s="1"/>
  <c r="AI503" i="64"/>
  <c r="AK503" i="64" s="1"/>
  <c r="AM503" i="64" s="1"/>
  <c r="AI502" i="64"/>
  <c r="AK502" i="64" s="1"/>
  <c r="AM502" i="64" s="1"/>
  <c r="AI501" i="64"/>
  <c r="AK501" i="64" s="1"/>
  <c r="AM501" i="64" s="1"/>
  <c r="AI500" i="64"/>
  <c r="AK500" i="64" s="1"/>
  <c r="AM500" i="64" s="1"/>
  <c r="AI499" i="64"/>
  <c r="AK499" i="64" s="1"/>
  <c r="AM499" i="64" s="1"/>
  <c r="AI498" i="64"/>
  <c r="AK498" i="64" s="1"/>
  <c r="AM498" i="64" s="1"/>
  <c r="AI497" i="64"/>
  <c r="AK497" i="64" s="1"/>
  <c r="AM497" i="64" s="1"/>
  <c r="AI496" i="64"/>
  <c r="AK496" i="64" s="1"/>
  <c r="AM496" i="64" s="1"/>
  <c r="AI495" i="64"/>
  <c r="AK495" i="64" s="1"/>
  <c r="AM495" i="64" s="1"/>
  <c r="AI494" i="64"/>
  <c r="AK494" i="64" s="1"/>
  <c r="AM494" i="64" s="1"/>
  <c r="AI493" i="64"/>
  <c r="AK493" i="64" s="1"/>
  <c r="AM493" i="64" s="1"/>
  <c r="AI492" i="64"/>
  <c r="AK492" i="64" s="1"/>
  <c r="AM492" i="64" s="1"/>
  <c r="AI491" i="64"/>
  <c r="AK491" i="64" s="1"/>
  <c r="AM491" i="64" s="1"/>
  <c r="AI490" i="64"/>
  <c r="AK490" i="64" s="1"/>
  <c r="AM490" i="64" s="1"/>
  <c r="AI489" i="64"/>
  <c r="AK489" i="64" s="1"/>
  <c r="AM489" i="64" s="1"/>
  <c r="AI488" i="64"/>
  <c r="AK488" i="64" s="1"/>
  <c r="AM488" i="64" s="1"/>
  <c r="AI487" i="64"/>
  <c r="AK487" i="64" s="1"/>
  <c r="AM487" i="64" s="1"/>
  <c r="AI486" i="64"/>
  <c r="AK486" i="64" s="1"/>
  <c r="AM486" i="64" s="1"/>
  <c r="AI485" i="64"/>
  <c r="AK485" i="64" s="1"/>
  <c r="AM485" i="64" s="1"/>
  <c r="AI484" i="64"/>
  <c r="AK484" i="64" s="1"/>
  <c r="AM484" i="64" s="1"/>
  <c r="AI483" i="64"/>
  <c r="AK483" i="64" s="1"/>
  <c r="AM483" i="64" s="1"/>
  <c r="AI482" i="64"/>
  <c r="AK482" i="64" s="1"/>
  <c r="AM482" i="64" s="1"/>
  <c r="AI481" i="64"/>
  <c r="AK481" i="64" s="1"/>
  <c r="AM481" i="64" s="1"/>
  <c r="AI480" i="64"/>
  <c r="AK480" i="64" s="1"/>
  <c r="AM480" i="64" s="1"/>
  <c r="AI479" i="64"/>
  <c r="AK479" i="64" s="1"/>
  <c r="AM479" i="64" s="1"/>
  <c r="AI478" i="64"/>
  <c r="AK478" i="64" s="1"/>
  <c r="AM478" i="64" s="1"/>
  <c r="AI477" i="64"/>
  <c r="AK477" i="64" s="1"/>
  <c r="AM477" i="64" s="1"/>
  <c r="AI476" i="64"/>
  <c r="AK476" i="64" s="1"/>
  <c r="AM476" i="64" s="1"/>
  <c r="AI475" i="64"/>
  <c r="AK475" i="64" s="1"/>
  <c r="AM475" i="64" s="1"/>
  <c r="AI474" i="64"/>
  <c r="AK474" i="64" s="1"/>
  <c r="AM474" i="64" s="1"/>
  <c r="AI473" i="64"/>
  <c r="AK473" i="64" s="1"/>
  <c r="AM473" i="64" s="1"/>
  <c r="AI472" i="64"/>
  <c r="AK472" i="64" s="1"/>
  <c r="AM472" i="64" s="1"/>
  <c r="AI471" i="64"/>
  <c r="AK471" i="64" s="1"/>
  <c r="AM471" i="64" s="1"/>
  <c r="AI470" i="64"/>
  <c r="AK470" i="64" s="1"/>
  <c r="AM470" i="64" s="1"/>
  <c r="AI469" i="64"/>
  <c r="AK469" i="64" s="1"/>
  <c r="AM469" i="64" s="1"/>
  <c r="AI468" i="64"/>
  <c r="AK468" i="64" s="1"/>
  <c r="AM468" i="64" s="1"/>
  <c r="AI467" i="64"/>
  <c r="AK467" i="64" s="1"/>
  <c r="AM467" i="64" s="1"/>
  <c r="AI466" i="64"/>
  <c r="AK466" i="64" s="1"/>
  <c r="AM466" i="64" s="1"/>
  <c r="AI465" i="64"/>
  <c r="AK465" i="64" s="1"/>
  <c r="AM465" i="64" s="1"/>
  <c r="AI464" i="64"/>
  <c r="AK464" i="64" s="1"/>
  <c r="AM464" i="64" s="1"/>
  <c r="AI463" i="64"/>
  <c r="AK463" i="64" s="1"/>
  <c r="AM463" i="64" s="1"/>
  <c r="AI462" i="64"/>
  <c r="AK462" i="64" s="1"/>
  <c r="AM462" i="64" s="1"/>
  <c r="AI461" i="64"/>
  <c r="AK461" i="64" s="1"/>
  <c r="AM461" i="64" s="1"/>
  <c r="AI460" i="64"/>
  <c r="AK460" i="64" s="1"/>
  <c r="AM460" i="64" s="1"/>
  <c r="AI459" i="64"/>
  <c r="AK459" i="64" s="1"/>
  <c r="AM459" i="64" s="1"/>
  <c r="AI458" i="64"/>
  <c r="AK458" i="64" s="1"/>
  <c r="AM458" i="64" s="1"/>
  <c r="AI457" i="64"/>
  <c r="AK457" i="64" s="1"/>
  <c r="AM457" i="64" s="1"/>
  <c r="AI456" i="64"/>
  <c r="AK456" i="64" s="1"/>
  <c r="AM456" i="64" s="1"/>
  <c r="AI455" i="64"/>
  <c r="AK455" i="64" s="1"/>
  <c r="AM455" i="64" s="1"/>
  <c r="AI454" i="64"/>
  <c r="AK454" i="64" s="1"/>
  <c r="AM454" i="64" s="1"/>
  <c r="AI453" i="64"/>
  <c r="AK453" i="64" s="1"/>
  <c r="AM453" i="64" s="1"/>
  <c r="AI452" i="64"/>
  <c r="AK452" i="64" s="1"/>
  <c r="AM452" i="64" s="1"/>
  <c r="AI451" i="64"/>
  <c r="AK451" i="64" s="1"/>
  <c r="AM451" i="64" s="1"/>
  <c r="AI450" i="64"/>
  <c r="AK450" i="64" s="1"/>
  <c r="AM450" i="64" s="1"/>
  <c r="AI449" i="64"/>
  <c r="AK449" i="64" s="1"/>
  <c r="AM449" i="64" s="1"/>
  <c r="AI448" i="64"/>
  <c r="AK448" i="64" s="1"/>
  <c r="AM448" i="64" s="1"/>
  <c r="AI447" i="64"/>
  <c r="AK447" i="64" s="1"/>
  <c r="AM447" i="64" s="1"/>
  <c r="AI446" i="64"/>
  <c r="AK446" i="64" s="1"/>
  <c r="AM446" i="64" s="1"/>
  <c r="AI445" i="64"/>
  <c r="AK445" i="64" s="1"/>
  <c r="AM445" i="64" s="1"/>
  <c r="AI444" i="64"/>
  <c r="AK444" i="64" s="1"/>
  <c r="AM444" i="64" s="1"/>
  <c r="AI443" i="64"/>
  <c r="AK443" i="64" s="1"/>
  <c r="AM443" i="64" s="1"/>
  <c r="AI442" i="64"/>
  <c r="AK442" i="64" s="1"/>
  <c r="AM442" i="64" s="1"/>
  <c r="AI441" i="64"/>
  <c r="AK441" i="64" s="1"/>
  <c r="AM441" i="64" s="1"/>
  <c r="AI440" i="64"/>
  <c r="AK440" i="64" s="1"/>
  <c r="AM440" i="64" s="1"/>
  <c r="AI439" i="64"/>
  <c r="AK439" i="64" s="1"/>
  <c r="AM439" i="64" s="1"/>
  <c r="AI438" i="64"/>
  <c r="AK438" i="64" s="1"/>
  <c r="AM438" i="64" s="1"/>
  <c r="AI437" i="64"/>
  <c r="AK437" i="64" s="1"/>
  <c r="AM437" i="64" s="1"/>
  <c r="AI436" i="64"/>
  <c r="AK436" i="64" s="1"/>
  <c r="AM436" i="64" s="1"/>
  <c r="AI435" i="64"/>
  <c r="AK435" i="64" s="1"/>
  <c r="AM435" i="64" s="1"/>
  <c r="AI434" i="64"/>
  <c r="AK434" i="64" s="1"/>
  <c r="AM434" i="64" s="1"/>
  <c r="AI433" i="64"/>
  <c r="AK433" i="64" s="1"/>
  <c r="AM433" i="64" s="1"/>
  <c r="AI432" i="64"/>
  <c r="AK432" i="64" s="1"/>
  <c r="AM432" i="64" s="1"/>
  <c r="AI431" i="64"/>
  <c r="AK431" i="64" s="1"/>
  <c r="AM431" i="64" s="1"/>
  <c r="AI430" i="64"/>
  <c r="AK430" i="64" s="1"/>
  <c r="AM430" i="64" s="1"/>
  <c r="AI429" i="64"/>
  <c r="AK429" i="64" s="1"/>
  <c r="AM429" i="64" s="1"/>
  <c r="AI428" i="64"/>
  <c r="AK428" i="64" s="1"/>
  <c r="AM428" i="64" s="1"/>
  <c r="AI427" i="64"/>
  <c r="AK427" i="64" s="1"/>
  <c r="AM427" i="64" s="1"/>
  <c r="AI426" i="64"/>
  <c r="AK426" i="64" s="1"/>
  <c r="AM426" i="64" s="1"/>
  <c r="AI425" i="64"/>
  <c r="AK425" i="64" s="1"/>
  <c r="AM425" i="64" s="1"/>
  <c r="AI424" i="64"/>
  <c r="AK424" i="64" s="1"/>
  <c r="AM424" i="64" s="1"/>
  <c r="AI423" i="64"/>
  <c r="AK423" i="64" s="1"/>
  <c r="AM423" i="64" s="1"/>
  <c r="AI422" i="64"/>
  <c r="AK422" i="64" s="1"/>
  <c r="AM422" i="64" s="1"/>
  <c r="AI421" i="64"/>
  <c r="AK421" i="64" s="1"/>
  <c r="AM421" i="64" s="1"/>
  <c r="AI420" i="64"/>
  <c r="AK420" i="64" s="1"/>
  <c r="AM420" i="64" s="1"/>
  <c r="AI419" i="64"/>
  <c r="AK419" i="64" s="1"/>
  <c r="AM419" i="64" s="1"/>
  <c r="AI418" i="64"/>
  <c r="AK418" i="64" s="1"/>
  <c r="AM418" i="64" s="1"/>
  <c r="AI417" i="64"/>
  <c r="AK417" i="64" s="1"/>
  <c r="AM417" i="64" s="1"/>
  <c r="AI416" i="64"/>
  <c r="AK416" i="64" s="1"/>
  <c r="AM416" i="64" s="1"/>
  <c r="AI415" i="64"/>
  <c r="AK415" i="64" s="1"/>
  <c r="AM415" i="64" s="1"/>
  <c r="AI414" i="64"/>
  <c r="AK414" i="64" s="1"/>
  <c r="AM414" i="64" s="1"/>
  <c r="AI413" i="64"/>
  <c r="AK413" i="64" s="1"/>
  <c r="AM413" i="64" s="1"/>
  <c r="AI412" i="64"/>
  <c r="AK412" i="64" s="1"/>
  <c r="AM412" i="64" s="1"/>
  <c r="AI411" i="64"/>
  <c r="AK411" i="64" s="1"/>
  <c r="AM411" i="64" s="1"/>
  <c r="AI410" i="64"/>
  <c r="AK410" i="64" s="1"/>
  <c r="AM410" i="64" s="1"/>
  <c r="AI409" i="64"/>
  <c r="AK409" i="64" s="1"/>
  <c r="AM409" i="64" s="1"/>
  <c r="AI408" i="64"/>
  <c r="AK408" i="64" s="1"/>
  <c r="AM408" i="64" s="1"/>
  <c r="AI407" i="64"/>
  <c r="AK407" i="64" s="1"/>
  <c r="AM407" i="64" s="1"/>
  <c r="AI406" i="64"/>
  <c r="AK406" i="64" s="1"/>
  <c r="AM406" i="64" s="1"/>
  <c r="AI405" i="64"/>
  <c r="AK405" i="64" s="1"/>
  <c r="AM405" i="64" s="1"/>
  <c r="AI404" i="64"/>
  <c r="AK404" i="64" s="1"/>
  <c r="AM404" i="64" s="1"/>
  <c r="AI403" i="64"/>
  <c r="AK403" i="64" s="1"/>
  <c r="AM403" i="64" s="1"/>
  <c r="AI402" i="64"/>
  <c r="AK402" i="64" s="1"/>
  <c r="AM402" i="64" s="1"/>
  <c r="AI401" i="64"/>
  <c r="AK401" i="64" s="1"/>
  <c r="AM401" i="64" s="1"/>
  <c r="AI400" i="64"/>
  <c r="AK400" i="64" s="1"/>
  <c r="AM400" i="64" s="1"/>
  <c r="AI399" i="64"/>
  <c r="AK399" i="64" s="1"/>
  <c r="AM399" i="64" s="1"/>
  <c r="AI398" i="64"/>
  <c r="AK398" i="64" s="1"/>
  <c r="AM398" i="64" s="1"/>
  <c r="AI397" i="64"/>
  <c r="AK397" i="64" s="1"/>
  <c r="AM397" i="64" s="1"/>
  <c r="AI396" i="64"/>
  <c r="AK396" i="64" s="1"/>
  <c r="AM396" i="64" s="1"/>
  <c r="AI395" i="64"/>
  <c r="AK395" i="64" s="1"/>
  <c r="AM395" i="64" s="1"/>
  <c r="AI394" i="64"/>
  <c r="AK394" i="64" s="1"/>
  <c r="AM394" i="64" s="1"/>
  <c r="AI393" i="64"/>
  <c r="AK393" i="64" s="1"/>
  <c r="AM393" i="64" s="1"/>
  <c r="AI392" i="64"/>
  <c r="AK392" i="64" s="1"/>
  <c r="AM392" i="64" s="1"/>
  <c r="AI391" i="64"/>
  <c r="AK391" i="64" s="1"/>
  <c r="AM391" i="64" s="1"/>
  <c r="AI390" i="64"/>
  <c r="AK390" i="64" s="1"/>
  <c r="AM390" i="64" s="1"/>
  <c r="AI389" i="64"/>
  <c r="AK389" i="64" s="1"/>
  <c r="AM389" i="64" s="1"/>
  <c r="AI388" i="64"/>
  <c r="AK388" i="64" s="1"/>
  <c r="AM388" i="64" s="1"/>
  <c r="AI387" i="64"/>
  <c r="AK387" i="64" s="1"/>
  <c r="AM387" i="64" s="1"/>
  <c r="AI386" i="64"/>
  <c r="AK386" i="64" s="1"/>
  <c r="AM386" i="64" s="1"/>
  <c r="AI385" i="64"/>
  <c r="AK385" i="64" s="1"/>
  <c r="AM385" i="64" s="1"/>
  <c r="AI384" i="64"/>
  <c r="AK384" i="64" s="1"/>
  <c r="AM384" i="64" s="1"/>
  <c r="AI383" i="64"/>
  <c r="AK383" i="64" s="1"/>
  <c r="AM383" i="64" s="1"/>
  <c r="AI382" i="64"/>
  <c r="AK382" i="64" s="1"/>
  <c r="AM382" i="64" s="1"/>
  <c r="AI381" i="64"/>
  <c r="AK381" i="64" s="1"/>
  <c r="AM381" i="64" s="1"/>
  <c r="AI380" i="64"/>
  <c r="AK380" i="64" s="1"/>
  <c r="AM380" i="64" s="1"/>
  <c r="AI379" i="64"/>
  <c r="AK379" i="64" s="1"/>
  <c r="AM379" i="64" s="1"/>
  <c r="AI378" i="64"/>
  <c r="AK378" i="64" s="1"/>
  <c r="AM378" i="64" s="1"/>
  <c r="AI377" i="64"/>
  <c r="AK377" i="64" s="1"/>
  <c r="AM377" i="64" s="1"/>
  <c r="AI376" i="64"/>
  <c r="AK376" i="64" s="1"/>
  <c r="AM376" i="64" s="1"/>
  <c r="AI375" i="64"/>
  <c r="AK375" i="64" s="1"/>
  <c r="AM375" i="64" s="1"/>
  <c r="AI374" i="64"/>
  <c r="AK374" i="64" s="1"/>
  <c r="AM374" i="64" s="1"/>
  <c r="AI373" i="64"/>
  <c r="AK373" i="64" s="1"/>
  <c r="AM373" i="64" s="1"/>
  <c r="AI372" i="64"/>
  <c r="AK372" i="64" s="1"/>
  <c r="AM372" i="64" s="1"/>
  <c r="AI371" i="64"/>
  <c r="AK371" i="64" s="1"/>
  <c r="AM371" i="64" s="1"/>
  <c r="AI370" i="64"/>
  <c r="AK370" i="64" s="1"/>
  <c r="AM370" i="64" s="1"/>
  <c r="AI369" i="64"/>
  <c r="AK369" i="64" s="1"/>
  <c r="AM369" i="64" s="1"/>
  <c r="AI368" i="64"/>
  <c r="AK368" i="64" s="1"/>
  <c r="AM368" i="64" s="1"/>
  <c r="AI367" i="64"/>
  <c r="AK367" i="64" s="1"/>
  <c r="AM367" i="64" s="1"/>
  <c r="AI366" i="64"/>
  <c r="AK366" i="64" s="1"/>
  <c r="AM366" i="64" s="1"/>
  <c r="AI365" i="64"/>
  <c r="AK365" i="64" s="1"/>
  <c r="AM365" i="64" s="1"/>
  <c r="AI364" i="64"/>
  <c r="AK364" i="64" s="1"/>
  <c r="AM364" i="64" s="1"/>
  <c r="AI363" i="64"/>
  <c r="AK363" i="64" s="1"/>
  <c r="AM363" i="64" s="1"/>
  <c r="AI362" i="64"/>
  <c r="AK362" i="64" s="1"/>
  <c r="AM362" i="64" s="1"/>
  <c r="AI361" i="64"/>
  <c r="AK361" i="64" s="1"/>
  <c r="AM361" i="64" s="1"/>
  <c r="AI360" i="64"/>
  <c r="AK360" i="64" s="1"/>
  <c r="AM360" i="64" s="1"/>
  <c r="AI359" i="64"/>
  <c r="AK359" i="64" s="1"/>
  <c r="AM359" i="64" s="1"/>
  <c r="AI358" i="64"/>
  <c r="AK358" i="64" s="1"/>
  <c r="AM358" i="64" s="1"/>
  <c r="AI357" i="64"/>
  <c r="AK357" i="64" s="1"/>
  <c r="AM357" i="64" s="1"/>
  <c r="AI356" i="64"/>
  <c r="AK356" i="64" s="1"/>
  <c r="AM356" i="64" s="1"/>
  <c r="AI355" i="64"/>
  <c r="AK355" i="64" s="1"/>
  <c r="AM355" i="64" s="1"/>
  <c r="AI354" i="64"/>
  <c r="AK354" i="64" s="1"/>
  <c r="AM354" i="64" s="1"/>
  <c r="AI353" i="64"/>
  <c r="AK353" i="64" s="1"/>
  <c r="AM353" i="64" s="1"/>
  <c r="AI352" i="64"/>
  <c r="AK352" i="64" s="1"/>
  <c r="AM352" i="64" s="1"/>
  <c r="AI351" i="64"/>
  <c r="AK351" i="64" s="1"/>
  <c r="AM351" i="64" s="1"/>
  <c r="AI350" i="64"/>
  <c r="AK350" i="64" s="1"/>
  <c r="AM350" i="64" s="1"/>
  <c r="AI349" i="64"/>
  <c r="AK349" i="64" s="1"/>
  <c r="AM349" i="64" s="1"/>
  <c r="AI348" i="64"/>
  <c r="AK348" i="64" s="1"/>
  <c r="AM348" i="64" s="1"/>
  <c r="AI347" i="64"/>
  <c r="AK347" i="64" s="1"/>
  <c r="AM347" i="64" s="1"/>
  <c r="AI346" i="64"/>
  <c r="AK346" i="64" s="1"/>
  <c r="AM346" i="64" s="1"/>
  <c r="AI345" i="64"/>
  <c r="AK345" i="64" s="1"/>
  <c r="AM345" i="64" s="1"/>
  <c r="AI344" i="64"/>
  <c r="AK344" i="64" s="1"/>
  <c r="AM344" i="64" s="1"/>
  <c r="AI343" i="64"/>
  <c r="AK343" i="64" s="1"/>
  <c r="AM343" i="64" s="1"/>
  <c r="AI342" i="64"/>
  <c r="AK342" i="64" s="1"/>
  <c r="AM342" i="64" s="1"/>
  <c r="AI341" i="64"/>
  <c r="AK341" i="64" s="1"/>
  <c r="AM341" i="64" s="1"/>
  <c r="AI340" i="64"/>
  <c r="AK340" i="64" s="1"/>
  <c r="AM340" i="64" s="1"/>
  <c r="AI339" i="64"/>
  <c r="AK339" i="64" s="1"/>
  <c r="AM339" i="64" s="1"/>
  <c r="AI338" i="64"/>
  <c r="AK338" i="64" s="1"/>
  <c r="AM338" i="64" s="1"/>
  <c r="AI337" i="64"/>
  <c r="AK337" i="64" s="1"/>
  <c r="AM337" i="64" s="1"/>
  <c r="AI336" i="64"/>
  <c r="AK336" i="64" s="1"/>
  <c r="AM336" i="64" s="1"/>
  <c r="AI335" i="64"/>
  <c r="AK335" i="64" s="1"/>
  <c r="AM335" i="64" s="1"/>
  <c r="AI334" i="64"/>
  <c r="AK334" i="64" s="1"/>
  <c r="AM334" i="64" s="1"/>
  <c r="AI333" i="64"/>
  <c r="AK333" i="64" s="1"/>
  <c r="AM333" i="64" s="1"/>
  <c r="AI332" i="64"/>
  <c r="AK332" i="64" s="1"/>
  <c r="AM332" i="64" s="1"/>
  <c r="AI331" i="64"/>
  <c r="AK331" i="64" s="1"/>
  <c r="AM331" i="64" s="1"/>
  <c r="AI330" i="64"/>
  <c r="AK330" i="64" s="1"/>
  <c r="AM330" i="64" s="1"/>
  <c r="AI329" i="64"/>
  <c r="AK329" i="64" s="1"/>
  <c r="AM329" i="64" s="1"/>
  <c r="AI328" i="64"/>
  <c r="AK328" i="64" s="1"/>
  <c r="AM328" i="64" s="1"/>
  <c r="AI327" i="64"/>
  <c r="AK327" i="64" s="1"/>
  <c r="AM327" i="64" s="1"/>
  <c r="AI326" i="64"/>
  <c r="AK326" i="64" s="1"/>
  <c r="AM326" i="64" s="1"/>
  <c r="AI325" i="64"/>
  <c r="AK325" i="64" s="1"/>
  <c r="AM325" i="64" s="1"/>
  <c r="AI324" i="64"/>
  <c r="AK324" i="64" s="1"/>
  <c r="AM324" i="64" s="1"/>
  <c r="AI323" i="64"/>
  <c r="AK323" i="64" s="1"/>
  <c r="AM323" i="64" s="1"/>
  <c r="AI322" i="64"/>
  <c r="AK322" i="64" s="1"/>
  <c r="AM322" i="64" s="1"/>
  <c r="AI321" i="64"/>
  <c r="AK321" i="64" s="1"/>
  <c r="AM321" i="64" s="1"/>
  <c r="AI320" i="64"/>
  <c r="AK320" i="64" s="1"/>
  <c r="AM320" i="64" s="1"/>
  <c r="AI319" i="64"/>
  <c r="AK319" i="64" s="1"/>
  <c r="AM319" i="64" s="1"/>
  <c r="AI318" i="64"/>
  <c r="AK318" i="64" s="1"/>
  <c r="AM318" i="64" s="1"/>
  <c r="AI317" i="64"/>
  <c r="AK317" i="64" s="1"/>
  <c r="AM317" i="64" s="1"/>
  <c r="AI316" i="64"/>
  <c r="AK316" i="64" s="1"/>
  <c r="AM316" i="64" s="1"/>
  <c r="AI315" i="64"/>
  <c r="AK315" i="64" s="1"/>
  <c r="AM315" i="64" s="1"/>
  <c r="AI314" i="64"/>
  <c r="AK314" i="64" s="1"/>
  <c r="AM314" i="64" s="1"/>
  <c r="AI313" i="64"/>
  <c r="AK313" i="64" s="1"/>
  <c r="AM313" i="64" s="1"/>
  <c r="AI312" i="64"/>
  <c r="AK312" i="64" s="1"/>
  <c r="AM312" i="64" s="1"/>
  <c r="AI311" i="64"/>
  <c r="AK311" i="64" s="1"/>
  <c r="AM311" i="64" s="1"/>
  <c r="AI310" i="64"/>
  <c r="AK310" i="64" s="1"/>
  <c r="AM310" i="64" s="1"/>
  <c r="AI309" i="64"/>
  <c r="AK309" i="64" s="1"/>
  <c r="AM309" i="64" s="1"/>
  <c r="AI308" i="64"/>
  <c r="AK308" i="64" s="1"/>
  <c r="AM308" i="64" s="1"/>
  <c r="AI307" i="64"/>
  <c r="AK307" i="64" s="1"/>
  <c r="AM307" i="64" s="1"/>
  <c r="AI306" i="64"/>
  <c r="AK306" i="64" s="1"/>
  <c r="AM306" i="64" s="1"/>
  <c r="AI305" i="64"/>
  <c r="AK305" i="64" s="1"/>
  <c r="AM305" i="64" s="1"/>
  <c r="AI304" i="64"/>
  <c r="AK304" i="64" s="1"/>
  <c r="AM304" i="64" s="1"/>
  <c r="AI303" i="64"/>
  <c r="AK303" i="64" s="1"/>
  <c r="AM303" i="64" s="1"/>
  <c r="AI302" i="64"/>
  <c r="AK302" i="64" s="1"/>
  <c r="AM302" i="64" s="1"/>
  <c r="AI301" i="64"/>
  <c r="AK301" i="64" s="1"/>
  <c r="AM301" i="64" s="1"/>
  <c r="AI300" i="64"/>
  <c r="AK300" i="64" s="1"/>
  <c r="AM300" i="64" s="1"/>
  <c r="AI299" i="64"/>
  <c r="AK299" i="64" s="1"/>
  <c r="AM299" i="64" s="1"/>
  <c r="AI298" i="64"/>
  <c r="AK298" i="64" s="1"/>
  <c r="AM298" i="64" s="1"/>
  <c r="AI297" i="64"/>
  <c r="AK297" i="64" s="1"/>
  <c r="AM297" i="64" s="1"/>
  <c r="AI296" i="64"/>
  <c r="AK296" i="64" s="1"/>
  <c r="AM296" i="64" s="1"/>
  <c r="AI295" i="64"/>
  <c r="AK295" i="64" s="1"/>
  <c r="AM295" i="64" s="1"/>
  <c r="AI294" i="64"/>
  <c r="AK294" i="64" s="1"/>
  <c r="AM294" i="64" s="1"/>
  <c r="AI293" i="64"/>
  <c r="AK293" i="64" s="1"/>
  <c r="AM293" i="64" s="1"/>
  <c r="AI292" i="64"/>
  <c r="AK292" i="64" s="1"/>
  <c r="AM292" i="64" s="1"/>
  <c r="AI291" i="64"/>
  <c r="AK291" i="64" s="1"/>
  <c r="AM291" i="64" s="1"/>
  <c r="AI290" i="64"/>
  <c r="AK290" i="64" s="1"/>
  <c r="AM290" i="64" s="1"/>
  <c r="AI289" i="64"/>
  <c r="AK289" i="64" s="1"/>
  <c r="AM289" i="64" s="1"/>
  <c r="AI288" i="64"/>
  <c r="AK288" i="64" s="1"/>
  <c r="AM288" i="64" s="1"/>
  <c r="AI287" i="64"/>
  <c r="AK287" i="64" s="1"/>
  <c r="AM287" i="64" s="1"/>
  <c r="AI286" i="64"/>
  <c r="AK286" i="64" s="1"/>
  <c r="AM286" i="64" s="1"/>
  <c r="AI285" i="64"/>
  <c r="AK285" i="64" s="1"/>
  <c r="AM285" i="64" s="1"/>
  <c r="AI284" i="64"/>
  <c r="AK284" i="64" s="1"/>
  <c r="AM284" i="64" s="1"/>
  <c r="AI283" i="64"/>
  <c r="AK283" i="64" s="1"/>
  <c r="AM283" i="64" s="1"/>
  <c r="AI282" i="64"/>
  <c r="AK282" i="64" s="1"/>
  <c r="AM282" i="64" s="1"/>
  <c r="AI281" i="64"/>
  <c r="AK281" i="64" s="1"/>
  <c r="AM281" i="64" s="1"/>
  <c r="AI280" i="64"/>
  <c r="AK280" i="64" s="1"/>
  <c r="AM280" i="64" s="1"/>
  <c r="AI279" i="64"/>
  <c r="AK279" i="64" s="1"/>
  <c r="AM279" i="64" s="1"/>
  <c r="AI278" i="64"/>
  <c r="AK278" i="64" s="1"/>
  <c r="AM278" i="64" s="1"/>
  <c r="AI277" i="64"/>
  <c r="AK277" i="64" s="1"/>
  <c r="AM277" i="64" s="1"/>
  <c r="AI276" i="64"/>
  <c r="AK276" i="64" s="1"/>
  <c r="AM276" i="64" s="1"/>
  <c r="AI275" i="64"/>
  <c r="AK275" i="64" s="1"/>
  <c r="AM275" i="64" s="1"/>
  <c r="AI274" i="64"/>
  <c r="AK274" i="64" s="1"/>
  <c r="AM274" i="64" s="1"/>
  <c r="AI273" i="64"/>
  <c r="AK273" i="64" s="1"/>
  <c r="AM273" i="64" s="1"/>
  <c r="AI272" i="64"/>
  <c r="AK272" i="64" s="1"/>
  <c r="AM272" i="64" s="1"/>
  <c r="AI271" i="64"/>
  <c r="AK271" i="64" s="1"/>
  <c r="AM271" i="64" s="1"/>
  <c r="AI270" i="64"/>
  <c r="AK270" i="64" s="1"/>
  <c r="AM270" i="64" s="1"/>
  <c r="AI269" i="64"/>
  <c r="AK269" i="64" s="1"/>
  <c r="AM269" i="64" s="1"/>
  <c r="AI268" i="64"/>
  <c r="AK268" i="64" s="1"/>
  <c r="AM268" i="64" s="1"/>
  <c r="W268" i="64"/>
  <c r="Q268" i="64"/>
  <c r="O268" i="64"/>
  <c r="M268" i="64"/>
  <c r="AI267" i="64"/>
  <c r="AK267" i="64" s="1"/>
  <c r="AM267" i="64" s="1"/>
  <c r="X267" i="64"/>
  <c r="U267" i="64"/>
  <c r="T267" i="64"/>
  <c r="R267" i="64"/>
  <c r="P267" i="64"/>
  <c r="O267" i="64"/>
  <c r="M267" i="64"/>
  <c r="AI266" i="64"/>
  <c r="AK266" i="64" s="1"/>
  <c r="AM266" i="64" s="1"/>
  <c r="AI265" i="64"/>
  <c r="AK265" i="64" s="1"/>
  <c r="AM265" i="64" s="1"/>
  <c r="AI264" i="64"/>
  <c r="AK264" i="64" s="1"/>
  <c r="AM264" i="64" s="1"/>
  <c r="AI263" i="64"/>
  <c r="AK263" i="64" s="1"/>
  <c r="AM263" i="64" s="1"/>
  <c r="AI262" i="64"/>
  <c r="AK262" i="64" s="1"/>
  <c r="AM262" i="64" s="1"/>
  <c r="AI261" i="64"/>
  <c r="AK261" i="64" s="1"/>
  <c r="AM261" i="64" s="1"/>
  <c r="AI260" i="64"/>
  <c r="AK260" i="64" s="1"/>
  <c r="AM260" i="64" s="1"/>
  <c r="AI259" i="64"/>
  <c r="AK259" i="64" s="1"/>
  <c r="AM259" i="64" s="1"/>
  <c r="AI258" i="64"/>
  <c r="AK258" i="64" s="1"/>
  <c r="AM258" i="64" s="1"/>
  <c r="AI257" i="64"/>
  <c r="AK257" i="64" s="1"/>
  <c r="AM257" i="64" s="1"/>
  <c r="AI256" i="64"/>
  <c r="AK256" i="64" s="1"/>
  <c r="AM256" i="64" s="1"/>
  <c r="AD256" i="64"/>
  <c r="AB256" i="64"/>
  <c r="AI255" i="64"/>
  <c r="AK255" i="64" s="1"/>
  <c r="AM255" i="64" s="1"/>
  <c r="AI254" i="64"/>
  <c r="AK254" i="64" s="1"/>
  <c r="AM254" i="64" s="1"/>
  <c r="AI253" i="64"/>
  <c r="AK253" i="64" s="1"/>
  <c r="AM253" i="64" s="1"/>
  <c r="AI252" i="64"/>
  <c r="AK252" i="64" s="1"/>
  <c r="AM252" i="64" s="1"/>
  <c r="AI251" i="64"/>
  <c r="AK251" i="64" s="1"/>
  <c r="AM251" i="64" s="1"/>
  <c r="AI250" i="64"/>
  <c r="AK250" i="64" s="1"/>
  <c r="AM250" i="64" s="1"/>
  <c r="AI249" i="64"/>
  <c r="AK249" i="64" s="1"/>
  <c r="AM249" i="64" s="1"/>
  <c r="AI248" i="64"/>
  <c r="AK248" i="64" s="1"/>
  <c r="AM248" i="64" s="1"/>
  <c r="AI247" i="64"/>
  <c r="AK247" i="64" s="1"/>
  <c r="AM247" i="64" s="1"/>
  <c r="AB247" i="64"/>
  <c r="AI246" i="64"/>
  <c r="AK246" i="64" s="1"/>
  <c r="AM246" i="64" s="1"/>
  <c r="AB246" i="64"/>
  <c r="AI245" i="64"/>
  <c r="AK245" i="64" s="1"/>
  <c r="AM245" i="64" s="1"/>
  <c r="AI244" i="64"/>
  <c r="AK244" i="64" s="1"/>
  <c r="AM244" i="64" s="1"/>
  <c r="AI243" i="64"/>
  <c r="AK243" i="64" s="1"/>
  <c r="AM243" i="64" s="1"/>
  <c r="AI242" i="64"/>
  <c r="AK242" i="64" s="1"/>
  <c r="AM242" i="64" s="1"/>
  <c r="AI241" i="64"/>
  <c r="AK241" i="64" s="1"/>
  <c r="AM241" i="64" s="1"/>
  <c r="AI240" i="64"/>
  <c r="AK240" i="64" s="1"/>
  <c r="AM240" i="64" s="1"/>
  <c r="AI239" i="64"/>
  <c r="AK239" i="64" s="1"/>
  <c r="AM239" i="64" s="1"/>
  <c r="AI238" i="64"/>
  <c r="AK238" i="64" s="1"/>
  <c r="AM238" i="64" s="1"/>
  <c r="AI237" i="64"/>
  <c r="AK237" i="64" s="1"/>
  <c r="AM237" i="64" s="1"/>
  <c r="AI236" i="64"/>
  <c r="AK236" i="64" s="1"/>
  <c r="AM236" i="64" s="1"/>
  <c r="AI235" i="64"/>
  <c r="AK235" i="64" s="1"/>
  <c r="AM235" i="64" s="1"/>
  <c r="AD235" i="64"/>
  <c r="AA235" i="64"/>
  <c r="W235" i="64"/>
  <c r="AI234" i="64"/>
  <c r="AK234" i="64" s="1"/>
  <c r="AM234" i="64" s="1"/>
  <c r="AI233" i="64"/>
  <c r="AK233" i="64" s="1"/>
  <c r="AM233" i="64" s="1"/>
  <c r="AI232" i="64"/>
  <c r="AK232" i="64" s="1"/>
  <c r="AM232" i="64" s="1"/>
  <c r="AI231" i="64"/>
  <c r="AK231" i="64" s="1"/>
  <c r="AM231" i="64" s="1"/>
  <c r="AI230" i="64"/>
  <c r="AK230" i="64" s="1"/>
  <c r="AM230" i="64" s="1"/>
  <c r="AI229" i="64"/>
  <c r="AK229" i="64" s="1"/>
  <c r="AM229" i="64" s="1"/>
  <c r="AI228" i="64"/>
  <c r="AK228" i="64" s="1"/>
  <c r="AM228" i="64" s="1"/>
  <c r="AI227" i="64"/>
  <c r="AK227" i="64" s="1"/>
  <c r="AM227" i="64" s="1"/>
  <c r="AI226" i="64"/>
  <c r="AK226" i="64" s="1"/>
  <c r="AM226" i="64" s="1"/>
  <c r="AI225" i="64"/>
  <c r="AK225" i="64" s="1"/>
  <c r="AM225" i="64" s="1"/>
  <c r="AI224" i="64"/>
  <c r="AK224" i="64" s="1"/>
  <c r="AM224" i="64" s="1"/>
  <c r="AI223" i="64"/>
  <c r="AK223" i="64" s="1"/>
  <c r="AM223" i="64" s="1"/>
  <c r="AI222" i="64"/>
  <c r="AK222" i="64" s="1"/>
  <c r="AM222" i="64" s="1"/>
  <c r="AI221" i="64"/>
  <c r="AK221" i="64" s="1"/>
  <c r="AM221" i="64" s="1"/>
  <c r="AI220" i="64"/>
  <c r="AK220" i="64" s="1"/>
  <c r="AM220" i="64" s="1"/>
  <c r="AI219" i="64"/>
  <c r="AK219" i="64" s="1"/>
  <c r="AM219" i="64" s="1"/>
  <c r="AI218" i="64"/>
  <c r="AK218" i="64" s="1"/>
  <c r="AM218" i="64" s="1"/>
  <c r="AI217" i="64"/>
  <c r="AK217" i="64" s="1"/>
  <c r="AM217" i="64" s="1"/>
  <c r="AI216" i="64"/>
  <c r="AK216" i="64" s="1"/>
  <c r="AM216" i="64" s="1"/>
  <c r="AI215" i="64"/>
  <c r="AK215" i="64" s="1"/>
  <c r="AM215" i="64" s="1"/>
  <c r="AI214" i="64"/>
  <c r="AK214" i="64" s="1"/>
  <c r="AM214" i="64" s="1"/>
  <c r="AI213" i="64"/>
  <c r="AK213" i="64" s="1"/>
  <c r="AM213" i="64" s="1"/>
  <c r="AI212" i="64"/>
  <c r="AK212" i="64" s="1"/>
  <c r="AM212" i="64" s="1"/>
  <c r="AI211" i="64"/>
  <c r="AK211" i="64" s="1"/>
  <c r="AM211" i="64" s="1"/>
  <c r="AI210" i="64"/>
  <c r="AK210" i="64" s="1"/>
  <c r="AM210" i="64" s="1"/>
  <c r="AI209" i="64"/>
  <c r="AK209" i="64" s="1"/>
  <c r="AM209" i="64" s="1"/>
  <c r="AI208" i="64"/>
  <c r="AK208" i="64" s="1"/>
  <c r="AM208" i="64" s="1"/>
  <c r="AI207" i="64"/>
  <c r="AK207" i="64" s="1"/>
  <c r="AM207" i="64" s="1"/>
  <c r="AI206" i="64"/>
  <c r="AK206" i="64" s="1"/>
  <c r="AM206" i="64" s="1"/>
  <c r="AI205" i="64"/>
  <c r="AK205" i="64" s="1"/>
  <c r="AM205" i="64" s="1"/>
  <c r="AI204" i="64"/>
  <c r="AK204" i="64" s="1"/>
  <c r="AM204" i="64" s="1"/>
  <c r="AI203" i="64"/>
  <c r="AK203" i="64" s="1"/>
  <c r="AM203" i="64" s="1"/>
  <c r="AI202" i="64"/>
  <c r="AK202" i="64" s="1"/>
  <c r="AM202" i="64" s="1"/>
  <c r="AI201" i="64"/>
  <c r="AK201" i="64" s="1"/>
  <c r="AM201" i="64" s="1"/>
  <c r="AI200" i="64"/>
  <c r="AK200" i="64" s="1"/>
  <c r="AM200" i="64" s="1"/>
  <c r="AI199" i="64"/>
  <c r="AK199" i="64" s="1"/>
  <c r="AM199" i="64" s="1"/>
  <c r="AI198" i="64"/>
  <c r="AK198" i="64" s="1"/>
  <c r="AM198" i="64" s="1"/>
  <c r="AI197" i="64"/>
  <c r="AK197" i="64" s="1"/>
  <c r="AM197" i="64" s="1"/>
  <c r="AI196" i="64"/>
  <c r="AK196" i="64" s="1"/>
  <c r="AM196" i="64" s="1"/>
  <c r="AI195" i="64"/>
  <c r="AK195" i="64" s="1"/>
  <c r="AM195" i="64" s="1"/>
  <c r="AI194" i="64"/>
  <c r="AK194" i="64" s="1"/>
  <c r="AM194" i="64" s="1"/>
  <c r="AI193" i="64"/>
  <c r="AK193" i="64" s="1"/>
  <c r="AM193" i="64" s="1"/>
  <c r="AI192" i="64"/>
  <c r="AK192" i="64" s="1"/>
  <c r="AM192" i="64" s="1"/>
  <c r="AI191" i="64"/>
  <c r="AK191" i="64" s="1"/>
  <c r="AM191" i="64" s="1"/>
  <c r="AI190" i="64"/>
  <c r="AK190" i="64" s="1"/>
  <c r="AM190" i="64" s="1"/>
  <c r="AI189" i="64"/>
  <c r="AK189" i="64" s="1"/>
  <c r="AM189" i="64" s="1"/>
  <c r="AI188" i="64"/>
  <c r="AK188" i="64" s="1"/>
  <c r="AM188" i="64" s="1"/>
  <c r="AI187" i="64"/>
  <c r="AK187" i="64" s="1"/>
  <c r="AM187" i="64" s="1"/>
  <c r="AI186" i="64"/>
  <c r="AK186" i="64" s="1"/>
  <c r="AM186" i="64" s="1"/>
  <c r="AI185" i="64"/>
  <c r="AK185" i="64" s="1"/>
  <c r="AM185" i="64" s="1"/>
  <c r="AI184" i="64"/>
  <c r="AK184" i="64" s="1"/>
  <c r="AM184" i="64" s="1"/>
  <c r="AI183" i="64"/>
  <c r="AK183" i="64" s="1"/>
  <c r="AM183" i="64" s="1"/>
  <c r="AI182" i="64"/>
  <c r="AK182" i="64" s="1"/>
  <c r="AM182" i="64" s="1"/>
  <c r="AI181" i="64"/>
  <c r="AK181" i="64" s="1"/>
  <c r="AM181" i="64" s="1"/>
  <c r="AI180" i="64"/>
  <c r="AK180" i="64" s="1"/>
  <c r="AM180" i="64" s="1"/>
  <c r="AI179" i="64"/>
  <c r="AK179" i="64" s="1"/>
  <c r="AM179" i="64" s="1"/>
  <c r="AI178" i="64"/>
  <c r="AK178" i="64" s="1"/>
  <c r="AM178" i="64" s="1"/>
  <c r="AI177" i="64"/>
  <c r="AK177" i="64" s="1"/>
  <c r="AM177" i="64" s="1"/>
  <c r="AI176" i="64"/>
  <c r="AK176" i="64" s="1"/>
  <c r="AM176" i="64" s="1"/>
  <c r="AI175" i="64"/>
  <c r="AK175" i="64" s="1"/>
  <c r="AM175" i="64" s="1"/>
  <c r="AI174" i="64"/>
  <c r="AK174" i="64" s="1"/>
  <c r="AM174" i="64" s="1"/>
  <c r="AI173" i="64"/>
  <c r="AK173" i="64" s="1"/>
  <c r="AM173" i="64" s="1"/>
  <c r="AI172" i="64"/>
  <c r="AK172" i="64" s="1"/>
  <c r="AM172" i="64" s="1"/>
  <c r="AI171" i="64"/>
  <c r="AK171" i="64" s="1"/>
  <c r="AM171" i="64" s="1"/>
  <c r="AI170" i="64"/>
  <c r="AK170" i="64" s="1"/>
  <c r="AM170" i="64" s="1"/>
  <c r="AH169" i="64"/>
  <c r="AF169" i="64"/>
  <c r="AD169" i="64"/>
  <c r="AC169" i="64"/>
  <c r="AB169" i="64"/>
  <c r="AI168" i="64"/>
  <c r="AK168" i="64" s="1"/>
  <c r="AM168" i="64" s="1"/>
  <c r="AI167" i="64"/>
  <c r="AK167" i="64" s="1"/>
  <c r="AM167" i="64" s="1"/>
  <c r="AI166" i="64"/>
  <c r="AK166" i="64" s="1"/>
  <c r="AM166" i="64" s="1"/>
  <c r="Y165" i="64"/>
  <c r="X165" i="64"/>
  <c r="W165" i="64"/>
  <c r="U165" i="64"/>
  <c r="AI164" i="64"/>
  <c r="AK164" i="64" s="1"/>
  <c r="AM164" i="64" s="1"/>
  <c r="AI163" i="64"/>
  <c r="AK163" i="64" s="1"/>
  <c r="AM163" i="64" s="1"/>
  <c r="AI162" i="64"/>
  <c r="AK162" i="64" s="1"/>
  <c r="AM162" i="64" s="1"/>
  <c r="AI161" i="64"/>
  <c r="AK161" i="64" s="1"/>
  <c r="AM161" i="64" s="1"/>
  <c r="AI160" i="64"/>
  <c r="AK160" i="64" s="1"/>
  <c r="AM160" i="64" s="1"/>
  <c r="AI159" i="64"/>
  <c r="AK159" i="64" s="1"/>
  <c r="AM159" i="64" s="1"/>
  <c r="AI158" i="64"/>
  <c r="AK158" i="64" s="1"/>
  <c r="AM158" i="64" s="1"/>
  <c r="Q157" i="64"/>
  <c r="P157" i="64"/>
  <c r="O157" i="64"/>
  <c r="Q156" i="64"/>
  <c r="P156" i="64"/>
  <c r="AI155" i="64"/>
  <c r="AK155" i="64" s="1"/>
  <c r="AM155" i="64" s="1"/>
  <c r="AI154" i="64"/>
  <c r="AK154" i="64" s="1"/>
  <c r="AM154" i="64" s="1"/>
  <c r="F153" i="64"/>
  <c r="AI153" i="64" s="1"/>
  <c r="AK153" i="64" s="1"/>
  <c r="AM153" i="64" s="1"/>
  <c r="G152" i="64"/>
  <c r="AI152" i="64" s="1"/>
  <c r="AK152" i="64" s="1"/>
  <c r="AM152" i="64" s="1"/>
  <c r="AI151" i="64"/>
  <c r="AK151" i="64" s="1"/>
  <c r="AM151" i="64" s="1"/>
  <c r="AI150" i="64"/>
  <c r="AK150" i="64" s="1"/>
  <c r="AM150" i="64" s="1"/>
  <c r="AI149" i="64"/>
  <c r="AK149" i="64" s="1"/>
  <c r="AM149" i="64" s="1"/>
  <c r="AI148" i="64"/>
  <c r="AK148" i="64" s="1"/>
  <c r="AM148" i="64" s="1"/>
  <c r="AI147" i="64"/>
  <c r="AK147" i="64" s="1"/>
  <c r="AM147" i="64" s="1"/>
  <c r="AI146" i="64"/>
  <c r="AK146" i="64" s="1"/>
  <c r="AM146" i="64" s="1"/>
  <c r="AI145" i="64"/>
  <c r="AK145" i="64" s="1"/>
  <c r="AM145" i="64" s="1"/>
  <c r="AI144" i="64"/>
  <c r="AK144" i="64" s="1"/>
  <c r="AM144" i="64" s="1"/>
  <c r="AI143" i="64"/>
  <c r="AK143" i="64" s="1"/>
  <c r="AM143" i="64" s="1"/>
  <c r="AI142" i="64"/>
  <c r="AK142" i="64" s="1"/>
  <c r="AM142" i="64" s="1"/>
  <c r="AI141" i="64"/>
  <c r="AK141" i="64" s="1"/>
  <c r="AM141" i="64" s="1"/>
  <c r="AI140" i="64"/>
  <c r="AK140" i="64" s="1"/>
  <c r="AM140" i="64" s="1"/>
  <c r="AI139" i="64"/>
  <c r="AK139" i="64" s="1"/>
  <c r="AM139" i="64" s="1"/>
  <c r="AI138" i="64"/>
  <c r="AK138" i="64" s="1"/>
  <c r="AM138" i="64" s="1"/>
  <c r="AI137" i="64"/>
  <c r="AK137" i="64" s="1"/>
  <c r="AM137" i="64" s="1"/>
  <c r="AI136" i="64"/>
  <c r="AK136" i="64" s="1"/>
  <c r="AM136" i="64" s="1"/>
  <c r="AI135" i="64"/>
  <c r="AK135" i="64" s="1"/>
  <c r="AM135" i="64" s="1"/>
  <c r="AI134" i="64"/>
  <c r="AK134" i="64" s="1"/>
  <c r="AM134" i="64" s="1"/>
  <c r="AI133" i="64"/>
  <c r="AK133" i="64" s="1"/>
  <c r="AM133" i="64" s="1"/>
  <c r="AI132" i="64"/>
  <c r="AK132" i="64" s="1"/>
  <c r="AM132" i="64" s="1"/>
  <c r="AI131" i="64"/>
  <c r="AK131" i="64" s="1"/>
  <c r="AM131" i="64" s="1"/>
  <c r="AI130" i="64"/>
  <c r="AK130" i="64" s="1"/>
  <c r="AM130" i="64" s="1"/>
  <c r="AI129" i="64"/>
  <c r="AK129" i="64" s="1"/>
  <c r="AM129" i="64" s="1"/>
  <c r="AI128" i="64"/>
  <c r="AK128" i="64" s="1"/>
  <c r="AM128" i="64" s="1"/>
  <c r="AI127" i="64"/>
  <c r="AK127" i="64" s="1"/>
  <c r="AM127" i="64" s="1"/>
  <c r="AI126" i="64"/>
  <c r="AK126" i="64" s="1"/>
  <c r="AM126" i="64" s="1"/>
  <c r="AI125" i="64"/>
  <c r="AK125" i="64" s="1"/>
  <c r="AM125" i="64" s="1"/>
  <c r="AI124" i="64"/>
  <c r="AK124" i="64" s="1"/>
  <c r="AM124" i="64" s="1"/>
  <c r="AI123" i="64"/>
  <c r="AK123" i="64" s="1"/>
  <c r="AM123" i="64" s="1"/>
  <c r="AI122" i="64"/>
  <c r="AK122" i="64" s="1"/>
  <c r="AM122" i="64" s="1"/>
  <c r="AH121" i="64"/>
  <c r="AF121" i="64"/>
  <c r="AD121" i="64"/>
  <c r="AC121" i="64"/>
  <c r="AB121" i="64"/>
  <c r="AI120" i="64"/>
  <c r="AK120" i="64" s="1"/>
  <c r="AM120" i="64" s="1"/>
  <c r="AI119" i="64"/>
  <c r="AK119" i="64" s="1"/>
  <c r="AM119" i="64" s="1"/>
  <c r="AI118" i="64"/>
  <c r="AK118" i="64" s="1"/>
  <c r="AM118" i="64" s="1"/>
  <c r="Y117" i="64"/>
  <c r="X117" i="64"/>
  <c r="W117" i="64"/>
  <c r="AI116" i="64"/>
  <c r="AK116" i="64" s="1"/>
  <c r="AM116" i="64" s="1"/>
  <c r="AI115" i="64"/>
  <c r="AK115" i="64" s="1"/>
  <c r="AM115" i="64" s="1"/>
  <c r="AI114" i="64"/>
  <c r="AK114" i="64" s="1"/>
  <c r="AM114" i="64" s="1"/>
  <c r="AI113" i="64"/>
  <c r="AK113" i="64" s="1"/>
  <c r="AM113" i="64" s="1"/>
  <c r="AI112" i="64"/>
  <c r="AK112" i="64" s="1"/>
  <c r="AM112" i="64" s="1"/>
  <c r="AI111" i="64"/>
  <c r="AK111" i="64" s="1"/>
  <c r="AM111" i="64" s="1"/>
  <c r="AI110" i="64"/>
  <c r="AK110" i="64" s="1"/>
  <c r="AM110" i="64" s="1"/>
  <c r="R109" i="64"/>
  <c r="Q109" i="64"/>
  <c r="T108" i="64"/>
  <c r="Q108" i="64"/>
  <c r="AI107" i="64"/>
  <c r="AK107" i="64" s="1"/>
  <c r="AM107" i="64" s="1"/>
  <c r="AI106" i="64"/>
  <c r="AK106" i="64" s="1"/>
  <c r="AM106" i="64" s="1"/>
  <c r="H105" i="64"/>
  <c r="AI105" i="64" s="1"/>
  <c r="AK105" i="64" s="1"/>
  <c r="AM105" i="64" s="1"/>
  <c r="I104" i="64"/>
  <c r="AI104" i="64" s="1"/>
  <c r="AK104" i="64" s="1"/>
  <c r="AM104" i="64" s="1"/>
  <c r="AI103" i="64"/>
  <c r="AK103" i="64" s="1"/>
  <c r="AM103" i="64" s="1"/>
  <c r="AI102" i="64"/>
  <c r="AK102" i="64" s="1"/>
  <c r="AM102" i="64" s="1"/>
  <c r="AI101" i="64"/>
  <c r="AK101" i="64" s="1"/>
  <c r="AM101" i="64" s="1"/>
  <c r="AI100" i="64"/>
  <c r="AK100" i="64" s="1"/>
  <c r="AM100" i="64" s="1"/>
  <c r="AI99" i="64"/>
  <c r="AK99" i="64" s="1"/>
  <c r="AM99" i="64" s="1"/>
  <c r="AI98" i="64"/>
  <c r="AK98" i="64" s="1"/>
  <c r="AM98" i="64" s="1"/>
  <c r="AI97" i="64"/>
  <c r="AK97" i="64" s="1"/>
  <c r="AM97" i="64" s="1"/>
  <c r="AI96" i="64"/>
  <c r="AK96" i="64" s="1"/>
  <c r="AM96" i="64" s="1"/>
  <c r="AI95" i="64"/>
  <c r="AK95" i="64" s="1"/>
  <c r="AM95" i="64" s="1"/>
  <c r="AI94" i="64"/>
  <c r="AK94" i="64" s="1"/>
  <c r="AM94" i="64" s="1"/>
  <c r="AI93" i="64"/>
  <c r="AK93" i="64" s="1"/>
  <c r="AM93" i="64" s="1"/>
  <c r="AI92" i="64"/>
  <c r="AK92" i="64" s="1"/>
  <c r="AM92" i="64" s="1"/>
  <c r="AI91" i="64"/>
  <c r="AK91" i="64" s="1"/>
  <c r="AM91" i="64" s="1"/>
  <c r="AI90" i="64"/>
  <c r="AK90" i="64" s="1"/>
  <c r="AM90" i="64" s="1"/>
  <c r="AI89" i="64"/>
  <c r="AK89" i="64" s="1"/>
  <c r="AM89" i="64" s="1"/>
  <c r="AI88" i="64"/>
  <c r="AK88" i="64" s="1"/>
  <c r="AM88" i="64" s="1"/>
  <c r="AI87" i="64"/>
  <c r="AK87" i="64" s="1"/>
  <c r="AM87" i="64" s="1"/>
  <c r="AI86" i="64"/>
  <c r="AK86" i="64" s="1"/>
  <c r="AM86" i="64" s="1"/>
  <c r="AI85" i="64"/>
  <c r="AK85" i="64" s="1"/>
  <c r="AM85" i="64" s="1"/>
  <c r="AI84" i="64"/>
  <c r="AK84" i="64" s="1"/>
  <c r="AM84" i="64" s="1"/>
  <c r="AI83" i="64"/>
  <c r="AK83" i="64" s="1"/>
  <c r="AM83" i="64" s="1"/>
  <c r="AI82" i="64"/>
  <c r="AK82" i="64" s="1"/>
  <c r="AM82" i="64" s="1"/>
  <c r="AI81" i="64"/>
  <c r="AK81" i="64" s="1"/>
  <c r="AM81" i="64" s="1"/>
  <c r="AI80" i="64"/>
  <c r="AK80" i="64" s="1"/>
  <c r="AM80" i="64" s="1"/>
  <c r="AI79" i="64"/>
  <c r="AK79" i="64" s="1"/>
  <c r="AM79" i="64" s="1"/>
  <c r="AI78" i="64"/>
  <c r="AK78" i="64" s="1"/>
  <c r="AM78" i="64" s="1"/>
  <c r="AI77" i="64"/>
  <c r="AK77" i="64" s="1"/>
  <c r="AM77" i="64" s="1"/>
  <c r="AI76" i="64"/>
  <c r="AK76" i="64" s="1"/>
  <c r="AM76" i="64" s="1"/>
  <c r="AI75" i="64"/>
  <c r="AK75" i="64" s="1"/>
  <c r="AM75" i="64" s="1"/>
  <c r="AI74" i="64"/>
  <c r="AK74" i="64" s="1"/>
  <c r="AM74" i="64" s="1"/>
  <c r="AI73" i="64"/>
  <c r="AK73" i="64" s="1"/>
  <c r="AM73" i="64" s="1"/>
  <c r="AI72" i="64"/>
  <c r="AK72" i="64" s="1"/>
  <c r="AM72" i="64" s="1"/>
  <c r="AI71" i="64"/>
  <c r="AK71" i="64" s="1"/>
  <c r="AM71" i="64" s="1"/>
  <c r="AI70" i="64"/>
  <c r="AK70" i="64" s="1"/>
  <c r="AM70" i="64" s="1"/>
  <c r="AI69" i="64"/>
  <c r="AK69" i="64" s="1"/>
  <c r="AM69" i="64" s="1"/>
  <c r="AI68" i="64"/>
  <c r="AK68" i="64" s="1"/>
  <c r="AM68" i="64" s="1"/>
  <c r="AI67" i="64"/>
  <c r="AK67" i="64" s="1"/>
  <c r="AM67" i="64" s="1"/>
  <c r="AI66" i="64"/>
  <c r="AK66" i="64" s="1"/>
  <c r="AM66" i="64" s="1"/>
  <c r="AI65" i="64"/>
  <c r="AK65" i="64" s="1"/>
  <c r="AM65" i="64" s="1"/>
  <c r="AI64" i="64"/>
  <c r="AK64" i="64" s="1"/>
  <c r="AM64" i="64" s="1"/>
  <c r="AI63" i="64"/>
  <c r="AK63" i="64" s="1"/>
  <c r="AM63" i="64" s="1"/>
  <c r="AI62" i="64"/>
  <c r="AK62" i="64" s="1"/>
  <c r="AM62" i="64" s="1"/>
  <c r="AI61" i="64"/>
  <c r="AK61" i="64" s="1"/>
  <c r="AM61" i="64" s="1"/>
  <c r="AI60" i="64"/>
  <c r="AK60" i="64" s="1"/>
  <c r="AM60" i="64" s="1"/>
  <c r="AI59" i="64"/>
  <c r="AK59" i="64" s="1"/>
  <c r="AM59" i="64" s="1"/>
  <c r="AI58" i="64"/>
  <c r="AK58" i="64" s="1"/>
  <c r="AM58" i="64" s="1"/>
  <c r="AI57" i="64"/>
  <c r="AK57" i="64" s="1"/>
  <c r="AM57" i="64" s="1"/>
  <c r="AI56" i="64"/>
  <c r="AK56" i="64" s="1"/>
  <c r="AM56" i="64" s="1"/>
  <c r="AI55" i="64"/>
  <c r="AK55" i="64" s="1"/>
  <c r="AM55" i="64" s="1"/>
  <c r="AI54" i="64"/>
  <c r="AK54" i="64" s="1"/>
  <c r="AM54" i="64" s="1"/>
  <c r="AI53" i="64"/>
  <c r="AK53" i="64" s="1"/>
  <c r="AM53" i="64" s="1"/>
  <c r="AI52" i="64"/>
  <c r="AK52" i="64" s="1"/>
  <c r="AM52" i="64" s="1"/>
  <c r="AI51" i="64"/>
  <c r="AK51" i="64" s="1"/>
  <c r="AM51" i="64" s="1"/>
  <c r="AI50" i="64"/>
  <c r="AK50" i="64" s="1"/>
  <c r="AM50" i="64" s="1"/>
  <c r="AI49" i="64"/>
  <c r="AK49" i="64" s="1"/>
  <c r="AM49" i="64" s="1"/>
  <c r="AI48" i="64"/>
  <c r="AK48" i="64" s="1"/>
  <c r="AM48" i="64" s="1"/>
  <c r="AI47" i="64"/>
  <c r="AK47" i="64" s="1"/>
  <c r="AM47" i="64" s="1"/>
  <c r="AI46" i="64"/>
  <c r="AK46" i="64" s="1"/>
  <c r="AM46" i="64" s="1"/>
  <c r="AI45" i="64"/>
  <c r="AK45" i="64" s="1"/>
  <c r="AM45" i="64" s="1"/>
  <c r="AI44" i="64"/>
  <c r="AK44" i="64" s="1"/>
  <c r="AM44" i="64" s="1"/>
  <c r="AI43" i="64"/>
  <c r="AK43" i="64" s="1"/>
  <c r="AM43" i="64" s="1"/>
  <c r="AI42" i="64"/>
  <c r="AK42" i="64" s="1"/>
  <c r="AM42" i="64" s="1"/>
  <c r="AI41" i="64"/>
  <c r="AK41" i="64" s="1"/>
  <c r="AM41" i="64" s="1"/>
  <c r="AI40" i="64"/>
  <c r="AK40" i="64" s="1"/>
  <c r="AM40" i="64" s="1"/>
  <c r="AI39" i="64"/>
  <c r="AK39" i="64" s="1"/>
  <c r="AM39" i="64" s="1"/>
  <c r="AI38" i="64"/>
  <c r="AK38" i="64" s="1"/>
  <c r="AM38" i="64" s="1"/>
  <c r="AI37" i="64"/>
  <c r="AK37" i="64" s="1"/>
  <c r="AM37" i="64" s="1"/>
  <c r="AI36" i="64"/>
  <c r="AK36" i="64" s="1"/>
  <c r="AM36" i="64" s="1"/>
  <c r="AI35" i="64"/>
  <c r="AK35" i="64" s="1"/>
  <c r="AM35" i="64" s="1"/>
  <c r="AI34" i="64"/>
  <c r="AK34" i="64" s="1"/>
  <c r="AM34" i="64" s="1"/>
  <c r="AI33" i="64"/>
  <c r="AK33" i="64" s="1"/>
  <c r="AM33" i="64" s="1"/>
  <c r="AI32" i="64"/>
  <c r="AK32" i="64" s="1"/>
  <c r="AM32" i="64" s="1"/>
  <c r="AI31" i="64"/>
  <c r="AK31" i="64" s="1"/>
  <c r="AM31" i="64" s="1"/>
  <c r="AI30" i="64"/>
  <c r="AK30" i="64" s="1"/>
  <c r="AM30" i="64" s="1"/>
  <c r="AI29" i="64"/>
  <c r="AK29" i="64" s="1"/>
  <c r="AM29" i="64" s="1"/>
  <c r="AI28" i="64"/>
  <c r="AK28" i="64" s="1"/>
  <c r="AM28" i="64" s="1"/>
  <c r="AI27" i="64"/>
  <c r="AK27" i="64" s="1"/>
  <c r="AM27" i="64" s="1"/>
  <c r="AI26" i="64"/>
  <c r="AK26" i="64" s="1"/>
  <c r="AM26" i="64" s="1"/>
  <c r="AI25" i="64"/>
  <c r="AK25" i="64" s="1"/>
  <c r="AM25" i="64" s="1"/>
  <c r="AI24" i="64"/>
  <c r="AK24" i="64" s="1"/>
  <c r="AM24" i="64" s="1"/>
  <c r="AI23" i="64"/>
  <c r="AK23" i="64" s="1"/>
  <c r="AM23" i="64" s="1"/>
  <c r="AI22" i="64"/>
  <c r="AK22" i="64" s="1"/>
  <c r="AM22" i="64" s="1"/>
  <c r="AI21" i="64"/>
  <c r="AK21" i="64" s="1"/>
  <c r="AM21" i="64" s="1"/>
  <c r="AI20" i="64"/>
  <c r="AK20" i="64" s="1"/>
  <c r="AM20" i="64" s="1"/>
  <c r="AI19" i="64"/>
  <c r="AK19" i="64" s="1"/>
  <c r="AM19" i="64" s="1"/>
  <c r="AI18" i="64"/>
  <c r="AK18" i="64" s="1"/>
  <c r="AM18" i="64" s="1"/>
  <c r="AI17" i="64"/>
  <c r="AK17" i="64" s="1"/>
  <c r="AM17" i="64" s="1"/>
  <c r="AI16" i="64"/>
  <c r="AK16" i="64" s="1"/>
  <c r="AM16" i="64" s="1"/>
  <c r="AI15" i="64"/>
  <c r="AK15" i="64" s="1"/>
  <c r="AM15" i="64" s="1"/>
  <c r="AI14" i="64"/>
  <c r="AK14" i="64" s="1"/>
  <c r="AM14" i="64" s="1"/>
  <c r="AI13" i="64"/>
  <c r="AK13" i="64" s="1"/>
  <c r="AM13" i="64" s="1"/>
  <c r="AI12" i="64"/>
  <c r="AI11" i="64"/>
  <c r="E9" i="64"/>
  <c r="F9" i="64" s="1"/>
  <c r="G9" i="64" s="1"/>
  <c r="H9" i="64" s="1"/>
  <c r="I9" i="64" s="1"/>
  <c r="J9" i="64" s="1"/>
  <c r="K9" i="64" s="1"/>
  <c r="L9" i="64" s="1"/>
  <c r="M9" i="64" s="1"/>
  <c r="N9" i="64" s="1"/>
  <c r="O9" i="64" s="1"/>
  <c r="P9" i="64" s="1"/>
  <c r="Q9" i="64" s="1"/>
  <c r="R9" i="64" s="1"/>
  <c r="S9" i="64" s="1"/>
  <c r="T9" i="64" s="1"/>
  <c r="U9" i="64" s="1"/>
  <c r="V9" i="64" s="1"/>
  <c r="W9" i="64" s="1"/>
  <c r="X9" i="64" s="1"/>
  <c r="Y9" i="64" s="1"/>
  <c r="Z9" i="64" s="1"/>
  <c r="AA9" i="64" s="1"/>
  <c r="AB9" i="64" s="1"/>
  <c r="AC9" i="64" s="1"/>
  <c r="AD9" i="64" s="1"/>
  <c r="AE9" i="64" s="1"/>
  <c r="AF9" i="64" s="1"/>
  <c r="AG9" i="64" s="1"/>
  <c r="AH9" i="64" s="1"/>
  <c r="B5" i="64"/>
  <c r="AI156" i="64" l="1"/>
  <c r="AK156" i="64" s="1"/>
  <c r="AM156" i="64" s="1"/>
  <c r="AI109" i="64"/>
  <c r="AK109" i="64" s="1"/>
  <c r="AM109" i="64" s="1"/>
  <c r="AI108" i="64"/>
  <c r="AK108" i="64" s="1"/>
  <c r="AM108" i="64" s="1"/>
  <c r="AI169" i="64"/>
  <c r="AK169" i="64" s="1"/>
  <c r="AM169" i="64" s="1"/>
  <c r="AI117" i="64"/>
  <c r="AK117" i="64" s="1"/>
  <c r="AM117" i="64" s="1"/>
  <c r="AI121" i="64"/>
  <c r="AK121" i="64" s="1"/>
  <c r="AM121" i="64" s="1"/>
  <c r="AI157" i="64"/>
  <c r="AK157" i="64" s="1"/>
  <c r="AM157" i="64" s="1"/>
  <c r="AI165" i="64"/>
  <c r="AK165" i="64" s="1"/>
  <c r="AM165" i="64" s="1"/>
  <c r="Q63" i="63" l="1"/>
  <c r="Q59" i="63"/>
  <c r="Q67" i="63" l="1"/>
  <c r="Q68" i="63"/>
  <c r="Q51" i="63" l="1"/>
  <c r="Q47" i="63"/>
  <c r="Q50" i="63"/>
  <c r="Q46" i="63"/>
  <c r="Q62" i="63"/>
  <c r="Q58" i="63"/>
  <c r="Q60" i="63"/>
  <c r="Q48" i="63"/>
  <c r="Q23" i="63" l="1"/>
  <c r="Q22" i="63"/>
  <c r="Q16" i="63" l="1"/>
  <c r="Q71" i="63"/>
  <c r="K67" i="63"/>
  <c r="H67" i="63"/>
  <c r="J64" i="63"/>
  <c r="H64" i="63"/>
  <c r="I24" i="63"/>
  <c r="K24" i="63" s="1"/>
  <c r="H24" i="63"/>
  <c r="I23" i="63"/>
  <c r="J23" i="63" s="1"/>
  <c r="H23" i="63"/>
  <c r="I22" i="63"/>
  <c r="K22" i="63" s="1"/>
  <c r="H22" i="63"/>
  <c r="I21" i="63"/>
  <c r="J21" i="63" s="1"/>
  <c r="H21" i="63"/>
  <c r="I20" i="63"/>
  <c r="K20" i="63" s="1"/>
  <c r="H20" i="63"/>
  <c r="K19" i="63"/>
  <c r="H19" i="63"/>
  <c r="K18" i="63"/>
  <c r="H18" i="63"/>
  <c r="I17" i="63"/>
  <c r="H17" i="63"/>
  <c r="I16" i="63"/>
  <c r="K16" i="63" s="1"/>
  <c r="R16" i="63" s="1"/>
  <c r="H16" i="63"/>
  <c r="H69" i="63" s="1"/>
  <c r="P15" i="63"/>
  <c r="M15" i="63"/>
  <c r="P7" i="63"/>
  <c r="P6" i="63"/>
  <c r="D6" i="63"/>
  <c r="P5" i="63"/>
  <c r="D5" i="63"/>
  <c r="D4" i="63"/>
  <c r="A3" i="63"/>
  <c r="K21" i="63" l="1"/>
  <c r="D21" i="63" s="1"/>
  <c r="F21" i="63" s="1"/>
  <c r="J17" i="63"/>
  <c r="K17" i="63"/>
  <c r="D17" i="63" s="1"/>
  <c r="N17" i="63" s="1"/>
  <c r="O17" i="63" s="1"/>
  <c r="H84" i="63"/>
  <c r="H75" i="63"/>
  <c r="K64" i="63"/>
  <c r="D64" i="63" s="1"/>
  <c r="F64" i="63" s="1"/>
  <c r="J20" i="63"/>
  <c r="J24" i="63"/>
  <c r="L20" i="63"/>
  <c r="D20" i="63"/>
  <c r="F20" i="63" s="1"/>
  <c r="L24" i="63"/>
  <c r="D24" i="63"/>
  <c r="F24" i="63" s="1"/>
  <c r="L16" i="63"/>
  <c r="L69" i="63" s="1"/>
  <c r="D16" i="63"/>
  <c r="F16" i="63" s="1"/>
  <c r="J16" i="63"/>
  <c r="L19" i="63"/>
  <c r="D19" i="63"/>
  <c r="D18" i="63"/>
  <c r="L18" i="63"/>
  <c r="D22" i="63"/>
  <c r="L22" i="63"/>
  <c r="L67" i="63"/>
  <c r="D67" i="63"/>
  <c r="J19" i="63"/>
  <c r="H70" i="63"/>
  <c r="H72" i="63"/>
  <c r="J18" i="63"/>
  <c r="J22" i="63"/>
  <c r="K23" i="63"/>
  <c r="J67" i="63"/>
  <c r="H71" i="63"/>
  <c r="H73" i="63"/>
  <c r="H74" i="63"/>
  <c r="N24" i="63" l="1"/>
  <c r="O24" i="63" s="1"/>
  <c r="P24" i="63" s="1"/>
  <c r="N21" i="63"/>
  <c r="O21" i="63" s="1"/>
  <c r="P21" i="63" s="1"/>
  <c r="M16" i="63"/>
  <c r="M20" i="63"/>
  <c r="L21" i="63"/>
  <c r="M21" i="63" s="1"/>
  <c r="M24" i="63"/>
  <c r="N64" i="63"/>
  <c r="O64" i="63" s="1"/>
  <c r="N16" i="63"/>
  <c r="O16" i="63" s="1"/>
  <c r="O69" i="63" s="1"/>
  <c r="O76" i="63" s="1"/>
  <c r="F69" i="63"/>
  <c r="H79" i="63" s="1"/>
  <c r="H76" i="63"/>
  <c r="F17" i="63"/>
  <c r="P17" i="63" s="1"/>
  <c r="L64" i="63"/>
  <c r="M64" i="63" s="1"/>
  <c r="P64" i="63"/>
  <c r="L17" i="63"/>
  <c r="N20" i="63"/>
  <c r="O20" i="63" s="1"/>
  <c r="P20" i="63" s="1"/>
  <c r="J69" i="63"/>
  <c r="F18" i="63"/>
  <c r="M18" i="63" s="1"/>
  <c r="N18" i="63"/>
  <c r="O18" i="63" s="1"/>
  <c r="L76" i="63"/>
  <c r="L72" i="63"/>
  <c r="L70" i="63"/>
  <c r="L81" i="63"/>
  <c r="L75" i="63"/>
  <c r="L74" i="63"/>
  <c r="L73" i="63"/>
  <c r="L71" i="63"/>
  <c r="F22" i="63"/>
  <c r="N22" i="63"/>
  <c r="O22" i="63" s="1"/>
  <c r="N19" i="63"/>
  <c r="O19" i="63" s="1"/>
  <c r="F19" i="63"/>
  <c r="M19" i="63" s="1"/>
  <c r="L23" i="63"/>
  <c r="D23" i="63"/>
  <c r="F67" i="63"/>
  <c r="N67" i="63"/>
  <c r="O67" i="63" s="1"/>
  <c r="F70" i="63" l="1"/>
  <c r="O70" i="63" s="1"/>
  <c r="P69" i="63"/>
  <c r="F74" i="63"/>
  <c r="O74" i="63" s="1"/>
  <c r="M79" i="63"/>
  <c r="M69" i="63"/>
  <c r="F76" i="63"/>
  <c r="M76" i="63" s="1"/>
  <c r="Q69" i="63"/>
  <c r="F72" i="63"/>
  <c r="O72" i="63" s="1"/>
  <c r="F73" i="63"/>
  <c r="O73" i="63" s="1"/>
  <c r="P79" i="63"/>
  <c r="P16" i="63"/>
  <c r="F71" i="63"/>
  <c r="O71" i="63" s="1"/>
  <c r="F75" i="63"/>
  <c r="O75" i="63" s="1"/>
  <c r="J79" i="63"/>
  <c r="M17" i="63"/>
  <c r="P18" i="63"/>
  <c r="J75" i="63"/>
  <c r="J74" i="63"/>
  <c r="J70" i="63"/>
  <c r="J71" i="63"/>
  <c r="J72" i="63"/>
  <c r="J73" i="63"/>
  <c r="P19" i="63"/>
  <c r="J76" i="63"/>
  <c r="P67" i="63"/>
  <c r="P22" i="63"/>
  <c r="N23" i="63"/>
  <c r="O23" i="63" s="1"/>
  <c r="F23" i="63"/>
  <c r="M23" i="63" s="1"/>
  <c r="M22" i="63"/>
  <c r="M67" i="63"/>
  <c r="M71" i="63" l="1"/>
  <c r="P23" i="63"/>
  <c r="AL66" i="62" l="1"/>
  <c r="AI64" i="62"/>
  <c r="AI63" i="62"/>
  <c r="AI62" i="62"/>
  <c r="AI52" i="62"/>
  <c r="AI51" i="62"/>
  <c r="AI50" i="62"/>
  <c r="AI40" i="62"/>
  <c r="AI39" i="62"/>
  <c r="AI38" i="62"/>
  <c r="AI23" i="62"/>
  <c r="AI22" i="62"/>
  <c r="AI21" i="62"/>
  <c r="AI20" i="62"/>
  <c r="AI19" i="62"/>
  <c r="AI18" i="62"/>
  <c r="AK18" i="62" s="1"/>
  <c r="AM18" i="62" s="1"/>
  <c r="AO18" i="62" s="1"/>
  <c r="AQ18" i="62" s="1"/>
  <c r="AI17" i="62"/>
  <c r="AK17" i="62" s="1"/>
  <c r="AM17" i="62" s="1"/>
  <c r="AO17" i="62" s="1"/>
  <c r="AQ17" i="62" s="1"/>
  <c r="AI16" i="62"/>
  <c r="AK16" i="62" s="1"/>
  <c r="AM16" i="62" s="1"/>
  <c r="AO16" i="62" s="1"/>
  <c r="AQ16" i="62" s="1"/>
  <c r="AI15" i="62"/>
  <c r="AK15" i="62" s="1"/>
  <c r="AM15" i="62" s="1"/>
  <c r="AO15" i="62" s="1"/>
  <c r="AQ15" i="62" s="1"/>
  <c r="AI14" i="62"/>
  <c r="AK14" i="62" s="1"/>
  <c r="AM14" i="62" s="1"/>
  <c r="AO14" i="62" s="1"/>
  <c r="AQ14" i="62" s="1"/>
  <c r="AP13" i="62"/>
  <c r="AL13" i="62"/>
  <c r="AI13" i="62"/>
  <c r="AK13" i="62" s="1"/>
  <c r="AO12" i="62"/>
  <c r="AI12" i="62"/>
  <c r="AK12" i="62" s="1"/>
  <c r="AO11" i="62"/>
  <c r="AI11" i="62"/>
  <c r="AK11" i="62" s="1"/>
  <c r="E9" i="62"/>
  <c r="F9" i="62" s="1"/>
  <c r="G9" i="62" s="1"/>
  <c r="H9" i="62" s="1"/>
  <c r="I9" i="62" s="1"/>
  <c r="J9" i="62" s="1"/>
  <c r="K9" i="62" s="1"/>
  <c r="L9" i="62" s="1"/>
  <c r="M9" i="62" s="1"/>
  <c r="N9" i="62" s="1"/>
  <c r="O9" i="62" s="1"/>
  <c r="P9" i="62" s="1"/>
  <c r="Q9" i="62" s="1"/>
  <c r="R9" i="62" s="1"/>
  <c r="S9" i="62" s="1"/>
  <c r="T9" i="62" s="1"/>
  <c r="U9" i="62" s="1"/>
  <c r="V9" i="62" s="1"/>
  <c r="W9" i="62" s="1"/>
  <c r="X9" i="62" s="1"/>
  <c r="Y9" i="62" s="1"/>
  <c r="Z9" i="62" s="1"/>
  <c r="AA9" i="62" s="1"/>
  <c r="AB9" i="62" s="1"/>
  <c r="AC9" i="62" s="1"/>
  <c r="AD9" i="62" s="1"/>
  <c r="AE9" i="62" s="1"/>
  <c r="AF9" i="62" s="1"/>
  <c r="AG9" i="62" s="1"/>
  <c r="AH9" i="62" s="1"/>
  <c r="B5" i="62"/>
  <c r="AM13" i="62" l="1"/>
  <c r="AO13" i="62" s="1"/>
  <c r="AQ13" i="62" s="1"/>
  <c r="G41" i="85" l="1"/>
  <c r="H41" i="85" s="1"/>
  <c r="E41" i="85" s="1"/>
  <c r="J41" i="85" s="1"/>
  <c r="K41" i="85" s="1"/>
  <c r="I41" i="85" l="1"/>
  <c r="AA582" i="58" l="1"/>
  <c r="Z582" i="58"/>
  <c r="X582" i="58"/>
  <c r="V582" i="58"/>
  <c r="AI581" i="58"/>
  <c r="AI580" i="58"/>
  <c r="R579" i="58"/>
  <c r="AI579" i="58" s="1"/>
  <c r="AI578" i="58"/>
  <c r="AI577" i="58"/>
  <c r="Q576" i="58"/>
  <c r="AI576" i="58" s="1"/>
  <c r="AI575" i="58"/>
  <c r="AI574" i="58"/>
  <c r="S573" i="58"/>
  <c r="AI573" i="58" s="1"/>
  <c r="X572" i="58"/>
  <c r="AI572" i="58" s="1"/>
  <c r="AI571" i="58"/>
  <c r="AI570" i="58"/>
  <c r="AG569" i="58"/>
  <c r="E569" i="58"/>
  <c r="AI568" i="58"/>
  <c r="AI566" i="58"/>
  <c r="AI565" i="58"/>
  <c r="AI564" i="58"/>
  <c r="AI562" i="58"/>
  <c r="AI560" i="58"/>
  <c r="AI558" i="58"/>
  <c r="AK558" i="58" s="1"/>
  <c r="AM558" i="58" s="1"/>
  <c r="AI557" i="58"/>
  <c r="AK557" i="58" s="1"/>
  <c r="AM557" i="58" s="1"/>
  <c r="AI556" i="58"/>
  <c r="AK556" i="58" s="1"/>
  <c r="AM556" i="58" s="1"/>
  <c r="AI555" i="58"/>
  <c r="AK555" i="58" s="1"/>
  <c r="AM555" i="58" s="1"/>
  <c r="AI554" i="58"/>
  <c r="AK554" i="58" s="1"/>
  <c r="AM554" i="58" s="1"/>
  <c r="AI553" i="58"/>
  <c r="AK553" i="58" s="1"/>
  <c r="AM553" i="58" s="1"/>
  <c r="AI552" i="58"/>
  <c r="AK552" i="58" s="1"/>
  <c r="AM552" i="58" s="1"/>
  <c r="AI551" i="58"/>
  <c r="AK551" i="58" s="1"/>
  <c r="AM551" i="58" s="1"/>
  <c r="AI550" i="58"/>
  <c r="AK550" i="58" s="1"/>
  <c r="AM550" i="58" s="1"/>
  <c r="AI549" i="58"/>
  <c r="AK549" i="58" s="1"/>
  <c r="AM549" i="58" s="1"/>
  <c r="AI548" i="58"/>
  <c r="AK548" i="58" s="1"/>
  <c r="AM548" i="58" s="1"/>
  <c r="AI547" i="58"/>
  <c r="AK547" i="58" s="1"/>
  <c r="AM547" i="58" s="1"/>
  <c r="AI546" i="58"/>
  <c r="AK546" i="58" s="1"/>
  <c r="AM546" i="58" s="1"/>
  <c r="AI545" i="58"/>
  <c r="AK545" i="58" s="1"/>
  <c r="AM545" i="58" s="1"/>
  <c r="AI544" i="58"/>
  <c r="AK544" i="58" s="1"/>
  <c r="AM544" i="58" s="1"/>
  <c r="AI543" i="58"/>
  <c r="AK543" i="58" s="1"/>
  <c r="AM543" i="58" s="1"/>
  <c r="AI542" i="58"/>
  <c r="AK542" i="58" s="1"/>
  <c r="AM542" i="58" s="1"/>
  <c r="AI541" i="58"/>
  <c r="AK541" i="58" s="1"/>
  <c r="AM541" i="58" s="1"/>
  <c r="AI540" i="58"/>
  <c r="AK540" i="58" s="1"/>
  <c r="AM540" i="58" s="1"/>
  <c r="AI539" i="58"/>
  <c r="AK539" i="58" s="1"/>
  <c r="AM539" i="58" s="1"/>
  <c r="AI538" i="58"/>
  <c r="AK538" i="58" s="1"/>
  <c r="AM538" i="58" s="1"/>
  <c r="AI537" i="58"/>
  <c r="AK537" i="58" s="1"/>
  <c r="AM537" i="58" s="1"/>
  <c r="AI536" i="58"/>
  <c r="AK536" i="58" s="1"/>
  <c r="AM536" i="58" s="1"/>
  <c r="AI535" i="58"/>
  <c r="AK535" i="58" s="1"/>
  <c r="AM535" i="58" s="1"/>
  <c r="AI534" i="58"/>
  <c r="AK534" i="58" s="1"/>
  <c r="AM534" i="58" s="1"/>
  <c r="AI533" i="58"/>
  <c r="AK533" i="58" s="1"/>
  <c r="AM533" i="58" s="1"/>
  <c r="AI532" i="58"/>
  <c r="AK532" i="58" s="1"/>
  <c r="AM532" i="58" s="1"/>
  <c r="AI531" i="58"/>
  <c r="AK531" i="58" s="1"/>
  <c r="AM531" i="58" s="1"/>
  <c r="AI530" i="58"/>
  <c r="AK530" i="58" s="1"/>
  <c r="AM530" i="58" s="1"/>
  <c r="AI529" i="58"/>
  <c r="AK529" i="58" s="1"/>
  <c r="AM529" i="58" s="1"/>
  <c r="AI528" i="58"/>
  <c r="AK528" i="58" s="1"/>
  <c r="AM528" i="58" s="1"/>
  <c r="AI527" i="58"/>
  <c r="AK527" i="58" s="1"/>
  <c r="AM527" i="58" s="1"/>
  <c r="AI526" i="58"/>
  <c r="AK526" i="58" s="1"/>
  <c r="AM526" i="58" s="1"/>
  <c r="AI525" i="58"/>
  <c r="AK525" i="58" s="1"/>
  <c r="AM525" i="58" s="1"/>
  <c r="AI524" i="58"/>
  <c r="AK524" i="58" s="1"/>
  <c r="AM524" i="58" s="1"/>
  <c r="AI523" i="58"/>
  <c r="AK523" i="58" s="1"/>
  <c r="AM523" i="58" s="1"/>
  <c r="AI522" i="58"/>
  <c r="AK522" i="58" s="1"/>
  <c r="AM522" i="58" s="1"/>
  <c r="AI521" i="58"/>
  <c r="AK521" i="58" s="1"/>
  <c r="AM521" i="58" s="1"/>
  <c r="AI520" i="58"/>
  <c r="AK520" i="58" s="1"/>
  <c r="AM520" i="58" s="1"/>
  <c r="AI519" i="58"/>
  <c r="AK519" i="58" s="1"/>
  <c r="AM519" i="58" s="1"/>
  <c r="AI518" i="58"/>
  <c r="AK518" i="58" s="1"/>
  <c r="AM518" i="58" s="1"/>
  <c r="AI517" i="58"/>
  <c r="AK517" i="58" s="1"/>
  <c r="AM517" i="58" s="1"/>
  <c r="AI516" i="58"/>
  <c r="AK516" i="58" s="1"/>
  <c r="AM516" i="58" s="1"/>
  <c r="AI515" i="58"/>
  <c r="AK515" i="58" s="1"/>
  <c r="AM515" i="58" s="1"/>
  <c r="AI514" i="58"/>
  <c r="AK514" i="58" s="1"/>
  <c r="AM514" i="58" s="1"/>
  <c r="AI513" i="58"/>
  <c r="AK513" i="58" s="1"/>
  <c r="AM513" i="58" s="1"/>
  <c r="AI512" i="58"/>
  <c r="AK512" i="58" s="1"/>
  <c r="AM512" i="58" s="1"/>
  <c r="AI511" i="58"/>
  <c r="AK511" i="58" s="1"/>
  <c r="AM511" i="58" s="1"/>
  <c r="AI510" i="58"/>
  <c r="AK510" i="58" s="1"/>
  <c r="AM510" i="58" s="1"/>
  <c r="AI509" i="58"/>
  <c r="AK509" i="58" s="1"/>
  <c r="AM509" i="58" s="1"/>
  <c r="AI508" i="58"/>
  <c r="AK508" i="58" s="1"/>
  <c r="AM508" i="58" s="1"/>
  <c r="AI507" i="58"/>
  <c r="AK507" i="58" s="1"/>
  <c r="AM507" i="58" s="1"/>
  <c r="AI506" i="58"/>
  <c r="AK506" i="58" s="1"/>
  <c r="AM506" i="58" s="1"/>
  <c r="AI505" i="58"/>
  <c r="AK505" i="58" s="1"/>
  <c r="AM505" i="58" s="1"/>
  <c r="AI504" i="58"/>
  <c r="AK504" i="58" s="1"/>
  <c r="AM504" i="58" s="1"/>
  <c r="AI503" i="58"/>
  <c r="AK503" i="58" s="1"/>
  <c r="AM503" i="58" s="1"/>
  <c r="AI502" i="58"/>
  <c r="AK502" i="58" s="1"/>
  <c r="AM502" i="58" s="1"/>
  <c r="AI501" i="58"/>
  <c r="AK501" i="58" s="1"/>
  <c r="AM501" i="58" s="1"/>
  <c r="AI500" i="58"/>
  <c r="AK500" i="58" s="1"/>
  <c r="AM500" i="58" s="1"/>
  <c r="AI499" i="58"/>
  <c r="AK499" i="58" s="1"/>
  <c r="AM499" i="58" s="1"/>
  <c r="AI498" i="58"/>
  <c r="AK498" i="58" s="1"/>
  <c r="AM498" i="58" s="1"/>
  <c r="AI497" i="58"/>
  <c r="AK497" i="58" s="1"/>
  <c r="AM497" i="58" s="1"/>
  <c r="AI496" i="58"/>
  <c r="AK496" i="58" s="1"/>
  <c r="AM496" i="58" s="1"/>
  <c r="AI495" i="58"/>
  <c r="AK495" i="58" s="1"/>
  <c r="AM495" i="58" s="1"/>
  <c r="AI494" i="58"/>
  <c r="AK494" i="58" s="1"/>
  <c r="AM494" i="58" s="1"/>
  <c r="AI493" i="58"/>
  <c r="AK493" i="58" s="1"/>
  <c r="AM493" i="58" s="1"/>
  <c r="AI492" i="58"/>
  <c r="AK492" i="58" s="1"/>
  <c r="AM492" i="58" s="1"/>
  <c r="AI491" i="58"/>
  <c r="AK491" i="58" s="1"/>
  <c r="AM491" i="58" s="1"/>
  <c r="AI490" i="58"/>
  <c r="AK490" i="58" s="1"/>
  <c r="AM490" i="58" s="1"/>
  <c r="AI489" i="58"/>
  <c r="AK489" i="58" s="1"/>
  <c r="AM489" i="58" s="1"/>
  <c r="AI488" i="58"/>
  <c r="AK488" i="58" s="1"/>
  <c r="AM488" i="58" s="1"/>
  <c r="AI487" i="58"/>
  <c r="AK487" i="58" s="1"/>
  <c r="AM487" i="58" s="1"/>
  <c r="AI486" i="58"/>
  <c r="AK486" i="58" s="1"/>
  <c r="AM486" i="58" s="1"/>
  <c r="AI485" i="58"/>
  <c r="AK485" i="58" s="1"/>
  <c r="AM485" i="58" s="1"/>
  <c r="AI484" i="58"/>
  <c r="AK484" i="58" s="1"/>
  <c r="AM484" i="58" s="1"/>
  <c r="AI483" i="58"/>
  <c r="AK483" i="58" s="1"/>
  <c r="AM483" i="58" s="1"/>
  <c r="AI482" i="58"/>
  <c r="AK482" i="58" s="1"/>
  <c r="AM482" i="58" s="1"/>
  <c r="AI481" i="58"/>
  <c r="AK481" i="58" s="1"/>
  <c r="AM481" i="58" s="1"/>
  <c r="AI480" i="58"/>
  <c r="AK480" i="58" s="1"/>
  <c r="AM480" i="58" s="1"/>
  <c r="AI479" i="58"/>
  <c r="AK479" i="58" s="1"/>
  <c r="AM479" i="58" s="1"/>
  <c r="AI478" i="58"/>
  <c r="AK478" i="58" s="1"/>
  <c r="AM478" i="58" s="1"/>
  <c r="AI477" i="58"/>
  <c r="AK477" i="58" s="1"/>
  <c r="AM477" i="58" s="1"/>
  <c r="AI476" i="58"/>
  <c r="AK476" i="58" s="1"/>
  <c r="AM476" i="58" s="1"/>
  <c r="AI475" i="58"/>
  <c r="AK475" i="58" s="1"/>
  <c r="AM475" i="58" s="1"/>
  <c r="AI474" i="58"/>
  <c r="AK474" i="58" s="1"/>
  <c r="AM474" i="58" s="1"/>
  <c r="AI473" i="58"/>
  <c r="AK473" i="58" s="1"/>
  <c r="AM473" i="58" s="1"/>
  <c r="AI472" i="58"/>
  <c r="AK472" i="58" s="1"/>
  <c r="AM472" i="58" s="1"/>
  <c r="AI471" i="58"/>
  <c r="AK471" i="58" s="1"/>
  <c r="AM471" i="58" s="1"/>
  <c r="AI470" i="58"/>
  <c r="AK470" i="58" s="1"/>
  <c r="AM470" i="58" s="1"/>
  <c r="AI469" i="58"/>
  <c r="AK469" i="58" s="1"/>
  <c r="AM469" i="58" s="1"/>
  <c r="AI468" i="58"/>
  <c r="AK468" i="58" s="1"/>
  <c r="AM468" i="58" s="1"/>
  <c r="AI467" i="58"/>
  <c r="AK467" i="58" s="1"/>
  <c r="AM467" i="58" s="1"/>
  <c r="AI466" i="58"/>
  <c r="AK466" i="58" s="1"/>
  <c r="AM466" i="58" s="1"/>
  <c r="AI465" i="58"/>
  <c r="AK465" i="58" s="1"/>
  <c r="AM465" i="58" s="1"/>
  <c r="AI464" i="58"/>
  <c r="AK464" i="58" s="1"/>
  <c r="AM464" i="58" s="1"/>
  <c r="AI463" i="58"/>
  <c r="AK463" i="58" s="1"/>
  <c r="AM463" i="58" s="1"/>
  <c r="AI462" i="58"/>
  <c r="AK462" i="58" s="1"/>
  <c r="AM462" i="58" s="1"/>
  <c r="AI461" i="58"/>
  <c r="AK461" i="58" s="1"/>
  <c r="AM461" i="58" s="1"/>
  <c r="AI460" i="58"/>
  <c r="AK460" i="58" s="1"/>
  <c r="AM460" i="58" s="1"/>
  <c r="AI459" i="58"/>
  <c r="AK459" i="58" s="1"/>
  <c r="AM459" i="58" s="1"/>
  <c r="AI458" i="58"/>
  <c r="AK458" i="58" s="1"/>
  <c r="AM458" i="58" s="1"/>
  <c r="AI457" i="58"/>
  <c r="AK457" i="58" s="1"/>
  <c r="AM457" i="58" s="1"/>
  <c r="AI456" i="58"/>
  <c r="AK456" i="58" s="1"/>
  <c r="AM456" i="58" s="1"/>
  <c r="AI455" i="58"/>
  <c r="AK455" i="58" s="1"/>
  <c r="AM455" i="58" s="1"/>
  <c r="AI454" i="58"/>
  <c r="AK454" i="58" s="1"/>
  <c r="AM454" i="58" s="1"/>
  <c r="AI453" i="58"/>
  <c r="AK453" i="58" s="1"/>
  <c r="AM453" i="58" s="1"/>
  <c r="AI452" i="58"/>
  <c r="AK452" i="58" s="1"/>
  <c r="AM452" i="58" s="1"/>
  <c r="AI451" i="58"/>
  <c r="AK451" i="58" s="1"/>
  <c r="AM451" i="58" s="1"/>
  <c r="AI450" i="58"/>
  <c r="AK450" i="58" s="1"/>
  <c r="AM450" i="58" s="1"/>
  <c r="AI449" i="58"/>
  <c r="AK449" i="58" s="1"/>
  <c r="AM449" i="58" s="1"/>
  <c r="AI448" i="58"/>
  <c r="AK448" i="58" s="1"/>
  <c r="AM448" i="58" s="1"/>
  <c r="AI447" i="58"/>
  <c r="AK447" i="58" s="1"/>
  <c r="AM447" i="58" s="1"/>
  <c r="AI446" i="58"/>
  <c r="AK446" i="58" s="1"/>
  <c r="AM446" i="58" s="1"/>
  <c r="AI445" i="58"/>
  <c r="AK445" i="58" s="1"/>
  <c r="AM445" i="58" s="1"/>
  <c r="AI444" i="58"/>
  <c r="AK444" i="58" s="1"/>
  <c r="AM444" i="58" s="1"/>
  <c r="AI443" i="58"/>
  <c r="AK443" i="58" s="1"/>
  <c r="AM443" i="58" s="1"/>
  <c r="AI442" i="58"/>
  <c r="AK442" i="58" s="1"/>
  <c r="AM442" i="58" s="1"/>
  <c r="AI441" i="58"/>
  <c r="AK441" i="58" s="1"/>
  <c r="AM441" i="58" s="1"/>
  <c r="AI440" i="58"/>
  <c r="AK440" i="58" s="1"/>
  <c r="AM440" i="58" s="1"/>
  <c r="AI439" i="58"/>
  <c r="AK439" i="58" s="1"/>
  <c r="AM439" i="58" s="1"/>
  <c r="AI438" i="58"/>
  <c r="AK438" i="58" s="1"/>
  <c r="AM438" i="58" s="1"/>
  <c r="AI437" i="58"/>
  <c r="AK437" i="58" s="1"/>
  <c r="AM437" i="58" s="1"/>
  <c r="AI436" i="58"/>
  <c r="AK436" i="58" s="1"/>
  <c r="AM436" i="58" s="1"/>
  <c r="AI435" i="58"/>
  <c r="AK435" i="58" s="1"/>
  <c r="AM435" i="58" s="1"/>
  <c r="AI434" i="58"/>
  <c r="AK434" i="58" s="1"/>
  <c r="AM434" i="58" s="1"/>
  <c r="AI433" i="58"/>
  <c r="AK433" i="58" s="1"/>
  <c r="AM433" i="58" s="1"/>
  <c r="AI432" i="58"/>
  <c r="AK432" i="58" s="1"/>
  <c r="AM432" i="58" s="1"/>
  <c r="AI431" i="58"/>
  <c r="AK431" i="58" s="1"/>
  <c r="AM431" i="58" s="1"/>
  <c r="AI430" i="58"/>
  <c r="AK430" i="58" s="1"/>
  <c r="AM430" i="58" s="1"/>
  <c r="AI429" i="58"/>
  <c r="AK429" i="58" s="1"/>
  <c r="AM429" i="58" s="1"/>
  <c r="AI428" i="58"/>
  <c r="AK428" i="58" s="1"/>
  <c r="AM428" i="58" s="1"/>
  <c r="AI427" i="58"/>
  <c r="AK427" i="58" s="1"/>
  <c r="AM427" i="58" s="1"/>
  <c r="AI426" i="58"/>
  <c r="AK426" i="58" s="1"/>
  <c r="AM426" i="58" s="1"/>
  <c r="AI425" i="58"/>
  <c r="AK425" i="58" s="1"/>
  <c r="AM425" i="58" s="1"/>
  <c r="AI424" i="58"/>
  <c r="AK424" i="58" s="1"/>
  <c r="AM424" i="58" s="1"/>
  <c r="AI423" i="58"/>
  <c r="AK423" i="58" s="1"/>
  <c r="AM423" i="58" s="1"/>
  <c r="AI422" i="58"/>
  <c r="AK422" i="58" s="1"/>
  <c r="AM422" i="58" s="1"/>
  <c r="AI421" i="58"/>
  <c r="AK421" i="58" s="1"/>
  <c r="AM421" i="58" s="1"/>
  <c r="AI420" i="58"/>
  <c r="AK420" i="58" s="1"/>
  <c r="AM420" i="58" s="1"/>
  <c r="AI419" i="58"/>
  <c r="AK419" i="58" s="1"/>
  <c r="AM419" i="58" s="1"/>
  <c r="AI418" i="58"/>
  <c r="AK418" i="58" s="1"/>
  <c r="AM418" i="58" s="1"/>
  <c r="AI417" i="58"/>
  <c r="AK417" i="58" s="1"/>
  <c r="AM417" i="58" s="1"/>
  <c r="AI416" i="58"/>
  <c r="AK416" i="58" s="1"/>
  <c r="AM416" i="58" s="1"/>
  <c r="AI415" i="58"/>
  <c r="AK415" i="58" s="1"/>
  <c r="AM415" i="58" s="1"/>
  <c r="AI414" i="58"/>
  <c r="AK414" i="58" s="1"/>
  <c r="AM414" i="58" s="1"/>
  <c r="AI413" i="58"/>
  <c r="AK413" i="58" s="1"/>
  <c r="AM413" i="58" s="1"/>
  <c r="AI412" i="58"/>
  <c r="AK412" i="58" s="1"/>
  <c r="AM412" i="58" s="1"/>
  <c r="AI411" i="58"/>
  <c r="AK411" i="58" s="1"/>
  <c r="AM411" i="58" s="1"/>
  <c r="AI410" i="58"/>
  <c r="AK410" i="58" s="1"/>
  <c r="AM410" i="58" s="1"/>
  <c r="AI409" i="58"/>
  <c r="AK409" i="58" s="1"/>
  <c r="AM409" i="58" s="1"/>
  <c r="AI408" i="58"/>
  <c r="AK408" i="58" s="1"/>
  <c r="AM408" i="58" s="1"/>
  <c r="AI407" i="58"/>
  <c r="AK407" i="58" s="1"/>
  <c r="AM407" i="58" s="1"/>
  <c r="AI406" i="58"/>
  <c r="AK406" i="58" s="1"/>
  <c r="AM406" i="58" s="1"/>
  <c r="AI405" i="58"/>
  <c r="AK405" i="58" s="1"/>
  <c r="AM405" i="58" s="1"/>
  <c r="AI404" i="58"/>
  <c r="AK404" i="58" s="1"/>
  <c r="AM404" i="58" s="1"/>
  <c r="AI403" i="58"/>
  <c r="AK403" i="58" s="1"/>
  <c r="AM403" i="58" s="1"/>
  <c r="AI402" i="58"/>
  <c r="AK402" i="58" s="1"/>
  <c r="AM402" i="58" s="1"/>
  <c r="AI401" i="58"/>
  <c r="AK401" i="58" s="1"/>
  <c r="AM401" i="58" s="1"/>
  <c r="AI400" i="58"/>
  <c r="AK400" i="58" s="1"/>
  <c r="AM400" i="58" s="1"/>
  <c r="AI399" i="58"/>
  <c r="AK399" i="58" s="1"/>
  <c r="AM399" i="58" s="1"/>
  <c r="AI398" i="58"/>
  <c r="AK398" i="58" s="1"/>
  <c r="AM398" i="58" s="1"/>
  <c r="AI397" i="58"/>
  <c r="AK397" i="58" s="1"/>
  <c r="AM397" i="58" s="1"/>
  <c r="AI396" i="58"/>
  <c r="AK396" i="58" s="1"/>
  <c r="AM396" i="58" s="1"/>
  <c r="AI395" i="58"/>
  <c r="AK395" i="58" s="1"/>
  <c r="AM395" i="58" s="1"/>
  <c r="AI394" i="58"/>
  <c r="AK394" i="58" s="1"/>
  <c r="AM394" i="58" s="1"/>
  <c r="AI393" i="58"/>
  <c r="AK393" i="58" s="1"/>
  <c r="AM393" i="58" s="1"/>
  <c r="AI392" i="58"/>
  <c r="AK392" i="58" s="1"/>
  <c r="AM392" i="58" s="1"/>
  <c r="AI391" i="58"/>
  <c r="AK391" i="58" s="1"/>
  <c r="AM391" i="58" s="1"/>
  <c r="AI390" i="58"/>
  <c r="AK390" i="58" s="1"/>
  <c r="AM390" i="58" s="1"/>
  <c r="AI389" i="58"/>
  <c r="AK389" i="58" s="1"/>
  <c r="AM389" i="58" s="1"/>
  <c r="AI388" i="58"/>
  <c r="AK388" i="58" s="1"/>
  <c r="AM388" i="58" s="1"/>
  <c r="AI387" i="58"/>
  <c r="AK387" i="58" s="1"/>
  <c r="AM387" i="58" s="1"/>
  <c r="AI386" i="58"/>
  <c r="AK386" i="58" s="1"/>
  <c r="AM386" i="58" s="1"/>
  <c r="AI385" i="58"/>
  <c r="AK385" i="58" s="1"/>
  <c r="AM385" i="58" s="1"/>
  <c r="AI384" i="58"/>
  <c r="AK384" i="58" s="1"/>
  <c r="AM384" i="58" s="1"/>
  <c r="AI383" i="58"/>
  <c r="AK383" i="58" s="1"/>
  <c r="AM383" i="58" s="1"/>
  <c r="AI382" i="58"/>
  <c r="AK382" i="58" s="1"/>
  <c r="AM382" i="58" s="1"/>
  <c r="AI381" i="58"/>
  <c r="AK381" i="58" s="1"/>
  <c r="AM381" i="58" s="1"/>
  <c r="AI380" i="58"/>
  <c r="AK380" i="58" s="1"/>
  <c r="AM380" i="58" s="1"/>
  <c r="AI379" i="58"/>
  <c r="AK379" i="58" s="1"/>
  <c r="AM379" i="58" s="1"/>
  <c r="AI378" i="58"/>
  <c r="AK378" i="58" s="1"/>
  <c r="AM378" i="58" s="1"/>
  <c r="AI377" i="58"/>
  <c r="AK377" i="58" s="1"/>
  <c r="AM377" i="58" s="1"/>
  <c r="AI376" i="58"/>
  <c r="AK376" i="58" s="1"/>
  <c r="AM376" i="58" s="1"/>
  <c r="AI375" i="58"/>
  <c r="AK375" i="58" s="1"/>
  <c r="AM375" i="58" s="1"/>
  <c r="AI374" i="58"/>
  <c r="AK374" i="58" s="1"/>
  <c r="AM374" i="58" s="1"/>
  <c r="AI373" i="58"/>
  <c r="AK373" i="58" s="1"/>
  <c r="AM373" i="58" s="1"/>
  <c r="AI372" i="58"/>
  <c r="AK372" i="58" s="1"/>
  <c r="AM372" i="58" s="1"/>
  <c r="AI371" i="58"/>
  <c r="AK371" i="58" s="1"/>
  <c r="AM371" i="58" s="1"/>
  <c r="AI370" i="58"/>
  <c r="AK370" i="58" s="1"/>
  <c r="AM370" i="58" s="1"/>
  <c r="AI369" i="58"/>
  <c r="AK369" i="58" s="1"/>
  <c r="AM369" i="58" s="1"/>
  <c r="AI368" i="58"/>
  <c r="AK368" i="58" s="1"/>
  <c r="AM368" i="58" s="1"/>
  <c r="AI367" i="58"/>
  <c r="AK367" i="58" s="1"/>
  <c r="AM367" i="58" s="1"/>
  <c r="AI366" i="58"/>
  <c r="AK366" i="58" s="1"/>
  <c r="AM366" i="58" s="1"/>
  <c r="AI365" i="58"/>
  <c r="AK365" i="58" s="1"/>
  <c r="AM365" i="58" s="1"/>
  <c r="AI364" i="58"/>
  <c r="AK364" i="58" s="1"/>
  <c r="AM364" i="58" s="1"/>
  <c r="AI363" i="58"/>
  <c r="AK363" i="58" s="1"/>
  <c r="AM363" i="58" s="1"/>
  <c r="AI362" i="58"/>
  <c r="AK362" i="58" s="1"/>
  <c r="AM362" i="58" s="1"/>
  <c r="AI361" i="58"/>
  <c r="AK361" i="58" s="1"/>
  <c r="AM361" i="58" s="1"/>
  <c r="AI360" i="58"/>
  <c r="AK360" i="58" s="1"/>
  <c r="AM360" i="58" s="1"/>
  <c r="AI359" i="58"/>
  <c r="AK359" i="58" s="1"/>
  <c r="AM359" i="58" s="1"/>
  <c r="AI358" i="58"/>
  <c r="AK358" i="58" s="1"/>
  <c r="AM358" i="58" s="1"/>
  <c r="AI357" i="58"/>
  <c r="AK357" i="58" s="1"/>
  <c r="AM357" i="58" s="1"/>
  <c r="AI356" i="58"/>
  <c r="AK356" i="58" s="1"/>
  <c r="AM356" i="58" s="1"/>
  <c r="AI355" i="58"/>
  <c r="AK355" i="58" s="1"/>
  <c r="AM355" i="58" s="1"/>
  <c r="AI354" i="58"/>
  <c r="AK354" i="58" s="1"/>
  <c r="AM354" i="58" s="1"/>
  <c r="AI353" i="58"/>
  <c r="AK353" i="58" s="1"/>
  <c r="AM353" i="58" s="1"/>
  <c r="AI352" i="58"/>
  <c r="AK352" i="58" s="1"/>
  <c r="AM352" i="58" s="1"/>
  <c r="AI351" i="58"/>
  <c r="AK351" i="58" s="1"/>
  <c r="AM351" i="58" s="1"/>
  <c r="AI350" i="58"/>
  <c r="AK350" i="58" s="1"/>
  <c r="AM350" i="58" s="1"/>
  <c r="AI349" i="58"/>
  <c r="AK349" i="58" s="1"/>
  <c r="AM349" i="58" s="1"/>
  <c r="AI348" i="58"/>
  <c r="AK348" i="58" s="1"/>
  <c r="AM348" i="58" s="1"/>
  <c r="AI347" i="58"/>
  <c r="AK347" i="58" s="1"/>
  <c r="AM347" i="58" s="1"/>
  <c r="AI346" i="58"/>
  <c r="AK346" i="58" s="1"/>
  <c r="AM346" i="58" s="1"/>
  <c r="AI345" i="58"/>
  <c r="AK345" i="58" s="1"/>
  <c r="AM345" i="58" s="1"/>
  <c r="AI344" i="58"/>
  <c r="AK344" i="58" s="1"/>
  <c r="AM344" i="58" s="1"/>
  <c r="AI343" i="58"/>
  <c r="AK343" i="58" s="1"/>
  <c r="AM343" i="58" s="1"/>
  <c r="AI342" i="58"/>
  <c r="AK342" i="58" s="1"/>
  <c r="AM342" i="58" s="1"/>
  <c r="AI341" i="58"/>
  <c r="AK341" i="58" s="1"/>
  <c r="AM341" i="58" s="1"/>
  <c r="AI340" i="58"/>
  <c r="AK340" i="58" s="1"/>
  <c r="AM340" i="58" s="1"/>
  <c r="AI339" i="58"/>
  <c r="AK339" i="58" s="1"/>
  <c r="AM339" i="58" s="1"/>
  <c r="AI338" i="58"/>
  <c r="AK338" i="58" s="1"/>
  <c r="AM338" i="58" s="1"/>
  <c r="AI337" i="58"/>
  <c r="AK337" i="58" s="1"/>
  <c r="AM337" i="58" s="1"/>
  <c r="AI336" i="58"/>
  <c r="AK336" i="58" s="1"/>
  <c r="AM336" i="58" s="1"/>
  <c r="AI335" i="58"/>
  <c r="AK335" i="58" s="1"/>
  <c r="AM335" i="58" s="1"/>
  <c r="AI334" i="58"/>
  <c r="AK334" i="58" s="1"/>
  <c r="AM334" i="58" s="1"/>
  <c r="AI333" i="58"/>
  <c r="AK333" i="58" s="1"/>
  <c r="AM333" i="58" s="1"/>
  <c r="AI332" i="58"/>
  <c r="AK332" i="58" s="1"/>
  <c r="AM332" i="58" s="1"/>
  <c r="AI331" i="58"/>
  <c r="AK331" i="58" s="1"/>
  <c r="AM331" i="58" s="1"/>
  <c r="AI330" i="58"/>
  <c r="AK330" i="58" s="1"/>
  <c r="AM330" i="58" s="1"/>
  <c r="AI329" i="58"/>
  <c r="AK329" i="58" s="1"/>
  <c r="AM329" i="58" s="1"/>
  <c r="AI328" i="58"/>
  <c r="AK328" i="58" s="1"/>
  <c r="AM328" i="58" s="1"/>
  <c r="AI327" i="58"/>
  <c r="AK327" i="58" s="1"/>
  <c r="AM327" i="58" s="1"/>
  <c r="AI326" i="58"/>
  <c r="AK326" i="58" s="1"/>
  <c r="AM326" i="58" s="1"/>
  <c r="AI325" i="58"/>
  <c r="AK325" i="58" s="1"/>
  <c r="AM325" i="58" s="1"/>
  <c r="AI324" i="58"/>
  <c r="AK324" i="58" s="1"/>
  <c r="AM324" i="58" s="1"/>
  <c r="AI323" i="58"/>
  <c r="AK323" i="58" s="1"/>
  <c r="AM323" i="58" s="1"/>
  <c r="AI322" i="58"/>
  <c r="AK322" i="58" s="1"/>
  <c r="AM322" i="58" s="1"/>
  <c r="AI321" i="58"/>
  <c r="AK321" i="58" s="1"/>
  <c r="AM321" i="58" s="1"/>
  <c r="AI320" i="58"/>
  <c r="AK320" i="58" s="1"/>
  <c r="AM320" i="58" s="1"/>
  <c r="AI319" i="58"/>
  <c r="AK319" i="58" s="1"/>
  <c r="AM319" i="58" s="1"/>
  <c r="AI318" i="58"/>
  <c r="AK318" i="58" s="1"/>
  <c r="AM318" i="58" s="1"/>
  <c r="AI317" i="58"/>
  <c r="AK317" i="58" s="1"/>
  <c r="AM317" i="58" s="1"/>
  <c r="AI316" i="58"/>
  <c r="AK316" i="58" s="1"/>
  <c r="AM316" i="58" s="1"/>
  <c r="AI315" i="58"/>
  <c r="AK315" i="58" s="1"/>
  <c r="AM315" i="58" s="1"/>
  <c r="AI314" i="58"/>
  <c r="AK314" i="58" s="1"/>
  <c r="AM314" i="58" s="1"/>
  <c r="AI313" i="58"/>
  <c r="AK313" i="58" s="1"/>
  <c r="AM313" i="58" s="1"/>
  <c r="AI312" i="58"/>
  <c r="AK312" i="58" s="1"/>
  <c r="AM312" i="58" s="1"/>
  <c r="AI311" i="58"/>
  <c r="AK311" i="58" s="1"/>
  <c r="AM311" i="58" s="1"/>
  <c r="AI310" i="58"/>
  <c r="AK310" i="58" s="1"/>
  <c r="AM310" i="58" s="1"/>
  <c r="AI309" i="58"/>
  <c r="AK309" i="58" s="1"/>
  <c r="AM309" i="58" s="1"/>
  <c r="AI308" i="58"/>
  <c r="AK308" i="58" s="1"/>
  <c r="AM308" i="58" s="1"/>
  <c r="AI307" i="58"/>
  <c r="AK307" i="58" s="1"/>
  <c r="AM307" i="58" s="1"/>
  <c r="AI306" i="58"/>
  <c r="AK306" i="58" s="1"/>
  <c r="AM306" i="58" s="1"/>
  <c r="AI305" i="58"/>
  <c r="AK305" i="58" s="1"/>
  <c r="AM305" i="58" s="1"/>
  <c r="AI304" i="58"/>
  <c r="AK304" i="58" s="1"/>
  <c r="AM304" i="58" s="1"/>
  <c r="AI303" i="58"/>
  <c r="AK303" i="58" s="1"/>
  <c r="AM303" i="58" s="1"/>
  <c r="AI302" i="58"/>
  <c r="AK302" i="58" s="1"/>
  <c r="AM302" i="58" s="1"/>
  <c r="AI301" i="58"/>
  <c r="AK301" i="58" s="1"/>
  <c r="AM301" i="58" s="1"/>
  <c r="AI300" i="58"/>
  <c r="AK300" i="58" s="1"/>
  <c r="AM300" i="58" s="1"/>
  <c r="AI299" i="58"/>
  <c r="AK299" i="58" s="1"/>
  <c r="AM299" i="58" s="1"/>
  <c r="AI298" i="58"/>
  <c r="AK298" i="58" s="1"/>
  <c r="AM298" i="58" s="1"/>
  <c r="AI297" i="58"/>
  <c r="AK297" i="58" s="1"/>
  <c r="AM297" i="58" s="1"/>
  <c r="AI296" i="58"/>
  <c r="AK296" i="58" s="1"/>
  <c r="AM296" i="58" s="1"/>
  <c r="AI295" i="58"/>
  <c r="AK295" i="58" s="1"/>
  <c r="AM295" i="58" s="1"/>
  <c r="AI294" i="58"/>
  <c r="AK294" i="58" s="1"/>
  <c r="AM294" i="58" s="1"/>
  <c r="AI293" i="58"/>
  <c r="AK293" i="58" s="1"/>
  <c r="AM293" i="58" s="1"/>
  <c r="AI292" i="58"/>
  <c r="AK292" i="58" s="1"/>
  <c r="AM292" i="58" s="1"/>
  <c r="AI291" i="58"/>
  <c r="AK291" i="58" s="1"/>
  <c r="AM291" i="58" s="1"/>
  <c r="AI290" i="58"/>
  <c r="AK290" i="58" s="1"/>
  <c r="AM290" i="58" s="1"/>
  <c r="AI289" i="58"/>
  <c r="AK289" i="58" s="1"/>
  <c r="AM289" i="58" s="1"/>
  <c r="AI288" i="58"/>
  <c r="AK288" i="58" s="1"/>
  <c r="AM288" i="58" s="1"/>
  <c r="AI287" i="58"/>
  <c r="AK287" i="58" s="1"/>
  <c r="AM287" i="58" s="1"/>
  <c r="AI286" i="58"/>
  <c r="AK286" i="58" s="1"/>
  <c r="AM286" i="58" s="1"/>
  <c r="AI285" i="58"/>
  <c r="AK285" i="58" s="1"/>
  <c r="AM285" i="58" s="1"/>
  <c r="AI284" i="58"/>
  <c r="AK284" i="58" s="1"/>
  <c r="AM284" i="58" s="1"/>
  <c r="AI283" i="58"/>
  <c r="AK283" i="58" s="1"/>
  <c r="AM283" i="58" s="1"/>
  <c r="AI282" i="58"/>
  <c r="AK282" i="58" s="1"/>
  <c r="AM282" i="58" s="1"/>
  <c r="AI281" i="58"/>
  <c r="AK281" i="58" s="1"/>
  <c r="AM281" i="58" s="1"/>
  <c r="AI280" i="58"/>
  <c r="AK280" i="58" s="1"/>
  <c r="AM280" i="58" s="1"/>
  <c r="AI279" i="58"/>
  <c r="AK279" i="58" s="1"/>
  <c r="AM279" i="58" s="1"/>
  <c r="AI278" i="58"/>
  <c r="AK278" i="58" s="1"/>
  <c r="AM278" i="58" s="1"/>
  <c r="AI277" i="58"/>
  <c r="AK277" i="58" s="1"/>
  <c r="AM277" i="58" s="1"/>
  <c r="AI276" i="58"/>
  <c r="AK276" i="58" s="1"/>
  <c r="AM276" i="58" s="1"/>
  <c r="AI275" i="58"/>
  <c r="AK275" i="58" s="1"/>
  <c r="AM275" i="58" s="1"/>
  <c r="AI274" i="58"/>
  <c r="AK274" i="58" s="1"/>
  <c r="AM274" i="58" s="1"/>
  <c r="AI273" i="58"/>
  <c r="AK273" i="58" s="1"/>
  <c r="AM273" i="58" s="1"/>
  <c r="AI272" i="58"/>
  <c r="AK272" i="58" s="1"/>
  <c r="AM272" i="58" s="1"/>
  <c r="AI271" i="58"/>
  <c r="AK271" i="58" s="1"/>
  <c r="AM271" i="58" s="1"/>
  <c r="AI270" i="58"/>
  <c r="AK270" i="58" s="1"/>
  <c r="AM270" i="58" s="1"/>
  <c r="AI269" i="58"/>
  <c r="AK269" i="58" s="1"/>
  <c r="AM269" i="58" s="1"/>
  <c r="AI268" i="58"/>
  <c r="AK268" i="58" s="1"/>
  <c r="AM268" i="58" s="1"/>
  <c r="AI267" i="58"/>
  <c r="AK267" i="58" s="1"/>
  <c r="AM267" i="58" s="1"/>
  <c r="AI266" i="58"/>
  <c r="AK266" i="58" s="1"/>
  <c r="AM266" i="58" s="1"/>
  <c r="AI265" i="58"/>
  <c r="AK265" i="58" s="1"/>
  <c r="AM265" i="58" s="1"/>
  <c r="AI264" i="58"/>
  <c r="AK264" i="58" s="1"/>
  <c r="AM264" i="58" s="1"/>
  <c r="AI263" i="58"/>
  <c r="AK263" i="58" s="1"/>
  <c r="AM263" i="58" s="1"/>
  <c r="AI262" i="58"/>
  <c r="AK262" i="58" s="1"/>
  <c r="AM262" i="58" s="1"/>
  <c r="AI261" i="58"/>
  <c r="AK261" i="58" s="1"/>
  <c r="AM261" i="58" s="1"/>
  <c r="AI260" i="58"/>
  <c r="AK260" i="58" s="1"/>
  <c r="AM260" i="58" s="1"/>
  <c r="AI259" i="58"/>
  <c r="AK259" i="58" s="1"/>
  <c r="AM259" i="58" s="1"/>
  <c r="AI258" i="58"/>
  <c r="AK258" i="58" s="1"/>
  <c r="AM258" i="58" s="1"/>
  <c r="AI257" i="58"/>
  <c r="AK257" i="58" s="1"/>
  <c r="AM257" i="58" s="1"/>
  <c r="AI256" i="58"/>
  <c r="AK256" i="58" s="1"/>
  <c r="AM256" i="58" s="1"/>
  <c r="AI255" i="58"/>
  <c r="AK255" i="58" s="1"/>
  <c r="AM255" i="58" s="1"/>
  <c r="AI254" i="58"/>
  <c r="AK254" i="58" s="1"/>
  <c r="AM254" i="58" s="1"/>
  <c r="AI253" i="58"/>
  <c r="AK253" i="58" s="1"/>
  <c r="AM253" i="58" s="1"/>
  <c r="AI252" i="58"/>
  <c r="AK252" i="58" s="1"/>
  <c r="AM252" i="58" s="1"/>
  <c r="AI251" i="58"/>
  <c r="AK251" i="58" s="1"/>
  <c r="AM251" i="58" s="1"/>
  <c r="AI250" i="58"/>
  <c r="AK250" i="58" s="1"/>
  <c r="AM250" i="58" s="1"/>
  <c r="AI249" i="58"/>
  <c r="AK249" i="58" s="1"/>
  <c r="AM249" i="58" s="1"/>
  <c r="AI248" i="58"/>
  <c r="AK248" i="58" s="1"/>
  <c r="AM248" i="58" s="1"/>
  <c r="AI247" i="58"/>
  <c r="AK247" i="58" s="1"/>
  <c r="AM247" i="58" s="1"/>
  <c r="AI246" i="58"/>
  <c r="AK246" i="58" s="1"/>
  <c r="AM246" i="58" s="1"/>
  <c r="AI245" i="58"/>
  <c r="AK245" i="58" s="1"/>
  <c r="AM245" i="58" s="1"/>
  <c r="AI244" i="58"/>
  <c r="AK244" i="58" s="1"/>
  <c r="AM244" i="58" s="1"/>
  <c r="AI243" i="58"/>
  <c r="AK243" i="58" s="1"/>
  <c r="AM243" i="58" s="1"/>
  <c r="AI242" i="58"/>
  <c r="AK242" i="58" s="1"/>
  <c r="AM242" i="58" s="1"/>
  <c r="AI241" i="58"/>
  <c r="AK241" i="58" s="1"/>
  <c r="AM241" i="58" s="1"/>
  <c r="AI240" i="58"/>
  <c r="AK240" i="58" s="1"/>
  <c r="AM240" i="58" s="1"/>
  <c r="AI239" i="58"/>
  <c r="AK239" i="58" s="1"/>
  <c r="AM239" i="58" s="1"/>
  <c r="AI238" i="58"/>
  <c r="AK238" i="58" s="1"/>
  <c r="AM238" i="58" s="1"/>
  <c r="AI237" i="58"/>
  <c r="AK237" i="58" s="1"/>
  <c r="AM237" i="58" s="1"/>
  <c r="AI236" i="58"/>
  <c r="AK236" i="58" s="1"/>
  <c r="AM236" i="58" s="1"/>
  <c r="AI235" i="58"/>
  <c r="AK235" i="58" s="1"/>
  <c r="AM235" i="58" s="1"/>
  <c r="AI234" i="58"/>
  <c r="AK234" i="58" s="1"/>
  <c r="AM234" i="58" s="1"/>
  <c r="AI233" i="58"/>
  <c r="AK233" i="58" s="1"/>
  <c r="AM233" i="58" s="1"/>
  <c r="AI232" i="58"/>
  <c r="AK232" i="58" s="1"/>
  <c r="AM232" i="58" s="1"/>
  <c r="AI231" i="58"/>
  <c r="AK231" i="58" s="1"/>
  <c r="AM231" i="58" s="1"/>
  <c r="AI230" i="58"/>
  <c r="AK230" i="58" s="1"/>
  <c r="AM230" i="58" s="1"/>
  <c r="AI229" i="58"/>
  <c r="AK229" i="58" s="1"/>
  <c r="AM229" i="58" s="1"/>
  <c r="AI228" i="58"/>
  <c r="AK228" i="58" s="1"/>
  <c r="AM228" i="58" s="1"/>
  <c r="AI227" i="58"/>
  <c r="AK227" i="58" s="1"/>
  <c r="AM227" i="58" s="1"/>
  <c r="AI226" i="58"/>
  <c r="AK226" i="58" s="1"/>
  <c r="AM226" i="58" s="1"/>
  <c r="AI225" i="58"/>
  <c r="AK225" i="58" s="1"/>
  <c r="AM225" i="58" s="1"/>
  <c r="AI224" i="58"/>
  <c r="AK224" i="58" s="1"/>
  <c r="AM224" i="58" s="1"/>
  <c r="AI223" i="58"/>
  <c r="AK223" i="58" s="1"/>
  <c r="AM223" i="58" s="1"/>
  <c r="AI222" i="58"/>
  <c r="AK222" i="58" s="1"/>
  <c r="AM222" i="58" s="1"/>
  <c r="AI221" i="58"/>
  <c r="AK221" i="58" s="1"/>
  <c r="AM221" i="58" s="1"/>
  <c r="AI220" i="58"/>
  <c r="AK220" i="58" s="1"/>
  <c r="AM220" i="58" s="1"/>
  <c r="AI219" i="58"/>
  <c r="AK219" i="58" s="1"/>
  <c r="AM219" i="58" s="1"/>
  <c r="AI218" i="58"/>
  <c r="AK218" i="58" s="1"/>
  <c r="AM218" i="58" s="1"/>
  <c r="AI217" i="58"/>
  <c r="AK217" i="58" s="1"/>
  <c r="AM217" i="58" s="1"/>
  <c r="AI216" i="58"/>
  <c r="AK216" i="58" s="1"/>
  <c r="AM216" i="58" s="1"/>
  <c r="AI215" i="58"/>
  <c r="AK215" i="58" s="1"/>
  <c r="AM215" i="58" s="1"/>
  <c r="AI214" i="58"/>
  <c r="AK214" i="58" s="1"/>
  <c r="AM214" i="58" s="1"/>
  <c r="AI213" i="58"/>
  <c r="AK213" i="58" s="1"/>
  <c r="AM213" i="58" s="1"/>
  <c r="AI212" i="58"/>
  <c r="AK212" i="58" s="1"/>
  <c r="AM212" i="58" s="1"/>
  <c r="AI211" i="58"/>
  <c r="AK211" i="58" s="1"/>
  <c r="AM211" i="58" s="1"/>
  <c r="AI210" i="58"/>
  <c r="AK210" i="58" s="1"/>
  <c r="AM210" i="58" s="1"/>
  <c r="AI209" i="58"/>
  <c r="AK209" i="58" s="1"/>
  <c r="AM209" i="58" s="1"/>
  <c r="AI208" i="58"/>
  <c r="AK208" i="58" s="1"/>
  <c r="AM208" i="58" s="1"/>
  <c r="AI207" i="58"/>
  <c r="AK207" i="58" s="1"/>
  <c r="AM207" i="58" s="1"/>
  <c r="AI206" i="58"/>
  <c r="AK206" i="58" s="1"/>
  <c r="AM206" i="58" s="1"/>
  <c r="AI205" i="58"/>
  <c r="AK205" i="58" s="1"/>
  <c r="AM205" i="58" s="1"/>
  <c r="AI204" i="58"/>
  <c r="AK204" i="58" s="1"/>
  <c r="AM204" i="58" s="1"/>
  <c r="AI203" i="58"/>
  <c r="AK203" i="58" s="1"/>
  <c r="AM203" i="58" s="1"/>
  <c r="AI202" i="58"/>
  <c r="AK202" i="58" s="1"/>
  <c r="AM202" i="58" s="1"/>
  <c r="AI201" i="58"/>
  <c r="AK201" i="58" s="1"/>
  <c r="AM201" i="58" s="1"/>
  <c r="AI200" i="58"/>
  <c r="AK200" i="58" s="1"/>
  <c r="AM200" i="58" s="1"/>
  <c r="AI199" i="58"/>
  <c r="AK199" i="58" s="1"/>
  <c r="AM199" i="58" s="1"/>
  <c r="AI198" i="58"/>
  <c r="AK198" i="58" s="1"/>
  <c r="AM198" i="58" s="1"/>
  <c r="AI197" i="58"/>
  <c r="AK197" i="58" s="1"/>
  <c r="AM197" i="58" s="1"/>
  <c r="AI196" i="58"/>
  <c r="AK196" i="58" s="1"/>
  <c r="AM196" i="58" s="1"/>
  <c r="AI195" i="58"/>
  <c r="AK195" i="58" s="1"/>
  <c r="AM195" i="58" s="1"/>
  <c r="AI194" i="58"/>
  <c r="AK194" i="58" s="1"/>
  <c r="AM194" i="58" s="1"/>
  <c r="AI193" i="58"/>
  <c r="AK193" i="58" s="1"/>
  <c r="AM193" i="58" s="1"/>
  <c r="AI192" i="58"/>
  <c r="AK192" i="58" s="1"/>
  <c r="AM192" i="58" s="1"/>
  <c r="AI191" i="58"/>
  <c r="AK191" i="58" s="1"/>
  <c r="AM191" i="58" s="1"/>
  <c r="AI190" i="58"/>
  <c r="AK190" i="58" s="1"/>
  <c r="AM190" i="58" s="1"/>
  <c r="AI189" i="58"/>
  <c r="AK189" i="58" s="1"/>
  <c r="AM189" i="58" s="1"/>
  <c r="AI188" i="58"/>
  <c r="AK188" i="58" s="1"/>
  <c r="AM188" i="58" s="1"/>
  <c r="AI187" i="58"/>
  <c r="AK187" i="58" s="1"/>
  <c r="AM187" i="58" s="1"/>
  <c r="AI186" i="58"/>
  <c r="AK186" i="58" s="1"/>
  <c r="AM186" i="58" s="1"/>
  <c r="AI185" i="58"/>
  <c r="AK185" i="58" s="1"/>
  <c r="AM185" i="58" s="1"/>
  <c r="AI184" i="58"/>
  <c r="AK184" i="58" s="1"/>
  <c r="AM184" i="58" s="1"/>
  <c r="AI183" i="58"/>
  <c r="AK183" i="58" s="1"/>
  <c r="AM183" i="58" s="1"/>
  <c r="AI182" i="58"/>
  <c r="AK182" i="58" s="1"/>
  <c r="AM182" i="58" s="1"/>
  <c r="AI181" i="58"/>
  <c r="AK181" i="58" s="1"/>
  <c r="AM181" i="58" s="1"/>
  <c r="AI180" i="58"/>
  <c r="AK180" i="58" s="1"/>
  <c r="AM180" i="58" s="1"/>
  <c r="AI179" i="58"/>
  <c r="AK179" i="58" s="1"/>
  <c r="AM179" i="58" s="1"/>
  <c r="AI178" i="58"/>
  <c r="AK178" i="58" s="1"/>
  <c r="AM178" i="58" s="1"/>
  <c r="AI177" i="58"/>
  <c r="AK177" i="58" s="1"/>
  <c r="AM177" i="58" s="1"/>
  <c r="AI176" i="58"/>
  <c r="AK176" i="58" s="1"/>
  <c r="AM176" i="58" s="1"/>
  <c r="AI175" i="58"/>
  <c r="AK175" i="58" s="1"/>
  <c r="AM175" i="58" s="1"/>
  <c r="AI174" i="58"/>
  <c r="AK174" i="58" s="1"/>
  <c r="AM174" i="58" s="1"/>
  <c r="AI173" i="58"/>
  <c r="AK173" i="58" s="1"/>
  <c r="AM173" i="58" s="1"/>
  <c r="AI172" i="58"/>
  <c r="AK172" i="58" s="1"/>
  <c r="AM172" i="58" s="1"/>
  <c r="AI171" i="58"/>
  <c r="AK171" i="58" s="1"/>
  <c r="AM171" i="58" s="1"/>
  <c r="AI170" i="58"/>
  <c r="AK170" i="58" s="1"/>
  <c r="AM170" i="58" s="1"/>
  <c r="AI169" i="58"/>
  <c r="AK169" i="58" s="1"/>
  <c r="AM169" i="58" s="1"/>
  <c r="AI168" i="58"/>
  <c r="AK168" i="58" s="1"/>
  <c r="AM168" i="58" s="1"/>
  <c r="AI167" i="58"/>
  <c r="AK167" i="58" s="1"/>
  <c r="AM167" i="58" s="1"/>
  <c r="AI166" i="58"/>
  <c r="AK166" i="58" s="1"/>
  <c r="AM166" i="58" s="1"/>
  <c r="AI165" i="58"/>
  <c r="AK165" i="58" s="1"/>
  <c r="AM165" i="58" s="1"/>
  <c r="AI164" i="58"/>
  <c r="AK164" i="58" s="1"/>
  <c r="AM164" i="58" s="1"/>
  <c r="AI163" i="58"/>
  <c r="AK163" i="58" s="1"/>
  <c r="AM163" i="58" s="1"/>
  <c r="AI162" i="58"/>
  <c r="AK162" i="58" s="1"/>
  <c r="AM162" i="58" s="1"/>
  <c r="AI161" i="58"/>
  <c r="AK161" i="58" s="1"/>
  <c r="AM161" i="58" s="1"/>
  <c r="AI160" i="58"/>
  <c r="AK160" i="58" s="1"/>
  <c r="AM160" i="58" s="1"/>
  <c r="AI159" i="58"/>
  <c r="AK159" i="58" s="1"/>
  <c r="AM159" i="58" s="1"/>
  <c r="AI158" i="58"/>
  <c r="AK158" i="58" s="1"/>
  <c r="AM158" i="58" s="1"/>
  <c r="AI157" i="58"/>
  <c r="AK157" i="58" s="1"/>
  <c r="AM157" i="58" s="1"/>
  <c r="AI156" i="58"/>
  <c r="AK156" i="58" s="1"/>
  <c r="AM156" i="58" s="1"/>
  <c r="AI155" i="58"/>
  <c r="AK155" i="58" s="1"/>
  <c r="AM155" i="58" s="1"/>
  <c r="AI154" i="58"/>
  <c r="AK154" i="58" s="1"/>
  <c r="AM154" i="58" s="1"/>
  <c r="AI153" i="58"/>
  <c r="AK153" i="58" s="1"/>
  <c r="AM153" i="58" s="1"/>
  <c r="AI152" i="58"/>
  <c r="AK152" i="58" s="1"/>
  <c r="AM152" i="58" s="1"/>
  <c r="AI151" i="58"/>
  <c r="AK151" i="58" s="1"/>
  <c r="AM151" i="58" s="1"/>
  <c r="AI150" i="58"/>
  <c r="AK150" i="58" s="1"/>
  <c r="AM150" i="58" s="1"/>
  <c r="AI149" i="58"/>
  <c r="AK149" i="58" s="1"/>
  <c r="AM149" i="58" s="1"/>
  <c r="AI148" i="58"/>
  <c r="AK148" i="58" s="1"/>
  <c r="AM148" i="58" s="1"/>
  <c r="AI147" i="58"/>
  <c r="AK147" i="58" s="1"/>
  <c r="AM147" i="58" s="1"/>
  <c r="AI146" i="58"/>
  <c r="AK146" i="58" s="1"/>
  <c r="AM146" i="58" s="1"/>
  <c r="AI145" i="58"/>
  <c r="AK145" i="58" s="1"/>
  <c r="AM145" i="58" s="1"/>
  <c r="AI144" i="58"/>
  <c r="AK144" i="58" s="1"/>
  <c r="AM144" i="58" s="1"/>
  <c r="AI143" i="58"/>
  <c r="AK143" i="58" s="1"/>
  <c r="AM143" i="58" s="1"/>
  <c r="AI142" i="58"/>
  <c r="AK142" i="58" s="1"/>
  <c r="AM142" i="58" s="1"/>
  <c r="AI141" i="58"/>
  <c r="AK141" i="58" s="1"/>
  <c r="AM141" i="58" s="1"/>
  <c r="AI140" i="58"/>
  <c r="AK140" i="58" s="1"/>
  <c r="AM140" i="58" s="1"/>
  <c r="AI139" i="58"/>
  <c r="AK139" i="58" s="1"/>
  <c r="AM139" i="58" s="1"/>
  <c r="AI138" i="58"/>
  <c r="AK138" i="58" s="1"/>
  <c r="AM138" i="58" s="1"/>
  <c r="AI137" i="58"/>
  <c r="AK137" i="58" s="1"/>
  <c r="AM137" i="58" s="1"/>
  <c r="AI136" i="58"/>
  <c r="AK136" i="58" s="1"/>
  <c r="AM136" i="58" s="1"/>
  <c r="AI135" i="58"/>
  <c r="AK135" i="58" s="1"/>
  <c r="AM135" i="58" s="1"/>
  <c r="AI134" i="58"/>
  <c r="AK134" i="58" s="1"/>
  <c r="AM134" i="58" s="1"/>
  <c r="AI133" i="58"/>
  <c r="AK133" i="58" s="1"/>
  <c r="AM133" i="58" s="1"/>
  <c r="AI132" i="58"/>
  <c r="AK132" i="58" s="1"/>
  <c r="AM132" i="58" s="1"/>
  <c r="AI131" i="58"/>
  <c r="AK131" i="58" s="1"/>
  <c r="AM131" i="58" s="1"/>
  <c r="AI130" i="58"/>
  <c r="AK130" i="58" s="1"/>
  <c r="AM130" i="58" s="1"/>
  <c r="AI129" i="58"/>
  <c r="AK129" i="58" s="1"/>
  <c r="AM129" i="58" s="1"/>
  <c r="AI128" i="58"/>
  <c r="AK128" i="58" s="1"/>
  <c r="AM128" i="58" s="1"/>
  <c r="AI127" i="58"/>
  <c r="AK127" i="58" s="1"/>
  <c r="AM127" i="58" s="1"/>
  <c r="AI126" i="58"/>
  <c r="AK126" i="58" s="1"/>
  <c r="AM126" i="58" s="1"/>
  <c r="AI125" i="58"/>
  <c r="AK125" i="58" s="1"/>
  <c r="AM125" i="58" s="1"/>
  <c r="AI124" i="58"/>
  <c r="AK124" i="58" s="1"/>
  <c r="AM124" i="58" s="1"/>
  <c r="AI123" i="58"/>
  <c r="AK123" i="58" s="1"/>
  <c r="AM123" i="58" s="1"/>
  <c r="AI122" i="58"/>
  <c r="AK122" i="58" s="1"/>
  <c r="AM122" i="58" s="1"/>
  <c r="AI121" i="58"/>
  <c r="AK121" i="58" s="1"/>
  <c r="AM121" i="58" s="1"/>
  <c r="AI120" i="58"/>
  <c r="AK120" i="58" s="1"/>
  <c r="AM120" i="58" s="1"/>
  <c r="AI119" i="58"/>
  <c r="AK119" i="58" s="1"/>
  <c r="AM119" i="58" s="1"/>
  <c r="AI118" i="58"/>
  <c r="AK118" i="58" s="1"/>
  <c r="AM118" i="58" s="1"/>
  <c r="AI117" i="58"/>
  <c r="AK117" i="58" s="1"/>
  <c r="AM117" i="58" s="1"/>
  <c r="AI116" i="58"/>
  <c r="AK116" i="58" s="1"/>
  <c r="AM116" i="58" s="1"/>
  <c r="AI115" i="58"/>
  <c r="AK115" i="58" s="1"/>
  <c r="AM115" i="58" s="1"/>
  <c r="AI114" i="58"/>
  <c r="AK114" i="58" s="1"/>
  <c r="AM114" i="58" s="1"/>
  <c r="AI113" i="58"/>
  <c r="AK113" i="58" s="1"/>
  <c r="AM113" i="58" s="1"/>
  <c r="AI112" i="58"/>
  <c r="AK112" i="58" s="1"/>
  <c r="AM112" i="58" s="1"/>
  <c r="AI111" i="58"/>
  <c r="AK111" i="58" s="1"/>
  <c r="AM111" i="58" s="1"/>
  <c r="AI110" i="58"/>
  <c r="AK110" i="58" s="1"/>
  <c r="AM110" i="58" s="1"/>
  <c r="AI109" i="58"/>
  <c r="AK109" i="58" s="1"/>
  <c r="AM109" i="58" s="1"/>
  <c r="AI108" i="58"/>
  <c r="AK108" i="58" s="1"/>
  <c r="AM108" i="58" s="1"/>
  <c r="AI107" i="58"/>
  <c r="AK107" i="58" s="1"/>
  <c r="AM107" i="58" s="1"/>
  <c r="AI106" i="58"/>
  <c r="AK106" i="58" s="1"/>
  <c r="AM106" i="58" s="1"/>
  <c r="AI105" i="58"/>
  <c r="AK105" i="58" s="1"/>
  <c r="AM105" i="58" s="1"/>
  <c r="AI104" i="58"/>
  <c r="AK104" i="58" s="1"/>
  <c r="AM104" i="58" s="1"/>
  <c r="AI103" i="58"/>
  <c r="AK103" i="58" s="1"/>
  <c r="AM103" i="58" s="1"/>
  <c r="AI102" i="58"/>
  <c r="AK102" i="58" s="1"/>
  <c r="AM102" i="58" s="1"/>
  <c r="AI101" i="58"/>
  <c r="AK101" i="58" s="1"/>
  <c r="AM101" i="58" s="1"/>
  <c r="AI100" i="58"/>
  <c r="AK100" i="58" s="1"/>
  <c r="AM100" i="58" s="1"/>
  <c r="AI99" i="58"/>
  <c r="AK99" i="58" s="1"/>
  <c r="AM99" i="58" s="1"/>
  <c r="AI98" i="58"/>
  <c r="AK98" i="58" s="1"/>
  <c r="AM98" i="58" s="1"/>
  <c r="AI97" i="58"/>
  <c r="AK97" i="58" s="1"/>
  <c r="AM97" i="58" s="1"/>
  <c r="AI96" i="58"/>
  <c r="AK96" i="58" s="1"/>
  <c r="AM96" i="58" s="1"/>
  <c r="AI95" i="58"/>
  <c r="AK95" i="58" s="1"/>
  <c r="AM95" i="58" s="1"/>
  <c r="AI94" i="58"/>
  <c r="AK94" i="58" s="1"/>
  <c r="AM94" i="58" s="1"/>
  <c r="AI93" i="58"/>
  <c r="AK93" i="58" s="1"/>
  <c r="AM93" i="58" s="1"/>
  <c r="AI92" i="58"/>
  <c r="AK92" i="58" s="1"/>
  <c r="AM92" i="58" s="1"/>
  <c r="AI91" i="58"/>
  <c r="AK91" i="58" s="1"/>
  <c r="AM91" i="58" s="1"/>
  <c r="AI90" i="58"/>
  <c r="AK90" i="58" s="1"/>
  <c r="AM90" i="58" s="1"/>
  <c r="AI89" i="58"/>
  <c r="AK89" i="58" s="1"/>
  <c r="AM89" i="58" s="1"/>
  <c r="AI88" i="58"/>
  <c r="AK88" i="58" s="1"/>
  <c r="AM88" i="58" s="1"/>
  <c r="AI87" i="58"/>
  <c r="AK87" i="58" s="1"/>
  <c r="AM87" i="58" s="1"/>
  <c r="AI86" i="58"/>
  <c r="AK86" i="58" s="1"/>
  <c r="AM86" i="58" s="1"/>
  <c r="AI85" i="58"/>
  <c r="AK85" i="58" s="1"/>
  <c r="AM85" i="58" s="1"/>
  <c r="AI84" i="58"/>
  <c r="AK84" i="58" s="1"/>
  <c r="AM84" i="58" s="1"/>
  <c r="AI83" i="58"/>
  <c r="AK83" i="58" s="1"/>
  <c r="AM83" i="58" s="1"/>
  <c r="AI82" i="58"/>
  <c r="AK82" i="58" s="1"/>
  <c r="AM82" i="58" s="1"/>
  <c r="AI81" i="58"/>
  <c r="AK81" i="58" s="1"/>
  <c r="AM81" i="58" s="1"/>
  <c r="AI80" i="58"/>
  <c r="AK80" i="58" s="1"/>
  <c r="AM80" i="58" s="1"/>
  <c r="AI79" i="58"/>
  <c r="AK79" i="58" s="1"/>
  <c r="AM79" i="58" s="1"/>
  <c r="AI78" i="58"/>
  <c r="AK78" i="58" s="1"/>
  <c r="AM78" i="58" s="1"/>
  <c r="AI77" i="58"/>
  <c r="AK77" i="58" s="1"/>
  <c r="AM77" i="58" s="1"/>
  <c r="AI76" i="58"/>
  <c r="AK76" i="58" s="1"/>
  <c r="AM76" i="58" s="1"/>
  <c r="AI75" i="58"/>
  <c r="AK75" i="58" s="1"/>
  <c r="AM75" i="58" s="1"/>
  <c r="AI74" i="58"/>
  <c r="AK74" i="58" s="1"/>
  <c r="AM74" i="58" s="1"/>
  <c r="AI73" i="58"/>
  <c r="AK73" i="58" s="1"/>
  <c r="AM73" i="58" s="1"/>
  <c r="AI72" i="58"/>
  <c r="AK72" i="58" s="1"/>
  <c r="AM72" i="58" s="1"/>
  <c r="AI71" i="58"/>
  <c r="AK71" i="58" s="1"/>
  <c r="AM71" i="58" s="1"/>
  <c r="AI70" i="58"/>
  <c r="AK70" i="58" s="1"/>
  <c r="AM70" i="58" s="1"/>
  <c r="AI69" i="58"/>
  <c r="AK69" i="58" s="1"/>
  <c r="AM69" i="58" s="1"/>
  <c r="AI68" i="58"/>
  <c r="AK68" i="58" s="1"/>
  <c r="AM68" i="58" s="1"/>
  <c r="AI67" i="58"/>
  <c r="AK67" i="58" s="1"/>
  <c r="AM67" i="58" s="1"/>
  <c r="AI66" i="58"/>
  <c r="AK66" i="58" s="1"/>
  <c r="AM66" i="58" s="1"/>
  <c r="AI65" i="58"/>
  <c r="AK65" i="58" s="1"/>
  <c r="AM65" i="58" s="1"/>
  <c r="AI64" i="58"/>
  <c r="AK64" i="58" s="1"/>
  <c r="AM64" i="58" s="1"/>
  <c r="AI63" i="58"/>
  <c r="AK63" i="58" s="1"/>
  <c r="AM63" i="58" s="1"/>
  <c r="AI62" i="58"/>
  <c r="AK62" i="58" s="1"/>
  <c r="AM62" i="58" s="1"/>
  <c r="AI61" i="58"/>
  <c r="AK61" i="58" s="1"/>
  <c r="AM61" i="58" s="1"/>
  <c r="AI60" i="58"/>
  <c r="AK60" i="58" s="1"/>
  <c r="AM60" i="58" s="1"/>
  <c r="AI59" i="58"/>
  <c r="AK59" i="58" s="1"/>
  <c r="AM59" i="58" s="1"/>
  <c r="AI58" i="58"/>
  <c r="AK58" i="58" s="1"/>
  <c r="AM58" i="58" s="1"/>
  <c r="AI57" i="58"/>
  <c r="AK57" i="58" s="1"/>
  <c r="AM57" i="58" s="1"/>
  <c r="AI56" i="58"/>
  <c r="AK56" i="58" s="1"/>
  <c r="AM56" i="58" s="1"/>
  <c r="AI55" i="58"/>
  <c r="AK55" i="58" s="1"/>
  <c r="AM55" i="58" s="1"/>
  <c r="AI54" i="58"/>
  <c r="AK54" i="58" s="1"/>
  <c r="AM54" i="58" s="1"/>
  <c r="AI53" i="58"/>
  <c r="AK53" i="58" s="1"/>
  <c r="AM53" i="58" s="1"/>
  <c r="AI52" i="58"/>
  <c r="AK52" i="58" s="1"/>
  <c r="AM52" i="58" s="1"/>
  <c r="AI51" i="58"/>
  <c r="AK51" i="58" s="1"/>
  <c r="AM51" i="58" s="1"/>
  <c r="AI50" i="58"/>
  <c r="AK50" i="58" s="1"/>
  <c r="AM50" i="58" s="1"/>
  <c r="AI49" i="58"/>
  <c r="AK49" i="58" s="1"/>
  <c r="AM49" i="58" s="1"/>
  <c r="AI48" i="58"/>
  <c r="AK48" i="58" s="1"/>
  <c r="AM48" i="58" s="1"/>
  <c r="AI47" i="58"/>
  <c r="AK47" i="58" s="1"/>
  <c r="AM47" i="58" s="1"/>
  <c r="AA46" i="58"/>
  <c r="Z46" i="58"/>
  <c r="AI45" i="58"/>
  <c r="AK45" i="58" s="1"/>
  <c r="AM45" i="58" s="1"/>
  <c r="AI44" i="58"/>
  <c r="AK44" i="58" s="1"/>
  <c r="AM44" i="58" s="1"/>
  <c r="AI43" i="58"/>
  <c r="AK43" i="58" s="1"/>
  <c r="AM43" i="58" s="1"/>
  <c r="AI42" i="58"/>
  <c r="AK42" i="58" s="1"/>
  <c r="AM42" i="58" s="1"/>
  <c r="AC41" i="58"/>
  <c r="AI41" i="58" s="1"/>
  <c r="AK41" i="58" s="1"/>
  <c r="AM41" i="58" s="1"/>
  <c r="AI40" i="58"/>
  <c r="AK40" i="58" s="1"/>
  <c r="AM40" i="58" s="1"/>
  <c r="AI39" i="58"/>
  <c r="AK39" i="58" s="1"/>
  <c r="AM39" i="58" s="1"/>
  <c r="AD38" i="58"/>
  <c r="V38" i="58"/>
  <c r="AI37" i="58"/>
  <c r="AK37" i="58" s="1"/>
  <c r="AM37" i="58" s="1"/>
  <c r="AI36" i="58"/>
  <c r="AK36" i="58" s="1"/>
  <c r="AM36" i="58" s="1"/>
  <c r="AD35" i="58"/>
  <c r="AI35" i="58" s="1"/>
  <c r="AK35" i="58" s="1"/>
  <c r="AM35" i="58" s="1"/>
  <c r="AI34" i="58"/>
  <c r="AK34" i="58" s="1"/>
  <c r="AM34" i="58" s="1"/>
  <c r="AI33" i="58"/>
  <c r="AK33" i="58" s="1"/>
  <c r="AM33" i="58" s="1"/>
  <c r="AI32" i="58"/>
  <c r="AK32" i="58" s="1"/>
  <c r="AM32" i="58" s="1"/>
  <c r="AI31" i="58"/>
  <c r="AK31" i="58" s="1"/>
  <c r="AM31" i="58" s="1"/>
  <c r="AD30" i="58"/>
  <c r="AI30" i="58" s="1"/>
  <c r="AK30" i="58" s="1"/>
  <c r="AM30" i="58" s="1"/>
  <c r="AI29" i="58"/>
  <c r="AK29" i="58" s="1"/>
  <c r="AM29" i="58" s="1"/>
  <c r="AI28" i="58"/>
  <c r="AK28" i="58" s="1"/>
  <c r="AM28" i="58" s="1"/>
  <c r="AI27" i="58"/>
  <c r="AK27" i="58" s="1"/>
  <c r="AM27" i="58" s="1"/>
  <c r="AE26" i="58"/>
  <c r="P26" i="58"/>
  <c r="AI25" i="58"/>
  <c r="AK25" i="58" s="1"/>
  <c r="AM25" i="58" s="1"/>
  <c r="AI24" i="58"/>
  <c r="AK24" i="58" s="1"/>
  <c r="AM24" i="58" s="1"/>
  <c r="AI23" i="58"/>
  <c r="AK23" i="58" s="1"/>
  <c r="AM23" i="58" s="1"/>
  <c r="AI22" i="58"/>
  <c r="AK22" i="58" s="1"/>
  <c r="AM22" i="58" s="1"/>
  <c r="AI21" i="58"/>
  <c r="AK21" i="58" s="1"/>
  <c r="AM21" i="58" s="1"/>
  <c r="AI20" i="58"/>
  <c r="AK20" i="58" s="1"/>
  <c r="AM20" i="58" s="1"/>
  <c r="AI19" i="58"/>
  <c r="AK19" i="58" s="1"/>
  <c r="AM19" i="58" s="1"/>
  <c r="X18" i="58"/>
  <c r="W18" i="58"/>
  <c r="AI17" i="58"/>
  <c r="AK17" i="58" s="1"/>
  <c r="AM17" i="58" s="1"/>
  <c r="AI16" i="58"/>
  <c r="AK16" i="58" s="1"/>
  <c r="AM16" i="58" s="1"/>
  <c r="AI15" i="58"/>
  <c r="AK15" i="58" s="1"/>
  <c r="AM15" i="58" s="1"/>
  <c r="AI14" i="58"/>
  <c r="AK14" i="58" s="1"/>
  <c r="AM14" i="58" s="1"/>
  <c r="AI13" i="58"/>
  <c r="AK13" i="58" s="1"/>
  <c r="AM13" i="58" s="1"/>
  <c r="AI12" i="58"/>
  <c r="AI11" i="58"/>
  <c r="E9" i="58"/>
  <c r="F9" i="58" s="1"/>
  <c r="G9" i="58" s="1"/>
  <c r="H9" i="58" s="1"/>
  <c r="I9" i="58" s="1"/>
  <c r="J9" i="58" s="1"/>
  <c r="K9" i="58" s="1"/>
  <c r="L9" i="58" s="1"/>
  <c r="M9" i="58" s="1"/>
  <c r="N9" i="58" s="1"/>
  <c r="O9" i="58" s="1"/>
  <c r="P9" i="58" s="1"/>
  <c r="Q9" i="58" s="1"/>
  <c r="R9" i="58" s="1"/>
  <c r="S9" i="58" s="1"/>
  <c r="T9" i="58" s="1"/>
  <c r="U9" i="58" s="1"/>
  <c r="V9" i="58" s="1"/>
  <c r="W9" i="58" s="1"/>
  <c r="X9" i="58" s="1"/>
  <c r="Y9" i="58" s="1"/>
  <c r="Z9" i="58" s="1"/>
  <c r="AA9" i="58" s="1"/>
  <c r="AB9" i="58" s="1"/>
  <c r="AC9" i="58" s="1"/>
  <c r="AD9" i="58" s="1"/>
  <c r="AE9" i="58" s="1"/>
  <c r="AF9" i="58" s="1"/>
  <c r="AG9" i="58" s="1"/>
  <c r="AH9" i="58" s="1"/>
  <c r="B5" i="58"/>
  <c r="AI582" i="58" l="1"/>
  <c r="AI569" i="58"/>
  <c r="AI46" i="58"/>
  <c r="AK46" i="58" s="1"/>
  <c r="AM46" i="58" s="1"/>
  <c r="AI38" i="58"/>
  <c r="AK38" i="58" s="1"/>
  <c r="AM38" i="58" s="1"/>
  <c r="AI26" i="58"/>
  <c r="AK26" i="58" s="1"/>
  <c r="AM26" i="58" s="1"/>
  <c r="AI18" i="58"/>
  <c r="AK18" i="58" s="1"/>
  <c r="AM18" i="58" s="1"/>
  <c r="E30" i="43" l="1"/>
  <c r="E34" i="43" s="1"/>
  <c r="C3" i="48" l="1"/>
  <c r="K22" i="50"/>
  <c r="K26" i="50"/>
  <c r="K28" i="50"/>
  <c r="K34" i="50"/>
  <c r="K38" i="50"/>
  <c r="K47" i="50"/>
  <c r="K56" i="50"/>
  <c r="K61" i="50"/>
  <c r="K66" i="50"/>
  <c r="K70" i="50"/>
  <c r="K75" i="50"/>
  <c r="K79" i="50"/>
  <c r="K81" i="50"/>
  <c r="K87" i="50"/>
  <c r="K91" i="50"/>
  <c r="K95" i="50"/>
  <c r="K101" i="50"/>
  <c r="K103" i="50"/>
  <c r="K105" i="50"/>
  <c r="K107" i="50"/>
  <c r="K110" i="50"/>
  <c r="K114" i="50"/>
  <c r="K120" i="50"/>
  <c r="K121" i="50"/>
  <c r="K122" i="50"/>
  <c r="K123" i="50"/>
  <c r="K124" i="50"/>
  <c r="K125" i="50"/>
  <c r="K126" i="50"/>
  <c r="K127" i="50"/>
  <c r="K132" i="50"/>
  <c r="K135" i="50"/>
  <c r="K142" i="50"/>
  <c r="K146" i="50"/>
  <c r="K151" i="50"/>
  <c r="K155" i="50"/>
  <c r="K65" i="50" l="1"/>
  <c r="K74" i="50"/>
  <c r="K37" i="50"/>
  <c r="K119" i="50"/>
  <c r="K134" i="50"/>
  <c r="K100" i="50"/>
  <c r="K25" i="50"/>
  <c r="K86" i="50"/>
  <c r="K60" i="50" l="1"/>
  <c r="K157" i="50" s="1"/>
  <c r="K158" i="50" s="1"/>
  <c r="K21" i="50" l="1"/>
  <c r="K20" i="50" s="1"/>
  <c r="K159" i="50"/>
  <c r="G42" i="85"/>
  <c r="P253" i="48"/>
  <c r="L253" i="48"/>
  <c r="G252" i="48"/>
  <c r="G254" i="48" s="1"/>
  <c r="F252" i="48"/>
  <c r="F254" i="48" s="1"/>
  <c r="E252" i="48"/>
  <c r="E254" i="48" s="1"/>
  <c r="P251" i="48"/>
  <c r="L251" i="48"/>
  <c r="P250" i="48"/>
  <c r="M250" i="48"/>
  <c r="L250" i="48"/>
  <c r="P249" i="48"/>
  <c r="Q249" i="48" s="1"/>
  <c r="N249" i="48"/>
  <c r="O249" i="48" s="1"/>
  <c r="L249" i="48"/>
  <c r="P248" i="48"/>
  <c r="L248" i="48"/>
  <c r="D248" i="48"/>
  <c r="B248" i="48"/>
  <c r="P247" i="48"/>
  <c r="Q247" i="48" s="1"/>
  <c r="N247" i="48"/>
  <c r="M247" i="48"/>
  <c r="L247" i="48"/>
  <c r="B246" i="48"/>
  <c r="P245" i="48"/>
  <c r="L245" i="48"/>
  <c r="D245" i="48"/>
  <c r="B245" i="48"/>
  <c r="P244" i="48"/>
  <c r="Q244" i="48" s="1"/>
  <c r="N244" i="48"/>
  <c r="M244" i="48"/>
  <c r="L244" i="48"/>
  <c r="P243" i="48"/>
  <c r="L243" i="48"/>
  <c r="D243" i="48"/>
  <c r="M243" i="48" s="1"/>
  <c r="B243" i="48"/>
  <c r="P242" i="48"/>
  <c r="Q242" i="48" s="1"/>
  <c r="N242" i="48"/>
  <c r="M242" i="48"/>
  <c r="L242" i="48"/>
  <c r="P241" i="48"/>
  <c r="L241" i="48"/>
  <c r="D241" i="48"/>
  <c r="N241" i="48" s="1"/>
  <c r="B241" i="48"/>
  <c r="P240" i="48"/>
  <c r="Q240" i="48" s="1"/>
  <c r="N240" i="48"/>
  <c r="M240" i="48"/>
  <c r="L240" i="48"/>
  <c r="B239" i="48"/>
  <c r="P238" i="48"/>
  <c r="L238" i="48"/>
  <c r="D238" i="48"/>
  <c r="B238" i="48"/>
  <c r="P237" i="48"/>
  <c r="Q237" i="48" s="1"/>
  <c r="N237" i="48"/>
  <c r="M237" i="48"/>
  <c r="L237" i="48"/>
  <c r="P236" i="48"/>
  <c r="L236" i="48"/>
  <c r="D236" i="48"/>
  <c r="B236" i="48"/>
  <c r="P235" i="48"/>
  <c r="Q235" i="48" s="1"/>
  <c r="N235" i="48"/>
  <c r="M235" i="48"/>
  <c r="L235" i="48"/>
  <c r="P234" i="48"/>
  <c r="L234" i="48"/>
  <c r="D234" i="48"/>
  <c r="N234" i="48" s="1"/>
  <c r="B234" i="48"/>
  <c r="P233" i="48"/>
  <c r="Q233" i="48" s="1"/>
  <c r="N233" i="48"/>
  <c r="M233" i="48"/>
  <c r="L233" i="48"/>
  <c r="P232" i="48"/>
  <c r="L232" i="48"/>
  <c r="D232" i="48"/>
  <c r="M232" i="48" s="1"/>
  <c r="B232" i="48"/>
  <c r="P231" i="48"/>
  <c r="Q231" i="48" s="1"/>
  <c r="N231" i="48"/>
  <c r="M231" i="48"/>
  <c r="L231" i="48"/>
  <c r="B230" i="48"/>
  <c r="P229" i="48"/>
  <c r="L229" i="48"/>
  <c r="D229" i="48"/>
  <c r="N229" i="48" s="1"/>
  <c r="B229" i="48"/>
  <c r="P228" i="48"/>
  <c r="Q228" i="48" s="1"/>
  <c r="N228" i="48"/>
  <c r="M228" i="48"/>
  <c r="L228" i="48"/>
  <c r="P227" i="48"/>
  <c r="L227" i="48"/>
  <c r="D227" i="48"/>
  <c r="N227" i="48" s="1"/>
  <c r="B227" i="48"/>
  <c r="P226" i="48"/>
  <c r="Q226" i="48" s="1"/>
  <c r="N226" i="48"/>
  <c r="M226" i="48"/>
  <c r="L226" i="48"/>
  <c r="P225" i="48"/>
  <c r="L225" i="48"/>
  <c r="D225" i="48"/>
  <c r="B225" i="48"/>
  <c r="P224" i="48"/>
  <c r="Q224" i="48" s="1"/>
  <c r="N224" i="48"/>
  <c r="M224" i="48"/>
  <c r="L224" i="48"/>
  <c r="P223" i="48"/>
  <c r="L223" i="48"/>
  <c r="D223" i="48"/>
  <c r="B223" i="48"/>
  <c r="P222" i="48"/>
  <c r="Q222" i="48" s="1"/>
  <c r="N222" i="48"/>
  <c r="M222" i="48"/>
  <c r="L222" i="48"/>
  <c r="P221" i="48"/>
  <c r="L221" i="48"/>
  <c r="D221" i="48"/>
  <c r="N221" i="48" s="1"/>
  <c r="B221" i="48"/>
  <c r="P220" i="48"/>
  <c r="Q220" i="48" s="1"/>
  <c r="N220" i="48"/>
  <c r="M220" i="48"/>
  <c r="L220" i="48"/>
  <c r="P219" i="48"/>
  <c r="L219" i="48"/>
  <c r="D219" i="48"/>
  <c r="N219" i="48" s="1"/>
  <c r="B219" i="48"/>
  <c r="P218" i="48"/>
  <c r="Q218" i="48" s="1"/>
  <c r="N218" i="48"/>
  <c r="M218" i="48"/>
  <c r="L218" i="48"/>
  <c r="B217" i="48"/>
  <c r="B216" i="48"/>
  <c r="P214" i="48"/>
  <c r="L214" i="48"/>
  <c r="D214" i="48"/>
  <c r="N214" i="48" s="1"/>
  <c r="B214" i="48"/>
  <c r="P213" i="48"/>
  <c r="Q213" i="48" s="1"/>
  <c r="N213" i="48"/>
  <c r="M213" i="48"/>
  <c r="L213" i="48"/>
  <c r="B212" i="48"/>
  <c r="P210" i="48"/>
  <c r="L210" i="48"/>
  <c r="D210" i="48"/>
  <c r="M210" i="48" s="1"/>
  <c r="B210" i="48"/>
  <c r="P209" i="48"/>
  <c r="Q209" i="48" s="1"/>
  <c r="N209" i="48"/>
  <c r="M209" i="48"/>
  <c r="L209" i="48"/>
  <c r="P208" i="48"/>
  <c r="L208" i="48"/>
  <c r="D208" i="48"/>
  <c r="N208" i="48" s="1"/>
  <c r="B208" i="48"/>
  <c r="P207" i="48"/>
  <c r="Q207" i="48" s="1"/>
  <c r="N207" i="48"/>
  <c r="M207" i="48"/>
  <c r="L207" i="48"/>
  <c r="P206" i="48"/>
  <c r="L206" i="48"/>
  <c r="D206" i="48"/>
  <c r="N206" i="48" s="1"/>
  <c r="B206" i="48"/>
  <c r="P205" i="48"/>
  <c r="Q205" i="48" s="1"/>
  <c r="N205" i="48"/>
  <c r="M205" i="48"/>
  <c r="L205" i="48"/>
  <c r="P204" i="48"/>
  <c r="L204" i="48"/>
  <c r="D204" i="48"/>
  <c r="N204" i="48" s="1"/>
  <c r="B204" i="48"/>
  <c r="P203" i="48"/>
  <c r="Q203" i="48" s="1"/>
  <c r="N203" i="48"/>
  <c r="M203" i="48"/>
  <c r="L203" i="48"/>
  <c r="B202" i="48"/>
  <c r="P200" i="48"/>
  <c r="L200" i="48"/>
  <c r="D200" i="48"/>
  <c r="N200" i="48" s="1"/>
  <c r="B200" i="48"/>
  <c r="P199" i="48"/>
  <c r="Q199" i="48" s="1"/>
  <c r="N199" i="48"/>
  <c r="M199" i="48"/>
  <c r="L199" i="48"/>
  <c r="P198" i="48"/>
  <c r="L198" i="48"/>
  <c r="D198" i="48"/>
  <c r="N198" i="48" s="1"/>
  <c r="B198" i="48"/>
  <c r="P197" i="48"/>
  <c r="Q197" i="48" s="1"/>
  <c r="N197" i="48"/>
  <c r="M197" i="48"/>
  <c r="L197" i="48"/>
  <c r="P196" i="48"/>
  <c r="L196" i="48"/>
  <c r="D196" i="48"/>
  <c r="N196" i="48" s="1"/>
  <c r="B196" i="48"/>
  <c r="P195" i="48"/>
  <c r="Q195" i="48" s="1"/>
  <c r="N195" i="48"/>
  <c r="M195" i="48"/>
  <c r="L195" i="48"/>
  <c r="P194" i="48"/>
  <c r="L194" i="48"/>
  <c r="D194" i="48"/>
  <c r="B194" i="48"/>
  <c r="P193" i="48"/>
  <c r="Q193" i="48" s="1"/>
  <c r="N193" i="48"/>
  <c r="M193" i="48"/>
  <c r="L193" i="48"/>
  <c r="P192" i="48"/>
  <c r="L192" i="48"/>
  <c r="D192" i="48"/>
  <c r="N192" i="48" s="1"/>
  <c r="B192" i="48"/>
  <c r="P191" i="48"/>
  <c r="Q191" i="48" s="1"/>
  <c r="N191" i="48"/>
  <c r="M191" i="48"/>
  <c r="L191" i="48"/>
  <c r="P190" i="48"/>
  <c r="L190" i="48"/>
  <c r="D190" i="48"/>
  <c r="N190" i="48" s="1"/>
  <c r="B190" i="48"/>
  <c r="P189" i="48"/>
  <c r="Q189" i="48" s="1"/>
  <c r="N189" i="48"/>
  <c r="M189" i="48"/>
  <c r="L189" i="48"/>
  <c r="P188" i="48"/>
  <c r="L188" i="48"/>
  <c r="D188" i="48"/>
  <c r="N188" i="48" s="1"/>
  <c r="B188" i="48"/>
  <c r="P187" i="48"/>
  <c r="Q187" i="48" s="1"/>
  <c r="N187" i="48"/>
  <c r="M187" i="48"/>
  <c r="L187" i="48"/>
  <c r="B186" i="48"/>
  <c r="P185" i="48"/>
  <c r="L185" i="48"/>
  <c r="D185" i="48"/>
  <c r="N185" i="48" s="1"/>
  <c r="B185" i="48"/>
  <c r="P184" i="48"/>
  <c r="Q184" i="48" s="1"/>
  <c r="N184" i="48"/>
  <c r="M184" i="48"/>
  <c r="L184" i="48"/>
  <c r="P183" i="48"/>
  <c r="L183" i="48"/>
  <c r="D183" i="48"/>
  <c r="B183" i="48"/>
  <c r="P182" i="48"/>
  <c r="Q182" i="48" s="1"/>
  <c r="N182" i="48"/>
  <c r="M182" i="48"/>
  <c r="L182" i="48"/>
  <c r="P181" i="48"/>
  <c r="L181" i="48"/>
  <c r="D181" i="48"/>
  <c r="N181" i="48" s="1"/>
  <c r="B181" i="48"/>
  <c r="P180" i="48"/>
  <c r="Q180" i="48" s="1"/>
  <c r="N180" i="48"/>
  <c r="M180" i="48"/>
  <c r="L180" i="48"/>
  <c r="P179" i="48"/>
  <c r="L179" i="48"/>
  <c r="D179" i="48"/>
  <c r="N179" i="48" s="1"/>
  <c r="B179" i="48"/>
  <c r="P178" i="48"/>
  <c r="Q178" i="48" s="1"/>
  <c r="N178" i="48"/>
  <c r="M178" i="48"/>
  <c r="L178" i="48"/>
  <c r="B177" i="48"/>
  <c r="P176" i="48"/>
  <c r="L176" i="48"/>
  <c r="D176" i="48"/>
  <c r="N176" i="48" s="1"/>
  <c r="B176" i="48"/>
  <c r="P175" i="48"/>
  <c r="Q175" i="48" s="1"/>
  <c r="N175" i="48"/>
  <c r="M175" i="48"/>
  <c r="L175" i="48"/>
  <c r="B174" i="48"/>
  <c r="P173" i="48"/>
  <c r="L173" i="48"/>
  <c r="D173" i="48"/>
  <c r="N173" i="48" s="1"/>
  <c r="B173" i="48"/>
  <c r="P172" i="48"/>
  <c r="Q172" i="48" s="1"/>
  <c r="N172" i="48"/>
  <c r="M172" i="48"/>
  <c r="L172" i="48"/>
  <c r="B171" i="48"/>
  <c r="P170" i="48"/>
  <c r="L170" i="48"/>
  <c r="D170" i="48"/>
  <c r="N170" i="48" s="1"/>
  <c r="B170" i="48"/>
  <c r="P169" i="48"/>
  <c r="Q169" i="48" s="1"/>
  <c r="N169" i="48"/>
  <c r="M169" i="48"/>
  <c r="L169" i="48"/>
  <c r="P168" i="48"/>
  <c r="L168" i="48"/>
  <c r="D168" i="48"/>
  <c r="N168" i="48" s="1"/>
  <c r="B168" i="48"/>
  <c r="P167" i="48"/>
  <c r="Q167" i="48" s="1"/>
  <c r="N167" i="48"/>
  <c r="M167" i="48"/>
  <c r="L167" i="48"/>
  <c r="B166" i="48"/>
  <c r="P165" i="48"/>
  <c r="L165" i="48"/>
  <c r="D165" i="48"/>
  <c r="N165" i="48" s="1"/>
  <c r="B165" i="48"/>
  <c r="P164" i="48"/>
  <c r="Q164" i="48" s="1"/>
  <c r="N164" i="48"/>
  <c r="M164" i="48"/>
  <c r="L164" i="48"/>
  <c r="B163" i="48"/>
  <c r="P162" i="48"/>
  <c r="L162" i="48"/>
  <c r="D162" i="48"/>
  <c r="N162" i="48" s="1"/>
  <c r="B162" i="48"/>
  <c r="P161" i="48"/>
  <c r="Q161" i="48" s="1"/>
  <c r="N161" i="48"/>
  <c r="M161" i="48"/>
  <c r="L161" i="48"/>
  <c r="B160" i="48"/>
  <c r="P159" i="48"/>
  <c r="L159" i="48"/>
  <c r="D159" i="48"/>
  <c r="N159" i="48" s="1"/>
  <c r="B159" i="48"/>
  <c r="P158" i="48"/>
  <c r="Q158" i="48" s="1"/>
  <c r="N158" i="48"/>
  <c r="M158" i="48"/>
  <c r="L158" i="48"/>
  <c r="B157" i="48"/>
  <c r="B156" i="48"/>
  <c r="P155" i="48"/>
  <c r="L155" i="48"/>
  <c r="D155" i="48"/>
  <c r="M155" i="48" s="1"/>
  <c r="B155" i="48"/>
  <c r="P154" i="48"/>
  <c r="Q154" i="48" s="1"/>
  <c r="N154" i="48"/>
  <c r="M154" i="48"/>
  <c r="L154" i="48"/>
  <c r="P153" i="48"/>
  <c r="L153" i="48"/>
  <c r="D153" i="48"/>
  <c r="N153" i="48" s="1"/>
  <c r="B153" i="48"/>
  <c r="P152" i="48"/>
  <c r="Q152" i="48" s="1"/>
  <c r="N152" i="48"/>
  <c r="M152" i="48"/>
  <c r="L152" i="48"/>
  <c r="P151" i="48"/>
  <c r="L151" i="48"/>
  <c r="D151" i="48"/>
  <c r="N151" i="48" s="1"/>
  <c r="B151" i="48"/>
  <c r="P150" i="48"/>
  <c r="Q150" i="48" s="1"/>
  <c r="N150" i="48"/>
  <c r="M150" i="48"/>
  <c r="L150" i="48"/>
  <c r="P149" i="48"/>
  <c r="L149" i="48"/>
  <c r="D149" i="48"/>
  <c r="M149" i="48" s="1"/>
  <c r="B149" i="48"/>
  <c r="P148" i="48"/>
  <c r="Q148" i="48" s="1"/>
  <c r="N148" i="48"/>
  <c r="M148" i="48"/>
  <c r="L148" i="48"/>
  <c r="B147" i="48"/>
  <c r="P146" i="48"/>
  <c r="L146" i="48"/>
  <c r="D146" i="48"/>
  <c r="M146" i="48" s="1"/>
  <c r="B146" i="48"/>
  <c r="P145" i="48"/>
  <c r="Q145" i="48" s="1"/>
  <c r="N145" i="48"/>
  <c r="M145" i="48"/>
  <c r="L145" i="48"/>
  <c r="P144" i="48"/>
  <c r="L144" i="48"/>
  <c r="D144" i="48"/>
  <c r="N144" i="48" s="1"/>
  <c r="B144" i="48"/>
  <c r="P143" i="48"/>
  <c r="Q143" i="48" s="1"/>
  <c r="N143" i="48"/>
  <c r="M143" i="48"/>
  <c r="L143" i="48"/>
  <c r="P142" i="48"/>
  <c r="L142" i="48"/>
  <c r="D142" i="48"/>
  <c r="N142" i="48" s="1"/>
  <c r="B142" i="48"/>
  <c r="P141" i="48"/>
  <c r="Q141" i="48" s="1"/>
  <c r="N141" i="48"/>
  <c r="M141" i="48"/>
  <c r="L141" i="48"/>
  <c r="B140" i="48"/>
  <c r="P139" i="48"/>
  <c r="L139" i="48"/>
  <c r="D139" i="48"/>
  <c r="B139" i="48"/>
  <c r="P138" i="48"/>
  <c r="Q138" i="48" s="1"/>
  <c r="N138" i="48"/>
  <c r="M138" i="48"/>
  <c r="L138" i="48"/>
  <c r="P137" i="48"/>
  <c r="L137" i="48"/>
  <c r="D137" i="48"/>
  <c r="N137" i="48" s="1"/>
  <c r="B137" i="48"/>
  <c r="P136" i="48"/>
  <c r="Q136" i="48" s="1"/>
  <c r="N136" i="48"/>
  <c r="M136" i="48"/>
  <c r="L136" i="48"/>
  <c r="P135" i="48"/>
  <c r="L135" i="48"/>
  <c r="D135" i="48"/>
  <c r="M135" i="48" s="1"/>
  <c r="B135" i="48"/>
  <c r="P134" i="48"/>
  <c r="Q134" i="48" s="1"/>
  <c r="N134" i="48"/>
  <c r="M134" i="48"/>
  <c r="L134" i="48"/>
  <c r="B133" i="48"/>
  <c r="B132" i="48"/>
  <c r="P130" i="48"/>
  <c r="L130" i="48"/>
  <c r="D130" i="48"/>
  <c r="N130" i="48" s="1"/>
  <c r="B130" i="48"/>
  <c r="P129" i="48"/>
  <c r="Q129" i="48" s="1"/>
  <c r="N129" i="48"/>
  <c r="M129" i="48"/>
  <c r="L129" i="48"/>
  <c r="P128" i="48"/>
  <c r="L128" i="48"/>
  <c r="D128" i="48"/>
  <c r="M128" i="48" s="1"/>
  <c r="B128" i="48"/>
  <c r="P127" i="48"/>
  <c r="Q127" i="48" s="1"/>
  <c r="N127" i="48"/>
  <c r="M127" i="48"/>
  <c r="L127" i="48"/>
  <c r="P126" i="48"/>
  <c r="L126" i="48"/>
  <c r="D126" i="48"/>
  <c r="N126" i="48" s="1"/>
  <c r="B126" i="48"/>
  <c r="P125" i="48"/>
  <c r="Q125" i="48" s="1"/>
  <c r="N125" i="48"/>
  <c r="M125" i="48"/>
  <c r="L125" i="48"/>
  <c r="P124" i="48"/>
  <c r="L124" i="48"/>
  <c r="D124" i="48"/>
  <c r="N124" i="48" s="1"/>
  <c r="B124" i="48"/>
  <c r="P123" i="48"/>
  <c r="Q123" i="48" s="1"/>
  <c r="N123" i="48"/>
  <c r="M123" i="48"/>
  <c r="L123" i="48"/>
  <c r="B122" i="48"/>
  <c r="P120" i="48"/>
  <c r="L120" i="48"/>
  <c r="D120" i="48"/>
  <c r="M120" i="48" s="1"/>
  <c r="B120" i="48"/>
  <c r="P119" i="48"/>
  <c r="Q119" i="48" s="1"/>
  <c r="N119" i="48"/>
  <c r="M119" i="48"/>
  <c r="L119" i="48"/>
  <c r="P118" i="48"/>
  <c r="L118" i="48"/>
  <c r="D118" i="48"/>
  <c r="N118" i="48" s="1"/>
  <c r="B118" i="48"/>
  <c r="P117" i="48"/>
  <c r="Q117" i="48" s="1"/>
  <c r="N117" i="48"/>
  <c r="M117" i="48"/>
  <c r="L117" i="48"/>
  <c r="P116" i="48"/>
  <c r="L116" i="48"/>
  <c r="D116" i="48"/>
  <c r="M116" i="48" s="1"/>
  <c r="B116" i="48"/>
  <c r="P115" i="48"/>
  <c r="Q115" i="48" s="1"/>
  <c r="N115" i="48"/>
  <c r="M115" i="48"/>
  <c r="L115" i="48"/>
  <c r="P114" i="48"/>
  <c r="L114" i="48"/>
  <c r="D114" i="48"/>
  <c r="B114" i="48"/>
  <c r="P113" i="48"/>
  <c r="Q113" i="48" s="1"/>
  <c r="N113" i="48"/>
  <c r="M113" i="48"/>
  <c r="L113" i="48"/>
  <c r="P112" i="48"/>
  <c r="L112" i="48"/>
  <c r="D112" i="48"/>
  <c r="B112" i="48"/>
  <c r="P111" i="48"/>
  <c r="Q111" i="48" s="1"/>
  <c r="N111" i="48"/>
  <c r="M111" i="48"/>
  <c r="L111" i="48"/>
  <c r="P110" i="48"/>
  <c r="L110" i="48"/>
  <c r="D110" i="48"/>
  <c r="N110" i="48" s="1"/>
  <c r="B110" i="48"/>
  <c r="P109" i="48"/>
  <c r="Q109" i="48" s="1"/>
  <c r="N109" i="48"/>
  <c r="M109" i="48"/>
  <c r="L109" i="48"/>
  <c r="P108" i="48"/>
  <c r="L108" i="48"/>
  <c r="D108" i="48"/>
  <c r="M108" i="48" s="1"/>
  <c r="B108" i="48"/>
  <c r="P107" i="48"/>
  <c r="Q107" i="48" s="1"/>
  <c r="N107" i="48"/>
  <c r="M107" i="48"/>
  <c r="L107" i="48"/>
  <c r="P106" i="48"/>
  <c r="L106" i="48"/>
  <c r="D106" i="48"/>
  <c r="N106" i="48" s="1"/>
  <c r="B106" i="48"/>
  <c r="P105" i="48"/>
  <c r="Q105" i="48" s="1"/>
  <c r="N105" i="48"/>
  <c r="M105" i="48"/>
  <c r="L105" i="48"/>
  <c r="B104" i="48"/>
  <c r="P103" i="48"/>
  <c r="L103" i="48"/>
  <c r="D103" i="48"/>
  <c r="B103" i="48"/>
  <c r="P102" i="48"/>
  <c r="Q102" i="48" s="1"/>
  <c r="N102" i="48"/>
  <c r="M102" i="48"/>
  <c r="L102" i="48"/>
  <c r="B101" i="48"/>
  <c r="D100" i="48"/>
  <c r="B100" i="48"/>
  <c r="P98" i="48"/>
  <c r="L98" i="48"/>
  <c r="D98" i="48"/>
  <c r="B98" i="48"/>
  <c r="P97" i="48"/>
  <c r="Q97" i="48" s="1"/>
  <c r="N97" i="48"/>
  <c r="M97" i="48"/>
  <c r="L97" i="48"/>
  <c r="P96" i="48"/>
  <c r="L96" i="48"/>
  <c r="D96" i="48"/>
  <c r="N96" i="48" s="1"/>
  <c r="B96" i="48"/>
  <c r="P95" i="48"/>
  <c r="Q95" i="48" s="1"/>
  <c r="N95" i="48"/>
  <c r="M95" i="48"/>
  <c r="L95" i="48"/>
  <c r="P94" i="48"/>
  <c r="L94" i="48"/>
  <c r="D94" i="48"/>
  <c r="N94" i="48" s="1"/>
  <c r="B94" i="48"/>
  <c r="P93" i="48"/>
  <c r="Q93" i="48" s="1"/>
  <c r="N93" i="48"/>
  <c r="M93" i="48"/>
  <c r="L93" i="48"/>
  <c r="B92" i="48"/>
  <c r="P90" i="48"/>
  <c r="L90" i="48"/>
  <c r="D90" i="48"/>
  <c r="N90" i="48" s="1"/>
  <c r="B90" i="48"/>
  <c r="P89" i="48"/>
  <c r="Q89" i="48" s="1"/>
  <c r="N89" i="48"/>
  <c r="M89" i="48"/>
  <c r="L89" i="48"/>
  <c r="P88" i="48"/>
  <c r="L88" i="48"/>
  <c r="D88" i="48"/>
  <c r="N88" i="48" s="1"/>
  <c r="B88" i="48"/>
  <c r="P87" i="48"/>
  <c r="Q87" i="48" s="1"/>
  <c r="N87" i="48"/>
  <c r="M87" i="48"/>
  <c r="L87" i="48"/>
  <c r="P86" i="48"/>
  <c r="L86" i="48"/>
  <c r="D86" i="48"/>
  <c r="B86" i="48"/>
  <c r="P85" i="48"/>
  <c r="Q85" i="48" s="1"/>
  <c r="N85" i="48"/>
  <c r="M85" i="48"/>
  <c r="L85" i="48"/>
  <c r="B83" i="48"/>
  <c r="B82" i="48"/>
  <c r="P80" i="48"/>
  <c r="L80" i="48"/>
  <c r="D80" i="48"/>
  <c r="N80" i="48" s="1"/>
  <c r="B80" i="48"/>
  <c r="P79" i="48"/>
  <c r="Q79" i="48" s="1"/>
  <c r="N79" i="48"/>
  <c r="M79" i="48"/>
  <c r="L79" i="48"/>
  <c r="P78" i="48"/>
  <c r="L78" i="48"/>
  <c r="D78" i="48"/>
  <c r="N78" i="48" s="1"/>
  <c r="B78" i="48"/>
  <c r="P77" i="48"/>
  <c r="Q77" i="48" s="1"/>
  <c r="N77" i="48"/>
  <c r="M77" i="48"/>
  <c r="L77" i="48"/>
  <c r="P76" i="48"/>
  <c r="L76" i="48"/>
  <c r="D76" i="48"/>
  <c r="N76" i="48" s="1"/>
  <c r="B76" i="48"/>
  <c r="P75" i="48"/>
  <c r="Q75" i="48" s="1"/>
  <c r="N75" i="48"/>
  <c r="M75" i="48"/>
  <c r="L75" i="48"/>
  <c r="B74" i="48"/>
  <c r="P72" i="48"/>
  <c r="L72" i="48"/>
  <c r="D72" i="48"/>
  <c r="M72" i="48" s="1"/>
  <c r="B72" i="48"/>
  <c r="P71" i="48"/>
  <c r="Q71" i="48" s="1"/>
  <c r="N71" i="48"/>
  <c r="M71" i="48"/>
  <c r="L71" i="48"/>
  <c r="P70" i="48"/>
  <c r="L70" i="48"/>
  <c r="D70" i="48"/>
  <c r="N70" i="48" s="1"/>
  <c r="B70" i="48"/>
  <c r="P69" i="48"/>
  <c r="Q69" i="48" s="1"/>
  <c r="N69" i="48"/>
  <c r="M69" i="48"/>
  <c r="L69" i="48"/>
  <c r="P68" i="48"/>
  <c r="L68" i="48"/>
  <c r="D68" i="48"/>
  <c r="N68" i="48" s="1"/>
  <c r="B68" i="48"/>
  <c r="P67" i="48"/>
  <c r="Q67" i="48" s="1"/>
  <c r="N67" i="48"/>
  <c r="M67" i="48"/>
  <c r="L67" i="48"/>
  <c r="P66" i="48"/>
  <c r="L66" i="48"/>
  <c r="D66" i="48"/>
  <c r="N66" i="48" s="1"/>
  <c r="B66" i="48"/>
  <c r="P65" i="48"/>
  <c r="Q65" i="48" s="1"/>
  <c r="N65" i="48"/>
  <c r="M65" i="48"/>
  <c r="L65" i="48"/>
  <c r="P64" i="48"/>
  <c r="L64" i="48"/>
  <c r="D64" i="48"/>
  <c r="B64" i="48"/>
  <c r="P63" i="48"/>
  <c r="Q63" i="48" s="1"/>
  <c r="N63" i="48"/>
  <c r="M63" i="48"/>
  <c r="L63" i="48"/>
  <c r="P62" i="48"/>
  <c r="L62" i="48"/>
  <c r="D62" i="48"/>
  <c r="N62" i="48" s="1"/>
  <c r="B62" i="48"/>
  <c r="P61" i="48"/>
  <c r="Q61" i="48" s="1"/>
  <c r="N61" i="48"/>
  <c r="M61" i="48"/>
  <c r="L61" i="48"/>
  <c r="P60" i="48"/>
  <c r="L60" i="48"/>
  <c r="D60" i="48"/>
  <c r="M60" i="48" s="1"/>
  <c r="B60" i="48"/>
  <c r="P59" i="48"/>
  <c r="Q59" i="48" s="1"/>
  <c r="N59" i="48"/>
  <c r="M59" i="48"/>
  <c r="L59" i="48"/>
  <c r="P58" i="48"/>
  <c r="L58" i="48"/>
  <c r="D58" i="48"/>
  <c r="N58" i="48" s="1"/>
  <c r="B58" i="48"/>
  <c r="P57" i="48"/>
  <c r="Q57" i="48" s="1"/>
  <c r="N57" i="48"/>
  <c r="M57" i="48"/>
  <c r="L57" i="48"/>
  <c r="B56" i="48"/>
  <c r="P54" i="48"/>
  <c r="L54" i="48"/>
  <c r="D54" i="48"/>
  <c r="B54" i="48"/>
  <c r="P53" i="48"/>
  <c r="Q53" i="48" s="1"/>
  <c r="N53" i="48"/>
  <c r="M53" i="48"/>
  <c r="L53" i="48"/>
  <c r="P52" i="48"/>
  <c r="L52" i="48"/>
  <c r="D52" i="48"/>
  <c r="N52" i="48" s="1"/>
  <c r="B52" i="48"/>
  <c r="P51" i="48"/>
  <c r="Q51" i="48" s="1"/>
  <c r="N51" i="48"/>
  <c r="M51" i="48"/>
  <c r="L51" i="48"/>
  <c r="P50" i="48"/>
  <c r="L50" i="48"/>
  <c r="D50" i="48"/>
  <c r="N50" i="48" s="1"/>
  <c r="B50" i="48"/>
  <c r="P49" i="48"/>
  <c r="Q49" i="48" s="1"/>
  <c r="N49" i="48"/>
  <c r="M49" i="48"/>
  <c r="L49" i="48"/>
  <c r="P48" i="48"/>
  <c r="L48" i="48"/>
  <c r="D48" i="48"/>
  <c r="M48" i="48" s="1"/>
  <c r="B48" i="48"/>
  <c r="P47" i="48"/>
  <c r="Q47" i="48" s="1"/>
  <c r="N47" i="48"/>
  <c r="M47" i="48"/>
  <c r="L47" i="48"/>
  <c r="P46" i="48"/>
  <c r="L46" i="48"/>
  <c r="D46" i="48"/>
  <c r="N46" i="48" s="1"/>
  <c r="B46" i="48"/>
  <c r="P45" i="48"/>
  <c r="Q45" i="48" s="1"/>
  <c r="N45" i="48"/>
  <c r="M45" i="48"/>
  <c r="L45" i="48"/>
  <c r="P44" i="48"/>
  <c r="L44" i="48"/>
  <c r="D44" i="48"/>
  <c r="M44" i="48" s="1"/>
  <c r="B44" i="48"/>
  <c r="P43" i="48"/>
  <c r="Q43" i="48" s="1"/>
  <c r="N43" i="48"/>
  <c r="M43" i="48"/>
  <c r="L43" i="48"/>
  <c r="P42" i="48"/>
  <c r="L42" i="48"/>
  <c r="D42" i="48"/>
  <c r="N42" i="48" s="1"/>
  <c r="B42" i="48"/>
  <c r="P41" i="48"/>
  <c r="Q41" i="48" s="1"/>
  <c r="N41" i="48"/>
  <c r="M41" i="48"/>
  <c r="L41" i="48"/>
  <c r="P40" i="48"/>
  <c r="L40" i="48"/>
  <c r="D40" i="48"/>
  <c r="N40" i="48" s="1"/>
  <c r="B40" i="48"/>
  <c r="P39" i="48"/>
  <c r="Q39" i="48" s="1"/>
  <c r="N39" i="48"/>
  <c r="M39" i="48"/>
  <c r="L39" i="48"/>
  <c r="B38" i="48"/>
  <c r="B37" i="48"/>
  <c r="P35" i="48"/>
  <c r="L35" i="48"/>
  <c r="D35" i="48"/>
  <c r="N35" i="48" s="1"/>
  <c r="B35" i="48"/>
  <c r="P34" i="48"/>
  <c r="Q34" i="48" s="1"/>
  <c r="N34" i="48"/>
  <c r="M34" i="48"/>
  <c r="L34" i="48"/>
  <c r="P33" i="48"/>
  <c r="L33" i="48"/>
  <c r="D33" i="48"/>
  <c r="N33" i="48" s="1"/>
  <c r="B33" i="48"/>
  <c r="P32" i="48"/>
  <c r="Q32" i="48" s="1"/>
  <c r="N32" i="48"/>
  <c r="M32" i="48"/>
  <c r="L32" i="48"/>
  <c r="B31" i="48"/>
  <c r="P29" i="48"/>
  <c r="L29" i="48"/>
  <c r="D29" i="48"/>
  <c r="N29" i="48" s="1"/>
  <c r="C29" i="48"/>
  <c r="B29" i="48"/>
  <c r="P28" i="48"/>
  <c r="Q28" i="48" s="1"/>
  <c r="N28" i="48"/>
  <c r="M28" i="48"/>
  <c r="L28" i="48"/>
  <c r="P27" i="48"/>
  <c r="L27" i="48"/>
  <c r="D27" i="48"/>
  <c r="N27" i="48" s="1"/>
  <c r="C27" i="48"/>
  <c r="B27" i="48"/>
  <c r="P26" i="48"/>
  <c r="Q26" i="48" s="1"/>
  <c r="N26" i="48"/>
  <c r="M26" i="48"/>
  <c r="L26" i="48"/>
  <c r="P25" i="48"/>
  <c r="L25" i="48"/>
  <c r="D25" i="48"/>
  <c r="N25" i="48" s="1"/>
  <c r="C25" i="48"/>
  <c r="B25" i="48"/>
  <c r="P24" i="48"/>
  <c r="Q24" i="48" s="1"/>
  <c r="N24" i="48"/>
  <c r="M24" i="48"/>
  <c r="L24" i="48"/>
  <c r="P23" i="48"/>
  <c r="L23" i="48"/>
  <c r="D23" i="48"/>
  <c r="N23" i="48" s="1"/>
  <c r="B23" i="48"/>
  <c r="P22" i="48"/>
  <c r="Q22" i="48" s="1"/>
  <c r="N22" i="48"/>
  <c r="M22" i="48"/>
  <c r="L22" i="48"/>
  <c r="P21" i="48"/>
  <c r="L21" i="48"/>
  <c r="D21" i="48"/>
  <c r="B21" i="48"/>
  <c r="P20" i="48"/>
  <c r="Q20" i="48" s="1"/>
  <c r="N20" i="48"/>
  <c r="M20" i="48"/>
  <c r="L20" i="48"/>
  <c r="B19" i="48"/>
  <c r="P18" i="48"/>
  <c r="L18" i="48"/>
  <c r="D18" i="48"/>
  <c r="B18" i="48"/>
  <c r="P17" i="48"/>
  <c r="Q17" i="48" s="1"/>
  <c r="N17" i="48"/>
  <c r="M17" i="48"/>
  <c r="L17" i="48"/>
  <c r="B16" i="48"/>
  <c r="B15" i="48"/>
  <c r="P13" i="48"/>
  <c r="L13" i="48"/>
  <c r="D13" i="48"/>
  <c r="N13" i="48" s="1"/>
  <c r="B13" i="48"/>
  <c r="P12" i="48"/>
  <c r="Q12" i="48" s="1"/>
  <c r="N12" i="48"/>
  <c r="M12" i="48"/>
  <c r="L12" i="48"/>
  <c r="P11" i="48"/>
  <c r="L11" i="48"/>
  <c r="D11" i="48"/>
  <c r="B11" i="48"/>
  <c r="L10" i="48"/>
  <c r="B9" i="48"/>
  <c r="E5" i="48"/>
  <c r="C5" i="48"/>
  <c r="C4" i="48"/>
  <c r="F171" i="50"/>
  <c r="F170" i="50"/>
  <c r="L167" i="50"/>
  <c r="E167" i="50"/>
  <c r="L166" i="50"/>
  <c r="E166" i="50"/>
  <c r="L165" i="50"/>
  <c r="E165" i="50"/>
  <c r="L156" i="50"/>
  <c r="D156" i="50"/>
  <c r="F156" i="50" s="1"/>
  <c r="J155" i="50"/>
  <c r="I155" i="50"/>
  <c r="H155" i="50"/>
  <c r="G155" i="50"/>
  <c r="D154" i="50"/>
  <c r="F154" i="50" s="1"/>
  <c r="G154" i="50" s="1"/>
  <c r="L153" i="50"/>
  <c r="D153" i="50"/>
  <c r="F153" i="50" s="1"/>
  <c r="L152" i="50"/>
  <c r="D152" i="50"/>
  <c r="F152" i="50" s="1"/>
  <c r="J151" i="50"/>
  <c r="I151" i="50"/>
  <c r="H151" i="50"/>
  <c r="L150" i="50"/>
  <c r="M150" i="50" s="1"/>
  <c r="D150" i="50"/>
  <c r="L149" i="50"/>
  <c r="M149" i="50" s="1"/>
  <c r="D149" i="50"/>
  <c r="L148" i="50"/>
  <c r="M148" i="50" s="1"/>
  <c r="D148" i="50"/>
  <c r="L147" i="50"/>
  <c r="M147" i="50" s="1"/>
  <c r="D147" i="50"/>
  <c r="J146" i="50"/>
  <c r="I146" i="50"/>
  <c r="H146" i="50"/>
  <c r="G146" i="50"/>
  <c r="F146" i="50"/>
  <c r="L145" i="50"/>
  <c r="D145" i="50"/>
  <c r="F145" i="50" s="1"/>
  <c r="L144" i="50"/>
  <c r="D144" i="50"/>
  <c r="F144" i="50" s="1"/>
  <c r="L143" i="50"/>
  <c r="D143" i="50"/>
  <c r="F143" i="50" s="1"/>
  <c r="J142" i="50"/>
  <c r="I142" i="50"/>
  <c r="H142" i="50"/>
  <c r="G142" i="50"/>
  <c r="L141" i="50"/>
  <c r="D141" i="50"/>
  <c r="F141" i="50" s="1"/>
  <c r="L140" i="50"/>
  <c r="D140" i="50"/>
  <c r="F140" i="50" s="1"/>
  <c r="L139" i="50"/>
  <c r="D139" i="50"/>
  <c r="F139" i="50" s="1"/>
  <c r="L138" i="50"/>
  <c r="D138" i="50"/>
  <c r="F138" i="50" s="1"/>
  <c r="L137" i="50"/>
  <c r="D137" i="50"/>
  <c r="F137" i="50" s="1"/>
  <c r="L136" i="50"/>
  <c r="D136" i="50"/>
  <c r="F136" i="50" s="1"/>
  <c r="J135" i="50"/>
  <c r="I135" i="50"/>
  <c r="H135" i="50"/>
  <c r="D133" i="50"/>
  <c r="F133" i="50" s="1"/>
  <c r="J132" i="50"/>
  <c r="I132" i="50"/>
  <c r="H132" i="50"/>
  <c r="L131" i="50"/>
  <c r="D131" i="50"/>
  <c r="F131" i="50" s="1"/>
  <c r="L130" i="50"/>
  <c r="D130" i="50"/>
  <c r="F130" i="50" s="1"/>
  <c r="L129" i="50"/>
  <c r="D129" i="50"/>
  <c r="F129" i="50" s="1"/>
  <c r="L128" i="50"/>
  <c r="D128" i="50"/>
  <c r="F128" i="50" s="1"/>
  <c r="J127" i="50"/>
  <c r="I127" i="50"/>
  <c r="H127" i="50"/>
  <c r="G127" i="50"/>
  <c r="J126" i="50"/>
  <c r="D126" i="50"/>
  <c r="F126" i="50" s="1"/>
  <c r="J125" i="50"/>
  <c r="D125" i="50"/>
  <c r="F125" i="50" s="1"/>
  <c r="I125" i="50" s="1"/>
  <c r="J124" i="50"/>
  <c r="D124" i="50"/>
  <c r="F124" i="50" s="1"/>
  <c r="J123" i="50"/>
  <c r="D123" i="50"/>
  <c r="F123" i="50" s="1"/>
  <c r="I123" i="50" s="1"/>
  <c r="J122" i="50"/>
  <c r="D122" i="50"/>
  <c r="F122" i="50" s="1"/>
  <c r="J121" i="50"/>
  <c r="D121" i="50"/>
  <c r="F121" i="50" s="1"/>
  <c r="I121" i="50" s="1"/>
  <c r="J120" i="50"/>
  <c r="D120" i="50"/>
  <c r="F120" i="50" s="1"/>
  <c r="H119" i="50"/>
  <c r="G119" i="50"/>
  <c r="L118" i="50"/>
  <c r="F118" i="50"/>
  <c r="L117" i="50"/>
  <c r="F117" i="50"/>
  <c r="L116" i="50"/>
  <c r="F116" i="50"/>
  <c r="L115" i="50"/>
  <c r="F115" i="50"/>
  <c r="J114" i="50"/>
  <c r="I114" i="50"/>
  <c r="H114" i="50"/>
  <c r="G114" i="50"/>
  <c r="L113" i="50"/>
  <c r="F113" i="50"/>
  <c r="L112" i="50"/>
  <c r="L111" i="50"/>
  <c r="F111" i="50"/>
  <c r="F110" i="50" s="1"/>
  <c r="J110" i="50"/>
  <c r="I110" i="50"/>
  <c r="H110" i="50"/>
  <c r="G110" i="50"/>
  <c r="L109" i="50"/>
  <c r="F109" i="50"/>
  <c r="L108" i="50"/>
  <c r="F108" i="50"/>
  <c r="J107" i="50"/>
  <c r="I107" i="50"/>
  <c r="H107" i="50"/>
  <c r="G107" i="50"/>
  <c r="L106" i="50"/>
  <c r="F106" i="50"/>
  <c r="F105" i="50" s="1"/>
  <c r="J105" i="50"/>
  <c r="I105" i="50"/>
  <c r="H105" i="50"/>
  <c r="G105" i="50"/>
  <c r="L104" i="50"/>
  <c r="F104" i="50"/>
  <c r="F103" i="50" s="1"/>
  <c r="J103" i="50"/>
  <c r="I103" i="50"/>
  <c r="H103" i="50"/>
  <c r="G103" i="50"/>
  <c r="L102" i="50"/>
  <c r="F102" i="50"/>
  <c r="J101" i="50"/>
  <c r="I101" i="50"/>
  <c r="H101" i="50"/>
  <c r="G101" i="50"/>
  <c r="L99" i="50"/>
  <c r="F99" i="50"/>
  <c r="L98" i="50"/>
  <c r="F98" i="50"/>
  <c r="L97" i="50"/>
  <c r="F97" i="50"/>
  <c r="L96" i="50"/>
  <c r="F96" i="50"/>
  <c r="J95" i="50"/>
  <c r="I95" i="50"/>
  <c r="H95" i="50"/>
  <c r="G95" i="50"/>
  <c r="L94" i="50"/>
  <c r="F94" i="50"/>
  <c r="L93" i="50"/>
  <c r="F93" i="50"/>
  <c r="L92" i="50"/>
  <c r="F92" i="50"/>
  <c r="J91" i="50"/>
  <c r="I91" i="50"/>
  <c r="H91" i="50"/>
  <c r="G91" i="50"/>
  <c r="L90" i="50"/>
  <c r="F90" i="50"/>
  <c r="L89" i="50"/>
  <c r="F89" i="50"/>
  <c r="L88" i="50"/>
  <c r="F88" i="50"/>
  <c r="J87" i="50"/>
  <c r="I87" i="50"/>
  <c r="H87" i="50"/>
  <c r="G87" i="50"/>
  <c r="L85" i="50"/>
  <c r="F85" i="50"/>
  <c r="L84" i="50"/>
  <c r="F84" i="50"/>
  <c r="L83" i="50"/>
  <c r="F83" i="50"/>
  <c r="L82" i="50"/>
  <c r="F82" i="50"/>
  <c r="J81" i="50"/>
  <c r="I81" i="50"/>
  <c r="H81" i="50"/>
  <c r="G81" i="50"/>
  <c r="L80" i="50"/>
  <c r="F80" i="50"/>
  <c r="F79" i="50" s="1"/>
  <c r="J79" i="50"/>
  <c r="I79" i="50"/>
  <c r="H79" i="50"/>
  <c r="G79" i="50"/>
  <c r="L78" i="50"/>
  <c r="F78" i="50"/>
  <c r="L77" i="50"/>
  <c r="F77" i="50"/>
  <c r="L76" i="50"/>
  <c r="F76" i="50"/>
  <c r="J75" i="50"/>
  <c r="I75" i="50"/>
  <c r="H75" i="50"/>
  <c r="G75" i="50"/>
  <c r="L73" i="50"/>
  <c r="F73" i="50"/>
  <c r="F72" i="50" s="1"/>
  <c r="L72" i="50"/>
  <c r="L71" i="50"/>
  <c r="F71" i="50"/>
  <c r="F70" i="50" s="1"/>
  <c r="J70" i="50"/>
  <c r="I70" i="50"/>
  <c r="H70" i="50"/>
  <c r="G70" i="50"/>
  <c r="L69" i="50"/>
  <c r="F69" i="50"/>
  <c r="L68" i="50"/>
  <c r="F68" i="50"/>
  <c r="L67" i="50"/>
  <c r="F67" i="50"/>
  <c r="J66" i="50"/>
  <c r="I66" i="50"/>
  <c r="H66" i="50"/>
  <c r="G66" i="50"/>
  <c r="L64" i="50"/>
  <c r="F64" i="50"/>
  <c r="L63" i="50"/>
  <c r="F63" i="50"/>
  <c r="L62" i="50"/>
  <c r="F62" i="50"/>
  <c r="J61" i="50"/>
  <c r="I61" i="50"/>
  <c r="H61" i="50"/>
  <c r="G61" i="50"/>
  <c r="I59" i="50"/>
  <c r="D59" i="50"/>
  <c r="F59" i="50" s="1"/>
  <c r="H59" i="50" s="1"/>
  <c r="I58" i="50"/>
  <c r="D58" i="50"/>
  <c r="F58" i="50" s="1"/>
  <c r="H58" i="50" s="1"/>
  <c r="I57" i="50"/>
  <c r="D57" i="50"/>
  <c r="F57" i="50" s="1"/>
  <c r="H57" i="50" s="1"/>
  <c r="J56" i="50"/>
  <c r="G56" i="50"/>
  <c r="D55" i="50"/>
  <c r="F55" i="50" s="1"/>
  <c r="D54" i="50"/>
  <c r="F54" i="50" s="1"/>
  <c r="H54" i="50" s="1"/>
  <c r="L54" i="50" s="1"/>
  <c r="D53" i="50"/>
  <c r="F53" i="50" s="1"/>
  <c r="D52" i="50"/>
  <c r="F52" i="50" s="1"/>
  <c r="H52" i="50" s="1"/>
  <c r="L52" i="50" s="1"/>
  <c r="M52" i="50" s="1"/>
  <c r="D51" i="50"/>
  <c r="F51" i="50" s="1"/>
  <c r="D50" i="50"/>
  <c r="F50" i="50" s="1"/>
  <c r="H50" i="50" s="1"/>
  <c r="L50" i="50" s="1"/>
  <c r="D49" i="50"/>
  <c r="F49" i="50" s="1"/>
  <c r="D48" i="50"/>
  <c r="F48" i="50" s="1"/>
  <c r="H48" i="50" s="1"/>
  <c r="L48" i="50" s="1"/>
  <c r="M48" i="50" s="1"/>
  <c r="J47" i="50"/>
  <c r="I47" i="50"/>
  <c r="G47" i="50"/>
  <c r="L46" i="50"/>
  <c r="D46" i="50"/>
  <c r="F46" i="50" s="1"/>
  <c r="L45" i="50"/>
  <c r="D45" i="50"/>
  <c r="F45" i="50" s="1"/>
  <c r="L44" i="50"/>
  <c r="D44" i="50"/>
  <c r="F44" i="50" s="1"/>
  <c r="L43" i="50"/>
  <c r="D43" i="50"/>
  <c r="F43" i="50" s="1"/>
  <c r="L42" i="50"/>
  <c r="D42" i="50"/>
  <c r="F42" i="50" s="1"/>
  <c r="L41" i="50"/>
  <c r="D41" i="50"/>
  <c r="F41" i="50" s="1"/>
  <c r="L40" i="50"/>
  <c r="D40" i="50"/>
  <c r="F40" i="50" s="1"/>
  <c r="L39" i="50"/>
  <c r="D39" i="50"/>
  <c r="F39" i="50" s="1"/>
  <c r="J38" i="50"/>
  <c r="I38" i="50"/>
  <c r="H38" i="50"/>
  <c r="G38" i="50"/>
  <c r="L36" i="50"/>
  <c r="D36" i="50"/>
  <c r="F36" i="50" s="1"/>
  <c r="D35" i="50"/>
  <c r="F35" i="50" s="1"/>
  <c r="J34" i="50"/>
  <c r="I34" i="50"/>
  <c r="H34" i="50"/>
  <c r="D33" i="50"/>
  <c r="F33" i="50" s="1"/>
  <c r="L32" i="50"/>
  <c r="D32" i="50"/>
  <c r="F32" i="50" s="1"/>
  <c r="D31" i="50"/>
  <c r="F31" i="50" s="1"/>
  <c r="D30" i="50"/>
  <c r="F30" i="50" s="1"/>
  <c r="L29" i="50"/>
  <c r="D29" i="50"/>
  <c r="F29" i="50" s="1"/>
  <c r="J28" i="50"/>
  <c r="I28" i="50"/>
  <c r="L27" i="50"/>
  <c r="D27" i="50"/>
  <c r="F27" i="50" s="1"/>
  <c r="J26" i="50"/>
  <c r="I26" i="50"/>
  <c r="H26" i="50"/>
  <c r="G26" i="50"/>
  <c r="L24" i="50"/>
  <c r="M24" i="50" s="1"/>
  <c r="D24" i="50"/>
  <c r="D23" i="50"/>
  <c r="F23" i="50" s="1"/>
  <c r="F22" i="50" s="1"/>
  <c r="J22" i="50"/>
  <c r="I22" i="50"/>
  <c r="G22" i="50"/>
  <c r="M137" i="50" l="1"/>
  <c r="M141" i="50"/>
  <c r="M144" i="50"/>
  <c r="O123" i="48"/>
  <c r="O127" i="48"/>
  <c r="O178" i="48"/>
  <c r="O247" i="48"/>
  <c r="K248" i="48"/>
  <c r="M99" i="50"/>
  <c r="G134" i="50"/>
  <c r="G86" i="50"/>
  <c r="G65" i="50"/>
  <c r="M118" i="50"/>
  <c r="H134" i="50"/>
  <c r="I100" i="50"/>
  <c r="M116" i="50"/>
  <c r="Q18" i="48"/>
  <c r="J74" i="50"/>
  <c r="M115" i="50"/>
  <c r="L123" i="50"/>
  <c r="M123" i="50" s="1"/>
  <c r="L127" i="50"/>
  <c r="M130" i="50"/>
  <c r="M138" i="50"/>
  <c r="M145" i="50"/>
  <c r="O205" i="48"/>
  <c r="I134" i="50"/>
  <c r="O113" i="48"/>
  <c r="Q194" i="48"/>
  <c r="J65" i="50"/>
  <c r="G74" i="50"/>
  <c r="L121" i="50"/>
  <c r="M121" i="50" s="1"/>
  <c r="L125" i="50"/>
  <c r="M125" i="50" s="1"/>
  <c r="M128" i="50"/>
  <c r="M140" i="50"/>
  <c r="K103" i="48"/>
  <c r="M63" i="50"/>
  <c r="M67" i="50"/>
  <c r="O43" i="48"/>
  <c r="O45" i="48"/>
  <c r="Q64" i="48"/>
  <c r="O141" i="48"/>
  <c r="O145" i="48"/>
  <c r="O161" i="48"/>
  <c r="O213" i="48"/>
  <c r="I56" i="50"/>
  <c r="I37" i="50" s="1"/>
  <c r="O150" i="48"/>
  <c r="O187" i="48"/>
  <c r="O218" i="48"/>
  <c r="F61" i="50"/>
  <c r="O167" i="48"/>
  <c r="O207" i="48"/>
  <c r="M36" i="50"/>
  <c r="L38" i="50"/>
  <c r="M40" i="50"/>
  <c r="M41" i="50"/>
  <c r="M45" i="50"/>
  <c r="M77" i="50"/>
  <c r="M83" i="50"/>
  <c r="M96" i="50"/>
  <c r="M102" i="50"/>
  <c r="L103" i="50"/>
  <c r="M103" i="50" s="1"/>
  <c r="O17" i="48"/>
  <c r="O26" i="48"/>
  <c r="O39" i="48"/>
  <c r="O41" i="48"/>
  <c r="O47" i="48"/>
  <c r="O77" i="48"/>
  <c r="O85" i="48"/>
  <c r="O95" i="48"/>
  <c r="O138" i="48"/>
  <c r="O182" i="48"/>
  <c r="O199" i="48"/>
  <c r="O203" i="48"/>
  <c r="O224" i="48"/>
  <c r="O228" i="48"/>
  <c r="O231" i="48"/>
  <c r="O233" i="48"/>
  <c r="O235" i="48"/>
  <c r="O237" i="48"/>
  <c r="O242" i="48"/>
  <c r="O244" i="48"/>
  <c r="K245" i="48"/>
  <c r="H42" i="85"/>
  <c r="G44" i="85"/>
  <c r="M32" i="50"/>
  <c r="L61" i="50"/>
  <c r="M72" i="50"/>
  <c r="M76" i="50"/>
  <c r="M84" i="50"/>
  <c r="F87" i="50"/>
  <c r="I86" i="50"/>
  <c r="O32" i="48"/>
  <c r="O34" i="48"/>
  <c r="O57" i="48"/>
  <c r="O59" i="48"/>
  <c r="O65" i="48"/>
  <c r="O69" i="48"/>
  <c r="O87" i="48"/>
  <c r="O89" i="48"/>
  <c r="O97" i="48"/>
  <c r="O102" i="48"/>
  <c r="O105" i="48"/>
  <c r="O107" i="48"/>
  <c r="O111" i="48"/>
  <c r="K114" i="48"/>
  <c r="O119" i="48"/>
  <c r="O143" i="48"/>
  <c r="O148" i="48"/>
  <c r="O164" i="48"/>
  <c r="O184" i="48"/>
  <c r="O209" i="48"/>
  <c r="O240" i="48"/>
  <c r="F107" i="50"/>
  <c r="L110" i="50"/>
  <c r="M110" i="50" s="1"/>
  <c r="I25" i="50"/>
  <c r="H65" i="50"/>
  <c r="M89" i="50"/>
  <c r="M92" i="50"/>
  <c r="F101" i="50"/>
  <c r="J134" i="50"/>
  <c r="L146" i="50"/>
  <c r="M146" i="50" s="1"/>
  <c r="O20" i="48"/>
  <c r="Q21" i="48"/>
  <c r="O22" i="48"/>
  <c r="O24" i="48"/>
  <c r="O79" i="48"/>
  <c r="O125" i="48"/>
  <c r="O129" i="48"/>
  <c r="O169" i="48"/>
  <c r="O180" i="48"/>
  <c r="O189" i="48"/>
  <c r="O191" i="48"/>
  <c r="O193" i="48"/>
  <c r="O220" i="48"/>
  <c r="O222" i="48"/>
  <c r="K223" i="48"/>
  <c r="O226" i="48"/>
  <c r="I74" i="50"/>
  <c r="Q238" i="48"/>
  <c r="L26" i="50"/>
  <c r="M42" i="50"/>
  <c r="M46" i="50"/>
  <c r="M64" i="50"/>
  <c r="F75" i="50"/>
  <c r="F74" i="50" s="1"/>
  <c r="G100" i="50"/>
  <c r="L114" i="50"/>
  <c r="M131" i="50"/>
  <c r="M139" i="50"/>
  <c r="L155" i="50"/>
  <c r="K54" i="48"/>
  <c r="O67" i="48"/>
  <c r="O115" i="48"/>
  <c r="O158" i="48"/>
  <c r="Q183" i="48"/>
  <c r="Q225" i="48"/>
  <c r="Q236" i="48"/>
  <c r="M88" i="50"/>
  <c r="J37" i="50"/>
  <c r="M43" i="50"/>
  <c r="M68" i="50"/>
  <c r="H74" i="50"/>
  <c r="M80" i="50"/>
  <c r="M108" i="50"/>
  <c r="O12" i="48"/>
  <c r="O134" i="48"/>
  <c r="O63" i="48"/>
  <c r="O154" i="48"/>
  <c r="O197" i="48"/>
  <c r="M69" i="50"/>
  <c r="L81" i="50"/>
  <c r="H86" i="50"/>
  <c r="M109" i="50"/>
  <c r="O28" i="48"/>
  <c r="O51" i="48"/>
  <c r="O71" i="48"/>
  <c r="K98" i="48"/>
  <c r="O136" i="48"/>
  <c r="O172" i="48"/>
  <c r="J25" i="50"/>
  <c r="M44" i="50"/>
  <c r="M104" i="50"/>
  <c r="M111" i="50"/>
  <c r="G37" i="50"/>
  <c r="I65" i="50"/>
  <c r="L70" i="50"/>
  <c r="L79" i="50"/>
  <c r="M79" i="50" s="1"/>
  <c r="F81" i="50"/>
  <c r="J86" i="50"/>
  <c r="M153" i="50"/>
  <c r="O53" i="48"/>
  <c r="O75" i="48"/>
  <c r="O109" i="48"/>
  <c r="O152" i="48"/>
  <c r="O175" i="48"/>
  <c r="O195" i="48"/>
  <c r="K13" i="48"/>
  <c r="Q206" i="48"/>
  <c r="K208" i="48"/>
  <c r="Q44" i="48"/>
  <c r="M46" i="48"/>
  <c r="O46" i="48" s="1"/>
  <c r="M58" i="48"/>
  <c r="O58" i="48" s="1"/>
  <c r="N128" i="48"/>
  <c r="O128" i="48" s="1"/>
  <c r="K162" i="48"/>
  <c r="K168" i="48"/>
  <c r="K206" i="48"/>
  <c r="Q23" i="48"/>
  <c r="K78" i="48"/>
  <c r="M206" i="48"/>
  <c r="O206" i="48" s="1"/>
  <c r="Q208" i="48"/>
  <c r="K200" i="48"/>
  <c r="K214" i="48"/>
  <c r="K219" i="48"/>
  <c r="K23" i="48"/>
  <c r="K241" i="48"/>
  <c r="K221" i="48"/>
  <c r="Q13" i="48"/>
  <c r="M185" i="48"/>
  <c r="O185" i="48" s="1"/>
  <c r="K229" i="48"/>
  <c r="K227" i="48"/>
  <c r="Q229" i="48"/>
  <c r="K234" i="48"/>
  <c r="M96" i="48"/>
  <c r="O96" i="48" s="1"/>
  <c r="Q116" i="48"/>
  <c r="K159" i="48"/>
  <c r="K165" i="48"/>
  <c r="K170" i="48"/>
  <c r="K188" i="48"/>
  <c r="K27" i="48"/>
  <c r="K33" i="48"/>
  <c r="M124" i="48"/>
  <c r="O124" i="48" s="1"/>
  <c r="N135" i="48"/>
  <c r="O135" i="48" s="1"/>
  <c r="K176" i="48"/>
  <c r="K179" i="48"/>
  <c r="K190" i="48"/>
  <c r="N225" i="48"/>
  <c r="M229" i="48"/>
  <c r="O229" i="48" s="1"/>
  <c r="N146" i="48"/>
  <c r="O146" i="48" s="1"/>
  <c r="Q241" i="48"/>
  <c r="Q27" i="48"/>
  <c r="K35" i="48"/>
  <c r="N44" i="48"/>
  <c r="O44" i="48" s="1"/>
  <c r="K118" i="48"/>
  <c r="M188" i="48"/>
  <c r="O188" i="48" s="1"/>
  <c r="Q76" i="48"/>
  <c r="M35" i="48"/>
  <c r="O35" i="48" s="1"/>
  <c r="M40" i="48"/>
  <c r="O40" i="48" s="1"/>
  <c r="K50" i="48"/>
  <c r="M54" i="48"/>
  <c r="K70" i="48"/>
  <c r="K76" i="48"/>
  <c r="M94" i="48"/>
  <c r="O94" i="48" s="1"/>
  <c r="K108" i="48"/>
  <c r="Q135" i="48"/>
  <c r="K137" i="48"/>
  <c r="K142" i="48"/>
  <c r="Q142" i="48"/>
  <c r="K144" i="48"/>
  <c r="Q144" i="48"/>
  <c r="K149" i="48"/>
  <c r="K151" i="48"/>
  <c r="Q151" i="48"/>
  <c r="K153" i="48"/>
  <c r="M173" i="48"/>
  <c r="O173" i="48" s="1"/>
  <c r="Q188" i="48"/>
  <c r="M198" i="48"/>
  <c r="O198" i="48" s="1"/>
  <c r="M219" i="48"/>
  <c r="O219" i="48" s="1"/>
  <c r="N223" i="48"/>
  <c r="M227" i="48"/>
  <c r="O227" i="48" s="1"/>
  <c r="M70" i="48"/>
  <c r="O70" i="48" s="1"/>
  <c r="M76" i="48"/>
  <c r="O76" i="48" s="1"/>
  <c r="M90" i="48"/>
  <c r="O90" i="48" s="1"/>
  <c r="N103" i="48"/>
  <c r="N108" i="48"/>
  <c r="O108" i="48" s="1"/>
  <c r="M142" i="48"/>
  <c r="O142" i="48" s="1"/>
  <c r="Q149" i="48"/>
  <c r="M196" i="48"/>
  <c r="O196" i="48" s="1"/>
  <c r="M238" i="48"/>
  <c r="K25" i="48"/>
  <c r="K40" i="48"/>
  <c r="M50" i="48"/>
  <c r="O50" i="48" s="1"/>
  <c r="Q70" i="48"/>
  <c r="K96" i="48"/>
  <c r="K124" i="48"/>
  <c r="K135" i="48"/>
  <c r="M144" i="48"/>
  <c r="O144" i="48" s="1"/>
  <c r="M151" i="48"/>
  <c r="O151" i="48" s="1"/>
  <c r="K173" i="48"/>
  <c r="Q173" i="48"/>
  <c r="Q179" i="48"/>
  <c r="K185" i="48"/>
  <c r="K198" i="48"/>
  <c r="Q198" i="48"/>
  <c r="Q219" i="48"/>
  <c r="N155" i="48"/>
  <c r="O155" i="48" s="1"/>
  <c r="N183" i="48"/>
  <c r="Q29" i="48"/>
  <c r="N210" i="48"/>
  <c r="O210" i="48" s="1"/>
  <c r="N232" i="48"/>
  <c r="O232" i="48" s="1"/>
  <c r="N236" i="48"/>
  <c r="N243" i="48"/>
  <c r="O243" i="48" s="1"/>
  <c r="D250" i="48"/>
  <c r="K250" i="48" s="1"/>
  <c r="Q25" i="48"/>
  <c r="K29" i="48"/>
  <c r="Q35" i="48"/>
  <c r="Q40" i="48"/>
  <c r="K42" i="48"/>
  <c r="Q50" i="48"/>
  <c r="Q58" i="48"/>
  <c r="K62" i="48"/>
  <c r="M64" i="48"/>
  <c r="K68" i="48"/>
  <c r="N72" i="48"/>
  <c r="O72" i="48" s="1"/>
  <c r="K80" i="48"/>
  <c r="K88" i="48"/>
  <c r="K106" i="48"/>
  <c r="Q108" i="48"/>
  <c r="K110" i="48"/>
  <c r="K112" i="48"/>
  <c r="M118" i="48"/>
  <c r="O118" i="48" s="1"/>
  <c r="Q124" i="48"/>
  <c r="K126" i="48"/>
  <c r="Q128" i="48"/>
  <c r="K130" i="48"/>
  <c r="M137" i="48"/>
  <c r="O137" i="48" s="1"/>
  <c r="Q139" i="48"/>
  <c r="M153" i="48"/>
  <c r="O153" i="48" s="1"/>
  <c r="K155" i="48"/>
  <c r="M159" i="48"/>
  <c r="O159" i="48" s="1"/>
  <c r="M162" i="48"/>
  <c r="O162" i="48" s="1"/>
  <c r="M165" i="48"/>
  <c r="O165" i="48" s="1"/>
  <c r="M168" i="48"/>
  <c r="O168" i="48" s="1"/>
  <c r="Q170" i="48"/>
  <c r="Q176" i="48"/>
  <c r="M179" i="48"/>
  <c r="O179" i="48" s="1"/>
  <c r="K181" i="48"/>
  <c r="K183" i="48"/>
  <c r="Q190" i="48"/>
  <c r="K194" i="48"/>
  <c r="M208" i="48"/>
  <c r="O208" i="48" s="1"/>
  <c r="K210" i="48"/>
  <c r="Q214" i="48"/>
  <c r="Q221" i="48"/>
  <c r="K225" i="48"/>
  <c r="K232" i="48"/>
  <c r="K236" i="48"/>
  <c r="N238" i="48"/>
  <c r="M241" i="48"/>
  <c r="O241" i="48" s="1"/>
  <c r="K243" i="48"/>
  <c r="N245" i="48"/>
  <c r="Q52" i="48"/>
  <c r="Q62" i="48"/>
  <c r="Q130" i="48"/>
  <c r="M33" i="48"/>
  <c r="O33" i="48" s="1"/>
  <c r="M42" i="48"/>
  <c r="O42" i="48" s="1"/>
  <c r="Q46" i="48"/>
  <c r="M52" i="48"/>
  <c r="O52" i="48" s="1"/>
  <c r="Q54" i="48"/>
  <c r="N64" i="48"/>
  <c r="Q68" i="48"/>
  <c r="Q90" i="48"/>
  <c r="Q94" i="48"/>
  <c r="Q96" i="48"/>
  <c r="M110" i="48"/>
  <c r="O110" i="48" s="1"/>
  <c r="Q112" i="48"/>
  <c r="N114" i="48"/>
  <c r="M130" i="48"/>
  <c r="O130" i="48" s="1"/>
  <c r="Q153" i="48"/>
  <c r="Q155" i="48"/>
  <c r="M170" i="48"/>
  <c r="O170" i="48" s="1"/>
  <c r="M176" i="48"/>
  <c r="O176" i="48" s="1"/>
  <c r="Q185" i="48"/>
  <c r="M190" i="48"/>
  <c r="O190" i="48" s="1"/>
  <c r="Q196" i="48"/>
  <c r="Q210" i="48"/>
  <c r="M214" i="48"/>
  <c r="O214" i="48" s="1"/>
  <c r="M221" i="48"/>
  <c r="O221" i="48" s="1"/>
  <c r="Q227" i="48"/>
  <c r="Q232" i="48"/>
  <c r="Q243" i="48"/>
  <c r="Q110" i="48"/>
  <c r="N194" i="48"/>
  <c r="M29" i="48"/>
  <c r="O29" i="48" s="1"/>
  <c r="Q33" i="48"/>
  <c r="Q42" i="48"/>
  <c r="M62" i="48"/>
  <c r="O62" i="48" s="1"/>
  <c r="Q80" i="48"/>
  <c r="Q88" i="48"/>
  <c r="K90" i="48"/>
  <c r="K94" i="48"/>
  <c r="K116" i="48"/>
  <c r="Q118" i="48"/>
  <c r="K128" i="48"/>
  <c r="Q137" i="48"/>
  <c r="Q159" i="48"/>
  <c r="Q162" i="48"/>
  <c r="Q165" i="48"/>
  <c r="Q168" i="48"/>
  <c r="M183" i="48"/>
  <c r="M194" i="48"/>
  <c r="K196" i="48"/>
  <c r="M225" i="48"/>
  <c r="M236" i="48"/>
  <c r="K238" i="48"/>
  <c r="F142" i="50"/>
  <c r="F34" i="50"/>
  <c r="H56" i="50"/>
  <c r="M39" i="50"/>
  <c r="F38" i="50"/>
  <c r="M38" i="50" s="1"/>
  <c r="M27" i="50"/>
  <c r="F26" i="50"/>
  <c r="M50" i="50"/>
  <c r="M54" i="50"/>
  <c r="F127" i="50"/>
  <c r="F172" i="50"/>
  <c r="Q86" i="48"/>
  <c r="M86" i="48"/>
  <c r="K18" i="48"/>
  <c r="K21" i="48"/>
  <c r="Q48" i="48"/>
  <c r="K60" i="48"/>
  <c r="K86" i="48"/>
  <c r="M13" i="48"/>
  <c r="O13" i="48" s="1"/>
  <c r="M23" i="48"/>
  <c r="O23" i="48" s="1"/>
  <c r="M25" i="48"/>
  <c r="O25" i="48" s="1"/>
  <c r="M27" i="48"/>
  <c r="O27" i="48" s="1"/>
  <c r="K44" i="48"/>
  <c r="K46" i="48"/>
  <c r="N54" i="48"/>
  <c r="K58" i="48"/>
  <c r="Q66" i="48"/>
  <c r="M66" i="48"/>
  <c r="O66" i="48" s="1"/>
  <c r="K72" i="48"/>
  <c r="Q72" i="48"/>
  <c r="O93" i="48"/>
  <c r="N120" i="48"/>
  <c r="O120" i="48" s="1"/>
  <c r="N139" i="48"/>
  <c r="M139" i="48"/>
  <c r="N11" i="48"/>
  <c r="N18" i="48"/>
  <c r="N21" i="48"/>
  <c r="Q204" i="48"/>
  <c r="M204" i="48"/>
  <c r="O204" i="48" s="1"/>
  <c r="K204" i="48"/>
  <c r="K11" i="48"/>
  <c r="K48" i="48"/>
  <c r="Q60" i="48"/>
  <c r="Q103" i="48"/>
  <c r="M103" i="48"/>
  <c r="Q114" i="48"/>
  <c r="M114" i="48"/>
  <c r="M11" i="48"/>
  <c r="Q11" i="48"/>
  <c r="M18" i="48"/>
  <c r="M21" i="48"/>
  <c r="N48" i="48"/>
  <c r="O48" i="48" s="1"/>
  <c r="O49" i="48"/>
  <c r="K52" i="48"/>
  <c r="N60" i="48"/>
  <c r="O60" i="48" s="1"/>
  <c r="O61" i="48"/>
  <c r="K64" i="48"/>
  <c r="K66" i="48"/>
  <c r="Q78" i="48"/>
  <c r="M78" i="48"/>
  <c r="O78" i="48" s="1"/>
  <c r="N86" i="48"/>
  <c r="N98" i="48"/>
  <c r="M98" i="48"/>
  <c r="Q98" i="48"/>
  <c r="N112" i="48"/>
  <c r="M112" i="48"/>
  <c r="Q120" i="48"/>
  <c r="K139" i="48"/>
  <c r="K146" i="48"/>
  <c r="Q192" i="48"/>
  <c r="M192" i="48"/>
  <c r="O192" i="48" s="1"/>
  <c r="K192" i="48"/>
  <c r="Q248" i="48"/>
  <c r="M248" i="48"/>
  <c r="N248" i="48"/>
  <c r="P254" i="48"/>
  <c r="L254" i="48"/>
  <c r="M68" i="48"/>
  <c r="O68" i="48" s="1"/>
  <c r="M80" i="48"/>
  <c r="O80" i="48" s="1"/>
  <c r="M88" i="48"/>
  <c r="O88" i="48" s="1"/>
  <c r="M106" i="48"/>
  <c r="O106" i="48" s="1"/>
  <c r="Q106" i="48"/>
  <c r="N116" i="48"/>
  <c r="O116" i="48" s="1"/>
  <c r="O117" i="48"/>
  <c r="K120" i="48"/>
  <c r="M126" i="48"/>
  <c r="O126" i="48" s="1"/>
  <c r="Q126" i="48"/>
  <c r="Q146" i="48"/>
  <c r="N149" i="48"/>
  <c r="O149" i="48" s="1"/>
  <c r="Q181" i="48"/>
  <c r="M181" i="48"/>
  <c r="O181" i="48" s="1"/>
  <c r="Q223" i="48"/>
  <c r="M223" i="48"/>
  <c r="Q245" i="48"/>
  <c r="M245" i="48"/>
  <c r="L252" i="48"/>
  <c r="Q200" i="48"/>
  <c r="M200" i="48"/>
  <c r="O200" i="48" s="1"/>
  <c r="Q234" i="48"/>
  <c r="M234" i="48"/>
  <c r="O234" i="48" s="1"/>
  <c r="P252" i="48"/>
  <c r="H31" i="50"/>
  <c r="L31" i="50" s="1"/>
  <c r="M31" i="50" s="1"/>
  <c r="M29" i="50"/>
  <c r="F28" i="50"/>
  <c r="H30" i="50"/>
  <c r="G30" i="50"/>
  <c r="H23" i="50"/>
  <c r="H33" i="50"/>
  <c r="L33" i="50" s="1"/>
  <c r="M33" i="50" s="1"/>
  <c r="G35" i="50"/>
  <c r="F47" i="50"/>
  <c r="H49" i="50"/>
  <c r="H53" i="50"/>
  <c r="L53" i="50" s="1"/>
  <c r="M53" i="50" s="1"/>
  <c r="F56" i="50"/>
  <c r="M78" i="50"/>
  <c r="M82" i="50"/>
  <c r="M90" i="50"/>
  <c r="M94" i="50"/>
  <c r="M98" i="50"/>
  <c r="L107" i="50"/>
  <c r="M113" i="50"/>
  <c r="F112" i="50"/>
  <c r="M112" i="50" s="1"/>
  <c r="I120" i="50"/>
  <c r="F119" i="50"/>
  <c r="I124" i="50"/>
  <c r="L124" i="50" s="1"/>
  <c r="M124" i="50" s="1"/>
  <c r="L142" i="50"/>
  <c r="M156" i="50"/>
  <c r="F155" i="50"/>
  <c r="M70" i="50"/>
  <c r="L66" i="50"/>
  <c r="M71" i="50"/>
  <c r="M73" i="50"/>
  <c r="M85" i="50"/>
  <c r="F114" i="50"/>
  <c r="M117" i="50"/>
  <c r="J119" i="50"/>
  <c r="H51" i="50"/>
  <c r="L51" i="50" s="1"/>
  <c r="M51" i="50" s="1"/>
  <c r="H55" i="50"/>
  <c r="L55" i="50" s="1"/>
  <c r="M55" i="50" s="1"/>
  <c r="L57" i="50"/>
  <c r="M57" i="50" s="1"/>
  <c r="L58" i="50"/>
  <c r="M58" i="50" s="1"/>
  <c r="L59" i="50"/>
  <c r="M59" i="50" s="1"/>
  <c r="M62" i="50"/>
  <c r="F66" i="50"/>
  <c r="L75" i="50"/>
  <c r="L87" i="50"/>
  <c r="L91" i="50"/>
  <c r="M93" i="50"/>
  <c r="F91" i="50"/>
  <c r="L95" i="50"/>
  <c r="M97" i="50"/>
  <c r="F95" i="50"/>
  <c r="J100" i="50"/>
  <c r="H100" i="50"/>
  <c r="L105" i="50"/>
  <c r="M105" i="50" s="1"/>
  <c r="M106" i="50"/>
  <c r="I122" i="50"/>
  <c r="L122" i="50" s="1"/>
  <c r="M122" i="50" s="1"/>
  <c r="I126" i="50"/>
  <c r="L126" i="50" s="1"/>
  <c r="M126" i="50" s="1"/>
  <c r="M129" i="50"/>
  <c r="G133" i="50"/>
  <c r="F132" i="50"/>
  <c r="L135" i="50"/>
  <c r="M136" i="50"/>
  <c r="F135" i="50"/>
  <c r="M143" i="50"/>
  <c r="M152" i="50"/>
  <c r="F151" i="50"/>
  <c r="L154" i="50"/>
  <c r="M154" i="50" s="1"/>
  <c r="G151" i="50"/>
  <c r="L151" i="50" s="1"/>
  <c r="L101" i="50"/>
  <c r="L134" i="50" l="1"/>
  <c r="L56" i="50"/>
  <c r="M56" i="50" s="1"/>
  <c r="M127" i="50"/>
  <c r="M26" i="50"/>
  <c r="M114" i="50"/>
  <c r="H60" i="50"/>
  <c r="G60" i="50"/>
  <c r="L65" i="50"/>
  <c r="M101" i="50"/>
  <c r="M81" i="50"/>
  <c r="M107" i="50"/>
  <c r="J60" i="50"/>
  <c r="J21" i="50" s="1"/>
  <c r="J20" i="50" s="1"/>
  <c r="M61" i="50"/>
  <c r="L74" i="50"/>
  <c r="M74" i="50" s="1"/>
  <c r="M87" i="50"/>
  <c r="F86" i="50"/>
  <c r="M75" i="50"/>
  <c r="I60" i="50"/>
  <c r="F50" i="85"/>
  <c r="F51" i="85" s="1"/>
  <c r="G47" i="85"/>
  <c r="E42" i="85"/>
  <c r="I42" i="85" s="1"/>
  <c r="H44" i="85"/>
  <c r="F100" i="50"/>
  <c r="L86" i="50"/>
  <c r="O238" i="48"/>
  <c r="Q250" i="48"/>
  <c r="D252" i="48"/>
  <c r="K252" i="48" s="1"/>
  <c r="O236" i="48"/>
  <c r="O194" i="48"/>
  <c r="O103" i="48"/>
  <c r="O114" i="48"/>
  <c r="O54" i="48"/>
  <c r="O223" i="48"/>
  <c r="O112" i="48"/>
  <c r="O225" i="48"/>
  <c r="M142" i="50"/>
  <c r="O11" i="48"/>
  <c r="O64" i="48"/>
  <c r="F25" i="50"/>
  <c r="O21" i="48"/>
  <c r="O18" i="48"/>
  <c r="O183" i="48"/>
  <c r="O245" i="48"/>
  <c r="N250" i="48"/>
  <c r="O250" i="48" s="1"/>
  <c r="H28" i="50"/>
  <c r="H25" i="50" s="1"/>
  <c r="O248" i="48"/>
  <c r="O86" i="48"/>
  <c r="O98" i="48"/>
  <c r="O139" i="48"/>
  <c r="L49" i="50"/>
  <c r="M49" i="50" s="1"/>
  <c r="H47" i="50"/>
  <c r="M66" i="50"/>
  <c r="F65" i="50"/>
  <c r="M155" i="50"/>
  <c r="L23" i="50"/>
  <c r="M23" i="50" s="1"/>
  <c r="H22" i="50"/>
  <c r="M135" i="50"/>
  <c r="F134" i="50"/>
  <c r="M134" i="50" s="1"/>
  <c r="M151" i="50"/>
  <c r="G132" i="50"/>
  <c r="L132" i="50" s="1"/>
  <c r="M132" i="50" s="1"/>
  <c r="L133" i="50"/>
  <c r="M133" i="50" s="1"/>
  <c r="M91" i="50"/>
  <c r="L120" i="50"/>
  <c r="M120" i="50" s="1"/>
  <c r="I119" i="50"/>
  <c r="L35" i="50"/>
  <c r="M35" i="50" s="1"/>
  <c r="G34" i="50"/>
  <c r="L34" i="50" s="1"/>
  <c r="M34" i="50" s="1"/>
  <c r="L100" i="50"/>
  <c r="F37" i="50"/>
  <c r="M95" i="50"/>
  <c r="L30" i="50"/>
  <c r="M30" i="50" s="1"/>
  <c r="G28" i="50"/>
  <c r="J157" i="50" l="1"/>
  <c r="J158" i="50" s="1"/>
  <c r="J159" i="50" s="1"/>
  <c r="L60" i="50"/>
  <c r="M100" i="50"/>
  <c r="M86" i="50"/>
  <c r="J42" i="85"/>
  <c r="E44" i="85"/>
  <c r="H47" i="85"/>
  <c r="I44" i="85"/>
  <c r="G50" i="85"/>
  <c r="G51" i="85" s="1"/>
  <c r="D254" i="48"/>
  <c r="E255" i="48" s="1"/>
  <c r="E256" i="48" s="1"/>
  <c r="L47" i="50"/>
  <c r="M47" i="50" s="1"/>
  <c r="H37" i="50"/>
  <c r="H21" i="50" s="1"/>
  <c r="H20" i="50" s="1"/>
  <c r="L22" i="50"/>
  <c r="M22" i="50" s="1"/>
  <c r="L28" i="50"/>
  <c r="M28" i="50" s="1"/>
  <c r="G25" i="50"/>
  <c r="G157" i="50" s="1"/>
  <c r="I157" i="50"/>
  <c r="I21" i="50"/>
  <c r="I20" i="50" s="1"/>
  <c r="L119" i="50"/>
  <c r="M119" i="50" s="1"/>
  <c r="M65" i="50"/>
  <c r="F60" i="50"/>
  <c r="M60" i="50" s="1"/>
  <c r="K42" i="85" l="1"/>
  <c r="J44" i="85"/>
  <c r="F21" i="50"/>
  <c r="F20" i="50" s="1"/>
  <c r="F255" i="48"/>
  <c r="G255" i="48"/>
  <c r="K254" i="48"/>
  <c r="I163" i="50"/>
  <c r="I158" i="50"/>
  <c r="I159" i="50" s="1"/>
  <c r="I162" i="50"/>
  <c r="G162" i="50"/>
  <c r="G163" i="50"/>
  <c r="G158" i="50"/>
  <c r="G159" i="50" s="1"/>
  <c r="E157" i="50"/>
  <c r="K160" i="50" s="1"/>
  <c r="L25" i="50"/>
  <c r="M25" i="50" s="1"/>
  <c r="G21" i="50"/>
  <c r="G20" i="50" s="1"/>
  <c r="L37" i="50"/>
  <c r="M37" i="50" s="1"/>
  <c r="H157" i="50"/>
  <c r="J47" i="85" l="1"/>
  <c r="K44" i="85"/>
  <c r="L255" i="48"/>
  <c r="P255" i="48"/>
  <c r="F256" i="48"/>
  <c r="G256" i="48" s="1"/>
  <c r="I164" i="50"/>
  <c r="I168" i="50" s="1"/>
  <c r="F173" i="50"/>
  <c r="J160" i="50"/>
  <c r="G164" i="50"/>
  <c r="H163" i="50"/>
  <c r="L163" i="50" s="1"/>
  <c r="H160" i="50"/>
  <c r="H158" i="50"/>
  <c r="L158" i="50" s="1"/>
  <c r="H162" i="50"/>
  <c r="L162" i="50" s="1"/>
  <c r="I160" i="50"/>
  <c r="L157" i="50"/>
  <c r="M157" i="50" s="1"/>
  <c r="G160" i="50"/>
  <c r="P256" i="48" l="1"/>
  <c r="E163" i="50"/>
  <c r="E162" i="50"/>
  <c r="H159" i="50"/>
  <c r="L159" i="50" s="1"/>
  <c r="E158" i="50"/>
  <c r="E160" i="50"/>
  <c r="G161" i="50"/>
  <c r="L160" i="50"/>
  <c r="G168" i="50"/>
  <c r="E159" i="50" l="1"/>
  <c r="H164" i="50"/>
  <c r="L164" i="50" s="1"/>
  <c r="H161" i="50"/>
  <c r="I161" i="50" s="1"/>
  <c r="J161" i="50" s="1"/>
  <c r="K161" i="50" s="1"/>
  <c r="H168" i="50" l="1"/>
  <c r="E164" i="50"/>
  <c r="L161" i="50"/>
  <c r="L168" i="50" l="1"/>
  <c r="E168" i="50"/>
  <c r="L171" i="46" l="1"/>
  <c r="I171" i="46"/>
  <c r="L170" i="46"/>
  <c r="I170" i="46"/>
  <c r="L169" i="46"/>
  <c r="I169" i="46"/>
  <c r="L168" i="46"/>
  <c r="I168" i="46"/>
  <c r="L167" i="46"/>
  <c r="I167" i="46"/>
  <c r="L166" i="46"/>
  <c r="I166" i="46"/>
  <c r="L165" i="46"/>
  <c r="I165" i="46"/>
  <c r="L164" i="46"/>
  <c r="I164" i="46"/>
  <c r="L163" i="46"/>
  <c r="I163" i="46"/>
  <c r="L162" i="46"/>
  <c r="I162" i="46"/>
  <c r="L161" i="46"/>
  <c r="I161" i="46"/>
  <c r="L160" i="46"/>
  <c r="I160" i="46"/>
  <c r="L159" i="46"/>
  <c r="I159" i="46"/>
  <c r="L158" i="46"/>
  <c r="I158" i="46"/>
  <c r="L157" i="46"/>
  <c r="I157" i="46"/>
  <c r="L156" i="46"/>
  <c r="I156" i="46"/>
  <c r="L155" i="46"/>
  <c r="I155" i="46"/>
  <c r="L154" i="46"/>
  <c r="I154" i="46"/>
  <c r="L153" i="46"/>
  <c r="I153" i="46"/>
  <c r="L152" i="46"/>
  <c r="I152" i="46"/>
  <c r="L151" i="46"/>
  <c r="I151" i="46"/>
  <c r="L150" i="46"/>
  <c r="I150" i="46"/>
  <c r="L149" i="46"/>
  <c r="I149" i="46"/>
  <c r="L148" i="46"/>
  <c r="I148" i="46"/>
  <c r="L147" i="46"/>
  <c r="I147" i="46"/>
  <c r="L146" i="46"/>
  <c r="I146" i="46"/>
  <c r="L145" i="46"/>
  <c r="I145" i="46"/>
  <c r="L144" i="46"/>
  <c r="I144" i="46"/>
  <c r="L143" i="46"/>
  <c r="I143" i="46"/>
  <c r="L142" i="46"/>
  <c r="I142" i="46"/>
  <c r="L141" i="46"/>
  <c r="I141" i="46"/>
  <c r="L140" i="46"/>
  <c r="I140" i="46"/>
  <c r="L139" i="46"/>
  <c r="I139" i="46"/>
  <c r="L138" i="46"/>
  <c r="I138" i="46"/>
  <c r="L137" i="46"/>
  <c r="I137" i="46"/>
  <c r="L136" i="46"/>
  <c r="I136" i="46"/>
  <c r="L135" i="46"/>
  <c r="I135" i="46"/>
  <c r="L134" i="46"/>
  <c r="I134" i="46"/>
  <c r="L133" i="46"/>
  <c r="I133" i="46"/>
  <c r="L132" i="46"/>
  <c r="I132" i="46"/>
  <c r="L131" i="46"/>
  <c r="I131" i="46"/>
  <c r="L130" i="46"/>
  <c r="I130" i="46"/>
  <c r="L129" i="46"/>
  <c r="I129" i="46"/>
  <c r="L128" i="46"/>
  <c r="I128" i="46"/>
  <c r="L127" i="46"/>
  <c r="I127" i="46"/>
  <c r="L126" i="46"/>
  <c r="I126" i="46"/>
  <c r="L125" i="46"/>
  <c r="I125" i="46"/>
  <c r="L124" i="46"/>
  <c r="I124" i="46"/>
  <c r="L123" i="46"/>
  <c r="I123" i="46"/>
  <c r="L122" i="46"/>
  <c r="I122" i="46"/>
  <c r="L121" i="46"/>
  <c r="I121" i="46"/>
  <c r="L120" i="46"/>
  <c r="I120" i="46"/>
  <c r="L119" i="46"/>
  <c r="I119" i="46"/>
  <c r="L118" i="46"/>
  <c r="I118" i="46"/>
  <c r="L117" i="46"/>
  <c r="I117" i="46"/>
  <c r="L116" i="46"/>
  <c r="I116" i="46"/>
  <c r="L115" i="46"/>
  <c r="I115" i="46"/>
  <c r="L114" i="46"/>
  <c r="I114" i="46"/>
  <c r="L113" i="46"/>
  <c r="I113" i="46"/>
  <c r="L112" i="46"/>
  <c r="I112" i="46"/>
  <c r="L111" i="46"/>
  <c r="I111" i="46"/>
  <c r="L110" i="46"/>
  <c r="I110" i="46"/>
  <c r="L109" i="46"/>
  <c r="I109" i="46"/>
  <c r="L108" i="46"/>
  <c r="I108" i="46"/>
  <c r="L107" i="46"/>
  <c r="I107" i="46"/>
  <c r="L106" i="46"/>
  <c r="I106" i="46"/>
  <c r="L105" i="46"/>
  <c r="I105" i="46"/>
  <c r="L104" i="46"/>
  <c r="I104" i="46"/>
  <c r="L103" i="46"/>
  <c r="I103" i="46"/>
  <c r="L102" i="46"/>
  <c r="I102" i="46"/>
  <c r="L101" i="46"/>
  <c r="I101" i="46"/>
  <c r="L100" i="46"/>
  <c r="I100" i="46"/>
  <c r="L99" i="46"/>
  <c r="I99" i="46"/>
  <c r="L98" i="46"/>
  <c r="I98" i="46"/>
  <c r="L97" i="46"/>
  <c r="I97" i="46"/>
  <c r="L96" i="46"/>
  <c r="I96" i="46"/>
  <c r="L95" i="46"/>
  <c r="I95" i="46"/>
  <c r="L94" i="46"/>
  <c r="I94" i="46"/>
  <c r="L93" i="46"/>
  <c r="I93" i="46"/>
  <c r="L92" i="46"/>
  <c r="I92" i="46"/>
  <c r="L91" i="46"/>
  <c r="I91" i="46"/>
  <c r="L90" i="46"/>
  <c r="I90" i="46"/>
  <c r="L89" i="46"/>
  <c r="I89" i="46"/>
  <c r="L88" i="46"/>
  <c r="I88" i="46"/>
  <c r="L87" i="46"/>
  <c r="I87" i="46"/>
  <c r="L86" i="46"/>
  <c r="I86" i="46"/>
  <c r="L85" i="46"/>
  <c r="I85" i="46"/>
  <c r="L84" i="46"/>
  <c r="I84" i="46"/>
  <c r="L83" i="46"/>
  <c r="I83" i="46"/>
  <c r="L82" i="46"/>
  <c r="I82" i="46"/>
  <c r="L81" i="46"/>
  <c r="I81" i="46"/>
  <c r="L80" i="46"/>
  <c r="I80" i="46"/>
  <c r="L79" i="46"/>
  <c r="I79" i="46"/>
  <c r="L78" i="46"/>
  <c r="I78" i="46"/>
  <c r="L77" i="46"/>
  <c r="I77" i="46"/>
  <c r="L76" i="46"/>
  <c r="I76" i="46"/>
  <c r="L75" i="46"/>
  <c r="I75" i="46"/>
  <c r="L74" i="46"/>
  <c r="I74" i="46"/>
  <c r="L73" i="46"/>
  <c r="I73" i="46"/>
  <c r="L72" i="46"/>
  <c r="I72" i="46"/>
  <c r="L71" i="46"/>
  <c r="I71" i="46"/>
  <c r="L70" i="46"/>
  <c r="I70" i="46"/>
  <c r="L69" i="46"/>
  <c r="I69" i="46"/>
  <c r="L68" i="46"/>
  <c r="I68" i="46"/>
  <c r="L67" i="46"/>
  <c r="I67" i="46"/>
  <c r="L66" i="46"/>
  <c r="I66" i="46"/>
  <c r="L65" i="46"/>
  <c r="I65" i="46"/>
  <c r="L64" i="46"/>
  <c r="I64" i="46"/>
  <c r="L63" i="46"/>
  <c r="I63" i="46"/>
  <c r="L62" i="46"/>
  <c r="I62" i="46"/>
  <c r="I60" i="46"/>
  <c r="I59" i="46"/>
  <c r="I58" i="46"/>
  <c r="L57" i="46"/>
  <c r="I57" i="46"/>
  <c r="I55" i="46"/>
  <c r="I54" i="46"/>
  <c r="L53" i="46"/>
  <c r="I53" i="46"/>
  <c r="I51" i="46"/>
  <c r="J50" i="46" s="1"/>
  <c r="I49" i="46"/>
  <c r="J48" i="46" s="1"/>
  <c r="L48" i="46"/>
  <c r="J46" i="46"/>
  <c r="I45" i="46"/>
  <c r="L44" i="46"/>
  <c r="I44" i="46"/>
  <c r="I43" i="46"/>
  <c r="I42" i="46"/>
  <c r="I41" i="46"/>
  <c r="L40" i="46"/>
  <c r="I40" i="46"/>
  <c r="I39" i="46"/>
  <c r="I38" i="46"/>
  <c r="I36" i="46"/>
  <c r="I35" i="46"/>
  <c r="L34" i="46"/>
  <c r="I34" i="46"/>
  <c r="I33" i="46"/>
  <c r="I31" i="46"/>
  <c r="I30" i="46"/>
  <c r="L29" i="46"/>
  <c r="I29" i="46"/>
  <c r="I28" i="46"/>
  <c r="L26" i="46"/>
  <c r="L25" i="46"/>
  <c r="L24" i="46"/>
  <c r="J24" i="46"/>
  <c r="L23" i="46"/>
  <c r="J23" i="46"/>
  <c r="L22" i="46"/>
  <c r="L21" i="46"/>
  <c r="J21" i="46"/>
  <c r="L20" i="46"/>
  <c r="J20" i="46"/>
  <c r="L19" i="46"/>
  <c r="J19" i="46"/>
  <c r="L18" i="46"/>
  <c r="J18" i="46"/>
  <c r="L17" i="46"/>
  <c r="J17" i="46"/>
  <c r="L16" i="46"/>
  <c r="L15" i="46"/>
  <c r="I15" i="46"/>
  <c r="J15" i="46" s="1"/>
  <c r="L14" i="46"/>
  <c r="L13" i="46"/>
  <c r="L12" i="46"/>
  <c r="I12" i="46"/>
  <c r="J12" i="46" s="1"/>
  <c r="L11" i="46"/>
  <c r="I11" i="46"/>
  <c r="J11" i="46" s="1"/>
  <c r="L9" i="46"/>
  <c r="T40" i="45"/>
  <c r="U40" i="45" s="1"/>
  <c r="Z40" i="45" s="1"/>
  <c r="T38" i="45"/>
  <c r="V38" i="45" s="1"/>
  <c r="Z38" i="45" s="1"/>
  <c r="T37" i="45"/>
  <c r="W37" i="45" s="1"/>
  <c r="Z37" i="45" s="1"/>
  <c r="M35" i="45"/>
  <c r="J25" i="45"/>
  <c r="J19" i="45"/>
  <c r="J17" i="45"/>
  <c r="J32" i="46" l="1"/>
  <c r="J37" i="46"/>
  <c r="J52" i="46"/>
  <c r="Z36" i="45"/>
  <c r="Z35" i="45" s="1"/>
  <c r="AA35" i="45" s="1"/>
  <c r="J56" i="46"/>
  <c r="J27" i="46"/>
  <c r="K24" i="43" l="1"/>
  <c r="J23" i="43" l="1"/>
  <c r="K23" i="43" s="1"/>
  <c r="H29" i="43"/>
  <c r="H26" i="43"/>
  <c r="H28" i="43"/>
  <c r="J28" i="43" l="1"/>
  <c r="K28" i="43" s="1"/>
  <c r="I28" i="43"/>
  <c r="J29" i="43"/>
  <c r="K29" i="43" s="1"/>
  <c r="I29" i="43"/>
  <c r="J26" i="43"/>
  <c r="K26" i="43" s="1"/>
  <c r="I26" i="43"/>
  <c r="J42" i="43" l="1"/>
  <c r="K42" i="43" l="1"/>
  <c r="E45" i="43"/>
  <c r="K43" i="43" l="1"/>
  <c r="Z16" i="72" l="1"/>
  <c r="G17" i="43" l="1"/>
  <c r="N17" i="85" l="1"/>
  <c r="G18" i="85" s="1"/>
  <c r="H18" i="85" s="1"/>
  <c r="N16" i="85"/>
  <c r="G17" i="85" s="1"/>
  <c r="H17" i="85" s="1"/>
  <c r="I17" i="85" l="1"/>
  <c r="J17" i="85"/>
  <c r="K17" i="85" s="1"/>
  <c r="N14" i="85"/>
  <c r="G14" i="85" s="1"/>
  <c r="N18" i="85"/>
  <c r="G19" i="85" s="1"/>
  <c r="H19" i="85" s="1"/>
  <c r="J18" i="85"/>
  <c r="K18" i="85" s="1"/>
  <c r="I18" i="85"/>
  <c r="I19" i="85" l="1"/>
  <c r="J19" i="85"/>
  <c r="K19" i="85" s="1"/>
  <c r="H14" i="85"/>
  <c r="J14" i="85" l="1"/>
  <c r="I14" i="85"/>
  <c r="K14" i="85" l="1"/>
  <c r="R34" i="72" l="1"/>
  <c r="R35" i="72"/>
  <c r="R43" i="72"/>
  <c r="R45" i="72"/>
  <c r="R37" i="72"/>
  <c r="R38" i="72"/>
  <c r="R42" i="72"/>
  <c r="H19" i="127" l="1"/>
  <c r="R18" i="72"/>
  <c r="R27" i="72"/>
  <c r="R33" i="72"/>
  <c r="R16" i="72"/>
  <c r="R44" i="72"/>
  <c r="R26" i="72"/>
  <c r="R19" i="72"/>
  <c r="R39" i="72"/>
  <c r="H18" i="127"/>
  <c r="R36" i="72"/>
  <c r="R29" i="72"/>
  <c r="R40" i="72"/>
  <c r="R41" i="72"/>
  <c r="R24" i="72"/>
  <c r="H16" i="127"/>
  <c r="R25" i="72"/>
  <c r="R22" i="72"/>
  <c r="F19" i="43"/>
  <c r="H19" i="43" s="1"/>
  <c r="I19" i="43" s="1"/>
  <c r="F20" i="43"/>
  <c r="H20" i="43" s="1"/>
  <c r="J20" i="43" s="1"/>
  <c r="K20" i="43" s="1"/>
  <c r="F18" i="43"/>
  <c r="F14" i="43"/>
  <c r="F17" i="43"/>
  <c r="H17" i="43" s="1"/>
  <c r="I17" i="43" s="1"/>
  <c r="I18" i="127" l="1"/>
  <c r="R18" i="127"/>
  <c r="I16" i="127"/>
  <c r="R16" i="127"/>
  <c r="I19" i="127"/>
  <c r="R19" i="127"/>
  <c r="I20" i="43"/>
  <c r="J19" i="43"/>
  <c r="K19" i="43" s="1"/>
  <c r="J17" i="43"/>
  <c r="K17" i="43" s="1"/>
  <c r="N15" i="85"/>
  <c r="G16" i="85" s="1"/>
  <c r="H16" i="85" l="1"/>
  <c r="G20" i="85"/>
  <c r="I16" i="85" l="1"/>
  <c r="J16" i="85"/>
  <c r="H20" i="85"/>
  <c r="G23" i="85"/>
  <c r="G24" i="85"/>
  <c r="G25" i="85"/>
  <c r="G22" i="85"/>
  <c r="G21" i="85"/>
  <c r="G26" i="85" l="1"/>
  <c r="G31" i="85" s="1"/>
  <c r="H25" i="85"/>
  <c r="J25" i="85" s="1"/>
  <c r="K25" i="85" s="1"/>
  <c r="H22" i="85"/>
  <c r="J22" i="85" s="1"/>
  <c r="K22" i="85" s="1"/>
  <c r="I20" i="85"/>
  <c r="H23" i="85"/>
  <c r="J23" i="85" s="1"/>
  <c r="K23" i="85" s="1"/>
  <c r="H21" i="85"/>
  <c r="J21" i="85" s="1"/>
  <c r="K21" i="85" s="1"/>
  <c r="H24" i="85"/>
  <c r="J24" i="85" s="1"/>
  <c r="K24" i="85" s="1"/>
  <c r="K16" i="85"/>
  <c r="J20" i="85"/>
  <c r="J26" i="85" l="1"/>
  <c r="K20" i="85"/>
  <c r="H26" i="85"/>
  <c r="H31" i="85" s="1"/>
  <c r="I31" i="85" s="1"/>
  <c r="J31" i="85" l="1"/>
  <c r="K31" i="85" s="1"/>
  <c r="K26" i="85"/>
  <c r="F16" i="43" l="1"/>
  <c r="F22" i="43" s="1"/>
  <c r="F30" i="43" s="1"/>
  <c r="F34" i="43" s="1"/>
  <c r="F41" i="43" s="1"/>
  <c r="L103" i="118" l="1"/>
  <c r="Q103" i="118" s="1"/>
  <c r="Q90" i="118"/>
  <c r="L89" i="118"/>
  <c r="L88" i="118"/>
  <c r="F45" i="43"/>
  <c r="Q88" i="118" l="1"/>
  <c r="F48" i="43"/>
  <c r="E51" i="43"/>
  <c r="E52" i="43" s="1"/>
  <c r="Q89" i="118"/>
  <c r="Q141" i="118" l="1"/>
  <c r="AA141" i="118"/>
  <c r="AG141" i="118" s="1"/>
  <c r="AI141" i="118" l="1"/>
  <c r="AN141" i="118" s="1"/>
  <c r="M20" i="123" l="1"/>
  <c r="S20" i="72"/>
  <c r="Z14" i="72"/>
  <c r="S21" i="72"/>
  <c r="S31" i="72"/>
  <c r="F14" i="127" l="1"/>
  <c r="G14" i="127" s="1"/>
  <c r="N20" i="123"/>
  <c r="Q20" i="123" s="1"/>
  <c r="R20" i="123" s="1"/>
  <c r="AD21" i="72"/>
  <c r="R31" i="72"/>
  <c r="R21" i="72"/>
  <c r="R20" i="72"/>
  <c r="AD31" i="72"/>
  <c r="G14" i="43"/>
  <c r="AD20" i="72"/>
  <c r="S30" i="72"/>
  <c r="H14" i="127"/>
  <c r="O20" i="123" l="1"/>
  <c r="I14" i="127"/>
  <c r="F15" i="127"/>
  <c r="Z15" i="72"/>
  <c r="R30" i="72"/>
  <c r="AD30" i="72"/>
  <c r="J14" i="127"/>
  <c r="H14" i="43"/>
  <c r="T20" i="123"/>
  <c r="V20" i="123" s="1"/>
  <c r="S20" i="123"/>
  <c r="P20" i="123"/>
  <c r="G16" i="43" l="1"/>
  <c r="G15" i="127"/>
  <c r="J15" i="127"/>
  <c r="H15" i="127"/>
  <c r="J14" i="43"/>
  <c r="I14" i="43"/>
  <c r="K14" i="127"/>
  <c r="R14" i="127"/>
  <c r="M17" i="127" l="1"/>
  <c r="K15" i="127"/>
  <c r="K14" i="43"/>
  <c r="I15" i="127"/>
  <c r="R15" i="127"/>
  <c r="H16" i="43"/>
  <c r="J16" i="43" l="1"/>
  <c r="I16" i="43"/>
  <c r="K16" i="43" l="1"/>
  <c r="U135" i="118" l="1"/>
  <c r="AD135" i="118" s="1"/>
  <c r="U134" i="118"/>
  <c r="AD134" i="118" s="1"/>
  <c r="U132" i="118"/>
  <c r="AD132" i="118" s="1"/>
  <c r="U131" i="118"/>
  <c r="AD131" i="118" s="1"/>
  <c r="U133" i="118"/>
  <c r="AD133" i="118" s="1"/>
  <c r="AD136" i="118" l="1"/>
  <c r="AV131" i="118" s="1"/>
  <c r="AV134" i="118" s="1"/>
  <c r="U136" i="118"/>
  <c r="AQ144" i="118" l="1"/>
  <c r="AQ129" i="118"/>
  <c r="AQ137" i="118"/>
  <c r="F101" i="132"/>
  <c r="F103" i="132" l="1"/>
  <c r="G103" i="132" s="1"/>
  <c r="G102" i="132"/>
  <c r="J99" i="132"/>
  <c r="F110" i="132"/>
  <c r="F112" i="132" s="1"/>
  <c r="J83" i="132"/>
  <c r="J91" i="132"/>
  <c r="J76" i="132"/>
  <c r="G73" i="132"/>
  <c r="G81" i="132"/>
  <c r="G89" i="132"/>
  <c r="G97" i="132"/>
  <c r="J87" i="132"/>
  <c r="G69" i="132"/>
  <c r="H69" i="132" s="1"/>
  <c r="J75" i="132"/>
  <c r="G80" i="132"/>
  <c r="J84" i="132"/>
  <c r="J92" i="132"/>
  <c r="J69" i="132"/>
  <c r="N68" i="132"/>
  <c r="G74" i="132"/>
  <c r="G82" i="132"/>
  <c r="G90" i="132"/>
  <c r="G98" i="132"/>
  <c r="G92" i="132"/>
  <c r="G93" i="132"/>
  <c r="J73" i="132"/>
  <c r="G86" i="132"/>
  <c r="G95" i="132"/>
  <c r="J77" i="132"/>
  <c r="J85" i="132"/>
  <c r="J93" i="132"/>
  <c r="J70" i="132"/>
  <c r="G75" i="132"/>
  <c r="G83" i="132"/>
  <c r="G91" i="132"/>
  <c r="G99" i="132"/>
  <c r="G84" i="132"/>
  <c r="J79" i="132"/>
  <c r="J72" i="132"/>
  <c r="G85" i="132"/>
  <c r="J96" i="132"/>
  <c r="G94" i="132"/>
  <c r="G71" i="132"/>
  <c r="G87" i="132"/>
  <c r="G72" i="132"/>
  <c r="J78" i="132"/>
  <c r="J86" i="132"/>
  <c r="J94" i="132"/>
  <c r="J71" i="132"/>
  <c r="G76" i="132"/>
  <c r="J95" i="132"/>
  <c r="G77" i="132"/>
  <c r="J88" i="132"/>
  <c r="G78" i="132"/>
  <c r="J89" i="132"/>
  <c r="G79" i="132"/>
  <c r="J82" i="132"/>
  <c r="G88" i="132"/>
  <c r="J74" i="132"/>
  <c r="J80" i="132"/>
  <c r="G70" i="132"/>
  <c r="J81" i="132"/>
  <c r="J90" i="132"/>
  <c r="G96" i="132"/>
  <c r="L95" i="132" l="1"/>
  <c r="L88" i="132"/>
  <c r="L72" i="132"/>
  <c r="L92" i="132"/>
  <c r="L81" i="132"/>
  <c r="L78" i="132"/>
  <c r="L79" i="132"/>
  <c r="L85" i="132"/>
  <c r="L84" i="132"/>
  <c r="L89" i="132"/>
  <c r="L77" i="132"/>
  <c r="L90" i="132"/>
  <c r="H70" i="132"/>
  <c r="H71" i="132" s="1"/>
  <c r="H72" i="132" s="1"/>
  <c r="H73" i="132" s="1"/>
  <c r="H74" i="132" s="1"/>
  <c r="H75" i="132" s="1"/>
  <c r="H76" i="132" s="1"/>
  <c r="H77" i="132" s="1"/>
  <c r="H78" i="132" s="1"/>
  <c r="H79" i="132" s="1"/>
  <c r="H80" i="132" s="1"/>
  <c r="H81" i="132" s="1"/>
  <c r="H82" i="132" s="1"/>
  <c r="H83" i="132" s="1"/>
  <c r="H84" i="132" s="1"/>
  <c r="H85" i="132" s="1"/>
  <c r="H86" i="132" s="1"/>
  <c r="H87" i="132" s="1"/>
  <c r="H88" i="132" s="1"/>
  <c r="H89" i="132" s="1"/>
  <c r="H90" i="132" s="1"/>
  <c r="H91" i="132" s="1"/>
  <c r="H92" i="132" s="1"/>
  <c r="H93" i="132" s="1"/>
  <c r="H94" i="132" s="1"/>
  <c r="H95" i="132" s="1"/>
  <c r="L99" i="132"/>
  <c r="L93" i="132"/>
  <c r="L75" i="132"/>
  <c r="L76" i="132"/>
  <c r="L74" i="132"/>
  <c r="L87" i="132"/>
  <c r="L91" i="132"/>
  <c r="G101" i="132"/>
  <c r="L83" i="132"/>
  <c r="L86" i="132"/>
  <c r="L80" i="132"/>
  <c r="L82" i="132"/>
  <c r="L71" i="132"/>
  <c r="L96" i="132"/>
  <c r="L94" i="132"/>
  <c r="L70" i="132"/>
  <c r="L73" i="132"/>
  <c r="L69" i="132"/>
  <c r="K69" i="132"/>
  <c r="H96" i="132" l="1"/>
  <c r="H97" i="132" s="1"/>
  <c r="H98" i="132" s="1"/>
  <c r="H99" i="132" s="1"/>
  <c r="M69" i="132"/>
  <c r="N69" i="132"/>
  <c r="K70" i="132"/>
  <c r="M70" i="132" l="1"/>
  <c r="K71" i="132"/>
  <c r="M71" i="132" l="1"/>
  <c r="K72" i="132"/>
  <c r="M72" i="132" l="1"/>
  <c r="K73" i="132"/>
  <c r="M73" i="132" l="1"/>
  <c r="K74" i="132"/>
  <c r="M74" i="132" l="1"/>
  <c r="K75" i="132"/>
  <c r="M75" i="132" l="1"/>
  <c r="K76" i="132"/>
  <c r="M76" i="132" l="1"/>
  <c r="K77" i="132"/>
  <c r="M77" i="132" l="1"/>
  <c r="K78" i="132"/>
  <c r="M78" i="132" l="1"/>
  <c r="K79" i="132"/>
  <c r="M79" i="132" l="1"/>
  <c r="K80" i="132"/>
  <c r="M80" i="132" l="1"/>
  <c r="K81" i="132"/>
  <c r="M81" i="132" l="1"/>
  <c r="K82" i="132"/>
  <c r="M82" i="132" l="1"/>
  <c r="K83" i="132"/>
  <c r="M83" i="132" l="1"/>
  <c r="K84" i="132"/>
  <c r="M84" i="132" l="1"/>
  <c r="K85" i="132"/>
  <c r="M85" i="132" l="1"/>
  <c r="K86" i="132"/>
  <c r="K87" i="132" l="1"/>
  <c r="M86" i="132"/>
  <c r="K88" i="132" l="1"/>
  <c r="M87" i="132"/>
  <c r="M88" i="132" l="1"/>
  <c r="K89" i="132"/>
  <c r="M89" i="132" l="1"/>
  <c r="K90" i="132"/>
  <c r="M90" i="132" l="1"/>
  <c r="K91" i="132"/>
  <c r="M91" i="132" l="1"/>
  <c r="K92" i="132"/>
  <c r="M92" i="132" l="1"/>
  <c r="K93" i="132"/>
  <c r="M93" i="132" l="1"/>
  <c r="K94" i="132"/>
  <c r="K95" i="132" l="1"/>
  <c r="M95" i="132" s="1"/>
  <c r="M94" i="132"/>
  <c r="K96" i="132"/>
  <c r="M96" i="132" l="1"/>
  <c r="F500" i="131" l="1"/>
  <c r="F503" i="131"/>
  <c r="F491" i="131"/>
  <c r="F508" i="131"/>
  <c r="F502" i="131"/>
  <c r="F497" i="131"/>
  <c r="F486" i="131"/>
  <c r="F591" i="131" l="1"/>
  <c r="F583" i="131"/>
  <c r="F496" i="131"/>
  <c r="F480" i="131"/>
  <c r="F569" i="131"/>
  <c r="F594" i="131" l="1"/>
  <c r="F540" i="131" l="1"/>
  <c r="F533" i="131"/>
  <c r="F17" i="127" l="1"/>
  <c r="Z17" i="72"/>
  <c r="AA21" i="72" l="1"/>
  <c r="G18" i="43"/>
  <c r="Z21" i="72"/>
  <c r="J17" i="127"/>
  <c r="P46" i="72"/>
  <c r="G17" i="127"/>
  <c r="F13" i="127"/>
  <c r="H17" i="127"/>
  <c r="M46" i="72"/>
  <c r="AB21" i="72" l="1"/>
  <c r="I17" i="127"/>
  <c r="R17" i="127"/>
  <c r="H13" i="127"/>
  <c r="H18" i="43"/>
  <c r="G22" i="43"/>
  <c r="R46" i="72"/>
  <c r="G13" i="127"/>
  <c r="S90" i="118"/>
  <c r="K17" i="127"/>
  <c r="J13" i="127"/>
  <c r="I18" i="43" l="1"/>
  <c r="J18" i="43"/>
  <c r="H22" i="43"/>
  <c r="AA90" i="118"/>
  <c r="I13" i="127"/>
  <c r="R13" i="127"/>
  <c r="K13" i="127"/>
  <c r="N13" i="127"/>
  <c r="O13" i="127" s="1"/>
  <c r="S88" i="118"/>
  <c r="Y90" i="118"/>
  <c r="Y88" i="118" l="1"/>
  <c r="AA88" i="118"/>
  <c r="I22" i="43"/>
  <c r="K22" i="43" s="1"/>
  <c r="K18" i="43"/>
  <c r="J22" i="43"/>
  <c r="AI90" i="118"/>
  <c r="AG90" i="118"/>
  <c r="AN90" i="118" s="1"/>
  <c r="AI88" i="118" l="1"/>
  <c r="AG88" i="118"/>
  <c r="F18" i="133" l="1"/>
  <c r="N25" i="123"/>
  <c r="O25" i="123" s="1"/>
  <c r="M25" i="123"/>
  <c r="M258" i="123" s="1"/>
  <c r="F32" i="127"/>
  <c r="F31" i="127" s="1"/>
  <c r="Q25" i="123" l="1"/>
  <c r="F21" i="127"/>
  <c r="S94" i="118"/>
  <c r="G31" i="127"/>
  <c r="F41" i="127"/>
  <c r="I98" i="132" s="1"/>
  <c r="L258" i="123"/>
  <c r="M268" i="123"/>
  <c r="Z21" i="123"/>
  <c r="M265" i="123"/>
  <c r="P25" i="123"/>
  <c r="O258" i="123"/>
  <c r="H32" i="127"/>
  <c r="G32" i="127"/>
  <c r="Y14" i="123"/>
  <c r="Y21" i="123" s="1"/>
  <c r="AA21" i="123" l="1"/>
  <c r="I101" i="132"/>
  <c r="J98" i="132"/>
  <c r="L98" i="132" s="1"/>
  <c r="R25" i="123"/>
  <c r="M259" i="123"/>
  <c r="M260" i="123"/>
  <c r="M261" i="123"/>
  <c r="O261" i="123" s="1"/>
  <c r="R261" i="123" s="1"/>
  <c r="N258" i="123"/>
  <c r="N269" i="123" s="1"/>
  <c r="O269" i="123" s="1"/>
  <c r="P265" i="123"/>
  <c r="I32" i="127"/>
  <c r="H31" i="127"/>
  <c r="D76" i="127"/>
  <c r="F81" i="127"/>
  <c r="F77" i="127"/>
  <c r="G41" i="127"/>
  <c r="F85" i="127"/>
  <c r="F86" i="127" s="1"/>
  <c r="I83" i="127"/>
  <c r="N43" i="127"/>
  <c r="F70" i="127"/>
  <c r="G70" i="127" s="1"/>
  <c r="F78" i="127"/>
  <c r="Y94" i="118"/>
  <c r="AA94" i="118"/>
  <c r="S91" i="118"/>
  <c r="G21" i="127"/>
  <c r="F74" i="127"/>
  <c r="H74" i="127" s="1"/>
  <c r="O260" i="123" l="1"/>
  <c r="R260" i="123" s="1"/>
  <c r="S98" i="118"/>
  <c r="G25" i="43"/>
  <c r="R258" i="123"/>
  <c r="S25" i="123"/>
  <c r="J32" i="127"/>
  <c r="AG94" i="118"/>
  <c r="AI94" i="118"/>
  <c r="AN94" i="118" s="1"/>
  <c r="Y91" i="118"/>
  <c r="AA91" i="118"/>
  <c r="S89" i="118"/>
  <c r="H21" i="127"/>
  <c r="I31" i="127"/>
  <c r="H41" i="127"/>
  <c r="J31" i="127"/>
  <c r="R31" i="127" s="1"/>
  <c r="J97" i="132"/>
  <c r="O259" i="123"/>
  <c r="S101" i="118"/>
  <c r="AQ101" i="118" s="1"/>
  <c r="M262" i="123"/>
  <c r="L262" i="123" s="1"/>
  <c r="H25" i="43" l="1"/>
  <c r="AA98" i="118"/>
  <c r="Y98" i="118"/>
  <c r="G27" i="43"/>
  <c r="H27" i="43" s="1"/>
  <c r="K32" i="127"/>
  <c r="R32" i="127"/>
  <c r="T258" i="123"/>
  <c r="X258" i="123" s="1"/>
  <c r="S265" i="123"/>
  <c r="R268" i="123"/>
  <c r="Q258" i="123"/>
  <c r="S258" i="123"/>
  <c r="O268" i="123"/>
  <c r="R259" i="123"/>
  <c r="R262" i="123" s="1"/>
  <c r="O262" i="123"/>
  <c r="AP141" i="118"/>
  <c r="AA89" i="118"/>
  <c r="Y89" i="118"/>
  <c r="AG91" i="118"/>
  <c r="AI91" i="118"/>
  <c r="AN91" i="118" s="1"/>
  <c r="S97" i="118"/>
  <c r="AA101" i="118"/>
  <c r="Y101" i="118"/>
  <c r="J21" i="127"/>
  <c r="K21" i="127" s="1"/>
  <c r="I21" i="127"/>
  <c r="K97" i="132"/>
  <c r="L97" i="132"/>
  <c r="I103" i="132"/>
  <c r="J103" i="132" s="1"/>
  <c r="J41" i="127"/>
  <c r="R41" i="127" s="1"/>
  <c r="K31" i="127"/>
  <c r="H70" i="127"/>
  <c r="I70" i="127" s="1"/>
  <c r="I105" i="132"/>
  <c r="J105" i="132" s="1"/>
  <c r="I41" i="127"/>
  <c r="I27" i="43" l="1"/>
  <c r="J27" i="43"/>
  <c r="K27" i="43" s="1"/>
  <c r="AG98" i="118"/>
  <c r="AI98" i="118"/>
  <c r="AN98" i="118" s="1"/>
  <c r="G30" i="43"/>
  <c r="G34" i="43" s="1"/>
  <c r="G41" i="43" s="1"/>
  <c r="J25" i="43"/>
  <c r="I25" i="43"/>
  <c r="H30" i="43"/>
  <c r="R21" i="127"/>
  <c r="Y97" i="118"/>
  <c r="S103" i="118"/>
  <c r="Y103" i="118" s="1"/>
  <c r="M97" i="132"/>
  <c r="K98" i="132"/>
  <c r="AI89" i="118"/>
  <c r="AG89" i="118"/>
  <c r="K41" i="127"/>
  <c r="N41" i="127"/>
  <c r="N42" i="127" s="1"/>
  <c r="J70" i="127"/>
  <c r="D77" i="127"/>
  <c r="N262" i="123"/>
  <c r="W262" i="123"/>
  <c r="X262" i="123" s="1"/>
  <c r="AQ98" i="118"/>
  <c r="AQ97" i="118"/>
  <c r="AA97" i="118"/>
  <c r="AG101" i="118"/>
  <c r="AI101" i="118"/>
  <c r="S262" i="123"/>
  <c r="S270" i="123"/>
  <c r="Q262" i="123"/>
  <c r="K25" i="43" l="1"/>
  <c r="J30" i="43"/>
  <c r="G45" i="43"/>
  <c r="H41" i="43"/>
  <c r="I30" i="43"/>
  <c r="H34" i="43"/>
  <c r="I34" i="43" s="1"/>
  <c r="K34" i="43" s="1"/>
  <c r="AG97" i="118"/>
  <c r="AP97" i="118"/>
  <c r="AA103" i="118"/>
  <c r="K99" i="132"/>
  <c r="M98" i="132"/>
  <c r="AN101" i="118"/>
  <c r="AI97" i="118"/>
  <c r="AN97" i="118" s="1"/>
  <c r="K70" i="127"/>
  <c r="J73" i="127"/>
  <c r="J41" i="43" l="1"/>
  <c r="H45" i="43"/>
  <c r="I41" i="43"/>
  <c r="N45" i="43" s="1"/>
  <c r="K30" i="43"/>
  <c r="J34" i="43"/>
  <c r="G48" i="43"/>
  <c r="F51" i="43"/>
  <c r="F52" i="43" s="1"/>
  <c r="M99" i="132"/>
  <c r="J101" i="132"/>
  <c r="AG103" i="118"/>
  <c r="AI103" i="118"/>
  <c r="AN103" i="118" s="1"/>
  <c r="H48" i="43" l="1"/>
  <c r="G51" i="43"/>
  <c r="G52" i="43" s="1"/>
  <c r="I45" i="43"/>
  <c r="J45" i="43"/>
  <c r="K41" i="43"/>
  <c r="N41" i="43" s="1"/>
  <c r="K45" i="43" l="1"/>
  <c r="J48" i="4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JOHN EDISON</author>
  </authors>
  <commentList>
    <comment ref="D68" authorId="0" shapeId="0" xr:uid="{00000000-0006-0000-0400-000001000000}">
      <text>
        <r>
          <rPr>
            <b/>
            <sz val="9"/>
            <color indexed="81"/>
            <rFont val="Tahoma"/>
            <family val="2"/>
          </rPr>
          <t>JOHN EDISON:</t>
        </r>
        <r>
          <rPr>
            <sz val="9"/>
            <color indexed="81"/>
            <rFont val="Tahoma"/>
            <family val="2"/>
          </rPr>
          <t xml:space="preserve">
MAYOR METRADO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 EDISON</author>
  </authors>
  <commentList>
    <comment ref="I13" authorId="0" shapeId="0" xr:uid="{00000000-0006-0000-0500-000001000000}">
      <text>
        <r>
          <rPr>
            <b/>
            <sz val="9"/>
            <color indexed="81"/>
            <rFont val="Tahoma"/>
            <family val="2"/>
          </rPr>
          <t>JOHN EDISON:</t>
        </r>
        <r>
          <rPr>
            <sz val="9"/>
            <color indexed="81"/>
            <rFont val="Tahoma"/>
            <family val="2"/>
          </rPr>
          <t xml:space="preserve">
MAYORES METRADOS
</t>
        </r>
      </text>
    </comment>
    <comment ref="J13" authorId="0" shapeId="0" xr:uid="{00000000-0006-0000-0500-000002000000}">
      <text>
        <r>
          <rPr>
            <b/>
            <sz val="9"/>
            <color indexed="81"/>
            <rFont val="Tahoma"/>
            <family val="2"/>
          </rPr>
          <t>JOHN EDISON:</t>
        </r>
        <r>
          <rPr>
            <sz val="9"/>
            <color indexed="81"/>
            <rFont val="Tahoma"/>
            <family val="2"/>
          </rPr>
          <t xml:space="preserve">
MM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 EDISON</author>
    <author>ADDERLY</author>
  </authors>
  <commentList>
    <comment ref="P13" authorId="0" shapeId="0" xr:uid="{00000000-0006-0000-0600-000001000000}">
      <text>
        <r>
          <rPr>
            <b/>
            <sz val="9"/>
            <color indexed="81"/>
            <rFont val="Tahoma"/>
            <family val="2"/>
          </rPr>
          <t>JOHN EDISON:</t>
        </r>
        <r>
          <rPr>
            <sz val="9"/>
            <color indexed="81"/>
            <rFont val="Tahoma"/>
            <family val="2"/>
          </rPr>
          <t xml:space="preserve">
ojo con almacen</t>
        </r>
      </text>
    </comment>
    <comment ref="S13" authorId="1" shapeId="0" xr:uid="{00000000-0006-0000-0600-000002000000}">
      <text>
        <r>
          <rPr>
            <b/>
            <sz val="9"/>
            <color indexed="81"/>
            <rFont val="Tahoma"/>
            <family val="2"/>
          </rPr>
          <t>ADDERLY:</t>
        </r>
        <r>
          <rPr>
            <sz val="9"/>
            <color indexed="81"/>
            <rFont val="Tahoma"/>
            <family val="2"/>
          </rPr>
          <t xml:space="preserve">
HORMIGON 14 M3
</t>
        </r>
      </text>
    </comment>
    <comment ref="D17" authorId="0" shapeId="0" xr:uid="{00000000-0006-0000-0600-000003000000}">
      <text>
        <r>
          <rPr>
            <b/>
            <sz val="9"/>
            <color indexed="81"/>
            <rFont val="Tahoma"/>
            <family val="2"/>
          </rPr>
          <t>JOHN EDISON:</t>
        </r>
        <r>
          <rPr>
            <sz val="9"/>
            <color indexed="81"/>
            <rFont val="Tahoma"/>
            <family val="2"/>
          </rPr>
          <t xml:space="preserve">
26 bollsas 
2 m3 de piedra grande
2.5 m3 de hormigon
2 m3 de piedra chacada 3/4"</t>
        </r>
      </text>
    </comment>
    <comment ref="I17" authorId="0" shapeId="0" xr:uid="{00000000-0006-0000-0600-000004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R17" authorId="0" shapeId="0" xr:uid="{00000000-0006-0000-0600-000005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U17" authorId="0" shapeId="0" xr:uid="{00000000-0006-0000-0600-000006000000}">
      <text>
        <r>
          <rPr>
            <b/>
            <sz val="9"/>
            <color indexed="81"/>
            <rFont val="Tahoma"/>
            <family val="2"/>
          </rPr>
          <t>JOHN EDISON:</t>
        </r>
        <r>
          <rPr>
            <sz val="9"/>
            <color indexed="81"/>
            <rFont val="Tahoma"/>
            <family val="2"/>
          </rPr>
          <t xml:space="preserve">
16 bolsas 
1.3 m3 piedra grande
0.53 m3 de hormigon
1.26m3 hormigon
1.26 m3 hormigon
</t>
        </r>
      </text>
    </comment>
    <comment ref="V17" authorId="0" shapeId="0" xr:uid="{00000000-0006-0000-0600-000007000000}">
      <text>
        <r>
          <rPr>
            <b/>
            <sz val="9"/>
            <color indexed="81"/>
            <rFont val="Tahoma"/>
            <family val="2"/>
          </rPr>
          <t>JOHN EDISON:</t>
        </r>
        <r>
          <rPr>
            <sz val="9"/>
            <color indexed="81"/>
            <rFont val="Tahoma"/>
            <family val="2"/>
          </rPr>
          <t xml:space="preserve">
13 bolsas 
1. m3 piedra grande
0.27 m3 de hormigon
1.m3 hormigon
1. m3 hormigon
</t>
        </r>
      </text>
    </comment>
    <comment ref="W17" authorId="0" shapeId="0" xr:uid="{00000000-0006-0000-0600-000008000000}">
      <text>
        <r>
          <rPr>
            <b/>
            <sz val="9"/>
            <color indexed="81"/>
            <rFont val="Tahoma"/>
            <family val="2"/>
          </rPr>
          <t>JOHN EDISON:
VACIADO DE FALSA ZAPATA TRAMO 31 Y 32 Y VACIADO F.Z TRAMO 09 Y 10</t>
        </r>
        <r>
          <rPr>
            <sz val="9"/>
            <color indexed="81"/>
            <rFont val="Tahoma"/>
            <family val="2"/>
          </rPr>
          <t xml:space="preserve">
56 bolsas 
4 m3 piedra grande
0.62 m3 hormigon
4 m3 arena gruesa
4 m3 piedra chancada 3/4" </t>
        </r>
      </text>
    </comment>
    <comment ref="X17" authorId="0" shapeId="0" xr:uid="{00000000-0006-0000-0600-000009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Y17" authorId="0" shapeId="0" xr:uid="{00000000-0006-0000-0600-00000A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AB17" authorId="0" shapeId="0" xr:uid="{00000000-0006-0000-0600-00000B000000}">
      <text>
        <r>
          <rPr>
            <b/>
            <sz val="9"/>
            <color indexed="81"/>
            <rFont val="Tahoma"/>
            <family val="2"/>
          </rPr>
          <t>JOHN EDISON:</t>
        </r>
        <r>
          <rPr>
            <sz val="9"/>
            <color indexed="81"/>
            <rFont val="Tahoma"/>
            <family val="2"/>
          </rPr>
          <t xml:space="preserve">
12 bolsas 
1.13 m3 piedra grande
0.63 m3 hormigon
1 m3 arena gruesa
1m3 piedra chancada 3/4"</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Full name</author>
  </authors>
  <commentList>
    <comment ref="G98" authorId="0" shapeId="0" xr:uid="{00000000-0006-0000-0800-000001000000}">
      <text>
        <r>
          <rPr>
            <b/>
            <sz val="9"/>
            <color indexed="81"/>
            <rFont val="Tahoma"/>
            <family val="2"/>
          </rPr>
          <t>Full name:</t>
        </r>
        <r>
          <rPr>
            <sz val="9"/>
            <color indexed="81"/>
            <rFont val="Tahoma"/>
            <family val="2"/>
          </rPr>
          <t xml:space="preserve">
ESTA LAS SUMA DE LOS GASTOS GENERALES DE LA AMPLIACION PRESUPEUSTAL DEL COVID MAS LA AMPLIACION 3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Full name</author>
  </authors>
  <commentList>
    <comment ref="AF58" authorId="0" shapeId="0" xr:uid="{00000000-0006-0000-0D00-000001000000}">
      <text>
        <r>
          <rPr>
            <b/>
            <sz val="9"/>
            <color indexed="81"/>
            <rFont val="Tahoma"/>
            <family val="2"/>
          </rPr>
          <t>Full name:</t>
        </r>
        <r>
          <rPr>
            <sz val="9"/>
            <color indexed="81"/>
            <rFont val="Tahoma"/>
            <family val="2"/>
          </rPr>
          <t xml:space="preserve">
ACTUALIZADO MANO DE OBRA DEL ANTERIOR ACUMULADO DE MARZO-2021</t>
        </r>
      </text>
    </comment>
    <comment ref="AF59" authorId="0" shapeId="0" xr:uid="{00000000-0006-0000-0D00-000002000000}">
      <text>
        <r>
          <rPr>
            <b/>
            <sz val="9"/>
            <color indexed="81"/>
            <rFont val="Tahoma"/>
            <family val="2"/>
          </rPr>
          <t>Full name:</t>
        </r>
        <r>
          <rPr>
            <sz val="9"/>
            <color indexed="81"/>
            <rFont val="Tahoma"/>
            <family val="2"/>
          </rPr>
          <t xml:space="preserve">
ACTUALIZADO MANO DE OBRA DE ACUERDO AL ANTERIOR ACUMULADO DE MARZO DEL 2021</t>
        </r>
      </text>
    </comment>
    <comment ref="AF60" authorId="0" shapeId="0" xr:uid="{00000000-0006-0000-0D00-000003000000}">
      <text>
        <r>
          <rPr>
            <b/>
            <sz val="9"/>
            <color indexed="81"/>
            <rFont val="Tahoma"/>
            <family val="2"/>
          </rPr>
          <t>Full name:</t>
        </r>
        <r>
          <rPr>
            <sz val="9"/>
            <color indexed="81"/>
            <rFont val="Tahoma"/>
            <family val="2"/>
          </rPr>
          <t xml:space="preserve">
ACTUALIZADO DE ACUERDO A LA MANO DE OBRA, SEGÚN ANTERIOR ACUMULADO DE MARZO 2021</t>
        </r>
      </text>
    </comment>
    <comment ref="AF61" authorId="0" shapeId="0" xr:uid="{00000000-0006-0000-0D00-000004000000}">
      <text>
        <r>
          <rPr>
            <b/>
            <sz val="9"/>
            <color indexed="81"/>
            <rFont val="Tahoma"/>
            <family val="2"/>
          </rPr>
          <t>Full name:</t>
        </r>
        <r>
          <rPr>
            <sz val="9"/>
            <color indexed="81"/>
            <rFont val="Tahoma"/>
            <family val="2"/>
          </rPr>
          <t xml:space="preserve">
ACTUALIZADO SEGÚN MANO DE OBRA, SE REFLEJA EN EL ANTERIOR ACUMULADO DE MARZO 2021</t>
        </r>
      </text>
    </comment>
    <comment ref="AF62" authorId="0" shapeId="0" xr:uid="{00000000-0006-0000-0D00-000005000000}">
      <text>
        <r>
          <rPr>
            <b/>
            <sz val="9"/>
            <color indexed="81"/>
            <rFont val="Tahoma"/>
            <family val="2"/>
          </rPr>
          <t>Full name:</t>
        </r>
        <r>
          <rPr>
            <sz val="9"/>
            <color indexed="81"/>
            <rFont val="Tahoma"/>
            <family val="2"/>
          </rPr>
          <t xml:space="preserve">
MONTO DE LA ACTUALIZACION DE LA MANO DE OBRA, SEGÚN ANTERIOR ACUMULADO DE MARZO 2021</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ADDERLY</author>
    <author>JOHN EDISON</author>
  </authors>
  <commentList>
    <comment ref="AD32" authorId="0" shapeId="0" xr:uid="{00000000-0006-0000-0F00-000001000000}">
      <text>
        <r>
          <rPr>
            <b/>
            <sz val="9"/>
            <color indexed="81"/>
            <rFont val="Tahoma"/>
            <family val="2"/>
          </rPr>
          <t>ADDERLY:</t>
        </r>
        <r>
          <rPr>
            <sz val="9"/>
            <color indexed="81"/>
            <rFont val="Tahoma"/>
            <family val="2"/>
          </rPr>
          <t xml:space="preserve">
dar salida a cinta de eguridad 
</t>
        </r>
      </text>
    </comment>
    <comment ref="AG106" authorId="0" shapeId="0" xr:uid="{00000000-0006-0000-0F00-000002000000}">
      <text>
        <r>
          <rPr>
            <b/>
            <sz val="9"/>
            <color indexed="81"/>
            <rFont val="Tahoma"/>
            <family val="2"/>
          </rPr>
          <t>ADDERLY:</t>
        </r>
        <r>
          <rPr>
            <sz val="9"/>
            <color indexed="81"/>
            <rFont val="Tahoma"/>
            <family val="2"/>
          </rPr>
          <t xml:space="preserve">
30 VARILLAS DE 1/2"
</t>
        </r>
      </text>
    </comment>
    <comment ref="Q108" authorId="1" shapeId="0" xr:uid="{00000000-0006-0000-0F00-000003000000}">
      <text>
        <r>
          <rPr>
            <b/>
            <sz val="9"/>
            <color indexed="81"/>
            <rFont val="Tahoma"/>
            <family val="2"/>
          </rPr>
          <t>JOHN EDISON:</t>
        </r>
        <r>
          <rPr>
            <sz val="9"/>
            <color indexed="81"/>
            <rFont val="Tahoma"/>
            <family val="2"/>
          </rPr>
          <t xml:space="preserve">
3 columnas
</t>
        </r>
      </text>
    </comment>
    <comment ref="AE153" authorId="0" shapeId="0" xr:uid="{00000000-0006-0000-0F00-000004000000}">
      <text>
        <r>
          <rPr>
            <b/>
            <sz val="9"/>
            <color indexed="81"/>
            <rFont val="Tahoma"/>
            <family val="2"/>
          </rPr>
          <t>ADDERLY:</t>
        </r>
        <r>
          <rPr>
            <sz val="9"/>
            <color indexed="81"/>
            <rFont val="Tahoma"/>
            <family val="2"/>
          </rPr>
          <t xml:space="preserve">
45 VARILLAS DE 1/2"</t>
        </r>
      </text>
    </comment>
    <comment ref="Q156" authorId="1" shapeId="0" xr:uid="{00000000-0006-0000-0F00-000005000000}">
      <text>
        <r>
          <rPr>
            <b/>
            <sz val="9"/>
            <color indexed="81"/>
            <rFont val="Tahoma"/>
            <family val="2"/>
          </rPr>
          <t>JOHN EDISON:</t>
        </r>
        <r>
          <rPr>
            <sz val="9"/>
            <color indexed="81"/>
            <rFont val="Tahoma"/>
            <family val="2"/>
          </rPr>
          <t xml:space="preserve">
2 ucolumnas
</t>
        </r>
      </text>
    </comment>
    <comment ref="O157" authorId="0" shapeId="0" xr:uid="{00000000-0006-0000-0F00-000006000000}">
      <text>
        <r>
          <rPr>
            <b/>
            <sz val="9"/>
            <color indexed="81"/>
            <rFont val="Tahoma"/>
            <family val="2"/>
          </rPr>
          <t>ADDERLY:</t>
        </r>
        <r>
          <rPr>
            <sz val="9"/>
            <color indexed="81"/>
            <rFont val="Tahoma"/>
            <family val="2"/>
          </rPr>
          <t xml:space="preserve">
4 COLUMNAS BLOQUE 03
</t>
        </r>
      </text>
    </comment>
    <comment ref="P157" authorId="0" shapeId="0" xr:uid="{00000000-0006-0000-0F00-000007000000}">
      <text>
        <r>
          <rPr>
            <b/>
            <sz val="9"/>
            <color indexed="81"/>
            <rFont val="Tahoma"/>
            <family val="2"/>
          </rPr>
          <t>ADDERLY:</t>
        </r>
        <r>
          <rPr>
            <sz val="9"/>
            <color indexed="81"/>
            <rFont val="Tahoma"/>
            <family val="2"/>
          </rPr>
          <t xml:space="preserve">
4 COLUMNAS BLOQUE 03
</t>
        </r>
      </text>
    </comment>
    <comment ref="Q157" authorId="0" shapeId="0" xr:uid="{00000000-0006-0000-0F00-000008000000}">
      <text>
        <r>
          <rPr>
            <b/>
            <sz val="9"/>
            <color indexed="81"/>
            <rFont val="Tahoma"/>
            <family val="2"/>
          </rPr>
          <t>ADDERLY:</t>
        </r>
        <r>
          <rPr>
            <sz val="9"/>
            <color indexed="81"/>
            <rFont val="Tahoma"/>
            <family val="2"/>
          </rPr>
          <t xml:space="preserve">
TRES COLUMNAS BLOQUE 03
</t>
        </r>
      </text>
    </comment>
    <comment ref="W235" authorId="1" shapeId="0" xr:uid="{00000000-0006-0000-0F00-000009000000}">
      <text>
        <r>
          <rPr>
            <b/>
            <sz val="9"/>
            <color indexed="81"/>
            <rFont val="Tahoma"/>
            <family val="2"/>
          </rPr>
          <t>JOHN EDISON:</t>
        </r>
        <r>
          <rPr>
            <sz val="9"/>
            <color indexed="81"/>
            <rFont val="Tahoma"/>
            <family val="2"/>
          </rPr>
          <t xml:space="preserve">
VACIADO DE ZAPATA TRAMO 31 Y 32
</t>
        </r>
      </text>
    </comment>
    <comment ref="AA235" authorId="1" shapeId="0" xr:uid="{00000000-0006-0000-0F00-00000A000000}">
      <text>
        <r>
          <rPr>
            <b/>
            <sz val="9"/>
            <color indexed="81"/>
            <rFont val="Tahoma"/>
            <family val="2"/>
          </rPr>
          <t>JOHN EDISON:</t>
        </r>
        <r>
          <rPr>
            <sz val="9"/>
            <color indexed="81"/>
            <rFont val="Tahoma"/>
            <family val="2"/>
          </rPr>
          <t xml:space="preserve">
VACIADO DE ZAPATA TRAMO 11 Y 12</t>
        </r>
      </text>
    </comment>
    <comment ref="AD235" authorId="1" shapeId="0" xr:uid="{00000000-0006-0000-0F00-00000B000000}">
      <text>
        <r>
          <rPr>
            <b/>
            <sz val="9"/>
            <color indexed="81"/>
            <rFont val="Tahoma"/>
            <family val="2"/>
          </rPr>
          <t>JOHN EDISON:</t>
        </r>
        <r>
          <rPr>
            <sz val="9"/>
            <color indexed="81"/>
            <rFont val="Tahoma"/>
            <family val="2"/>
          </rPr>
          <t xml:space="preserve">
VACIADO DE ZAPATAS DE MUROS 14 Y 15
</t>
        </r>
      </text>
    </comment>
    <comment ref="AB246" authorId="1" shapeId="0" xr:uid="{00000000-0006-0000-0F00-00000C000000}">
      <text>
        <r>
          <rPr>
            <b/>
            <sz val="9"/>
            <color indexed="81"/>
            <rFont val="Tahoma"/>
            <family val="2"/>
          </rPr>
          <t>JOHN EDISON:</t>
        </r>
        <r>
          <rPr>
            <sz val="9"/>
            <color indexed="81"/>
            <rFont val="Tahoma"/>
            <family val="2"/>
          </rPr>
          <t xml:space="preserve">
VACIADO DE SOBRECIMIENTO REFORZADO TRA 01 AL 10</t>
        </r>
      </text>
    </comment>
    <comment ref="AD256" authorId="1" shapeId="0" xr:uid="{00000000-0006-0000-0F00-00000D000000}">
      <text>
        <r>
          <rPr>
            <b/>
            <sz val="9"/>
            <color indexed="81"/>
            <rFont val="Tahoma"/>
            <family val="2"/>
          </rPr>
          <t>JOHN EDISON:</t>
        </r>
        <r>
          <rPr>
            <sz val="9"/>
            <color indexed="81"/>
            <rFont val="Tahoma"/>
            <family val="2"/>
          </rPr>
          <t xml:space="preserve">
MURO PANTALLA 28, 29 Y 30
</t>
        </r>
      </text>
    </comment>
    <comment ref="M267" authorId="0" shapeId="0" xr:uid="{00000000-0006-0000-0F00-00000E000000}">
      <text>
        <r>
          <rPr>
            <b/>
            <sz val="9"/>
            <color indexed="81"/>
            <rFont val="Tahoma"/>
            <family val="2"/>
          </rPr>
          <t>ADDERLY:</t>
        </r>
        <r>
          <rPr>
            <sz val="9"/>
            <color indexed="81"/>
            <rFont val="Tahoma"/>
            <family val="2"/>
          </rPr>
          <t xml:space="preserve">
VACIAR ZAPATA LONG.9.30</t>
        </r>
      </text>
    </comment>
    <comment ref="O267" authorId="0" shapeId="0" xr:uid="{00000000-0006-0000-0F00-00000F000000}">
      <text>
        <r>
          <rPr>
            <b/>
            <sz val="9"/>
            <color indexed="81"/>
            <rFont val="Tahoma"/>
            <family val="2"/>
          </rPr>
          <t>ADDERLY:</t>
        </r>
        <r>
          <rPr>
            <sz val="9"/>
            <color indexed="81"/>
            <rFont val="Tahoma"/>
            <family val="2"/>
          </rPr>
          <t xml:space="preserve">
VACIADO DE ZAPATA DE CC 9
</t>
        </r>
      </text>
    </comment>
    <comment ref="P267" authorId="0" shapeId="0" xr:uid="{00000000-0006-0000-0F00-000010000000}">
      <text>
        <r>
          <rPr>
            <b/>
            <sz val="9"/>
            <color indexed="81"/>
            <rFont val="Tahoma"/>
            <family val="2"/>
          </rPr>
          <t>ADDERLY:</t>
        </r>
        <r>
          <rPr>
            <sz val="9"/>
            <color indexed="81"/>
            <rFont val="Tahoma"/>
            <family val="2"/>
          </rPr>
          <t xml:space="preserve">
CUERPO DEL CC
LONGITUD DE 9.30 ML</t>
        </r>
      </text>
    </comment>
    <comment ref="R267" authorId="1" shapeId="0" xr:uid="{00000000-0006-0000-0F00-000011000000}">
      <text>
        <r>
          <rPr>
            <b/>
            <sz val="9"/>
            <color indexed="81"/>
            <rFont val="Tahoma"/>
            <family val="2"/>
          </rPr>
          <t>JOHN EDISON:</t>
        </r>
        <r>
          <rPr>
            <sz val="9"/>
            <color indexed="81"/>
            <rFont val="Tahoma"/>
            <family val="2"/>
          </rPr>
          <t xml:space="preserve">
VACIADO DEL CERCO PERIMETRICO DEL 04 AL 06
Y ZAPATA DEL CP 07 Y 08
</t>
        </r>
      </text>
    </comment>
    <comment ref="T267" authorId="1" shapeId="0" xr:uid="{00000000-0006-0000-0F00-000012000000}">
      <text>
        <r>
          <rPr>
            <b/>
            <sz val="9"/>
            <color indexed="81"/>
            <rFont val="Tahoma"/>
            <family val="2"/>
          </rPr>
          <t>JOHN EDISON:</t>
        </r>
        <r>
          <rPr>
            <sz val="9"/>
            <color indexed="81"/>
            <rFont val="Tahoma"/>
            <family val="2"/>
          </rPr>
          <t xml:space="preserve">
VACIADO DE ZAPATA DEL CERCO PERIMETRICO DEL 07 AL 08</t>
        </r>
      </text>
    </comment>
    <comment ref="U267" authorId="1" shapeId="0" xr:uid="{00000000-0006-0000-0F00-000013000000}">
      <text>
        <r>
          <rPr>
            <b/>
            <sz val="9"/>
            <color indexed="81"/>
            <rFont val="Tahoma"/>
            <family val="2"/>
          </rPr>
          <t>JOHN EDISON:</t>
        </r>
        <r>
          <rPr>
            <sz val="9"/>
            <color indexed="81"/>
            <rFont val="Tahoma"/>
            <family val="2"/>
          </rPr>
          <t xml:space="preserve">
VACIADO DE MURO CONTENCION 07 Y 08
Y ZAPATA DEL TRAMO 09Y 10
</t>
        </r>
      </text>
    </comment>
    <comment ref="M268" authorId="1" shapeId="0" xr:uid="{00000000-0006-0000-0F00-000014000000}">
      <text>
        <r>
          <rPr>
            <b/>
            <sz val="9"/>
            <color indexed="81"/>
            <rFont val="Tahoma"/>
            <family val="2"/>
          </rPr>
          <t>JOHN EDISON:</t>
        </r>
        <r>
          <rPr>
            <sz val="9"/>
            <color indexed="81"/>
            <rFont val="Tahoma"/>
            <family val="2"/>
          </rPr>
          <t xml:space="preserve">
ENCOFRADO DE ZAPATAS TRAMO 01 AL 03</t>
        </r>
      </text>
    </comment>
    <comment ref="O268" authorId="0" shapeId="0" xr:uid="{00000000-0006-0000-0F00-000015000000}">
      <text>
        <r>
          <rPr>
            <b/>
            <sz val="9"/>
            <color indexed="81"/>
            <rFont val="Tahoma"/>
            <family val="2"/>
          </rPr>
          <t>ADDERLY:</t>
        </r>
        <r>
          <rPr>
            <sz val="9"/>
            <color indexed="81"/>
            <rFont val="Tahoma"/>
            <family val="2"/>
          </rPr>
          <t xml:space="preserve">
ENCOFRADO DE CERCO PERIMETRICO Y ZAPATA DE CERCO PERIMETRICO
</t>
        </r>
      </text>
    </comment>
    <comment ref="Q268" authorId="1" shapeId="0" xr:uid="{00000000-0006-0000-0F00-000016000000}">
      <text>
        <r>
          <rPr>
            <b/>
            <sz val="9"/>
            <color indexed="81"/>
            <rFont val="Tahoma"/>
            <family val="2"/>
          </rPr>
          <t>JOHN EDISON:</t>
        </r>
        <r>
          <rPr>
            <sz val="9"/>
            <color indexed="81"/>
            <rFont val="Tahoma"/>
            <family val="2"/>
          </rPr>
          <t xml:space="preserve">
ENCOFRADO PANTALLA TRAMO 04 AL 06
Y ENCOFRADO DE MURO ZAPATA 07 Y 08
</t>
        </r>
      </text>
    </comment>
    <comment ref="W268" authorId="1" shapeId="0" xr:uid="{00000000-0006-0000-0F00-000017000000}">
      <text>
        <r>
          <rPr>
            <b/>
            <sz val="9"/>
            <color indexed="81"/>
            <rFont val="Tahoma"/>
            <family val="2"/>
          </rPr>
          <t>JOHN EDISON:</t>
        </r>
        <r>
          <rPr>
            <sz val="9"/>
            <color indexed="81"/>
            <rFont val="Tahoma"/>
            <family val="2"/>
          </rPr>
          <t xml:space="preserve">
ENCOFRADO DE MURO DE CONTENCION TRAMO 09 Y 10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 EDISON</author>
  </authors>
  <commentList>
    <comment ref="S107" authorId="0" shapeId="0" xr:uid="{00000000-0006-0000-1100-000001000000}">
      <text>
        <r>
          <rPr>
            <b/>
            <sz val="9"/>
            <color indexed="81"/>
            <rFont val="Tahoma"/>
            <family val="2"/>
          </rPr>
          <t>JOHN EDISON:</t>
        </r>
        <r>
          <rPr>
            <sz val="9"/>
            <color indexed="81"/>
            <rFont val="Tahoma"/>
            <family val="2"/>
          </rPr>
          <t xml:space="preserve">
NO COLOCAR CANTIDAD EN CO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 EDISON</author>
    <author>ADDERLY</author>
  </authors>
  <commentList>
    <comment ref="M14" authorId="0" shapeId="0" xr:uid="{00000000-0006-0000-1300-000001000000}">
      <text>
        <r>
          <rPr>
            <b/>
            <sz val="9"/>
            <color indexed="81"/>
            <rFont val="Tahoma"/>
            <family val="2"/>
          </rPr>
          <t>revisar entrada</t>
        </r>
      </text>
    </comment>
    <comment ref="N14" authorId="0" shapeId="0" xr:uid="{00000000-0006-0000-1300-000002000000}">
      <text>
        <r>
          <rPr>
            <b/>
            <sz val="9"/>
            <color indexed="81"/>
            <rFont val="Tahoma"/>
            <family val="2"/>
          </rPr>
          <t>revisar entrada</t>
        </r>
      </text>
    </comment>
    <comment ref="P14" authorId="0" shapeId="0" xr:uid="{00000000-0006-0000-1300-000003000000}">
      <text>
        <r>
          <rPr>
            <b/>
            <sz val="9"/>
            <color indexed="81"/>
            <rFont val="Tahoma"/>
            <family val="2"/>
          </rPr>
          <t xml:space="preserve">
</t>
        </r>
      </text>
    </comment>
    <comment ref="S14" authorId="1" shapeId="0" xr:uid="{00000000-0006-0000-1300-000004000000}">
      <text>
        <r>
          <rPr>
            <b/>
            <sz val="9"/>
            <color indexed="81"/>
            <rFont val="Tahoma"/>
            <family val="2"/>
          </rPr>
          <t>ADDERLY:</t>
        </r>
        <r>
          <rPr>
            <sz val="9"/>
            <color indexed="81"/>
            <rFont val="Tahoma"/>
            <family val="2"/>
          </rPr>
          <t xml:space="preserve">
HORMIGON 14 M3
</t>
        </r>
      </text>
    </comment>
    <comment ref="U25" authorId="0" shapeId="0" xr:uid="{00000000-0006-0000-1300-000005000000}">
      <text>
        <r>
          <rPr>
            <b/>
            <sz val="9"/>
            <color indexed="81"/>
            <rFont val="Tahoma"/>
            <family val="2"/>
          </rPr>
          <t>JOHN EDISON:</t>
        </r>
        <r>
          <rPr>
            <sz val="9"/>
            <color indexed="81"/>
            <rFont val="Tahoma"/>
            <family val="2"/>
          </rPr>
          <t xml:space="preserve">
VERIFICAR</t>
        </r>
      </text>
    </comment>
    <comment ref="AB25" authorId="0" shapeId="0" xr:uid="{00000000-0006-0000-1300-000006000000}">
      <text>
        <r>
          <rPr>
            <b/>
            <sz val="9"/>
            <color indexed="81"/>
            <rFont val="Tahoma"/>
            <family val="2"/>
          </rPr>
          <t>VERIFICAR METRADO DE ACERO</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 EDISON</author>
    <author>ADDERLY</author>
  </authors>
  <commentList>
    <comment ref="M30" authorId="0" shapeId="0" xr:uid="{00000000-0006-0000-1400-000001000000}">
      <text>
        <r>
          <rPr>
            <b/>
            <sz val="9"/>
            <color indexed="81"/>
            <rFont val="Tahoma"/>
            <family val="2"/>
          </rPr>
          <t>JOHN EDISON:</t>
        </r>
        <r>
          <rPr>
            <sz val="9"/>
            <color indexed="81"/>
            <rFont val="Tahoma"/>
            <family val="2"/>
          </rPr>
          <t xml:space="preserve">
5 casco de compra con caja chica</t>
        </r>
      </text>
    </comment>
    <comment ref="I104" authorId="0" shapeId="0" xr:uid="{00000000-0006-0000-1400-000002000000}">
      <text>
        <r>
          <rPr>
            <b/>
            <sz val="9"/>
            <color indexed="81"/>
            <rFont val="Tahoma"/>
            <family val="2"/>
          </rPr>
          <t>JOHN EDISON:</t>
        </r>
        <r>
          <rPr>
            <sz val="9"/>
            <color indexed="81"/>
            <rFont val="Tahoma"/>
            <family val="2"/>
          </rPr>
          <t xml:space="preserve">
1.66 m3 arena gruesa
2.15 m3 piedra chancada 3/4"</t>
        </r>
      </text>
    </comment>
    <comment ref="AG106" authorId="1" shapeId="0" xr:uid="{00000000-0006-0000-1400-000003000000}">
      <text>
        <r>
          <rPr>
            <b/>
            <sz val="9"/>
            <color indexed="81"/>
            <rFont val="Tahoma"/>
            <family val="2"/>
          </rPr>
          <t>ADDERLY:</t>
        </r>
        <r>
          <rPr>
            <sz val="9"/>
            <color indexed="81"/>
            <rFont val="Tahoma"/>
            <family val="2"/>
          </rPr>
          <t xml:space="preserve">
30 VARILLAS DE 1/2"
</t>
        </r>
      </text>
    </comment>
    <comment ref="Q108" authorId="0" shapeId="0" xr:uid="{00000000-0006-0000-1400-000004000000}">
      <text>
        <r>
          <rPr>
            <b/>
            <sz val="9"/>
            <color indexed="81"/>
            <rFont val="Tahoma"/>
            <family val="2"/>
          </rPr>
          <t>JOHN EDISON:</t>
        </r>
        <r>
          <rPr>
            <sz val="9"/>
            <color indexed="81"/>
            <rFont val="Tahoma"/>
            <family val="2"/>
          </rPr>
          <t xml:space="preserve">
3 columnas
1.48 m3 arena gruesa
1.92 m3 piedra chancada 1/2"</t>
        </r>
      </text>
    </comment>
    <comment ref="T108" authorId="0" shapeId="0" xr:uid="{00000000-0006-0000-1400-000005000000}">
      <text>
        <r>
          <rPr>
            <b/>
            <sz val="9"/>
            <color indexed="81"/>
            <rFont val="Tahoma"/>
            <family val="2"/>
          </rPr>
          <t>JOHN EDISON:</t>
        </r>
        <r>
          <rPr>
            <sz val="9"/>
            <color indexed="81"/>
            <rFont val="Tahoma"/>
            <family val="2"/>
          </rPr>
          <t xml:space="preserve">
1.11 m3 arena gruesa
1.44 m3 piedra chancada 1/2"</t>
        </r>
      </text>
    </comment>
    <comment ref="G152" authorId="0" shapeId="0" xr:uid="{00000000-0006-0000-1400-000006000000}">
      <text>
        <r>
          <rPr>
            <b/>
            <sz val="9"/>
            <color indexed="81"/>
            <rFont val="Tahoma"/>
            <family val="2"/>
          </rPr>
          <t>JOHN EDISON:</t>
        </r>
        <r>
          <rPr>
            <sz val="9"/>
            <color indexed="81"/>
            <rFont val="Tahoma"/>
            <family val="2"/>
          </rPr>
          <t xml:space="preserve">
1.64 m3 arena gruesa
2.13 m3 piedra chancada </t>
        </r>
      </text>
    </comment>
    <comment ref="AE153" authorId="1" shapeId="0" xr:uid="{00000000-0006-0000-1400-000007000000}">
      <text>
        <r>
          <rPr>
            <b/>
            <sz val="9"/>
            <color indexed="81"/>
            <rFont val="Tahoma"/>
            <family val="2"/>
          </rPr>
          <t>ADDERLY:</t>
        </r>
        <r>
          <rPr>
            <sz val="9"/>
            <color indexed="81"/>
            <rFont val="Tahoma"/>
            <family val="2"/>
          </rPr>
          <t xml:space="preserve">
45 VARILLAS DE 1/2"</t>
        </r>
      </text>
    </comment>
    <comment ref="P156" authorId="0" shapeId="0" xr:uid="{00000000-0006-0000-1400-000008000000}">
      <text>
        <r>
          <rPr>
            <b/>
            <sz val="9"/>
            <color indexed="81"/>
            <rFont val="Tahoma"/>
            <family val="2"/>
          </rPr>
          <t>JOHN EDISON:</t>
        </r>
        <r>
          <rPr>
            <sz val="9"/>
            <color indexed="81"/>
            <rFont val="Tahoma"/>
            <family val="2"/>
          </rPr>
          <t xml:space="preserve">
1.46 m3 arena gruesa
1.91 m3 piedra chancada </t>
        </r>
      </text>
    </comment>
    <comment ref="Q156" authorId="0" shapeId="0" xr:uid="{00000000-0006-0000-1400-000009000000}">
      <text>
        <r>
          <rPr>
            <b/>
            <sz val="9"/>
            <color indexed="81"/>
            <rFont val="Tahoma"/>
            <family val="2"/>
          </rPr>
          <t>JOHN EDISON:</t>
        </r>
        <r>
          <rPr>
            <sz val="9"/>
            <color indexed="81"/>
            <rFont val="Tahoma"/>
            <family val="2"/>
          </rPr>
          <t xml:space="preserve">
2 ucolumnas
0.57 m3 arena gruesa
0.74 m3 piedra chancada </t>
        </r>
      </text>
    </comment>
    <comment ref="X156" authorId="0" shapeId="0" xr:uid="{00000000-0006-0000-1400-00000A000000}">
      <text>
        <r>
          <rPr>
            <b/>
            <sz val="9"/>
            <color indexed="81"/>
            <rFont val="Tahoma"/>
            <family val="2"/>
          </rPr>
          <t>JOHN EDISON:</t>
        </r>
        <r>
          <rPr>
            <sz val="9"/>
            <color indexed="81"/>
            <rFont val="Tahoma"/>
            <family val="2"/>
          </rPr>
          <t xml:space="preserve">
0.04 m3 arena gruesa
0.06 m3 piedra chandada</t>
        </r>
      </text>
    </comment>
    <comment ref="O157" authorId="1" shapeId="0" xr:uid="{00000000-0006-0000-1400-00000B000000}">
      <text>
        <r>
          <rPr>
            <b/>
            <sz val="9"/>
            <color indexed="81"/>
            <rFont val="Tahoma"/>
            <family val="2"/>
          </rPr>
          <t>ADDERLY:</t>
        </r>
        <r>
          <rPr>
            <sz val="9"/>
            <color indexed="81"/>
            <rFont val="Tahoma"/>
            <family val="2"/>
          </rPr>
          <t xml:space="preserve">
4 COLUMNAS BLOQUE 03
</t>
        </r>
      </text>
    </comment>
    <comment ref="P157" authorId="1" shapeId="0" xr:uid="{00000000-0006-0000-1400-00000C000000}">
      <text>
        <r>
          <rPr>
            <b/>
            <sz val="9"/>
            <color indexed="81"/>
            <rFont val="Tahoma"/>
            <family val="2"/>
          </rPr>
          <t>ADDERLY:</t>
        </r>
        <r>
          <rPr>
            <sz val="9"/>
            <color indexed="81"/>
            <rFont val="Tahoma"/>
            <family val="2"/>
          </rPr>
          <t xml:space="preserve">
4 COLUMNAS BLOQUE 03
</t>
        </r>
      </text>
    </comment>
    <comment ref="Q157" authorId="1" shapeId="0" xr:uid="{00000000-0006-0000-1400-00000D000000}">
      <text>
        <r>
          <rPr>
            <b/>
            <sz val="9"/>
            <color indexed="81"/>
            <rFont val="Tahoma"/>
            <family val="2"/>
          </rPr>
          <t>ADDERLY:</t>
        </r>
        <r>
          <rPr>
            <sz val="9"/>
            <color indexed="81"/>
            <rFont val="Tahoma"/>
            <family val="2"/>
          </rPr>
          <t xml:space="preserve">
TRES COLUMNAS BLOQUE 03
</t>
        </r>
      </text>
    </comment>
    <comment ref="W164" authorId="0" shapeId="0" xr:uid="{00000000-0006-0000-1400-00000E000000}">
      <text>
        <r>
          <rPr>
            <b/>
            <sz val="9"/>
            <color indexed="81"/>
            <rFont val="Tahoma"/>
            <family val="2"/>
          </rPr>
          <t>JOHN EDISON:</t>
        </r>
        <r>
          <rPr>
            <sz val="9"/>
            <color indexed="81"/>
            <rFont val="Tahoma"/>
            <family val="2"/>
          </rPr>
          <t xml:space="preserve">
0.29 m3 arena gruesa 
0.37 m3 piedra chancada</t>
        </r>
      </text>
    </comment>
    <comment ref="W235" authorId="0" shapeId="0" xr:uid="{00000000-0006-0000-1400-00000F000000}">
      <text>
        <r>
          <rPr>
            <b/>
            <sz val="9"/>
            <color indexed="81"/>
            <rFont val="Tahoma"/>
            <family val="2"/>
          </rPr>
          <t>JOHN EDISON:</t>
        </r>
        <r>
          <rPr>
            <sz val="9"/>
            <color indexed="81"/>
            <rFont val="Tahoma"/>
            <family val="2"/>
          </rPr>
          <t xml:space="preserve">
VACIADO DE ZAPATA TRAMO 31 Y 32
0.68 m3 arena gruesa
0.90 m3 piedra chancada</t>
        </r>
      </text>
    </comment>
    <comment ref="AA235" authorId="0" shapeId="0" xr:uid="{00000000-0006-0000-1400-000010000000}">
      <text>
        <r>
          <rPr>
            <b/>
            <sz val="9"/>
            <color indexed="81"/>
            <rFont val="Tahoma"/>
            <family val="2"/>
          </rPr>
          <t>JOHN EDISON:</t>
        </r>
        <r>
          <rPr>
            <sz val="9"/>
            <color indexed="81"/>
            <rFont val="Tahoma"/>
            <family val="2"/>
          </rPr>
          <t xml:space="preserve">
VACIADO DE ZAPATA TRAMO 11 Y 12
1.22 m3 arena gruesa
1.64 m3 piedra chancada 1/2"</t>
        </r>
      </text>
    </comment>
    <comment ref="AD235" authorId="0" shapeId="0" xr:uid="{00000000-0006-0000-1400-000011000000}">
      <text>
        <r>
          <rPr>
            <b/>
            <sz val="9"/>
            <color indexed="81"/>
            <rFont val="Tahoma"/>
            <family val="2"/>
          </rPr>
          <t>JOHN EDISON:</t>
        </r>
        <r>
          <rPr>
            <sz val="9"/>
            <color indexed="81"/>
            <rFont val="Tahoma"/>
            <family val="2"/>
          </rPr>
          <t xml:space="preserve">
VACIADO DE ZAPATAS DE MUROS 13,14 
0.95 m3 arena gruesa
1.26 m3 piedra chancada 1/2"
</t>
        </r>
      </text>
    </comment>
    <comment ref="AB246" authorId="0" shapeId="0" xr:uid="{00000000-0006-0000-1400-000012000000}">
      <text>
        <r>
          <rPr>
            <b/>
            <sz val="9"/>
            <color indexed="81"/>
            <rFont val="Tahoma"/>
            <family val="2"/>
          </rPr>
          <t>JOHN EDISON:</t>
        </r>
        <r>
          <rPr>
            <sz val="9"/>
            <color indexed="81"/>
            <rFont val="Tahoma"/>
            <family val="2"/>
          </rPr>
          <t xml:space="preserve">
VACIADO DE SOBRECIMIENTO REFORZADO TRA 01 AL 10
0.62 m3 arena gruesa
0.83 piedra chancada</t>
        </r>
      </text>
    </comment>
    <comment ref="AB256" authorId="0" shapeId="0" xr:uid="{00000000-0006-0000-1400-000013000000}">
      <text>
        <r>
          <rPr>
            <b/>
            <sz val="9"/>
            <color indexed="81"/>
            <rFont val="Tahoma"/>
            <family val="2"/>
          </rPr>
          <t>JOHN EDISON:</t>
        </r>
        <r>
          <rPr>
            <sz val="9"/>
            <color indexed="81"/>
            <rFont val="Tahoma"/>
            <family val="2"/>
          </rPr>
          <t xml:space="preserve">
VACIADO DE ZAPATAS DE TRAMO 28,29 Y 30
2.20 m3 arena gruesa
2.86 m3 piedra chancada</t>
        </r>
      </text>
    </comment>
    <comment ref="AD256" authorId="0" shapeId="0" xr:uid="{00000000-0006-0000-1400-000014000000}">
      <text>
        <r>
          <rPr>
            <b/>
            <sz val="9"/>
            <color indexed="81"/>
            <rFont val="Tahoma"/>
            <family val="2"/>
          </rPr>
          <t>JOHN EDISON:</t>
        </r>
        <r>
          <rPr>
            <sz val="9"/>
            <color indexed="81"/>
            <rFont val="Tahoma"/>
            <family val="2"/>
          </rPr>
          <t xml:space="preserve">
MURO PANTALLA 28, 29 Y 30
2.41 m3 arena gruesa
3.14 m3 piedra chancada</t>
        </r>
      </text>
    </comment>
    <comment ref="M267" authorId="1" shapeId="0" xr:uid="{00000000-0006-0000-1400-000015000000}">
      <text>
        <r>
          <rPr>
            <b/>
            <sz val="9"/>
            <color indexed="81"/>
            <rFont val="Tahoma"/>
            <family val="2"/>
          </rPr>
          <t>ADDERLY:</t>
        </r>
        <r>
          <rPr>
            <sz val="9"/>
            <color indexed="81"/>
            <rFont val="Tahoma"/>
            <family val="2"/>
          </rPr>
          <t xml:space="preserve">
VACIAR ZAPATA LONG.9.30
2.12 m3 arena gruesa
2.85 m3 piedra chancada</t>
        </r>
      </text>
    </comment>
    <comment ref="O267" authorId="1" shapeId="0" xr:uid="{00000000-0006-0000-1400-000016000000}">
      <text>
        <r>
          <rPr>
            <b/>
            <sz val="9"/>
            <color indexed="81"/>
            <rFont val="Tahoma"/>
            <family val="2"/>
          </rPr>
          <t>ADDERLY:</t>
        </r>
        <r>
          <rPr>
            <sz val="9"/>
            <color indexed="81"/>
            <rFont val="Tahoma"/>
            <family val="2"/>
          </rPr>
          <t xml:space="preserve">
VACIADO DE ZAPATA DE CC 9
2.15 m3 arena gruesa
2.87 m3 piedra chanchada</t>
        </r>
      </text>
    </comment>
    <comment ref="P267" authorId="1" shapeId="0" xr:uid="{00000000-0006-0000-1400-000017000000}">
      <text>
        <r>
          <rPr>
            <b/>
            <sz val="9"/>
            <color indexed="81"/>
            <rFont val="Tahoma"/>
            <family val="2"/>
          </rPr>
          <t>ADDERLY:</t>
        </r>
        <r>
          <rPr>
            <sz val="9"/>
            <color indexed="81"/>
            <rFont val="Tahoma"/>
            <family val="2"/>
          </rPr>
          <t xml:space="preserve">
CUERPO DEL CC
LONGITUD DE 9.30 ML
2.35 m3 arena gruesa
3.15 m3 piedra chancada</t>
        </r>
      </text>
    </comment>
    <comment ref="R267" authorId="0" shapeId="0" xr:uid="{00000000-0006-0000-1400-000018000000}">
      <text>
        <r>
          <rPr>
            <b/>
            <sz val="9"/>
            <color indexed="81"/>
            <rFont val="Tahoma"/>
            <family val="2"/>
          </rPr>
          <t>JOHN EDISON:</t>
        </r>
        <r>
          <rPr>
            <sz val="9"/>
            <color indexed="81"/>
            <rFont val="Tahoma"/>
            <family val="2"/>
          </rPr>
          <t xml:space="preserve">
VACIADO DEL CERCO PERIMETRICO DEL 04 AL 06
Y ZAPATA DEL CP 07 Y 08
3.07 m3 arena gruesa
4.11 m3 piedra chancada 
</t>
        </r>
      </text>
    </comment>
    <comment ref="T267" authorId="0" shapeId="0" xr:uid="{00000000-0006-0000-1400-000019000000}">
      <text>
        <r>
          <rPr>
            <b/>
            <sz val="9"/>
            <color indexed="81"/>
            <rFont val="Tahoma"/>
            <family val="2"/>
          </rPr>
          <t>JOHN EDISON:</t>
        </r>
        <r>
          <rPr>
            <sz val="9"/>
            <color indexed="81"/>
            <rFont val="Tahoma"/>
            <family val="2"/>
          </rPr>
          <t xml:space="preserve">
VACIADO DE ZAPATA DEL CERCO PERIMETRICO DEL 07 AL 08
0.72 m3 arena gruesa
0.96 m3 piedra chancada</t>
        </r>
      </text>
    </comment>
    <comment ref="U267" authorId="0" shapeId="0" xr:uid="{00000000-0006-0000-1400-00001A000000}">
      <text>
        <r>
          <rPr>
            <b/>
            <sz val="9"/>
            <color indexed="81"/>
            <rFont val="Tahoma"/>
            <family val="2"/>
          </rPr>
          <t>JOHN EDISON:</t>
        </r>
        <r>
          <rPr>
            <sz val="9"/>
            <color indexed="81"/>
            <rFont val="Tahoma"/>
            <family val="2"/>
          </rPr>
          <t xml:space="preserve">
VACIADO DE MURO CONTENCION 07 Y 08
Y ZAPATA DEL TRAMO 09Y 10
3.32 m3 arena gruesa
4.44 piedra chancada</t>
        </r>
      </text>
    </comment>
    <comment ref="X267" authorId="0" shapeId="0" xr:uid="{00000000-0006-0000-1400-00001B000000}">
      <text>
        <r>
          <rPr>
            <b/>
            <sz val="9"/>
            <color indexed="81"/>
            <rFont val="Tahoma"/>
            <family val="2"/>
          </rPr>
          <t>JOHN EDISON:</t>
        </r>
        <r>
          <rPr>
            <sz val="9"/>
            <color indexed="81"/>
            <rFont val="Tahoma"/>
            <family val="2"/>
          </rPr>
          <t xml:space="preserve">
1.91 m3 arena gruesa
2.56 m3 piedra chancada</t>
        </r>
      </text>
    </comment>
    <comment ref="M268" authorId="0" shapeId="0" xr:uid="{00000000-0006-0000-1400-00001C000000}">
      <text>
        <r>
          <rPr>
            <b/>
            <sz val="9"/>
            <color indexed="81"/>
            <rFont val="Tahoma"/>
            <family val="2"/>
          </rPr>
          <t>JOHN EDISON:</t>
        </r>
        <r>
          <rPr>
            <sz val="9"/>
            <color indexed="81"/>
            <rFont val="Tahoma"/>
            <family val="2"/>
          </rPr>
          <t xml:space="preserve">
ENCOFRADO DE ZAPATAS TRAMO 01 AL 03</t>
        </r>
      </text>
    </comment>
    <comment ref="O268" authorId="1" shapeId="0" xr:uid="{00000000-0006-0000-1400-00001D000000}">
      <text>
        <r>
          <rPr>
            <b/>
            <sz val="9"/>
            <color indexed="81"/>
            <rFont val="Tahoma"/>
            <family val="2"/>
          </rPr>
          <t>ADDERLY:</t>
        </r>
        <r>
          <rPr>
            <sz val="9"/>
            <color indexed="81"/>
            <rFont val="Tahoma"/>
            <family val="2"/>
          </rPr>
          <t xml:space="preserve">
ENCOFRADO DE CERCO PERIMETRICO Y ZAPATA DE CERCO PERIMETRICO
</t>
        </r>
      </text>
    </comment>
    <comment ref="Q268" authorId="0" shapeId="0" xr:uid="{00000000-0006-0000-1400-00001E000000}">
      <text>
        <r>
          <rPr>
            <b/>
            <sz val="9"/>
            <color indexed="81"/>
            <rFont val="Tahoma"/>
            <family val="2"/>
          </rPr>
          <t>JOHN EDISON:</t>
        </r>
        <r>
          <rPr>
            <sz val="9"/>
            <color indexed="81"/>
            <rFont val="Tahoma"/>
            <family val="2"/>
          </rPr>
          <t xml:space="preserve">
ENCOFRADO PANTALLA TRAMO 04 AL 06
Y ENCOFRADO DE MURO ZAPATA 07 Y 08
</t>
        </r>
      </text>
    </comment>
    <comment ref="W268" authorId="0" shapeId="0" xr:uid="{00000000-0006-0000-1400-00001F000000}">
      <text>
        <r>
          <rPr>
            <b/>
            <sz val="9"/>
            <color indexed="81"/>
            <rFont val="Tahoma"/>
            <family val="2"/>
          </rPr>
          <t>JOHN EDISON:</t>
        </r>
        <r>
          <rPr>
            <sz val="9"/>
            <color indexed="81"/>
            <rFont val="Tahoma"/>
            <family val="2"/>
          </rPr>
          <t xml:space="preserve">
ENCOFRADO DE MURO DE CONTENCION TRAMO 09 Y 10</t>
        </r>
      </text>
    </comment>
    <comment ref="AD708" authorId="1" shapeId="0" xr:uid="{00000000-0006-0000-1400-000020000000}">
      <text>
        <r>
          <rPr>
            <b/>
            <sz val="9"/>
            <color indexed="81"/>
            <rFont val="Tahoma"/>
            <family val="2"/>
          </rPr>
          <t>ADDERLY:</t>
        </r>
        <r>
          <rPr>
            <sz val="9"/>
            <color indexed="81"/>
            <rFont val="Tahoma"/>
            <family val="2"/>
          </rPr>
          <t xml:space="preserve">
dar salida a cinta de eguridad 
</t>
        </r>
      </text>
    </comment>
    <comment ref="I780" authorId="0" shapeId="0" xr:uid="{00000000-0006-0000-1400-000021000000}">
      <text>
        <r>
          <rPr>
            <b/>
            <sz val="9"/>
            <color indexed="81"/>
            <rFont val="Tahoma"/>
            <family val="2"/>
          </rPr>
          <t>JOHN EDISON:</t>
        </r>
        <r>
          <rPr>
            <sz val="9"/>
            <color indexed="81"/>
            <rFont val="Tahoma"/>
            <family val="2"/>
          </rPr>
          <t xml:space="preserve">
0.57 m3 arena gruesa
0.74 m3 piedra chancada</t>
        </r>
      </text>
    </comment>
    <comment ref="AG782" authorId="1" shapeId="0" xr:uid="{00000000-0006-0000-1400-000022000000}">
      <text>
        <r>
          <rPr>
            <b/>
            <sz val="9"/>
            <color indexed="81"/>
            <rFont val="Tahoma"/>
            <family val="2"/>
          </rPr>
          <t>ADDERLY:</t>
        </r>
        <r>
          <rPr>
            <sz val="9"/>
            <color indexed="81"/>
            <rFont val="Tahoma"/>
            <family val="2"/>
          </rPr>
          <t xml:space="preserve">
30 VARILLAS DE 1/2"
</t>
        </r>
      </text>
    </comment>
    <comment ref="G828" authorId="0" shapeId="0" xr:uid="{00000000-0006-0000-1400-000023000000}">
      <text>
        <r>
          <rPr>
            <b/>
            <sz val="9"/>
            <color indexed="81"/>
            <rFont val="Tahoma"/>
            <family val="2"/>
          </rPr>
          <t>JOHN EDISON:</t>
        </r>
        <r>
          <rPr>
            <sz val="9"/>
            <color indexed="81"/>
            <rFont val="Tahoma"/>
            <family val="2"/>
          </rPr>
          <t xml:space="preserve">
0.55 m3 arena gruesa
0.71 m3 piedra chancada</t>
        </r>
      </text>
    </comment>
    <comment ref="AE829" authorId="1" shapeId="0" xr:uid="{00000000-0006-0000-1400-000024000000}">
      <text>
        <r>
          <rPr>
            <b/>
            <sz val="9"/>
            <color indexed="81"/>
            <rFont val="Tahoma"/>
            <family val="2"/>
          </rPr>
          <t>ADDERLY:</t>
        </r>
        <r>
          <rPr>
            <sz val="9"/>
            <color indexed="81"/>
            <rFont val="Tahoma"/>
            <family val="2"/>
          </rPr>
          <t xml:space="preserve">
45 VARILLAS DE 1/2"</t>
        </r>
      </text>
    </comment>
    <comment ref="P835" authorId="0" shapeId="0" xr:uid="{00000000-0006-0000-1400-000025000000}">
      <text>
        <r>
          <rPr>
            <b/>
            <sz val="9"/>
            <color indexed="81"/>
            <rFont val="Tahoma"/>
            <family val="2"/>
          </rPr>
          <t>JOHN EDISON:</t>
        </r>
        <r>
          <rPr>
            <sz val="9"/>
            <color indexed="81"/>
            <rFont val="Tahoma"/>
            <family val="2"/>
          </rPr>
          <t xml:space="preserve">
ojo con almacen</t>
        </r>
      </text>
    </comment>
    <comment ref="S835" authorId="1" shapeId="0" xr:uid="{00000000-0006-0000-1400-000026000000}">
      <text>
        <r>
          <rPr>
            <b/>
            <sz val="9"/>
            <color indexed="81"/>
            <rFont val="Tahoma"/>
            <family val="2"/>
          </rPr>
          <t>ADDERLY:</t>
        </r>
        <r>
          <rPr>
            <sz val="9"/>
            <color indexed="81"/>
            <rFont val="Tahoma"/>
            <family val="2"/>
          </rPr>
          <t xml:space="preserve">
HORMIGON 14 M3
</t>
        </r>
      </text>
    </comment>
    <comment ref="K851" authorId="0" shapeId="0" xr:uid="{00000000-0006-0000-1400-000027000000}">
      <text>
        <r>
          <rPr>
            <b/>
            <sz val="9"/>
            <color indexed="81"/>
            <rFont val="Tahoma"/>
            <family val="2"/>
          </rPr>
          <t>JOHN EDISON:</t>
        </r>
        <r>
          <rPr>
            <sz val="9"/>
            <color indexed="81"/>
            <rFont val="Tahoma"/>
            <family val="2"/>
          </rPr>
          <t xml:space="preserve">
24 bolsas
1.50 m3 arena gruesa
1.96 m3 piedra chancada 1/2"</t>
        </r>
      </text>
    </comment>
    <comment ref="N851" authorId="0" shapeId="0" xr:uid="{00000000-0006-0000-1400-000028000000}">
      <text>
        <r>
          <rPr>
            <b/>
            <sz val="9"/>
            <color indexed="81"/>
            <rFont val="Tahoma"/>
            <family val="2"/>
          </rPr>
          <t>JOHN EDISON:</t>
        </r>
        <r>
          <rPr>
            <sz val="9"/>
            <color indexed="81"/>
            <rFont val="Tahoma"/>
            <family val="2"/>
          </rPr>
          <t xml:space="preserve">
15bolsas
0.9m3 arena gruesa
1.18 m3 piedra chancada 1/2"</t>
        </r>
      </text>
    </comment>
    <comment ref="O851" authorId="0" shapeId="0" xr:uid="{00000000-0006-0000-1400-000029000000}">
      <text>
        <r>
          <rPr>
            <b/>
            <sz val="9"/>
            <color indexed="81"/>
            <rFont val="Tahoma"/>
            <family val="2"/>
          </rPr>
          <t>JOHN EDISON:</t>
        </r>
        <r>
          <rPr>
            <sz val="9"/>
            <color indexed="81"/>
            <rFont val="Tahoma"/>
            <family val="2"/>
          </rPr>
          <t xml:space="preserve">
4 bolsas
0.27 m3 arena gruesa
0.35 m3 piedra chancada 1/2"</t>
        </r>
      </text>
    </comment>
    <comment ref="N855" authorId="0" shapeId="0" xr:uid="{00000000-0006-0000-1400-00002A000000}">
      <text>
        <r>
          <rPr>
            <b/>
            <sz val="9"/>
            <color indexed="81"/>
            <rFont val="Tahoma"/>
            <family val="2"/>
          </rPr>
          <t>JOHN EDISON:</t>
        </r>
        <r>
          <rPr>
            <sz val="9"/>
            <color indexed="81"/>
            <rFont val="Tahoma"/>
            <family val="2"/>
          </rPr>
          <t xml:space="preserve">
20 bolsas
1.25 m3 arena gruesa
1.63 m3 piedra chancada 1/2"</t>
        </r>
      </text>
    </comment>
    <comment ref="O855" authorId="0" shapeId="0" xr:uid="{00000000-0006-0000-1400-00002B000000}">
      <text>
        <r>
          <rPr>
            <b/>
            <sz val="9"/>
            <color indexed="81"/>
            <rFont val="Tahoma"/>
            <family val="2"/>
          </rPr>
          <t>JOHN EDISON:</t>
        </r>
        <r>
          <rPr>
            <sz val="9"/>
            <color indexed="81"/>
            <rFont val="Tahoma"/>
            <family val="2"/>
          </rPr>
          <t xml:space="preserve">
16 bolsas
0.98 m3 arena gruesa
1.27 m3 piedra chancada 1/2"</t>
        </r>
      </text>
    </comment>
    <comment ref="J863" authorId="0" shapeId="0" xr:uid="{00000000-0006-0000-1400-00002C000000}">
      <text>
        <r>
          <rPr>
            <b/>
            <sz val="9"/>
            <color indexed="81"/>
            <rFont val="Tahoma"/>
            <family val="2"/>
          </rPr>
          <t>JOHN EDISON:</t>
        </r>
        <r>
          <rPr>
            <sz val="9"/>
            <color indexed="81"/>
            <rFont val="Tahoma"/>
            <family val="2"/>
          </rPr>
          <t xml:space="preserve">
43 bolsas
2.67 m3 arena gruesa
3.48 m3 piedra chancada 1/2"</t>
        </r>
      </text>
    </comment>
    <comment ref="K867" authorId="0" shapeId="0" xr:uid="{00000000-0006-0000-1400-00002D000000}">
      <text>
        <r>
          <rPr>
            <b/>
            <sz val="9"/>
            <color indexed="81"/>
            <rFont val="Tahoma"/>
            <family val="2"/>
          </rPr>
          <t>JOHN EDISON:</t>
        </r>
        <r>
          <rPr>
            <sz val="9"/>
            <color indexed="81"/>
            <rFont val="Tahoma"/>
            <family val="2"/>
          </rPr>
          <t xml:space="preserve">
36 bolsas
2.23 m3 arena gruesa
2.90 m3 piedra chancada 1/2"
</t>
        </r>
      </text>
    </comment>
    <comment ref="D872" authorId="0" shapeId="0" xr:uid="{00000000-0006-0000-1400-00002E000000}">
      <text>
        <r>
          <rPr>
            <b/>
            <sz val="9"/>
            <color indexed="81"/>
            <rFont val="Tahoma"/>
            <family val="2"/>
          </rPr>
          <t>JOHN EDISON:</t>
        </r>
        <r>
          <rPr>
            <sz val="9"/>
            <color indexed="81"/>
            <rFont val="Tahoma"/>
            <family val="2"/>
          </rPr>
          <t xml:space="preserve">
26 bollsas 
2 m3 de piedra grande
2.5 m3 de hormigon
2 m3 de piedra chacada 3/4"</t>
        </r>
      </text>
    </comment>
    <comment ref="I872" authorId="0" shapeId="0" xr:uid="{00000000-0006-0000-1400-00002F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R872" authorId="0" shapeId="0" xr:uid="{00000000-0006-0000-1400-000030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T872" authorId="0" shapeId="0" xr:uid="{00000000-0006-0000-1400-000031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U872" authorId="0" shapeId="0" xr:uid="{00000000-0006-0000-1400-000032000000}">
      <text>
        <r>
          <rPr>
            <b/>
            <sz val="9"/>
            <color indexed="81"/>
            <rFont val="Tahoma"/>
            <family val="2"/>
          </rPr>
          <t>JOHN EDISON:</t>
        </r>
        <r>
          <rPr>
            <sz val="9"/>
            <color indexed="81"/>
            <rFont val="Tahoma"/>
            <family val="2"/>
          </rPr>
          <t xml:space="preserve">
16 bolsas 
1.3 m3 piedra grande
0.53 m3 de hormigon
1.26m3 hormigon
1.26 m3 hormigon
</t>
        </r>
      </text>
    </comment>
    <comment ref="V872" authorId="0" shapeId="0" xr:uid="{00000000-0006-0000-1400-000033000000}">
      <text>
        <r>
          <rPr>
            <b/>
            <sz val="9"/>
            <color indexed="81"/>
            <rFont val="Tahoma"/>
            <family val="2"/>
          </rPr>
          <t>JOHN EDISON:</t>
        </r>
        <r>
          <rPr>
            <sz val="9"/>
            <color indexed="81"/>
            <rFont val="Tahoma"/>
            <family val="2"/>
          </rPr>
          <t xml:space="preserve">
13 bolsas 
1. m3 piedra grande
0.27 m3 de hormigon
1.m3 hormigon
1. m3 hormigon
</t>
        </r>
      </text>
    </comment>
    <comment ref="W872" authorId="0" shapeId="0" xr:uid="{00000000-0006-0000-1400-000034000000}">
      <text>
        <r>
          <rPr>
            <b/>
            <sz val="9"/>
            <color indexed="81"/>
            <rFont val="Tahoma"/>
            <family val="2"/>
          </rPr>
          <t>JOHN EDISON:
VACIADO DE FALSA ZAPATA TRAMO 31 Y 32 Y VACIADO F.Z TRAMO 09 Y 10</t>
        </r>
        <r>
          <rPr>
            <sz val="9"/>
            <color indexed="81"/>
            <rFont val="Tahoma"/>
            <family val="2"/>
          </rPr>
          <t xml:space="preserve">
56 bolsas 
4 m3 piedra grande
0.62 m3 hormigon
4 m3 arena gruesa
4 m3 piedra chancada 3/4" </t>
        </r>
      </text>
    </comment>
    <comment ref="X872" authorId="0" shapeId="0" xr:uid="{00000000-0006-0000-1400-000035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Y872" authorId="0" shapeId="0" xr:uid="{00000000-0006-0000-1400-000036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AA872" authorId="0" shapeId="0" xr:uid="{00000000-0006-0000-1400-000037000000}">
      <text>
        <r>
          <rPr>
            <b/>
            <sz val="9"/>
            <color indexed="81"/>
            <rFont val="Tahoma"/>
            <family val="2"/>
          </rPr>
          <t>JOHN EDISON:</t>
        </r>
        <r>
          <rPr>
            <sz val="9"/>
            <color indexed="81"/>
            <rFont val="Tahoma"/>
            <family val="2"/>
          </rPr>
          <t xml:space="preserve">
28 bolsas 
2.2 m3 piedra grande
1.16 m3 hormigon
2m3 arena gruesa
2 m3 piedra chancada 3/4"</t>
        </r>
      </text>
    </comment>
    <comment ref="AB872" authorId="0" shapeId="0" xr:uid="{00000000-0006-0000-1400-000038000000}">
      <text>
        <r>
          <rPr>
            <b/>
            <sz val="9"/>
            <color indexed="81"/>
            <rFont val="Tahoma"/>
            <family val="2"/>
          </rPr>
          <t>JOHN EDISON:</t>
        </r>
        <r>
          <rPr>
            <sz val="9"/>
            <color indexed="81"/>
            <rFont val="Tahoma"/>
            <family val="2"/>
          </rPr>
          <t xml:space="preserve">
12 bolsas 
1.13 m3 piedra grande
0.63 m3 hormigon
1 m3 arena gruesa
1m3 piedra chancada 3/4"</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 EDISON</author>
  </authors>
  <commentList>
    <comment ref="S73" authorId="0" shapeId="0" xr:uid="{00000000-0006-0000-1500-000001000000}">
      <text>
        <r>
          <rPr>
            <b/>
            <sz val="9"/>
            <color indexed="81"/>
            <rFont val="Tahoma"/>
            <family val="2"/>
          </rPr>
          <t>JOHN EDISON:</t>
        </r>
        <r>
          <rPr>
            <sz val="9"/>
            <color indexed="81"/>
            <rFont val="Tahoma"/>
            <family val="2"/>
          </rPr>
          <t xml:space="preserve">
NO COLOCAR CANTIDAD EN CO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ADDERLY</author>
  </authors>
  <commentList>
    <comment ref="P14" authorId="0" shapeId="0" xr:uid="{00000000-0006-0000-1700-000001000000}">
      <text>
        <r>
          <rPr>
            <b/>
            <sz val="9"/>
            <color indexed="81"/>
            <rFont val="Tahoma"/>
            <family val="2"/>
          </rPr>
          <t>ADDERLY:</t>
        </r>
        <r>
          <rPr>
            <sz val="9"/>
            <color indexed="81"/>
            <rFont val="Tahoma"/>
            <family val="2"/>
          </rPr>
          <t xml:space="preserve">
13 bls cemento</t>
        </r>
      </text>
    </comment>
    <comment ref="Q14" authorId="0" shapeId="0" xr:uid="{00000000-0006-0000-1700-000002000000}">
      <text>
        <r>
          <rPr>
            <b/>
            <sz val="9"/>
            <color indexed="81"/>
            <rFont val="Tahoma"/>
            <family val="2"/>
          </rPr>
          <t>ADDERLY:</t>
        </r>
        <r>
          <rPr>
            <sz val="9"/>
            <color indexed="81"/>
            <rFont val="Tahoma"/>
            <family val="2"/>
          </rPr>
          <t xml:space="preserve">
13 bls cemento</t>
        </r>
      </text>
    </comment>
    <comment ref="R14" authorId="0" shapeId="0" xr:uid="{00000000-0006-0000-1700-000003000000}">
      <text>
        <r>
          <rPr>
            <b/>
            <sz val="9"/>
            <color indexed="81"/>
            <rFont val="Tahoma"/>
            <family val="2"/>
          </rPr>
          <t>ADDERLY:</t>
        </r>
        <r>
          <rPr>
            <sz val="9"/>
            <color indexed="81"/>
            <rFont val="Tahoma"/>
            <family val="2"/>
          </rPr>
          <t xml:space="preserve">
75 bls cemento</t>
        </r>
      </text>
    </comment>
    <comment ref="V14" authorId="0" shapeId="0" xr:uid="{00000000-0006-0000-1700-000004000000}">
      <text>
        <r>
          <rPr>
            <b/>
            <sz val="9"/>
            <color indexed="81"/>
            <rFont val="Tahoma"/>
            <family val="2"/>
          </rPr>
          <t>ADDERLY:</t>
        </r>
        <r>
          <rPr>
            <sz val="9"/>
            <color indexed="81"/>
            <rFont val="Tahoma"/>
            <family val="2"/>
          </rPr>
          <t xml:space="preserve">
53 bls cemento
8 BLS</t>
        </r>
      </text>
    </comment>
    <comment ref="W14" authorId="0" shapeId="0" xr:uid="{00000000-0006-0000-1700-000005000000}">
      <text>
        <r>
          <rPr>
            <b/>
            <sz val="9"/>
            <color indexed="81"/>
            <rFont val="Tahoma"/>
            <family val="2"/>
          </rPr>
          <t>ADDERLY:</t>
        </r>
        <r>
          <rPr>
            <sz val="9"/>
            <color indexed="81"/>
            <rFont val="Tahoma"/>
            <family val="2"/>
          </rPr>
          <t xml:space="preserve">
02 bls cemento</t>
        </r>
      </text>
    </comment>
    <comment ref="X14" authorId="0" shapeId="0" xr:uid="{00000000-0006-0000-1700-000006000000}">
      <text>
        <r>
          <rPr>
            <b/>
            <sz val="9"/>
            <color indexed="81"/>
            <rFont val="Tahoma"/>
            <family val="2"/>
          </rPr>
          <t>ADDERLY:</t>
        </r>
        <r>
          <rPr>
            <sz val="9"/>
            <color indexed="81"/>
            <rFont val="Tahoma"/>
            <family val="2"/>
          </rPr>
          <t xml:space="preserve">
35 bls cemento</t>
        </r>
      </text>
    </comment>
    <comment ref="Z14" authorId="0" shapeId="0" xr:uid="{00000000-0006-0000-1700-000007000000}">
      <text>
        <r>
          <rPr>
            <b/>
            <sz val="9"/>
            <color indexed="81"/>
            <rFont val="Tahoma"/>
            <family val="2"/>
          </rPr>
          <t>ADDERLY:</t>
        </r>
        <r>
          <rPr>
            <sz val="9"/>
            <color indexed="81"/>
            <rFont val="Tahoma"/>
            <family val="2"/>
          </rPr>
          <t xml:space="preserve">
3 bls cemento</t>
        </r>
      </text>
    </comment>
    <comment ref="AA14" authorId="0" shapeId="0" xr:uid="{00000000-0006-0000-1700-000008000000}">
      <text>
        <r>
          <rPr>
            <b/>
            <sz val="9"/>
            <color indexed="81"/>
            <rFont val="Tahoma"/>
            <family val="2"/>
          </rPr>
          <t>ADDERLY:</t>
        </r>
        <r>
          <rPr>
            <sz val="9"/>
            <color indexed="81"/>
            <rFont val="Tahoma"/>
            <family val="2"/>
          </rPr>
          <t xml:space="preserve">
22 bls cemento
</t>
        </r>
      </text>
    </comment>
    <comment ref="AC14" authorId="0" shapeId="0" xr:uid="{00000000-0006-0000-1700-000009000000}">
      <text>
        <r>
          <rPr>
            <b/>
            <sz val="9"/>
            <color indexed="81"/>
            <rFont val="Tahoma"/>
            <family val="2"/>
          </rPr>
          <t>ADDERLY:</t>
        </r>
        <r>
          <rPr>
            <sz val="9"/>
            <color indexed="81"/>
            <rFont val="Tahoma"/>
            <family val="2"/>
          </rPr>
          <t xml:space="preserve">
53bls de cemento
</t>
        </r>
      </text>
    </comment>
    <comment ref="AE14" authorId="0" shapeId="0" xr:uid="{00000000-0006-0000-1700-00000A000000}">
      <text>
        <r>
          <rPr>
            <b/>
            <sz val="9"/>
            <color indexed="81"/>
            <rFont val="Tahoma"/>
            <family val="2"/>
          </rPr>
          <t>ADDERLY:</t>
        </r>
        <r>
          <rPr>
            <sz val="9"/>
            <color indexed="81"/>
            <rFont val="Tahoma"/>
            <family val="2"/>
          </rPr>
          <t xml:space="preserve">
 bls cemento
</t>
        </r>
      </text>
    </comment>
    <comment ref="AD22" authorId="0" shapeId="0" xr:uid="{00000000-0006-0000-1700-00000B000000}">
      <text>
        <r>
          <rPr>
            <b/>
            <sz val="9"/>
            <color indexed="81"/>
            <rFont val="Tahoma"/>
            <family val="2"/>
          </rPr>
          <t>ADDERLY:</t>
        </r>
        <r>
          <rPr>
            <sz val="9"/>
            <color indexed="81"/>
            <rFont val="Tahoma"/>
            <family val="2"/>
          </rPr>
          <t xml:space="preserve">
dar salida a cinta de eguridad 
</t>
        </r>
      </text>
    </comment>
    <comment ref="AG33" authorId="0" shapeId="0" xr:uid="{00000000-0006-0000-1700-00000C000000}">
      <text>
        <r>
          <rPr>
            <b/>
            <sz val="9"/>
            <color indexed="81"/>
            <rFont val="Tahoma"/>
            <family val="2"/>
          </rPr>
          <t>ADDERLY:</t>
        </r>
        <r>
          <rPr>
            <sz val="9"/>
            <color indexed="81"/>
            <rFont val="Tahoma"/>
            <family val="2"/>
          </rPr>
          <t xml:space="preserve">
30 VARILLAS DE 1/2"
</t>
        </r>
      </text>
    </comment>
    <comment ref="AE44" authorId="0" shapeId="0" xr:uid="{00000000-0006-0000-1700-00000D000000}">
      <text>
        <r>
          <rPr>
            <b/>
            <sz val="9"/>
            <color indexed="81"/>
            <rFont val="Tahoma"/>
            <family val="2"/>
          </rPr>
          <t>ADDERLY:</t>
        </r>
        <r>
          <rPr>
            <sz val="9"/>
            <color indexed="81"/>
            <rFont val="Tahoma"/>
            <family val="2"/>
          </rPr>
          <t xml:space="preserve">
45 VARILLAS DE 1/2"</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ADDERLY</author>
  </authors>
  <commentList>
    <comment ref="S14" authorId="0" shapeId="0" xr:uid="{00000000-0006-0000-1800-000001000000}">
      <text>
        <r>
          <rPr>
            <b/>
            <sz val="9"/>
            <color indexed="81"/>
            <rFont val="Tahoma"/>
            <family val="2"/>
          </rPr>
          <t>ADDERLY:</t>
        </r>
        <r>
          <rPr>
            <sz val="9"/>
            <color indexed="81"/>
            <rFont val="Tahoma"/>
            <family val="2"/>
          </rPr>
          <t xml:space="preserve">
HORMIGON 14 M3
</t>
        </r>
      </text>
    </comment>
    <comment ref="N65" authorId="0" shapeId="0" xr:uid="{00000000-0006-0000-1800-000002000000}">
      <text>
        <r>
          <rPr>
            <b/>
            <sz val="9"/>
            <color indexed="81"/>
            <rFont val="Tahoma"/>
            <family val="2"/>
          </rPr>
          <t>ADDERLY:</t>
        </r>
        <r>
          <rPr>
            <sz val="9"/>
            <color indexed="81"/>
            <rFont val="Tahoma"/>
            <family val="2"/>
          </rPr>
          <t xml:space="preserve">
ENCOFRADO DE CERCO PERIMETRICO Y ZAPATA DE CERCO PERIMETRICO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JOHN EDISON</author>
    <author>ADDERLY</author>
  </authors>
  <commentList>
    <comment ref="I19" authorId="0" shapeId="0" xr:uid="{00000000-0006-0000-1900-000001000000}">
      <text>
        <r>
          <rPr>
            <b/>
            <sz val="9"/>
            <color indexed="81"/>
            <rFont val="Tahoma"/>
            <family val="2"/>
          </rPr>
          <t>JOHN EDISON:</t>
        </r>
        <r>
          <rPr>
            <sz val="9"/>
            <color indexed="81"/>
            <rFont val="Tahoma"/>
            <family val="2"/>
          </rPr>
          <t xml:space="preserve">
MAYORES METRADOS
</t>
        </r>
      </text>
    </comment>
    <comment ref="J19" authorId="0" shapeId="0" xr:uid="{00000000-0006-0000-1900-000002000000}">
      <text>
        <r>
          <rPr>
            <b/>
            <sz val="9"/>
            <color indexed="81"/>
            <rFont val="Tahoma"/>
            <family val="2"/>
          </rPr>
          <t>JOHN EDISON:</t>
        </r>
        <r>
          <rPr>
            <sz val="9"/>
            <color indexed="81"/>
            <rFont val="Tahoma"/>
            <family val="2"/>
          </rPr>
          <t xml:space="preserve">
MM
</t>
        </r>
      </text>
    </comment>
    <comment ref="AD31" authorId="1" shapeId="0" xr:uid="{00000000-0006-0000-1900-000003000000}">
      <text>
        <r>
          <rPr>
            <b/>
            <sz val="9"/>
            <color indexed="81"/>
            <rFont val="Tahoma"/>
            <family val="2"/>
          </rPr>
          <t>ADDERLY:</t>
        </r>
        <r>
          <rPr>
            <sz val="9"/>
            <color indexed="81"/>
            <rFont val="Tahoma"/>
            <family val="2"/>
          </rPr>
          <t xml:space="preserve">
dar salida a cinta de eguridad 
</t>
        </r>
      </text>
    </comment>
    <comment ref="I103" authorId="0" shapeId="0" xr:uid="{00000000-0006-0000-1900-000004000000}">
      <text>
        <r>
          <rPr>
            <b/>
            <sz val="9"/>
            <color indexed="81"/>
            <rFont val="Tahoma"/>
            <family val="2"/>
          </rPr>
          <t>JOHN EDISON:</t>
        </r>
        <r>
          <rPr>
            <sz val="9"/>
            <color indexed="81"/>
            <rFont val="Tahoma"/>
            <family val="2"/>
          </rPr>
          <t xml:space="preserve">
0.57 m3 arena gruesa
0.74 m3 piedra chancada</t>
        </r>
      </text>
    </comment>
    <comment ref="AG105" authorId="1" shapeId="0" xr:uid="{00000000-0006-0000-1900-000005000000}">
      <text>
        <r>
          <rPr>
            <b/>
            <sz val="9"/>
            <color indexed="81"/>
            <rFont val="Tahoma"/>
            <family val="2"/>
          </rPr>
          <t>ADDERLY:</t>
        </r>
        <r>
          <rPr>
            <sz val="9"/>
            <color indexed="81"/>
            <rFont val="Tahoma"/>
            <family val="2"/>
          </rPr>
          <t xml:space="preserve">
30 VARILLAS DE 1/2"
</t>
        </r>
      </text>
    </comment>
    <comment ref="G151" authorId="0" shapeId="0" xr:uid="{00000000-0006-0000-1900-000006000000}">
      <text>
        <r>
          <rPr>
            <b/>
            <sz val="9"/>
            <color indexed="81"/>
            <rFont val="Tahoma"/>
            <family val="2"/>
          </rPr>
          <t>JOHN EDISON:</t>
        </r>
        <r>
          <rPr>
            <sz val="9"/>
            <color indexed="81"/>
            <rFont val="Tahoma"/>
            <family val="2"/>
          </rPr>
          <t xml:space="preserve">
0.55 m3 arena gruesa
0.71 m3 piedra chancada</t>
        </r>
      </text>
    </comment>
    <comment ref="AE152" authorId="1" shapeId="0" xr:uid="{00000000-0006-0000-1900-000007000000}">
      <text>
        <r>
          <rPr>
            <b/>
            <sz val="9"/>
            <color indexed="81"/>
            <rFont val="Tahoma"/>
            <family val="2"/>
          </rPr>
          <t>ADDERLY:</t>
        </r>
        <r>
          <rPr>
            <sz val="9"/>
            <color indexed="81"/>
            <rFont val="Tahoma"/>
            <family val="2"/>
          </rPr>
          <t xml:space="preserve">
45 VARILLAS DE 1/2"</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JOHN EDISON</author>
    <author>ADDERLY</author>
  </authors>
  <commentList>
    <comment ref="M14" authorId="0" shapeId="0" xr:uid="{00000000-0006-0000-1A00-000001000000}">
      <text>
        <r>
          <rPr>
            <b/>
            <sz val="9"/>
            <color indexed="81"/>
            <rFont val="Tahoma"/>
            <family val="2"/>
          </rPr>
          <t>revisar entrada</t>
        </r>
      </text>
    </comment>
    <comment ref="N14" authorId="0" shapeId="0" xr:uid="{00000000-0006-0000-1A00-000002000000}">
      <text>
        <r>
          <rPr>
            <b/>
            <sz val="9"/>
            <color indexed="81"/>
            <rFont val="Tahoma"/>
            <family val="2"/>
          </rPr>
          <t>revisar entrada</t>
        </r>
      </text>
    </comment>
    <comment ref="P14" authorId="0" shapeId="0" xr:uid="{00000000-0006-0000-1A00-000003000000}">
      <text>
        <r>
          <rPr>
            <b/>
            <sz val="9"/>
            <color indexed="81"/>
            <rFont val="Tahoma"/>
            <family val="2"/>
          </rPr>
          <t xml:space="preserve">
</t>
        </r>
      </text>
    </comment>
    <comment ref="S14" authorId="1" shapeId="0" xr:uid="{00000000-0006-0000-1A00-000004000000}">
      <text>
        <r>
          <rPr>
            <b/>
            <sz val="9"/>
            <color indexed="81"/>
            <rFont val="Tahoma"/>
            <family val="2"/>
          </rPr>
          <t>ADDERLY:</t>
        </r>
        <r>
          <rPr>
            <sz val="9"/>
            <color indexed="81"/>
            <rFont val="Tahoma"/>
            <family val="2"/>
          </rPr>
          <t xml:space="preserve">
HORMIGON 14 M3
</t>
        </r>
      </text>
    </comment>
    <comment ref="K37" authorId="0" shapeId="0" xr:uid="{00000000-0006-0000-1A00-000005000000}">
      <text>
        <r>
          <rPr>
            <b/>
            <sz val="9"/>
            <color indexed="81"/>
            <rFont val="Tahoma"/>
            <family val="2"/>
          </rPr>
          <t>JOHN EDISON:</t>
        </r>
        <r>
          <rPr>
            <sz val="9"/>
            <color indexed="81"/>
            <rFont val="Tahoma"/>
            <family val="2"/>
          </rPr>
          <t xml:space="preserve">
24 bolsas
1.50 m3 arena gruesa
1.96 m3 piedra chancada 1/2"</t>
        </r>
      </text>
    </comment>
    <comment ref="N37" authorId="0" shapeId="0" xr:uid="{00000000-0006-0000-1A00-000006000000}">
      <text>
        <r>
          <rPr>
            <b/>
            <sz val="9"/>
            <color indexed="81"/>
            <rFont val="Tahoma"/>
            <family val="2"/>
          </rPr>
          <t>JOHN EDISON:</t>
        </r>
        <r>
          <rPr>
            <sz val="9"/>
            <color indexed="81"/>
            <rFont val="Tahoma"/>
            <family val="2"/>
          </rPr>
          <t xml:space="preserve">
15bolsas
0.9m3 arena gruesa
1.18 m3 piedra chancada 1/2"</t>
        </r>
      </text>
    </comment>
    <comment ref="O37" authorId="0" shapeId="0" xr:uid="{00000000-0006-0000-1A00-000007000000}">
      <text>
        <r>
          <rPr>
            <b/>
            <sz val="9"/>
            <color indexed="81"/>
            <rFont val="Tahoma"/>
            <family val="2"/>
          </rPr>
          <t>JOHN EDISON:</t>
        </r>
        <r>
          <rPr>
            <sz val="9"/>
            <color indexed="81"/>
            <rFont val="Tahoma"/>
            <family val="2"/>
          </rPr>
          <t xml:space="preserve">
4 bolsas
0.27 m3 arena gruesa
0.35 m3 piedra chancada 1/2"</t>
        </r>
      </text>
    </comment>
    <comment ref="N41" authorId="0" shapeId="0" xr:uid="{00000000-0006-0000-1A00-000008000000}">
      <text>
        <r>
          <rPr>
            <b/>
            <sz val="9"/>
            <color indexed="81"/>
            <rFont val="Tahoma"/>
            <family val="2"/>
          </rPr>
          <t>JOHN EDISON:</t>
        </r>
        <r>
          <rPr>
            <sz val="9"/>
            <color indexed="81"/>
            <rFont val="Tahoma"/>
            <family val="2"/>
          </rPr>
          <t xml:space="preserve">
20 bolsas
1.25 m3 arena gruesa
1.63 m3 piedra chancada 1/2"</t>
        </r>
      </text>
    </comment>
    <comment ref="O41" authorId="0" shapeId="0" xr:uid="{00000000-0006-0000-1A00-000009000000}">
      <text>
        <r>
          <rPr>
            <b/>
            <sz val="9"/>
            <color indexed="81"/>
            <rFont val="Tahoma"/>
            <family val="2"/>
          </rPr>
          <t>JOHN EDISON:</t>
        </r>
        <r>
          <rPr>
            <sz val="9"/>
            <color indexed="81"/>
            <rFont val="Tahoma"/>
            <family val="2"/>
          </rPr>
          <t xml:space="preserve">
16 bolsas
0.98 m3 arena gruesa
1.27 m3 piedra chancada 1/2"</t>
        </r>
      </text>
    </comment>
    <comment ref="J49" authorId="0" shapeId="0" xr:uid="{00000000-0006-0000-1A00-00000A000000}">
      <text>
        <r>
          <rPr>
            <b/>
            <sz val="9"/>
            <color indexed="81"/>
            <rFont val="Tahoma"/>
            <family val="2"/>
          </rPr>
          <t>JOHN EDISON:</t>
        </r>
        <r>
          <rPr>
            <sz val="9"/>
            <color indexed="81"/>
            <rFont val="Tahoma"/>
            <family val="2"/>
          </rPr>
          <t xml:space="preserve">
43 bolsas
2.67 m3 arena gruesa
3.48 m3 piedra chancada 1/2"</t>
        </r>
      </text>
    </comment>
    <comment ref="K53" authorId="0" shapeId="0" xr:uid="{00000000-0006-0000-1A00-00000B000000}">
      <text>
        <r>
          <rPr>
            <b/>
            <sz val="9"/>
            <color indexed="81"/>
            <rFont val="Tahoma"/>
            <family val="2"/>
          </rPr>
          <t>JOHN EDISON:</t>
        </r>
        <r>
          <rPr>
            <sz val="9"/>
            <color indexed="81"/>
            <rFont val="Tahoma"/>
            <family val="2"/>
          </rPr>
          <t xml:space="preserve">
36 bolsas
2.23 m3 arena gruesa
2.90 m3 piedra chancada 1/2"
</t>
        </r>
      </text>
    </comment>
    <comment ref="D62" authorId="0" shapeId="0" xr:uid="{00000000-0006-0000-1A00-00000C000000}">
      <text>
        <r>
          <rPr>
            <b/>
            <sz val="9"/>
            <color indexed="81"/>
            <rFont val="Tahoma"/>
            <family val="2"/>
          </rPr>
          <t>JOHN EDISON:</t>
        </r>
        <r>
          <rPr>
            <sz val="9"/>
            <color indexed="81"/>
            <rFont val="Tahoma"/>
            <family val="2"/>
          </rPr>
          <t xml:space="preserve">
26 bollsas 
2 m3 de piedra grande
2.5 m3 de hormigon
2 m3 de piedra chacada 3/4"</t>
        </r>
      </text>
    </comment>
    <comment ref="I62" authorId="0" shapeId="0" xr:uid="{00000000-0006-0000-1A00-00000D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R62" authorId="0" shapeId="0" xr:uid="{00000000-0006-0000-1A00-00000E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U62" authorId="0" shapeId="0" xr:uid="{00000000-0006-0000-1A00-00000F000000}">
      <text>
        <r>
          <rPr>
            <b/>
            <sz val="9"/>
            <color indexed="81"/>
            <rFont val="Tahoma"/>
            <family val="2"/>
          </rPr>
          <t>JOHN EDISON:</t>
        </r>
        <r>
          <rPr>
            <sz val="9"/>
            <color indexed="81"/>
            <rFont val="Tahoma"/>
            <family val="2"/>
          </rPr>
          <t xml:space="preserve">
16 bolsas 
1.3 m3 piedra grande
0.53 m3 de hormigon
1.26m3 hormigon
1.26 m3 hormigon
</t>
        </r>
      </text>
    </comment>
    <comment ref="V62" authorId="0" shapeId="0" xr:uid="{00000000-0006-0000-1A00-000010000000}">
      <text>
        <r>
          <rPr>
            <b/>
            <sz val="9"/>
            <color indexed="81"/>
            <rFont val="Tahoma"/>
            <family val="2"/>
          </rPr>
          <t>JOHN EDISON:</t>
        </r>
        <r>
          <rPr>
            <sz val="9"/>
            <color indexed="81"/>
            <rFont val="Tahoma"/>
            <family val="2"/>
          </rPr>
          <t xml:space="preserve">
13 bolsas 
1. m3 piedra grande
0.27 m3 de hormigon
1.m3 hormigon
1. m3 hormigon
</t>
        </r>
      </text>
    </comment>
    <comment ref="W62" authorId="0" shapeId="0" xr:uid="{00000000-0006-0000-1A00-000011000000}">
      <text>
        <r>
          <rPr>
            <b/>
            <sz val="9"/>
            <color indexed="81"/>
            <rFont val="Tahoma"/>
            <family val="2"/>
          </rPr>
          <t>JOHN EDISON:
VACIADO DE FALSA ZAPATA TRAMO 31 Y 32 Y VACIADO F.Z TRAMO 09 Y 10</t>
        </r>
        <r>
          <rPr>
            <sz val="9"/>
            <color indexed="81"/>
            <rFont val="Tahoma"/>
            <family val="2"/>
          </rPr>
          <t xml:space="preserve">
56 bolsas 
4 m3 piedra grande
0.62 m3 hormigon
4 m3 arena gruesa
4 m3 piedra chancada 3/4" </t>
        </r>
      </text>
    </comment>
    <comment ref="X62" authorId="0" shapeId="0" xr:uid="{00000000-0006-0000-1A00-000012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Y62" authorId="0" shapeId="0" xr:uid="{00000000-0006-0000-1A00-000013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U80" authorId="0" shapeId="0" xr:uid="{00000000-0006-0000-1A00-000014000000}">
      <text>
        <r>
          <rPr>
            <b/>
            <sz val="9"/>
            <color indexed="81"/>
            <rFont val="Tahoma"/>
            <family val="2"/>
          </rPr>
          <t>JOHN EDISON:</t>
        </r>
        <r>
          <rPr>
            <sz val="9"/>
            <color indexed="81"/>
            <rFont val="Tahoma"/>
            <family val="2"/>
          </rPr>
          <t xml:space="preserve">
VERIFICAR</t>
        </r>
      </text>
    </comment>
    <comment ref="AB80" authorId="0" shapeId="0" xr:uid="{00000000-0006-0000-1A00-000015000000}">
      <text>
        <r>
          <rPr>
            <b/>
            <sz val="9"/>
            <color indexed="81"/>
            <rFont val="Tahoma"/>
            <family val="2"/>
          </rPr>
          <t>VERIFICAR METRADO DE ACERO</t>
        </r>
      </text>
    </comment>
  </commentList>
</comments>
</file>

<file path=xl/sharedStrings.xml><?xml version="1.0" encoding="utf-8"?>
<sst xmlns="http://schemas.openxmlformats.org/spreadsheetml/2006/main" count="22393" uniqueCount="4411">
  <si>
    <t>%</t>
  </si>
  <si>
    <t>S/.</t>
  </si>
  <si>
    <t>TOTAL</t>
  </si>
  <si>
    <t>Metrado</t>
  </si>
  <si>
    <t xml:space="preserve">: </t>
  </si>
  <si>
    <t>COMPONENTE</t>
  </si>
  <si>
    <t>PROYECTO</t>
  </si>
  <si>
    <t>PROGRAMA</t>
  </si>
  <si>
    <t>FUNCION</t>
  </si>
  <si>
    <t xml:space="preserve"> </t>
  </si>
  <si>
    <t>APURIMAC</t>
  </si>
  <si>
    <t>ADMINISTRACION DIRECTA</t>
  </si>
  <si>
    <t>FORMATO FE - 03</t>
  </si>
  <si>
    <t xml:space="preserve">FECHA  </t>
  </si>
  <si>
    <t xml:space="preserve">DISTRITO </t>
  </si>
  <si>
    <t>FTE - FTO</t>
  </si>
  <si>
    <t xml:space="preserve">PROVINCIA </t>
  </si>
  <si>
    <t xml:space="preserve">MODALIDAD </t>
  </si>
  <si>
    <t>DEPARTAMENTO</t>
  </si>
  <si>
    <t xml:space="preserve">AÑO </t>
  </si>
  <si>
    <t>PARTIDA</t>
  </si>
  <si>
    <t xml:space="preserve">DESCRIPCIÓN </t>
  </si>
  <si>
    <t>Und.</t>
  </si>
  <si>
    <t>PRESUPUESTO</t>
  </si>
  <si>
    <t>AVANCES</t>
  </si>
  <si>
    <t>SALDO</t>
  </si>
  <si>
    <t>ANTERIOR</t>
  </si>
  <si>
    <t>ACTUAL</t>
  </si>
  <si>
    <t>ACUMULADO</t>
  </si>
  <si>
    <t xml:space="preserve">Metrado </t>
  </si>
  <si>
    <t>P.Unit. S/.</t>
  </si>
  <si>
    <t>Pres.</t>
  </si>
  <si>
    <t>Valorizado S/.</t>
  </si>
  <si>
    <t>01</t>
  </si>
  <si>
    <t>TRABAJOS PRELIMINARES</t>
  </si>
  <si>
    <t>01.01</t>
  </si>
  <si>
    <t>und</t>
  </si>
  <si>
    <t>m2</t>
  </si>
  <si>
    <t>m</t>
  </si>
  <si>
    <t>01.02</t>
  </si>
  <si>
    <t>m3</t>
  </si>
  <si>
    <t>GLB</t>
  </si>
  <si>
    <t>02</t>
  </si>
  <si>
    <t>02.01</t>
  </si>
  <si>
    <t>02.02</t>
  </si>
  <si>
    <t>03</t>
  </si>
  <si>
    <t>MOVIMIENTO DE TIERRAS</t>
  </si>
  <si>
    <t>03.01</t>
  </si>
  <si>
    <t>kg</t>
  </si>
  <si>
    <t>03.01.01</t>
  </si>
  <si>
    <t>03.01.02</t>
  </si>
  <si>
    <t>03.01.03</t>
  </si>
  <si>
    <t>02.03</t>
  </si>
  <si>
    <t>02.01.01</t>
  </si>
  <si>
    <t>02.02.01</t>
  </si>
  <si>
    <t>02.02.02</t>
  </si>
  <si>
    <t>02.03.01</t>
  </si>
  <si>
    <t>02.03.02</t>
  </si>
  <si>
    <t>M3</t>
  </si>
  <si>
    <t>COSTO DIRECTO</t>
  </si>
  <si>
    <t>EXPEDIENTE TECNICO</t>
  </si>
  <si>
    <t>PRESUPUESTO TOTAL  S/.</t>
  </si>
  <si>
    <t>EJECUTADO INFRAESTRUCTURA</t>
  </si>
  <si>
    <t>MAYORES METRADOS Y ADICIONALES</t>
  </si>
  <si>
    <t>glb</t>
  </si>
  <si>
    <t>RESUMEN DE VALORIZACION</t>
  </si>
  <si>
    <t>ITEM</t>
  </si>
  <si>
    <t>GOBIERNO REGIONAL APURIMAC</t>
  </si>
  <si>
    <t>GERENCIA REGIONAL DE INFRAESTRUCTURA</t>
  </si>
  <si>
    <t>SUB GERENCIA  DE OBRAS</t>
  </si>
  <si>
    <t xml:space="preserve">HOJA DE METRADOS </t>
  </si>
  <si>
    <t xml:space="preserve">      </t>
  </si>
  <si>
    <t>DESCRIPCION</t>
  </si>
  <si>
    <t>UND</t>
  </si>
  <si>
    <t>N° PIEZAS</t>
  </si>
  <si>
    <t>KG/ML</t>
  </si>
  <si>
    <t>METRADOS</t>
  </si>
  <si>
    <t>OBSERVACION</t>
  </si>
  <si>
    <t>Ø (Plg)</t>
  </si>
  <si>
    <t>ANCHO</t>
  </si>
  <si>
    <t>LARGO</t>
  </si>
  <si>
    <t>ALTO</t>
  </si>
  <si>
    <t>PARCIAL</t>
  </si>
  <si>
    <t/>
  </si>
  <si>
    <t>COLUMNA</t>
  </si>
  <si>
    <t>C - 4</t>
  </si>
  <si>
    <t>1/2"</t>
  </si>
  <si>
    <t>ESTRIBO</t>
  </si>
  <si>
    <t>3/8"</t>
  </si>
  <si>
    <t>ALAMBRE DE AMARRE EN MUROS DE CONFINAMIENTO</t>
  </si>
  <si>
    <t>1/4"</t>
  </si>
  <si>
    <t>INFRAESTRUCTURA</t>
  </si>
  <si>
    <t xml:space="preserve"> % EJECUTADO INFRAESTRUCTURA</t>
  </si>
  <si>
    <t>% AVANCE FISICO</t>
  </si>
  <si>
    <t xml:space="preserve">            OBRAS PROVISIONALES.</t>
  </si>
  <si>
    <t>1010102</t>
  </si>
  <si>
    <t xml:space="preserve">            CONSTRUCCIÓN PLATAFORMA DE VIA.</t>
  </si>
  <si>
    <t xml:space="preserve">                TRABAJOS PRELIMINARES.</t>
  </si>
  <si>
    <t>101010202</t>
  </si>
  <si>
    <t xml:space="preserve">                MOVIMIENTO DE TIERRAS</t>
  </si>
  <si>
    <t xml:space="preserve">                TRANSPORTE</t>
  </si>
  <si>
    <t xml:space="preserve">            OBRAS DE ARTE Y DRENAJE.</t>
  </si>
  <si>
    <t xml:space="preserve">                ALCANTARILLA TIPO I (0.80x0.80 m.)</t>
  </si>
  <si>
    <t xml:space="preserve">                    CONCRETO f'c=210 kg/cm2</t>
  </si>
  <si>
    <t>101010302</t>
  </si>
  <si>
    <t>101010303</t>
  </si>
  <si>
    <t xml:space="preserve">                CUNETAS SIN REVESTIR</t>
  </si>
  <si>
    <t>1010104</t>
  </si>
  <si>
    <t xml:space="preserve">            PUENTE TABLERO SECCIÓN COMPUESTA.</t>
  </si>
  <si>
    <t>101010401</t>
  </si>
  <si>
    <t>101010402</t>
  </si>
  <si>
    <t>10101040201</t>
  </si>
  <si>
    <t>10101040202</t>
  </si>
  <si>
    <t xml:space="preserve">                    RELLENOS.</t>
  </si>
  <si>
    <t>10101040203</t>
  </si>
  <si>
    <t>101010403</t>
  </si>
  <si>
    <t xml:space="preserve">                ENCOFRADO Y DESENCOFRADO.</t>
  </si>
  <si>
    <t>10101040301</t>
  </si>
  <si>
    <t>EXCAVACIÓN EN EXPLANACIONES EN ROCA SUELTA</t>
  </si>
  <si>
    <t>CONFORMACION DE TERRAPLENES</t>
  </si>
  <si>
    <t>TRANSPORTE DE ELIMINACIÓN DE MATERIAL A DME D&lt;=1 km</t>
  </si>
  <si>
    <t>TRAZO, REPLANTEO Y CONTROL TOPOGRAFICO</t>
  </si>
  <si>
    <t xml:space="preserve"> CONCRETO f'c=210 kg/cm2</t>
  </si>
  <si>
    <t xml:space="preserve"> RELLENO PARA ESTRUCTURAS CON MATERIAL PROPIO</t>
  </si>
  <si>
    <t>MURO DE CONTENCION (L=100 m).</t>
  </si>
  <si>
    <t xml:space="preserve"> EXCAVACIÓN NO CLASIFICADA PARA ESTRUCTURAS</t>
  </si>
  <si>
    <t>ENCOFRADO Y DESENCOFRADO PARA OBRAS DE ARTE</t>
  </si>
  <si>
    <t xml:space="preserve"> CONCRETO CICLOPEO f'c=175 kg/cm2 + 30% PM</t>
  </si>
  <si>
    <t xml:space="preserve"> TUBERIA DE PVC 2" PARA DRENAJE</t>
  </si>
  <si>
    <t>TUBERIA DE PVC 4" PARA DRENAJE</t>
  </si>
  <si>
    <t xml:space="preserve"> CONFORMACIÓN Y PERFILADO DE CUNETAS (MATERIAL SUELTO)</t>
  </si>
  <si>
    <t xml:space="preserve"> CONFORMACIÓN Y PERFILADO DE CUNETAS (ROCA SUELTA)</t>
  </si>
  <si>
    <t>CONFORMACIÓN Y PERFILADO DE CUNETAS (ROCA FIJA)</t>
  </si>
  <si>
    <t xml:space="preserve"> LIMPIEZA MANUAL DE TERRENO</t>
  </si>
  <si>
    <t>FLETE TERRESTRE DE MATERIALES A OBRA (PUENTE)</t>
  </si>
  <si>
    <t xml:space="preserve"> EXCAVACIONES.</t>
  </si>
  <si>
    <t xml:space="preserve"> EXCAVACIÓN EN SECO CON MAQUINARIA</t>
  </si>
  <si>
    <t>EXCAVACIÓN BAJO AGUA CON MAQUINARIA</t>
  </si>
  <si>
    <t xml:space="preserve"> EXCAVACIÓN BAJO AGUA MANUAL</t>
  </si>
  <si>
    <t xml:space="preserve"> ENCOFRADO Y DESENCOFRADO DE SUB ESTRUCTURA.</t>
  </si>
  <si>
    <t xml:space="preserve"> ENCOFRADO Y DESENCOFRADO NORMAL BAJO AGUA</t>
  </si>
  <si>
    <t>10101040302</t>
  </si>
  <si>
    <t>101010404</t>
  </si>
  <si>
    <t xml:space="preserve">                OBRAS DE CONCRETO SIMPLE.</t>
  </si>
  <si>
    <t xml:space="preserve">                    CONCRETO f'c=280 kg/cm2</t>
  </si>
  <si>
    <t>101010405</t>
  </si>
  <si>
    <t xml:space="preserve">                OBRAS DE CONCRETO ARMADO.</t>
  </si>
  <si>
    <t>10101040501</t>
  </si>
  <si>
    <t xml:space="preserve">                    CONCRETO.</t>
  </si>
  <si>
    <t xml:space="preserve">                        CONCRETO f'c=210 kg/cm2</t>
  </si>
  <si>
    <t xml:space="preserve">                        CONCRETO f'c=280 kg/cm2</t>
  </si>
  <si>
    <t xml:space="preserve">                        CURADO DE CONCRETO</t>
  </si>
  <si>
    <t>10101040502</t>
  </si>
  <si>
    <t xml:space="preserve">                    ACERO.</t>
  </si>
  <si>
    <t>10101040503</t>
  </si>
  <si>
    <t>101010406</t>
  </si>
  <si>
    <t xml:space="preserve">                VARIOS.</t>
  </si>
  <si>
    <t>10101040601</t>
  </si>
  <si>
    <t xml:space="preserve">                    TUBERÍA PARA DRENAJE.</t>
  </si>
  <si>
    <t>10101040602</t>
  </si>
  <si>
    <t xml:space="preserve">                    BARANDA METÁLICA.</t>
  </si>
  <si>
    <t>10101040603</t>
  </si>
  <si>
    <t xml:space="preserve">                    PINTURA .</t>
  </si>
  <si>
    <t xml:space="preserve"> ENCOFRADO Y DESENCOFRADO NORMAL DE ESTRIBOS</t>
  </si>
  <si>
    <t xml:space="preserve">  ENCOFRADO Y DESENCOFRADO CARAVISTA EN ESTRIBOS</t>
  </si>
  <si>
    <t>ENCOFRADO Y DESENCOFRADO DE SUPER ESTRUCTURA.</t>
  </si>
  <si>
    <t xml:space="preserve"> ENCOFRADO Y DESENCOFRADO CARAVISTA DE TABLERO</t>
  </si>
  <si>
    <t>CONCRETO CICLOPEO f'c=140 kg/cm2 + 30% PM</t>
  </si>
  <si>
    <t xml:space="preserve"> CONCRETO CICLOPEO f'c=175 kg/cm2 + 30% PG</t>
  </si>
  <si>
    <t xml:space="preserve"> ACERO DE REFUERZO GRADO 60 EN CIMENTACIÓN</t>
  </si>
  <si>
    <t xml:space="preserve"> ACERO DE REFUERZO GRADO 60 EN ESTRIBOS</t>
  </si>
  <si>
    <t>ACERO DE REFUERZO GRADO 60 EN LOSA DE TABLERO</t>
  </si>
  <si>
    <t xml:space="preserve">                 ESTRUCTURA METÁLICA.</t>
  </si>
  <si>
    <t xml:space="preserve"> FABRICACIÓN DE ESTRUCTURA METÁLICA (ACERO A-709)</t>
  </si>
  <si>
    <t>PINTURA DE ESTRUCTURAS METÁLICAS</t>
  </si>
  <si>
    <t xml:space="preserve"> TRANSPORTE DE ESTRUCTURA METÁLICA A OBRA</t>
  </si>
  <si>
    <t xml:space="preserve"> MONTAJE Y LANZAMIENTO DE ESTRUCTURA METÁLICA</t>
  </si>
  <si>
    <t xml:space="preserve"> TUBERIA DE PVC 3" PARA DRENAJE</t>
  </si>
  <si>
    <t>BARANDA METÁLICA, INC. PINTURA (SEGUN DISEÑO)</t>
  </si>
  <si>
    <t>10101040604</t>
  </si>
  <si>
    <t xml:space="preserve">                    ELEMENTOS DE APOYO.</t>
  </si>
  <si>
    <t>10101040605</t>
  </si>
  <si>
    <t xml:space="preserve">                    UÑA DE HINCADO.</t>
  </si>
  <si>
    <t>10101040606</t>
  </si>
  <si>
    <t xml:space="preserve">                    DOWELLS DE ANCLAJE.</t>
  </si>
  <si>
    <t>10101040607</t>
  </si>
  <si>
    <t xml:space="preserve">                    LOSA DE APROXIMACIÓN.</t>
  </si>
  <si>
    <t>1010105</t>
  </si>
  <si>
    <t xml:space="preserve">            PARTIDAS COMPLEMENTARIAS Y PRUEBAS DE LABORATORIO</t>
  </si>
  <si>
    <t>1010106</t>
  </si>
  <si>
    <t xml:space="preserve">            SEÑALIZACION Y SEGURIDAD VIAL</t>
  </si>
  <si>
    <t xml:space="preserve">                SEÑAL PREVENTIVA (0.60x0.60 m)</t>
  </si>
  <si>
    <t xml:space="preserve">                SEÑALES INFORMATIVAS</t>
  </si>
  <si>
    <t xml:space="preserve">                POSTES DE SOPORTE DE SEÑALES</t>
  </si>
  <si>
    <t xml:space="preserve">                POSTES DE KILOMETRAJE</t>
  </si>
  <si>
    <t>1010107</t>
  </si>
  <si>
    <t xml:space="preserve">            FLETE TERRESTRE</t>
  </si>
  <si>
    <t xml:space="preserve">                FLETE TERRESTRE</t>
  </si>
  <si>
    <t>1010108</t>
  </si>
  <si>
    <t xml:space="preserve">            MITIGACIÓN DE IMPACTO AMBIENTAL</t>
  </si>
  <si>
    <t>101010801</t>
  </si>
  <si>
    <t>101010802</t>
  </si>
  <si>
    <t xml:space="preserve">                PROGRAMA DE MONITOREO AMBIENTAL.</t>
  </si>
  <si>
    <t xml:space="preserve">                    MONITOREO DE LA CALIDAD DE AIRE</t>
  </si>
  <si>
    <t xml:space="preserve">                    MONITOREO DE LA CALIDAD DEL AGUA</t>
  </si>
  <si>
    <t xml:space="preserve">                    MONITOREO DE FLORA Y FAUNA</t>
  </si>
  <si>
    <t>101010803</t>
  </si>
  <si>
    <t xml:space="preserve">                PLAN DE MANEJO AMBIENTAL.</t>
  </si>
  <si>
    <t>1010109</t>
  </si>
  <si>
    <t xml:space="preserve">            SEGURIDAD Y SALUD.</t>
  </si>
  <si>
    <t xml:space="preserve">                EQUIPOS DE PROTECCIÓN INDIVIDUAL</t>
  </si>
  <si>
    <t xml:space="preserve">                EQUIPOS DE PROTECCIÓN COLECTIVA</t>
  </si>
  <si>
    <t xml:space="preserve">                SEÑALIZACIÓN TEMPORAL DE SEGURIDAD Y AMBIENTAL</t>
  </si>
  <si>
    <t>1010110</t>
  </si>
  <si>
    <t xml:space="preserve">            PLAN DE MONITOREO ARQUEOLÓGICO.</t>
  </si>
  <si>
    <t xml:space="preserve">                PLAN DE MONITOREO ARQUEÓLOGICO</t>
  </si>
  <si>
    <t xml:space="preserve"> PINTURA EN SARDINELES</t>
  </si>
  <si>
    <t xml:space="preserve"> APOYO DE NEOPRENO FIJO</t>
  </si>
  <si>
    <t xml:space="preserve"> APOYO DE NEOPRENO MOVIL</t>
  </si>
  <si>
    <t>FABRICACIÓN DE ESTRUCTURA METÁLICA (UÑA)</t>
  </si>
  <si>
    <t xml:space="preserve"> DOWELLS DE ANCLAJE D=1"</t>
  </si>
  <si>
    <t xml:space="preserve"> ACERO DE REFUERZO GRADO 60</t>
  </si>
  <si>
    <t>CURADO DE CONCRETO</t>
  </si>
  <si>
    <t>DISEÑO DE MEZCLA (CONCRETO)</t>
  </si>
  <si>
    <t xml:space="preserve"> TESTIGOS DE CONCRETO (BRIQUETAS) Y SLUMP TEST</t>
  </si>
  <si>
    <t>PRUEBA DE CALIDAD DEL CONCRETO (PRUEBA A LA COMPRESION)</t>
  </si>
  <si>
    <t xml:space="preserve"> PROCTOR DE CAMPO (COMPACTACIÓN)</t>
  </si>
  <si>
    <t>DENSIDAD DE CAMPO</t>
  </si>
  <si>
    <t xml:space="preserve"> PRUEBA DE CARGA DE SUPERESTRUCTURA (PUENTE)</t>
  </si>
  <si>
    <t>PLACA RECORDATORIA DE BRONCE</t>
  </si>
  <si>
    <t xml:space="preserve">        PROGRAMA DE CIERRE DE OBRA, PROTECCION AMBIENTAL.</t>
  </si>
  <si>
    <t xml:space="preserve"> RETIRO Y ALMACENAMIENTO DE TOP SOIL</t>
  </si>
  <si>
    <t xml:space="preserve"> REPOSICIÓN DE TOP SOIL</t>
  </si>
  <si>
    <t>REVEGETACIÓN</t>
  </si>
  <si>
    <t>READECUACIÓN DE DÉPOSITO DE MATERIALES EXCEDENTES</t>
  </si>
  <si>
    <t>READECUACIÓN AMBIENTAL DE CAMPAMENTOS</t>
  </si>
  <si>
    <t>READECUACIÓN AMBIENTAL DE ALMACENES Y PATIO DE MÁQUINAS</t>
  </si>
  <si>
    <t xml:space="preserve"> PROGRAMA DE CAPACITACIÓN AMBIENTAL Y SEGURIDAD</t>
  </si>
  <si>
    <t>PROGRAMA DE EDUCACIÓN AMBIENTAL Y SEGURIDAD VIAL</t>
  </si>
  <si>
    <t>PROGRAMA DE PREVENCIÓN Y CONTINGENCIAS</t>
  </si>
  <si>
    <t xml:space="preserve"> PROGRAMA DE MEDIDAS PREVENTIVAS, MITIGADORAS Y COR.</t>
  </si>
  <si>
    <t>km</t>
  </si>
  <si>
    <t xml:space="preserve"> JUNTAS DE DILATACIÓN CON TECKNOPORT EN MUROS DE C.</t>
  </si>
  <si>
    <t>tn</t>
  </si>
  <si>
    <t xml:space="preserve">      ELIMINACION DE MATERIAL EXCEDENTE.</t>
  </si>
  <si>
    <t>Tn</t>
  </si>
  <si>
    <t>ha</t>
  </si>
  <si>
    <t>PROYECTO    :   "CONSTRUCCION TROCHA CARROZABLE PACHACONAS - RAMAL HUANCARAY</t>
  </si>
  <si>
    <t>DISTRITO DE PACHACONAS -  PROVINCIA DE ANTABAMBA - REGION APURIMAC"</t>
  </si>
  <si>
    <t>TRANSPORTE</t>
  </si>
  <si>
    <t>MOVIMIENTO DE TIERRA EN ZONA DE DERRUMBE Y AMPLIACION DE PALTAFORMA</t>
  </si>
  <si>
    <t>MONTO</t>
  </si>
  <si>
    <t>SUPERVISION DEL PROYECTO</t>
  </si>
  <si>
    <t>CAPACITACION SOCIAL Y CAPACITACION EN OPERACIÓN Y MANTENIMIENTO</t>
  </si>
  <si>
    <t>GESTIÓN DE PROYECTO</t>
  </si>
  <si>
    <t>LIQUIDACION DE OBRA</t>
  </si>
  <si>
    <t>GASTOS GENERALES</t>
  </si>
  <si>
    <t>MAYORES METRADOS</t>
  </si>
  <si>
    <t>PARTIDAS NUEVAS</t>
  </si>
  <si>
    <t xml:space="preserve">CRONOGRAMA VALORIZADO </t>
  </si>
  <si>
    <t>D E S C R I P C I O N</t>
  </si>
  <si>
    <t>Proyecto:</t>
  </si>
  <si>
    <t>Lugar:</t>
  </si>
  <si>
    <t>Modalidad de Ejecucio</t>
  </si>
  <si>
    <t>COSTO DIRECTO TOTAL</t>
  </si>
  <si>
    <t>GASTOS GENERALES Y UTILIDAD</t>
  </si>
  <si>
    <t>SUB TOTAL</t>
  </si>
  <si>
    <t>AVANCE PARCIAL PROGRAMADO</t>
  </si>
  <si>
    <t>AVANCE ACUMULADO PROGRAMADO</t>
  </si>
  <si>
    <t>PERFILADO Y COMPACTADO EN ZONA DE CORTE</t>
  </si>
  <si>
    <t>CANT.</t>
  </si>
  <si>
    <t>No</t>
  </si>
  <si>
    <t>DIMENSIONES</t>
  </si>
  <si>
    <t>VECES</t>
  </si>
  <si>
    <t>VER PLANILLA DE MOVIMIENTO DE TIERRAS</t>
  </si>
  <si>
    <t>02.02.06</t>
  </si>
  <si>
    <t>M2</t>
  </si>
  <si>
    <t>03.01.04</t>
  </si>
  <si>
    <t>KG</t>
  </si>
  <si>
    <t>03.01.05</t>
  </si>
  <si>
    <t>03.01.06</t>
  </si>
  <si>
    <t>03.01.07</t>
  </si>
  <si>
    <t>03.01.08</t>
  </si>
  <si>
    <t>FORMATO No 04</t>
  </si>
  <si>
    <t xml:space="preserve">FECHA DE PRESENTACIÓN: </t>
  </si>
  <si>
    <t>CODIGO</t>
  </si>
  <si>
    <t>UNID</t>
  </si>
  <si>
    <t>MES</t>
  </si>
  <si>
    <t>* Indicar el título en función del metrado a sustentar.</t>
  </si>
  <si>
    <t>RESIDENTE DE OBRA</t>
  </si>
  <si>
    <t>ok</t>
  </si>
  <si>
    <t>OBRA:</t>
  </si>
  <si>
    <t xml:space="preserve">Monto  Contractual      </t>
  </si>
  <si>
    <t>Contratista</t>
  </si>
  <si>
    <t>: ADMINSITRACION DIRECTA</t>
  </si>
  <si>
    <t>Residente</t>
  </si>
  <si>
    <t>Supervision</t>
  </si>
  <si>
    <t>Plazo</t>
  </si>
  <si>
    <t>Fecha de Inicio</t>
  </si>
  <si>
    <t>CUADRO DE VALORIZACIONES DE OBRA</t>
  </si>
  <si>
    <t>ESTADO DE LA OBRA</t>
  </si>
  <si>
    <t>AL dia</t>
  </si>
  <si>
    <t>ACUMUL.</t>
  </si>
  <si>
    <t>MENSUAL</t>
  </si>
  <si>
    <t>ACUMULADA</t>
  </si>
  <si>
    <t>Cant</t>
  </si>
  <si>
    <t>1010101</t>
  </si>
  <si>
    <t>101010201</t>
  </si>
  <si>
    <t>101010203</t>
  </si>
  <si>
    <t>1010103</t>
  </si>
  <si>
    <t>101010301</t>
  </si>
  <si>
    <t>OBRAS PROVISIONALES</t>
  </si>
  <si>
    <t>MOVILIZACION Y DESMOVILIZACIÓN DE MAQUINARÌA, EQUIPO Y HERRAMIENTAS</t>
  </si>
  <si>
    <t>ACCESO A CANTERAS, DME Y FUENTES DE AGUA</t>
  </si>
  <si>
    <t>KM</t>
  </si>
  <si>
    <t>CONSTRUCCION PLATAFORMA DE VIA</t>
  </si>
  <si>
    <t>TOPOGRAFIA Y GEOREFERENCIACION</t>
  </si>
  <si>
    <t xml:space="preserve">MOVIMIENTO DE TIERRAS </t>
  </si>
  <si>
    <t>CORTE DE MATERIAL SUELTO</t>
  </si>
  <si>
    <t>EXCAVACIONES EN EXPLANACIONES EN ROCA FIJA</t>
  </si>
  <si>
    <t>02.02..03</t>
  </si>
  <si>
    <t>EXCAVACIONES EN EXPLANACIONES EN ROCA SUELTA</t>
  </si>
  <si>
    <t>02.02.07</t>
  </si>
  <si>
    <t>PERFILADO Y COMPACTADO EN ZONAS DE CORTE</t>
  </si>
  <si>
    <t>TRANSPORTE DE ELIMINACION DE MATERIAL A DME D&lt;=1 Km</t>
  </si>
  <si>
    <t>TRANSPORTE DE ELIMINACION DE MATERIAL A DME D&gt;1 Km</t>
  </si>
  <si>
    <t>OBRAS DE ARTE Y DRENAJE</t>
  </si>
  <si>
    <t>ALCANTARILLAS  (0,80M*0,80M)</t>
  </si>
  <si>
    <t>Alas de salida</t>
  </si>
  <si>
    <t>Alas de entrada</t>
  </si>
  <si>
    <t>Cajuela</t>
  </si>
  <si>
    <t>EXCAVACION NO CLASIFICADA PARA ESTRUCTURAS</t>
  </si>
  <si>
    <t>para cajon</t>
  </si>
  <si>
    <t>alas de salidad</t>
  </si>
  <si>
    <t>area</t>
  </si>
  <si>
    <t>alas de entrada</t>
  </si>
  <si>
    <t>cajuela</t>
  </si>
  <si>
    <t>CONCRETO CICLOPEO F'c=175 kg/cm2 + 30% PM</t>
  </si>
  <si>
    <t>en cimientos de alas de salida</t>
  </si>
  <si>
    <t>en cimientos de alas de entrada</t>
  </si>
  <si>
    <t>Base de aletas salida</t>
  </si>
  <si>
    <t>Base de aletas  entrada</t>
  </si>
  <si>
    <t xml:space="preserve">Base de Caja </t>
  </si>
  <si>
    <t>Muretes de caja</t>
  </si>
  <si>
    <t xml:space="preserve"> base Cajuela</t>
  </si>
  <si>
    <t>murete de cajuela</t>
  </si>
  <si>
    <t xml:space="preserve">ACERO DE REFUERZO GRADO 60 </t>
  </si>
  <si>
    <t>ver planilla acero</t>
  </si>
  <si>
    <t>Muretes laterales</t>
  </si>
  <si>
    <t>CONCRETO  FC=210 KG/CM2.</t>
  </si>
  <si>
    <t>tapa</t>
  </si>
  <si>
    <t>CONCRETO  FC=175 KG/CM2.</t>
  </si>
  <si>
    <t xml:space="preserve">Aletas de salida </t>
  </si>
  <si>
    <t>Aletas de entrada</t>
  </si>
  <si>
    <t>Parapeto</t>
  </si>
  <si>
    <t>RELLENO DE FUNDACIONES RENDIMIENTO = 8 M3/DIA</t>
  </si>
  <si>
    <t>Aletas de salida</t>
  </si>
  <si>
    <t>aletas de entrada</t>
  </si>
  <si>
    <t>Caja</t>
  </si>
  <si>
    <t xml:space="preserve">TOTAL </t>
  </si>
  <si>
    <t>PRESUPUESTO TOTAL DEL PROYECTO</t>
  </si>
  <si>
    <t>GESTION DE PROYECTO</t>
  </si>
  <si>
    <t>PRESUPUESTO SUB TOTAL</t>
  </si>
  <si>
    <t>CAPACITACION SOCIAL Y OPERACIÓN Y MANTENIMIENTO</t>
  </si>
  <si>
    <t>SUPERVISIÓN DEL PROYECTO</t>
  </si>
  <si>
    <t>AVANCE ACUMULADO PROGRAMADO (%)</t>
  </si>
  <si>
    <t>AVANCE  MENSUAL PROGRAMADO (%)</t>
  </si>
  <si>
    <t>PRESUPUESTO BASE (VALOR REFERENCIAL)</t>
  </si>
  <si>
    <t xml:space="preserve">                    PROGRAMA DE PREVENCIÓN Y CONTINGENCIAS</t>
  </si>
  <si>
    <t xml:space="preserve">                    PROGRAMA DE EDUCACIÓN AMBIENTAL Y SEGURIDAD VIAL</t>
  </si>
  <si>
    <t xml:space="preserve">                    PROGRAMA DE CAPACITACIÓN AMBIENTAL Y SEGURIDAD</t>
  </si>
  <si>
    <t xml:space="preserve">                    PROGRAMA DE MEDIDAS PREVENTIVAS, MITIGADORAS Y CORRECTIVAS</t>
  </si>
  <si>
    <t xml:space="preserve">                    READECUACIÓN AMBIENTAL DE ALMACENES Y PATIO DE MÁQUINAS</t>
  </si>
  <si>
    <t xml:space="preserve">                    READECUACIÓN AMBIENTAL DE CAMPAMENTOS</t>
  </si>
  <si>
    <t xml:space="preserve">                    READECUACIÓN DE DÉPOSITO DE MATERIALES EXCEDENTES</t>
  </si>
  <si>
    <t xml:space="preserve">                    REVEGETACIÓN</t>
  </si>
  <si>
    <t xml:space="preserve">                    REPOSICIÓN DE TOP SOIL</t>
  </si>
  <si>
    <t xml:space="preserve">                    RETIRO Y ALMACENAMIENTO DE TOP SOIL</t>
  </si>
  <si>
    <t xml:space="preserve">                PROGRAMA DE CIERRE DE OBRA, PROTECCION AMBIENTAL.</t>
  </si>
  <si>
    <t xml:space="preserve">                PLACA RECORDATORIA DE BRONCE</t>
  </si>
  <si>
    <t xml:space="preserve">                PRUEBA DE CARGA DE SUPERESTRUCTURA (PUENTE)</t>
  </si>
  <si>
    <t xml:space="preserve">                DENSIDAD DE CAMPO</t>
  </si>
  <si>
    <t xml:space="preserve">                PROCTOR DE CAMPO (COMPACTACIÓN)</t>
  </si>
  <si>
    <t xml:space="preserve">                PRUEBA DE CALIDAD DEL CONCRETO (PRUEBA A LA COMPRESION)</t>
  </si>
  <si>
    <t xml:space="preserve">                TESTIGOS DE CONCRETO (BRIQUETAS) Y SLUMP TEST</t>
  </si>
  <si>
    <t xml:space="preserve">                DISEÑO DE MEZCLA (CONCRETO)</t>
  </si>
  <si>
    <t xml:space="preserve">                        ENCOFRADO Y DESENCOFRADO PARA OBRAS DE ARTE</t>
  </si>
  <si>
    <t xml:space="preserve">                        ACERO DE REFUERZO GRADO 60</t>
  </si>
  <si>
    <t xml:space="preserve">                        DOWELLS DE ANCLAJE D=1"</t>
  </si>
  <si>
    <t xml:space="preserve">                        FABRICACIÓN DE ESTRUCTURA METÁLICA (UÑA)</t>
  </si>
  <si>
    <t xml:space="preserve">                        APOYO DE NEOPRENO MOVIL</t>
  </si>
  <si>
    <t xml:space="preserve">                        APOYO DE NEOPRENO FIJO</t>
  </si>
  <si>
    <t xml:space="preserve">                        PINTURA EN SARDINELES</t>
  </si>
  <si>
    <t xml:space="preserve">                        BARANDA METÁLICA, INC. PINTURA (SEGUN DISEÑO)</t>
  </si>
  <si>
    <t xml:space="preserve">                        TUBERIA DE PVC 3" PARA DRENAJE</t>
  </si>
  <si>
    <t xml:space="preserve">                        MONTAJE Y LANZAMIENTO DE ESTRUCTURA METÁLICA</t>
  </si>
  <si>
    <t xml:space="preserve">                        TRANSPORTE DE ESTRUCTURA METÁLICA A OBRA</t>
  </si>
  <si>
    <t xml:space="preserve">                        PINTURA DE ESTRUCTURAS METÁLICAS</t>
  </si>
  <si>
    <t xml:space="preserve">                        FABRICACIÓN DE ESTRUCTURA METÁLICA (ACERO A-709)</t>
  </si>
  <si>
    <t xml:space="preserve">                    ESTRUCTURA METÁLICA.</t>
  </si>
  <si>
    <t xml:space="preserve">                        ACERO DE REFUERZO GRADO 60 EN LOSA DE TABLERO</t>
  </si>
  <si>
    <t xml:space="preserve">                        ACERO DE REFUERZO GRADO 60 EN ESTRIBOS</t>
  </si>
  <si>
    <t xml:space="preserve">                        ACERO DE REFUERZO GRADO 60 EN CIMENTACIÓN</t>
  </si>
  <si>
    <t xml:space="preserve">                    CONCRETO CICLOPEO f'c=175 kg/cm2 + 30% PG</t>
  </si>
  <si>
    <t xml:space="preserve">                    CONCRETO CICLOPEO f'c=140 kg/cm2 + 30% PM</t>
  </si>
  <si>
    <t xml:space="preserve">                        ENCOFRADO Y DESENCOFRADO CARAVISTA DE TABLERO</t>
  </si>
  <si>
    <t xml:space="preserve">                    ENCOFRADO Y DESENCOFRADO DE SUPER ESTRUCTURA.</t>
  </si>
  <si>
    <t xml:space="preserve">                        ENCOFRADO Y DESENCOFRADO CARAVISTA EN ESTRIBOS</t>
  </si>
  <si>
    <t xml:space="preserve">                        ENCOFRADO Y DESENCOFRADO NORMAL DE ESTRIBOS</t>
  </si>
  <si>
    <t xml:space="preserve">                        ENCOFRADO Y DESENCOFRADO NORMAL BAJO AGUA</t>
  </si>
  <si>
    <t xml:space="preserve">                    ENCOFRADO Y DESENCOFRADO DE SUB ESTRUCTURA.</t>
  </si>
  <si>
    <t xml:space="preserve">                        TRANSPORTE DE ELIMINACIÓN DE MATERIAL A DME D&lt;=1 km</t>
  </si>
  <si>
    <t xml:space="preserve">                    ELIMINACION DE MATERIAL EXCEDENTE.</t>
  </si>
  <si>
    <t xml:space="preserve">                        RELLENO PARA ESTRUCTURAS CON MATERIAL PROPIO</t>
  </si>
  <si>
    <t xml:space="preserve">                        EXCAVACIÓN BAJO AGUA MANUAL</t>
  </si>
  <si>
    <t xml:space="preserve">                        EXCAVACIÓN BAJO AGUA CON MAQUINARIA</t>
  </si>
  <si>
    <t xml:space="preserve">                        EXCAVACIÓN EN SECO CON MAQUINARIA</t>
  </si>
  <si>
    <t xml:space="preserve">                    EXCAVACIONES.</t>
  </si>
  <si>
    <t xml:space="preserve">                    FLETE TERRESTRE DE MATERIALES A OBRA (PUENTE)</t>
  </si>
  <si>
    <t xml:space="preserve">                    TRAZO, REPLANTEO Y CONTROL TOPOGRAFICO</t>
  </si>
  <si>
    <t xml:space="preserve">                    LIMPIEZA MANUAL DE TERRENO</t>
  </si>
  <si>
    <t xml:space="preserve">                    CONFORMACIÓN Y PERFILADO DE CUNETAS (ROCA FIJA)</t>
  </si>
  <si>
    <t xml:space="preserve">                    CONFORMACIÓN Y PERFILADO DE CUNETAS (ROCA SUELTA)</t>
  </si>
  <si>
    <t xml:space="preserve">                    CONFORMACIÓN Y PERFILADO DE CUNETAS (MATERIAL SUELTO)</t>
  </si>
  <si>
    <t xml:space="preserve">                    RELLENO PARA ESTRUCTURAS CON MATERIAL PROPIO</t>
  </si>
  <si>
    <t xml:space="preserve">                    JUNTAS DE DILATACIÓN CON TECKNOPORT EN MUROS DE CONTENCIÓN</t>
  </si>
  <si>
    <t xml:space="preserve">                    TUBERIA DE PVC 4" PARA DRENAJE</t>
  </si>
  <si>
    <t xml:space="preserve">                    TUBERIA DE PVC 2" PARA DRENAJE</t>
  </si>
  <si>
    <t xml:space="preserve">                    CONCRETO CICLOPEO f'c=175 kg/cm2 + 30% PM</t>
  </si>
  <si>
    <t xml:space="preserve">                    ENCOFRADO Y DESENCOFRADO PARA OBRAS DE ARTE</t>
  </si>
  <si>
    <t xml:space="preserve">                    EXCAVACIÓN NO CLASIFICADA PARA ESTRUCTURAS</t>
  </si>
  <si>
    <t xml:space="preserve">                MURO DE CONTENCION (L=100 m).</t>
  </si>
  <si>
    <t xml:space="preserve">                    CONCRETO f'c=175 kg/cm2</t>
  </si>
  <si>
    <t xml:space="preserve">                    ACERO DE REFUERZO GRADO 60</t>
  </si>
  <si>
    <t xml:space="preserve">                    TRANSPORTE DE ELIMINACIÓN DE MATERIAL A DME &gt;1 km</t>
  </si>
  <si>
    <t xml:space="preserve">                    TRANSPORTE DE ELIMINACIÓN DE MATERIAL A DME D&lt;=1 km</t>
  </si>
  <si>
    <t xml:space="preserve">                    PERFILADO Y COMPACTADO EN ZONA DE CORTE</t>
  </si>
  <si>
    <t xml:space="preserve">                    CONFORMACION DE TERRAPLENES</t>
  </si>
  <si>
    <t xml:space="preserve">                    EXCAVACIÓN EN EXPLANACIONES EN ROCA SUELTA</t>
  </si>
  <si>
    <t xml:space="preserve">                    EXCAVACIÓN EN EXPLANACIONES EN ROCA FIJA</t>
  </si>
  <si>
    <t xml:space="preserve">                    CORTE DE MATERIAL SUELTO</t>
  </si>
  <si>
    <t xml:space="preserve">                    TOPOGRAFÍA Y GEOREFERENCIACIÓN</t>
  </si>
  <si>
    <t xml:space="preserve">                ACCESO A CANTERAS, DME Y FUENTES DE AGUA</t>
  </si>
  <si>
    <t xml:space="preserve">                MOVILIZACIÓN Y DESMOVILIZACIÓN DE MAQUINARIA, EQUIPO Y HERRAMIENTAS.</t>
  </si>
  <si>
    <t xml:space="preserve">        CONSTRUCCIÓN TROCHA CARROZABLE PACHACONAS - RAMAL HUANCARAY.</t>
  </si>
  <si>
    <t>10101</t>
  </si>
  <si>
    <t xml:space="preserve">    CONSTRUCCIÓN TROCHA CARROZABLE PACHACONAS - RAMAL HUANCARAY - DISTRITO DE PACHACONAS, PROVINCIA DE ANTABAMBA, REGION APURIMAC</t>
  </si>
  <si>
    <t>101</t>
  </si>
  <si>
    <t>JUNIO</t>
  </si>
  <si>
    <t>MAYO</t>
  </si>
  <si>
    <t>MESES</t>
  </si>
  <si>
    <t>Costo</t>
  </si>
  <si>
    <t>P.U.</t>
  </si>
  <si>
    <t>Metrado Total</t>
  </si>
  <si>
    <t>Descripción (WBS - Actividad)</t>
  </si>
  <si>
    <t>Fase</t>
  </si>
  <si>
    <t>: "CONSTRUCCIÓN TROCHA CARROZABLE PACHACONAS - RAMAL HUANCARAY"</t>
  </si>
  <si>
    <t>VIAS VECINALES</t>
  </si>
  <si>
    <t>: 0066</t>
  </si>
  <si>
    <t>GRPF</t>
  </si>
  <si>
    <t>TRANSPORTE TERRESTRE</t>
  </si>
  <si>
    <t>: 033</t>
  </si>
  <si>
    <t>DIVF</t>
  </si>
  <si>
    <t>CONSTRUCCION DE CAMINO VECINAL</t>
  </si>
  <si>
    <t>ACT/AI/OBRA</t>
  </si>
  <si>
    <t>CONSTRUCCIÓN TROCHA CARROZABLE PACHACONAS - RAMAL HUANCARAY</t>
  </si>
  <si>
    <t>: 2114044</t>
  </si>
  <si>
    <t>PROD/PRY</t>
  </si>
  <si>
    <t>ASIGNACIONES PRESUPUESTARIAS QUE NO RESULTAN EN PRODUCTOS</t>
  </si>
  <si>
    <t>: 9002</t>
  </si>
  <si>
    <t>: 3-19</t>
  </si>
  <si>
    <t>FTE.FTO</t>
  </si>
  <si>
    <t>CRONOGRAMA VALORIZADO DE EJECUCIÓN</t>
  </si>
  <si>
    <t>*</t>
  </si>
  <si>
    <t>HOJA DE METRADOS MES DE FEBRERO - 2016</t>
  </si>
  <si>
    <t>03.02</t>
  </si>
  <si>
    <t>03.02.01</t>
  </si>
  <si>
    <t>03.02.02</t>
  </si>
  <si>
    <t>03.02.03</t>
  </si>
  <si>
    <t>03.02.04</t>
  </si>
  <si>
    <t>03.02.05</t>
  </si>
  <si>
    <t>03.02.06</t>
  </si>
  <si>
    <t>03.02.07</t>
  </si>
  <si>
    <t>03.02.08</t>
  </si>
  <si>
    <t>03.03</t>
  </si>
  <si>
    <t>03.03.01</t>
  </si>
  <si>
    <t>03.03.02</t>
  </si>
  <si>
    <t>03.03.03</t>
  </si>
  <si>
    <t>04</t>
  </si>
  <si>
    <t>04.01</t>
  </si>
  <si>
    <t>04.01.01</t>
  </si>
  <si>
    <t>04.01.02</t>
  </si>
  <si>
    <t>04.01.03</t>
  </si>
  <si>
    <t>04.02</t>
  </si>
  <si>
    <t>04.02.01</t>
  </si>
  <si>
    <t>04.02.02</t>
  </si>
  <si>
    <t>04.02.03</t>
  </si>
  <si>
    <t>04.03</t>
  </si>
  <si>
    <t>04.03.01</t>
  </si>
  <si>
    <t>04.03.02</t>
  </si>
  <si>
    <t>04.04</t>
  </si>
  <si>
    <t>04.04.01</t>
  </si>
  <si>
    <t>04.04.02</t>
  </si>
  <si>
    <t>04.04.03</t>
  </si>
  <si>
    <t>04.04.04</t>
  </si>
  <si>
    <t>04.05</t>
  </si>
  <si>
    <t>04.05.01</t>
  </si>
  <si>
    <t>04.05.02</t>
  </si>
  <si>
    <t>04.05.03</t>
  </si>
  <si>
    <t>04.06.01</t>
  </si>
  <si>
    <t>04.06.02</t>
  </si>
  <si>
    <t>05</t>
  </si>
  <si>
    <t>05.01</t>
  </si>
  <si>
    <t>05.02</t>
  </si>
  <si>
    <t>06</t>
  </si>
  <si>
    <t>06.01</t>
  </si>
  <si>
    <t>02.04</t>
  </si>
  <si>
    <t>02.04.01</t>
  </si>
  <si>
    <t>03.04</t>
  </si>
  <si>
    <t>03.04.01</t>
  </si>
  <si>
    <t>03.04.01.01</t>
  </si>
  <si>
    <t>03.04.01.02</t>
  </si>
  <si>
    <t>03.04.02</t>
  </si>
  <si>
    <t>03.04.02.01</t>
  </si>
  <si>
    <t>03.04.03</t>
  </si>
  <si>
    <t>03.04.03.01</t>
  </si>
  <si>
    <t>03.05</t>
  </si>
  <si>
    <t>03.05.01</t>
  </si>
  <si>
    <t>03.05.01.01</t>
  </si>
  <si>
    <t>JULIO</t>
  </si>
  <si>
    <t>PUENTE</t>
  </si>
  <si>
    <t>AGOSTO</t>
  </si>
  <si>
    <t>“MEJORAMIENTO DEL SERVICIO EDUCATIVO DE NIVEL INICIAL EN LA IEI 1100 PICHIUCA PROVINCIA DE ABANCAY - REGIÓN APURÍMAC".</t>
  </si>
  <si>
    <t>22 EDUCACION</t>
  </si>
  <si>
    <t>RECURSOS ORDINARIOS</t>
  </si>
  <si>
    <t>LAMBRAMA</t>
  </si>
  <si>
    <t>ABANCAY</t>
  </si>
  <si>
    <t>01.01.01</t>
  </si>
  <si>
    <t>01.01.02</t>
  </si>
  <si>
    <t>01.01.03</t>
  </si>
  <si>
    <t>01.01.04</t>
  </si>
  <si>
    <t>01.01.05</t>
  </si>
  <si>
    <t>01.02.01</t>
  </si>
  <si>
    <t>01.02.02</t>
  </si>
  <si>
    <t>01.02.03</t>
  </si>
  <si>
    <t>01.03</t>
  </si>
  <si>
    <t>01.03.01</t>
  </si>
  <si>
    <t>01.03.02</t>
  </si>
  <si>
    <t>01.04</t>
  </si>
  <si>
    <t>01.04.01</t>
  </si>
  <si>
    <t>01.04.02</t>
  </si>
  <si>
    <t>01.05</t>
  </si>
  <si>
    <t>01.05.01</t>
  </si>
  <si>
    <t>01.05.02</t>
  </si>
  <si>
    <t>01.05.03</t>
  </si>
  <si>
    <t>01.05.04</t>
  </si>
  <si>
    <t>01.05.05</t>
  </si>
  <si>
    <t>01.05.06</t>
  </si>
  <si>
    <t>02.01.01.01</t>
  </si>
  <si>
    <t>02.01.01.02</t>
  </si>
  <si>
    <t>02.01.01.03</t>
  </si>
  <si>
    <t>02.01.01.04</t>
  </si>
  <si>
    <t>02.01.01.05</t>
  </si>
  <si>
    <t>02.01.01.06</t>
  </si>
  <si>
    <t>02.01.02</t>
  </si>
  <si>
    <t>02.01.02.01</t>
  </si>
  <si>
    <t>02.01.02.02</t>
  </si>
  <si>
    <t>02.01.02.03</t>
  </si>
  <si>
    <t>02.01.02.04</t>
  </si>
  <si>
    <t>02.01.02.05</t>
  </si>
  <si>
    <t>02.01.02.06</t>
  </si>
  <si>
    <t>02.01.03</t>
  </si>
  <si>
    <t>02.01.03.01</t>
  </si>
  <si>
    <t>02.01.03.01.01</t>
  </si>
  <si>
    <t>02.01.03.01.02</t>
  </si>
  <si>
    <t>02.01.03.02</t>
  </si>
  <si>
    <t>02.01.03.02.01</t>
  </si>
  <si>
    <t>02.01.03.02.02</t>
  </si>
  <si>
    <t>02.01.03.02.03</t>
  </si>
  <si>
    <t>02.01.03.03</t>
  </si>
  <si>
    <t>02.01.03.03.01</t>
  </si>
  <si>
    <t>02.01.03.03.02</t>
  </si>
  <si>
    <t>02.01.03.03.03</t>
  </si>
  <si>
    <t>02.01.03.04</t>
  </si>
  <si>
    <t>02.01.03.04.01</t>
  </si>
  <si>
    <t>02.01.03.04.02</t>
  </si>
  <si>
    <t>02.01.03.04.03</t>
  </si>
  <si>
    <t>02.01.03.05</t>
  </si>
  <si>
    <t>02.01.03.05.01</t>
  </si>
  <si>
    <t>02.01.03.05.02</t>
  </si>
  <si>
    <t>02.01.03.05.03</t>
  </si>
  <si>
    <t>02.01.03.06</t>
  </si>
  <si>
    <t>02.01.03.06.01</t>
  </si>
  <si>
    <t>02.01.03.06.02</t>
  </si>
  <si>
    <t>02.01.03.06.03</t>
  </si>
  <si>
    <t>02.01.03.06.04</t>
  </si>
  <si>
    <t>02.01.03.07</t>
  </si>
  <si>
    <t>02.01.03.07.01</t>
  </si>
  <si>
    <t>02.01.03.07.02</t>
  </si>
  <si>
    <t>02.01.03.07.03</t>
  </si>
  <si>
    <t>02.01.04</t>
  </si>
  <si>
    <t>02.01.04.01</t>
  </si>
  <si>
    <t>02.01.05</t>
  </si>
  <si>
    <t>02.01.05.01</t>
  </si>
  <si>
    <t>02.01.05.02</t>
  </si>
  <si>
    <t>02.02.01.01</t>
  </si>
  <si>
    <t>02.02.01.02</t>
  </si>
  <si>
    <t>02.02.01.03</t>
  </si>
  <si>
    <t>02.02.01.04</t>
  </si>
  <si>
    <t>02.02.01.05</t>
  </si>
  <si>
    <t>02.02.01.06</t>
  </si>
  <si>
    <t>02.02.02.01</t>
  </si>
  <si>
    <t>02.02.02.02</t>
  </si>
  <si>
    <t>02.02.02.03</t>
  </si>
  <si>
    <t>02.02.02.04</t>
  </si>
  <si>
    <t>02.02.02.05</t>
  </si>
  <si>
    <t>02.02.03</t>
  </si>
  <si>
    <t>02.02.03.01</t>
  </si>
  <si>
    <t>02.02.03.01.01</t>
  </si>
  <si>
    <t>02.02.03.01.02</t>
  </si>
  <si>
    <t>02.02.03.02</t>
  </si>
  <si>
    <t>02.02.03.02.01</t>
  </si>
  <si>
    <t>02.02.03.02.02</t>
  </si>
  <si>
    <t>02.02.03.02.03</t>
  </si>
  <si>
    <t>02.02.03.03</t>
  </si>
  <si>
    <t>02.02.03.03.01</t>
  </si>
  <si>
    <t>02.02.03.03.02</t>
  </si>
  <si>
    <t>02.02.03.03.03</t>
  </si>
  <si>
    <t>02.02.03.04</t>
  </si>
  <si>
    <t>02.02.03.04.01</t>
  </si>
  <si>
    <t>02.02.03.04.02</t>
  </si>
  <si>
    <t>02.02.03.04.03</t>
  </si>
  <si>
    <t>02.02.03.05</t>
  </si>
  <si>
    <t>02.02.03.05.01</t>
  </si>
  <si>
    <t>02.02.03.05.02</t>
  </si>
  <si>
    <t>02.02.03.05.03</t>
  </si>
  <si>
    <t>02.02.03.06</t>
  </si>
  <si>
    <t>02.02.03.06.01</t>
  </si>
  <si>
    <t>02.02.03.06.02</t>
  </si>
  <si>
    <t>02.02.03.06.03</t>
  </si>
  <si>
    <t>02.02.03.06.04</t>
  </si>
  <si>
    <t>02.02.03.07</t>
  </si>
  <si>
    <t>02.02.03.07.01</t>
  </si>
  <si>
    <t>02.02.03.07.02</t>
  </si>
  <si>
    <t>02.02.03.07.03</t>
  </si>
  <si>
    <t>02.02.04</t>
  </si>
  <si>
    <t>02.02.04.01</t>
  </si>
  <si>
    <t>02.02.05</t>
  </si>
  <si>
    <t>02.02.05.01</t>
  </si>
  <si>
    <t>02.02.05.02</t>
  </si>
  <si>
    <t>02.03.01.01</t>
  </si>
  <si>
    <t>02.03.01.02</t>
  </si>
  <si>
    <t>02.03.01.03</t>
  </si>
  <si>
    <t>02.03.01.04</t>
  </si>
  <si>
    <t>02.03.01.05</t>
  </si>
  <si>
    <t>02.03.01.06</t>
  </si>
  <si>
    <t>02.03.02.01</t>
  </si>
  <si>
    <t>02.03.02.02</t>
  </si>
  <si>
    <t>02.03.02.03</t>
  </si>
  <si>
    <t>02.03.02.04</t>
  </si>
  <si>
    <t>02.03.02.05</t>
  </si>
  <si>
    <t>02.03.03</t>
  </si>
  <si>
    <t>02.03.03.01</t>
  </si>
  <si>
    <t>02.03.03.01.01</t>
  </si>
  <si>
    <t>02.03.03.01.02</t>
  </si>
  <si>
    <t>02.03.03.02</t>
  </si>
  <si>
    <t>02.03.03.02.01</t>
  </si>
  <si>
    <t>02.03.03.02.02</t>
  </si>
  <si>
    <t>02.03.03.02.03</t>
  </si>
  <si>
    <t>02.03.03.03</t>
  </si>
  <si>
    <t>02.03.03.03.01</t>
  </si>
  <si>
    <t>02.03.03.03.02</t>
  </si>
  <si>
    <t>02.03.03.03.03</t>
  </si>
  <si>
    <t>02.03.03.04</t>
  </si>
  <si>
    <t>02.03.03.04.01</t>
  </si>
  <si>
    <t>02.03.03.04.02</t>
  </si>
  <si>
    <t>02.03.03.04.03</t>
  </si>
  <si>
    <t>02.03.03.05</t>
  </si>
  <si>
    <t>02.03.03.05.01</t>
  </si>
  <si>
    <t>02.03.03.05.02</t>
  </si>
  <si>
    <t>02.03.03.05.03</t>
  </si>
  <si>
    <t>02.03.03.06</t>
  </si>
  <si>
    <t>02.03.03.06.01</t>
  </si>
  <si>
    <t>02.03.03.06.02</t>
  </si>
  <si>
    <t>02.03.03.06.03</t>
  </si>
  <si>
    <t>02.03.03.06.04</t>
  </si>
  <si>
    <t>02.03.03.07</t>
  </si>
  <si>
    <t>02.03.03.07.01</t>
  </si>
  <si>
    <t>02.03.03.07.02</t>
  </si>
  <si>
    <t>02.03.03.07.03</t>
  </si>
  <si>
    <t>02.03.04</t>
  </si>
  <si>
    <t>02.03.04.01</t>
  </si>
  <si>
    <t>02.03.05</t>
  </si>
  <si>
    <t>02.03.05.01</t>
  </si>
  <si>
    <t>02.03.05.02</t>
  </si>
  <si>
    <t>02.04.01.01</t>
  </si>
  <si>
    <t>02.04.01.02</t>
  </si>
  <si>
    <t>02.04.01.03</t>
  </si>
  <si>
    <t>02.04.01.04</t>
  </si>
  <si>
    <t>02.04.01.05</t>
  </si>
  <si>
    <t>02.04.01.06</t>
  </si>
  <si>
    <t>02.04.02</t>
  </si>
  <si>
    <t>02.04.02.01</t>
  </si>
  <si>
    <t>02.04.02.02</t>
  </si>
  <si>
    <t>02.04.02.03</t>
  </si>
  <si>
    <t>02.04.02.04</t>
  </si>
  <si>
    <t>02.04.02.05</t>
  </si>
  <si>
    <t>02.04.02.06</t>
  </si>
  <si>
    <t>02.04.03</t>
  </si>
  <si>
    <t>02.04.03.01</t>
  </si>
  <si>
    <t>02.04.03.01.01</t>
  </si>
  <si>
    <t>02.04.03.01.02</t>
  </si>
  <si>
    <t>02.04.03.02</t>
  </si>
  <si>
    <t>02.04.03.02.01</t>
  </si>
  <si>
    <t>02.04.03.02.02</t>
  </si>
  <si>
    <t>02.04.03.02.03</t>
  </si>
  <si>
    <t>02.04.03.03</t>
  </si>
  <si>
    <t>02.04.03.03.01</t>
  </si>
  <si>
    <t>02.04.03.03.02</t>
  </si>
  <si>
    <t>02.04.03.03.03</t>
  </si>
  <si>
    <t>02.04.03.04</t>
  </si>
  <si>
    <t>02.04.03.04.01</t>
  </si>
  <si>
    <t>02.04.03.04.02</t>
  </si>
  <si>
    <t>02.04.03.04.03</t>
  </si>
  <si>
    <t>02.04.03.05</t>
  </si>
  <si>
    <t>02.04.03.05.01</t>
  </si>
  <si>
    <t>02.04.03.05.02</t>
  </si>
  <si>
    <t>02.04.03.05.03</t>
  </si>
  <si>
    <t>02.04.03.06</t>
  </si>
  <si>
    <t>02.04.03.06.01</t>
  </si>
  <si>
    <t>02.04.03.06.02</t>
  </si>
  <si>
    <t>02.04.03.06.03</t>
  </si>
  <si>
    <t>02.04.03.06.04</t>
  </si>
  <si>
    <t>02.04.03.07</t>
  </si>
  <si>
    <t>02.04.03.07.01</t>
  </si>
  <si>
    <t>02.04.03.07.02</t>
  </si>
  <si>
    <t>02.04.03.07.03</t>
  </si>
  <si>
    <t>02.04.04</t>
  </si>
  <si>
    <t>02.04.04.01</t>
  </si>
  <si>
    <t>02.04.05</t>
  </si>
  <si>
    <t>02.04.05.01</t>
  </si>
  <si>
    <t>02.04.05.02</t>
  </si>
  <si>
    <t>02.05</t>
  </si>
  <si>
    <t>02.05.01</t>
  </si>
  <si>
    <t>02.05.01.01</t>
  </si>
  <si>
    <t>02.05.01.02</t>
  </si>
  <si>
    <t>02.05.02</t>
  </si>
  <si>
    <t>02.05.02.01</t>
  </si>
  <si>
    <t>02.05.03</t>
  </si>
  <si>
    <t>02.05.03.01</t>
  </si>
  <si>
    <t>02.05.03.01.01</t>
  </si>
  <si>
    <t>02.05.03.01.02</t>
  </si>
  <si>
    <t>02.05.03.01.03</t>
  </si>
  <si>
    <t>02.05.03.02</t>
  </si>
  <si>
    <t>02.05.03.02.01</t>
  </si>
  <si>
    <t>02.05.03.02.02</t>
  </si>
  <si>
    <t>02.05.03.02.03</t>
  </si>
  <si>
    <t>02.05.03.03</t>
  </si>
  <si>
    <t>02.05.03.03.01</t>
  </si>
  <si>
    <t>02.05.03.03.02</t>
  </si>
  <si>
    <t>02.05.03.03.03</t>
  </si>
  <si>
    <t>02.05.04</t>
  </si>
  <si>
    <t>02.05.04.01</t>
  </si>
  <si>
    <t>02.06</t>
  </si>
  <si>
    <t>02.06.01</t>
  </si>
  <si>
    <t>02.06.01.01</t>
  </si>
  <si>
    <t>02.06.01.02</t>
  </si>
  <si>
    <t>02.06.02</t>
  </si>
  <si>
    <t>02.06.02.01</t>
  </si>
  <si>
    <t>02.06.02.02</t>
  </si>
  <si>
    <t>02.06.02.03</t>
  </si>
  <si>
    <t>02.06.03</t>
  </si>
  <si>
    <t>02.06.03.01</t>
  </si>
  <si>
    <t>02.06.03.02</t>
  </si>
  <si>
    <t>02.07</t>
  </si>
  <si>
    <t>02.07.01</t>
  </si>
  <si>
    <t>02.07.01.01</t>
  </si>
  <si>
    <t>02.07.01.02</t>
  </si>
  <si>
    <t>02.07.02</t>
  </si>
  <si>
    <t>02.07.02.01</t>
  </si>
  <si>
    <t>02.07.02.02</t>
  </si>
  <si>
    <t>02.08</t>
  </si>
  <si>
    <t>02.08.01</t>
  </si>
  <si>
    <t>02.08.01.01</t>
  </si>
  <si>
    <t>02.08.01.02</t>
  </si>
  <si>
    <t>02.08.01.03</t>
  </si>
  <si>
    <t>02.08.02</t>
  </si>
  <si>
    <t>02.08.02.01</t>
  </si>
  <si>
    <t>02.08.02.02</t>
  </si>
  <si>
    <t>02.08.03</t>
  </si>
  <si>
    <t>02.08.03.01</t>
  </si>
  <si>
    <t>02.08.03.01.01</t>
  </si>
  <si>
    <t>02.08.03.01.02</t>
  </si>
  <si>
    <t>02.08.04</t>
  </si>
  <si>
    <t>02.08.04.01</t>
  </si>
  <si>
    <t>02.08.04.02</t>
  </si>
  <si>
    <t>02.08.04.03</t>
  </si>
  <si>
    <t>02.08.04.04</t>
  </si>
  <si>
    <t>02.08.04.05</t>
  </si>
  <si>
    <t>02.08.05</t>
  </si>
  <si>
    <t>02.08.05.01</t>
  </si>
  <si>
    <t>03.01.01.01</t>
  </si>
  <si>
    <t>03.01.01.02</t>
  </si>
  <si>
    <t>03.01.02.01</t>
  </si>
  <si>
    <t>03.01.02.02</t>
  </si>
  <si>
    <t>03.01.02.03</t>
  </si>
  <si>
    <t>03.01.02.04</t>
  </si>
  <si>
    <t>03.01.02.05</t>
  </si>
  <si>
    <t>03.01.02.06</t>
  </si>
  <si>
    <t>03.01.02.07</t>
  </si>
  <si>
    <t>03.01.03.01</t>
  </si>
  <si>
    <t>03.01.04.01</t>
  </si>
  <si>
    <t>03.01.04.02</t>
  </si>
  <si>
    <t>03.01.04.03</t>
  </si>
  <si>
    <t>03.01.05.01</t>
  </si>
  <si>
    <t>03.01.05.02</t>
  </si>
  <si>
    <t>03.01.06.01</t>
  </si>
  <si>
    <t>03.01.07.01</t>
  </si>
  <si>
    <t>03.01.07.02</t>
  </si>
  <si>
    <t>03.01.07.03</t>
  </si>
  <si>
    <t>03.01.08.01</t>
  </si>
  <si>
    <t>03.01.08.02</t>
  </si>
  <si>
    <t>03.01.09</t>
  </si>
  <si>
    <t>03.01.09.01</t>
  </si>
  <si>
    <t>03.01.10</t>
  </si>
  <si>
    <t>03.01.10.01</t>
  </si>
  <si>
    <t>03.01.10.02</t>
  </si>
  <si>
    <t>03.01.11</t>
  </si>
  <si>
    <t>03.01.11.01</t>
  </si>
  <si>
    <t>03.01.11.02</t>
  </si>
  <si>
    <t>03.01.12</t>
  </si>
  <si>
    <t>03.01.12.01</t>
  </si>
  <si>
    <t>03.01.12.02</t>
  </si>
  <si>
    <t>03.01.12.03</t>
  </si>
  <si>
    <t>03.01.12.04</t>
  </si>
  <si>
    <t>03.01.12.05</t>
  </si>
  <si>
    <t>03.01.12.06</t>
  </si>
  <si>
    <t>03.01.12.07</t>
  </si>
  <si>
    <t>03.01.13</t>
  </si>
  <si>
    <t>03.01.13.01</t>
  </si>
  <si>
    <t>03.01.13.02</t>
  </si>
  <si>
    <t>03.01.13.03</t>
  </si>
  <si>
    <t>03.02.01.01</t>
  </si>
  <si>
    <t>03.02.01.02</t>
  </si>
  <si>
    <t>03.02.02.01</t>
  </si>
  <si>
    <t>03.02.02.02</t>
  </si>
  <si>
    <t>03.02.02.03</t>
  </si>
  <si>
    <t>03.02.02.04</t>
  </si>
  <si>
    <t>03.02.02.05</t>
  </si>
  <si>
    <t>03.02.02.06</t>
  </si>
  <si>
    <t>03.02.02.07</t>
  </si>
  <si>
    <t>03.02.03.01</t>
  </si>
  <si>
    <t>03.02.04.01</t>
  </si>
  <si>
    <t>03.02.04.02</t>
  </si>
  <si>
    <t>03.02.04.03</t>
  </si>
  <si>
    <t>03.02.04.04</t>
  </si>
  <si>
    <t>03.02.05.01</t>
  </si>
  <si>
    <t>03.02.06.01</t>
  </si>
  <si>
    <t>03.02.06.02</t>
  </si>
  <si>
    <t>03.02.06.03</t>
  </si>
  <si>
    <t>03.02.06.04</t>
  </si>
  <si>
    <t>03.02.07.01</t>
  </si>
  <si>
    <t>03.02.07.02</t>
  </si>
  <si>
    <t>03.02.07.03</t>
  </si>
  <si>
    <t>03.02.08.01</t>
  </si>
  <si>
    <t>03.02.08.02</t>
  </si>
  <si>
    <t>03.02.09</t>
  </si>
  <si>
    <t>03.02.09.01</t>
  </si>
  <si>
    <t>03.02.10</t>
  </si>
  <si>
    <t>03.02.10.01</t>
  </si>
  <si>
    <t>03.02.10.02</t>
  </si>
  <si>
    <t>03.02.10.03</t>
  </si>
  <si>
    <t>03.02.11</t>
  </si>
  <si>
    <t>03.02.11.01</t>
  </si>
  <si>
    <t>03.02.11.02</t>
  </si>
  <si>
    <t>03.02.12</t>
  </si>
  <si>
    <t>03.02.12.01</t>
  </si>
  <si>
    <t>03.02.12.02</t>
  </si>
  <si>
    <t>03.02.12.03</t>
  </si>
  <si>
    <t>03.02.12.04</t>
  </si>
  <si>
    <t>03.02.12.05</t>
  </si>
  <si>
    <t>03.02.12.06</t>
  </si>
  <si>
    <t>03.02.12.07</t>
  </si>
  <si>
    <t>03.02.13</t>
  </si>
  <si>
    <t>03.02.13.01</t>
  </si>
  <si>
    <t>03.02.13.02</t>
  </si>
  <si>
    <t>03.02.13.03</t>
  </si>
  <si>
    <t>03.03.01.01</t>
  </si>
  <si>
    <t>03.03.01.02</t>
  </si>
  <si>
    <t>03.03.02.01</t>
  </si>
  <si>
    <t>03.03.02.02</t>
  </si>
  <si>
    <t>03.03.02.03</t>
  </si>
  <si>
    <t>03.03.02.04</t>
  </si>
  <si>
    <t>03.03.02.05</t>
  </si>
  <si>
    <t>03.03.02.06</t>
  </si>
  <si>
    <t>03.03.02.07</t>
  </si>
  <si>
    <t>03.03.03.01</t>
  </si>
  <si>
    <t>03.03.04</t>
  </si>
  <si>
    <t>03.03.04.01</t>
  </si>
  <si>
    <t>03.03.04.02</t>
  </si>
  <si>
    <t>03.03.04.03</t>
  </si>
  <si>
    <t>03.03.05</t>
  </si>
  <si>
    <t>03.03.05.01</t>
  </si>
  <si>
    <t>03.03.05.02</t>
  </si>
  <si>
    <t>03.03.06</t>
  </si>
  <si>
    <t>03.03.06.01</t>
  </si>
  <si>
    <t>03.03.07</t>
  </si>
  <si>
    <t>03.03.07.01</t>
  </si>
  <si>
    <t>03.03.07.02</t>
  </si>
  <si>
    <t>03.03.07.03</t>
  </si>
  <si>
    <t>03.03.08</t>
  </si>
  <si>
    <t>03.03.08.01</t>
  </si>
  <si>
    <t>03.03.08.02</t>
  </si>
  <si>
    <t>03.03.09</t>
  </si>
  <si>
    <t>03.03.09.01</t>
  </si>
  <si>
    <t>03.03.09.02</t>
  </si>
  <si>
    <t>03.03.10</t>
  </si>
  <si>
    <t>03.03.10.01</t>
  </si>
  <si>
    <t>03.03.10.02</t>
  </si>
  <si>
    <t>03.03.10.03</t>
  </si>
  <si>
    <t>03.03.11</t>
  </si>
  <si>
    <t>03.03.11.01</t>
  </si>
  <si>
    <t>03.03.11.02</t>
  </si>
  <si>
    <t>03.03.12</t>
  </si>
  <si>
    <t>03.03.12.01</t>
  </si>
  <si>
    <t>03.03.12.02</t>
  </si>
  <si>
    <t>03.03.12.03</t>
  </si>
  <si>
    <t>03.03.12.04</t>
  </si>
  <si>
    <t>03.03.12.05</t>
  </si>
  <si>
    <t>03.03.12.06</t>
  </si>
  <si>
    <t>03.03.12.07</t>
  </si>
  <si>
    <t>03.03.13</t>
  </si>
  <si>
    <t>03.03.13.01</t>
  </si>
  <si>
    <t>03.03.13.02</t>
  </si>
  <si>
    <t>03.03.13.03</t>
  </si>
  <si>
    <t>03.04.02.02</t>
  </si>
  <si>
    <t>03.04.02.03</t>
  </si>
  <si>
    <t>03.04.02.04</t>
  </si>
  <si>
    <t>03.04.02.05</t>
  </si>
  <si>
    <t>03.04.02.06</t>
  </si>
  <si>
    <t>03.04.02.07</t>
  </si>
  <si>
    <t>03.04.04</t>
  </si>
  <si>
    <t>03.04.04.01</t>
  </si>
  <si>
    <t>03.04.04.02</t>
  </si>
  <si>
    <t>03.04.04.03</t>
  </si>
  <si>
    <t>03.04.05</t>
  </si>
  <si>
    <t>03.04.05.01</t>
  </si>
  <si>
    <t>03.04.06</t>
  </si>
  <si>
    <t>03.04.06.01</t>
  </si>
  <si>
    <t>03.04.06.02</t>
  </si>
  <si>
    <t>03.04.06.03</t>
  </si>
  <si>
    <t>03.04.06.04</t>
  </si>
  <si>
    <t>03.04.07</t>
  </si>
  <si>
    <t>03.04.07.01</t>
  </si>
  <si>
    <t>03.04.07.02</t>
  </si>
  <si>
    <t>03.04.08</t>
  </si>
  <si>
    <t>03.04.08.01</t>
  </si>
  <si>
    <t>03.04.08.02</t>
  </si>
  <si>
    <t>03.04.09</t>
  </si>
  <si>
    <t>03.04.09.01</t>
  </si>
  <si>
    <t>03.04.09.02</t>
  </si>
  <si>
    <t>03.04.09.03</t>
  </si>
  <si>
    <t>03.04.10</t>
  </si>
  <si>
    <t>03.04.10.01</t>
  </si>
  <si>
    <t>03.04.10.02</t>
  </si>
  <si>
    <t>03.04.11</t>
  </si>
  <si>
    <t>03.04.11.01</t>
  </si>
  <si>
    <t>03.04.11.02</t>
  </si>
  <si>
    <t>03.04.11.03</t>
  </si>
  <si>
    <t>03.04.11.04</t>
  </si>
  <si>
    <t>03.04.11.05</t>
  </si>
  <si>
    <t>03.04.11.06</t>
  </si>
  <si>
    <t>03.04.11.07</t>
  </si>
  <si>
    <t>03.04.12</t>
  </si>
  <si>
    <t>03.04.12.01</t>
  </si>
  <si>
    <t>03.04.12.02</t>
  </si>
  <si>
    <t>03.04.12.03</t>
  </si>
  <si>
    <t>03.05.02</t>
  </si>
  <si>
    <t>03.05.02.01</t>
  </si>
  <si>
    <t>03.05.02.02</t>
  </si>
  <si>
    <t>03.05.02.03</t>
  </si>
  <si>
    <t>03.05.03</t>
  </si>
  <si>
    <t>03.05.03.01</t>
  </si>
  <si>
    <t>03.05.04</t>
  </si>
  <si>
    <t>03.05.04.01</t>
  </si>
  <si>
    <t>03.05.04.02</t>
  </si>
  <si>
    <t>03.05.04.03</t>
  </si>
  <si>
    <t>03.06</t>
  </si>
  <si>
    <t>03.06.01</t>
  </si>
  <si>
    <t>03.06.02</t>
  </si>
  <si>
    <t>03.07</t>
  </si>
  <si>
    <t>03.07.01</t>
  </si>
  <si>
    <t>03.07.01.01</t>
  </si>
  <si>
    <t>03.07.01.02</t>
  </si>
  <si>
    <t>03.07.02</t>
  </si>
  <si>
    <t>03.07.02.01</t>
  </si>
  <si>
    <t>03.07.02.02</t>
  </si>
  <si>
    <t>03.07.03</t>
  </si>
  <si>
    <t>03.07.03.01</t>
  </si>
  <si>
    <t>03.07.04</t>
  </si>
  <si>
    <t>03.07.04.01</t>
  </si>
  <si>
    <t>03.07.04.02</t>
  </si>
  <si>
    <t>03.08</t>
  </si>
  <si>
    <t>03.08.01</t>
  </si>
  <si>
    <t>03.08.01.01</t>
  </si>
  <si>
    <t>03.08.02</t>
  </si>
  <si>
    <t>03.08.02.01</t>
  </si>
  <si>
    <t>03.08.02.02</t>
  </si>
  <si>
    <t>03.08.03</t>
  </si>
  <si>
    <t>03.08.03.01</t>
  </si>
  <si>
    <t>03.08.04</t>
  </si>
  <si>
    <t>03.08.04.01</t>
  </si>
  <si>
    <t>03.09</t>
  </si>
  <si>
    <t>03.09.01</t>
  </si>
  <si>
    <t>03.09.01.01</t>
  </si>
  <si>
    <t>03.09.01.02</t>
  </si>
  <si>
    <t>03.09.01.03</t>
  </si>
  <si>
    <t>04.01.04</t>
  </si>
  <si>
    <t>04.01.05</t>
  </si>
  <si>
    <t>04.01.06</t>
  </si>
  <si>
    <t>04.01.07</t>
  </si>
  <si>
    <t>04.01.08</t>
  </si>
  <si>
    <t>04.01.09</t>
  </si>
  <si>
    <t>04.01.10</t>
  </si>
  <si>
    <t>04.01.11</t>
  </si>
  <si>
    <t>04.02.04</t>
  </si>
  <si>
    <t>04.02.05</t>
  </si>
  <si>
    <t>04.02.06</t>
  </si>
  <si>
    <t>04.02.07</t>
  </si>
  <si>
    <t>04.02.08</t>
  </si>
  <si>
    <t>04.02.09</t>
  </si>
  <si>
    <t>04.02.10</t>
  </si>
  <si>
    <t>04.03.03</t>
  </si>
  <si>
    <t>04.03.04</t>
  </si>
  <si>
    <t>04.04.05</t>
  </si>
  <si>
    <t>04.05.04</t>
  </si>
  <si>
    <t>04.05.05</t>
  </si>
  <si>
    <t>04.05.06</t>
  </si>
  <si>
    <t>04.06</t>
  </si>
  <si>
    <t>04.07</t>
  </si>
  <si>
    <t>04.07.01</t>
  </si>
  <si>
    <t>04.07.02</t>
  </si>
  <si>
    <t>04.07.03</t>
  </si>
  <si>
    <t>04.07.04</t>
  </si>
  <si>
    <t>04.07.05</t>
  </si>
  <si>
    <t>04.07.06</t>
  </si>
  <si>
    <t>04.07.07</t>
  </si>
  <si>
    <t>04.07.08</t>
  </si>
  <si>
    <t>04.07.09</t>
  </si>
  <si>
    <t>04.07.10</t>
  </si>
  <si>
    <t>04.07.11</t>
  </si>
  <si>
    <t>04.07.12</t>
  </si>
  <si>
    <t>04.07.13</t>
  </si>
  <si>
    <t>05.01.01</t>
  </si>
  <si>
    <t>05.01.01.01</t>
  </si>
  <si>
    <t>05.01.01.02</t>
  </si>
  <si>
    <t>05.01.01.03</t>
  </si>
  <si>
    <t>05.01.01.04</t>
  </si>
  <si>
    <t>05.01.02</t>
  </si>
  <si>
    <t>05.01.02.01</t>
  </si>
  <si>
    <t>05.01.02.02</t>
  </si>
  <si>
    <t>05.01.03</t>
  </si>
  <si>
    <t>05.01.03.01</t>
  </si>
  <si>
    <t>05.01.03.02</t>
  </si>
  <si>
    <t>05.01.03.03</t>
  </si>
  <si>
    <t>05.01.03.04</t>
  </si>
  <si>
    <t>05.01.03.05</t>
  </si>
  <si>
    <t>05.01.04</t>
  </si>
  <si>
    <t>05.01.04.01</t>
  </si>
  <si>
    <t>05.01.04.02</t>
  </si>
  <si>
    <t>05.01.04.03</t>
  </si>
  <si>
    <t>05.01.05</t>
  </si>
  <si>
    <t>05.01.05.01</t>
  </si>
  <si>
    <t>05.01.05.02</t>
  </si>
  <si>
    <t>05.01.05.03</t>
  </si>
  <si>
    <t>05.01.05.04</t>
  </si>
  <si>
    <t>05.01.05.05</t>
  </si>
  <si>
    <t>05.01.06</t>
  </si>
  <si>
    <t>05.01.06.01</t>
  </si>
  <si>
    <t>05.01.06.02</t>
  </si>
  <si>
    <t>05.01.06.03</t>
  </si>
  <si>
    <t>05.01.06.04</t>
  </si>
  <si>
    <t>05.01.06.05</t>
  </si>
  <si>
    <t>05.01.07</t>
  </si>
  <si>
    <t>05.01.07.01</t>
  </si>
  <si>
    <t>05.01.08</t>
  </si>
  <si>
    <t>05.01.08.01</t>
  </si>
  <si>
    <t>05.02.01</t>
  </si>
  <si>
    <t>05.02.01.01</t>
  </si>
  <si>
    <t>05.02.02</t>
  </si>
  <si>
    <t>05.02.02.01</t>
  </si>
  <si>
    <t>05.02.03</t>
  </si>
  <si>
    <t>05.02.03.01</t>
  </si>
  <si>
    <t>05.02.04</t>
  </si>
  <si>
    <t>05.02.04.01</t>
  </si>
  <si>
    <t>05.02.05</t>
  </si>
  <si>
    <t>05.02.05.01</t>
  </si>
  <si>
    <t>05.03</t>
  </si>
  <si>
    <t>05.03.01</t>
  </si>
  <si>
    <t>05.03.01.01</t>
  </si>
  <si>
    <t>05.03.02</t>
  </si>
  <si>
    <t>05.03.02.01</t>
  </si>
  <si>
    <t>05.03.03</t>
  </si>
  <si>
    <t>05.03.03.01</t>
  </si>
  <si>
    <t>05.03.04</t>
  </si>
  <si>
    <t>05.03.04.01</t>
  </si>
  <si>
    <t>05.03.05</t>
  </si>
  <si>
    <t>05.03.05.01</t>
  </si>
  <si>
    <t>05.03.06</t>
  </si>
  <si>
    <t>05.03.06.01</t>
  </si>
  <si>
    <t>05.03.07</t>
  </si>
  <si>
    <t>05.03.07.01</t>
  </si>
  <si>
    <t>05.03.08</t>
  </si>
  <si>
    <t>05.03.08.01</t>
  </si>
  <si>
    <t>05.04</t>
  </si>
  <si>
    <t>05.04.01</t>
  </si>
  <si>
    <t>05.04.01.01</t>
  </si>
  <si>
    <t>05.04.02</t>
  </si>
  <si>
    <t>05.04.02.01</t>
  </si>
  <si>
    <t>05.04.03</t>
  </si>
  <si>
    <t>05.04.03.01</t>
  </si>
  <si>
    <t>05.04.04</t>
  </si>
  <si>
    <t>05.04.04.01</t>
  </si>
  <si>
    <t>05.04.04.02</t>
  </si>
  <si>
    <t>05.04.05</t>
  </si>
  <si>
    <t>05.04.05.01</t>
  </si>
  <si>
    <t>05.04.06</t>
  </si>
  <si>
    <t>05.04.06.01</t>
  </si>
  <si>
    <t>05.04.07</t>
  </si>
  <si>
    <t>05.04.07.01</t>
  </si>
  <si>
    <t>05.04.08</t>
  </si>
  <si>
    <t>05.04.08.01</t>
  </si>
  <si>
    <t>OBRAS PROVISIONALES, TRABAJOS PRELIMINARES, SEGURIDAD Y SALUD</t>
  </si>
  <si>
    <t>CONSTRUCCIONES PROVISIONALES</t>
  </si>
  <si>
    <t>ALMACEN OFICINA Y CASETA DE GUARDIAN</t>
  </si>
  <si>
    <t>SERVICIOS HIGIENICOS PROVISIONALES</t>
  </si>
  <si>
    <t>SERVICIO DE AGUA POTABLE PROVICIONAL</t>
  </si>
  <si>
    <t>SERVICIO DE ENERGIA ELECTRICA PROVISIONAL</t>
  </si>
  <si>
    <t>CARTEL DE IDENTIFICACION DE LA OBRA DE 3.60 X 2.40 m</t>
  </si>
  <si>
    <t>LIMPIEZA DE TERRENO MANUAL</t>
  </si>
  <si>
    <t>EXCAVACION MASIVA</t>
  </si>
  <si>
    <t>ELIMINACION MATERIAL EXCEDENTE PROCEDENTE DE CORTE</t>
  </si>
  <si>
    <t>MOVILIZACION DE CAMPAMENTO, MAQUINARIA Y HERRAMIENTAS</t>
  </si>
  <si>
    <t>MOVILIZACION DE CAMPAMENTO, MAQUINARIA Y HERRAMIENAS</t>
  </si>
  <si>
    <t>TRANSPORTE DE MATERIALES ABANCAY - PICHIUCA</t>
  </si>
  <si>
    <t>TRAZO NIVELES Y REPLANTEO</t>
  </si>
  <si>
    <t>TRAZO Y REPLANTEO PRELIMINAR</t>
  </si>
  <si>
    <t>SEGURIDAD Y SALUD</t>
  </si>
  <si>
    <t>ELABORACION E IMPLEMENTACION DEL PLAN DE SEGURIDAD Y SALUD EN EL TRABAJO</t>
  </si>
  <si>
    <t>EQUIPOS DE PROTECCION INDIVIDUAL</t>
  </si>
  <si>
    <t>EQUIPOS DE PROTECCION COLECTIVA</t>
  </si>
  <si>
    <t>SEÑALIZACION TEMPORAL DE SEGURIDAD</t>
  </si>
  <si>
    <t>CAPACITACION EN SEGURIDAD Y SALUD</t>
  </si>
  <si>
    <t>RECURSOS PARA RESPUESTA ANTE EMERGENCIA EN SEGURIDAD Y SALUD DURANTE EL TRABAJO</t>
  </si>
  <si>
    <t>ESTRUCTURAS</t>
  </si>
  <si>
    <t>AREA ADMINSTRATIVA y AMBIENTES COMPLEMENTARIOS (Bloque - 04)</t>
  </si>
  <si>
    <t>EXCAVACION PARA ZAPATAS EN TERRENO NORMAL</t>
  </si>
  <si>
    <t>EXCAVACION PARA VIGAS DE CIMENTACION Y CIMIENTOS CORRIDOS EN TERRENO NORMAL</t>
  </si>
  <si>
    <t>RELLENO Y COMPACTADO CON MATERIAL PROPIO EN ZAPATAS Y CIMIENTOS</t>
  </si>
  <si>
    <t>NIVELACION INTERIOR APISONADO MANUAL</t>
  </si>
  <si>
    <t>ACARREO INTERNO, MATERIAL PROCEDENTE DE EXCAVACIONES</t>
  </si>
  <si>
    <t>ELIMINACION MATERIAL EXCEDENTE</t>
  </si>
  <si>
    <t>OBRAS CONCRETO SIMPLE</t>
  </si>
  <si>
    <t>FALSA ZAPATA C:H 1:10+30% P.G.</t>
  </si>
  <si>
    <t>SOLADOS CONCRETO fc=140 kg/cm2 e=4"</t>
  </si>
  <si>
    <t>CONCRETO fc = 140 kg/cm2+30% PG PARA CIMIENTOS CORRIDOS</t>
  </si>
  <si>
    <t>CONCRETO fc = 175 kg/cm2+25% PM PARA SOBRECIMIENTOS</t>
  </si>
  <si>
    <t>ENCOFRADO Y DESENCOFRADO NORMAL PARA SOBRECIMIENTOS</t>
  </si>
  <si>
    <t>FALSO PISO DE 4" DE CONCRETO 1:8, F'C=140kg/cm2</t>
  </si>
  <si>
    <t>OBRAS CONCRETO ARMADO</t>
  </si>
  <si>
    <t>ZAPATAS</t>
  </si>
  <si>
    <t>CONCRETO fc= 210 kg/cm2 EN ZAPATAS</t>
  </si>
  <si>
    <t>ACERO fy=4200 kg/cm2 GRADO 60 EN ZAPATAS</t>
  </si>
  <si>
    <t>VIGAS DE CIMENTACION</t>
  </si>
  <si>
    <t>CONCRETO fc= 210 kg/cm2 EN VIGAS DE CIMENTACION</t>
  </si>
  <si>
    <t>ENCOFRADO Y DESENCOFRADO EN VIGAS DE CIMENTACION</t>
  </si>
  <si>
    <t>ACERO fy=4200 kg/cm2 GRADO 60 VIGAS DE CIMENTACION</t>
  </si>
  <si>
    <t>COLUMNAS</t>
  </si>
  <si>
    <t>CONCRETO fc= 210 kg/cm2 EN COLUMNAS</t>
  </si>
  <si>
    <t>ENCOFRADO Y DESENCOFRADO EN COLUMNAS</t>
  </si>
  <si>
    <t>ACERO fy=4200 kg/cm2 GRADO 60 EN COLUMNAS</t>
  </si>
  <si>
    <t>ELEMENTOS DE CONFINAMIENTO</t>
  </si>
  <si>
    <t>CONCRETO f'c= 210 kg/cm2 EN ELEMENTOS DE CONFINAMIENTO</t>
  </si>
  <si>
    <t>ENCOFRADO Y DESENCOFRADO EN ELEMENTOS DE CONFINAMIENTO</t>
  </si>
  <si>
    <t>ACERO fy=4200 kg/cm2 GRADO 60 EN ELEMENTOS DE CONFINAMIENTO</t>
  </si>
  <si>
    <t>VIGAS</t>
  </si>
  <si>
    <t>CONCRETO f'c= 210 kg/cm2 EN VIGAS</t>
  </si>
  <si>
    <t>ENCOFRADO Y DESENCOFRADO EN VIGAS</t>
  </si>
  <si>
    <t>ACERO fy=4200 kg/cm2 GRADO 60 EN VIGAS</t>
  </si>
  <si>
    <t>LOSAS ALIGERADAS H= 0.20CM</t>
  </si>
  <si>
    <t>CONCRETO f'c= 210 kg/cm2 EN LOSAS ALIGERADAS</t>
  </si>
  <si>
    <t>ENCOFRADO Y DESENCOFRADO EN LOSAS ALIGERADAS</t>
  </si>
  <si>
    <t>ACERO fy=4200 kg/cm2 GRADO 60 EN LOSAS ALIGERADAS</t>
  </si>
  <si>
    <t>LADRILLO DE ARCILLA HUECO 15X30X30 cm PROVEIDO Y COLOCADO</t>
  </si>
  <si>
    <t>PARAPETOS</t>
  </si>
  <si>
    <t>CONCRETO f'c= 210 kg/cm2 EN PARAPETO</t>
  </si>
  <si>
    <t>ENCOFRADO Y DESENCOFRADO</t>
  </si>
  <si>
    <t>ACERO fy=4200 kg/cm2 GRADO 60 EN PARAPETO</t>
  </si>
  <si>
    <t>COBERTURAS</t>
  </si>
  <si>
    <t>CORREAS DE TUBO LAC 2"X2"X2mm</t>
  </si>
  <si>
    <t>OTROS</t>
  </si>
  <si>
    <t>JUNTAS DE CONSTRUCCION ENTRE MUROS Y COLUMNAS</t>
  </si>
  <si>
    <t>AULA, DEPOSITO DE MATERIALES y SS.HH. (Bloque - 02)</t>
  </si>
  <si>
    <t>SOLADOS CONCRETO f'c=140 kg/cm2 e=4"</t>
  </si>
  <si>
    <t>CONCRETO f'c = 140 kg/cm2+30% PG PARA CIMIENTOS CORRIDOS</t>
  </si>
  <si>
    <t>CONCRETO f'c = 175 kg/cm2+25% PM PARA SOBRECIMIENTOS</t>
  </si>
  <si>
    <t>CONCRETO f'c= 210 kg/cm2 EN ZAPATAS</t>
  </si>
  <si>
    <t>CONCRETO f'c= 210 kg/cm2 EN VIGAS DE CIMENTACION</t>
  </si>
  <si>
    <t>CONCRETO f'c= 210 kg/cm2 EN COLUMNAS</t>
  </si>
  <si>
    <t>AULA DE PSICOMOTRICIDAD, COCINA, DEPOSITO DE ALIMENTOS Y LIMPIEZA (Bloque - 03)</t>
  </si>
  <si>
    <t>RESIDENCIA DOCENTE - BLOQUE - 01</t>
  </si>
  <si>
    <t>CERCO PERIMETRICO</t>
  </si>
  <si>
    <t>EXCAVACION DE ZANJAS EN TERRENO NORMAL</t>
  </si>
  <si>
    <t>SOBRECIMIENTOS REFORZADOS</t>
  </si>
  <si>
    <t>ENCOFRADO Y DESENCOFRADO NORMAL PARA SOBRECIMIENTO</t>
  </si>
  <si>
    <t>ACERO fy=4200 kg/cm2 GRADO 60 EN SOBRECIMIENTO</t>
  </si>
  <si>
    <t>JUNTAS DE CONSTRUCCION</t>
  </si>
  <si>
    <t>MUROS DE CONTENCION DE CONCRETO ARMADO</t>
  </si>
  <si>
    <t>MUROS ESTRUCTURALES</t>
  </si>
  <si>
    <t>CONCRETO f'c= 210 kg/cm2 EN MUROS</t>
  </si>
  <si>
    <t>ENCOFRADO Y DESENCOFRADO EN MUROS</t>
  </si>
  <si>
    <t>ACERO fy=4200 kg/cm2 GRADO 60 EN MUROS</t>
  </si>
  <si>
    <t>BARBACANES CON TUBERIA DE PVC 2"</t>
  </si>
  <si>
    <t>MURO DE CONTENCION DE CONCRETO SIMPLE</t>
  </si>
  <si>
    <t>ENCOFRADO Y DESENCOFRADO NORMAL EN MUROS</t>
  </si>
  <si>
    <t>PATIO MULTIUSOS</t>
  </si>
  <si>
    <t>EXCAVACION DE ZAPATAS EN TERRENO NORMAL</t>
  </si>
  <si>
    <t>PISO DE CONCRETO F'C=140kg/cm2 E=4"</t>
  </si>
  <si>
    <t>ESTRUCTURAS METALICAS</t>
  </si>
  <si>
    <t>COLUMNA METALICA de 8" x 6" x 6mm</t>
  </si>
  <si>
    <t>VIGAS METALICAS de 3" x 2" x 2mm</t>
  </si>
  <si>
    <t>VIGAS METALICAS de 2" x 2" x 3mm</t>
  </si>
  <si>
    <t>CORREAS DE TUBO LAC 3"X2"X3mm..</t>
  </si>
  <si>
    <t>PROTECCION ACOLCHADA DE COLUMNAS</t>
  </si>
  <si>
    <t>ARQUITECTURA</t>
  </si>
  <si>
    <t>AULA DE PSICOMOTRICIDAD, COCINA, DEPOSITO DE ALIMENTOS (Bloque - 03)</t>
  </si>
  <si>
    <t>MUROS DE ALBAÑILERIA</t>
  </si>
  <si>
    <t>MURO DE CABEZA LADRILLO KING-KONG DE ARCILLA</t>
  </si>
  <si>
    <t>MURO DE SOGA LADRILLO KING-KONG DE ARCILLA</t>
  </si>
  <si>
    <t>REVOQUES ENLUCIDOS Y MOLDURAS</t>
  </si>
  <si>
    <t>TARRAJEO EN MUROS INTERIORES MEZCLA 1:5 CEMENTO:ARENA</t>
  </si>
  <si>
    <t>TARRAJEO EN MUROS EXTERIORES MEZCLA 1:5 CEMENTO:ARENA</t>
  </si>
  <si>
    <t>TARRAJEO DE SUPERFICIE COLUMNAS INCL. ARISTAS MEZCLA 1:5</t>
  </si>
  <si>
    <t>TARRAJEO DE SUPERF.VIGAS INCL.ARISTAS, MEZCLA 1:5 CEMENTO:ARENA</t>
  </si>
  <si>
    <t>TARRAJEO CON IMPERMEABILIZANTE EN CANALETA DE EVACUACION</t>
  </si>
  <si>
    <t>VESTIDURA DE DERRAMES</t>
  </si>
  <si>
    <t>BRUÑAS DE 1 CM SEGUN DETALLE</t>
  </si>
  <si>
    <t>CIELORRASOS</t>
  </si>
  <si>
    <t>CIELORRASOS CON MEZCLA C:A 1:5 e= 1.5 CM</t>
  </si>
  <si>
    <t>PISOS Y PAVIMENTOS</t>
  </si>
  <si>
    <t>CONTRAPISO DE 40 MM</t>
  </si>
  <si>
    <t>PISO DE PORCELANATO ANTIDESLIZANTE 0.60 x 0.60 m.</t>
  </si>
  <si>
    <t>PISO DE CERAMICO ANTIDESLIZANTE 0.45X0.45 M.</t>
  </si>
  <si>
    <t>SARDINELES</t>
  </si>
  <si>
    <t>SARDINELES DE CONCRETO DE f'c=175 kg/cm2</t>
  </si>
  <si>
    <t>ENCOFRADO Y DESENCOFRADO DE SARDINEL</t>
  </si>
  <si>
    <t>VEREDAS</t>
  </si>
  <si>
    <t>VEREDA DE CONCRETO PULIDO, BRUÑADO Y COLOREADO</t>
  </si>
  <si>
    <t>ZOCALOS Y CONTRAZOCALOS</t>
  </si>
  <si>
    <t>ZOCALO DE CONCRETO PULIDO C/MORTERO 1:5 C:A</t>
  </si>
  <si>
    <t>CONTRAZOCALO DE CERAMICO 45CMX10CM</t>
  </si>
  <si>
    <t>CONTRAZOCALO DE PORCELANATO H=0.10M</t>
  </si>
  <si>
    <t>COBERTURA DE PLACA ONDUVILLA</t>
  </si>
  <si>
    <t>CUMBRERA DE ONDUVILLA</t>
  </si>
  <si>
    <t>CARPINTERIA DE MADERA</t>
  </si>
  <si>
    <t>PUERTA DE TABLERO REBAJADO CON SOBRELUZ DE CRISTAL LAMINADO DE 6mm. INCOLORO</t>
  </si>
  <si>
    <t>CERRAJERIA</t>
  </si>
  <si>
    <t>BISAGRA CAPUCHINA DE 4"</t>
  </si>
  <si>
    <t>CERRADURA PARA PUERTA DE DOS GOLPES</t>
  </si>
  <si>
    <t>VIDRIOS, CRISTALES Y SIMILARES</t>
  </si>
  <si>
    <t>VIDRIO SISTEMA NOVA INC. ACCESORIOS</t>
  </si>
  <si>
    <t>SUMINISTRO Y COLOCACION DE VIDRIO TRANSPARENTE DE 6mm</t>
  </si>
  <si>
    <t>PINTURA</t>
  </si>
  <si>
    <t>PINTURA EN CIELORRASO</t>
  </si>
  <si>
    <t>PINTURA EN MUROS INTERIORES</t>
  </si>
  <si>
    <t>PINTURA EN MUROS EXTERIORES</t>
  </si>
  <si>
    <t>PINTURA LATEX EN COLUMNAS</t>
  </si>
  <si>
    <t>PINTURA LATEX EN VIGAS</t>
  </si>
  <si>
    <t>PINTURA EN CONTRAZOCALOS Y ZOCALOS H= 0.40M C/ESMALTE</t>
  </si>
  <si>
    <t>PINTURA EN PUERTAS C/BARNIZ 2 MANOS</t>
  </si>
  <si>
    <t>VARIOS, LIMPIEZA, JARDINERIA</t>
  </si>
  <si>
    <t>LETREROS DE SEÑALIZACIÓN</t>
  </si>
  <si>
    <t>LIMPIEZA FINAL</t>
  </si>
  <si>
    <t>LIMPIEZA DE VIDRIOS</t>
  </si>
  <si>
    <t>AULA, DEPOSITO DE MATERIALES y SS.HH. (BLOQUE - 02)</t>
  </si>
  <si>
    <t>PISO DE MADERA MACHIHEMBRADA AGUANO</t>
  </si>
  <si>
    <t>ZOCALO DE CERAMICO 20X30CM</t>
  </si>
  <si>
    <t>CONTRAZOCALO DE MADERA AGUANO DE 4" RODON 1"</t>
  </si>
  <si>
    <t>COBERTURA CON LADRILLO PASTELERO</t>
  </si>
  <si>
    <t>PUERTA DE TABLERO REBAJADO CON SOBRELUZ DE CRISTAL LAMINADO DE 6.0mm. INCOLORO</t>
  </si>
  <si>
    <t>PUERTA CONTRAPLACADA. CON SOBRELUZ DE REJILLAS DE MADERA Y REJILLA INFERIOR</t>
  </si>
  <si>
    <t>CARPINTERIA METALICA Y HERRERIA</t>
  </si>
  <si>
    <t>DIVISIÓN DE ALUMINIO PARA SERVICIOS HIGIÉNICOS</t>
  </si>
  <si>
    <t>PICAPORTE EN PUERTAS SSHH</t>
  </si>
  <si>
    <t>SARDINELES DE CONCRETO DE fc=175 kg/cm2</t>
  </si>
  <si>
    <t>PUERTA CONTRAPLACADA TRIPLAY CON SOBRELUZ DE REJILLAS DE MADERA Y REJILLA INFERIOR</t>
  </si>
  <si>
    <t>CERRADURA DE PERILLA CON SEGURIDAD INTERIOR</t>
  </si>
  <si>
    <t>RESIDENCIA DE DOCENTE (Bloque - 01)</t>
  </si>
  <si>
    <t>CERCO PERIMETRICO y PORTAL DE INGRESO</t>
  </si>
  <si>
    <t>MURO DE SOGA LADRILLO CARAVISTA KING KONG CON CEMENTO ARENA</t>
  </si>
  <si>
    <t>TARRAJEO EN MUROS DE INTERIORES</t>
  </si>
  <si>
    <t>TARRAJEOS EN SUPERFICIES DE COLUMNAS C:A - 1:5</t>
  </si>
  <si>
    <t>TARRAJEO DE SUPERFICIE DE VIGAS C:A-1:5</t>
  </si>
  <si>
    <t>PUERTA METALICA S/DETALLE</t>
  </si>
  <si>
    <t>PINTURA LATEX EN MUROS DE CONTECION INTERIORES</t>
  </si>
  <si>
    <t>MUROS DE CONTENCION</t>
  </si>
  <si>
    <t>TARRAJEO EN MUROS DE CONTECION DE C°A°</t>
  </si>
  <si>
    <t>TARRAJEO EN MUROS DE CONTECION DE C°S°</t>
  </si>
  <si>
    <t>PATIO MULTIUSOS, AREAS DE DESCANSO y ATRIO DE INGRESO</t>
  </si>
  <si>
    <t>PISO DE CEMENTO PULIDO, BRUÑADO Y COLOREADO E=2"</t>
  </si>
  <si>
    <t>PISO DE CEMENTO FROTACHADO Y BRUÑADO E=2"</t>
  </si>
  <si>
    <t>SARDIENL DE CONCRETO F'C=175KG/CM2</t>
  </si>
  <si>
    <t>COBERTURA</t>
  </si>
  <si>
    <t>COBERTURA DE POLICARBONATO ALVEOLAR TRASLUCIDO DE 6 MM.</t>
  </si>
  <si>
    <t>JUNTAS ASFALTICAS</t>
  </si>
  <si>
    <t>ASTA DE BANDERA INCL. APOYO</t>
  </si>
  <si>
    <t>RAMPAS Y VEREDAS</t>
  </si>
  <si>
    <t>VEREDA DE CONCRETO FROTACHADO y BRUÑADO</t>
  </si>
  <si>
    <t>GRADERIAS</t>
  </si>
  <si>
    <t>CONCRETO fc=175 kg/cm2</t>
  </si>
  <si>
    <t>BARANDAS METALICAS H= 0.90m.</t>
  </si>
  <si>
    <t>JUNTAS</t>
  </si>
  <si>
    <t>JARDINERIA Y PAISAJISMO</t>
  </si>
  <si>
    <t>AREAS VERDES</t>
  </si>
  <si>
    <t>PREPARACION DE SUELOS</t>
  </si>
  <si>
    <t>SEMBRADO DE GRASS</t>
  </si>
  <si>
    <t>SEMBRADO DE PLANTAS ORNAMENTALES</t>
  </si>
  <si>
    <t>INSTALACIONES SANITARIAS</t>
  </si>
  <si>
    <t>APARATOS Y ACCESORIOS SANITARIOS</t>
  </si>
  <si>
    <t>LAVATORIO DE PARED DE LOSA /NIÑOS</t>
  </si>
  <si>
    <t>LAVATORIO DE PARED DE LOSA /ADULTO</t>
  </si>
  <si>
    <t>INODORO TANQUE BAJO LOSA /NIÑOS</t>
  </si>
  <si>
    <t>INODORO TANQUE BAJO LOSA /ADULTO</t>
  </si>
  <si>
    <t>URINARIO DE LOSA/NIÑOS</t>
  </si>
  <si>
    <t>PAPELERA DE LOSA BLANCA DE 8"x5"</t>
  </si>
  <si>
    <t>JABONERA SIN ASA DE LOSA PARA EMPOTRAR</t>
  </si>
  <si>
    <t>DUCHAS CROMADAS DE CABEZA MOVIBLE</t>
  </si>
  <si>
    <t>MESA DE CONCRETO PARA LAVADEROS</t>
  </si>
  <si>
    <t>LAVADERO ACERO INOX. SATINADO 1 POZAS, INCL GRIF</t>
  </si>
  <si>
    <t>INSTALACION DE APARATOS SANITARIOS</t>
  </si>
  <si>
    <t>SISTEMA DE DESAGUE</t>
  </si>
  <si>
    <t>SALIDA DE VENTILACION PVC-SAL DE 2"</t>
  </si>
  <si>
    <t>SALIDA DE DESAGUE EN PVC-SAL DE 4"</t>
  </si>
  <si>
    <t>SALIDA DE DESAGUE EN PVC-SAL DE 2"</t>
  </si>
  <si>
    <t>DISTRIBUCION TUBERIA PVC SAL DE 2"</t>
  </si>
  <si>
    <t>DISTRIBUCION TUBERIA PVC SAL DE 4"</t>
  </si>
  <si>
    <t>REGISTRO ROSCADO DE BRONCE DE 4"</t>
  </si>
  <si>
    <t>REGISTRO ROSCADO DE BRONCE DE 2"</t>
  </si>
  <si>
    <t>SUMIDERO DE 2" CON REJILLA DE FE»</t>
  </si>
  <si>
    <t>SOMBRERO DE VENTILACION DE 2"</t>
  </si>
  <si>
    <t>CAJA DE REGISTRO DE DESAGUE 12" X 24"</t>
  </si>
  <si>
    <t>BIODIGESTOR</t>
  </si>
  <si>
    <t>EXCAVACION MANUAL EN MATERIAL SUELTO</t>
  </si>
  <si>
    <t>ACARREO Y ELIMINACION DE MATERIAL EXCEDENTE</t>
  </si>
  <si>
    <t>SUMINISTRO E INSTALACION DE BIODIGESTOR 3000 LTS</t>
  </si>
  <si>
    <t>CAJA DE REGISTRO EN GENERAL</t>
  </si>
  <si>
    <t>ZANJAS DE INFILTRACION</t>
  </si>
  <si>
    <t>FILTRO CON PIEDRA CHANCADA DE 1/2"</t>
  </si>
  <si>
    <t>ACCESORIOS PVC GLOBAL</t>
  </si>
  <si>
    <t>CAMARA DE INFILTRACION</t>
  </si>
  <si>
    <t>SISTEMA DE AGUA FRIA Y CONTRAINCENDIO</t>
  </si>
  <si>
    <t>SALIDA DE AGUA FRIA CON TUBERIA DE PVC 1/2" C-10</t>
  </si>
  <si>
    <t>RED DE DISTRIBUCION DE TUBERIA PVC SAP DE 3/4"</t>
  </si>
  <si>
    <t>RED DE DISTRIBUCION DE TUBERIA PVC SAP DE 1/2"</t>
  </si>
  <si>
    <t>VALVULA COMPUERTA DE 1/2"</t>
  </si>
  <si>
    <t>TANQUE ELEVADO ROTOPLAS 1100LTROS</t>
  </si>
  <si>
    <t>EXTINTOR Y ACCESORIOS CONTRA INCENDIO</t>
  </si>
  <si>
    <t>PRUEBA HIDRAULICA Y DESINFECCION</t>
  </si>
  <si>
    <t>PRUEBA HIDRAULICA TUBERIA DE DESAGUE</t>
  </si>
  <si>
    <t>PRUEBA HIDRAULICA TUBERIA DE AGUA</t>
  </si>
  <si>
    <t>SISTEMA DE EVACUACION PLUVIAL</t>
  </si>
  <si>
    <t>MONTANTE PARA AGUAS PLUVIALES PVC 4"</t>
  </si>
  <si>
    <t>ABRAZADERAS DE FIJACION PARA MONTANTES</t>
  </si>
  <si>
    <t>ENCOFRADO Y DESENCOFRADO EN COLUMNETAS</t>
  </si>
  <si>
    <t>CONCRETO F'C= 175KG/CM2 EN COLUMNETA PARA EVACUACION PLUVIAL</t>
  </si>
  <si>
    <t>ACERO fy=4200 kg/cm2 GRADO 60 EN COLUMNETAS</t>
  </si>
  <si>
    <t>EXCAVACION DE ZANJA PARA EVACUACION PLUVIAL</t>
  </si>
  <si>
    <t>RELLENO COMPACTADO CON MATERIAL PROPIO</t>
  </si>
  <si>
    <t>CONCRETO F'C= 175KG/CM2 EN CANAL DE EVACUACION PLUVIAL</t>
  </si>
  <si>
    <t>ENCOFRADO Y DESENCOFRADO CANALES</t>
  </si>
  <si>
    <t>TARRAJEO EN CANALES CON MORTERO 1:3, E=1.00 CM.</t>
  </si>
  <si>
    <t>REJILLA METALICA ANCHO=0.20M</t>
  </si>
  <si>
    <t>CANALETA SEMICIRCULAR PLANCHA GALVANIZADA</t>
  </si>
  <si>
    <t>INSTALACIONES ELECTRICAS</t>
  </si>
  <si>
    <t>BLOQUES 1, 2, 3 y 4</t>
  </si>
  <si>
    <t>TABLEROS</t>
  </si>
  <si>
    <t>TABLERO DE DISTRIBUCION TD - 01 PICHIUCA</t>
  </si>
  <si>
    <t>TABLERO DE DISTRIBUCION TD - 02 PICHIUCA</t>
  </si>
  <si>
    <t>TABLERO DE DISTRIBUCION TD - 03 PICHIUCA</t>
  </si>
  <si>
    <t>TABLERO DE DISTRIBUCION TD - 04</t>
  </si>
  <si>
    <t>SALIDA PARA CENTRO DE LUZ</t>
  </si>
  <si>
    <t>SALIDA PARA LUZ DE EMERGENCIA</t>
  </si>
  <si>
    <t>ARTEFACTOS DE ILUMINACION</t>
  </si>
  <si>
    <t>Luminaria para Adosar, con 04 fluorescente lineales de 18W, con rejilla y sistema óptico parabólico Tipo TCS198 C6 o similar.</t>
  </si>
  <si>
    <t>Luminaria para Adosar, con 02 fluorescente lineales de 18W, con rejilla y sistema óptico parabólico Tipo TCS198 C6 o similar.</t>
  </si>
  <si>
    <t>Luminaria para Empotrar en techo con rejilla de aluminio y 2 lámpara ahorradoras de 18W modelo FBS 120 o similar.</t>
  </si>
  <si>
    <t>Luminaria para adosar en Exteriores con 2 lámparas fluorescentes compactas de 18 W, Modelo RSP/CES P5464 ed Philips o similar</t>
  </si>
  <si>
    <t>Artefacto Autónomo de Alumbrado de emergencia, con dos lámparas alógenas de 55W.</t>
  </si>
  <si>
    <t>INTERRUPTORES</t>
  </si>
  <si>
    <t>SALIDA PARA INTERRUPTOR SIMPLE, INCLUYE INSTALACION DE INTERRUPTOR</t>
  </si>
  <si>
    <t>SALIDA PARA INTERRUPTOR DOBLE, INCLUYE INSTALACION DE INTERRUPTOR</t>
  </si>
  <si>
    <t>SALIDA PARA INTERRUPTOR DE CONMUTACION SIMPLE, INCLUYE INSTALACION DE IN TERRUPTOR</t>
  </si>
  <si>
    <t>TOMACORRIENTES</t>
  </si>
  <si>
    <t>SALIDA PARA TOMACORRIENTE DOBLE CON PUESTA TIERRA, INCLUYE INSTALACIÓN DE TOMACORRIENTE EN MURO.</t>
  </si>
  <si>
    <t>SALIDA PARA TOMACORRIENTE DOBLE CON PUESTA TIERRA, INCLUYE INSTALACIÓN DE TOMACORRIENTE EN TECHO.</t>
  </si>
  <si>
    <t>SALIDA PARA TOMACORRIENTE DOBLE CON PUESTA TIERRA, INCLUYE INSTALACIÓN DE TOMACORRIENTE EN MURO A 1.2 m.</t>
  </si>
  <si>
    <t>SALIDA PARA TOMACORRIENTE DOBLE CON PUESTA TIERRA, INCLUYE INSTALACIÓN DE TOMACORRIENTE EN MURO A 1.6 m.</t>
  </si>
  <si>
    <t>SALIDA PARA TOMACORRIENTE DOBLE PUESTA TIERRA, INCLUYE INSTALACIÓN DE TOMACORRIENTE EN MURO A 2.2 m</t>
  </si>
  <si>
    <t>SALIDAS DE SISTEMAS ESPECIALES</t>
  </si>
  <si>
    <t>ENTRADA PARA PROYECTOR MULTIMEDIA PARA EMPOTRAR CON UN PUERTO HDMI EN PLACA</t>
  </si>
  <si>
    <t>SALIDA PARA PROYECTOR MULTIMEDIA</t>
  </si>
  <si>
    <t>SALIDA PARA DETECTORES DE HUMO</t>
  </si>
  <si>
    <t>SALIDA PARA CENTRAL DE ALARMA CONTRA INCENDIOS</t>
  </si>
  <si>
    <t>SALIDA PARA ESTACION MANUAL DE ALARMA CONTRA INCENDIO, PULSADOR Y ALARMA SONORA CONTRA INCENDIO.</t>
  </si>
  <si>
    <t>CAJAS METALICAS CON TAPA</t>
  </si>
  <si>
    <t>INSTALACION DE CAJA DE PASO DE 15x15X8cm.</t>
  </si>
  <si>
    <t>ARMADO DE BUZON DE CONCRETO</t>
  </si>
  <si>
    <t>CAVADO Y ARMADO DE BUZON CUADRADO DE CONCRETO EN EL PISO CON TAPA DE CONCRETO</t>
  </si>
  <si>
    <t>PATIO DE HONOR CON CUBIERTA</t>
  </si>
  <si>
    <t>EXCAVACION DE ZANJA</t>
  </si>
  <si>
    <t>CAVADO DE ZANJA, SEÑALIZACION, PROTECCION Y RELLENO DE ZANJA</t>
  </si>
  <si>
    <t>CABLE SUBTERRANEO</t>
  </si>
  <si>
    <t>TENDIDO DE CABLE SUBTERRANEO N2XOH (2-1x6+1x6 (T))mm2</t>
  </si>
  <si>
    <t>DUCTOS O TUBERIAS</t>
  </si>
  <si>
    <t>TUBERIA PVC - P 0 30 mm</t>
  </si>
  <si>
    <t>SALIDA PARA REFLECTORES</t>
  </si>
  <si>
    <t>SALIDA PARA CENTRO DE REFLECTOR</t>
  </si>
  <si>
    <t>Luminaria para adosable para exteriores 2 lamparas compactadas de 18W</t>
  </si>
  <si>
    <t>ILUMINACION DE EXTERIORES</t>
  </si>
  <si>
    <t>TENDIDO DE CABLE SUBTERRANEO N2XOH DE 2-1x4mm2</t>
  </si>
  <si>
    <t>TUBERIA PVC - P 0 25 mm</t>
  </si>
  <si>
    <t>SUMINISTRO E INSTALACION DE POSTES</t>
  </si>
  <si>
    <t>APERTURA DE HOYO, IZAJE Y CIMENTACION DE POSTE METALICO DE 03" x</t>
  </si>
  <si>
    <t>EMPALME SUBTERRANEO</t>
  </si>
  <si>
    <t>EJECUCION DE EMPALME SUBTERRANEO EN CABLE N2XOH DE 2-1x4mm2</t>
  </si>
  <si>
    <t>CAVADO Y ARMADO DE BUZON CIRCULAR DE CONCRETO EN EL PISO CON TAPA DE CONCRETO</t>
  </si>
  <si>
    <t>SALIDA PARA FAROLA EN POSTE</t>
  </si>
  <si>
    <t>Artefacto de iluminacion tipo farola de 70 W E27 TIPO CDS570 O SIMILAR</t>
  </si>
  <si>
    <t>OBRAS EXTERIORES</t>
  </si>
  <si>
    <t>TABLERO GENERAL</t>
  </si>
  <si>
    <t>TABLERO GENERAL T.G. - PICHIUCA</t>
  </si>
  <si>
    <t>SISTEMA DE PUESTA A TIERRA</t>
  </si>
  <si>
    <t>INSTALACION DE SISTEMA DE PUESTA A TIERRA</t>
  </si>
  <si>
    <t xml:space="preserve">TENDIDO DE CABLE SUBTERRANEO N2XOH (2-1x10) mm2                    </t>
  </si>
  <si>
    <t xml:space="preserve">TENDIDO DE CABLE SUBTERRANEO N2XOH (3-1x6+1x6 (T))mm2          </t>
  </si>
  <si>
    <t xml:space="preserve">TUBERIA PVC - P 0 30 mm                               </t>
  </si>
  <si>
    <t>PRUEBAS ELECTRICAS</t>
  </si>
  <si>
    <t xml:space="preserve">PRUEBAS DE AISLAMIENTO, CONTINUIDAD Y RESISTIVIDAD RED GENERAL </t>
  </si>
  <si>
    <t>ACOMETIDA DOMICILIARIA</t>
  </si>
  <si>
    <t xml:space="preserve">INSTALACION DE ACOMETIDA DOMICILIARIA                 </t>
  </si>
  <si>
    <t>u</t>
  </si>
  <si>
    <t>pza</t>
  </si>
  <si>
    <t>pto</t>
  </si>
  <si>
    <t>Eqp</t>
  </si>
  <si>
    <t>jgo</t>
  </si>
  <si>
    <t>1.00</t>
  </si>
  <si>
    <t>656.80</t>
  </si>
  <si>
    <t>607.60</t>
  </si>
  <si>
    <t>759.49</t>
  </si>
  <si>
    <t>30.00</t>
  </si>
  <si>
    <t>27.29</t>
  </si>
  <si>
    <t>8.75</t>
  </si>
  <si>
    <t>13.99</t>
  </si>
  <si>
    <t>26.03</t>
  </si>
  <si>
    <t>27.56</t>
  </si>
  <si>
    <t>7.70</t>
  </si>
  <si>
    <t>13.46</t>
  </si>
  <si>
    <t>2.97</t>
  </si>
  <si>
    <t>0.84</t>
  </si>
  <si>
    <t>23.65</t>
  </si>
  <si>
    <t>4.61</t>
  </si>
  <si>
    <t>192.70</t>
  </si>
  <si>
    <t>1.93</t>
  </si>
  <si>
    <t>15.42</t>
  </si>
  <si>
    <t>275.55</t>
  </si>
  <si>
    <t>2.83</t>
  </si>
  <si>
    <t>40.02</t>
  </si>
  <si>
    <t>444.48</t>
  </si>
  <si>
    <t>1.49</t>
  </si>
  <si>
    <t>19.71</t>
  </si>
  <si>
    <t>659.98</t>
  </si>
  <si>
    <t>4.54</t>
  </si>
  <si>
    <t>38.93</t>
  </si>
  <si>
    <t>563.81</t>
  </si>
  <si>
    <t>3.65</t>
  </si>
  <si>
    <t>41.77</t>
  </si>
  <si>
    <t>298.24</t>
  </si>
  <si>
    <t>347.95</t>
  </si>
  <si>
    <t>1.20</t>
  </si>
  <si>
    <t>16.00</t>
  </si>
  <si>
    <t>124.05</t>
  </si>
  <si>
    <t>59.04</t>
  </si>
  <si>
    <t>100.30</t>
  </si>
  <si>
    <t>15.00</t>
  </si>
  <si>
    <t>34.27</t>
  </si>
  <si>
    <t>16.99</t>
  </si>
  <si>
    <t>28.37</t>
  </si>
  <si>
    <t>57.19</t>
  </si>
  <si>
    <t>28.61</t>
  </si>
  <si>
    <t>26.55</t>
  </si>
  <si>
    <t>12.87</t>
  </si>
  <si>
    <t>2.68</t>
  </si>
  <si>
    <t>96.66</t>
  </si>
  <si>
    <t>8.06</t>
  </si>
  <si>
    <t>337.22</t>
  </si>
  <si>
    <t>3.81</t>
  </si>
  <si>
    <t>30.45</t>
  </si>
  <si>
    <t>322.07</t>
  </si>
  <si>
    <t>5.95</t>
  </si>
  <si>
    <t>77.91</t>
  </si>
  <si>
    <t>2,582.91</t>
  </si>
  <si>
    <t>2.82</t>
  </si>
  <si>
    <t>35.44</t>
  </si>
  <si>
    <t>536.94</t>
  </si>
  <si>
    <t>10.33</t>
  </si>
  <si>
    <t>116.46</t>
  </si>
  <si>
    <t>1,452.85</t>
  </si>
  <si>
    <t>8.94</t>
  </si>
  <si>
    <t>102.17</t>
  </si>
  <si>
    <t>1,062.45</t>
  </si>
  <si>
    <t>851.11</t>
  </si>
  <si>
    <t>2.66</t>
  </si>
  <si>
    <t>179.59</t>
  </si>
  <si>
    <t>158.40</t>
  </si>
  <si>
    <t>83.20</t>
  </si>
  <si>
    <t>28.51</t>
  </si>
  <si>
    <t>19.80</t>
  </si>
  <si>
    <t>34.56</t>
  </si>
  <si>
    <t>72.33</t>
  </si>
  <si>
    <t>17.19</t>
  </si>
  <si>
    <t>23.07</t>
  </si>
  <si>
    <t>10.40</t>
  </si>
  <si>
    <t>2.18</t>
  </si>
  <si>
    <t>29.03</t>
  </si>
  <si>
    <t>6.34</t>
  </si>
  <si>
    <t>264.96</t>
  </si>
  <si>
    <t>3.77</t>
  </si>
  <si>
    <t>30.18</t>
  </si>
  <si>
    <t>365.33</t>
  </si>
  <si>
    <t>6.40</t>
  </si>
  <si>
    <t>76.70</t>
  </si>
  <si>
    <t>1,929.18</t>
  </si>
  <si>
    <t>3.44</t>
  </si>
  <si>
    <t>21.46</t>
  </si>
  <si>
    <t>302.90</t>
  </si>
  <si>
    <t>11.56</t>
  </si>
  <si>
    <t>101.84</t>
  </si>
  <si>
    <t>1,333.50</t>
  </si>
  <si>
    <t>13.47</t>
  </si>
  <si>
    <t>153.93</t>
  </si>
  <si>
    <t>1,781.46</t>
  </si>
  <si>
    <t>1,146.14</t>
  </si>
  <si>
    <t>2.57</t>
  </si>
  <si>
    <t>178.66</t>
  </si>
  <si>
    <t>377.52</t>
  </si>
  <si>
    <t>75.40</t>
  </si>
  <si>
    <t>39.86</t>
  </si>
  <si>
    <t>9.10</t>
  </si>
  <si>
    <t>15.72</t>
  </si>
  <si>
    <t>22.03</t>
  </si>
  <si>
    <t>41.56</t>
  </si>
  <si>
    <t>20.28</t>
  </si>
  <si>
    <t>14.79</t>
  </si>
  <si>
    <t>3.22</t>
  </si>
  <si>
    <t>1.61</t>
  </si>
  <si>
    <t>42.40</t>
  </si>
  <si>
    <t>2.19</t>
  </si>
  <si>
    <t>17.49</t>
  </si>
  <si>
    <t>179.25</t>
  </si>
  <si>
    <t>34.80</t>
  </si>
  <si>
    <t>314.66</t>
  </si>
  <si>
    <t>5.60</t>
  </si>
  <si>
    <t>48.75</t>
  </si>
  <si>
    <t>642.09</t>
  </si>
  <si>
    <t>3.36</t>
  </si>
  <si>
    <t>38.35</t>
  </si>
  <si>
    <t>276.96</t>
  </si>
  <si>
    <t>319.48</t>
  </si>
  <si>
    <t>1.03</t>
  </si>
  <si>
    <t>13.74</t>
  </si>
  <si>
    <t>65.35</t>
  </si>
  <si>
    <t>110.70</t>
  </si>
  <si>
    <t>46.00</t>
  </si>
  <si>
    <t>467.39</t>
  </si>
  <si>
    <t>560.87</t>
  </si>
  <si>
    <t>13.83</t>
  </si>
  <si>
    <t>4.89</t>
  </si>
  <si>
    <t>76.69</t>
  </si>
  <si>
    <t>947.80</t>
  </si>
  <si>
    <t>4.23</t>
  </si>
  <si>
    <t>49.66</t>
  </si>
  <si>
    <t>483.02</t>
  </si>
  <si>
    <t>4.24</t>
  </si>
  <si>
    <t>56.57</t>
  </si>
  <si>
    <t>438.73</t>
  </si>
  <si>
    <t>36.00</t>
  </si>
  <si>
    <t>441.64</t>
  </si>
  <si>
    <t>574.13</t>
  </si>
  <si>
    <t>204.01</t>
  </si>
  <si>
    <t>550.44</t>
  </si>
  <si>
    <t>15,448.74</t>
  </si>
  <si>
    <t>111.93</t>
  </si>
  <si>
    <t>24.00</t>
  </si>
  <si>
    <t>95.88</t>
  </si>
  <si>
    <t>124.65</t>
  </si>
  <si>
    <t>81.67</t>
  </si>
  <si>
    <t>221.37</t>
  </si>
  <si>
    <t>2.81</t>
  </si>
  <si>
    <t>60.00</t>
  </si>
  <si>
    <t>3.51</t>
  </si>
  <si>
    <t>2.16</t>
  </si>
  <si>
    <t>2.52</t>
  </si>
  <si>
    <t>186.08</t>
  </si>
  <si>
    <t>899.99</t>
  </si>
  <si>
    <t>394.52</t>
  </si>
  <si>
    <t>271.91</t>
  </si>
  <si>
    <t>80.92</t>
  </si>
  <si>
    <t>6.00</t>
  </si>
  <si>
    <t>3.00</t>
  </si>
  <si>
    <t>72.27</t>
  </si>
  <si>
    <t>15.22</t>
  </si>
  <si>
    <t>123.10</t>
  </si>
  <si>
    <t>54.38</t>
  </si>
  <si>
    <t>34.44</t>
  </si>
  <si>
    <t>30.39</t>
  </si>
  <si>
    <t>39.17</t>
  </si>
  <si>
    <t>68.38</t>
  </si>
  <si>
    <t>228.32</t>
  </si>
  <si>
    <t>90.62</t>
  </si>
  <si>
    <t>72.22</t>
  </si>
  <si>
    <t>56.44</t>
  </si>
  <si>
    <t>15.78</t>
  </si>
  <si>
    <t>11.52</t>
  </si>
  <si>
    <t>5.18</t>
  </si>
  <si>
    <t>73.50</t>
  </si>
  <si>
    <t>15.80</t>
  </si>
  <si>
    <t>27.62</t>
  </si>
  <si>
    <t>30.20</t>
  </si>
  <si>
    <t>90.78</t>
  </si>
  <si>
    <t>29.18</t>
  </si>
  <si>
    <t>6.30</t>
  </si>
  <si>
    <t>9.00</t>
  </si>
  <si>
    <t>19.15</t>
  </si>
  <si>
    <t>1.50</t>
  </si>
  <si>
    <t>12.60</t>
  </si>
  <si>
    <t>21.02</t>
  </si>
  <si>
    <t>73.59</t>
  </si>
  <si>
    <t>6.44</t>
  </si>
  <si>
    <t>99.99</t>
  </si>
  <si>
    <t>60.07</t>
  </si>
  <si>
    <t>33.60</t>
  </si>
  <si>
    <t>27.42</t>
  </si>
  <si>
    <t>79.46</t>
  </si>
  <si>
    <t>80.02</t>
  </si>
  <si>
    <t>245.52</t>
  </si>
  <si>
    <t>65.92</t>
  </si>
  <si>
    <t>57.88</t>
  </si>
  <si>
    <t>40.20</t>
  </si>
  <si>
    <t>5.72</t>
  </si>
  <si>
    <t>11.96</t>
  </si>
  <si>
    <t>55.35</t>
  </si>
  <si>
    <t>29.40</t>
  </si>
  <si>
    <t>9.60</t>
  </si>
  <si>
    <t>23.08</t>
  </si>
  <si>
    <t>48.24</t>
  </si>
  <si>
    <t>34.88</t>
  </si>
  <si>
    <t>22.97</t>
  </si>
  <si>
    <t>5.88</t>
  </si>
  <si>
    <t>1.68</t>
  </si>
  <si>
    <t>9.24</t>
  </si>
  <si>
    <t>20.00</t>
  </si>
  <si>
    <t>4.00</t>
  </si>
  <si>
    <t>18.09</t>
  </si>
  <si>
    <t>1.75</t>
  </si>
  <si>
    <t>14.70</t>
  </si>
  <si>
    <t>8.00</t>
  </si>
  <si>
    <t>19.84</t>
  </si>
  <si>
    <t>45.75</t>
  </si>
  <si>
    <t>18.92</t>
  </si>
  <si>
    <t>83.58</t>
  </si>
  <si>
    <t>12.95</t>
  </si>
  <si>
    <t>24.87</t>
  </si>
  <si>
    <t>17.22</t>
  </si>
  <si>
    <t>48.70</t>
  </si>
  <si>
    <t>172.48</t>
  </si>
  <si>
    <t>38.24</t>
  </si>
  <si>
    <t>33.03</t>
  </si>
  <si>
    <t>30.08</t>
  </si>
  <si>
    <t>2.95</t>
  </si>
  <si>
    <t>6.15</t>
  </si>
  <si>
    <t>2.77</t>
  </si>
  <si>
    <t>8.30</t>
  </si>
  <si>
    <t>6.66</t>
  </si>
  <si>
    <t>7.76</t>
  </si>
  <si>
    <t>25.31</t>
  </si>
  <si>
    <t>34.93</t>
  </si>
  <si>
    <t>3.78</t>
  </si>
  <si>
    <t>1.47</t>
  </si>
  <si>
    <t>2.00</t>
  </si>
  <si>
    <t>7.54</t>
  </si>
  <si>
    <t>1.25</t>
  </si>
  <si>
    <t>12.48</t>
  </si>
  <si>
    <t>6.79</t>
  </si>
  <si>
    <t>56.66</t>
  </si>
  <si>
    <t>8.17</t>
  </si>
  <si>
    <t>77.68</t>
  </si>
  <si>
    <t>51.98</t>
  </si>
  <si>
    <t>12.00</t>
  </si>
  <si>
    <t>19.97</t>
  </si>
  <si>
    <t>35.73</t>
  </si>
  <si>
    <t>35.90</t>
  </si>
  <si>
    <t>151.28</t>
  </si>
  <si>
    <t>33.95</t>
  </si>
  <si>
    <t>22.08</t>
  </si>
  <si>
    <t>12.13</t>
  </si>
  <si>
    <t>9.95</t>
  </si>
  <si>
    <t>8.93</t>
  </si>
  <si>
    <t>6.91</t>
  </si>
  <si>
    <t>8.86</t>
  </si>
  <si>
    <t>10.78</t>
  </si>
  <si>
    <t>14.40</t>
  </si>
  <si>
    <t>21.28</t>
  </si>
  <si>
    <t>1.89</t>
  </si>
  <si>
    <t>3.15</t>
  </si>
  <si>
    <t>4.96</t>
  </si>
  <si>
    <t>10.50</t>
  </si>
  <si>
    <t>11.00</t>
  </si>
  <si>
    <t>8.15</t>
  </si>
  <si>
    <t>239.98</t>
  </si>
  <si>
    <t>117.85</t>
  </si>
  <si>
    <t>65.94</t>
  </si>
  <si>
    <t>7.98</t>
  </si>
  <si>
    <t>154.19</t>
  </si>
  <si>
    <t>48.81</t>
  </si>
  <si>
    <t>73.98</t>
  </si>
  <si>
    <t>44.39</t>
  </si>
  <si>
    <t>64.00</t>
  </si>
  <si>
    <t>22.00</t>
  </si>
  <si>
    <t>28.21</t>
  </si>
  <si>
    <t>5.90</t>
  </si>
  <si>
    <t>36.80</t>
  </si>
  <si>
    <t>42.32</t>
  </si>
  <si>
    <t>10.00</t>
  </si>
  <si>
    <t>19.00</t>
  </si>
  <si>
    <t>32.45</t>
  </si>
  <si>
    <t>45.55</t>
  </si>
  <si>
    <t>18.04</t>
  </si>
  <si>
    <t>10.08</t>
  </si>
  <si>
    <t>5.04</t>
  </si>
  <si>
    <t>31.60</t>
  </si>
  <si>
    <t>46.35</t>
  </si>
  <si>
    <t>77.95</t>
  </si>
  <si>
    <t>110.78</t>
  </si>
  <si>
    <t>34.00</t>
  </si>
  <si>
    <t>35.20</t>
  </si>
  <si>
    <t>1.32</t>
  </si>
  <si>
    <t>114.40</t>
  </si>
  <si>
    <t>89.98</t>
  </si>
  <si>
    <t>33.78</t>
  </si>
  <si>
    <t>18.00</t>
  </si>
  <si>
    <t>56.20</t>
  </si>
  <si>
    <t>59.01</t>
  </si>
  <si>
    <t>36.12</t>
  </si>
  <si>
    <t>43.00</t>
  </si>
  <si>
    <t>7.00</t>
  </si>
  <si>
    <t>17.00</t>
  </si>
  <si>
    <t>23.00</t>
  </si>
  <si>
    <t>14.00</t>
  </si>
  <si>
    <t>29.00</t>
  </si>
  <si>
    <t>56.00</t>
  </si>
  <si>
    <t>80.00</t>
  </si>
  <si>
    <t>90.00</t>
  </si>
  <si>
    <t>2,518.18</t>
  </si>
  <si>
    <t>566.40</t>
  </si>
  <si>
    <t>1,180.00</t>
  </si>
  <si>
    <t>3,245.00</t>
  </si>
  <si>
    <t>374.06</t>
  </si>
  <si>
    <t>2,380.00</t>
  </si>
  <si>
    <t>1,104.00</t>
  </si>
  <si>
    <t>3,950.00</t>
  </si>
  <si>
    <t>4,966.95</t>
  </si>
  <si>
    <t>33.36</t>
  </si>
  <si>
    <t>304.09</t>
  </si>
  <si>
    <t>421.77</t>
  </si>
  <si>
    <t>40.16</t>
  </si>
  <si>
    <t>455.88</t>
  </si>
  <si>
    <t>4.78</t>
  </si>
  <si>
    <t>54.98</t>
  </si>
  <si>
    <t>567.53</t>
  </si>
  <si>
    <t>54.48</t>
  </si>
  <si>
    <t>469.01</t>
  </si>
  <si>
    <t>63.47</t>
  </si>
  <si>
    <t>39.19</t>
  </si>
  <si>
    <t>55.64</t>
  </si>
  <si>
    <t>149.57</t>
  </si>
  <si>
    <t>: 4000035</t>
  </si>
  <si>
    <t>: 22</t>
  </si>
  <si>
    <t>EDUCACION</t>
  </si>
  <si>
    <t>ABRIL</t>
  </si>
  <si>
    <t>COMUNIDAD CAMPESINA PICHIUCA</t>
  </si>
  <si>
    <t>INFORME MENSUAL CORRESPONDIENTE AL MES DE ABRIL DEL 2017</t>
  </si>
  <si>
    <t>ING. FERNANDO ESPINOZA MOSCOSO</t>
  </si>
  <si>
    <t>CONTROL DE METRADOS MENSUAL DE OBRA PROGRAMADOS  Nº 01</t>
  </si>
  <si>
    <t>CONTROL DE METRADOS MENSUAL DE OBRA DE PARTIDAS NUEVAS  Nº 01</t>
  </si>
  <si>
    <t>VARIOS</t>
  </si>
  <si>
    <t>06.01.01</t>
  </si>
  <si>
    <t>GASTOS GENERALES (13.51%)</t>
  </si>
  <si>
    <t>GESTION DE PROYECTO (2.58%)</t>
  </si>
  <si>
    <t>GASTOS DE SUPERVISION (5.41%)</t>
  </si>
  <si>
    <t>LIQUIDACION DE OBRA (1.48%)</t>
  </si>
  <si>
    <t>EXPEDIENTE TECNICO (3.23%)</t>
  </si>
  <si>
    <t>PRESUPUESTO DE INFRAESTRUCTURA</t>
  </si>
  <si>
    <t>MITIGACION AMBIENTAL</t>
  </si>
  <si>
    <t>EQUIPAMIENTO Y MOBILIRARIO</t>
  </si>
  <si>
    <t>MATERIALES PEDAGOGICOS</t>
  </si>
  <si>
    <t>CAPACITACION</t>
  </si>
  <si>
    <t>PRESUPUESTO TOTAL</t>
  </si>
  <si>
    <t>GASTOS DE SUPERVISION</t>
  </si>
  <si>
    <t>EQUIPAMIENTO Y MOBILIARIO</t>
  </si>
  <si>
    <t>REPLANTEO DURANTE EL PROCESO DE EJECUCION</t>
  </si>
  <si>
    <t>ELIMINACION DE MATERIAL EXCEDENTE PROCEDENTE DE CORTE EN FORMA MANUAL</t>
  </si>
  <si>
    <t>Metrado EXP</t>
  </si>
  <si>
    <t>ACUMUL</t>
  </si>
  <si>
    <t>FORMATO FF-01</t>
  </si>
  <si>
    <t>Nombre de la Unidad Ejecutora</t>
  </si>
  <si>
    <t>GOBIERNO REGIONAL DE APURIMAC</t>
  </si>
  <si>
    <t>Direccion</t>
  </si>
  <si>
    <t>JR. PUNO 107</t>
  </si>
  <si>
    <t>Distrito/provincia/Departamento</t>
  </si>
  <si>
    <t>ABANCAY/ABANCAY/APURIMAC</t>
  </si>
  <si>
    <t xml:space="preserve"> Telefono</t>
  </si>
  <si>
    <t>RUC</t>
  </si>
  <si>
    <t xml:space="preserve">Nombre del Proyecto    </t>
  </si>
  <si>
    <t xml:space="preserve">Nombre del Sub Proyecto    </t>
  </si>
  <si>
    <t xml:space="preserve">Ubicación </t>
  </si>
  <si>
    <t xml:space="preserve">Codigo SNIP </t>
  </si>
  <si>
    <t xml:space="preserve">Costo total del Proyecto </t>
  </si>
  <si>
    <t>Costo Directo</t>
  </si>
  <si>
    <t>Gastos Generales</t>
  </si>
  <si>
    <t>Gestion de proyecto</t>
  </si>
  <si>
    <t>Gastos de Supervision</t>
  </si>
  <si>
    <t>Gastos de liquidacion de obra</t>
  </si>
  <si>
    <t>Gastos de expediente tecnico</t>
  </si>
  <si>
    <t>Gastos de Mitigacion Ambiental</t>
  </si>
  <si>
    <t>Gastos de Equipamiento y Mobiliario</t>
  </si>
  <si>
    <t>Gastos de Capacitacion</t>
  </si>
  <si>
    <t>Funcion Programatica</t>
  </si>
  <si>
    <t xml:space="preserve">FUNCION  </t>
  </si>
  <si>
    <t>047 EDUCACION BASICA</t>
  </si>
  <si>
    <t>SUB PROGRAMA</t>
  </si>
  <si>
    <t>META</t>
  </si>
  <si>
    <t>FUENTE DE FINANCIAMIENTO</t>
  </si>
  <si>
    <t xml:space="preserve">RECURSOS ORDINARIOS </t>
  </si>
  <si>
    <t>MODALIDAD DE EJECUCION</t>
  </si>
  <si>
    <t>Tiempo de ejecucion del proyecto</t>
  </si>
  <si>
    <t>Numero de beneficiarios indirectos del proyecto</t>
  </si>
  <si>
    <t>Profesion</t>
  </si>
  <si>
    <t>INGENIERO CIVIL</t>
  </si>
  <si>
    <t>DNI</t>
  </si>
  <si>
    <t>Registro Profesional Nº</t>
  </si>
  <si>
    <t>Telefono</t>
  </si>
  <si>
    <t>Nombre del responsable de la ejecucion del proyecto</t>
  </si>
  <si>
    <t xml:space="preserve">Sustento para la presentacion del Proyecto </t>
  </si>
  <si>
    <t>FORMATO FE - 02</t>
  </si>
  <si>
    <t>Nombre del Proyecto:</t>
  </si>
  <si>
    <t>Nombre del Sub Proyecto:</t>
  </si>
  <si>
    <t>Unidad Ejecutora</t>
  </si>
  <si>
    <t>Residente de Obra</t>
  </si>
  <si>
    <t>Supervisor de Obra</t>
  </si>
  <si>
    <t>Asistente Administrativo</t>
  </si>
  <si>
    <t xml:space="preserve">Fecha : </t>
  </si>
  <si>
    <t>I.- GENERALIDADES</t>
  </si>
  <si>
    <t>Departamento:</t>
  </si>
  <si>
    <t>Provincia :</t>
  </si>
  <si>
    <t>Distrito :</t>
  </si>
  <si>
    <t>Dirección y/o Ubicación :</t>
  </si>
  <si>
    <t>MODALIDAD</t>
  </si>
  <si>
    <t>MONTO ASIGNADO</t>
  </si>
  <si>
    <t>07</t>
  </si>
  <si>
    <t>Recursos Ordinarios</t>
  </si>
  <si>
    <t>II.- RESUMEN DEL  PROYECTO DE EJECUCION DE OBRA</t>
  </si>
  <si>
    <t>2.1.- PLAZO DE EJECUCION</t>
  </si>
  <si>
    <t>Fecha de Entrega de Terreno</t>
  </si>
  <si>
    <t>Fecha de inicio de Obra</t>
  </si>
  <si>
    <t>Fecha de Termino Programada Original</t>
  </si>
  <si>
    <t xml:space="preserve">Plazo de Ejec. Programado Original </t>
  </si>
  <si>
    <t xml:space="preserve">Ampliación de Plazo Nº 1 </t>
  </si>
  <si>
    <t>R.G. Nº</t>
  </si>
  <si>
    <t>Fecha</t>
  </si>
  <si>
    <t xml:space="preserve">Ampliación de Plazo Nº 2 </t>
  </si>
  <si>
    <t>Ampliación de Plazo Nº 3</t>
  </si>
  <si>
    <t xml:space="preserve">Plazo TOTAL APROBADO </t>
  </si>
  <si>
    <t xml:space="preserve">Plazo de Ejec. REAL </t>
  </si>
  <si>
    <t>Und</t>
  </si>
  <si>
    <t>OBSERVACIONES</t>
  </si>
  <si>
    <t>AVANCE   FISICO</t>
  </si>
  <si>
    <t>Presupuesto   de Obra S/.</t>
  </si>
  <si>
    <t>Anterior</t>
  </si>
  <si>
    <t>Actual</t>
  </si>
  <si>
    <t>Acumulado</t>
  </si>
  <si>
    <t>Saldo</t>
  </si>
  <si>
    <t>PROGRAMADO</t>
  </si>
  <si>
    <t>EJECUTADO</t>
  </si>
  <si>
    <t>AVANCE   FINANCIERO</t>
  </si>
  <si>
    <t>Presupuesto   Asignado S/.</t>
  </si>
  <si>
    <t>AMPL. PRESUP.</t>
  </si>
  <si>
    <t>III.- CONTROL DE MANO DE OBRA</t>
  </si>
  <si>
    <t>Semana</t>
  </si>
  <si>
    <t>N° Jornales por semana</t>
  </si>
  <si>
    <t>Monto Pagado por categoria</t>
  </si>
  <si>
    <t>Del</t>
  </si>
  <si>
    <t>Al</t>
  </si>
  <si>
    <t>Peón</t>
  </si>
  <si>
    <t>Oficial</t>
  </si>
  <si>
    <t>Operario</t>
  </si>
  <si>
    <t>CONTROL DE MANO DE OBRA</t>
  </si>
  <si>
    <t>Presupuesto   de Mano de Obra S/.</t>
  </si>
  <si>
    <t>IV.- PRINCIPALES OCURRENCIAS EN EL MES</t>
  </si>
  <si>
    <t>IV.- DOCUMENTACION</t>
  </si>
  <si>
    <t>Del Folio</t>
  </si>
  <si>
    <t>Al Folio</t>
  </si>
  <si>
    <t>SERVICIO DE AGUA POTABLE PROVISIONAL</t>
  </si>
  <si>
    <t>CONTRACTUAL (AL CD)</t>
  </si>
  <si>
    <t>reprogramado (AL CD)</t>
  </si>
  <si>
    <t>REAL (AL CD)</t>
  </si>
  <si>
    <t>PARA L PROXIMO MES</t>
  </si>
  <si>
    <t>DEL EXPEDIENTE TECNICO APROBADO(Costo Directo)</t>
  </si>
  <si>
    <t>VALORIZACION DE INFRAESTRUCTURA</t>
  </si>
  <si>
    <t>PRESUPUESTO (COSTO DIRECTO) - INFRAESTRUCTURA</t>
  </si>
  <si>
    <t>06.01.02</t>
  </si>
  <si>
    <t>TRANSPORTE INTERNO DE MATERIALES DE CONSTRUCCION CON TUBERIA PVC SEL DE 8"</t>
  </si>
  <si>
    <t>06.01.03</t>
  </si>
  <si>
    <t>06.01.04</t>
  </si>
  <si>
    <t>06.01.05</t>
  </si>
  <si>
    <t>06.01.06</t>
  </si>
  <si>
    <t>ACARREO DE AGREGADOS (D=0.35KM)</t>
  </si>
  <si>
    <t>ACARREO DE PIEDRA MEDIANA DE 6 A 8" (D=0.35KM)</t>
  </si>
  <si>
    <t>ACARREO DE PIEDRA GRANDE DE 8 A 10" (D=0.35KM)</t>
  </si>
  <si>
    <t>Kg</t>
  </si>
  <si>
    <t>ACARREO DE ACERO DE REFUERZO F'y=4200 Kg/cm2  (D=0.35KM)</t>
  </si>
  <si>
    <t>06.01.07</t>
  </si>
  <si>
    <t>06.01.08</t>
  </si>
  <si>
    <t>06.01.09</t>
  </si>
  <si>
    <t>p2</t>
  </si>
  <si>
    <t>ACARREO DE MADERA PARA ENCOFRADO  (D=0.35KM)</t>
  </si>
  <si>
    <t>ACARREO DE ROLLIZO PARA ENCOFRADO  (D=0.35KM)</t>
  </si>
  <si>
    <t>ACARREO DE TRIPLAY LUPUNA PARA ENCOFRADO  (D=0.35KM)</t>
  </si>
  <si>
    <t>VALORIZACION PARTIDAS NUEVAS JUNIO 2017</t>
  </si>
  <si>
    <t>REPLANTEO DURANTE EL PROCESO EJECUCION</t>
  </si>
  <si>
    <t>OBRAS DE CONCRETO SIMPLE</t>
  </si>
  <si>
    <t>FALSA ZAPATA C:H 1:10 +30%P.G</t>
  </si>
  <si>
    <t>cemento</t>
  </si>
  <si>
    <t>operario</t>
  </si>
  <si>
    <t>oficial</t>
  </si>
  <si>
    <t>peon</t>
  </si>
  <si>
    <t>FECHA</t>
  </si>
  <si>
    <t>ENCOFRADO C Y S/C DE BLOQUE 03</t>
  </si>
  <si>
    <t>BLOQUE 01</t>
  </si>
  <si>
    <t>BLOQUE 02</t>
  </si>
  <si>
    <t>BLOQUE 03</t>
  </si>
  <si>
    <t>BLOQUE 04</t>
  </si>
  <si>
    <t>VACIADO DE V.C DEL BLOQUE 02</t>
  </si>
  <si>
    <t>VACIADO DE CERCO PERIMETRICO</t>
  </si>
  <si>
    <t>VACIADO C Y S/C DE BLOQUE 03</t>
  </si>
  <si>
    <t>ENCOFRADO C Y S/C DE BLOQUE 02</t>
  </si>
  <si>
    <t>ENCOFRADO DE COLUMNAS 04 COLUMNAS/ VACIADAS</t>
  </si>
  <si>
    <t>VACIADO DE C Y S/C  DEL BLOQUE 02</t>
  </si>
  <si>
    <t>ENCOFRADO DE CERCO PERIMETRICO CADA 9 ML</t>
  </si>
  <si>
    <t>ENCOFRADO DE COLUMNAS 06 COLUMNAS/ VACIADAS</t>
  </si>
  <si>
    <t>ACERO REFUERZO VIGAS</t>
  </si>
  <si>
    <t>ENCOFRADO LOSA ALIGERADA</t>
  </si>
  <si>
    <t>VACIADO DE TECHO</t>
  </si>
  <si>
    <t>MURO DE ESTRUCTURALES</t>
  </si>
  <si>
    <t>EXCAVACION DE MURO ESTRUCTURALES BLOQUE 01 Y BLOQUE 04</t>
  </si>
  <si>
    <t>ACERO PARA ZAPATAS Y MURO DE ACEO</t>
  </si>
  <si>
    <t>ENCOFRADO DE MURO ESTRUCTURAL</t>
  </si>
  <si>
    <t>VACIADO DE MURO ESTRUCTURAL</t>
  </si>
  <si>
    <t>EXCAVACION DE MURO ESTRUCTURALES DETRÁS DE BLOQUE 02</t>
  </si>
  <si>
    <t xml:space="preserve">ACERO PARA ZAPATAS Y MURO DE ACERO </t>
  </si>
  <si>
    <t>ASENTADO DE MUROS DE LADRILLO</t>
  </si>
  <si>
    <t>EXCAVACION DE ZAPATAS</t>
  </si>
  <si>
    <t xml:space="preserve">VACIADO DEFALSAS ZAPATAS </t>
  </si>
  <si>
    <t>EXCAVACION PRELIMINAR</t>
  </si>
  <si>
    <t>DE BLOQUES 02 Y 03</t>
  </si>
  <si>
    <t>lunes</t>
  </si>
  <si>
    <t>martes</t>
  </si>
  <si>
    <t>miércoles</t>
  </si>
  <si>
    <t>jueves</t>
  </si>
  <si>
    <t>viernes</t>
  </si>
  <si>
    <t>sábado</t>
  </si>
  <si>
    <t>domingo</t>
  </si>
  <si>
    <t>sabado</t>
  </si>
  <si>
    <t>domindo</t>
  </si>
  <si>
    <t>06.01.10</t>
  </si>
  <si>
    <t>OBRAS DE CONCRETO ARMADO</t>
  </si>
  <si>
    <t>CIMIENTO REFORZADO</t>
  </si>
  <si>
    <t>CONCRETO F'C=210 KG/CM2 EN CIMIENTOS REFORZADOS</t>
  </si>
  <si>
    <t>ENCOFRADO Y DESENCOFRADO EN CIMIENTOS REFORZADOS</t>
  </si>
  <si>
    <t>ACERO FY=4200KG/CM2 EN CIMIENTOS REFORZADOS</t>
  </si>
  <si>
    <t>SOBRECIMIENTO REFORZADO</t>
  </si>
  <si>
    <t>CONCRETO F'C=210 KG/CM2 EN SOBRECIMIENTOS REFORZADOS</t>
  </si>
  <si>
    <t>ENCOFRADO Y DESENCOFRADO EN SOBRECIMIENTOS REFORZADOS</t>
  </si>
  <si>
    <t>ACERO FY=4200KG/CM2 EN SOBRECIMIENTOS REFORZADOS</t>
  </si>
  <si>
    <t>ENCOFRADO Y DESENCOFRADO CIMIENTOS CORRIDOS</t>
  </si>
  <si>
    <t>06.01.11</t>
  </si>
  <si>
    <t>ACARREO DE LADRILLO DE TECHO 15X15X30CM  (D=0.35KM)</t>
  </si>
  <si>
    <t>ACARREO DE LADRILLO DE ARCILLA KING KONG DE 18 HUECOS DE 9 X 12 X 24 cm (D=0.35KM)</t>
  </si>
  <si>
    <t>ACARREO DE CEMENTO PORTLAND TIPO I (D=0.35KM)</t>
  </si>
  <si>
    <t>06.01.12</t>
  </si>
  <si>
    <t>ACARREO DE LADRILLO PASTELERO 24 X 24 X 3 CM  (D=0.35KM)</t>
  </si>
  <si>
    <t>06.01.13</t>
  </si>
  <si>
    <t>ACARREO DE LADRILLO CARAVISTA DE 18 HUECOS 9X12X24 CM  (D=0.35KM)</t>
  </si>
  <si>
    <t>06.01.14</t>
  </si>
  <si>
    <t>ACARREO DE COBERTURA DE PLACA ONDUVILLA  (D=0.35KM)</t>
  </si>
  <si>
    <t>06.01.15</t>
  </si>
  <si>
    <t>ACARREO DE CUMBRERA DE PLACA ONDUVILLA  (D=0.35KM)</t>
  </si>
  <si>
    <t>06.01.16</t>
  </si>
  <si>
    <t>ACARREO DE TUBO LAC DE 3"X2"X3MM PARA COBERTURA DE TECHO (D=0.35KM)</t>
  </si>
  <si>
    <t>06.01.17</t>
  </si>
  <si>
    <t>ACARREO DE PINTURA PARA INTERIORES Y EXTERIORES (D=0.35KM)</t>
  </si>
  <si>
    <t>06.01.18</t>
  </si>
  <si>
    <t>ACARREO DE IMPRIMANTE PARA PINTURA  (D=0.35KM)</t>
  </si>
  <si>
    <t>06.01.19</t>
  </si>
  <si>
    <t>06.01.20</t>
  </si>
  <si>
    <t>ACARREO DE TUBERIA PARA LUZ LONGITUD DE 3ML  (D=0.35KM)</t>
  </si>
  <si>
    <t>ACARREO DE TUBERIA PARA AGUA LONGITUD DE 5ML (D=0.35KM)</t>
  </si>
  <si>
    <t>06.01.21</t>
  </si>
  <si>
    <t>06.01.22</t>
  </si>
  <si>
    <t>ACARREO DE PORCELANATOS 60X60CM (D=0.35KM)</t>
  </si>
  <si>
    <t>06.01.23</t>
  </si>
  <si>
    <t>ACARREO DE CERAMICO 45X45CM (D=0.35KM)</t>
  </si>
  <si>
    <t>ACARREO DE PEGAMENTO PARA CERAMICOS, PORCELANATOS (25KG) (D=0.35KM)</t>
  </si>
  <si>
    <t>06.01.24</t>
  </si>
  <si>
    <t>06.01.25</t>
  </si>
  <si>
    <t>ACARREO DE TUBERIA PARA DESAGUE, DRENAJE PLUVIAL DE 3ML (D=0.35KM)</t>
  </si>
  <si>
    <t>07.02</t>
  </si>
  <si>
    <t>07.03</t>
  </si>
  <si>
    <t>07.02.01</t>
  </si>
  <si>
    <t>07.02.01.01</t>
  </si>
  <si>
    <t>07.02.02</t>
  </si>
  <si>
    <t>07.02.02.01</t>
  </si>
  <si>
    <t>07.02.02.02</t>
  </si>
  <si>
    <t>07.02.02.01.01</t>
  </si>
  <si>
    <t>07.02.02.01.02</t>
  </si>
  <si>
    <t>07.02.02.01.03</t>
  </si>
  <si>
    <t>07.02.02.02.01</t>
  </si>
  <si>
    <t>07.02.02.02.02</t>
  </si>
  <si>
    <t>07.02.02.02.03</t>
  </si>
  <si>
    <t>07.03.01</t>
  </si>
  <si>
    <t>07.03.02</t>
  </si>
  <si>
    <t>07.03.01.01</t>
  </si>
  <si>
    <t>07.03.02.01</t>
  </si>
  <si>
    <t>07.03.02.02</t>
  </si>
  <si>
    <t>07.03.02.01.01</t>
  </si>
  <si>
    <t>07.03.02.01.02</t>
  </si>
  <si>
    <t>07.03.02.01.03</t>
  </si>
  <si>
    <t>07.03.02.02.01</t>
  </si>
  <si>
    <t>07.03.02.02.02</t>
  </si>
  <si>
    <t>07.03.02.02.03</t>
  </si>
  <si>
    <t>07.04</t>
  </si>
  <si>
    <t>07.04.01</t>
  </si>
  <si>
    <t>07.04.01.01</t>
  </si>
  <si>
    <t>07.04.01.02</t>
  </si>
  <si>
    <t>BLS</t>
  </si>
  <si>
    <t>ELIMINACION DE MATERIAL EXCEDENTE PROCEDENTE DE CORTE DE FORMA MANUAL</t>
  </si>
  <si>
    <t>06.02</t>
  </si>
  <si>
    <t>06.02.01</t>
  </si>
  <si>
    <t>06.02.01.01</t>
  </si>
  <si>
    <t>06.02.02</t>
  </si>
  <si>
    <t>06.02.02.01</t>
  </si>
  <si>
    <t>06.02.02.01.01</t>
  </si>
  <si>
    <t>06.02.02.01.02</t>
  </si>
  <si>
    <t>06.02.02.01.03</t>
  </si>
  <si>
    <t>06.02.02.02</t>
  </si>
  <si>
    <t>06.02.02.02.01</t>
  </si>
  <si>
    <t>06.02.02.02.02</t>
  </si>
  <si>
    <t>06.02.02.02.03</t>
  </si>
  <si>
    <t>06.03</t>
  </si>
  <si>
    <t>06.03.01</t>
  </si>
  <si>
    <t>06.03.01.01</t>
  </si>
  <si>
    <t>06.03.02</t>
  </si>
  <si>
    <t>06.03.02.01</t>
  </si>
  <si>
    <t>06.03.02.01.01</t>
  </si>
  <si>
    <t>06.03.02.01.02</t>
  </si>
  <si>
    <t>06.03.02.01.03</t>
  </si>
  <si>
    <t>06.03.02.02</t>
  </si>
  <si>
    <t>06.03.02.02.01</t>
  </si>
  <si>
    <t>06.03.02.02.02</t>
  </si>
  <si>
    <t>06.03.02.02.03</t>
  </si>
  <si>
    <t>06.04</t>
  </si>
  <si>
    <t>06.04.01</t>
  </si>
  <si>
    <t>06.04.01.01</t>
  </si>
  <si>
    <t>06.04.01.02</t>
  </si>
  <si>
    <t>VALORIZACIÓN DE PARTIDAS PROGRAMADAS  JULIO 2017</t>
  </si>
  <si>
    <t>INFORME CORRESPONDIENTE AL MES DE JULIO DEL 2017</t>
  </si>
  <si>
    <t>ACARREO DE LADRILLO DE TECHO 15X30X30CM  (D=0.35KM)</t>
  </si>
  <si>
    <t>WW</t>
  </si>
  <si>
    <t xml:space="preserve">OTROS </t>
  </si>
  <si>
    <t>ACARREO DE CEMENTO PORTLAND TIPO I   (D=0.35KM)</t>
  </si>
  <si>
    <t>BRUÑAS DE 1CMX1CM EN CERCO PERIMETRICO</t>
  </si>
  <si>
    <t>M</t>
  </si>
  <si>
    <t>RELLENO Y COMPACTADO DE AREA DEJUEGOS</t>
  </si>
  <si>
    <t>06.04.02</t>
  </si>
  <si>
    <t>06.04.02.01</t>
  </si>
  <si>
    <t>06.05</t>
  </si>
  <si>
    <t>06.06</t>
  </si>
  <si>
    <t>06.05.01</t>
  </si>
  <si>
    <t>06.05.01.01</t>
  </si>
  <si>
    <t>06.06.01</t>
  </si>
  <si>
    <t xml:space="preserve">viernes </t>
  </si>
  <si>
    <t>06.07</t>
  </si>
  <si>
    <t>06.07.02.02</t>
  </si>
  <si>
    <t>06.07.02.02.01</t>
  </si>
  <si>
    <t>06.07.02.02.02</t>
  </si>
  <si>
    <t>06.07.02.02.03</t>
  </si>
  <si>
    <t>06.08</t>
  </si>
  <si>
    <t>06.04.03</t>
  </si>
  <si>
    <t>06.04.03.01</t>
  </si>
  <si>
    <t>06.04.03.01.01</t>
  </si>
  <si>
    <t>ZAPATAS - PUERTA PRICIPAL</t>
  </si>
  <si>
    <t>06.04.03.01.02</t>
  </si>
  <si>
    <t>CONCRETO f'c= 210 kg/cm2 EN ZAPATA - PUERTA PRINCIPAL</t>
  </si>
  <si>
    <t>ACERO fy=4200 kg/cm2 GRADO 60 EN ZAPATA - PUERTA PRINCIPAL</t>
  </si>
  <si>
    <t>06.08.01</t>
  </si>
  <si>
    <t>06.08.01.01</t>
  </si>
  <si>
    <t>06.08.01.01.01</t>
  </si>
  <si>
    <t>06.08.01.01.02</t>
  </si>
  <si>
    <t>06.08.01.01.03</t>
  </si>
  <si>
    <t>06.08.01.02</t>
  </si>
  <si>
    <t>06.08.01.02.01</t>
  </si>
  <si>
    <t>06.08.01.02.02</t>
  </si>
  <si>
    <t>06.08.01.02.03</t>
  </si>
  <si>
    <t>ACARREO DE PLACA Y CUMBRERA ONDUVILLA PARA TECHO (D=0.35KM)</t>
  </si>
  <si>
    <t>PZA</t>
  </si>
  <si>
    <t>U</t>
  </si>
  <si>
    <t>06.04.03.01.03</t>
  </si>
  <si>
    <t>06.05.02</t>
  </si>
  <si>
    <t>CONCRETO f'c= 210 kg/cm2 EN MUROS INTERIORES</t>
  </si>
  <si>
    <t>ENCOFRADO Y DESENCOFRADO EN MUROS INTERIORES</t>
  </si>
  <si>
    <t>ACERO fy=4200 kg/cm2 GRADO 60 EN MUROS INTERIORES</t>
  </si>
  <si>
    <t>06.07.01</t>
  </si>
  <si>
    <t>06.07.01.01</t>
  </si>
  <si>
    <t>06.07.01.01.01</t>
  </si>
  <si>
    <t>06.07.01.01.02</t>
  </si>
  <si>
    <t>06.07.01.01.03</t>
  </si>
  <si>
    <t>06.07.01.03</t>
  </si>
  <si>
    <t>06.07.01.03.02</t>
  </si>
  <si>
    <t>06.07.01.03.03</t>
  </si>
  <si>
    <t>06.07.01.03.04</t>
  </si>
  <si>
    <t>06.05.02.01</t>
  </si>
  <si>
    <t>06.05.02.02</t>
  </si>
  <si>
    <t>06.05.02.03</t>
  </si>
  <si>
    <t>06.08.02.01</t>
  </si>
  <si>
    <t>06.08.02.02</t>
  </si>
  <si>
    <t>06.08.02.03</t>
  </si>
  <si>
    <t>NOVIEMBRE</t>
  </si>
  <si>
    <t>06.07.01.03.01</t>
  </si>
  <si>
    <t>Domingo</t>
  </si>
  <si>
    <t>Lunes</t>
  </si>
  <si>
    <t>Martes</t>
  </si>
  <si>
    <t>Miércoles</t>
  </si>
  <si>
    <t>Jueves</t>
  </si>
  <si>
    <t>Viernes</t>
  </si>
  <si>
    <t>Sábado</t>
  </si>
  <si>
    <t>06.06.02</t>
  </si>
  <si>
    <t xml:space="preserve">RELLENO Y COMPACTADO DE RAMPA DE ACCESO </t>
  </si>
  <si>
    <t>06.06.03</t>
  </si>
  <si>
    <t>06.05.01.02</t>
  </si>
  <si>
    <t>ESTABILIZACION DE SUELOS CON PIEDRA MEDIANA DE 6" - 8" -  RAMPAS DE ACCESO, VEREDAS DE BLOQUES (01,02.03 Y 04) Y PISOS DE BLOQUES (01,02,03 Y 04)</t>
  </si>
  <si>
    <t>06.07.01.03.01.01</t>
  </si>
  <si>
    <t>06.07.01.03.01.02</t>
  </si>
  <si>
    <t>06.07.01.03.02.01</t>
  </si>
  <si>
    <t>06.07.01.03.02.02</t>
  </si>
  <si>
    <t>06.07.01.03.02.03</t>
  </si>
  <si>
    <t>GLN</t>
  </si>
  <si>
    <t>ACARREO DE TUBO LAC 2"X2"X6M, E=2MM (D=0.35KM)</t>
  </si>
  <si>
    <t>ACARREO DE BALDES DE PINTURA (IMPRIMANTE, COLOR MARFIL, BLANCO, SALMON,)  (D=0.35KM)</t>
  </si>
  <si>
    <t>06.06.04</t>
  </si>
  <si>
    <t>RELLENO Y COMPACTADO DE MUROS INTERIORES</t>
  </si>
  <si>
    <r>
      <t xml:space="preserve">1.1.- </t>
    </r>
    <r>
      <rPr>
        <b/>
        <u/>
        <sz val="10"/>
        <rFont val="Trebuchet MS"/>
        <family val="2"/>
      </rPr>
      <t>GENERALIDADES DEL PROYECTO</t>
    </r>
  </si>
  <si>
    <r>
      <t xml:space="preserve">2.2.- </t>
    </r>
    <r>
      <rPr>
        <b/>
        <u/>
        <sz val="10"/>
        <rFont val="Trebuchet MS"/>
        <family val="2"/>
      </rPr>
      <t>PARTIDAS EJECUTADAS DURANTE EL PERIODO</t>
    </r>
  </si>
  <si>
    <r>
      <t xml:space="preserve">4.1.- </t>
    </r>
    <r>
      <rPr>
        <b/>
        <u/>
        <sz val="10"/>
        <rFont val="Trebuchet MS"/>
        <family val="2"/>
      </rPr>
      <t>CUADERNO DE OBRA</t>
    </r>
  </si>
  <si>
    <t>CUADRO RESPECTO A LA SUB META (GASTO MULTIANUAL)</t>
  </si>
  <si>
    <t>Miercoles</t>
  </si>
  <si>
    <t>06.03.02.03</t>
  </si>
  <si>
    <t>06.03.02.03.01</t>
  </si>
  <si>
    <t>06.03.02.03.02</t>
  </si>
  <si>
    <t>06.03.02.03.03</t>
  </si>
  <si>
    <t>06.09</t>
  </si>
  <si>
    <t>06.09.01</t>
  </si>
  <si>
    <t>06.06.05</t>
  </si>
  <si>
    <t>RELLENO Y COMPACTADO DE VEREDAS BLOQUES (01,02,03 Y 04)</t>
  </si>
  <si>
    <t>MURO DE CABEZA LADRILLO CARAVISTA KING KONG CON CEMENTO ARENA</t>
  </si>
  <si>
    <t>SUMINISTRO E INSTALACION DE BIODIGESTOR 1300 LTS</t>
  </si>
  <si>
    <t xml:space="preserve">Viernes </t>
  </si>
  <si>
    <t>BRUÑAS DE 1CMX1CM EN MUROS INTERIORES</t>
  </si>
  <si>
    <t>06.05.03</t>
  </si>
  <si>
    <t>06.05.03.01</t>
  </si>
  <si>
    <t>06.07.01.03.03.01</t>
  </si>
  <si>
    <t>CAMARA DE INFILTRACION(CON LADRILLO KING KONG 9X12X24CM)</t>
  </si>
  <si>
    <t>TAPA DE CONCRETO F'C= 175 KG/CM2 PARA CAMARA DE INFILTRACION</t>
  </si>
  <si>
    <t>06.10</t>
  </si>
  <si>
    <t>06.10.01</t>
  </si>
  <si>
    <t>06.10.02</t>
  </si>
  <si>
    <t>06.10.03</t>
  </si>
  <si>
    <t>06.10.04</t>
  </si>
  <si>
    <t>06.10.05</t>
  </si>
  <si>
    <t>06.11</t>
  </si>
  <si>
    <t>06.11.01</t>
  </si>
  <si>
    <t>BRUÑAS DE 1CMX1CM EN MUROS EXTERIORES</t>
  </si>
  <si>
    <t>ACARREO DE PEGAMENTO PARA CERAMICOS, PORCELANATO (25KG)  (D=0.35KM)</t>
  </si>
  <si>
    <t>BOLSA</t>
  </si>
  <si>
    <t>ACARREO DE PORCELANATO DE 60X60CM  (D=0.35KM)</t>
  </si>
  <si>
    <t>ACARREO DE CERAMICO DE 45X45CM(D=0.35KM)</t>
  </si>
  <si>
    <t>06.04.02.01.01</t>
  </si>
  <si>
    <t>TARRAJEO EN COLUMNAS EXTERIORES</t>
  </si>
  <si>
    <t>06.04.02.01.02</t>
  </si>
  <si>
    <t>06.07.01.03.04.01</t>
  </si>
  <si>
    <t>06.11.02</t>
  </si>
  <si>
    <t>PEDESTAL CON LADRILLO KING KONG 9X12X24CM</t>
  </si>
  <si>
    <t>PARARRAYOS</t>
  </si>
  <si>
    <t>SUMINISTRO E INSTALACION DE DE PARARRAYOS</t>
  </si>
  <si>
    <t xml:space="preserve">SISTEMA DE PUESTA A TIERRA </t>
  </si>
  <si>
    <t>MATERIAL ORGANICO DE CANTERA PARA POZO A TIERRA D=8.5KM</t>
  </si>
  <si>
    <t>SISTEMA CON MALLA DE PUESTA A TIERRA R&lt;25 ohms</t>
  </si>
  <si>
    <t>EMPASTADO EN INTERIORES BLOQUES 01,02,03 Y 04</t>
  </si>
  <si>
    <t>B01</t>
  </si>
  <si>
    <t>B02</t>
  </si>
  <si>
    <t>B03</t>
  </si>
  <si>
    <t>B04</t>
  </si>
  <si>
    <t>06.04.04</t>
  </si>
  <si>
    <t>06.04.04.01</t>
  </si>
  <si>
    <t>DEL EXPEDIENTE TECNICO MODIFICADO (Costo Directo)</t>
  </si>
  <si>
    <t>GUIDO ELGUERA CURI</t>
  </si>
  <si>
    <t>URB. LAS INTIMPAS D13 ABANCAY</t>
  </si>
  <si>
    <t>ING. GUIDO ELGUERA CURI</t>
  </si>
  <si>
    <t>MEJORAMIENTO DEL SERVICIO EDUCATIVO EN LA IEP N° 54002 SANTA ROSA E IES SANTA ROSA DEL DISTRITO DE ABANCAY, PROVINCIA DE ABANCAY – REGIÓN APURÍMAC</t>
  </si>
  <si>
    <t>Plan de Contingencia</t>
  </si>
  <si>
    <t>Adquisicion de Terreno</t>
  </si>
  <si>
    <t>14 MESES</t>
  </si>
  <si>
    <t>ELIANA ORTEGA MENZALA</t>
  </si>
  <si>
    <t>ARQUITECTO</t>
  </si>
  <si>
    <t xml:space="preserve">PRIMARIA
La primaria está identificada por la presencia de 04 bloques con 42 ambientes destinados a aulas, servicios SS.HH. para mujeres y discapacitados, 01 Canchas deportivas completamente techada con tribunas, 01 atrio de ingreso, 01 un tanque cisterna y elevado y ambientes administrativos.
Bloque 1.-
En el Primer Nivel se considera los vestuarios, duchas, cuarto de limpieza cuarto de recolección de residuos.
En el segundo Nivel se ubica la cocina con el modelo Qali Warma, almacén, depósito de limpieza, almacén de combustible, cuarto de tableros y patio de servicio.
Bloque 2.- 
Se destina al uso de aulas estándar; 03 en el primer nivel, 03 en el segundo nivel, 03 aulas en el tercer nivel.
Bloque 3.-
Se destina al uso de servicios higiénicos que incluye para discapacitados, cuarto de limpieza, botadero de residuos con su respectivos.
Bloque 4.-
El primer nivel se destina al uso de la tienda escolar, biblioteca, depósito de libros, 01 aula estándar, oficina y depósito de educación física para primaria, psicología, enfermería.
SECUNDARIA
Bloque 5.-
En el sótano se destina el almacén general, oficina y depósito de educación física para secundaria, cafetería/comedor y cocina de acuerdo al modelo de Qali Warma.
En el primer nivel se destina al uso del SUM tiene una capacidad para 305 personas sentadas y un escenario, camerinos servicio higiénico y depósito a desnivel. Cuya altura fue planteada a doble altura y con un mezzanine.
En el tercer nivel se destina el taller de educación para el trabajo (repostería y cocina), biblioteca, almacén de libros, taller de educación para el trabajo (manualidades).
Bloque 6.-
Se destina al uso de aulas estándar; 02 en el primer nivel, 02 en el segundo nivel, 02 aulas en el tercer nivel 
Bloque 7.-
Se destina al uso de servicios higiénicos que incluye para discapacitados, cuarto de limpieza, botadero de residuos con su respectivos.
Bloque 8.-
Se destina al uso de aulas estándar; 02 en el primer nivel, 02 en el segundo nivel, 02 aulas en el tercer nivel.
Bloque 9.- 
Destinado al uso de duchas, vestidores maestranza y limpieza además de la rampa para discapacitados y acceso principal del nivel secundario.
Bloque 10.- 
El primer nivel está destinado al laboratorio multifuncional, taller de arte, en el segundo nivel está destinado dos aulas de innovación pedagógica, módulo de conectividad, enfermería y psicología.  
</t>
  </si>
  <si>
    <t>AV GARCILAZO</t>
  </si>
  <si>
    <t>4000038 INFRAESTRUCTURA EDUCACION BASICA REGULAR</t>
  </si>
  <si>
    <t>CPC IVAN CHIRINOS PINTO</t>
  </si>
  <si>
    <t>0104 EDUCACION PRIMARIA</t>
  </si>
  <si>
    <t>01.02.04</t>
  </si>
  <si>
    <t>01.02.05</t>
  </si>
  <si>
    <t>01.03.03</t>
  </si>
  <si>
    <t>01.03.04</t>
  </si>
  <si>
    <t>01.04.03</t>
  </si>
  <si>
    <t>01.05.07</t>
  </si>
  <si>
    <t>01.05.08</t>
  </si>
  <si>
    <t>01.05.09</t>
  </si>
  <si>
    <t>01.05.10</t>
  </si>
  <si>
    <t>01.05.11</t>
  </si>
  <si>
    <t>01.05.12</t>
  </si>
  <si>
    <t>01.05.13</t>
  </si>
  <si>
    <t>01.05.14</t>
  </si>
  <si>
    <t>01.05.15</t>
  </si>
  <si>
    <t>01.05.16</t>
  </si>
  <si>
    <t>01.05.17</t>
  </si>
  <si>
    <t>01.05.18</t>
  </si>
  <si>
    <t>01.05.19</t>
  </si>
  <si>
    <t>01.05.20</t>
  </si>
  <si>
    <t>01.05.21</t>
  </si>
  <si>
    <t>01.05.22</t>
  </si>
  <si>
    <t>01.05.23</t>
  </si>
  <si>
    <t>01.05.24</t>
  </si>
  <si>
    <t>01.05.25</t>
  </si>
  <si>
    <t>01.05.26</t>
  </si>
  <si>
    <t>01.05.27</t>
  </si>
  <si>
    <t>01.05.28</t>
  </si>
  <si>
    <t>01.05.29</t>
  </si>
  <si>
    <t>01.05.30</t>
  </si>
  <si>
    <t>01.05.31</t>
  </si>
  <si>
    <t>01.05.32</t>
  </si>
  <si>
    <t>01.05.33</t>
  </si>
  <si>
    <t>01.05.34</t>
  </si>
  <si>
    <t>01.05.35</t>
  </si>
  <si>
    <t>01.05.36</t>
  </si>
  <si>
    <t>01.05.37</t>
  </si>
  <si>
    <t>01.05.38</t>
  </si>
  <si>
    <t>01.06.01</t>
  </si>
  <si>
    <t>01.07</t>
  </si>
  <si>
    <t>01.07.01</t>
  </si>
  <si>
    <t>01.07.02</t>
  </si>
  <si>
    <t>01.07.03</t>
  </si>
  <si>
    <t>01.07.04</t>
  </si>
  <si>
    <t>01.07.05</t>
  </si>
  <si>
    <t>01.07.06</t>
  </si>
  <si>
    <t>02.01.06</t>
  </si>
  <si>
    <t>02.02.04.02</t>
  </si>
  <si>
    <t>02.02.05.03</t>
  </si>
  <si>
    <t>02.02.05.04</t>
  </si>
  <si>
    <t>02.02.06.01</t>
  </si>
  <si>
    <t>02.02.06.02</t>
  </si>
  <si>
    <t>02.02.07.01</t>
  </si>
  <si>
    <t>02.02.07.02</t>
  </si>
  <si>
    <t>02.02.08.01</t>
  </si>
  <si>
    <t>02.02.08.02</t>
  </si>
  <si>
    <t>02.02.09</t>
  </si>
  <si>
    <t>02.02.09.01</t>
  </si>
  <si>
    <t>02.02.09.02</t>
  </si>
  <si>
    <t>02.02.10</t>
  </si>
  <si>
    <t>02.02.10.01</t>
  </si>
  <si>
    <t>02.03.04.02</t>
  </si>
  <si>
    <t>02.03.04.03</t>
  </si>
  <si>
    <t>02.03.04.04</t>
  </si>
  <si>
    <t>02.03.04.05</t>
  </si>
  <si>
    <t>02.03.04.06</t>
  </si>
  <si>
    <t>02.03.05.03</t>
  </si>
  <si>
    <t>02.03.06</t>
  </si>
  <si>
    <t>02.03.06.01</t>
  </si>
  <si>
    <t>02.03.06.02</t>
  </si>
  <si>
    <t>02.03.06.03</t>
  </si>
  <si>
    <t>02.03.07</t>
  </si>
  <si>
    <t>02.03.07.01</t>
  </si>
  <si>
    <t>02.03.07.02</t>
  </si>
  <si>
    <t>02.03.07.03</t>
  </si>
  <si>
    <t>02.03.08</t>
  </si>
  <si>
    <t>02.03.08.01</t>
  </si>
  <si>
    <t>02.03.08.02</t>
  </si>
  <si>
    <t>02.03.08.03</t>
  </si>
  <si>
    <t>02.03.09</t>
  </si>
  <si>
    <t>02.03.09.01</t>
  </si>
  <si>
    <t>02.03.09.02</t>
  </si>
  <si>
    <t>02.03.09.03</t>
  </si>
  <si>
    <t>02.03.09.04</t>
  </si>
  <si>
    <t>02.03.10</t>
  </si>
  <si>
    <t>02.03.10.01</t>
  </si>
  <si>
    <t>02.03.10.02</t>
  </si>
  <si>
    <t>02.03.10.03</t>
  </si>
  <si>
    <t>02.03.10.04</t>
  </si>
  <si>
    <t>02.03.11</t>
  </si>
  <si>
    <t>02.03.11.01</t>
  </si>
  <si>
    <t>02.03.11.02</t>
  </si>
  <si>
    <t>02.03.11.03</t>
  </si>
  <si>
    <t>02.03.11.04</t>
  </si>
  <si>
    <t>02.03.12</t>
  </si>
  <si>
    <t>02.03.12.01</t>
  </si>
  <si>
    <t>02.03.12.02</t>
  </si>
  <si>
    <t>02.03.12.03</t>
  </si>
  <si>
    <t>02.03.12.04</t>
  </si>
  <si>
    <t>02.03.13</t>
  </si>
  <si>
    <t>02.03.13.01</t>
  </si>
  <si>
    <t>02.03.13.02</t>
  </si>
  <si>
    <t>02.03.13.03</t>
  </si>
  <si>
    <t>02.03.13.04</t>
  </si>
  <si>
    <t>02.03.14</t>
  </si>
  <si>
    <t>02.03.14.01</t>
  </si>
  <si>
    <t>02.03.14.02</t>
  </si>
  <si>
    <t>02.03.14.03</t>
  </si>
  <si>
    <t>02.03.14.04</t>
  </si>
  <si>
    <t>02.03.15</t>
  </si>
  <si>
    <t>02.03.15.01</t>
  </si>
  <si>
    <t>02.03.15.02</t>
  </si>
  <si>
    <t>02.03.15.03</t>
  </si>
  <si>
    <t>02.03.16</t>
  </si>
  <si>
    <t>02.03.16.01</t>
  </si>
  <si>
    <t>02.03.16.02</t>
  </si>
  <si>
    <t>02.03.16.03</t>
  </si>
  <si>
    <t>02.03.17</t>
  </si>
  <si>
    <t>02.03.17.01</t>
  </si>
  <si>
    <t>02.03.17.02</t>
  </si>
  <si>
    <t>02.03.17.03</t>
  </si>
  <si>
    <t>02.03.18</t>
  </si>
  <si>
    <t>02.03.18.01</t>
  </si>
  <si>
    <t>02.03.18.02</t>
  </si>
  <si>
    <t>02.03.18.03</t>
  </si>
  <si>
    <t>02.03.19</t>
  </si>
  <si>
    <t>02.03.19.01</t>
  </si>
  <si>
    <t>02.03.19.02</t>
  </si>
  <si>
    <t>02.03.19.03</t>
  </si>
  <si>
    <t>02.03.20</t>
  </si>
  <si>
    <t>02.03.20.01</t>
  </si>
  <si>
    <t>02.03.20.02</t>
  </si>
  <si>
    <t>02.03.20.03</t>
  </si>
  <si>
    <t>02.03.21</t>
  </si>
  <si>
    <t>02.03.21.01</t>
  </si>
  <si>
    <t>02.03.21.01.01</t>
  </si>
  <si>
    <t>02.03.21.01.02</t>
  </si>
  <si>
    <t>02.03.21.01.03</t>
  </si>
  <si>
    <t>02.03.21.01.04</t>
  </si>
  <si>
    <t>02.03.21.02</t>
  </si>
  <si>
    <t>02.03.21.02.01</t>
  </si>
  <si>
    <t>02.03.21.02.02</t>
  </si>
  <si>
    <t>02.03.21.02.03</t>
  </si>
  <si>
    <t>02.03.22</t>
  </si>
  <si>
    <t>02.03.22.01</t>
  </si>
  <si>
    <t>02.03.22.01.01</t>
  </si>
  <si>
    <t>02.03.22.01.02</t>
  </si>
  <si>
    <t>02.03.22.01.03</t>
  </si>
  <si>
    <t>02.03.22.01.04</t>
  </si>
  <si>
    <t>02.03.22.02</t>
  </si>
  <si>
    <t>02.03.22.02.01</t>
  </si>
  <si>
    <t>02.03.22.02.02</t>
  </si>
  <si>
    <t>02.03.22.02.03</t>
  </si>
  <si>
    <t>02.03.23</t>
  </si>
  <si>
    <t>02.03.23.01</t>
  </si>
  <si>
    <t>02.04.02.07</t>
  </si>
  <si>
    <t>02.04.02.08</t>
  </si>
  <si>
    <t>02.04.03.08</t>
  </si>
  <si>
    <t>02.04.03.09</t>
  </si>
  <si>
    <t>02.04.03.10</t>
  </si>
  <si>
    <t>02.04.04.02</t>
  </si>
  <si>
    <t>02.04.04.03</t>
  </si>
  <si>
    <t>02.04.04.04</t>
  </si>
  <si>
    <t>02.04.04.05</t>
  </si>
  <si>
    <t>02.04.04.06</t>
  </si>
  <si>
    <t>02.04.04.07</t>
  </si>
  <si>
    <t>02.04.04.08</t>
  </si>
  <si>
    <t>02.04.04.09</t>
  </si>
  <si>
    <t>02.04.04.10</t>
  </si>
  <si>
    <t>02.04.05.03</t>
  </si>
  <si>
    <t>02.05.05</t>
  </si>
  <si>
    <t>03.02.14</t>
  </si>
  <si>
    <t>03.02.15</t>
  </si>
  <si>
    <t>03.02.16</t>
  </si>
  <si>
    <t>03.02.17</t>
  </si>
  <si>
    <t>03.02.18</t>
  </si>
  <si>
    <t>03.02.19</t>
  </si>
  <si>
    <t>03.02.20</t>
  </si>
  <si>
    <t>03.02.21</t>
  </si>
  <si>
    <t>03.02.22</t>
  </si>
  <si>
    <t>03.04.02.08</t>
  </si>
  <si>
    <t>03.04.02.09</t>
  </si>
  <si>
    <t>03.04.02.10</t>
  </si>
  <si>
    <t>03.04.02.11</t>
  </si>
  <si>
    <t>03.04.02.12</t>
  </si>
  <si>
    <t>03.04.02.13</t>
  </si>
  <si>
    <t>03.04.03.02</t>
  </si>
  <si>
    <t>03.04.03.03</t>
  </si>
  <si>
    <t>03.04.03.04</t>
  </si>
  <si>
    <t>03.05.01.02</t>
  </si>
  <si>
    <t>03.05.01.03</t>
  </si>
  <si>
    <t>03.07.05</t>
  </si>
  <si>
    <t>03.07.06</t>
  </si>
  <si>
    <t>03.07.07</t>
  </si>
  <si>
    <t>03.08.01.02</t>
  </si>
  <si>
    <t>03.08.01.03</t>
  </si>
  <si>
    <t>03.08.02.03</t>
  </si>
  <si>
    <t>03.08.02.04</t>
  </si>
  <si>
    <t>03.08.03.02</t>
  </si>
  <si>
    <t>03.08.03.03</t>
  </si>
  <si>
    <t>03.08.03.04</t>
  </si>
  <si>
    <t>03.08.03.05</t>
  </si>
  <si>
    <t>03.08.03.06</t>
  </si>
  <si>
    <t>03.08.03.07</t>
  </si>
  <si>
    <t>03.08.03.08</t>
  </si>
  <si>
    <t>03.08.03.09</t>
  </si>
  <si>
    <t>03.08.04.02</t>
  </si>
  <si>
    <t>03.08.04.03</t>
  </si>
  <si>
    <t>03.08.04.04</t>
  </si>
  <si>
    <t>03.08.04.05</t>
  </si>
  <si>
    <t>03.08.04.06</t>
  </si>
  <si>
    <t>03.08.04.07</t>
  </si>
  <si>
    <t>03.08.04.08</t>
  </si>
  <si>
    <t>03.09.02</t>
  </si>
  <si>
    <t>03.09.03</t>
  </si>
  <si>
    <t>03.09.04</t>
  </si>
  <si>
    <t>03.09.05</t>
  </si>
  <si>
    <t>03.09.06</t>
  </si>
  <si>
    <t>03.09.07</t>
  </si>
  <si>
    <t>03.09.08</t>
  </si>
  <si>
    <t>03.09.09</t>
  </si>
  <si>
    <t>03.09.10</t>
  </si>
  <si>
    <t>03.10</t>
  </si>
  <si>
    <t>03.10.01</t>
  </si>
  <si>
    <t>03.10.02</t>
  </si>
  <si>
    <t>03.10.03</t>
  </si>
  <si>
    <t>03.11</t>
  </si>
  <si>
    <t>03.11.01</t>
  </si>
  <si>
    <t>03.11.02</t>
  </si>
  <si>
    <t>03.11.03</t>
  </si>
  <si>
    <t>03.11.04</t>
  </si>
  <si>
    <t>03.11.05</t>
  </si>
  <si>
    <t>03.11.06</t>
  </si>
  <si>
    <t>03.11.07</t>
  </si>
  <si>
    <t>03.11.08</t>
  </si>
  <si>
    <t>03.11.09</t>
  </si>
  <si>
    <t>03.11.10</t>
  </si>
  <si>
    <t>03.11.11</t>
  </si>
  <si>
    <t>03.11.12</t>
  </si>
  <si>
    <t>03.11.13</t>
  </si>
  <si>
    <t>03.11.14</t>
  </si>
  <si>
    <t>03.12</t>
  </si>
  <si>
    <t>03.12.01</t>
  </si>
  <si>
    <t>03.12.02</t>
  </si>
  <si>
    <t>03.12.03</t>
  </si>
  <si>
    <t>03.13</t>
  </si>
  <si>
    <t>03.13.01</t>
  </si>
  <si>
    <t>03.13.02</t>
  </si>
  <si>
    <t>03.13.03</t>
  </si>
  <si>
    <t>03.13.04</t>
  </si>
  <si>
    <t>03.13.05</t>
  </si>
  <si>
    <t>03.13.06</t>
  </si>
  <si>
    <t>03.14</t>
  </si>
  <si>
    <t>03.14.01</t>
  </si>
  <si>
    <t>03.14.02</t>
  </si>
  <si>
    <t>03.14.03</t>
  </si>
  <si>
    <t>03.14.04</t>
  </si>
  <si>
    <t>03.14.05</t>
  </si>
  <si>
    <t>03.15</t>
  </si>
  <si>
    <t>03.15.01</t>
  </si>
  <si>
    <t>03.15.02</t>
  </si>
  <si>
    <t>03.15.03</t>
  </si>
  <si>
    <t>03.15.04</t>
  </si>
  <si>
    <t>03.15.05</t>
  </si>
  <si>
    <t>03.15.06</t>
  </si>
  <si>
    <t>03.15.07</t>
  </si>
  <si>
    <t>03.15.08</t>
  </si>
  <si>
    <t>03.15.09</t>
  </si>
  <si>
    <t>03.15.10</t>
  </si>
  <si>
    <t>04.01.01.01</t>
  </si>
  <si>
    <t>04.01.01.02</t>
  </si>
  <si>
    <t>04.01.01.03</t>
  </si>
  <si>
    <t>04.01.01.04</t>
  </si>
  <si>
    <t>04.01.01.05</t>
  </si>
  <si>
    <t>04.01.01.06</t>
  </si>
  <si>
    <t>04.01.01.07</t>
  </si>
  <si>
    <t>04.01.02.01</t>
  </si>
  <si>
    <t>04.01.02.02</t>
  </si>
  <si>
    <t>04.01.02.03</t>
  </si>
  <si>
    <t>04.01.02.04</t>
  </si>
  <si>
    <t>04.01.02.05</t>
  </si>
  <si>
    <t>04.01.02.06</t>
  </si>
  <si>
    <t>04.01.02.07</t>
  </si>
  <si>
    <t>04.01.02.08</t>
  </si>
  <si>
    <t>04.01.02.09</t>
  </si>
  <si>
    <t>04.01.02.10</t>
  </si>
  <si>
    <t>04.01.02.11</t>
  </si>
  <si>
    <t>04.01.02.12</t>
  </si>
  <si>
    <t>04.01.02.13</t>
  </si>
  <si>
    <t>04.01.02.14</t>
  </si>
  <si>
    <t>04.01.02.15</t>
  </si>
  <si>
    <t>04.01.02.16</t>
  </si>
  <si>
    <t>04.01.02.17</t>
  </si>
  <si>
    <t>04.01.02.18</t>
  </si>
  <si>
    <t>04.01.02.19</t>
  </si>
  <si>
    <t>04.01.02.20</t>
  </si>
  <si>
    <t>04.01.02.21</t>
  </si>
  <si>
    <t>04.01.03.01</t>
  </si>
  <si>
    <t>04.01.04.01</t>
  </si>
  <si>
    <t>04.02.01.01</t>
  </si>
  <si>
    <t>04.02.01.02</t>
  </si>
  <si>
    <t>04.02.02.01</t>
  </si>
  <si>
    <t>04.02.02.02</t>
  </si>
  <si>
    <t>04.02.02.03</t>
  </si>
  <si>
    <t>04.02.02.04</t>
  </si>
  <si>
    <t>04.02.02.05</t>
  </si>
  <si>
    <t>04.02.02.06</t>
  </si>
  <si>
    <t>04.02.03.01</t>
  </si>
  <si>
    <t>04.02.03.02</t>
  </si>
  <si>
    <t>04.02.04.01</t>
  </si>
  <si>
    <t>04.02.04.02</t>
  </si>
  <si>
    <t>04.02.04.03</t>
  </si>
  <si>
    <t>04.02.04.04</t>
  </si>
  <si>
    <t>04.02.04.05</t>
  </si>
  <si>
    <t>04.02.04.06</t>
  </si>
  <si>
    <t>04.02.04.07</t>
  </si>
  <si>
    <t>04.02.04.08</t>
  </si>
  <si>
    <t>04.02.04.09</t>
  </si>
  <si>
    <t>04.02.04.10</t>
  </si>
  <si>
    <t>04.02.04.11</t>
  </si>
  <si>
    <t>04.02.04.12</t>
  </si>
  <si>
    <t>04.02.04.13</t>
  </si>
  <si>
    <t>04.02.04.14</t>
  </si>
  <si>
    <t>04.02.04.15</t>
  </si>
  <si>
    <t>04.02.04.16</t>
  </si>
  <si>
    <t>04.02.04.17</t>
  </si>
  <si>
    <t>04.02.04.18</t>
  </si>
  <si>
    <t>04.02.04.19</t>
  </si>
  <si>
    <t>04.02.04.20</t>
  </si>
  <si>
    <t>04.02.04.21</t>
  </si>
  <si>
    <t>04.02.05.01</t>
  </si>
  <si>
    <t>04.02.05.02</t>
  </si>
  <si>
    <t>04.02.05.03</t>
  </si>
  <si>
    <t>04.02.05.04</t>
  </si>
  <si>
    <t>04.02.06.01</t>
  </si>
  <si>
    <t>04.02.06.02</t>
  </si>
  <si>
    <t>04.02.07.01</t>
  </si>
  <si>
    <t>04.02.07.02</t>
  </si>
  <si>
    <t>04.02.07.03</t>
  </si>
  <si>
    <t>04.03.01.01</t>
  </si>
  <si>
    <t>04.03.01.02</t>
  </si>
  <si>
    <t>04.03.01.03</t>
  </si>
  <si>
    <t>04.03.01.04</t>
  </si>
  <si>
    <t>04.03.01.05</t>
  </si>
  <si>
    <t>04.03.01.06</t>
  </si>
  <si>
    <t>04.03.01.07</t>
  </si>
  <si>
    <t>04.03.01.08</t>
  </si>
  <si>
    <t>04.03.02.01</t>
  </si>
  <si>
    <t>04.03.02.02</t>
  </si>
  <si>
    <t>04.03.02.03</t>
  </si>
  <si>
    <t>04.03.02.04</t>
  </si>
  <si>
    <t>04.03.02.05</t>
  </si>
  <si>
    <t>04.03.02.06</t>
  </si>
  <si>
    <t>04.03.02.07</t>
  </si>
  <si>
    <t>04.03.02.08</t>
  </si>
  <si>
    <t>04.03.02.09</t>
  </si>
  <si>
    <t>04.03.02.10</t>
  </si>
  <si>
    <t>04.03.02.11</t>
  </si>
  <si>
    <t>04.03.02.12</t>
  </si>
  <si>
    <t>04.03.02.13</t>
  </si>
  <si>
    <t>04.03.02.14</t>
  </si>
  <si>
    <t>04.03.02.15</t>
  </si>
  <si>
    <t>04.03.03.01</t>
  </si>
  <si>
    <t>04.03.03.02</t>
  </si>
  <si>
    <t>04.03.03.03</t>
  </si>
  <si>
    <t>04.03.03.04</t>
  </si>
  <si>
    <t>04.03.03.05</t>
  </si>
  <si>
    <t>04.03.03.06</t>
  </si>
  <si>
    <t>04.03.03.07</t>
  </si>
  <si>
    <t>04.04.01.01</t>
  </si>
  <si>
    <t>04.04.01.02</t>
  </si>
  <si>
    <t>04.04.01.03</t>
  </si>
  <si>
    <t>04.04.01.04</t>
  </si>
  <si>
    <t>04.04.02.01</t>
  </si>
  <si>
    <t>04.04.02.02</t>
  </si>
  <si>
    <t>04.04.02.03</t>
  </si>
  <si>
    <t>04.04.02.04</t>
  </si>
  <si>
    <t>04.04.02.05</t>
  </si>
  <si>
    <t>04.04.02.06</t>
  </si>
  <si>
    <t>04.04.03.01</t>
  </si>
  <si>
    <t>04.04.03.02</t>
  </si>
  <si>
    <t>04.04.03.03</t>
  </si>
  <si>
    <t>04.04.04.01</t>
  </si>
  <si>
    <t>04.04.04.02</t>
  </si>
  <si>
    <t>04.04.04.03</t>
  </si>
  <si>
    <t>04.04.04.04</t>
  </si>
  <si>
    <t>04.04.04.05</t>
  </si>
  <si>
    <t>04.04.04.06</t>
  </si>
  <si>
    <t>04.04.04.07</t>
  </si>
  <si>
    <t>04.04.04.08</t>
  </si>
  <si>
    <t>04.04.04.09</t>
  </si>
  <si>
    <t>04.04.04.10</t>
  </si>
  <si>
    <t>04.04.04.11</t>
  </si>
  <si>
    <t>04.04.04.12</t>
  </si>
  <si>
    <t>04.04.04.13</t>
  </si>
  <si>
    <t>04.04.04.14</t>
  </si>
  <si>
    <t>04.04.04.15</t>
  </si>
  <si>
    <t>04.04.04.16</t>
  </si>
  <si>
    <t>04.04.04.17</t>
  </si>
  <si>
    <t>04.04.05.01</t>
  </si>
  <si>
    <t>04.04.05.02</t>
  </si>
  <si>
    <t>04.04.05.03</t>
  </si>
  <si>
    <t>04.04.05.04</t>
  </si>
  <si>
    <t>04.04.06</t>
  </si>
  <si>
    <t>04.04.06.01</t>
  </si>
  <si>
    <t>04.04.07</t>
  </si>
  <si>
    <t>04.04.07.01</t>
  </si>
  <si>
    <t>04.04.07.02</t>
  </si>
  <si>
    <t>05.04.01.02</t>
  </si>
  <si>
    <t>05.04.01.03</t>
  </si>
  <si>
    <t>05.04.01.04</t>
  </si>
  <si>
    <t>05.04.01.05</t>
  </si>
  <si>
    <t>05.04.01.06</t>
  </si>
  <si>
    <t>05.04.01.07</t>
  </si>
  <si>
    <t>05.04.01.08</t>
  </si>
  <si>
    <t>05.04.01.09</t>
  </si>
  <si>
    <t>05.04.01.10</t>
  </si>
  <si>
    <t>05.04.01.11</t>
  </si>
  <si>
    <t>05.04.01.12</t>
  </si>
  <si>
    <t>05.04.01.13</t>
  </si>
  <si>
    <t>05.04.01.14</t>
  </si>
  <si>
    <t>05.04.01.15</t>
  </si>
  <si>
    <t>05.04.01.16</t>
  </si>
  <si>
    <t>05.04.01.17</t>
  </si>
  <si>
    <t>05.04.01.18</t>
  </si>
  <si>
    <t>05.04.01.19</t>
  </si>
  <si>
    <t>05.04.01.20</t>
  </si>
  <si>
    <t>05.04.01.21</t>
  </si>
  <si>
    <t>05.04.01.22</t>
  </si>
  <si>
    <t>05.04.01.23</t>
  </si>
  <si>
    <t>05.04.01.24</t>
  </si>
  <si>
    <t>05.04.01.25</t>
  </si>
  <si>
    <t>05.04.01.26</t>
  </si>
  <si>
    <t>05.04.02.02</t>
  </si>
  <si>
    <t>05.04.02.03</t>
  </si>
  <si>
    <t>05.04.02.04</t>
  </si>
  <si>
    <t>05.04.02.05</t>
  </si>
  <si>
    <t>05.04.02.06</t>
  </si>
  <si>
    <t>05.04.02.07</t>
  </si>
  <si>
    <t>05.04.02.08</t>
  </si>
  <si>
    <t>05.04.02.09</t>
  </si>
  <si>
    <t>05.04.02.10</t>
  </si>
  <si>
    <t>05.04.02.11</t>
  </si>
  <si>
    <t>05.04.02.12</t>
  </si>
  <si>
    <t>05.04.02.13</t>
  </si>
  <si>
    <t>05.04.02.14</t>
  </si>
  <si>
    <t>05.04.02.15</t>
  </si>
  <si>
    <t>05.04.02.16</t>
  </si>
  <si>
    <t>05.04.02.17</t>
  </si>
  <si>
    <t>05.04.02.18</t>
  </si>
  <si>
    <t>05.04.03.02</t>
  </si>
  <si>
    <t>05.04.03.03</t>
  </si>
  <si>
    <t>05.04.04.03</t>
  </si>
  <si>
    <t>05.05</t>
  </si>
  <si>
    <t>05.05.01</t>
  </si>
  <si>
    <t>05.05.01.01</t>
  </si>
  <si>
    <t>05.05.01.02</t>
  </si>
  <si>
    <t>05.05.01.03</t>
  </si>
  <si>
    <t>05.05.01.04</t>
  </si>
  <si>
    <t>05.05.02</t>
  </si>
  <si>
    <t>05.05.02.01</t>
  </si>
  <si>
    <t>05.05.02.02</t>
  </si>
  <si>
    <t>05.05.03</t>
  </si>
  <si>
    <t>05.05.03.01</t>
  </si>
  <si>
    <t>05.05.03.02</t>
  </si>
  <si>
    <t>05.05.04</t>
  </si>
  <si>
    <t>05.05.04.01</t>
  </si>
  <si>
    <t>05.05.04.01.01</t>
  </si>
  <si>
    <t>05.05.04.01.02</t>
  </si>
  <si>
    <t>05.05.04.01.03</t>
  </si>
  <si>
    <t>05.05.04.01.04</t>
  </si>
  <si>
    <t>05.05.04.01.05</t>
  </si>
  <si>
    <t>05.05.04.01.06</t>
  </si>
  <si>
    <t>05.05.04.02</t>
  </si>
  <si>
    <t>05.05.04.02.01</t>
  </si>
  <si>
    <t>05.05.04.02.02</t>
  </si>
  <si>
    <t>05.05.04.03</t>
  </si>
  <si>
    <t>05.05.04.03.01</t>
  </si>
  <si>
    <t>05.05.04.04</t>
  </si>
  <si>
    <t>05.05.04.04.01</t>
  </si>
  <si>
    <t>05.05.04.04.02</t>
  </si>
  <si>
    <t>05.05.05</t>
  </si>
  <si>
    <t>05.05.05.01</t>
  </si>
  <si>
    <t>05.05.05.02</t>
  </si>
  <si>
    <t>05.05.05.03</t>
  </si>
  <si>
    <t>05.05.06</t>
  </si>
  <si>
    <t>05.05.06.01</t>
  </si>
  <si>
    <t>05.05.06.02</t>
  </si>
  <si>
    <t>05.05.07</t>
  </si>
  <si>
    <t>05.05.07.01</t>
  </si>
  <si>
    <t>05.05.07.02</t>
  </si>
  <si>
    <t>05.05.08</t>
  </si>
  <si>
    <t>05.05.08.01</t>
  </si>
  <si>
    <t>05.05.08.02</t>
  </si>
  <si>
    <t>05.06</t>
  </si>
  <si>
    <t>05.06.01</t>
  </si>
  <si>
    <t>05.06.01.01</t>
  </si>
  <si>
    <t>05.06.01.02</t>
  </si>
  <si>
    <t>05.06.02</t>
  </si>
  <si>
    <t>05.06.02.01</t>
  </si>
  <si>
    <t>05.06.02.02</t>
  </si>
  <si>
    <t>05.06.03</t>
  </si>
  <si>
    <t>05.06.03.01</t>
  </si>
  <si>
    <t>05.06.04</t>
  </si>
  <si>
    <t>05.06.04.01</t>
  </si>
  <si>
    <t>05.06.04.01.01</t>
  </si>
  <si>
    <t>05.06.05</t>
  </si>
  <si>
    <t>05.06.05.01</t>
  </si>
  <si>
    <t>05.06.06</t>
  </si>
  <si>
    <t>05.06.06.01</t>
  </si>
  <si>
    <t>05.07</t>
  </si>
  <si>
    <t>05.07.01</t>
  </si>
  <si>
    <t>06.01.01.01</t>
  </si>
  <si>
    <t>06.01.01.01.01</t>
  </si>
  <si>
    <t>06.01.01.01.01.01</t>
  </si>
  <si>
    <t>06.01.01.01.01.02</t>
  </si>
  <si>
    <t>06.01.01.01.01.03</t>
  </si>
  <si>
    <t>06.01.01.01.01.04</t>
  </si>
  <si>
    <t>06.01.01.01.01.05</t>
  </si>
  <si>
    <t>06.01.01.01.01.06</t>
  </si>
  <si>
    <t>06.01.01.01.01.07</t>
  </si>
  <si>
    <t>06.01.01.01.02</t>
  </si>
  <si>
    <t>06.01.01.01.02.01</t>
  </si>
  <si>
    <t>06.01.01.01.03</t>
  </si>
  <si>
    <t>06.01.01.01.03.01</t>
  </si>
  <si>
    <t>06.01.01.02</t>
  </si>
  <si>
    <t>06.01.01.02.01</t>
  </si>
  <si>
    <t>06.01.01.02.02</t>
  </si>
  <si>
    <t>06.01.01.02.03</t>
  </si>
  <si>
    <t>06.01.02.01</t>
  </si>
  <si>
    <t>06.01.02.02</t>
  </si>
  <si>
    <t>06.01.02.03</t>
  </si>
  <si>
    <t>06.01.02.04</t>
  </si>
  <si>
    <t>06.01.02.05</t>
  </si>
  <si>
    <t>06.01.03.01</t>
  </si>
  <si>
    <t>06.01.04.01</t>
  </si>
  <si>
    <t>06.01.04.02</t>
  </si>
  <si>
    <t>06.01.05.01</t>
  </si>
  <si>
    <t>06.01.05.02</t>
  </si>
  <si>
    <t>06.01.06.01</t>
  </si>
  <si>
    <t>06.01.06.02</t>
  </si>
  <si>
    <t>06.01.06.03</t>
  </si>
  <si>
    <t>06.01.06.04</t>
  </si>
  <si>
    <t>06.01.06.05</t>
  </si>
  <si>
    <t>06.01.06.06</t>
  </si>
  <si>
    <t>06.01.06.07</t>
  </si>
  <si>
    <t>06.01.06.08</t>
  </si>
  <si>
    <t>06.02.01.02</t>
  </si>
  <si>
    <t>06.02.01.03</t>
  </si>
  <si>
    <t>06.02.03</t>
  </si>
  <si>
    <t>06.02.03.01</t>
  </si>
  <si>
    <t>06.02.04</t>
  </si>
  <si>
    <t>06.02.04.01</t>
  </si>
  <si>
    <t>06.02.05</t>
  </si>
  <si>
    <t>06.02.05.01</t>
  </si>
  <si>
    <t>06.02.06</t>
  </si>
  <si>
    <t>06.02.06.01</t>
  </si>
  <si>
    <t>06.02.06.02</t>
  </si>
  <si>
    <t>06.02.07</t>
  </si>
  <si>
    <t>06.02.07.01</t>
  </si>
  <si>
    <t>06.02.07.02</t>
  </si>
  <si>
    <t>06.02.07.03</t>
  </si>
  <si>
    <t>06.02.07.04</t>
  </si>
  <si>
    <t>06.02.07.05</t>
  </si>
  <si>
    <t>06.02.07.06</t>
  </si>
  <si>
    <t>06.02.07.07</t>
  </si>
  <si>
    <t>06.02.07.08</t>
  </si>
  <si>
    <t>06.02.07.09</t>
  </si>
  <si>
    <t>06.03.03</t>
  </si>
  <si>
    <t>06.03.03.01</t>
  </si>
  <si>
    <t>06.03.04</t>
  </si>
  <si>
    <t>06.03.04.01</t>
  </si>
  <si>
    <t>06.03.05</t>
  </si>
  <si>
    <t>06.03.05.01</t>
  </si>
  <si>
    <t>06.03.05.02</t>
  </si>
  <si>
    <t>06.03.05.03</t>
  </si>
  <si>
    <t>06.04.03.02</t>
  </si>
  <si>
    <t>06.05.03.02</t>
  </si>
  <si>
    <t>06.05.03.03</t>
  </si>
  <si>
    <t>06.05.03.04</t>
  </si>
  <si>
    <t>INSTALACIONES ESPECIALES</t>
  </si>
  <si>
    <t>mes</t>
  </si>
  <si>
    <t>EQP.</t>
  </si>
  <si>
    <t>PLAN DE CONTINGENCIA</t>
  </si>
  <si>
    <t>ADQUISICIÓN DE TERRENO</t>
  </si>
  <si>
    <t>EQUIPAMIENTO, MOBILIRARIO Y MAT. DIDACTICO</t>
  </si>
  <si>
    <t>MEJORAMIENTO DEL SERVICIO EDUCATIVO EN LA IEP N° 54002 SANTA ROSA E IES SANTA ROSA DEL DISTRITO DE ABANCAY, PROVINCIA DE ABANCAY - REGIÓN APURÍMAC</t>
  </si>
  <si>
    <t xml:space="preserve">   MOVILIZACION Y DESMOVILIZACION</t>
  </si>
  <si>
    <t xml:space="preserve">      FLETE  TERRESTRE</t>
  </si>
  <si>
    <t xml:space="preserve">   OBRAS PROVISIONALES</t>
  </si>
  <si>
    <t xml:space="preserve">      ALMACEN, OFICINA Y GUARDIANIA</t>
  </si>
  <si>
    <t xml:space="preserve">      SERVICIOS HIGIENICOS - VESTIDOR</t>
  </si>
  <si>
    <t xml:space="preserve">      COMEDORES</t>
  </si>
  <si>
    <t xml:space="preserve">      CERCO PROVISIONAL DE TRIPLAY</t>
  </si>
  <si>
    <t xml:space="preserve">      CARTEL DE IDENTIFICACION DE OBRA DE 4.80x3.60m</t>
  </si>
  <si>
    <t xml:space="preserve">   INSTALACIONES PROVISIONALES</t>
  </si>
  <si>
    <t xml:space="preserve">      AGUA PARA LA CONSTRUCCIÓN</t>
  </si>
  <si>
    <t xml:space="preserve">      DESAGUE PARA LA CONSTRUCCIÓN</t>
  </si>
  <si>
    <t xml:space="preserve">      ENERGÍA ELÉCTRICA PARA LA CONSTRUCCIÓN</t>
  </si>
  <si>
    <t xml:space="preserve">      INSTALACIÓN DE COMUNICACIONES PROVISIONAL</t>
  </si>
  <si>
    <t xml:space="preserve">   TRABAJOS PRELIMINARES</t>
  </si>
  <si>
    <t xml:space="preserve">      LIMPIEZA DE TERRENO MANUAL</t>
  </si>
  <si>
    <t xml:space="preserve">      TRAZO Y REPLANTEO PRELIMINAR</t>
  </si>
  <si>
    <t xml:space="preserve">      TRAZO Y REPLANTEO DURANTE LA EJECUCIÓN DE LA OBRA</t>
  </si>
  <si>
    <t xml:space="preserve">   REMOCIONES</t>
  </si>
  <si>
    <t xml:space="preserve">      DESMONTAJE DE PUERTAS DE MADERA EN AULAS</t>
  </si>
  <si>
    <t xml:space="preserve">      DESMONTAJE DE PUERTAS METALICAS</t>
  </si>
  <si>
    <t xml:space="preserve">      DESMONTAJE DE VENTANAS METALICAS</t>
  </si>
  <si>
    <t xml:space="preserve">      DESMONTAJE DE VENTANAS DE ALUMINIO CON VIDRIO</t>
  </si>
  <si>
    <t xml:space="preserve">      DESMONTAJE DE VENTANAS SISTEMA NOVA</t>
  </si>
  <si>
    <t xml:space="preserve">      DESMONTAJE DE VENTANAS DE MADERA  CON VIDRIO</t>
  </si>
  <si>
    <t xml:space="preserve">      DESMONTAJE COBERTURA</t>
  </si>
  <si>
    <t xml:space="preserve">      DESMONTAJE DE CORREAS DE MADERA 2" X 3"</t>
  </si>
  <si>
    <t xml:space="preserve">      DESMONTAJE DE MADERA ROLLIZA  -TECHO ( TIJERALES)</t>
  </si>
  <si>
    <t xml:space="preserve">      DESMONTAJE DE CORREAS METALICAS TUBO RECTANGULAR</t>
  </si>
  <si>
    <t xml:space="preserve">      DESMONTAJE DE TIJERALES DE TUBO ANGULAR</t>
  </si>
  <si>
    <t xml:space="preserve">      DESMONTAJE DE TIJERALES DE F°C°</t>
  </si>
  <si>
    <t xml:space="preserve">      DESMONTAJE DE FIERROS ANGULARES DE SOMBRA DE CAMPO DEPORTIVO</t>
  </si>
  <si>
    <t xml:space="preserve">      DESMONTAJE DE POSTE DE LUZ</t>
  </si>
  <si>
    <t xml:space="preserve">      DESMONTAJE DE EQUIPO DE TABLERO DE BASKET</t>
  </si>
  <si>
    <t xml:space="preserve">      DESMONTAJE DE PARANTE DE F° RECTANGULAR EN LA LOSA DEP.</t>
  </si>
  <si>
    <t xml:space="preserve">      DESMONTAJE DE BARANDAS METALICAS</t>
  </si>
  <si>
    <t xml:space="preserve">      DESMONTAJE APARATOS SANITARIOS</t>
  </si>
  <si>
    <t xml:space="preserve">      DESMONTAJE DE CANALETAS  METALICAS</t>
  </si>
  <si>
    <t xml:space="preserve">      DESMONTAJE DE TUBERIAS DE AGUAS PLUVIALES</t>
  </si>
  <si>
    <t xml:space="preserve">      DEMOLICION DE CERCO PERIMETRICO DE BLOQUETA</t>
  </si>
  <si>
    <t xml:space="preserve">      DEMOLICION DE MUROS DE INFRAESTRUCTURA EXISTENTE </t>
  </si>
  <si>
    <t xml:space="preserve">      DEMOLICION DE COLUMNAS </t>
  </si>
  <si>
    <t xml:space="preserve">      DEMOLICION DE VIGAS</t>
  </si>
  <si>
    <t xml:space="preserve">      DEMOLICION DE LOSA ALIGERADA</t>
  </si>
  <si>
    <t xml:space="preserve">      DEMOLICION DE ESCALERA </t>
  </si>
  <si>
    <t xml:space="preserve">      DEMOLICION DE TANQUE ELEVADO</t>
  </si>
  <si>
    <t xml:space="preserve">      DEMOLICION DE ZAPATA</t>
  </si>
  <si>
    <t xml:space="preserve">      DEMOLICION DE PISOS</t>
  </si>
  <si>
    <t xml:space="preserve">      DEMOLICION DE MUROS DE CONTENCION</t>
  </si>
  <si>
    <t xml:space="preserve">      DEMOLICION DE TABIQUE ENCIMA ESCALERA</t>
  </si>
  <si>
    <t xml:space="preserve">      DEMOLICION  DE CIELO RAZO CON YESO</t>
  </si>
  <si>
    <t xml:space="preserve">      DEMOLICION DE  GRADERIAS DE TRIBUNAS</t>
  </si>
  <si>
    <t xml:space="preserve">      PICADO DE ZAPATAS E=5cm</t>
  </si>
  <si>
    <t xml:space="preserve">      PICADO DE COLUMNAS E=5cm</t>
  </si>
  <si>
    <t xml:space="preserve">      PICADO DE VIGAS E=5cm</t>
  </si>
  <si>
    <t xml:space="preserve">      PICADO DE LOSA E=5cm</t>
  </si>
  <si>
    <t xml:space="preserve">      COLOCACION DE PEGAMENTO EPOXICO EN COLUMNAS DE REFUERZO</t>
  </si>
  <si>
    <t xml:space="preserve">   ELIMINACION DE MATERIAL PROVENIENTE DE DEMOLICION</t>
  </si>
  <si>
    <t xml:space="preserve">      ELIMINACION DE DESMONTE PROVENIENTE DE DEMOLICIONES C/EQUIPO</t>
  </si>
  <si>
    <t xml:space="preserve">   SEGURIDAD Y SALUD</t>
  </si>
  <si>
    <t xml:space="preserve">      EQUIPOS DE PROTECCIÓN INDIVIDUAL</t>
  </si>
  <si>
    <t xml:space="preserve">      EQUIPOS DE PROTECCIÓN COLECTIVA</t>
  </si>
  <si>
    <t xml:space="preserve">      SEÑALIZACIÓN TEMPORAL DE SEGURIDAD</t>
  </si>
  <si>
    <t xml:space="preserve">      CAPACITACIÓN EN SEGURIDAD Y SALUD</t>
  </si>
  <si>
    <t xml:space="preserve">      RECURSOS PARA RESPUESTAS ANTE EMERGENCIAS EN SEGURIDAD Y SALUD DURANTE EL TRABAJO
SALUD DURANTE EL TRABAJO</t>
  </si>
  <si>
    <t xml:space="preserve">ESTRUCTURAS </t>
  </si>
  <si>
    <t xml:space="preserve">   MOVIMIENTO DE TIERRAS</t>
  </si>
  <si>
    <t xml:space="preserve">      CORTE DE TERRENO CON MAQUINARIA</t>
  </si>
  <si>
    <t xml:space="preserve">      NIVELACION Y COMPACTADO DE SUB RASANTE DE PISO</t>
  </si>
  <si>
    <t xml:space="preserve">      EXCAVACION PARA CIMIENTOS Y ZAPATAS H=2.00m</t>
  </si>
  <si>
    <t xml:space="preserve">      RELLENO MANUAL CON MATERIAL PROPIO</t>
  </si>
  <si>
    <t xml:space="preserve">      ACARREO DE MATERIAL EXCEDENTE (D=40m)</t>
  </si>
  <si>
    <t xml:space="preserve">      ELIMINACIÓN DE MATERIAL EXCEDENTE </t>
  </si>
  <si>
    <t xml:space="preserve">   CONCRETO SIMPLE</t>
  </si>
  <si>
    <t xml:space="preserve">      SOLADOS</t>
  </si>
  <si>
    <t xml:space="preserve">         SOLADO f´c=80 Kg/cm2 E=10 CM</t>
  </si>
  <si>
    <t xml:space="preserve">      FALSA ZAPATA</t>
  </si>
  <si>
    <t xml:space="preserve">         FALSA ZAPATA f´c=100 Kg/cm2+30% P.G.</t>
  </si>
  <si>
    <t xml:space="preserve">      CIMIENTOS CORRIDOS</t>
  </si>
  <si>
    <t xml:space="preserve">         CIMIENTOS CORRIDOS CONCRETO f´c=140 Kg/cm2 + 30% P.G.</t>
  </si>
  <si>
    <t xml:space="preserve">         ENCOFRADO Y DESENCOFRADO EN CIMIENTOS CORRIDO</t>
  </si>
  <si>
    <t xml:space="preserve">      SOBRECIMIENTOS</t>
  </si>
  <si>
    <t xml:space="preserve">         SOBRECIMIENTO - CONCRETO f'c=175 Kg/cm2 + 25% P.M.</t>
  </si>
  <si>
    <t xml:space="preserve">         ENCOFRADO Y DESENCOFRADO EN SOBRECIMIENTOS</t>
  </si>
  <si>
    <t xml:space="preserve">      MURO DE CONCRETO CICLOPEO</t>
  </si>
  <si>
    <t xml:space="preserve">         MURO DE ALBAÑILERIA DE PIEDRA - F'C=140 KG/CM2 + 50 % P.G.</t>
  </si>
  <si>
    <t xml:space="preserve">         MURO DE ALBAÑILERIA DE PIEDRA - ENCOFRADO Y DESENCOFRADO</t>
  </si>
  <si>
    <t xml:space="preserve">         DRENAJE TRANSVERSAL EN MURO</t>
  </si>
  <si>
    <t xml:space="preserve">         RELLENO CON MATERIAL DE FILTRO</t>
  </si>
  <si>
    <t xml:space="preserve">      RAMPAS </t>
  </si>
  <si>
    <t xml:space="preserve">         RAMPAS DE ALBAÑILERIA DE PIEDRA -CONCRETO f'c=140 kg/cm2 + 50 % P.G.</t>
  </si>
  <si>
    <t xml:space="preserve">         RAMPAS - ENCOFRADO Y DESENCOFRADO</t>
  </si>
  <si>
    <t xml:space="preserve">      GRADAS </t>
  </si>
  <si>
    <t xml:space="preserve">         GRADAS DE ALBAÑILERIA DE PIEDRA -CONCRETO f'c=140 kf/cm2 + 50 % P.G.</t>
  </si>
  <si>
    <t xml:space="preserve">         GRADAS - ENCOFRADO Y DESENCOFRADO</t>
  </si>
  <si>
    <t xml:space="preserve">         ESCALERA - CONCRETO CICLOPEO f'c=140 Kg/cm2 + 30%PG</t>
  </si>
  <si>
    <t xml:space="preserve">         ESCALERA - ENCOFRADO Y DESENCOFRADO</t>
  </si>
  <si>
    <t xml:space="preserve">      TRIBUNA</t>
  </si>
  <si>
    <t xml:space="preserve">         TRIBUNA - CONCRETO CICLOPEO f'c=140 Kg/cm2 + 30%PG</t>
  </si>
  <si>
    <t xml:space="preserve">         TRIBUNA - ENCOFRADO Y DESENCOFRADO</t>
  </si>
  <si>
    <t xml:space="preserve">      FALSO PISO</t>
  </si>
  <si>
    <t xml:space="preserve">         FALSO PISO f'c=140 kf/cm2 (e= 10 cm)</t>
  </si>
  <si>
    <t xml:space="preserve">   OBRAS DE CONCRETO ARMADO</t>
  </si>
  <si>
    <t xml:space="preserve">      ZAPATAS</t>
  </si>
  <si>
    <t xml:space="preserve">         ZAPATAS - CONCRETO PREMEZCLADO F´c=210 Kg/cm2</t>
  </si>
  <si>
    <t xml:space="preserve">         ZAPATAS - ACERO f'y=4200 Kg/cm2</t>
  </si>
  <si>
    <t xml:space="preserve">      VIGAS DE CONEXION</t>
  </si>
  <si>
    <t xml:space="preserve">         VIGAS DE CONEXIÓN - CONCRETO PREMEZCLADO F´c=210 Kg/cm2</t>
  </si>
  <si>
    <t xml:space="preserve">         VIGAS DE CONEXIÓN - ENCOFRADO Y DESENCOFRADO</t>
  </si>
  <si>
    <t xml:space="preserve">         VIGAS DE CONEXIÓN - ACERO f'y=4200 Kg/cm2</t>
  </si>
  <si>
    <t xml:space="preserve">      SOBRECIMIENTO ARMADO</t>
  </si>
  <si>
    <t xml:space="preserve">         SOBRECIMIENTO - CONCRETO f'c=175 Kg/cm2</t>
  </si>
  <si>
    <t xml:space="preserve">         SOBRECIMIENTO - ENCOFRADO Y DESENCOFRADO</t>
  </si>
  <si>
    <t xml:space="preserve">         SOBRECIMIENTO - ACERO f'y=4200 Kg/cm2</t>
  </si>
  <si>
    <t xml:space="preserve">      MURO DE CONTENCION</t>
  </si>
  <si>
    <t xml:space="preserve">         MURO DE CONTENCIÓN - CONCRETO PREMEZCLADO F´c=210 Kg/cm2</t>
  </si>
  <si>
    <t xml:space="preserve">         MURO DE CONTENCIÓN - ENCOFRADO Y DESENCOFRADO</t>
  </si>
  <si>
    <t xml:space="preserve">         MURO DE CONTENCIÓN - ACERO f'y=4200 Kg/cm2</t>
  </si>
  <si>
    <t xml:space="preserve">         DRENAJE LONGITUDINAL EN MURO</t>
  </si>
  <si>
    <t xml:space="preserve">      PLACAS</t>
  </si>
  <si>
    <t xml:space="preserve">         PLACAS - CONCRETO PREMEZCLADO F´c=210 Kg/cm2</t>
  </si>
  <si>
    <t xml:space="preserve">         PLACAS - ENCOFRADO Y DESENCOFRADO</t>
  </si>
  <si>
    <t xml:space="preserve">         PLACAS - ACERO f'y=4200 Kg/cm2</t>
  </si>
  <si>
    <t xml:space="preserve">      TABIQUE DE CONCRETO</t>
  </si>
  <si>
    <t xml:space="preserve">         TABIQUE - CONCRETO f'c=175 Kg/cm2</t>
  </si>
  <si>
    <t xml:space="preserve">         TABIQUE - ENCOFRADO Y DESENCOFRADO</t>
  </si>
  <si>
    <t xml:space="preserve">         TABIQUE - ACERO f'y=4200 Kg/cm2</t>
  </si>
  <si>
    <t xml:space="preserve">      COLUMNAS</t>
  </si>
  <si>
    <t xml:space="preserve">         COLUMNAS - CONCRETO PREMEZCLADO F´c=210 Kg/cm2</t>
  </si>
  <si>
    <t xml:space="preserve">         COLUMNAS - ENCOFRADO Y DESENCOFRADO</t>
  </si>
  <si>
    <t xml:space="preserve">         COLUMNAS - ACERO f'y=4200 Kg/cm2</t>
  </si>
  <si>
    <t xml:space="preserve">      VIGAS</t>
  </si>
  <si>
    <t xml:space="preserve">         VIGAS - CONCRETO PREMEZCLADO F´c=210 Kg/cm2</t>
  </si>
  <si>
    <t xml:space="preserve">         VIGAS - ENCOFRADO Y DESENCOFRADO</t>
  </si>
  <si>
    <t xml:space="preserve">         VIGAS - ACERO f'y=4200 Kg/cm2</t>
  </si>
  <si>
    <t xml:space="preserve">      LOSA ALIGERADA H=17.5cm</t>
  </si>
  <si>
    <t xml:space="preserve">         LOSA ALIGERADA - CONCRETO PREMEZCLADO F´c=210 Kg/cm2</t>
  </si>
  <si>
    <t xml:space="preserve">         LOSA ALIGERADA - ENCOFRADO Y DESENCOFRADO</t>
  </si>
  <si>
    <t xml:space="preserve">         LOSA ALIGERADA - ACERO f'y=4200 Kg/cm2</t>
  </si>
  <si>
    <t xml:space="preserve">         LOSA ALIGERADA - BLOQUE HUECO DE CONCRETO DE 12x30x30cm</t>
  </si>
  <si>
    <t xml:space="preserve">      LOSA ALIGERADA H=20cm</t>
  </si>
  <si>
    <t xml:space="preserve">         LOSA ALIGERADA - BLOQUE HUECO DE CONCRETO DE 15x30x30cm</t>
  </si>
  <si>
    <t xml:space="preserve">      LOSA ALIGERADA H=25cm</t>
  </si>
  <si>
    <t xml:space="preserve">         LOSA ALIGERADA - BLOQUE HUECO DE CONCRETO DE 20x30x30cm</t>
  </si>
  <si>
    <t xml:space="preserve">      LOSA NERVADA H=30cm</t>
  </si>
  <si>
    <t xml:space="preserve">         LOSA NERVADA - CONCRETO PREMEZCLADO F´c=210 Kg/cm2</t>
  </si>
  <si>
    <t xml:space="preserve">         LOSA NERVADA - ENCOFRADO Y DESENCOFRADO</t>
  </si>
  <si>
    <t xml:space="preserve">         LOSA NERVADA - ACERO f'y=4200 Kg/cm2</t>
  </si>
  <si>
    <t xml:space="preserve">         LOSA NERVADA - BLOQUE HUECO DE CONCRETO DE 30x30x25cm</t>
  </si>
  <si>
    <t xml:space="preserve">      LOSA NERVADA H=40cm</t>
  </si>
  <si>
    <t xml:space="preserve">         LOSA NERVADA - BLOQUE DE POLIESTIRENO DE 35X35cm</t>
  </si>
  <si>
    <t xml:space="preserve">      LOSA NERVADA INCLINADA DE TECHO H=30cm</t>
  </si>
  <si>
    <t xml:space="preserve">      LOSA MACIZA H=20cm</t>
  </si>
  <si>
    <t xml:space="preserve">         LOSA MACIZA - CONCRETO PREMEZCLADO F´c=210 Kg/cm2</t>
  </si>
  <si>
    <t xml:space="preserve">         LOSA MACIZA - ENCOFRADO Y DESENCOFRADO</t>
  </si>
  <si>
    <t xml:space="preserve">         LOSA MACIZA - ACERO f'y=4200 Kg/cm2</t>
  </si>
  <si>
    <t xml:space="preserve">      ESCALERAS</t>
  </si>
  <si>
    <t xml:space="preserve">         ESCALERAS - CONCRETO PREMEZCLADO F´c=210 Kg/cm2</t>
  </si>
  <si>
    <t xml:space="preserve">         ESCALERAS - ENCOFRADO Y DESENCOFRADO</t>
  </si>
  <si>
    <t xml:space="preserve">         ESCALERAS - ACERO f'y=4200 Kg/cm2</t>
  </si>
  <si>
    <t xml:space="preserve">      COLUMNETAS</t>
  </si>
  <si>
    <t xml:space="preserve">         COLUMNETAS - CONCRETO f'c=175 Kg/cm2</t>
  </si>
  <si>
    <t xml:space="preserve">         COLUMNETAS - ENCOFRADO Y DESENCOFRADO</t>
  </si>
  <si>
    <t xml:space="preserve">         COLUMNETAS - ACERO f'y=4200 Kg/cm2</t>
  </si>
  <si>
    <t xml:space="preserve">      VIGUETAS</t>
  </si>
  <si>
    <t xml:space="preserve">         VIGUETAS - ENCOFRADO Y DESENCOFRADO</t>
  </si>
  <si>
    <t xml:space="preserve">         VIGUETAS - ACERO f'y=4200 Kg/cm2</t>
  </si>
  <si>
    <t xml:space="preserve">      LOSA DEPORTIVA ARMADO e=5 cm</t>
  </si>
  <si>
    <t xml:space="preserve">         LOSA DEPORTIVA - CONCRETO PREMEZCLADO F´c=210 Kg/cm2</t>
  </si>
  <si>
    <t xml:space="preserve">         LOSA DEPORTIVA - ENCOFRADO Y DESENCOFRADO</t>
  </si>
  <si>
    <t xml:space="preserve">         LOSA DEPORTIVA - ACERO f'y=4200 Kg/cm2</t>
  </si>
  <si>
    <t xml:space="preserve">         TRIBUNA - CONCRETO f'c=175 Kg/cm2</t>
  </si>
  <si>
    <t xml:space="preserve">         TRIBUNA - ACERO f'y=4200 Kg/cm2</t>
  </si>
  <si>
    <t xml:space="preserve">      TANQUE CISTERNA</t>
  </si>
  <si>
    <t xml:space="preserve">         LOSA MACIZA DE FONDO - CISTERNA e=25cm</t>
  </si>
  <si>
    <t xml:space="preserve">            LOSA MACIZA CISTERNA - CONCRETO PREMEZCLADO F´c=210 Kg/cm2 CON IMPERMEABILIZANTE</t>
  </si>
  <si>
    <t xml:space="preserve">            LOSA MACIZA CISTERNA - ENCOFRADO Y DESENCOFRADO</t>
  </si>
  <si>
    <t xml:space="preserve">            LOSA MACIZA CISTERNA - ACERO f'y=4200 Kg/cm2</t>
  </si>
  <si>
    <t xml:space="preserve">            LOSA MACIZA CISTERNA - JUNTA WATERSTOP</t>
  </si>
  <si>
    <t xml:space="preserve">         MURO DE CISTERNA E=25cm</t>
  </si>
  <si>
    <t xml:space="preserve">            MURO - CONCRETO PREMEZCLADO F´c=210 Kg/cm2 CON IMPERMEABILIZANTE</t>
  </si>
  <si>
    <t xml:space="preserve">            MURO - ENCOFRADO Y DESENCOFRADO</t>
  </si>
  <si>
    <t xml:space="preserve">            MURO - ACERO f'y=4200 Kg/cm2</t>
  </si>
  <si>
    <t xml:space="preserve">      TANQUE ELEVADO</t>
  </si>
  <si>
    <t xml:space="preserve">         LOSA MACIZA DE FONDO - TANQUE ELEVADO e=25cm</t>
  </si>
  <si>
    <t xml:space="preserve">            LOSA MACIZA TANQUE ELEVADO - CONCRETO PREMEZCLADO F´c=210 Kg/cm2 CON IMPERMEABILIZANTE</t>
  </si>
  <si>
    <t xml:space="preserve">            LOSA MACIZA TANQUE ELEVADO - ENCOFRADO Y DESENCOFRADO</t>
  </si>
  <si>
    <t xml:space="preserve">            LOSA MACIZA TANQUE ELEVADO - ACERO f'y=4200 Kg/cm2</t>
  </si>
  <si>
    <t xml:space="preserve">            LOSA MACIZA TANQUE ELEVADO - JUNTA WATERSTOP</t>
  </si>
  <si>
    <t xml:space="preserve">         MURO DE TANQUE ELEVADO E=25cm</t>
  </si>
  <si>
    <t xml:space="preserve">      CURADO Y PROTECCION DEL CONCRETO</t>
  </si>
  <si>
    <t xml:space="preserve">         CURADO Y PROTECCIÓN DEL CONCRETO EN OBRA CON PLASTICO</t>
  </si>
  <si>
    <t xml:space="preserve">   ESTRUCTURAS METALICAS</t>
  </si>
  <si>
    <t xml:space="preserve">      ENTREPISO</t>
  </si>
  <si>
    <t xml:space="preserve">         ENTREPISO - ESTRUCTURA METALICA TIPO CERCHA - V1</t>
  </si>
  <si>
    <t xml:space="preserve">         ENTREPISO - PISO</t>
  </si>
  <si>
    <t xml:space="preserve">         ENTREPISO - PLANCHAS DE APOYO Y ANCLAJE</t>
  </si>
  <si>
    <t xml:space="preserve">         PINTURA ANTICORROSIVO Y ESMALTE EN ESTRUCTURA METALICA</t>
  </si>
  <si>
    <t xml:space="preserve">      COBERTURAS </t>
  </si>
  <si>
    <t xml:space="preserve">         COBERTURA - ESTRUCTURA METALICA TIPO TIJERAL - T1</t>
  </si>
  <si>
    <t xml:space="preserve">         COBERTURA - ESTRUCTURA METALICA TIPO TIJERAL - T2</t>
  </si>
  <si>
    <t xml:space="preserve">         COBERTURA - ESTRUCTURA METALICA TIPO TIJERAL - T3</t>
  </si>
  <si>
    <t xml:space="preserve">         COBERTURA - ESTRUCTURA METALICA TIPO CERCHA - V1</t>
  </si>
  <si>
    <t xml:space="preserve">         COBERTURA - ESTRUCTURA METALICA TIPO CERCHA - V2</t>
  </si>
  <si>
    <t xml:space="preserve">         COBERTURA - PLANCHAS DE APOYO Y ANCLAJE EN ESTRUCTURA EXISTENTE</t>
  </si>
  <si>
    <t xml:space="preserve">         COBERTURA - PLANCHAS DE APOYO Y ANCLAJE</t>
  </si>
  <si>
    <t xml:space="preserve">         COBERTURA - PINTURA ANTICORROSIVO Y ESMALTE EN ESTRUCTURA METALICA</t>
  </si>
  <si>
    <t xml:space="preserve">      LOSA DEPORTIVA</t>
  </si>
  <si>
    <t xml:space="preserve">         ARRIOSTRE METALICO DE COLUMNAS EN BASE</t>
  </si>
  <si>
    <t xml:space="preserve">         ARRIOSTRE METALICO DE COLUMNAS CON CERCHA</t>
  </si>
  <si>
    <t xml:space="preserve">         HABILITADO Y ARMADO DE COLUMNAS METALICAS</t>
  </si>
  <si>
    <t xml:space="preserve">         IZADO Y MONTAJE DE COLUMNAS METALICAS</t>
  </si>
  <si>
    <t xml:space="preserve">         PINTADO DE COLUMNAS METALICAS</t>
  </si>
  <si>
    <t xml:space="preserve">         HABILITADO Y ARMADO DE CERCHA METALICA</t>
  </si>
  <si>
    <t xml:space="preserve">         IZADO Y MONTAJE DE CERCHA METALICA</t>
  </si>
  <si>
    <t xml:space="preserve">         PINTADO DE CERCHA METALICA</t>
  </si>
  <si>
    <t xml:space="preserve">         HABILITADO Y ARMADO DE DIAGONALES METALICAS</t>
  </si>
  <si>
    <t xml:space="preserve">         PINTADO DE DIAGONALES METALICAS</t>
  </si>
  <si>
    <t xml:space="preserve">         ESCALERA Y CORREDORES- ANCLAJE PARA COLUMNA</t>
  </si>
  <si>
    <t xml:space="preserve">         ESCALERA Y CORREDORES - COLUMNA Ø 150 mm, e= 6 mm</t>
  </si>
  <si>
    <t xml:space="preserve">         ESCALERA Y CORREDORES - COLUMNA Ø 150 mm, e= 8 mm</t>
  </si>
  <si>
    <t xml:space="preserve">         ESCALERA Y CORREDORES - DIAGONAL Ø 150 mm, e= 5 mm</t>
  </si>
  <si>
    <t xml:space="preserve">         ESCALERA Y CORREDORES - VIGA 125x250 mm, e= 7 mm</t>
  </si>
  <si>
    <t xml:space="preserve">         ESCALERA Y CORREDORES - PASOS Y CONTRAPASOS</t>
  </si>
  <si>
    <t xml:space="preserve">         ESCALERA Y CORREDORES - PISO</t>
  </si>
  <si>
    <t xml:space="preserve">         ESCALERA Y CORREDORES - RIGIDIZADORES</t>
  </si>
  <si>
    <t xml:space="preserve">         ESCALERA - PINTURA ANTICORROSIVO Y ESMALTE</t>
  </si>
  <si>
    <t xml:space="preserve">         ESCALERA - NEOPRENE 2"</t>
  </si>
  <si>
    <t xml:space="preserve">         RAMPA- ANCLAJE PARA DIAGONALES</t>
  </si>
  <si>
    <t xml:space="preserve">         RAMPA - DIAGONAL Ø 150 mm, e= 2.5 mm</t>
  </si>
  <si>
    <t xml:space="preserve">         RAMPA -VIGA Ø 150 mm, e= 2 mm</t>
  </si>
  <si>
    <t xml:space="preserve">   COBERTURAS </t>
  </si>
  <si>
    <t xml:space="preserve">      CORREAS METALICAS DE 40X80X1.8 MM</t>
  </si>
  <si>
    <t xml:space="preserve">      COBERTURA CON TEJA ANDINA</t>
  </si>
  <si>
    <t xml:space="preserve">      CUMBRERA DE TEJA ANDINA</t>
  </si>
  <si>
    <t xml:space="preserve">      IMPERMEABILIZACIÓN DE TEJA ANDINA</t>
  </si>
  <si>
    <t xml:space="preserve">      COBERTURA CON MEMBRANA TIPO II-212T PVC/PVDF COLOR BLANCO</t>
  </si>
  <si>
    <t xml:space="preserve">   OTROS</t>
  </si>
  <si>
    <t xml:space="preserve">      JUNTA DE WATERSTOP DE PVC DE 4”</t>
  </si>
  <si>
    <t xml:space="preserve">      JUNTA DE TECNOPOR DE 3/4" </t>
  </si>
  <si>
    <t xml:space="preserve">   MUROS Y TABIQUES</t>
  </si>
  <si>
    <t xml:space="preserve">      MURO DE LADRILLO KK TIPO IV CABEZA, M:1:4, E=1.5cm</t>
  </si>
  <si>
    <t xml:space="preserve">      MURO DE LADRILLO KK TIPO IV SOGA, M:1:4, E=1.5cm</t>
  </si>
  <si>
    <t xml:space="preserve">      MURO DE LADRILLO KK TIPO IV CANTO, M:1:4, E=1.5cm</t>
  </si>
  <si>
    <t xml:space="preserve">      MURO DE LADRILLO CARAVISTA TIPO SOGA, M:1:4, E=1.5cm</t>
  </si>
  <si>
    <t xml:space="preserve">      TABIQUES CON DRYWALL E=12 cm</t>
  </si>
  <si>
    <t xml:space="preserve">      TABIQUES CON DRYWALL E=15 cm</t>
  </si>
  <si>
    <t xml:space="preserve">      DIVISOR DE MELAMINE SOBRE ESTRUCTURA DE ALUMINIO</t>
  </si>
  <si>
    <t xml:space="preserve">   REVOQUES ENLUCIDOS Y MOLDURAS</t>
  </si>
  <si>
    <t xml:space="preserve">      TARRAJEO PRIMARIO Y RAYADO</t>
  </si>
  <si>
    <t xml:space="preserve">      TARRAJEO EN MURO INTERIORES MEZCLA 1:4 CEMENTO:ARENA</t>
  </si>
  <si>
    <t xml:space="preserve">      TARRAJEO EN MURO EXTERIORES MEZCLA 1:4 CEMENTO:ARENA</t>
  </si>
  <si>
    <t xml:space="preserve">      TARRAJEO DE SUPERFICIE DE COLUMNAS INCL. ARISTAS MEZCLA 1:4 CEMENTO:ARENA</t>
  </si>
  <si>
    <t xml:space="preserve">      TARRAJEO DE SUPERF. VIGAS INCL. ARISTAS MEZCLA 1:4 CEMENTO:ARENA</t>
  </si>
  <si>
    <t xml:space="preserve">      TARRAJEO DE MUROS DE CONCRETO MEZCLA 1:4 CEMENTO:ARENA</t>
  </si>
  <si>
    <t xml:space="preserve">      TARRAJEO EN TRIBUNA</t>
  </si>
  <si>
    <t xml:space="preserve">      TARRAJEO EN PARAPETO DE CONCRETO CON MEZCLA C:A A:4 E=1.5cm</t>
  </si>
  <si>
    <t xml:space="preserve">      TARRAJEO EN FONDO DE ESCALERA CON MEZCLA C:A 1:4 E=1.5cm</t>
  </si>
  <si>
    <t xml:space="preserve">      TARRAJEO EN FONDO DE RAMPA CON MEZCLA C:A 1:4 E=1.5cm</t>
  </si>
  <si>
    <t xml:space="preserve">      TARRAJEO EN TANQUE ELEVADO CON MEZCLA 1:5 CEMENTO:ARENA</t>
  </si>
  <si>
    <t xml:space="preserve">      TARRAJEO EN TANQUE ELEVADO CON IMPERMEABILIZANTE MEZCLA 1:5 CEMENTO:ARENA</t>
  </si>
  <si>
    <t xml:space="preserve">      TARRAJEO EN CISTERNA CON IMPERMEABILIZANTE MEZCLA 1:5 CEMENTO:ARENA</t>
  </si>
  <si>
    <t xml:space="preserve">      TARRAJEO EN CUNETAS CON IMPERMEABILIZANTE</t>
  </si>
  <si>
    <t xml:space="preserve">      TARRAJEO EN MESA DE LAVORATORIO CON MICRO CEMENTO E=1.5cm</t>
  </si>
  <si>
    <t xml:space="preserve">      ENCHAPE DE CERAMICO 30x30cm EN MESAS</t>
  </si>
  <si>
    <t xml:space="preserve">      MESA DE CONCRETO CON ACABADO CERAMICO 30x30cm EN SS.HH. E=0.15cm</t>
  </si>
  <si>
    <t xml:space="preserve">      MESA DE CONCRETO CON ENCHAPE EN GRANITO e=2cm</t>
  </si>
  <si>
    <t xml:space="preserve">      VESTIDURA DE DERRAMES (1:5)</t>
  </si>
  <si>
    <t xml:space="preserve">      BRUÑAS DE 1CM ENTRE MUROS Y ESTRUCTURAS</t>
  </si>
  <si>
    <t xml:space="preserve">      ACABADO DE ESTUCO</t>
  </si>
  <si>
    <t xml:space="preserve">      SOLAQUEO EN CERCO PERIMETRICO</t>
  </si>
  <si>
    <t xml:space="preserve">   CIELORRASOS</t>
  </si>
  <si>
    <t xml:space="preserve">      CIELORRASOS CON MEZCLA C:A 1:4 e= 1.5 cm</t>
  </si>
  <si>
    <t xml:space="preserve">      CIELORRASOS CON BALDOSA SUPERBOARD E=6mm</t>
  </si>
  <si>
    <t xml:space="preserve">   PISOS Y PAVIMENTOS</t>
  </si>
  <si>
    <t xml:space="preserve">      CONTRAPISOS</t>
  </si>
  <si>
    <t xml:space="preserve">         CONTRAPISO DE 48mm.</t>
  </si>
  <si>
    <t xml:space="preserve">      PISOS</t>
  </si>
  <si>
    <t xml:space="preserve">         PISO DE CERAMICO ANTIDESLIZANTE 0.40x0.40m</t>
  </si>
  <si>
    <t xml:space="preserve">         PISO DE CERAMICO ANTIDESLIZANTE 0.45x0.45m</t>
  </si>
  <si>
    <t xml:space="preserve">         PISO DE CERAMICO ANTIDESLIZANTE 0.60x0.60m</t>
  </si>
  <si>
    <t xml:space="preserve">         PISO DE PARQUETON 0.10x0.60 m</t>
  </si>
  <si>
    <t xml:space="preserve">         PISO DE MICROCEMENTO</t>
  </si>
  <si>
    <t xml:space="preserve">         PISO DE CEMENTO PULIDO H=0.10m</t>
  </si>
  <si>
    <t xml:space="preserve">         ACABADO DE PISO PULIDO</t>
  </si>
  <si>
    <t xml:space="preserve">         ACABADO CON CEMENTO FROTACHADO</t>
  </si>
  <si>
    <t xml:space="preserve">         ACABADO FROTACHADO Y BRUÑADO</t>
  </si>
  <si>
    <t xml:space="preserve">         PISO DE ADOQUIN RECTANGULAR 0.20X0.10X0.06</t>
  </si>
  <si>
    <t xml:space="preserve">         PISO DE ADOQUIN OCTOGONAL 0.20X0.20X0.06</t>
  </si>
  <si>
    <t xml:space="preserve">         ACABADO BOLERADO EN TRIBUNAS</t>
  </si>
  <si>
    <t xml:space="preserve">         VEREDAS DE CONCRETO f´c 175kG/CM2 INCL. ENCOFRADO</t>
  </si>
  <si>
    <t xml:space="preserve">      SARDINELES</t>
  </si>
  <si>
    <t xml:space="preserve">         SARDINEL REVESTIDA CON CERAMICO H=0.10m</t>
  </si>
  <si>
    <t xml:space="preserve">         SARDINEL DE CONCRETO CON ACABADO FROTACHADO DE 0.10 X 0.25 m</t>
  </si>
  <si>
    <t xml:space="preserve">         SARDINEL DE CONFINAMIENTO</t>
  </si>
  <si>
    <t xml:space="preserve">         SARDINEL DE CONCRETO CON ACABADO FROTACHADO Y PINTADO DE 0.10 X 0.50 m</t>
  </si>
  <si>
    <t xml:space="preserve">   ZOCALOS Y CONTRAZOCALOS</t>
  </si>
  <si>
    <t xml:space="preserve">      ZOCALOS</t>
  </si>
  <si>
    <t xml:space="preserve">         ZOCALO DE CEMENTO PULIDO C/MORTERO 1:5 DE 2 CM H= 30 CM</t>
  </si>
  <si>
    <t xml:space="preserve">         ZOCALO DE CERAMICO 20x30cm</t>
  </si>
  <si>
    <t xml:space="preserve">         ZOCALO DE MICROCEMENTO</t>
  </si>
  <si>
    <t xml:space="preserve">      CONTRAZOCALOS</t>
  </si>
  <si>
    <t xml:space="preserve">         CONTRAZOCALO DE CERAMICO DE 45x45cm H=10cm</t>
  </si>
  <si>
    <t xml:space="preserve">         CONTRAZOCALO DE CEMENTO PULIDO C/MORTERO 1:5 DE 2cm, H=20cm.</t>
  </si>
  <si>
    <t xml:space="preserve">   COBERTURA </t>
  </si>
  <si>
    <t xml:space="preserve">      COBERTURA CON POLICARBONATO IQ E=8mm</t>
  </si>
  <si>
    <t xml:space="preserve">   CARPINTERIA DE MADERA</t>
  </si>
  <si>
    <t xml:space="preserve">      PUERTA TABLERO REBAJADO AGUANO C/SOBRE LUZ</t>
  </si>
  <si>
    <t xml:space="preserve">      PUERTA TABLERO REBAJADO AGUANO DOBLE HOJA C/SOBRE LUZ</t>
  </si>
  <si>
    <t xml:space="preserve">      PUERTA CONTRAPLACADA CON PLANCHA DE TRIPLAY DE 4MM S/SOBRE LUZ</t>
  </si>
  <si>
    <t xml:space="preserve">      PUERTA CONTRAPLACADA CON PLANCHA DE TRIPLAY DE 4MM C/SOBRE LUZ</t>
  </si>
  <si>
    <t xml:space="preserve">      PUERTA CONTRAPLACADA CON PLANCHA DE TRIPLAY DE 4MM C/SOBRE LUZ Y VENTANA DE INSPECCIÓN</t>
  </si>
  <si>
    <t xml:space="preserve">      PUERTA BATIENTE CONTRAPLACADA DOBLE HOJA CON PLANCHA DE TRIPLAY DE 4MM</t>
  </si>
  <si>
    <t xml:space="preserve">      PUERTA MELAMINE CON MARCO DE ALUMINIO</t>
  </si>
  <si>
    <t xml:space="preserve">   CARPINTERIA METALICA</t>
  </si>
  <si>
    <t xml:space="preserve">      CARPINTERIA DE FIERRO</t>
  </si>
  <si>
    <t xml:space="preserve">         PARASOLES METALICOS TIPO 1 (H=2.95)</t>
  </si>
  <si>
    <t xml:space="preserve">         PARASOLES METALICOS TIPO 2 (H=2.70)</t>
  </si>
  <si>
    <t xml:space="preserve">         PUERTA CON MARCO DE TUBO LAC Y MADERA C/ACCESORIOS</t>
  </si>
  <si>
    <t xml:space="preserve">      CARPINTERIA DE ALUMINIO</t>
  </si>
  <si>
    <t xml:space="preserve">         PUERTA CON MARCO DE ALUMINIO Y VIDRIO LAMINADO DE 10mm</t>
  </si>
  <si>
    <t xml:space="preserve">         PUERTA CON MARCO DE ALUMINIO Y VIDRIO LAMINADO DE 10mm SISTEMA CORREDIZA</t>
  </si>
  <si>
    <t xml:space="preserve">         MAMPARA DE ALUMINIO CON VIDRIO LAMINADO DE 10mm</t>
  </si>
  <si>
    <t xml:space="preserve">         DIVISION CON MARCO DE ALUMINIO Y VIDRIO LAMINADO DE 10mm</t>
  </si>
  <si>
    <t xml:space="preserve">      BARANDAS Y PASAMANOS</t>
  </si>
  <si>
    <t xml:space="preserve">         BARANDA METALICA TIPO – 1</t>
  </si>
  <si>
    <t xml:space="preserve">         BARANDA METALICA TIPO - 2 (VIDRIO TEMPLADO)</t>
  </si>
  <si>
    <t xml:space="preserve">         BARANDA METALICA TIPO – 3</t>
  </si>
  <si>
    <t xml:space="preserve">         BARANDA METALICA TIPO – 4</t>
  </si>
  <si>
    <t xml:space="preserve">         BARANDA METALICA TIPO – 5</t>
  </si>
  <si>
    <t xml:space="preserve">         BARANDA METALICA TIPO – 6</t>
  </si>
  <si>
    <t xml:space="preserve">         BARANDAS DE PROTECCION TUBO DE 2" E=3MM </t>
  </si>
  <si>
    <t xml:space="preserve">         BARANDAS EN TRIBUNA</t>
  </si>
  <si>
    <t xml:space="preserve">         PASAMANOS METALICO DE ?11/2", INC. PINTADO</t>
  </si>
  <si>
    <t xml:space="preserve">      ELEMENTOS METALICOS ESPECIALES </t>
  </si>
  <si>
    <t xml:space="preserve">         VIGA METALICA INCLINADA /DECORATIVA</t>
  </si>
  <si>
    <t xml:space="preserve">         COLUMNA METALICA 25X25 CM, H=2.70 M</t>
  </si>
  <si>
    <t xml:space="preserve">         TAPA SANITARIA METALICA 0.80 x 0.80 M</t>
  </si>
  <si>
    <t xml:space="preserve">         TAPA SANITARIA METALICA 0.60 x 0.70 M</t>
  </si>
  <si>
    <t xml:space="preserve">         TAPA SANITARIA METALICA 0.60 x 1.00 M</t>
  </si>
  <si>
    <t xml:space="preserve">         ESCALERA GATO  060 M X 6.50 M</t>
  </si>
  <si>
    <t xml:space="preserve">         ESCALERA GATO  EMPOTRADO DE ALUMINIO P/CISTERNA DE 060 M X 1.95 M</t>
  </si>
  <si>
    <t xml:space="preserve">         COLUMNA METALICA 15X10 CM, H=2.70 M</t>
  </si>
  <si>
    <t xml:space="preserve">   CERRAJERIA</t>
  </si>
  <si>
    <t xml:space="preserve">      BISAGRA CAPUCHINA DE 4"</t>
  </si>
  <si>
    <t xml:space="preserve">      BISAGRA ALUMINIZADA CAPUCHINA DE 3"x3"</t>
  </si>
  <si>
    <t xml:space="preserve">      BISAGRA GIRATORIA PARA PUERTA DE VIDRIO</t>
  </si>
  <si>
    <t xml:space="preserve">      CERRADURA PARA PUERTA DE TRES GOLPES</t>
  </si>
  <si>
    <t xml:space="preserve">      CERRADURA DE PERILLA CON SEGURIDAD INTERIOR</t>
  </si>
  <si>
    <t xml:space="preserve">      CERRADURA DE GOLPE TIPO GANCHO DE ALUMINIO</t>
  </si>
  <si>
    <t xml:space="preserve">      CERRADURA DE POMO</t>
  </si>
  <si>
    <t xml:space="preserve">      PICAPORTE DE ALUMINIO DE 3"</t>
  </si>
  <si>
    <t xml:space="preserve">      PICAPORTE DE ALUMINIO DE 4"</t>
  </si>
  <si>
    <t xml:space="preserve">      TIRADOR DE ALUMINIO TIPO MANIJA</t>
  </si>
  <si>
    <t xml:space="preserve">   VIDRIOS, CRISTALES Y SIMILARES</t>
  </si>
  <si>
    <t xml:space="preserve">      VENTANA CON MARCO DE ALUMINIO SISTEMA CORREDOR C/ACCESORIOS</t>
  </si>
  <si>
    <t xml:space="preserve">      VENTANA DE ALUMINIO SISTEMA BATIENTE C/ACCESORIOS</t>
  </si>
  <si>
    <t xml:space="preserve">      BLOQUES DE VIDRIO DE 0.30 X 0.30 E=12cm</t>
  </si>
  <si>
    <t xml:space="preserve">   PINTURAS</t>
  </si>
  <si>
    <t xml:space="preserve">      PINTURA EN CIELORRASO</t>
  </si>
  <si>
    <t xml:space="preserve">      PINTURA EN INTERIORES</t>
  </si>
  <si>
    <t xml:space="preserve">      PINTURA EN EXTERIORES</t>
  </si>
  <si>
    <t xml:space="preserve">      PINTURA EN COLUMNAS</t>
  </si>
  <si>
    <t xml:space="preserve">      PINTURA EN VIGAS</t>
  </si>
  <si>
    <t xml:space="preserve">      PINTURA EN PARAPETOS</t>
  </si>
  <si>
    <t xml:space="preserve">      PINTURA EN FONDO DE ESCALERA</t>
  </si>
  <si>
    <t xml:space="preserve">      PINTURA EN FONDE DE RAMPA</t>
  </si>
  <si>
    <t xml:space="preserve">      PINTURA EN MUROS DE CONCRETO</t>
  </si>
  <si>
    <t xml:space="preserve">      PINTURA CON ESMALTE EN ZOCALOS</t>
  </si>
  <si>
    <t xml:space="preserve">      PINTURA EN PUERTAS C/BARNIZ 2 MANO</t>
  </si>
  <si>
    <t xml:space="preserve">      PINTURA DE ALTO TRANSITO EN SUPERFICIE DE PATIO DE HONOR</t>
  </si>
  <si>
    <t xml:space="preserve">      PINTURA DE ALTO TRANSITO EN MARCAS DE PATIO DE HONOR</t>
  </si>
  <si>
    <t xml:space="preserve">      PINTURA CON ESMALTE EN TRIBUNAS</t>
  </si>
  <si>
    <t xml:space="preserve">   JARDINERIA</t>
  </si>
  <si>
    <t xml:space="preserve">      TIERRA NEGRA PARA GRASS</t>
  </si>
  <si>
    <t xml:space="preserve">      SEMBRADO DE GRASS POR ESQUEJES</t>
  </si>
  <si>
    <t xml:space="preserve">      SUMINISTRO Y SEMBRIO DE ARBOLES Y ARBUSTOS</t>
  </si>
  <si>
    <t xml:space="preserve">   SEÑALETICA</t>
  </si>
  <si>
    <t xml:space="preserve">      SEÑALETICA</t>
  </si>
  <si>
    <t xml:space="preserve">      SEÑAL PROHIBITIVA</t>
  </si>
  <si>
    <t xml:space="preserve">      SEÑAL INDICATIVA</t>
  </si>
  <si>
    <t xml:space="preserve">      SEÑAL ORIENTATIVA</t>
  </si>
  <si>
    <t xml:space="preserve">      SEÑAL DE AVERTENCIA</t>
  </si>
  <si>
    <t xml:space="preserve">      SEÑAL DE SEGURIDAD</t>
  </si>
  <si>
    <t xml:space="preserve">   JUNTAS</t>
  </si>
  <si>
    <t xml:space="preserve">      TAPAJUNTA DE ALUMINIO ANODIZADO 8cm X 250 cm EN PISOS</t>
  </si>
  <si>
    <t xml:space="preserve">      TAPAJUNTA BISELADA METALICA DE 6"X1/4"</t>
  </si>
  <si>
    <t xml:space="preserve">      JUNTA DE TEKNOPOR DE 1" </t>
  </si>
  <si>
    <t xml:space="preserve">      JUNTA ASFALTICA DE 3/4" EN LOSA DEPORTIVA</t>
  </si>
  <si>
    <t xml:space="preserve">      JUNTA ASFALTICA DE 1” </t>
  </si>
  <si>
    <t xml:space="preserve">      PODIO DE CONCRETO C:A 1:10 , H= 10 cm</t>
  </si>
  <si>
    <t xml:space="preserve">      CANTONERA DE PVC 60 x 34 mm</t>
  </si>
  <si>
    <t xml:space="preserve">      INSTALACION DE ASTA DE BANDERA</t>
  </si>
  <si>
    <t xml:space="preserve">      LIMPIEZA PERMANENTE DE LA OBRA</t>
  </si>
  <si>
    <t xml:space="preserve">      BANCA TIPO-1</t>
  </si>
  <si>
    <t xml:space="preserve">      BANCA TIPO-2</t>
  </si>
  <si>
    <t xml:space="preserve">      BEBEDEROS</t>
  </si>
  <si>
    <t xml:space="preserve">      PANEL DE CONCRETO DE 1.15 X 0.45 M, E= 7 CM</t>
  </si>
  <si>
    <t xml:space="preserve">      LETREROS DE AMBIENTES INTERIORES</t>
  </si>
  <si>
    <t xml:space="preserve">      LETRAS CORPOREAS DE MDF Y ACERO </t>
  </si>
  <si>
    <t xml:space="preserve">   APARATOS SANITARIOS Y ACCESORIOS</t>
  </si>
  <si>
    <t xml:space="preserve">      SUMINISTRO DE APARATOS SANITARIOS</t>
  </si>
  <si>
    <t xml:space="preserve">         INODORO TANQUE BAJO DE CERÁMICA VITRIFICADA BLANCO</t>
  </si>
  <si>
    <t xml:space="preserve">         URINARIO DE LOSA VITRIFICADA BLANCO</t>
  </si>
  <si>
    <t xml:space="preserve">         LAVATORIO DE PARED DE CERAMICA VITRIFICADA BLANCO -ADOSADO</t>
  </si>
  <si>
    <t xml:space="preserve">         LAVATORIO OVALIN DE CERAMICA VITRIFICADA BLANCO EMPOTRADO</t>
  </si>
  <si>
    <t xml:space="preserve">         LAVADERO DE ACERO INOXIDABLE 1 POZA CON ESCURRIDOR</t>
  </si>
  <si>
    <t xml:space="preserve">         LAVADERO DE ACERO INOXIDABLE 1 POZA CON 2 ESCURRIDORES</t>
  </si>
  <si>
    <t xml:space="preserve">         LAVADERO DE ACERO INOXIDABLE 1 POZA SIN ESCURRIDOR</t>
  </si>
  <si>
    <t xml:space="preserve">      SUMINISTRO DE ACCESORIOS SANITARIOS</t>
  </si>
  <si>
    <t xml:space="preserve">         LLAVE DE LAVATORIO TEMPORIZADA, CROMADA</t>
  </si>
  <si>
    <t xml:space="preserve">         LLAVE PARA BEBEDEROS, CROMADA</t>
  </si>
  <si>
    <t xml:space="preserve">         LLAVE DE LAVADERO  TIPO CUELLO DE CISNE Ø 1/2" PARA COCINA MONOCOMANDO, CROMADA</t>
  </si>
  <si>
    <t xml:space="preserve">         LLAVE DE LAVADERO TIPO CUELLO DE CISNE Ø 1/2" PARA COCINA MONOCOMANDO CON RESORTE, CROMADA</t>
  </si>
  <si>
    <t xml:space="preserve">         GRIFOS ESFERICOS DOBLE MANGUERA</t>
  </si>
  <si>
    <t xml:space="preserve">         DIFUSOR DE DUCHA CROMADA DE 1 LLAVE</t>
  </si>
  <si>
    <t xml:space="preserve">         DIFUSOR DE DUCHA TELEFONO CON SOPORTE BARRA REGULABLE</t>
  </si>
  <si>
    <t xml:space="preserve">         DIFUSOR DE DUCHA   Y LAVAOJOS DE EMERGENCIAS</t>
  </si>
  <si>
    <t xml:space="preserve">         SOPORTE PORTA PAPEL HIGIENICO CROMADO</t>
  </si>
  <si>
    <t xml:space="preserve">         TACHO DE ACERO INOXIDABLE DE 7L, CON TAPA Y SISTEMA PEDAL</t>
  </si>
  <si>
    <t xml:space="preserve">         DOSIFICADOR DE JABON AUTOMATICO CROMADO-EMPOTRADO</t>
  </si>
  <si>
    <t xml:space="preserve">         DISPENSADOR DE JABON LIQUIDO DE 1000ml, ADOSADO</t>
  </si>
  <si>
    <t xml:space="preserve">         SECADOR DE MANOS AUTOMATICO DE PARED DE ACERO INOXIDABLE</t>
  </si>
  <si>
    <t xml:space="preserve">         ESPEJO BISELADO DE 0.45 x 0.75 m, e=4mm</t>
  </si>
  <si>
    <t xml:space="preserve">         BARRA DE SEGURIDAD EN U PARA URINARIO DE ACERO INOXIDABLE</t>
  </si>
  <si>
    <t xml:space="preserve">         BARRA DE SEGURIDAD DE ACERO INOXIDABLE, L = 0.90m</t>
  </si>
  <si>
    <t xml:space="preserve">         PERCHA SIMPLE CROMADA, ADOSADA</t>
  </si>
  <si>
    <t xml:space="preserve">         PERCHERO DE ALUMINIO CON 4 GANCHOS</t>
  </si>
  <si>
    <t xml:space="preserve">         PORTA JABON CROMADO, ADOSADO</t>
  </si>
  <si>
    <t xml:space="preserve">         SILLA REBATIBLE PARA DUCHA</t>
  </si>
  <si>
    <t xml:space="preserve">         SISTEMA DE PURIFICADOR DE AGUA DE 3 ETAPAS</t>
  </si>
  <si>
    <t xml:space="preserve">      INSTALACION DE APARATOS SANITARIOS</t>
  </si>
  <si>
    <t xml:space="preserve">         INSTALACION DE APARATOS SANITARIOS</t>
  </si>
  <si>
    <t xml:space="preserve">      INSTALACION DE ACCESORIOS SANITARIOS</t>
  </si>
  <si>
    <t xml:space="preserve">         INSTALACION DE ACCESORIOS SANITARIOS</t>
  </si>
  <si>
    <t xml:space="preserve">   SISTEMA DE AGUA FRIA </t>
  </si>
  <si>
    <t xml:space="preserve">      SALIDA DE AGUA FRIA</t>
  </si>
  <si>
    <t xml:space="preserve">         SALIDA DE AGUA FRIA CON TUBERÍA DE PVC SAP C-10 Ø 1/2"</t>
  </si>
  <si>
    <t xml:space="preserve">         SALIDA DE AGUA FRIA CON TUBERÍA DE PVC SAP C-10 Ø 1"</t>
  </si>
  <si>
    <t xml:space="preserve">      REDES DE DISTRIBUCIÓN</t>
  </si>
  <si>
    <t xml:space="preserve">         TUBERIA DE PVC C-10 Ø 1/2" SP</t>
  </si>
  <si>
    <t xml:space="preserve">         TUBERIA DE PVC C-10 Ø 3/4" SP</t>
  </si>
  <si>
    <t xml:space="preserve">         TUBERIA DE PVC C-10 Ø 1" SP</t>
  </si>
  <si>
    <t xml:space="preserve">         TUBERIA DE PVC C-10 Ø 1 1/2" SP</t>
  </si>
  <si>
    <t xml:space="preserve">         TUBERIA DE PVC C-10 Ø 2" SP</t>
  </si>
  <si>
    <t xml:space="preserve">         TUBERIA DE F°G° C/R Ø 2" </t>
  </si>
  <si>
    <t xml:space="preserve">      REDES DE ALIMENTACIÓN</t>
  </si>
  <si>
    <t xml:space="preserve">      ACCESORIOS DE REDES DE AGUA</t>
  </si>
  <si>
    <t xml:space="preserve">         CODO DE PVC Ø 1/2" x 90° SP</t>
  </si>
  <si>
    <t xml:space="preserve">         CODO DE PVC Ø 3/4" x 90° SP</t>
  </si>
  <si>
    <t xml:space="preserve">         CODO DE PVC Ø 1" x 90° SP</t>
  </si>
  <si>
    <t xml:space="preserve">         CODO DE PVC Ø 1 1/2" x 90° SP</t>
  </si>
  <si>
    <t xml:space="preserve">         CODO DE PVC Ø 2" x 90° SP</t>
  </si>
  <si>
    <t xml:space="preserve">         CODO DE F°G° Ø 2" x 90° </t>
  </si>
  <si>
    <t xml:space="preserve">         TEE DE PVC Ø 1/2" SP</t>
  </si>
  <si>
    <t xml:space="preserve">         TEE DE PVC Ø 3/4" SP</t>
  </si>
  <si>
    <t xml:space="preserve">         TEE DE PVC Ø 1" SP</t>
  </si>
  <si>
    <t xml:space="preserve">         TEE DE PVC Ø 1 1/2" SP</t>
  </si>
  <si>
    <t xml:space="preserve">         TEE DE PVC Ø 2" SP</t>
  </si>
  <si>
    <t xml:space="preserve">         REDUCCION DE PVC Ø 3/4" A 1/2" SP</t>
  </si>
  <si>
    <t xml:space="preserve">         REDUCCION DE PVC Ø 1" A 1/2" SP</t>
  </si>
  <si>
    <t xml:space="preserve">         REDUCCION DE PVC Ø 1" A 3/4" SP</t>
  </si>
  <si>
    <t xml:space="preserve">         REDUCCION DE PVC Ø 1 1/2" A 3/4" SP</t>
  </si>
  <si>
    <t xml:space="preserve">         REDUCCION DE PVC Ø 1 1/2" A 1" SP</t>
  </si>
  <si>
    <t xml:space="preserve">         UNIÓN PVC SAP Ø 1/2"</t>
  </si>
  <si>
    <t xml:space="preserve">         UNIÓN PVC SAP Ø 3/4"</t>
  </si>
  <si>
    <t xml:space="preserve">         UNIÓN PVC SAP Ø 1"</t>
  </si>
  <si>
    <t xml:space="preserve">         UNIÓN PVC SAP Ø 1 1/2"</t>
  </si>
  <si>
    <t xml:space="preserve">         UNIÓN PVC SAP Ø 2"</t>
  </si>
  <si>
    <t xml:space="preserve">      VALVULAS</t>
  </si>
  <si>
    <t xml:space="preserve">         VALVULA COMPUERTA DE BRONCE Ø 1/2"</t>
  </si>
  <si>
    <t xml:space="preserve">         VALVULA COMPUERTA DE BRONCE Ø 3/4"</t>
  </si>
  <si>
    <t xml:space="preserve">         VALVULA COMPUERTA DE BRONCE Ø 1"</t>
  </si>
  <si>
    <t xml:space="preserve">         VALVULA COMPUERTA DE BRONCE Ø 1/2" PARA RIEGO INCLUYE NICHO DE CONCRETO</t>
  </si>
  <si>
    <t xml:space="preserve">      ALMACENAMIENTO DE AGUA</t>
  </si>
  <si>
    <t xml:space="preserve">         ACCESORIOS TANQUE ELEVADO</t>
  </si>
  <si>
    <t xml:space="preserve">         ACCESORIOS TANQUE CISTERNA</t>
  </si>
  <si>
    <t xml:space="preserve">      EQUIPOS Y OTRAS INSTALACIONES</t>
  </si>
  <si>
    <t xml:space="preserve">         INSTALACION DE ELECTROBOMBAS</t>
  </si>
  <si>
    <t xml:space="preserve">         INSTALACION DE ACCESORIOS SISTEMA DE BOMBEO</t>
  </si>
  <si>
    <t xml:space="preserve">         CONEXIÓN  DE AGUA A LA RED PÚBLICA</t>
  </si>
  <si>
    <t xml:space="preserve">   SISTEMA DE DRENAJE PLUVIAL</t>
  </si>
  <si>
    <t xml:space="preserve">      RED DE RAMALES COLECTORES</t>
  </si>
  <si>
    <t xml:space="preserve">         CANALETA METALICA DE EVACUACION DE AGUAS PLUVIALES</t>
  </si>
  <si>
    <t xml:space="preserve">         CANAL DE CONCRETO EN TECHO CON IMPERMEABILIZANTE</t>
  </si>
  <si>
    <t xml:space="preserve">         CANAL DE CONCRETO CON FIBRAS DE ACERO EN TECHO A=30cm, H=30cm, E=10cm</t>
  </si>
  <si>
    <t xml:space="preserve">         MONTANTE DE TUB. PVC SAP C-10 Ø 3" EMBEBIDA EN TABIQUERIA</t>
  </si>
  <si>
    <t xml:space="preserve">         MONTANTE DE TUB. PVC SAP C-10 Ø 3" ADOSADA</t>
  </si>
  <si>
    <t xml:space="preserve">         MONTANTE DE TUB. PVC SAP C-10 Ø 4" ADOSADA</t>
  </si>
  <si>
    <t xml:space="preserve">         COLUMNETAS DE CONCRETO f'c=175 Kg/cm2 PARA BAJANTES</t>
  </si>
  <si>
    <t xml:space="preserve">         DADO DE CONCRETO F´C=175 KG/CM2 PARA  BAJANTES</t>
  </si>
  <si>
    <t xml:space="preserve">      RED DE RECOLECCIÓN</t>
  </si>
  <si>
    <t xml:space="preserve">         CANAL RANURADO MODULAR</t>
  </si>
  <si>
    <t xml:space="preserve">         CANAL DE CONCRETO EN PISO A=20 CM H=VARIABLE, E=10cm</t>
  </si>
  <si>
    <t xml:space="preserve">         CANAL DE CONCRETO EN PISO A=30 CM H=VARIABLE, E=10cm</t>
  </si>
  <si>
    <t xml:space="preserve">         CANAL DE CONCRETO EN PISO A=50 CM H=VARIABLE, E=15cm</t>
  </si>
  <si>
    <t xml:space="preserve">         REJILLA METALICA TIPO I, A=30cm</t>
  </si>
  <si>
    <t xml:space="preserve">         REJILLA METALICA TIPO II, A=40cm</t>
  </si>
  <si>
    <t xml:space="preserve">         REJILLA METALICA TIPO III, A=70cm</t>
  </si>
  <si>
    <t xml:space="preserve">         TAPA DE CONCRETO 70x50x5cm f'c=175kg/cm2</t>
  </si>
  <si>
    <t xml:space="preserve">         RED COLECTORA TUBERÍA PVC UF Ø DE 8" INC/EXCAVACIÓN Y RELLENO</t>
  </si>
  <si>
    <t xml:space="preserve">         RED COLECTORA TUBERÍA PVC UF Ø DE 10" INC/EXCAVACIÓN Y RELLENO</t>
  </si>
  <si>
    <t xml:space="preserve">         RED COLECTORA TUBERÍA PVC UF Ø DE 12" INC/EXCAVACIÓN Y RELLENO</t>
  </si>
  <si>
    <t xml:space="preserve">         RED COLECTORA TUBERÍA PVC UF Ø DE 14" INC/EXCAVACIÓN Y RELLENO</t>
  </si>
  <si>
    <t xml:space="preserve">         CAJAS DE INSPECCIÓN TIPO I A=1.00M L=1.00M H=VARIABLE</t>
  </si>
  <si>
    <t xml:space="preserve">         CAJAS DE INSPECCIÓN TIPO II A=0.60M L=1.00M H=VARIABLE</t>
  </si>
  <si>
    <t xml:space="preserve">         CAJAS DE INSPECCIÓN TIPO III A=1.45M L=4.50M H=VARIABLE</t>
  </si>
  <si>
    <t xml:space="preserve">      ACCESORIOS</t>
  </si>
  <si>
    <t xml:space="preserve">         SUMIDERO SIFONICO DE ACERO INOXIDABLE</t>
  </si>
  <si>
    <t xml:space="preserve">         ABRAZADERA DE FIJACION DE MONTANTE TUBO DE 3"</t>
  </si>
  <si>
    <t xml:space="preserve">         ABRAZADERA DE FIJACION DE MONTANTE TUBO DE 4"</t>
  </si>
  <si>
    <t xml:space="preserve">         SOPORTE METALICO DE CANALETAS DE 15 cm</t>
  </si>
  <si>
    <t xml:space="preserve">         EMBUDO DE CONEXIÓN DE CANALETA Y MONTANTE</t>
  </si>
  <si>
    <t xml:space="preserve">         CONEXION A LA RED COLECTORA TUBERÍA PVC UF Ø DE 8" </t>
  </si>
  <si>
    <t xml:space="preserve">         CONEXION A LA RED COLECTORA TUBERÍA PVC UF Ø DE 10"</t>
  </si>
  <si>
    <t xml:space="preserve">   SISTEMA DE DESAGUE Y VENTILACION</t>
  </si>
  <si>
    <t xml:space="preserve">      SALIDA DE DESAGUE </t>
  </si>
  <si>
    <t xml:space="preserve">         SALIDA DE DESAGUE Ø 2"</t>
  </si>
  <si>
    <t xml:space="preserve">         SALIDA DE DESAGUE Ø 3"</t>
  </si>
  <si>
    <t xml:space="preserve">         SALIDA DE DESAGUE Ø 4"</t>
  </si>
  <si>
    <t xml:space="preserve">         SALIDA DE VENTILACIÓN Ø 2"</t>
  </si>
  <si>
    <t xml:space="preserve">      REDES DE DERIVACIÓN</t>
  </si>
  <si>
    <t xml:space="preserve">         TUBERIA PVC SAL Ø 2"</t>
  </si>
  <si>
    <t xml:space="preserve">         TUBERIA PVC SAL Ø 3"</t>
  </si>
  <si>
    <t xml:space="preserve">         TUBERIA PVC SAL Ø 4"</t>
  </si>
  <si>
    <t xml:space="preserve">         TUBERIA DE VENTILACIÓN PVC SAL Ø 2"</t>
  </si>
  <si>
    <t xml:space="preserve">         MONTANTE PVC SAL Ø 2"</t>
  </si>
  <si>
    <t xml:space="preserve">         MONTANTE PVC SAL Ø 4"</t>
  </si>
  <si>
    <t xml:space="preserve">      REDES COLECTORAS</t>
  </si>
  <si>
    <t xml:space="preserve">         TUBERÍA PVC UF Ø DE 6"</t>
  </si>
  <si>
    <t xml:space="preserve">         RED DE EMPLAME TUBERÍA PVC UF Ø DE 6" EXTERIORES CON REPOSIION DE VEREDAS</t>
  </si>
  <si>
    <t xml:space="preserve">      ACCESORIOS DE REDES DE DESAGUE</t>
  </si>
  <si>
    <t xml:space="preserve">         CODO DE PVC SAL Ø 2" x 45°</t>
  </si>
  <si>
    <t xml:space="preserve">         CODO DE PVC SAL Ø 3" x 45°</t>
  </si>
  <si>
    <t xml:space="preserve">         CODO DE PVC SAL Ø 4" x 45°</t>
  </si>
  <si>
    <t xml:space="preserve">         YEE DE PVC Ø 2"</t>
  </si>
  <si>
    <t xml:space="preserve">         YEE DOBLE DE PVC Ø 2"</t>
  </si>
  <si>
    <t xml:space="preserve">         YEE DE PVC Ø 3"</t>
  </si>
  <si>
    <t xml:space="preserve">         YEE DE PVC Ø 4"</t>
  </si>
  <si>
    <t xml:space="preserve">         YEE CON REDUCCIÓN DE PVC Ø 3" A 2"</t>
  </si>
  <si>
    <t xml:space="preserve">         YEE CON REDUCCIÓN DE PVC Ø 4" A 2"</t>
  </si>
  <si>
    <t xml:space="preserve">         YEE CON REDUCCIÓN DE PVC Ø 4" A 3"</t>
  </si>
  <si>
    <t xml:space="preserve">         REDUCCIÓN DE PVC Ø 3" A 2"</t>
  </si>
  <si>
    <t xml:space="preserve">         REDUCCIÓN DE PVC Ø 4" A 2"</t>
  </si>
  <si>
    <t xml:space="preserve">         SUMIDEROS Ø 2"</t>
  </si>
  <si>
    <t xml:space="preserve">         SUMIDEROS Ø 3"</t>
  </si>
  <si>
    <t xml:space="preserve">         REGISTRO ROSCADO Ø 4"</t>
  </si>
  <si>
    <t xml:space="preserve">         SOMBRERO DE VENTILACIÓN DE  Ø 2" </t>
  </si>
  <si>
    <t xml:space="preserve">         SOMBRERO DE VENTILACIÓN DE  Ø 4"</t>
  </si>
  <si>
    <t xml:space="preserve">      CAMARAS DE INSPECCIÓN</t>
  </si>
  <si>
    <t xml:space="preserve">         CAJA DE REGISTRO DE 12" X 24"</t>
  </si>
  <si>
    <t xml:space="preserve">         BUZONETAS DE D=0.60M E=0.15M H=VARIABLE</t>
  </si>
  <si>
    <t xml:space="preserve">         BUZON  TIPO I DE D=1.20M E=0.15M H=1.20 </t>
  </si>
  <si>
    <t xml:space="preserve">         BUZON  TIPO II DE D=1.20M E=0.15M H&gt;3.00M</t>
  </si>
  <si>
    <t xml:space="preserve">      INSTALACIONES ESPECIALES</t>
  </si>
  <si>
    <t xml:space="preserve">         TRAMPA DE GRASAS 0.30X0.60m H=0.6M</t>
  </si>
  <si>
    <t xml:space="preserve">      VARIOS</t>
  </si>
  <si>
    <t xml:space="preserve">         PRUEBA HIDRAULICA TUBERIA DE AGUA FRIA</t>
  </si>
  <si>
    <t xml:space="preserve">         PRUEBA HIDRAULICA TUBERIA DE DESAGUE</t>
  </si>
  <si>
    <t xml:space="preserve">      EXCAVACION MANUAL EN TERRENO NORMAL PARA INSTALACIONES ELECTRICAS</t>
  </si>
  <si>
    <t xml:space="preserve">      RELLENO Y COMPACTADO CON MATERIAL PROPIO SELECCIONADO PARA BASE 0.05 cm</t>
  </si>
  <si>
    <t xml:space="preserve">      RELLENO Y COMPACTADO CON LECHO DE ARENA PARA SUB BASE 0.10cm</t>
  </si>
  <si>
    <t xml:space="preserve">      RELLENO Y COMPACTADO CON MATERIAL PROPIO SELECCIONADO</t>
  </si>
  <si>
    <t xml:space="preserve">      ELIMINACIÓN DE MATERIAL EXCEDENTE</t>
  </si>
  <si>
    <t xml:space="preserve">      BUZON ELECTRICO ( SEGÚN DISEÑO)</t>
  </si>
  <si>
    <t xml:space="preserve">      EMPALME SUBTERRANEO EN BUZON ELECTRICO EN CABLE THW DE CALIBRE AWG DE 4mm</t>
  </si>
  <si>
    <t xml:space="preserve">   INSTALACION DE POZO A TIERRA</t>
  </si>
  <si>
    <t xml:space="preserve">      POZO A TIERRA</t>
  </si>
  <si>
    <t xml:space="preserve">      CAJA DE REGISTRO PARA POZO A TIERRA CON TAPA DE C°( SEGÚN DISEÑO)</t>
  </si>
  <si>
    <t xml:space="preserve">   ALIMENTADORES</t>
  </si>
  <si>
    <t xml:space="preserve">      TABLEROS : GENERAL Y DISTRIBUCION</t>
  </si>
  <si>
    <t xml:space="preserve">         TABLERO GENERAL TG</t>
  </si>
  <si>
    <t xml:space="preserve">         TABLERO GENERAL TG-01</t>
  </si>
  <si>
    <t xml:space="preserve">         TABLERO GENERAL TG-02</t>
  </si>
  <si>
    <t xml:space="preserve">         TABLERO GENERAL TG-03</t>
  </si>
  <si>
    <t xml:space="preserve">         TABLERO DE DISTRIBUCION TD1</t>
  </si>
  <si>
    <t xml:space="preserve">         TABLERO DE DISTRIBUCION TD2</t>
  </si>
  <si>
    <t xml:space="preserve">         TABLERO DE DISTRIBUCION TD3</t>
  </si>
  <si>
    <t xml:space="preserve">         TABLERO DE DISTRIBUCION TD4</t>
  </si>
  <si>
    <t xml:space="preserve">         TABLERO DE DISTRIBUCION TD5</t>
  </si>
  <si>
    <t xml:space="preserve">         TABLERO DE DISTRIBUCION TD6</t>
  </si>
  <si>
    <t xml:space="preserve">         TABLERO DE DISTRIBUCION TD7</t>
  </si>
  <si>
    <t xml:space="preserve">         TABLERO DE DISTRIBUCION TD8</t>
  </si>
  <si>
    <t xml:space="preserve">         TABLERO DE DISTRIBUCION TD9</t>
  </si>
  <si>
    <t xml:space="preserve">         TABLERO DE DISTRIBUCION TD10</t>
  </si>
  <si>
    <t xml:space="preserve">         TABLERO DE DISTRIBUCION TD11</t>
  </si>
  <si>
    <t xml:space="preserve">         TABLERO DE DISTRIBUCION TD12</t>
  </si>
  <si>
    <t xml:space="preserve">         TABLERO DE DISTRIBUCION TD13</t>
  </si>
  <si>
    <t xml:space="preserve">         TABLERO DE DISTRIBUCION TD14</t>
  </si>
  <si>
    <t xml:space="preserve">         TABLERO DE DISTRIBUCION TD15</t>
  </si>
  <si>
    <t xml:space="preserve">         TABLERO DE DISTRIBUCION TD16</t>
  </si>
  <si>
    <t xml:space="preserve">         TABLERO DE DISTRIBUCION TD17</t>
  </si>
  <si>
    <t xml:space="preserve">         TABLERO DE DISTRIBUCION TD18</t>
  </si>
  <si>
    <t xml:space="preserve">         TABLERO DE DISTRIBUCION TD19</t>
  </si>
  <si>
    <t xml:space="preserve">         TABLERO DE DISTRIBUCION TD20</t>
  </si>
  <si>
    <t xml:space="preserve">         TABLERO DE DISTRIBUCION TCB-01</t>
  </si>
  <si>
    <t xml:space="preserve">         TABLERO DE DISTRIBUCION TCB-02</t>
  </si>
  <si>
    <t xml:space="preserve">      INTERRUPTORES TERMOMAGNETICOS</t>
  </si>
  <si>
    <t xml:space="preserve">         INTERRUPTOR TERMOMAGNETICO DE 3x600 A, 220V</t>
  </si>
  <si>
    <t xml:space="preserve">         INTERRUPTOR TERMOMAGNETICO DE 3x150 A, 220V</t>
  </si>
  <si>
    <t xml:space="preserve">         INTERRUPTOR TERMOMAGNETICO DE 3x120 A, 220V</t>
  </si>
  <si>
    <t xml:space="preserve">         INTERRUPTOR TERMOMAGNETICO DE 3x100 A, 220V</t>
  </si>
  <si>
    <t xml:space="preserve">         INTERRUPTOR TERMOMAGNETICO DE 3x80 A, 220V</t>
  </si>
  <si>
    <t xml:space="preserve">         INTERRUPTOR TERMOMAGNETICO DE 3x60 A, 220V</t>
  </si>
  <si>
    <t xml:space="preserve">         INTERRUPTOR TERMOMAGNETICO DE 3x50 A, 220V</t>
  </si>
  <si>
    <t xml:space="preserve">         INTERRUPTOR TERMOMAGNETICO DE 3x40 A, 220V</t>
  </si>
  <si>
    <t xml:space="preserve">         INTERRUPTOR TERMOMAGNETICO DE 3x30 A, 220V</t>
  </si>
  <si>
    <t xml:space="preserve">         INTERRUPTOR TERMOMAGNETICO DE 2x40 A, 220V</t>
  </si>
  <si>
    <t xml:space="preserve">         INTERRUPTOR TERMOMAGNETICO DE 2x30 A, 220V</t>
  </si>
  <si>
    <t xml:space="preserve">         INTERRUPTOR TERMOMAGNETICO DE 2x20 A, 220V</t>
  </si>
  <si>
    <t xml:space="preserve">         INTERRUPTOR TERMOMAGNETICO DE 2x15 A, 220V</t>
  </si>
  <si>
    <t xml:space="preserve">         INTERRUPTOR TERMOMAGNETICO DIFERENCIAL DE 3x50 A, 220V</t>
  </si>
  <si>
    <t xml:space="preserve">         INTERRUPTOR TERMOMAGNETICO DIFERENCIAL DE 3x25 A, 220V</t>
  </si>
  <si>
    <t xml:space="preserve">         INTERRUPTOR TERMOMAGNETICO DIFERENCIAL DE 2x40 A, 220V</t>
  </si>
  <si>
    <t xml:space="preserve">         INTERRUPTOR TERMOMAGNETICO DIFERENCIAL DE 2x25 A, 220V</t>
  </si>
  <si>
    <t xml:space="preserve">         INTERRUPTOR TERMOMAGNETICO DIFERENCIAL DE 2x20 A, 220V</t>
  </si>
  <si>
    <t xml:space="preserve">      DUCTOS Y TUBERIAS</t>
  </si>
  <si>
    <t xml:space="preserve">         TUBERIA PVC SAP-P Ø 25mm</t>
  </si>
  <si>
    <t xml:space="preserve">         CURVAS PVC SAP-P Ø 25mm</t>
  </si>
  <si>
    <t xml:space="preserve">         UNIONES PVC SAP-P Ø 25mm</t>
  </si>
  <si>
    <t xml:space="preserve">      CONDUCTORES Y CABLES</t>
  </si>
  <si>
    <t xml:space="preserve">         TENDIDO DE CABLE N2XOH DE  6mm² </t>
  </si>
  <si>
    <t xml:space="preserve">         TENDIDO DE CABLE N2XOH DE  4mm²</t>
  </si>
  <si>
    <t xml:space="preserve">         TENDIDO DE CABLE N2XOH DE  2.5mm²</t>
  </si>
  <si>
    <t xml:space="preserve">   ALUMBRADO </t>
  </si>
  <si>
    <t xml:space="preserve">         TUBERIA CONDUIT METALICA EMT Ø 19 mm </t>
  </si>
  <si>
    <t xml:space="preserve">         TUBERIA PVC SAP-P Ø 19mm</t>
  </si>
  <si>
    <t xml:space="preserve">         CURVAS PVC SAP-P Ø 19mm</t>
  </si>
  <si>
    <t xml:space="preserve">         UNIONES PVC SAP-P Ø 19mm</t>
  </si>
  <si>
    <t xml:space="preserve">         TENDIDO DE CABLE LSOHX-90 DE  4mm² </t>
  </si>
  <si>
    <t xml:space="preserve">         TENDIDO DE CABLE LSOHX-90 DE  2.5mm² </t>
  </si>
  <si>
    <t xml:space="preserve">      SALIDA PARA CENTROS DE LUZ</t>
  </si>
  <si>
    <t xml:space="preserve">         SALIDA PARA CENTRO DE LUZ</t>
  </si>
  <si>
    <t xml:space="preserve">         CAJA RECTANGULAR DE F°G° DE 100X55X40mm</t>
  </si>
  <si>
    <t xml:space="preserve">      ARTEFACTOS DE ILUMINACION</t>
  </si>
  <si>
    <t xml:space="preserve">            LUMINARIA PARA EMPOTRAR CON 2 FLUORESCENTES LINEAL DE 35W, CON PANTALLA PLANA TIPO TBS 760 O SIMILAR</t>
  </si>
  <si>
    <t xml:space="preserve">            LUMINARIA PARA EMPOTRAR CON 3 FLUORESCENTES LINEAL DE 35W, CON PANTALLA PLANA TIPO TBS 770 O SIMILAR</t>
  </si>
  <si>
    <t xml:space="preserve">            LUMINARIA DOWNLIGHTS LED PARA EMPOTRAR EN TECHO DE 28W, TIPO DN135C D O SIMILAR</t>
  </si>
  <si>
    <t xml:space="preserve">            LUMINARIA CIRCULAR PARA ADOSAR LED AL TECHO DE 14W</t>
  </si>
  <si>
    <t xml:space="preserve">            LUMINARIA DOWNLIGHTS LED PARA EMPOTRAR EN TECHO DE 13W, TIPO DN460 C O SIMILAR</t>
  </si>
  <si>
    <t xml:space="preserve">            LUMINARIA DOWNLIGHTS LED PARA EMPOTRAR EN TECHO DE 22W, TIPO DN130B D127 O SIMILAR</t>
  </si>
  <si>
    <t xml:space="preserve">         PARA PARED</t>
  </si>
  <si>
    <t xml:space="preserve">            LUMINARIA ADOSABLE EN PARED DE 20W, TIPO FRAGANCE O SIMILAR</t>
  </si>
  <si>
    <t xml:space="preserve">            LUMINARIA LED ADOSADO EN PARED DE 45W, TIPO EXTERIOR</t>
  </si>
  <si>
    <t xml:space="preserve">         PARA PISO</t>
  </si>
  <si>
    <t xml:space="preserve">            LUMINARIA PARA EMPOTRAR EN PISO DE 51W, TIPO BBP 623 A O SIMILAR</t>
  </si>
  <si>
    <t xml:space="preserve">         PARA POSTE METALICO</t>
  </si>
  <si>
    <t xml:space="preserve">            LUMINARIA TIPO FAROLA EN POSTE METALICO  TIPO EXTERIOR IP CON LAMPARA DE 70 W</t>
  </si>
  <si>
    <t xml:space="preserve">            REFLECTOR ADOSABLE DE ALOGENUROS METALICOS DE 400W</t>
  </si>
  <si>
    <t xml:space="preserve">      INTERRUPTORES</t>
  </si>
  <si>
    <t xml:space="preserve">         SALIDA PARA INTERRUPTOR SIMPLE, INCLUYE INSTALACION DE INTERRUPTOR</t>
  </si>
  <si>
    <t xml:space="preserve">         SALIDA PARA INTERRUPTOR DOBLE, INCLUYE INSTALACION DE INTERRUPTOR</t>
  </si>
  <si>
    <t xml:space="preserve">         SALIDA PARA INTERRUPTOR TRIPLE, INCLUYE INSTALACION DE INTERRUPTOR</t>
  </si>
  <si>
    <t xml:space="preserve">      CAJAS METALICAS CON TAPA</t>
  </si>
  <si>
    <t xml:space="preserve">         INSTALACION DE CAJA DE PASO TIPO 1 DE 100x100x75 mm</t>
  </si>
  <si>
    <t xml:space="preserve">         INSTALACION DE CAJA DE PASO TIPO 1 DE F°G° 150x150x80 mm</t>
  </si>
  <si>
    <t xml:space="preserve">      SUMINISTRO E INSTALACION DE POSTES</t>
  </si>
  <si>
    <t xml:space="preserve">         POSTE METALICO F°G° TUBULAR DE 6m DE 102 mm de Ø</t>
  </si>
  <si>
    <t xml:space="preserve">         APERTURA DE HOYO, IZAJE Y CIMENTACION DE POSTE DE F°G°  6.00mts</t>
  </si>
  <si>
    <t xml:space="preserve">      SALIDA PARA REFLECTORES</t>
  </si>
  <si>
    <t xml:space="preserve">         SALIDA PARA CENTRO DE FAROLA EN POSTE</t>
  </si>
  <si>
    <t xml:space="preserve">         SALIDA PARA CENTRO DE LUMINARIAS EN PISO</t>
  </si>
  <si>
    <t xml:space="preserve">   TOMACORRIENTES Y ARTEFACTOS DE EMERGENCIA</t>
  </si>
  <si>
    <t xml:space="preserve">      SALIDA PARA TOMACORRIENTE</t>
  </si>
  <si>
    <t xml:space="preserve">            ARTEFACTO AUTONOMO DE ALUMBRADO DE EMERGENCIA, CON DOS LAMPARAS ALOGENAS DE 55W</t>
  </si>
  <si>
    <t xml:space="preserve">         SALIDA PARA TOMACORRIENTE DOBLE CON PUESTA A TIERRA</t>
  </si>
  <si>
    <t xml:space="preserve">   SISTEMA DE MEDIA TENSION</t>
  </si>
  <si>
    <t xml:space="preserve">      SISTEMA DE UTILIZACIÓN EXCLUSIVA EN MT 13.2 KV</t>
  </si>
  <si>
    <t xml:space="preserve">   ACOMETIDAS Y BACKBONES</t>
  </si>
  <si>
    <t xml:space="preserve">      CONDUCTOS, TUBERÍAS Y/O CANALETAS</t>
  </si>
  <si>
    <t xml:space="preserve">         SISTEMA DE CONDUCTOS</t>
  </si>
  <si>
    <t xml:space="preserve">            MOVIMIENTO DE TIERRAS</t>
  </si>
  <si>
    <t xml:space="preserve">               EXCAVACIÓN MANUAL EN TERRENO NORMAL PARA DUCTOS SUBTERRÁNEOS (0.6m x 0.6m x L)</t>
  </si>
  <si>
    <t xml:space="preserve">               EXCAVACIÓN MANUAL EN TERRENO NORMAL PARA BUZONES (0.8m x 1m x 0.8m x Nro de Buzones)</t>
  </si>
  <si>
    <t xml:space="preserve">               RELLENO Y COMPACTADO CON ARENA FINA (0.6m x 0.05m x L)</t>
  </si>
  <si>
    <t xml:space="preserve">               RELLENO Y COMPACTADO CON MATERIAL PROPIO CERNIDO (0.60m x 0.25m x L)</t>
  </si>
  <si>
    <t xml:space="preserve">               RELLENO Y COMPACTADO CON MATERIAL PROPIO SIN TRATAR (0.60m x 0.30m x L)</t>
  </si>
  <si>
    <t xml:space="preserve">               RELLENO Y COMPACTADO DE BASE DE BUZONES CON GRAVA (0.80m x 0.20m x 0.80m x Nro Buzones)</t>
  </si>
  <si>
    <t xml:space="preserve">               ELIMINACIÓN DE MATERIAL EXCEDENTE</t>
  </si>
  <si>
    <t xml:space="preserve">            CONCRETO SIMPLE</t>
  </si>
  <si>
    <t xml:space="preserve">               BUZÓN DE REGISTRO COMUNICACIONES (0.80m x 0.80m x 0.80m, según detalle)</t>
  </si>
  <si>
    <t xml:space="preserve">            SEÑALIZACION EN BUZONES</t>
  </si>
  <si>
    <t xml:space="preserve">               CINTA DE SEÑALIZACIÓN RIESGO ELÉCTRICO ENTERRADA (Según detalle)</t>
  </si>
  <si>
    <t xml:space="preserve">         SISTEMA DE TUBERIAS</t>
  </si>
  <si>
    <t xml:space="preserve">            TUBERIA PVC SAP-P Ø 20mm</t>
  </si>
  <si>
    <t xml:space="preserve">            TUBERIA PVC SAP-P Ø 25mm</t>
  </si>
  <si>
    <t xml:space="preserve">            TUBERIA PVC SAP-P Ø 35mm</t>
  </si>
  <si>
    <t xml:space="preserve">      CONDUCTORES DE COMUNICACIONES</t>
  </si>
  <si>
    <t xml:space="preserve">         TENDIDO DE CABLE TELEFÓNICO SUBTERRÁNEO 10P/22AWG</t>
  </si>
  <si>
    <t xml:space="preserve">         TENDIDO DE CABLE ÓPTICO MULTIMODO 6 FIBRAS</t>
  </si>
  <si>
    <t xml:space="preserve">         TENDIDO DE CABLE ÓPTICO MULTIMODO 36 FIBRAS</t>
  </si>
  <si>
    <t xml:space="preserve">         TENDIDO DE CABLE FPL ANTIFLAMA 2X16AWG LSZH</t>
  </si>
  <si>
    <t xml:space="preserve">         TENDIDO DE CABLE THW CALIBRE AWG DE 2.5mm² </t>
  </si>
  <si>
    <t xml:space="preserve">      PATCH PANEL</t>
  </si>
  <si>
    <t xml:space="preserve">         PATCH PANEL 48 PUERTOS CAT6</t>
  </si>
  <si>
    <t xml:space="preserve">      RACK DE COMUNICACIONES</t>
  </si>
  <si>
    <t xml:space="preserve">         GABINETE DE PISO PARA COMUNICACIONES 38UR</t>
  </si>
  <si>
    <t xml:space="preserve">         GABINETE DE PISO PARA COMUNICACIONES 42UR</t>
  </si>
  <si>
    <t xml:space="preserve">      CAJAS DE PASE</t>
  </si>
  <si>
    <t xml:space="preserve">         CAJA DE PASO PVC IP65 150mm x 150mm x 70mm</t>
  </si>
  <si>
    <t xml:space="preserve">         CAJA DE REGISTRO DE ACOMETIDA PVC IP65 250mm x 200mm x 100mm</t>
  </si>
  <si>
    <t xml:space="preserve">      EQUIPOS Y ACCESORIOS</t>
  </si>
  <si>
    <t xml:space="preserve">         ODF DE 12 PUERTOS SFC</t>
  </si>
  <si>
    <t xml:space="preserve">         SWITCH DE 24 PUERTOS RJ45 10/100/1000Mbps</t>
  </si>
  <si>
    <t xml:space="preserve">         ORDENADOR DE CABLES 2UR</t>
  </si>
  <si>
    <t xml:space="preserve">         UPS RACKEABLE 19" 1500VA</t>
  </si>
  <si>
    <t xml:space="preserve">         GRABADORA DE VIDEO DE RED (NVR) - 32 CANALES</t>
  </si>
  <si>
    <t xml:space="preserve">         CENTRAL TELEFÓNICA IP HÍBRIDA</t>
  </si>
  <si>
    <t xml:space="preserve">         CONTROLADOR DE TIMBRES PROGRAMABLE</t>
  </si>
  <si>
    <t xml:space="preserve">         CENTRAL DE DETECCIÓN Y ALARMA CONTRAINCENDIO</t>
  </si>
  <si>
    <t xml:space="preserve">   RED DE VOZ, VIDEO Y DATOS</t>
  </si>
  <si>
    <t xml:space="preserve">         TUBERIA PVC SAP-P Ø 20mm</t>
  </si>
  <si>
    <t xml:space="preserve">         TUBERIA PVC SAP-P Ø 35mm</t>
  </si>
  <si>
    <t xml:space="preserve">      SALIDA DE COMUNICACIONES</t>
  </si>
  <si>
    <t xml:space="preserve">         SALIDA DE PUNTOS DE RED DE DATOS CAT 6</t>
  </si>
  <si>
    <t xml:space="preserve">         TENDIDO DE CABLE FTP CAT 6</t>
  </si>
  <si>
    <t xml:space="preserve">         RACK DE COMUNICACIONES 12UR ADOSABLE A PARED</t>
  </si>
  <si>
    <t xml:space="preserve">         ACCESS POINT WI-FI 4 ANTENAS OMNIDIRECCIONALES</t>
  </si>
  <si>
    <t xml:space="preserve">         CÁMARAS IP DOMO PoE IP67 IK10</t>
  </si>
  <si>
    <t xml:space="preserve">         CÁMARA IP BULLET PoE IP67 IK10</t>
  </si>
  <si>
    <t xml:space="preserve">         TELÉFONO IP DE ESCRITORIO</t>
  </si>
  <si>
    <t xml:space="preserve">         TELÉFONO IP ADOSABLE A PARED</t>
  </si>
  <si>
    <t xml:space="preserve">         PORTERO INTERCOMUNICADOR IP</t>
  </si>
  <si>
    <t xml:space="preserve">         CHAPA ELÉCTRICA IP</t>
  </si>
  <si>
    <t xml:space="preserve">         PATCH CORD S/FTP CAT6A X 1m</t>
  </si>
  <si>
    <t xml:space="preserve">         PATCH CORD S/FTP CAT6A X 3m</t>
  </si>
  <si>
    <t xml:space="preserve">   SISTEMA DE DETECCIÓN DE HUMO</t>
  </si>
  <si>
    <t xml:space="preserve">         SALIDA DE DETECTOR DE HUMO FOTOELECTRICO</t>
  </si>
  <si>
    <t xml:space="preserve">         SALIDA PARA SIRENA ESTROBOSCÓPICA</t>
  </si>
  <si>
    <t xml:space="preserve">         SALIDA PARA ESTACIÓN MANUAL</t>
  </si>
  <si>
    <t xml:space="preserve">         DETECTOR DE HUMO FOTOELECTRICO </t>
  </si>
  <si>
    <t xml:space="preserve">         SIRENA ESTROBOSCÓPICA</t>
  </si>
  <si>
    <t xml:space="preserve">         ESTACIÓN MANUAL</t>
  </si>
  <si>
    <t xml:space="preserve">   SISTEMA DE TIMBRES PROGRAMABLES</t>
  </si>
  <si>
    <t xml:space="preserve">      SISTEMA DE TUBERIAS</t>
  </si>
  <si>
    <t xml:space="preserve">         TIMBRE ELÉCTRICO</t>
  </si>
  <si>
    <t xml:space="preserve">   INSTALACIONES MULTIMEDIA</t>
  </si>
  <si>
    <t xml:space="preserve">         SALIDA MIXTA (HDMI, VGA, A/V ANALOG, ETHERNET)</t>
  </si>
  <si>
    <t xml:space="preserve">         TENDIDO DE CABLE HDMI</t>
  </si>
  <si>
    <t xml:space="preserve">         TENDIDO DE CABLE VGA</t>
  </si>
  <si>
    <t xml:space="preserve">         TENDIDO DE CABLE A/V ANALÓGICO</t>
  </si>
  <si>
    <t>TOTAL PRESUPUESTO DE INFRAESTRUCTURA</t>
  </si>
  <si>
    <t>“MEJORAMIENTO DEL SERVICIO EDUCATIVO EN LA IEP N° 54002 SANTA ROSA E IES SANTA ROSA DEL DISTRITO DE ABANCAY, PROVINCIA DE ABANCAY - REGIÓN APURÍMAC".</t>
  </si>
  <si>
    <t>N° de semanas del mes</t>
  </si>
  <si>
    <t>:17/07/2019</t>
  </si>
  <si>
    <t>: ING. GUIDO ELGUERA CURI</t>
  </si>
  <si>
    <t>: 420 dias calendarios</t>
  </si>
  <si>
    <t>N° 039</t>
  </si>
  <si>
    <t>N° 100</t>
  </si>
  <si>
    <t>CUADERNO 1</t>
  </si>
  <si>
    <t>CUADERNO 2</t>
  </si>
  <si>
    <t>N° 002</t>
  </si>
  <si>
    <t xml:space="preserve">    PARA TECHO</t>
  </si>
  <si>
    <t>SUB GERENCIA DE OBRAS</t>
  </si>
  <si>
    <t>GERENCIA DE INFRAESTRUCTURA</t>
  </si>
  <si>
    <t xml:space="preserve"> DATOS GENERALES</t>
  </si>
  <si>
    <t>ANTECEDENTES.</t>
  </si>
  <si>
    <t xml:space="preserve">El perfil se diseñó considerando las “NORMAS TÉCNICAS PARA EL DISEÑO DE LOCALES DE EDUCACIÓN BÁSICA REGULAR: PRIMARIA – SECUNDARIA” del año 2009, por un monto de S/ 15´907,678.00 
Mediante RESOLUCIÓN MINISTERIAL N° 389-2015-MINEDU del 11/08/2015, se considera a la Institución Educativa Integrada Santa Rosa dentro del Modelo de Jornada Escolar Completa.
El 02 de febrero del 2017, en respuesta al Oficio N° 642-2016-GR APURIMAC/GR, se remite las observaciones por parte del analista del sector educación de la DGIP, donde observa el proyecto en los puntos referidos a:  
• Diagnóstico de la infraestructura. 
• Ubicación del PIP
• Adquisición del terreno
• Ambientes de uso exclusivo y compartido entre los niveles de primaria y secundaria.
• Para el diseño arquitectónico considerar la nueva norma GDE 002 – 2015.
Finalmente, con INFORME N°010-2017. GR. APURIMAC-GG/ORPI/ACB/JJBB de fecha 21 de marzo del 2017 se hace el levantamiento de estas observaciones. El mismo que se toma en cuenta para la reformulación del expediente técnico teniendo en cuenta la nueva norma de GDE 002-2015 vigente para Instituciones educativas con la implementación del Modelo de Jornada Escolar completa 
</t>
  </si>
  <si>
    <t>OBJETIVO GENERAL DEL PROYECTO.</t>
  </si>
  <si>
    <t>Adecuar las  condiciones de gestión pedagógica en la IEP N°54002 Santa Rosa e IES Santa Rosa</t>
  </si>
  <si>
    <t>OBJETIVOS ESPECIFICOS.</t>
  </si>
  <si>
    <t xml:space="preserve"> Lograr la adecuada prestación de servicio educativo en la institución educativa y Mejorar el logro de Aprendizaje que responde a los requerimientos tanto del alumnado, docentes y padres de familia que hará uso de la infraestructura en el periodo de vida útil del proyecto; el que llevará a lograr una educación básica de calidad</t>
  </si>
  <si>
    <t>METAS POR COMPONENTE SEGÚN EXPEDIENTE TÉCNICO</t>
  </si>
  <si>
    <t xml:space="preserve">La propuesta formal de conjunto arquitectónico de la  IEP N° 54002 Santa Rosa e IES Santa Rosa del Distrito de Abancay, se ha desarrollado con una propuesta de zonificación por bloques.
Condicionado por la demanda poblacional de alumnado público usuario, la ubicación y forma del terreno han sido los factores para determinar la propuesta. El conjunto arquitectónico se ha seccionando en 10 Bloques entre primaria y Secundaria,03 Canchas deportivas Multiuso,02 Ingresos diferenciados entre primaria y Secundaria,02 cisternas para primaria y secundaria con caseta de bombeo, rampas de concreto armado, cerco perimétrico.
</t>
  </si>
  <si>
    <t>CUADRO DE RESUMEN DE METRA</t>
  </si>
  <si>
    <t>Nro.</t>
  </si>
  <si>
    <t>Descripción</t>
  </si>
  <si>
    <t>Unidad</t>
  </si>
  <si>
    <t>ZONA PRIMARIA</t>
  </si>
  <si>
    <t>ZONA SECUNDARIA</t>
  </si>
  <si>
    <t>ZONA INTEMEDIA (AUDITORIO)</t>
  </si>
  <si>
    <t>OBRAS COMPLEMENTARIAS</t>
  </si>
  <si>
    <t>RAMPAS</t>
  </si>
  <si>
    <t>ESCALERAS</t>
  </si>
  <si>
    <t>AREAS MULTIDEPORTIVAS</t>
  </si>
  <si>
    <t xml:space="preserve">      ELABORACIÓN, IMPLEMENTACIÓN Y ADMINISTRACIÓN DEL PLAN DE SEGURIDAD Y SALUD EN EL TRABAJO
</t>
  </si>
  <si>
    <t>CUADERNO 3</t>
  </si>
  <si>
    <t>N° 005</t>
  </si>
  <si>
    <t>N° 02</t>
  </si>
  <si>
    <t>N° 004</t>
  </si>
  <si>
    <t>N° 001</t>
  </si>
  <si>
    <t>N° 075</t>
  </si>
  <si>
    <t>N° 038</t>
  </si>
  <si>
    <t>CUADERNO 4</t>
  </si>
  <si>
    <t>N° 063</t>
  </si>
  <si>
    <t>N° 062</t>
  </si>
  <si>
    <t>CUADERNO 5</t>
  </si>
  <si>
    <t>CUADERNO 6</t>
  </si>
  <si>
    <t>N° 041</t>
  </si>
  <si>
    <t>CUADERNO 7</t>
  </si>
  <si>
    <t>.</t>
  </si>
  <si>
    <t>PARA EL RESUMEN DE LA VALO</t>
  </si>
  <si>
    <t>OBRAS PROVICIONALES</t>
  </si>
  <si>
    <t>ESTRUCTURA</t>
  </si>
  <si>
    <t>INS. SANITARIAS</t>
  </si>
  <si>
    <t>INS. ELECTRICAS</t>
  </si>
  <si>
    <t>INS. ESPECIALES</t>
  </si>
  <si>
    <t>x</t>
  </si>
  <si>
    <t>POR FECHAS</t>
  </si>
  <si>
    <t>5-18</t>
  </si>
  <si>
    <t>Recursos Determinados</t>
  </si>
  <si>
    <t>CUADRO RESPECTO AL PIM (ASIGNADO 2020)</t>
  </si>
  <si>
    <t xml:space="preserve">SEGURO COMPLEMENTARIO DDE TRABAJO DE RIESGO  - PENSION </t>
  </si>
  <si>
    <t>07.01</t>
  </si>
  <si>
    <t>08</t>
  </si>
  <si>
    <t xml:space="preserve">EXAMENES MEDICOS PRE OCUPACIONALES </t>
  </si>
  <si>
    <t>08.01</t>
  </si>
  <si>
    <t xml:space="preserve">      EXAMENES MEDICOS PRE OCUPACIONALES</t>
  </si>
  <si>
    <t>ING. ROLANDO CHUMBES TUERO</t>
  </si>
  <si>
    <t>CUADERNO 8</t>
  </si>
  <si>
    <t>RECURSOS DETERMINADOS</t>
  </si>
  <si>
    <t xml:space="preserve">SCTR  PENSIÓN Y EXÁMENES MÉDICOS PRE OCUPACIONALES </t>
  </si>
  <si>
    <t>item</t>
  </si>
  <si>
    <t xml:space="preserve">      SEGURO COMPLEMENTARIO DE TRABAJO DE RIESGO SCTR - PENSIÓN</t>
  </si>
  <si>
    <t>CUADERNO 9</t>
  </si>
  <si>
    <t>N° 021</t>
  </si>
  <si>
    <t>:08/09/2020 SEGÚN EXP. TECNICO</t>
  </si>
  <si>
    <t>N° 15</t>
  </si>
  <si>
    <t>325-2020</t>
  </si>
  <si>
    <t xml:space="preserve">MES QUE CORRESPONDE </t>
  </si>
  <si>
    <t>julio -2019</t>
  </si>
  <si>
    <t>agosto -2019</t>
  </si>
  <si>
    <t>N° 076</t>
  </si>
  <si>
    <t>setiembre - 2019</t>
  </si>
  <si>
    <t>N° 056</t>
  </si>
  <si>
    <t>N° 057</t>
  </si>
  <si>
    <t>noviembre - 2019</t>
  </si>
  <si>
    <t>diciembre - 2019</t>
  </si>
  <si>
    <t>N° 065</t>
  </si>
  <si>
    <t>N° 066</t>
  </si>
  <si>
    <t>enero - 2020</t>
  </si>
  <si>
    <t>febrero - 2020</t>
  </si>
  <si>
    <t>N° 49</t>
  </si>
  <si>
    <t>N° 049</t>
  </si>
  <si>
    <t>marzo - 2020</t>
  </si>
  <si>
    <t>N° 020</t>
  </si>
  <si>
    <t>junio - 2020</t>
  </si>
  <si>
    <t>julio - 2020</t>
  </si>
  <si>
    <t>N° 31</t>
  </si>
  <si>
    <t>N° 031</t>
  </si>
  <si>
    <t>agosto - 2020</t>
  </si>
  <si>
    <t>CUADERNO 10</t>
  </si>
  <si>
    <t>N° 015</t>
  </si>
  <si>
    <t>N° 95</t>
  </si>
  <si>
    <t>setiembre - 2020</t>
  </si>
  <si>
    <t xml:space="preserve">RECURSOS ORDINARIOS - RECURSOS DETERMINADOS </t>
  </si>
  <si>
    <t>N° 096</t>
  </si>
  <si>
    <t xml:space="preserve">         VIGUETAS - CONCRETO f'c=210 Kg/cm2</t>
  </si>
  <si>
    <t>A=PART.NUEVAS COVID AMP.PPTAL 2</t>
  </si>
  <si>
    <t>B=PART. NUEVAS AMPL.PPTAL 3</t>
  </si>
  <si>
    <t>octubre -2019</t>
  </si>
  <si>
    <t>noviembre - 2020</t>
  </si>
  <si>
    <t>octubre - 2020</t>
  </si>
  <si>
    <t>CUADERNO 11</t>
  </si>
  <si>
    <t>N° 86</t>
  </si>
  <si>
    <t>N° 087</t>
  </si>
  <si>
    <t>CUADERNO 12</t>
  </si>
  <si>
    <t>N° 67</t>
  </si>
  <si>
    <t>GASTOS GENERALES TOTAL</t>
  </si>
  <si>
    <t xml:space="preserve">COSTO DIRECTO  + G.G. TOTALES </t>
  </si>
  <si>
    <t>Fecha de Termino REAL</t>
  </si>
  <si>
    <t>564-2020</t>
  </si>
  <si>
    <t>C=MAYORES METRADOS, AMP. PPTAL N° 04</t>
  </si>
  <si>
    <t>D=PARTIDAS NUEVAS, AMP. PPTAL N° 04</t>
  </si>
  <si>
    <t>D= PARTIDAS NUEVAS, AMP. PPTAL N° 04</t>
  </si>
  <si>
    <t>CUADERNO 13</t>
  </si>
  <si>
    <t>diciembre - 2020</t>
  </si>
  <si>
    <t>N° 068</t>
  </si>
  <si>
    <t xml:space="preserve">COSTO DIRECTO TOTAL </t>
  </si>
  <si>
    <t>N° 37</t>
  </si>
  <si>
    <t>enero - 2021</t>
  </si>
  <si>
    <t>N° 97</t>
  </si>
  <si>
    <t xml:space="preserve">Monto  Actualizado      </t>
  </si>
  <si>
    <t>Fecha Final Contractual</t>
  </si>
  <si>
    <t xml:space="preserve">fecha final reprogramado </t>
  </si>
  <si>
    <t xml:space="preserve">      ESCALERA</t>
  </si>
  <si>
    <t>Valorizado S/. Actual</t>
  </si>
  <si>
    <t>Metrados</t>
  </si>
  <si>
    <t xml:space="preserve">PRESUPUESTO POR COMPONENTE </t>
  </si>
  <si>
    <t xml:space="preserve">SALDO  RECURSO ORDINARIOS - DETERMINADOS </t>
  </si>
  <si>
    <t>CUADRO RESPECTO AL PRESUPUESTO ASIGNADO AL 2021</t>
  </si>
  <si>
    <t>N° 098</t>
  </si>
  <si>
    <t>febrero - 2021</t>
  </si>
  <si>
    <t>CUADERNO 14</t>
  </si>
  <si>
    <t>N° 018</t>
  </si>
  <si>
    <t xml:space="preserve">DIEGO </t>
  </si>
  <si>
    <t>N° 019</t>
  </si>
  <si>
    <t>marzo - 2021</t>
  </si>
  <si>
    <t>PRESUPUESTO MAYORES METRADOS AMPLIACION PRESUPUESTAL N° 04</t>
  </si>
  <si>
    <t xml:space="preserve">      ELIMINACION DE MATERIAL EXCEDENTE D=18km</t>
  </si>
  <si>
    <t>01.01.06</t>
  </si>
  <si>
    <t xml:space="preserve">   OBRAS DE CONCRETO SIMPLE</t>
  </si>
  <si>
    <t>01.02.01.01</t>
  </si>
  <si>
    <t xml:space="preserve">         SOLADO F'c=80Kg/cm2 E=10CM </t>
  </si>
  <si>
    <t>01.02.02.01</t>
  </si>
  <si>
    <t xml:space="preserve">         CIMIENTO CORRIDO - F'C=140 KG/CM2 + 30 % P.G.</t>
  </si>
  <si>
    <t>01.02.02.02</t>
  </si>
  <si>
    <t xml:space="preserve">         ENCOFRADO Y DESENCOFRADO  DE CIMIENTO CORRIDO</t>
  </si>
  <si>
    <t>01.02.03.01</t>
  </si>
  <si>
    <t>01.02.03.02</t>
  </si>
  <si>
    <t>01.03.01.01</t>
  </si>
  <si>
    <t>01.03.01.02</t>
  </si>
  <si>
    <t>01.03.02.01</t>
  </si>
  <si>
    <t xml:space="preserve">         VIGAS DE CONEXIÓN - CONCRETO f'c=210 Kg/cm2</t>
  </si>
  <si>
    <t>01.03.02.02</t>
  </si>
  <si>
    <t>01.03.02.03</t>
  </si>
  <si>
    <t>01.03.03.01</t>
  </si>
  <si>
    <t xml:space="preserve">         MURO DE CONTENCIÓN - CONCRETO f'c=210 Kg/cm2</t>
  </si>
  <si>
    <t>01.03.03.02</t>
  </si>
  <si>
    <t>01.03.03.03</t>
  </si>
  <si>
    <t>01.03.04.01</t>
  </si>
  <si>
    <t>01.03.04.02</t>
  </si>
  <si>
    <t>01.03.04.03</t>
  </si>
  <si>
    <t>01.03.05</t>
  </si>
  <si>
    <t>01.03.05.01</t>
  </si>
  <si>
    <t xml:space="preserve">         COLUMNAS - CONCRETO f'c=210 Kg/cm2</t>
  </si>
  <si>
    <t>01.03.05.02</t>
  </si>
  <si>
    <t>01.03.05.03</t>
  </si>
  <si>
    <t>01.03.06</t>
  </si>
  <si>
    <t>01.03.06.01</t>
  </si>
  <si>
    <t xml:space="preserve">         VIGAS - CONCRETO f'c=210 Kg/cm2</t>
  </si>
  <si>
    <t>01.03.06.02</t>
  </si>
  <si>
    <t>01.03.06.03</t>
  </si>
  <si>
    <t>01.03.07</t>
  </si>
  <si>
    <t xml:space="preserve">      LOSA ALIGERADA H=17cm</t>
  </si>
  <si>
    <t>01.03.07.01</t>
  </si>
  <si>
    <t>01.03.07.02</t>
  </si>
  <si>
    <t>01.03.07.03</t>
  </si>
  <si>
    <t>01.03.07.04</t>
  </si>
  <si>
    <t>01.03.08</t>
  </si>
  <si>
    <t>01.03.08.01</t>
  </si>
  <si>
    <t>01.03.08.02</t>
  </si>
  <si>
    <t>01.03.08.03</t>
  </si>
  <si>
    <t>01.03.08.04</t>
  </si>
  <si>
    <t>01.03.09</t>
  </si>
  <si>
    <t>01.03.09.01</t>
  </si>
  <si>
    <t xml:space="preserve">         LOSA NERVADA - CONCRETO f'c=210 Kg/cm2</t>
  </si>
  <si>
    <t>01.03.09.02</t>
  </si>
  <si>
    <t>01.03.09.03</t>
  </si>
  <si>
    <t>01.03.09.04</t>
  </si>
  <si>
    <t>01.03.10</t>
  </si>
  <si>
    <t>01.03.10.01</t>
  </si>
  <si>
    <t>01.03.10.02</t>
  </si>
  <si>
    <t>01.03.10.03</t>
  </si>
  <si>
    <t>01.03.10.04</t>
  </si>
  <si>
    <t xml:space="preserve">         LOSA NERVADA - BLOQUE DE POLIPROPILENO EXPANDIDO DE 35X35cm</t>
  </si>
  <si>
    <t>01.03.11</t>
  </si>
  <si>
    <t>01.03.11.01</t>
  </si>
  <si>
    <t>01.03.11.02</t>
  </si>
  <si>
    <t>01.03.11.03</t>
  </si>
  <si>
    <t>01.03.12</t>
  </si>
  <si>
    <t>01.03.12.01</t>
  </si>
  <si>
    <t>01.03.12.02</t>
  </si>
  <si>
    <t>01.03.12.03</t>
  </si>
  <si>
    <t>01.03.13</t>
  </si>
  <si>
    <t>01.03.13.01</t>
  </si>
  <si>
    <t xml:space="preserve">         VIGUETAS - CONCRETO f'c=175 Kg/cm2</t>
  </si>
  <si>
    <t>01.03.13.02</t>
  </si>
  <si>
    <t>01.03.13.03</t>
  </si>
  <si>
    <t>01.03.14</t>
  </si>
  <si>
    <t>01.03.14.01</t>
  </si>
  <si>
    <t xml:space="preserve">      MURO DE LADRILLO KK TIPO IV CABEZA, M:1:1:4, E=1.5cm </t>
  </si>
  <si>
    <t xml:space="preserve">      MURO DE LADRILLO KK TIPO IV SOGA, M:1:1:4, E=1.5cm </t>
  </si>
  <si>
    <t xml:space="preserve">      MURO DE LADRILLO KK TIPO IV CANTO, M:1:1:4, E=1.5cm </t>
  </si>
  <si>
    <t xml:space="preserve">      TARRAJEO EN MUROS INTERIORES MEZCLA 1:4 CEMENTO:ARENA</t>
  </si>
  <si>
    <t xml:space="preserve">      TARRAJEO EN MUROS EXTERIORES MEZCLA 1:4 CEMENTO:ARENA</t>
  </si>
  <si>
    <t xml:space="preserve">      TARRAJEO DE SUPERFICIE COLUMNAS INCL. ARISTAS MEZCLA 1:4 CEMENTO:ARENA</t>
  </si>
  <si>
    <t xml:space="preserve">      TARRAJEO DE SUPERF.VIGAS INCL.ARISTAS, MEZCLA 1:4 CEMENTO:ARENA </t>
  </si>
  <si>
    <t xml:space="preserve">      TARRAJEO DE MUROS DE CONCRETO CON MEZCLA C:AA:4E=1.5cm</t>
  </si>
  <si>
    <t xml:space="preserve">      TARRAJEO EN PARAPETO DE CONCRETO CON MEZCLA C:A 1:4  E=1.5cm</t>
  </si>
  <si>
    <t>02.02.08</t>
  </si>
  <si>
    <t xml:space="preserve">      TARRAJEO EN FONDO DE ESCALERA CON MEZCLA C:A 1:4 E=1.5</t>
  </si>
  <si>
    <t xml:space="preserve">      MESAS DE CONCRETO CON ACABADO CERAMICO 30x30cm EN SS.HH. E=15cm</t>
  </si>
  <si>
    <t>02.02.11</t>
  </si>
  <si>
    <t>02.02.12</t>
  </si>
  <si>
    <t xml:space="preserve">      VESTIDURA DE DERRAMES </t>
  </si>
  <si>
    <t>02.02.13</t>
  </si>
  <si>
    <t xml:space="preserve">      BRUÑA DE 1CM ENTRE MUROS Y ESTRUCTURAS </t>
  </si>
  <si>
    <t xml:space="preserve">      CIELORRASOS CON MEZCLA  C:A 1:4 e=1.5CM</t>
  </si>
  <si>
    <t xml:space="preserve">         CONTRAPISO DE 48 MM.</t>
  </si>
  <si>
    <t xml:space="preserve">         ZOCALO DE PORCELANATO DE 60X60m H=1.20M</t>
  </si>
  <si>
    <t>02.06.04</t>
  </si>
  <si>
    <t xml:space="preserve">      PUERTA BATIENTE CONTRAPLACADA CON PLANCHA DE TRIPLAY DE 4MM S/SOBRE LUZ </t>
  </si>
  <si>
    <t xml:space="preserve">   CARPINTERIA METALICA Y HERRERIA</t>
  </si>
  <si>
    <t xml:space="preserve">      CARPINTERIA DE FIERRO Y OTROS</t>
  </si>
  <si>
    <t>02.07.03</t>
  </si>
  <si>
    <t>02.07.03.01</t>
  </si>
  <si>
    <t>02.07.03.02</t>
  </si>
  <si>
    <t xml:space="preserve">         BARANDA METALICA TIPO - 6(VARANDAS DE ACERO INOX)</t>
  </si>
  <si>
    <t xml:space="preserve">      BISAGRA ALUMINIZADA CAPUCHINA DE 3"x3" (3 POR HOJA)</t>
  </si>
  <si>
    <t>02.08.06</t>
  </si>
  <si>
    <t>02.09</t>
  </si>
  <si>
    <t>02.09.01</t>
  </si>
  <si>
    <t>02.09.02</t>
  </si>
  <si>
    <t>02.10</t>
  </si>
  <si>
    <t>02.10.01</t>
  </si>
  <si>
    <t>02.10.02</t>
  </si>
  <si>
    <t>02.11</t>
  </si>
  <si>
    <t>02.11.01</t>
  </si>
  <si>
    <t>02.12</t>
  </si>
  <si>
    <t>02.12.01</t>
  </si>
  <si>
    <t xml:space="preserve">      BEBEDEROS </t>
  </si>
  <si>
    <t xml:space="preserve">         INODORO TANQUE BAJO DE CERAMICO VITRIFICADA BLANCO</t>
  </si>
  <si>
    <t>03.01.01.03</t>
  </si>
  <si>
    <t xml:space="preserve">         LAVATORIO DE PARED DE CERAMICA VITRIFICADA BLANCO-ADOSADO</t>
  </si>
  <si>
    <t>03.01.01.04</t>
  </si>
  <si>
    <t>03.01.01.05</t>
  </si>
  <si>
    <t xml:space="preserve">         LAVADERO DE ACERO INOXIDABLE 1 POZA CON 01 ESCURRIDERO </t>
  </si>
  <si>
    <t xml:space="preserve">         LLAVE PARA BEBEDEROS, CROMADA </t>
  </si>
  <si>
    <t xml:space="preserve">         LLAVE DE LAVADERO TIPO CUELLO DE CISNE Ø1/2" PARA COCINA MONOCOMANDO, CROMADA</t>
  </si>
  <si>
    <t xml:space="preserve">         DISPENSADOR DE JABON DE 1000ml, ADOSADO</t>
  </si>
  <si>
    <t>03.01.02.08</t>
  </si>
  <si>
    <t>03.01.02.09</t>
  </si>
  <si>
    <t>03.01.02.10</t>
  </si>
  <si>
    <t>03.01.02.11</t>
  </si>
  <si>
    <t>03.01.02.12</t>
  </si>
  <si>
    <t xml:space="preserve">         SALIDA DE AGUA FRIA CON TUBERIA DE PVC-SAP C-10 Ø1/2"</t>
  </si>
  <si>
    <t xml:space="preserve">         SALIDA DE AGUA FRIA CON TUBERIA DE PVC-SAP C-10 Ø 1"</t>
  </si>
  <si>
    <t xml:space="preserve">      RED DE DISTRIBUCION</t>
  </si>
  <si>
    <t xml:space="preserve">      ACCESORIOS DE RED DE AGUA</t>
  </si>
  <si>
    <t>03.02.03.02</t>
  </si>
  <si>
    <t>03.02.03.03</t>
  </si>
  <si>
    <t>03.02.03.04</t>
  </si>
  <si>
    <t>03.02.03.05</t>
  </si>
  <si>
    <t>03.02.03.06</t>
  </si>
  <si>
    <t>03.02.03.07</t>
  </si>
  <si>
    <t>03.02.03.08</t>
  </si>
  <si>
    <t>03.02.03.09</t>
  </si>
  <si>
    <t>03.02.03.10</t>
  </si>
  <si>
    <t>03.02.03.11</t>
  </si>
  <si>
    <t xml:space="preserve">      EXCAVACIÓN MANUAL EN TERRENO NORMAL PARA INSTALACIONES ELECTRICAS </t>
  </si>
  <si>
    <t xml:space="preserve">      RELLENO Y COMPACTADO CON MATERIAL PROPIO SELECCIONADO PARA BASE 0.05 cm </t>
  </si>
  <si>
    <t xml:space="preserve">      RELLENO Y COMPACTADO CON LECHO DE ARENA PARA SUB BASE 0.10 cm  </t>
  </si>
  <si>
    <t xml:space="preserve">      RELLENO Y COMPACTADO CON MATERIAL PROPIO SELECCIONADO </t>
  </si>
  <si>
    <t xml:space="preserve">      EMPALME SUBTERRANEO EN BUZON ELECTRICO EN CABLE N2XOH</t>
  </si>
  <si>
    <t xml:space="preserve">   ALIMENTADORES </t>
  </si>
  <si>
    <t xml:space="preserve">      TABLEROS: GENERAL Y DISTRIBUCION </t>
  </si>
  <si>
    <t xml:space="preserve">         TABLERO DE DISTRIBUCION TD</t>
  </si>
  <si>
    <t xml:space="preserve">      DUCTOS O TUBERIAS Y ACCESORIOS </t>
  </si>
  <si>
    <t xml:space="preserve">         CURVAS DE PVC -SAP Ø 25mm</t>
  </si>
  <si>
    <t xml:space="preserve">         UNIONES PVC - SAP Ø 25mm</t>
  </si>
  <si>
    <t xml:space="preserve">      CONDUCTORES O CABLES </t>
  </si>
  <si>
    <t>04.03.04.01</t>
  </si>
  <si>
    <t xml:space="preserve">         TENDIDO DE CABLE N2XOH DE 4mm² </t>
  </si>
  <si>
    <t>ml</t>
  </si>
  <si>
    <t>04.03.04.02</t>
  </si>
  <si>
    <t xml:space="preserve">         TENDIDO DE CABLE N2XOH DE 2.5mm² </t>
  </si>
  <si>
    <t xml:space="preserve">   ALUMBRADO</t>
  </si>
  <si>
    <t xml:space="preserve">      DUCTOS O TUBERIAS Y ACCESORIOS</t>
  </si>
  <si>
    <t xml:space="preserve">         TUBERIA PVC SAP Ø 19mm</t>
  </si>
  <si>
    <t xml:space="preserve">         CURVAS PVC -SAP Ø 19mm</t>
  </si>
  <si>
    <t xml:space="preserve">      SALIDA PARA CENTRO DE LUZ </t>
  </si>
  <si>
    <t xml:space="preserve">         CAJA RECTANGULAR DE F°G° DE 100X55X40</t>
  </si>
  <si>
    <t xml:space="preserve">   ARTEFACTOS DE ILUMINACION </t>
  </si>
  <si>
    <t xml:space="preserve">      PARA TECHO </t>
  </si>
  <si>
    <t>04.05.01.01</t>
  </si>
  <si>
    <t xml:space="preserve">         LUMINARIA PARA EMPOTRAR CON 2 FLUORESCENTES LINEAL DE 35W, CON PANTALLA PLANA TIPO TBS 770 O SIMILAR</t>
  </si>
  <si>
    <t>04.05.01.02</t>
  </si>
  <si>
    <t xml:space="preserve">         LUMINARIA CIRCULAR PARA ADOSAR LED AL TECHO DE 14W</t>
  </si>
  <si>
    <t>04.05.01.03</t>
  </si>
  <si>
    <t xml:space="preserve">         LUMINARIA DOWNLIGHTS LED PARA EMPOTRAR EN TECHO DE 13W, TIPO DN460 C O SIMILAR</t>
  </si>
  <si>
    <t xml:space="preserve">      PARA PARED</t>
  </si>
  <si>
    <t>04.05.02.01</t>
  </si>
  <si>
    <t xml:space="preserve">         LUMINARIA ADOSABLE EN PARED DE 20W, TIPO FRAGANCE O SIMILAR</t>
  </si>
  <si>
    <t>04.05.02.02</t>
  </si>
  <si>
    <t xml:space="preserve">         LUMINARIA LED ADOSADO EN PARED DE 45W, TIPO EXTERIOR MODELO RSP-2 O SIMILAR</t>
  </si>
  <si>
    <t xml:space="preserve">      INTERRUPTORES </t>
  </si>
  <si>
    <t>04.05.03.01</t>
  </si>
  <si>
    <t>04.05.03.02</t>
  </si>
  <si>
    <t>04.05.03.03</t>
  </si>
  <si>
    <t xml:space="preserve">   TOMACORRIENTES Y ARTEFACTO DE EMERGENCIA </t>
  </si>
  <si>
    <t>04.06.01.01</t>
  </si>
  <si>
    <t>04.06.01.02</t>
  </si>
  <si>
    <t>04.06.02.01</t>
  </si>
  <si>
    <t>04.06.02.02</t>
  </si>
  <si>
    <t>04.06.03</t>
  </si>
  <si>
    <t xml:space="preserve">      SALIDA PARA CENTRO DE LUZ</t>
  </si>
  <si>
    <t>04.06.03.01</t>
  </si>
  <si>
    <t>04.06.04</t>
  </si>
  <si>
    <t xml:space="preserve">      TOMACORRIENTES</t>
  </si>
  <si>
    <t>04.06.04.01</t>
  </si>
  <si>
    <t xml:space="preserve">         TOMACORIENTE DOBLE CON TOMA A TIERRA. 30A - 220V EN CAJA F°G RECTANGULAR 100X55X40MM</t>
  </si>
  <si>
    <t>04.06.05</t>
  </si>
  <si>
    <t xml:space="preserve">      CAJAS METALICAS CON TAPAS </t>
  </si>
  <si>
    <t>04.06.05.01</t>
  </si>
  <si>
    <t xml:space="preserve">         INSTALACION DE CAJA DE PASO TIPO 1 F°G° DE 100X100X75mm</t>
  </si>
  <si>
    <t xml:space="preserve">MITIGACION AMBIENTAL </t>
  </si>
  <si>
    <t>APU 02 ACTUALIZADO</t>
  </si>
  <si>
    <t>PPTO. ACTUALIZADO 02</t>
  </si>
  <si>
    <t xml:space="preserve">PPTO. CONTRACTUAL </t>
  </si>
  <si>
    <t>P.U. 02</t>
  </si>
  <si>
    <t>PPTO. 02 ACTUALIZADO</t>
  </si>
  <si>
    <t xml:space="preserve">      DEMOLICIÓN DE MUROS DE INFRAESTRUCTURA EXISTENTE CON MAQUINARIA</t>
  </si>
  <si>
    <t xml:space="preserve">      DEMOLICIÓN DE COLUMNAS CON MAQUINARIA</t>
  </si>
  <si>
    <t xml:space="preserve">      DEMOLICIÓN DE VIGAS CON MAQUINARIA</t>
  </si>
  <si>
    <t xml:space="preserve">      DEMOLICIÓN DE LOSA ALIGERADA CON MAQUINARIA</t>
  </si>
  <si>
    <t xml:space="preserve">      DEMOLICIÓN DE ESCALERA CON MAQUINARIA</t>
  </si>
  <si>
    <t xml:space="preserve">      DEMOLICIÓN DE TANQUE ELEVADO CON MAQUINARIA</t>
  </si>
  <si>
    <t>01.01.07</t>
  </si>
  <si>
    <t xml:space="preserve">      DEMOLICIÓN DE ZAPATA CON MAQUINARIA</t>
  </si>
  <si>
    <t>01.01.08</t>
  </si>
  <si>
    <t xml:space="preserve">      DEMOLICIÓN DE PISOS CON MAQUINARIA</t>
  </si>
  <si>
    <t>01.01.09</t>
  </si>
  <si>
    <t xml:space="preserve">      DEMOLICIÓN DE MUROS DE CONTENCIÓN CON MAQUINARIA</t>
  </si>
  <si>
    <t xml:space="preserve">   TRASLADO INTERNO EN OBRA</t>
  </si>
  <si>
    <t xml:space="preserve">      TRASLADO DE MADERAMEN DIST. MAX 40M</t>
  </si>
  <si>
    <t xml:space="preserve">      TRASLADO DE AGREGADOS CON CARRETILLA DIST. MAX 40M</t>
  </si>
  <si>
    <t xml:space="preserve">      TRASLADO DE AGREGADOS CON WINCHE ALTURA MAX 10 M</t>
  </si>
  <si>
    <t xml:space="preserve">      TRASLADO DE CEMENTO DIST. MAX 40 M</t>
  </si>
  <si>
    <t xml:space="preserve">      TRASLADO DE LADRILLO DE PARED DIST. MAX 40 M</t>
  </si>
  <si>
    <t xml:space="preserve">      TRASLADO DE LADRILLO DE TECHO DIST. MAX 40 M</t>
  </si>
  <si>
    <t xml:space="preserve">   MOVIMIENTO DE TIERRA</t>
  </si>
  <si>
    <t xml:space="preserve">      EXCAVACION DE CIMIENTO Y ZAPATAS CON MAQUINARIA</t>
  </si>
  <si>
    <t xml:space="preserve">      RELLENO MANUAL CON MATERIAL DE PRESTAMO</t>
  </si>
  <si>
    <t xml:space="preserve">      SOLADO</t>
  </si>
  <si>
    <t xml:space="preserve">         SOLADO PARA VIGAS DE CONEXION DE 20CM DE ALTURA, CONCRETO F'c=100Kg/cm2</t>
  </si>
  <si>
    <t xml:space="preserve">         ENCOFRADO Y DESENCOFRADO DE SOLADO EN ZAPATAS</t>
  </si>
  <si>
    <t xml:space="preserve">         ENCOFRADO Y DESENCOFRADO DE SOLADO DE VIGAS DE CONEXION</t>
  </si>
  <si>
    <t xml:space="preserve">         FALZA ZAPATA - ENCOFRADO Y DESENCOFRADO</t>
  </si>
  <si>
    <t xml:space="preserve">         ZAPATAS  - ENCOFRADO Y DESENCOFRADO</t>
  </si>
  <si>
    <t xml:space="preserve">         BLOQUE HUECO/CONCRETO 30X30X35 CM  PARA TECHO ALIGERADO</t>
  </si>
  <si>
    <t xml:space="preserve">      COBERTURA</t>
  </si>
  <si>
    <t xml:space="preserve">         IMPERMEABILIZACION DE LOSA ALIGERADA</t>
  </si>
  <si>
    <t xml:space="preserve">   PARARRAYOS</t>
  </si>
  <si>
    <t xml:space="preserve">      PARARRAYOS PDC CON DISPOSITIVO DE CEBADO NO RADIOACTIVO R=100M.</t>
  </si>
  <si>
    <t xml:space="preserve">   SALIDA DE AUDIO</t>
  </si>
  <si>
    <t xml:space="preserve">      SALIDA DE PUNTOS DE PARLANTE</t>
  </si>
  <si>
    <t xml:space="preserve">      CAJA DE PASO PVC IP65 150mm x 150mm x 70mm</t>
  </si>
  <si>
    <t xml:space="preserve">      PARLANTES</t>
  </si>
  <si>
    <t xml:space="preserve">      TENDIDO DE CABLE PARA PARLANTE</t>
  </si>
  <si>
    <t xml:space="preserve">RECURSOS DETERMINADOS </t>
  </si>
  <si>
    <t>PRESUPUESTO PARTIDAS NUEVAS  AMPLIACION PRESUPUESTAL N° 04</t>
  </si>
  <si>
    <t xml:space="preserve">      RELLENO Y COMPACTADO CON MATERIAL DE PRESTAMO </t>
  </si>
  <si>
    <t xml:space="preserve">         ZAPATAS - ENCOFRADO Y DESENCOFRADO</t>
  </si>
  <si>
    <t xml:space="preserve">      JARDINERA INGRESO </t>
  </si>
  <si>
    <t xml:space="preserve">         JARDINERA - CONCRETO f'c=175 Kg/cm2</t>
  </si>
  <si>
    <t xml:space="preserve">         JARDINERA - ENCOFRADO Y DESENCOFRADO</t>
  </si>
  <si>
    <t>01.02.02.03</t>
  </si>
  <si>
    <t xml:space="preserve">         JARDINERA - ACERO f'y=4200 Kg/cm2</t>
  </si>
  <si>
    <t xml:space="preserve">   PAVIMENTO RIGIDO</t>
  </si>
  <si>
    <t xml:space="preserve">      PAVIMENTO RIGIDO 0.20m - CONCRETO PREMEZCLADO F'c=210 kg/cm2</t>
  </si>
  <si>
    <t xml:space="preserve">      PAVIMENTO RIGIDO 0.20m - ENCOFRADO Y DESENCOFRADO </t>
  </si>
  <si>
    <t xml:space="preserve">      PAVIMENTO RIGIDO 0.20m - DOWELLS EN LOSAS RIGIDAS- JUNTA DE DILATACION, L=46CM</t>
  </si>
  <si>
    <t xml:space="preserve">      PAVIMENTO RIGIDO 0.20m -JUNTA DE TECNOPOR DE 3/4" </t>
  </si>
  <si>
    <t xml:space="preserve">      PAVIMENTO RIGIDO 0.20m - CURADO Y PROTECCION DEL CONCRETO EN OBRA CON PLASTICO</t>
  </si>
  <si>
    <t xml:space="preserve">      PAVIMENTO RIGIDO 0.20m - SELLO ASFALICO</t>
  </si>
  <si>
    <t xml:space="preserve">      ESCALERA METALICA BLQUE 3 Y BLOQUE 4 </t>
  </si>
  <si>
    <t>01.04.01.01</t>
  </si>
  <si>
    <t xml:space="preserve">         ANCLAJE DE COLUMNAS DE 25X250mm, e=6mm</t>
  </si>
  <si>
    <t>01.04.01.02</t>
  </si>
  <si>
    <t xml:space="preserve">         COLUMNAS METALICAS CON TUBO LAC 150X150mm,e=6mm</t>
  </si>
  <si>
    <t>01.04.01.03</t>
  </si>
  <si>
    <t xml:space="preserve">         VIGAS PRINCIPALES CON TUBO LAC DE 250X100mm,e=6mm</t>
  </si>
  <si>
    <t>01.04.01.04</t>
  </si>
  <si>
    <t xml:space="preserve">         ESTRUCTURA METALICA DE ENTRE PISO CON TUBO LAC DE 100X100 Y 150 X 100 ,e=3mm</t>
  </si>
  <si>
    <t>01.04.01.05</t>
  </si>
  <si>
    <t xml:space="preserve">         ESCALERA TIPO 1 </t>
  </si>
  <si>
    <t>01.04.01.06</t>
  </si>
  <si>
    <t xml:space="preserve">         ESCALERA TIPO 2 </t>
  </si>
  <si>
    <t>01.04.01.07</t>
  </si>
  <si>
    <t xml:space="preserve">         ESCALERA TIPO 3 </t>
  </si>
  <si>
    <t>01.04.01.08</t>
  </si>
  <si>
    <t xml:space="preserve">         VIGAS DE TECHO CON TUBO LAC DE 150X100 ,e=3mm</t>
  </si>
  <si>
    <t>01.04.01.09</t>
  </si>
  <si>
    <t xml:space="preserve">         CORREAS METALICAS CON TUBO LAC DE 80X40,e=2mm</t>
  </si>
  <si>
    <t>01.04.01.10</t>
  </si>
  <si>
    <t xml:space="preserve">         CANALETA DE PLANCHA GALVANIZADA ,e=2mm</t>
  </si>
  <si>
    <t>01.04.01.11</t>
  </si>
  <si>
    <t xml:space="preserve">         CENEFA DE PLANCHA GALVANIZADA PARA COBERTURA,e=2mm </t>
  </si>
  <si>
    <t>01.04.01.12</t>
  </si>
  <si>
    <t xml:space="preserve">         TAPA DE TUBERIA DE DESFOGUE DE PLANCHA GALVANIZADA,e=2mm</t>
  </si>
  <si>
    <t>01.04.01.13</t>
  </si>
  <si>
    <t xml:space="preserve">         LOSA COLABORANTE </t>
  </si>
  <si>
    <t>01.04.01.14</t>
  </si>
  <si>
    <t xml:space="preserve">         INSTALACION Y MONTAJE</t>
  </si>
  <si>
    <t>01.04.01.14.01</t>
  </si>
  <si>
    <t xml:space="preserve">            INSTALACION Y MONTAJE DE ESTRUCTURAS METALICAS  BLOQUE 3 Y BLOQUE 4</t>
  </si>
  <si>
    <t xml:space="preserve">      RAMPAS, ENTRE BLOQUES 4 Y 5 </t>
  </si>
  <si>
    <t>01.04.02.01</t>
  </si>
  <si>
    <t xml:space="preserve">         ANCLAJE DE COLUMNAS DE 250X250mm,e=6mm</t>
  </si>
  <si>
    <t>01.04.02.02</t>
  </si>
  <si>
    <t xml:space="preserve">         COLUMNAS METALICAS CON TUBO LAC DE 150X150mm, e=6mm</t>
  </si>
  <si>
    <t>01.04.02.03</t>
  </si>
  <si>
    <t>01.04.02.04</t>
  </si>
  <si>
    <t xml:space="preserve">         ESTRUCTURA METALICA DE ENTRE PISO CON TUBO LAC DE 100X100mm Y 150X 100mm, e=3mm</t>
  </si>
  <si>
    <t>01.04.02.05</t>
  </si>
  <si>
    <t xml:space="preserve">         VIGAS DE TECHO CON TUBO LAC DE 150 X 100mm, e=3mm</t>
  </si>
  <si>
    <t>01.04.02.06</t>
  </si>
  <si>
    <t>01.04.02.07</t>
  </si>
  <si>
    <t xml:space="preserve">         CANALETA DE PLANCHA GALVANIZADA , e=2mm</t>
  </si>
  <si>
    <t>01.04.02.08</t>
  </si>
  <si>
    <t xml:space="preserve">         CENEFA DE PLANCHA GALVANIZADA PARA COBERTURA ,e=2mm</t>
  </si>
  <si>
    <t>01.04.02.09</t>
  </si>
  <si>
    <t xml:space="preserve">         TAPA DE TUBERIA DE DESFOGUE DE PLANCHA GALVANIZADA, e =2mm</t>
  </si>
  <si>
    <t>01.04.02.10</t>
  </si>
  <si>
    <t>01.04.02.11</t>
  </si>
  <si>
    <t>01.04.02.11.01</t>
  </si>
  <si>
    <t xml:space="preserve">            INSTALACION Y MONTAJE DE ESTRUCTURAS METALICAS  EN RAMPA ENTRE BLOQUE 4 Y BLOQUE 5</t>
  </si>
  <si>
    <t xml:space="preserve">      RAMPAS, ENTRE BLOQUES 5 Y 6 </t>
  </si>
  <si>
    <t>01.04.03.01</t>
  </si>
  <si>
    <t xml:space="preserve">         ANCLAJE DE COLUMNAS DE 250X250 mm, e=6mm</t>
  </si>
  <si>
    <t>01.04.03.02</t>
  </si>
  <si>
    <t xml:space="preserve">         COLUMNAS METALICAS CON TUBO LAC DE 150X150mm.e=6mm</t>
  </si>
  <si>
    <t>01.04.03.03</t>
  </si>
  <si>
    <t>01.04.03.04</t>
  </si>
  <si>
    <t xml:space="preserve">         ESTRUCTURA METALICA DE ENTRE PISO CON TUBO LAC DE 100X100mm Y 150X100mm, e=3mm</t>
  </si>
  <si>
    <t>01.04.03.05</t>
  </si>
  <si>
    <t xml:space="preserve">         VIGAS DE TECHO CON TUBO LAC DE 150X100mm, e=3mm</t>
  </si>
  <si>
    <t>01.04.03.06</t>
  </si>
  <si>
    <t>01.04.03.07</t>
  </si>
  <si>
    <t xml:space="preserve">         CANALETA DE PLANCHA GALVANIZADA,e=2.00mm</t>
  </si>
  <si>
    <t>01.04.03.08</t>
  </si>
  <si>
    <t xml:space="preserve">         CENEFA DE PLANCHA GALVANIZADA PARA COBERTURA , e=2mm</t>
  </si>
  <si>
    <t>01.04.03.09</t>
  </si>
  <si>
    <t xml:space="preserve">         TAPA DE TUBERIA DE DESFOGUE DE PLANCHA GALVANIZADA ,e=2mm. </t>
  </si>
  <si>
    <t>01.04.03.10</t>
  </si>
  <si>
    <t>01.04.03.11</t>
  </si>
  <si>
    <t>01.04.03.11.01</t>
  </si>
  <si>
    <t xml:space="preserve">            INSTALACION Y MONTAJE EN RAMPA,ENTRE BLOQUE 5 Y 6 </t>
  </si>
  <si>
    <t>01.04.04</t>
  </si>
  <si>
    <t xml:space="preserve">      ESCALERA, ENTRE BLOQUES 7 Y 8</t>
  </si>
  <si>
    <t>01.04.04.01</t>
  </si>
  <si>
    <t xml:space="preserve">         ANCLAJE DE COLUMNAS CUADRADAS DE 200X200, e=8mm.</t>
  </si>
  <si>
    <t>01.04.04.02</t>
  </si>
  <si>
    <t xml:space="preserve">         ANCLAJE DE COLUMNAS CIRCULARES DE Ø=8" SCH</t>
  </si>
  <si>
    <t>01.04.04.03</t>
  </si>
  <si>
    <t xml:space="preserve">         COLUMNAS METALICAS CUADRADAS CON TUBO LAC CUAD. 200X200 , e=8mm</t>
  </si>
  <si>
    <t>01.04.04.04</t>
  </si>
  <si>
    <t xml:space="preserve">         COLUMNAS METALICAS CIRCULARES CON TUBO Ø=8" SCH 40  </t>
  </si>
  <si>
    <t>01.04.04.05</t>
  </si>
  <si>
    <t xml:space="preserve">         VIGAS PRINCIPALES CON TUBO LAC CUAD. 300x200, e=8mm</t>
  </si>
  <si>
    <t>01.04.04.06</t>
  </si>
  <si>
    <t xml:space="preserve">         VIGAS PRINCIPALES CON TUBO LAC RECT. 250x100 , e=6mm</t>
  </si>
  <si>
    <t>01.04.04.07</t>
  </si>
  <si>
    <t xml:space="preserve">         ESTRUCTURA METALICA DE ENTRE PISO CON TUBO LAC CUAD. 100X100, e=3mm y TUBO LAC RECT. 150X100. e=3mm </t>
  </si>
  <si>
    <t>01.04.04.08</t>
  </si>
  <si>
    <t>01.04.04.09</t>
  </si>
  <si>
    <t>01.04.04.10</t>
  </si>
  <si>
    <t>01.04.04.11</t>
  </si>
  <si>
    <t xml:space="preserve">         VIGAS DE TECHO CON TUBO LAC CUAD. 150X100, e= 3mm</t>
  </si>
  <si>
    <t>01.04.04.12</t>
  </si>
  <si>
    <t xml:space="preserve">         CORREAS METALICAS CON TUBO LAC RECT. 80X40,e=2mm</t>
  </si>
  <si>
    <t>01.04.04.13</t>
  </si>
  <si>
    <t xml:space="preserve">         CANALETA DE PLANCHA GALVANIZADA, e=2mm</t>
  </si>
  <si>
    <t>01.04.04.14</t>
  </si>
  <si>
    <t xml:space="preserve">         CENEFA DE PLANCHA GALVANIZADA PARA COBERTURA ,e= 2mm</t>
  </si>
  <si>
    <t>01.04.04.15</t>
  </si>
  <si>
    <t xml:space="preserve">         TAPA DE TUBERIA DE DESFOGUE DE PLANCHA GALVANIZADA e=2mm</t>
  </si>
  <si>
    <t>01.04.04.16</t>
  </si>
  <si>
    <t>01.04.04.17</t>
  </si>
  <si>
    <t>01.04.04.17.01</t>
  </si>
  <si>
    <t xml:space="preserve">            INSTALACION Y MONTAJE EN ESCALERA ENTRE BLOQUE 7 Y 8 </t>
  </si>
  <si>
    <t>01.04.05</t>
  </si>
  <si>
    <t xml:space="preserve">      ESCALERA, ENTRE BLOQUES 8 Y 10 </t>
  </si>
  <si>
    <t>01.04.05.01</t>
  </si>
  <si>
    <t xml:space="preserve">         ANCLAJE DE COLUMNAS DE TUBO LAC CUAD. 150X150, e= 6mm.</t>
  </si>
  <si>
    <t>01.04.05.02</t>
  </si>
  <si>
    <t xml:space="preserve">         COLUMNAS METALICAS CON TUBO LAC CUAD. 150X150 ,e=6mm.</t>
  </si>
  <si>
    <t>01.04.05.03</t>
  </si>
  <si>
    <t xml:space="preserve">         VIGAS PRINCIPALES CON TUBO LAC RECT. 250X100, e=6mm.</t>
  </si>
  <si>
    <t>01.04.05.04</t>
  </si>
  <si>
    <t xml:space="preserve">         ESTRUCTURA METALICA DE ENTRE PISO CON TUBO LAC CUAD. 100X100,e=3mm Y TUBO LAC RECT. 150X100, e=3mm </t>
  </si>
  <si>
    <t>01.04.05.05</t>
  </si>
  <si>
    <t xml:space="preserve">         ESCALERA TIPO 1 CON TUBO LAC. RECT. 250X100, e=4.5mm </t>
  </si>
  <si>
    <t>01.04.05.06</t>
  </si>
  <si>
    <t xml:space="preserve">         ESCALERA TIPO 2 CON TUBO LAC RECT. 250X100,e=4.5mm</t>
  </si>
  <si>
    <t>01.04.05.07</t>
  </si>
  <si>
    <t xml:space="preserve">         VIGAS DE TECHO CON TUBO LAC  RECT. 150X100, e=3mm. </t>
  </si>
  <si>
    <t>01.04.05.08</t>
  </si>
  <si>
    <t xml:space="preserve">         CORREAS METALICAS CON TUBO LAC RECT. 80X40, e=2mm. </t>
  </si>
  <si>
    <t>01.04.05.09</t>
  </si>
  <si>
    <t xml:space="preserve">         CANALETA DE PLANCHA GALVANIZADA , e=2</t>
  </si>
  <si>
    <t>01.04.05.10</t>
  </si>
  <si>
    <t>01.04.05.11</t>
  </si>
  <si>
    <t xml:space="preserve">         TAPA DE TUBERIA DE DESFOGUE DE PLANCHA GALVANIZADA , e= 2mm</t>
  </si>
  <si>
    <t>01.04.05.12</t>
  </si>
  <si>
    <t>01.04.05.13</t>
  </si>
  <si>
    <t>01.04.05.13.01</t>
  </si>
  <si>
    <t xml:space="preserve">            INSTALACION Y MONTAJE EN ESCALERA , ENTRE BLOQUES 8 Y 10 </t>
  </si>
  <si>
    <t>01.04.06</t>
  </si>
  <si>
    <t xml:space="preserve">      TECHO BLOQUE 1 </t>
  </si>
  <si>
    <t>01.04.06.01</t>
  </si>
  <si>
    <t xml:space="preserve">         ANCLAJE DE AUTOPORTANTES C/PLANCHA METALICA e=9mm.</t>
  </si>
  <si>
    <t>01.04.06.02</t>
  </si>
  <si>
    <t xml:space="preserve">         AUTOPORTANTES TIPICO L=6.25m ,CON TUBO LAC RECT. 150X100, e=2.5 mm </t>
  </si>
  <si>
    <t>01.04.06.03</t>
  </si>
  <si>
    <t xml:space="preserve">         AMARRES METALICOS L=1.09m, CON TUBO LAC CUAD. 100X100,e=2.5mm. </t>
  </si>
  <si>
    <t>01.04.06.04</t>
  </si>
  <si>
    <t xml:space="preserve">         CORREAS METALICAS L=10.40m, CON TUBO LAC DE 80X40, e=2mm. </t>
  </si>
  <si>
    <t>01.04.06.05</t>
  </si>
  <si>
    <t xml:space="preserve">         CANALETA DE PLANCHA GALVANIZADA  2.0 mm</t>
  </si>
  <si>
    <t>01.04.06.06</t>
  </si>
  <si>
    <t>01.04.06.06.01</t>
  </si>
  <si>
    <t xml:space="preserve">            INSTALACION Y MONTAJE DE COLUMNAS METALICAS</t>
  </si>
  <si>
    <t>01.04.06.06.02</t>
  </si>
  <si>
    <t xml:space="preserve">            INSTALACION Y MONTAJE DE VIGAS METALICAS Y COBERTURA </t>
  </si>
  <si>
    <t>01.04.07</t>
  </si>
  <si>
    <t xml:space="preserve">      TECHO BLOQUE 2 </t>
  </si>
  <si>
    <t>01.04.07.01</t>
  </si>
  <si>
    <t xml:space="preserve">         ANCLAJE DE VIGAS C/ PLANCHA METALICA, e=9mm.</t>
  </si>
  <si>
    <t>01.04.07.02</t>
  </si>
  <si>
    <t xml:space="preserve">         VIGAS METALICAS L=9.7m, CON TUBO LAC RECT. 250X150,e=6mm </t>
  </si>
  <si>
    <t>01.04.07.03</t>
  </si>
  <si>
    <t xml:space="preserve">         AUTOPORTANTE TIPICO TIPO 1 CON TUBO LAC RECT. 150X100,e=2.5mm.</t>
  </si>
  <si>
    <t>01.04.07.04</t>
  </si>
  <si>
    <t xml:space="preserve">         AUTOPORTANTE TIPICO TIPO 2 TUBO LAC RECT. 150X100 ,e= 2.5 mm. </t>
  </si>
  <si>
    <t>01.04.07.05</t>
  </si>
  <si>
    <t xml:space="preserve">         AMARRES METALICOS L=1.09m , CON TUBO LAC CUAD. 100X100,e=2.5 mm </t>
  </si>
  <si>
    <t>01.04.07.06</t>
  </si>
  <si>
    <t xml:space="preserve">         CORREAS METALICAS L=10.40m, CON TUBO LAC RECT. 80X 40, e=2mm.</t>
  </si>
  <si>
    <t>01.04.07.07</t>
  </si>
  <si>
    <t xml:space="preserve">         SOPORTE DE CANALETA L=0.45m, CON TUBO LAC DE 50X50,e=2mm</t>
  </si>
  <si>
    <t>01.04.07.08</t>
  </si>
  <si>
    <t>01.04.07.09</t>
  </si>
  <si>
    <t>01.04.07.09.01</t>
  </si>
  <si>
    <t xml:space="preserve">            INSTALACION Y MONTAJE DE TECHO BLOQUE 2 </t>
  </si>
  <si>
    <t>01.04.08</t>
  </si>
  <si>
    <t xml:space="preserve">      TECHO BLOQUE 3 </t>
  </si>
  <si>
    <t>01.04.08.01</t>
  </si>
  <si>
    <t xml:space="preserve">         ANCLAJE DE AUTOPORTANTES, CON PLANCHA METALICA ,e=9mm. </t>
  </si>
  <si>
    <t>01.04.08.02</t>
  </si>
  <si>
    <t xml:space="preserve">         AUTOPORTANTE TIPICO L=3.8m, CON TUBO LAC RECT. 150X100, e=2.5mm. </t>
  </si>
  <si>
    <t>01.04.08.03</t>
  </si>
  <si>
    <t xml:space="preserve">         AMARRES METALICOS L=1.25m, CON TUBO LAC CUAD. 100X100, e=2.5mm.</t>
  </si>
  <si>
    <t>01.04.08.04</t>
  </si>
  <si>
    <t xml:space="preserve">         CORREAS METALICAS L=3.55m, CON TUBO LAC DE 80X40 , e=2mm.</t>
  </si>
  <si>
    <t>01.04.08.05</t>
  </si>
  <si>
    <t>01.04.08.06</t>
  </si>
  <si>
    <t>01.04.08.06.01</t>
  </si>
  <si>
    <t xml:space="preserve">            INSTALACION Y MONTAJE DE TECHO BLOQUE 3 </t>
  </si>
  <si>
    <t>01.04.08.06.02</t>
  </si>
  <si>
    <t xml:space="preserve">            INSTALACION DE MONTAJE DE CANALETA DE PLANCHA GALVANIZADA </t>
  </si>
  <si>
    <t>01.04.09</t>
  </si>
  <si>
    <t xml:space="preserve">      PERGOLAS </t>
  </si>
  <si>
    <t>01.04.09.01</t>
  </si>
  <si>
    <t xml:space="preserve">         ANCLAJE DE COLUMNAS CON PLANCHA METALICA e=12mm</t>
  </si>
  <si>
    <t>01.04.09.02</t>
  </si>
  <si>
    <t xml:space="preserve">         COLUMNAS METALICAS CON TUBO LAC CUAD. 150X 150 ,e=4.5 mm. </t>
  </si>
  <si>
    <t>01.04.09.03</t>
  </si>
  <si>
    <t xml:space="preserve">         VIGAS METALICAS TRANSVERSALES CON TUBO LAC . RECT. 150 X100 </t>
  </si>
  <si>
    <t>01.04.09.04</t>
  </si>
  <si>
    <t xml:space="preserve">         VIGAS METALICAS CURVADAS CON TUBO LAC RECT. 150X100, e=3mm. </t>
  </si>
  <si>
    <t>01.04.09.05</t>
  </si>
  <si>
    <t xml:space="preserve">         CORREAS METALICAS CON TUBO LAC. RECT. 150X50, e=2.5mm. </t>
  </si>
  <si>
    <t>01.04.09.06</t>
  </si>
  <si>
    <t>01.04.09.06.01</t>
  </si>
  <si>
    <t xml:space="preserve">            INSTALACION Y MONTAJE DE COLUMNAS, VIGAS Y CORREAS DE PERGOLAS </t>
  </si>
  <si>
    <t xml:space="preserve">      SUMINISTRO E INSTALACION DE COBERTURA DE POLICARBONATO SOLIDO N°8</t>
  </si>
  <si>
    <t>01.06</t>
  </si>
  <si>
    <t xml:space="preserve">   PRUEBAS DE LABORATORIO </t>
  </si>
  <si>
    <t xml:space="preserve">      ENSAYOS NO DESCTRUCTIVOS </t>
  </si>
  <si>
    <t xml:space="preserve">      DIVISOR EN BAÑOS DE PLANCHA DE ACERO INOX. </t>
  </si>
  <si>
    <t xml:space="preserve">      CIELO RASO SUSPENDIDO CON SISTEMA DRYWALL PANEL GYPLAC 1/2"</t>
  </si>
  <si>
    <t xml:space="preserve">      CIELO RASO SUSPENDIDO CON SISTEMA DRYWALL PANEL SUPERBOARD DE 6 mm </t>
  </si>
  <si>
    <t xml:space="preserve">      PISO DE CONCRETO ESTAMPADO </t>
  </si>
  <si>
    <t xml:space="preserve">      PISO TERRAZO PULIDO DE 25CM</t>
  </si>
  <si>
    <t xml:space="preserve">      PISO PORCELANATO ANTIDESLIZANTE DE 60X60M</t>
  </si>
  <si>
    <t xml:space="preserve">      PISO VINILICO CLICK SPC 5 MM</t>
  </si>
  <si>
    <t xml:space="preserve">      BRUÑADO EN RAMPAS 1CM</t>
  </si>
  <si>
    <t xml:space="preserve">         CONTRAZOCALO CON RODON DE MADERA AGUANO. H=10CM.- INTERIOR </t>
  </si>
  <si>
    <t xml:space="preserve">         CONTRAZOCALO DE CEMENTO PULIDO C/MORTERO 1:5 DE 2CM, H=30CM</t>
  </si>
  <si>
    <t xml:space="preserve">         CONTRAZOCALO DE PORCELANATO BLANCO DE 60 x 60 CM. H=10CM.INTERIOR</t>
  </si>
  <si>
    <t xml:space="preserve">      CARPINTERIA DE FIERRO Y OTROS </t>
  </si>
  <si>
    <t xml:space="preserve">         PUERTA DE METAL DE INGRESO DE 6x2.7mts </t>
  </si>
  <si>
    <t xml:space="preserve">         PUERTA DE ACERO INOXIDABLE EN BAÑOS </t>
  </si>
  <si>
    <t xml:space="preserve">         CELOSIA DE ALUMINIO TEXTURIZADO 2"X4"</t>
  </si>
  <si>
    <t xml:space="preserve">      PINTURA SATINADA EN CIELO RASO </t>
  </si>
  <si>
    <t xml:space="preserve">      PINTURA SATINADA EN EXTERIORES </t>
  </si>
  <si>
    <t xml:space="preserve">      PINTURA SATINADA EN COLUMNAS</t>
  </si>
  <si>
    <t xml:space="preserve">      PINTURA SATINADA EN INTERIORES </t>
  </si>
  <si>
    <t>02.06.05</t>
  </si>
  <si>
    <t xml:space="preserve">      PINTURA SATINADA EN VIGAS</t>
  </si>
  <si>
    <t>02.06.06</t>
  </si>
  <si>
    <t xml:space="preserve">      PINTURA SATINADA EN PARAPETOS</t>
  </si>
  <si>
    <t>02.06.07</t>
  </si>
  <si>
    <t xml:space="preserve">      PINTURA SATINADA EN FONDO DE ESCALERA</t>
  </si>
  <si>
    <t>02.06.08</t>
  </si>
  <si>
    <t xml:space="preserve">      PINTURA SATINADA EN FONDO DE RAMPA</t>
  </si>
  <si>
    <t xml:space="preserve">      BANCA CIRCULAR DE CONCRETO REVESTIDO DE TERRAZO PULIDO 0.20 M DE RADIO=0.20 M</t>
  </si>
  <si>
    <t xml:space="preserve">      MACETEROS DE 0.4 x 0.8 m</t>
  </si>
  <si>
    <t xml:space="preserve">      MESA CIRCULAR DE CONCRETO REVESTIDO DE TERRAZO PULIDO 0.25M RADIO=0.35M</t>
  </si>
  <si>
    <t xml:space="preserve">   CERCO METALICO</t>
  </si>
  <si>
    <t xml:space="preserve">      REJA METALICA DE TUBO DE 2"</t>
  </si>
  <si>
    <t xml:space="preserve">EXPEDIENTE TECNICO </t>
  </si>
  <si>
    <t>VALORIZACIÓN DE PRESUPUESTO DEL PLAN DE VIGILANCIA, PREVENCION Y CONTROL DEL COVID-19 (AMPLIACION PRESUPUESTAL N° 2)</t>
  </si>
  <si>
    <t>IMPLEMENTOS DE SEGURIDAD PERSONAL</t>
  </si>
  <si>
    <t>IMPLEMENTO DE EQUIPOS DE PROTECCIÓN PERSONAL OBRERO</t>
  </si>
  <si>
    <t>IMPLEMENTO DE EQUIPOS DE PROTECCIÓN PERSONAL DE LIMPIEZA</t>
  </si>
  <si>
    <t>IMPLEMENTO DE BIOSEGURIDAD PERSONAL OBRERO</t>
  </si>
  <si>
    <t>IMPLEMENTO DE BIOSEGURIDAD PERSONAL DE LIMPIEZA</t>
  </si>
  <si>
    <t>MATERIAL DE LIMPIEZA</t>
  </si>
  <si>
    <t>MATERIALES DE LIMPIEZA</t>
  </si>
  <si>
    <t>INSUMOS DE DESINFECCION</t>
  </si>
  <si>
    <t>EQUIPOS MEDICOS</t>
  </si>
  <si>
    <t>EQUIPOS DE TRIAJE</t>
  </si>
  <si>
    <t>EQUIPOS DE DESINFECCION</t>
  </si>
  <si>
    <t>SEÑALIZACION DE SEGURIDAD</t>
  </si>
  <si>
    <t>SEÑALIZACION DE BIOSEGURIDAD</t>
  </si>
  <si>
    <t>IMPLEMENTACION DE MESAS Y BANCAS DE MADERA EN COMEDOR</t>
  </si>
  <si>
    <t>08.02</t>
  </si>
  <si>
    <t>IMPLEMENTACION DE BANCAS Y COLGADORES DE MADERA EN VESTUARIO</t>
  </si>
  <si>
    <t>FABRICACION DE SOPORTE DE MADERA PARA LAVAMANOS PORTATIL</t>
  </si>
  <si>
    <t>09</t>
  </si>
  <si>
    <t>PRUEBAS MEDICAS</t>
  </si>
  <si>
    <t>09.01</t>
  </si>
  <si>
    <t>PRUEBAS SEROLOGICAS PARA COVIC</t>
  </si>
  <si>
    <t>P.Unit. 2 S/.</t>
  </si>
  <si>
    <t xml:space="preserve">PPTO ACTUALIZADO </t>
  </si>
  <si>
    <t xml:space="preserve">Pres. CONTRACTUAL </t>
  </si>
  <si>
    <t>: Recursos Determinados</t>
  </si>
  <si>
    <t>: Administración Directa</t>
  </si>
  <si>
    <t>PART</t>
  </si>
  <si>
    <t>AVANCE</t>
  </si>
  <si>
    <t>VALORIZADO</t>
  </si>
  <si>
    <t xml:space="preserve">VALORIZACION DE PARTIDAS PROGRAMADAS CONTRACTUAL </t>
  </si>
  <si>
    <t xml:space="preserve">VALORIZACION DE PARTIDAS DE AMPLIACIONES PRESUPUESTALES </t>
  </si>
  <si>
    <t xml:space="preserve">     VALORIZACION DE PARTIDAS NUEVAS</t>
  </si>
  <si>
    <t xml:space="preserve">     VALORIZACION DE MAYORES METRADOS</t>
  </si>
  <si>
    <t xml:space="preserve">     VALORIZACION DEDUCTIVOS</t>
  </si>
  <si>
    <t>TOTAL COSTO DIRECTO</t>
  </si>
  <si>
    <t>COSTO INDIRECTO (EXPEDIENTE TECNICO ORIGINAL)</t>
  </si>
  <si>
    <t>COSTO INDIRECTO MODIFICACION PRESUPUESTALES</t>
  </si>
  <si>
    <t>AMPLIACION PRESUPUESTAL N° 03</t>
  </si>
  <si>
    <t>AMPLIACION PRESUPUESTAL N° 04</t>
  </si>
  <si>
    <t xml:space="preserve">MAYORES METRADOS </t>
  </si>
  <si>
    <t>3° MODIFICACION PRESUPUESTAL</t>
  </si>
  <si>
    <t>COSTO INDIRECTO TOTAL</t>
  </si>
  <si>
    <t>TOTAL PRESUPUESTO (EXP. TEC. ORIGINAL + AMP. PRES. (01 + 02+03)</t>
  </si>
  <si>
    <t>AMPLIACION PRESUPUESTAL N°03</t>
  </si>
  <si>
    <t>AMPLIACION PRESUPUESTAL N°04</t>
  </si>
  <si>
    <t>CUADERNO 15</t>
  </si>
  <si>
    <t>N° 69</t>
  </si>
  <si>
    <t>Abril - 2021</t>
  </si>
  <si>
    <t xml:space="preserve">AMPLIACION PRESUPUESTAL N°02 </t>
  </si>
  <si>
    <t>VALORIZACION DE IMPLEMENTACION COVID</t>
  </si>
  <si>
    <t>RESUMEN DE VALORIZACION  FISICA A NIVEL DE COSTO DIRECTO</t>
  </si>
  <si>
    <t>M.M DEL M.M</t>
  </si>
  <si>
    <t>063 - 2021</t>
  </si>
  <si>
    <t>Mayo - 2021</t>
  </si>
  <si>
    <t xml:space="preserve">ANTERIOR ACUMULADO </t>
  </si>
  <si>
    <t>CUADERNO 16</t>
  </si>
  <si>
    <t>CUADERNO 17</t>
  </si>
  <si>
    <t>N° 51</t>
  </si>
  <si>
    <t>N° 50</t>
  </si>
  <si>
    <t>junio - 2021</t>
  </si>
  <si>
    <t xml:space="preserve">AGOSTO </t>
  </si>
  <si>
    <t>AMP.2</t>
  </si>
  <si>
    <t>AMP.3</t>
  </si>
  <si>
    <t>SETIEMBRE</t>
  </si>
  <si>
    <t>OCTUBRE</t>
  </si>
  <si>
    <t>DICIEMBRE</t>
  </si>
  <si>
    <t>ENERO</t>
  </si>
  <si>
    <t>FEBRERO</t>
  </si>
  <si>
    <t>MARZO</t>
  </si>
  <si>
    <t xml:space="preserve">CONTRACTUAL </t>
  </si>
  <si>
    <t>AMP.4 M.M</t>
  </si>
  <si>
    <t xml:space="preserve">AMP.4 P. N </t>
  </si>
  <si>
    <t xml:space="preserve">MARZO </t>
  </si>
  <si>
    <t>JUN - OCT 2020</t>
  </si>
  <si>
    <t>AMP.4 DEDUC</t>
  </si>
  <si>
    <t>ENE - 2021</t>
  </si>
  <si>
    <t>NOV - 2020</t>
  </si>
  <si>
    <t>DIC  -2020</t>
  </si>
  <si>
    <t>CURVA "S" -  VALORIZACION DE AVANCE FISICO AL TOTAL DE COSTOS DIRECTOS (PPTO. CONTRACTUAL MAS ADICIONALES)</t>
  </si>
  <si>
    <t>INFORME CORRESPONDIENTE DEL MES DE JULIO DEL 2020</t>
  </si>
  <si>
    <t>N° 27</t>
  </si>
  <si>
    <t>N° 28</t>
  </si>
  <si>
    <t>N° 99</t>
  </si>
  <si>
    <t>julio - 2021</t>
  </si>
  <si>
    <t xml:space="preserve">RECURSOS ORDINARIOS - DETERMINADOS </t>
  </si>
  <si>
    <t>VALORIZACION N° 08  DE LA AMPLIACION PRESUPUESTAL N° 3</t>
  </si>
  <si>
    <t>CUADERNO 18</t>
  </si>
  <si>
    <t>N° 01</t>
  </si>
  <si>
    <t>N° 22</t>
  </si>
  <si>
    <t>agosto - 2021</t>
  </si>
  <si>
    <t>N° 23</t>
  </si>
  <si>
    <t>N° 40</t>
  </si>
  <si>
    <t>Setiembre - 2021</t>
  </si>
  <si>
    <t>RESUMEN DE VALORIZACION SETIEMBRE 2021</t>
  </si>
  <si>
    <t>22 EDUCACIÒN</t>
  </si>
  <si>
    <t>047 EDUCACION BÀSICA</t>
  </si>
  <si>
    <r>
      <t xml:space="preserve">2.3.- </t>
    </r>
    <r>
      <rPr>
        <b/>
        <u/>
        <sz val="10"/>
        <rFont val="Trebuchet MS"/>
        <family val="2"/>
      </rPr>
      <t>INFORMACIÓN FÌSICA - FINANCIERA DEL PERÌODO</t>
    </r>
  </si>
  <si>
    <t>U.M</t>
  </si>
  <si>
    <t xml:space="preserve">Nombre del responsable de la elaboraciòn del proyecto </t>
  </si>
  <si>
    <t>Ampliación de Plazo Nº 4</t>
  </si>
  <si>
    <t>183-2021</t>
  </si>
  <si>
    <t>1.1.1.- Ubicación</t>
  </si>
  <si>
    <t>1.1.2.- Función Programática</t>
  </si>
  <si>
    <t>1.1.3.- Aspectos Financieros</t>
  </si>
  <si>
    <t>TOTAL CD</t>
  </si>
  <si>
    <t>VALORIZACION</t>
  </si>
  <si>
    <t>N°</t>
  </si>
  <si>
    <t>N° 41</t>
  </si>
  <si>
    <t>N° 87</t>
  </si>
  <si>
    <t>octubre - 2021</t>
  </si>
  <si>
    <t>METRADO</t>
  </si>
  <si>
    <t>2.2.2.- ADICIONALES (MAYORES METRADOS-  AMPLIACION PRESUPUESTAL N° 04)</t>
  </si>
  <si>
    <t>2.2.3.- ADICIONALES (PARTIDAS NUEVAS -  AMPLIACION PRESUPUESTAL N° 04)</t>
  </si>
  <si>
    <t>2.2.1.- EXPEDIENTE APROBADO</t>
  </si>
  <si>
    <t>: 25/01/2022</t>
  </si>
  <si>
    <t>DEDUCTIVO</t>
  </si>
  <si>
    <t>TOTAL CD - DEDUCTIVO</t>
  </si>
  <si>
    <t>443-2021</t>
  </si>
  <si>
    <t>noviembre - 2021</t>
  </si>
  <si>
    <t>2.2.3.- ADICIONALES (PARTIDAS NUEVAS -  AMPLIACION PRESUPUESTAL N° 03)</t>
  </si>
  <si>
    <t>INFORME CORRESPONDIENTE AL MES DE NOVIEMBRE DEL 2021</t>
  </si>
  <si>
    <t>OBSERVACIONES:</t>
  </si>
  <si>
    <t>CUADERNO 19</t>
  </si>
  <si>
    <t>LAS PARTIDAS QUE SE DESCRIBEN A CONTINUACION SE ENCUENTRAN VALORIZADAS AL 100 %, SIN EMBARGO, EN EL PRESENTE MES SE CONTINUA CON LA EJECUCION DE DICHA PARTIDAS CON LOS SIGUIENTES METRADOS, LOS MISMOS QUE CORRESPONDERÀ A MAYORES METRADOS, LOS CUALES SE ENCUENTRAN EN ELABORACION DE PARA SU TRAMITE Y APROBACION.</t>
  </si>
  <si>
    <t>FICHA TÈCNICA DEL PROYECTO</t>
  </si>
  <si>
    <t>INFORME CORRESPONDIENTE AL MES DE DICIEMBRE DE 2021</t>
  </si>
  <si>
    <t>Diciembre de 2021</t>
  </si>
  <si>
    <t xml:space="preserve">   MES: DICIEMBRE - 2021</t>
  </si>
  <si>
    <t>Partidas del Expediente Aprobado y adicionales de obra (mayores metrados y partidas nuevas)</t>
  </si>
  <si>
    <t>MES DE DICIEMBRE - 2021</t>
  </si>
  <si>
    <t>Del 01 al 31 de Diciembre de 2021</t>
  </si>
  <si>
    <t>(DEL 13 AL 31 DE DICIEMBRE DE 2021)</t>
  </si>
  <si>
    <t>: ING. ROLANDO CHUMBES TUEROS</t>
  </si>
  <si>
    <t>FECHA  :</t>
  </si>
  <si>
    <t>INFORME MENSUAL/FINAL DE OBRA Nº 30</t>
  </si>
  <si>
    <t>VALORIZACION N° 12 DE LA AMPLIACION PRESUPUESTAL N° 04 POR PARTIDAS NUEVAS</t>
  </si>
  <si>
    <t>INFORME CORRESPONDIENTE AL MES DE DICIEMBRE 2021</t>
  </si>
  <si>
    <t>VALORIZACION N°12 DE LA AMPLIACION PRESUPUESTAL N° 4 MAYORES METRADOS</t>
  </si>
  <si>
    <t xml:space="preserve"> INFORME CORRESPONDIENTE AL MES DE DICIEMBRE DE 2021</t>
  </si>
  <si>
    <t>diciembre - 2021</t>
  </si>
  <si>
    <t>CUADERNO 20</t>
  </si>
  <si>
    <t>N° 72</t>
  </si>
  <si>
    <t>N° 73</t>
  </si>
  <si>
    <t>N° 56</t>
  </si>
  <si>
    <t xml:space="preserve">1. Recepción y verificación del cumplimiento de los términos de referencia y especificaciones técnicas de materiales de construcción que ya cuenten con orden de compra.
2. Seguimiento al trámite administrativo de la adquisición de materiales(bienes) y contratación de servicios. Se adjunta cuadro de seguimiento del tramite
3. Recepción de documentos y memorandos emitidos por la Sub Gerencia de Obras del G.R. APURIMAC, desde el primero de agosto del presenta año hasta la fecha.
4.- Emision de tareos del personal obrero
5. Emisión de conformidades de pago de órdenes de compra de materiales que se viene recepcionando.
6.- En el presente mes la ejecucion fisica de la obra inicia el dia 01, siendo las actividades las siguientes:
7.- construccion de pavimento, losa deportiva
8.- construccion de guadianias en primaria y secundaria.
9.- intalcion de sistema de desague.
10.- instalacion de sistema de agua fria.
11.- instalacion de  sistema de agua pluvial.
12.- intalacion de tuberia y cableado de instalaciones electricas.
13.- instalacion de salidas de centros de luz y tomacorrientes.
14.- intalacion de tuberia y cableado de instalaciones especiales.
15.- asentado de ladrilloas caravista.
16.- pintado en interiores y exteriores
17.-tarrajeo de interiores y exteriores
18.- instalacion de pisos y zocalos con ceramicos.
19.- Elaboracion de puertas de madera
</t>
  </si>
  <si>
    <t>Mes de: julio del 2019 - diciembre de 2021</t>
  </si>
  <si>
    <t>E=DEDUCTIVO DE OBRA, AMP. PPTAL N° 04</t>
  </si>
  <si>
    <t>COSTO DIRECTO CONTRACTUAL</t>
  </si>
  <si>
    <t>ADICIONALES A+B+C+D- DEDUCTIVO</t>
  </si>
  <si>
    <t>GG AMP.PPTAL 2 (COVID)</t>
  </si>
  <si>
    <t>GG CONTRACTUAL</t>
  </si>
  <si>
    <t>GG AMP.PPTAL 3</t>
  </si>
  <si>
    <t>CUADRO RESPECTO AL PIM (ASIGNADO 2021)</t>
  </si>
  <si>
    <t>01.01.01.01</t>
  </si>
  <si>
    <t>01.01.01.02</t>
  </si>
  <si>
    <t>01.01.01.03</t>
  </si>
  <si>
    <t>01.01.02.01</t>
  </si>
  <si>
    <t>01.01.02.02</t>
  </si>
  <si>
    <t>01.01.02.03</t>
  </si>
  <si>
    <t>01.01.02.04</t>
  </si>
  <si>
    <t>01.01.02.05</t>
  </si>
  <si>
    <t>01.01.02.06</t>
  </si>
  <si>
    <t>01.01.02.06.01</t>
  </si>
  <si>
    <t>01.01.02.06.02</t>
  </si>
  <si>
    <t>01.01.02.06.03</t>
  </si>
  <si>
    <t>01.01.03.01</t>
  </si>
  <si>
    <t>01.01.03.02</t>
  </si>
  <si>
    <t>01.01.03.03</t>
  </si>
  <si>
    <t>01.02.02.04</t>
  </si>
  <si>
    <t>01.02.02.05</t>
  </si>
  <si>
    <t>01.02.02.06</t>
  </si>
  <si>
    <t xml:space="preserve">         GABINETE DE PISO PARA COMUNICACIONES 12UR</t>
  </si>
  <si>
    <t xml:space="preserve">         GABINETE DE PARED PARA COMUNICACIONES 12UR</t>
  </si>
  <si>
    <t xml:space="preserve">         SWITCH CORE DE 24 PUERTOS RJ45 10/100/1000Mbps</t>
  </si>
  <si>
    <t xml:space="preserve">         SWITCH POE DE 24 PUERTOS RJ45 10/100/1000Mbps</t>
  </si>
  <si>
    <t xml:space="preserve">         ROUTER CLOUD CORE</t>
  </si>
  <si>
    <t xml:space="preserve">         CONFIGURACION DE EQUIPOS</t>
  </si>
  <si>
    <t xml:space="preserve">            CONFIGURACION DE SISTEMA DE DETECCION DE HUMO</t>
  </si>
  <si>
    <t xml:space="preserve">            CONFIGURACION DE TELEFONOS IP</t>
  </si>
  <si>
    <t xml:space="preserve">            CONFIGURACION DE SISTEMA DE CENTRAL TELEFONICA</t>
  </si>
  <si>
    <t xml:space="preserve">         TENDIDO DE CABLE FTP CAT 6A</t>
  </si>
  <si>
    <t xml:space="preserve">         TENDIDO DE CABLE NLT CALIBRE 12 AWG</t>
  </si>
  <si>
    <t xml:space="preserve">         PATCH PANEL 24 PUERTOS CAT6A</t>
  </si>
  <si>
    <t xml:space="preserve">         ACCESS POINT WI-FI POE OMNIDIRECCIONALES</t>
  </si>
  <si>
    <t xml:space="preserve">         CÁMARAS IP PTZ DOMO PoE IP67 IK10</t>
  </si>
  <si>
    <t xml:space="preserve">         CÁMARA IP WIFI IP67 IK10</t>
  </si>
  <si>
    <t xml:space="preserve">         TELÉFONO IP POE DE ESCRITORIO</t>
  </si>
  <si>
    <t xml:space="preserve">         TELÉFONO IP POE DE SMART</t>
  </si>
  <si>
    <t xml:space="preserve">      OBRAS PROVICIONALES</t>
  </si>
  <si>
    <t xml:space="preserve">         ARMADO DE ANDAMIOS PARA INSTALACIONES</t>
  </si>
  <si>
    <t>PPTO ADICIONALES</t>
  </si>
  <si>
    <t>PPTO</t>
  </si>
  <si>
    <t>VALORIZACIÓN DE PARTIDAS PROGRAMADAS SETIEMBRE 2022</t>
  </si>
  <si>
    <t>INFORME CORRESPONDIENTE AL MES DE SETIEMBRE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</si>
</sst>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43" formatCode="_-* #,##0.00_-;\-* #,##0.00_-;_-* &quot;-&quot;??_-;_-@_-"/>
    <numFmt numFmtId="164" formatCode="_ * #,##0.00_ ;_ * \-#,##0.00_ ;_ * &quot;-&quot;??_ ;_ @_ "/>
    <numFmt numFmtId="165" formatCode="_(&quot;S/&quot;* #,##0.00_);_(&quot;S/&quot;* \(#,##0.00\);_(&quot;S/&quot;* &quot;-&quot;??_);_(@_)"/>
    <numFmt numFmtId="166" formatCode="_(* #,##0.00_);_(* \(#,##0.00\);_(* &quot;-&quot;??_);_(@_)"/>
    <numFmt numFmtId="167" formatCode="&quot;S/.&quot;\ #,##0.00"/>
    <numFmt numFmtId="168" formatCode="_ [$€]* #,##0.00_ ;_ [$€]* \-#,##0.00_ ;_ [$€]* &quot;-&quot;??_ ;_ @_ "/>
    <numFmt numFmtId="169" formatCode="#,##0.00_);\-#,##0.00"/>
    <numFmt numFmtId="170" formatCode="#,##0.0000000000"/>
    <numFmt numFmtId="171" formatCode="[$-F800]dddd\,\ mmmm\ dd\,\ yyyy"/>
    <numFmt numFmtId="172" formatCode="#,##0.000"/>
    <numFmt numFmtId="173" formatCode="###,###,###,###,###,##0.0000"/>
    <numFmt numFmtId="174" formatCode="General_)"/>
    <numFmt numFmtId="175" formatCode="#,##0.00_ ;\-#,##0.00\ "/>
    <numFmt numFmtId="176" formatCode="0.000"/>
    <numFmt numFmtId="177" formatCode="0.0000"/>
    <numFmt numFmtId="178" formatCode="_-[$€-2]* #,##0.00_-;\-[$€-2]* #,##0.00_-;_-[$€-2]* &quot;-&quot;??_-"/>
    <numFmt numFmtId="179" formatCode="#,##0.00000000000"/>
    <numFmt numFmtId="180" formatCode="#,##0.0_ ;\-#,##0.0\ "/>
    <numFmt numFmtId="181" formatCode="0.0000000000000000%"/>
    <numFmt numFmtId="182" formatCode="0.0%"/>
    <numFmt numFmtId="183" formatCode="_-* #,##0.00\ [$€]_-;\-* #,##0.00\ [$€]_-;_-* &quot;-&quot;??\ [$€]_-;_-@_-"/>
    <numFmt numFmtId="184" formatCode="_-* #,##0.00\ _€_-;\-* #,##0.00\ _€_-;_-* &quot;-&quot;??\ _€_-;_-@_-"/>
    <numFmt numFmtId="185" formatCode="_ * #,##0.0000_ ;_ * \-#,##0.0000_ ;_ * &quot;-&quot;??_ ;_ @_ "/>
    <numFmt numFmtId="186" formatCode="_-[$S/-280A]* #,##0.00_-;\-[$S/-280A]* #,##0.00_-;_-[$S/-280A]* &quot;-&quot;??_-;_-@_-"/>
  </numFmts>
  <fonts count="200">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9"/>
      <name val="Arial"/>
      <family val="2"/>
    </font>
    <font>
      <b/>
      <sz val="9"/>
      <name val="Arial"/>
      <family val="2"/>
    </font>
    <font>
      <b/>
      <sz val="8"/>
      <name val="Arial"/>
      <family val="2"/>
    </font>
    <font>
      <sz val="10"/>
      <name val="Arial"/>
      <family val="2"/>
    </font>
    <font>
      <sz val="8"/>
      <name val="Arial"/>
      <family val="2"/>
    </font>
    <font>
      <sz val="8"/>
      <color indexed="10"/>
      <name val="Arial Narrow"/>
      <family val="2"/>
    </font>
    <font>
      <sz val="8"/>
      <name val="Arial Narrow"/>
      <family val="2"/>
    </font>
    <font>
      <sz val="8"/>
      <color indexed="57"/>
      <name val="Arial Narrow"/>
      <family val="2"/>
    </font>
    <font>
      <sz val="8"/>
      <color indexed="72"/>
      <name val="Arial Narrow"/>
      <family val="2"/>
    </font>
    <font>
      <b/>
      <sz val="8"/>
      <name val="Arial Narrow"/>
      <family val="2"/>
    </font>
    <font>
      <b/>
      <sz val="10"/>
      <name val="Arial"/>
      <family val="2"/>
    </font>
    <font>
      <sz val="10"/>
      <color indexed="8"/>
      <name val="MS Sans Serif"/>
      <family val="2"/>
    </font>
    <font>
      <b/>
      <sz val="8"/>
      <color indexed="8"/>
      <name val="Arial"/>
      <family val="2"/>
    </font>
    <font>
      <b/>
      <u/>
      <sz val="9"/>
      <name val="Arial"/>
      <family val="2"/>
    </font>
    <font>
      <b/>
      <sz val="11"/>
      <name val="Arial"/>
      <family val="2"/>
    </font>
    <font>
      <b/>
      <u/>
      <sz val="12"/>
      <name val="ARIAL"/>
      <family val="2"/>
    </font>
    <font>
      <b/>
      <i/>
      <sz val="9"/>
      <name val="Arial"/>
      <family val="2"/>
    </font>
    <font>
      <b/>
      <i/>
      <sz val="12"/>
      <name val="Arial"/>
      <family val="2"/>
    </font>
    <font>
      <i/>
      <sz val="9"/>
      <name val="Arial"/>
      <family val="2"/>
    </font>
    <font>
      <b/>
      <i/>
      <sz val="11"/>
      <name val="Arial"/>
      <family val="2"/>
    </font>
    <font>
      <sz val="10"/>
      <name val="MS Sans Serif"/>
      <family val="2"/>
    </font>
    <font>
      <b/>
      <sz val="8"/>
      <name val="Times New Roman"/>
      <family val="1"/>
    </font>
    <font>
      <sz val="8"/>
      <name val="Times New Roman"/>
      <family val="1"/>
    </font>
    <font>
      <sz val="11"/>
      <name val="Arial"/>
      <family val="2"/>
    </font>
    <font>
      <sz val="8"/>
      <color indexed="8"/>
      <name val="Arial"/>
      <family val="2"/>
    </font>
    <font>
      <b/>
      <u/>
      <sz val="8"/>
      <color indexed="8"/>
      <name val="Arial"/>
      <family val="2"/>
    </font>
    <font>
      <sz val="8"/>
      <color indexed="8"/>
      <name val="MS Sans Serif"/>
      <family val="2"/>
    </font>
    <font>
      <b/>
      <sz val="10"/>
      <name val="Arial Narrow"/>
      <family val="2"/>
    </font>
    <font>
      <sz val="10"/>
      <name val="Arial Narrow"/>
      <family val="2"/>
    </font>
    <font>
      <sz val="9"/>
      <name val="Arial Narrow"/>
      <family val="2"/>
    </font>
    <font>
      <i/>
      <sz val="10"/>
      <name val="Arial"/>
      <family val="2"/>
    </font>
    <font>
      <sz val="9"/>
      <color indexed="8"/>
      <name val="Arial"/>
      <family val="2"/>
    </font>
    <font>
      <sz val="9"/>
      <color indexed="8"/>
      <name val="Calibri"/>
      <family val="2"/>
    </font>
    <font>
      <sz val="9"/>
      <color indexed="8"/>
      <name val="MS Sans Serif"/>
      <family val="2"/>
    </font>
    <font>
      <b/>
      <sz val="10"/>
      <color indexed="8"/>
      <name val="MS Sans Serif"/>
      <family val="2"/>
    </font>
    <font>
      <b/>
      <sz val="11"/>
      <color indexed="8"/>
      <name val="MS Sans Serif"/>
      <family val="2"/>
    </font>
    <font>
      <b/>
      <sz val="12"/>
      <name val="Arial Narrow"/>
      <family val="2"/>
    </font>
    <font>
      <sz val="12"/>
      <name val="Arial"/>
      <family val="2"/>
    </font>
    <font>
      <sz val="12"/>
      <name val="Arial Narrow"/>
      <family val="2"/>
    </font>
    <font>
      <sz val="10"/>
      <color indexed="8"/>
      <name val="Arial"/>
      <family val="2"/>
    </font>
    <font>
      <b/>
      <sz val="14"/>
      <name val="Arial"/>
      <family val="2"/>
    </font>
    <font>
      <sz val="8"/>
      <color indexed="10"/>
      <name val="Arial"/>
      <family val="2"/>
    </font>
    <font>
      <sz val="8"/>
      <color indexed="30"/>
      <name val="Arial"/>
      <family val="2"/>
    </font>
    <font>
      <sz val="8"/>
      <color indexed="9"/>
      <name val="Arial"/>
      <family val="2"/>
    </font>
    <font>
      <b/>
      <sz val="12"/>
      <name val="Arial"/>
      <family val="2"/>
    </font>
    <font>
      <b/>
      <sz val="10"/>
      <name val="Garamond"/>
      <family val="1"/>
    </font>
    <font>
      <sz val="8"/>
      <name val="Garamond"/>
      <family val="1"/>
    </font>
    <font>
      <b/>
      <sz val="8"/>
      <name val="Garamond"/>
      <family val="1"/>
    </font>
    <font>
      <sz val="9"/>
      <name val="Century Gothic"/>
      <family val="2"/>
    </font>
    <font>
      <b/>
      <u/>
      <sz val="14"/>
      <name val="Century Gothic"/>
      <family val="2"/>
    </font>
    <font>
      <b/>
      <sz val="10"/>
      <name val="Century Gothic"/>
      <family val="2"/>
    </font>
    <font>
      <b/>
      <sz val="10"/>
      <color indexed="8"/>
      <name val="Century Gothic"/>
      <family val="2"/>
    </font>
    <font>
      <sz val="11"/>
      <color theme="1"/>
      <name val="Calibri"/>
      <family val="2"/>
      <scheme val="minor"/>
    </font>
    <font>
      <sz val="11"/>
      <name val="Calibri"/>
      <family val="2"/>
      <scheme val="minor"/>
    </font>
    <font>
      <sz val="9"/>
      <color theme="1"/>
      <name val="Arial"/>
      <family val="2"/>
    </font>
    <font>
      <b/>
      <sz val="9"/>
      <color theme="1"/>
      <name val="Arial"/>
      <family val="2"/>
    </font>
    <font>
      <sz val="8"/>
      <color rgb="FFFF0000"/>
      <name val="Arial"/>
      <family val="2"/>
    </font>
    <font>
      <sz val="8"/>
      <color rgb="FF000080"/>
      <name val="Arial"/>
      <family val="2"/>
    </font>
    <font>
      <sz val="8"/>
      <color rgb="FF003300"/>
      <name val="Arial"/>
      <family val="2"/>
    </font>
    <font>
      <b/>
      <sz val="8"/>
      <color rgb="FFFF0000"/>
      <name val="Arial"/>
      <family val="2"/>
    </font>
    <font>
      <b/>
      <sz val="10"/>
      <color rgb="FFFF0000"/>
      <name val="Arial Narrow"/>
      <family val="2"/>
    </font>
    <font>
      <sz val="8"/>
      <color theme="0"/>
      <name val="Arial"/>
      <family val="2"/>
    </font>
    <font>
      <b/>
      <sz val="8"/>
      <color rgb="FF000080"/>
      <name val="Arial"/>
      <family val="2"/>
    </font>
    <font>
      <b/>
      <sz val="8"/>
      <color theme="4"/>
      <name val="Arial"/>
      <family val="2"/>
    </font>
    <font>
      <sz val="10"/>
      <name val="Calibri"/>
      <family val="2"/>
      <scheme val="minor"/>
    </font>
    <font>
      <b/>
      <sz val="10"/>
      <color rgb="FFFF0000"/>
      <name val="Arial"/>
      <family val="2"/>
    </font>
    <font>
      <b/>
      <sz val="10"/>
      <name val="Book Antiqua"/>
      <family val="1"/>
    </font>
    <font>
      <sz val="11"/>
      <color indexed="8"/>
      <name val="Calibri"/>
      <family val="2"/>
    </font>
    <font>
      <b/>
      <sz val="12"/>
      <name val="Century Gothic"/>
      <family val="2"/>
    </font>
    <font>
      <sz val="10"/>
      <color theme="1"/>
      <name val="Palatino Linotype"/>
      <family val="2"/>
    </font>
    <font>
      <sz val="12"/>
      <color rgb="FFFF0000"/>
      <name val="Palatino Linotype"/>
      <family val="2"/>
    </font>
    <font>
      <sz val="10"/>
      <color rgb="FFFF0000"/>
      <name val="Palatino Linotype"/>
      <family val="2"/>
    </font>
    <font>
      <b/>
      <sz val="10"/>
      <color theme="1"/>
      <name val="Palatino Linotype"/>
      <family val="1"/>
    </font>
    <font>
      <b/>
      <sz val="10"/>
      <name val="Palatino Linotype"/>
      <family val="1"/>
    </font>
    <font>
      <sz val="10"/>
      <name val="Palatino Linotype"/>
      <family val="1"/>
    </font>
    <font>
      <sz val="10"/>
      <name val="Palatino Linotype"/>
      <family val="2"/>
    </font>
    <font>
      <b/>
      <sz val="10"/>
      <color theme="8" tint="-0.499984740745262"/>
      <name val="Palatino Linotype"/>
      <family val="1"/>
    </font>
    <font>
      <sz val="8"/>
      <color theme="1"/>
      <name val="Arial"/>
      <family val="2"/>
    </font>
    <font>
      <sz val="8"/>
      <color rgb="FF3366FF"/>
      <name val="Arial"/>
      <family val="2"/>
    </font>
    <font>
      <sz val="8"/>
      <color rgb="FF339966"/>
      <name val="Arial"/>
      <family val="2"/>
    </font>
    <font>
      <sz val="8.25"/>
      <color rgb="FF000000"/>
      <name val="Palatino Linotype"/>
      <family val="2"/>
    </font>
    <font>
      <sz val="8.25"/>
      <color theme="1"/>
      <name val="Palatino Linotype"/>
      <family val="2"/>
    </font>
    <font>
      <sz val="10"/>
      <name val="Antique Olive"/>
      <family val="2"/>
    </font>
    <font>
      <b/>
      <sz val="18"/>
      <name val="Antique Olive"/>
      <family val="2"/>
    </font>
    <font>
      <b/>
      <sz val="8"/>
      <color theme="1"/>
      <name val="Arial"/>
      <family val="2"/>
    </font>
    <font>
      <sz val="8"/>
      <color theme="1"/>
      <name val="Arial Narrow"/>
      <family val="2"/>
    </font>
    <font>
      <b/>
      <sz val="9"/>
      <color rgb="FFFF0000"/>
      <name val="Arial"/>
      <family val="2"/>
    </font>
    <font>
      <sz val="10"/>
      <name val="Garamond"/>
      <family val="1"/>
    </font>
    <font>
      <sz val="10"/>
      <color rgb="FFFF0000"/>
      <name val="Garamond"/>
      <family val="1"/>
    </font>
    <font>
      <sz val="10"/>
      <color theme="1"/>
      <name val="Garamond"/>
      <family val="1"/>
    </font>
    <font>
      <b/>
      <sz val="10"/>
      <color theme="1"/>
      <name val="Garamond"/>
      <family val="1"/>
    </font>
    <font>
      <b/>
      <sz val="10"/>
      <color rgb="FFFF0000"/>
      <name val="Garamond"/>
      <family val="1"/>
    </font>
    <font>
      <sz val="8"/>
      <name val="Calibri"/>
      <family val="2"/>
      <scheme val="minor"/>
    </font>
    <font>
      <sz val="10"/>
      <color theme="0"/>
      <name val="Arial"/>
      <family val="2"/>
    </font>
    <font>
      <sz val="8"/>
      <color theme="0"/>
      <name val="Arial Narrow"/>
      <family val="2"/>
    </font>
    <font>
      <b/>
      <sz val="11"/>
      <color theme="1"/>
      <name val="Calibri"/>
      <family val="2"/>
      <scheme val="minor"/>
    </font>
    <font>
      <sz val="8"/>
      <name val="Swis721 LtEx BT"/>
      <family val="2"/>
    </font>
    <font>
      <b/>
      <sz val="10"/>
      <color rgb="FF000000"/>
      <name val="Swis721 Lt BT"/>
      <family val="2"/>
    </font>
    <font>
      <b/>
      <sz val="8"/>
      <name val="Swis721 LtEx BT"/>
      <family val="2"/>
    </font>
    <font>
      <sz val="10"/>
      <color rgb="FF000000"/>
      <name val="Swis721 Lt BT"/>
      <family val="2"/>
    </font>
    <font>
      <sz val="10"/>
      <name val="Trebuchet MS"/>
      <family val="2"/>
    </font>
    <font>
      <b/>
      <sz val="10"/>
      <name val="Trebuchet MS"/>
      <family val="2"/>
    </font>
    <font>
      <b/>
      <u/>
      <sz val="10"/>
      <name val="Trebuchet MS"/>
      <family val="2"/>
    </font>
    <font>
      <b/>
      <sz val="9"/>
      <name val="Garamond"/>
      <family val="1"/>
    </font>
    <font>
      <sz val="9"/>
      <color indexed="81"/>
      <name val="Tahoma"/>
      <family val="2"/>
    </font>
    <font>
      <b/>
      <sz val="9"/>
      <color indexed="81"/>
      <name val="Tahoma"/>
      <family val="2"/>
    </font>
    <font>
      <sz val="8"/>
      <color theme="1"/>
      <name val="Garamond"/>
      <family val="1"/>
    </font>
    <font>
      <sz val="18"/>
      <name val="Garamond"/>
      <family val="1"/>
    </font>
    <font>
      <b/>
      <sz val="18"/>
      <name val="Garamond"/>
      <family val="1"/>
    </font>
    <font>
      <sz val="5"/>
      <name val="Garamond"/>
      <family val="1"/>
    </font>
    <font>
      <b/>
      <sz val="12"/>
      <name val="Garamond"/>
      <family val="1"/>
    </font>
    <font>
      <sz val="9"/>
      <name val="Garamond"/>
      <family val="1"/>
    </font>
    <font>
      <u/>
      <sz val="10"/>
      <name val="Trebuchet MS"/>
      <family val="2"/>
    </font>
    <font>
      <b/>
      <i/>
      <sz val="10"/>
      <name val="Trebuchet MS"/>
      <family val="2"/>
    </font>
    <font>
      <sz val="10"/>
      <color indexed="12"/>
      <name val="Trebuchet MS"/>
      <family val="2"/>
    </font>
    <font>
      <sz val="9"/>
      <name val="Swis721 LtEx BT"/>
      <family val="2"/>
    </font>
    <font>
      <b/>
      <sz val="9"/>
      <name val="Arial Narrow"/>
      <family val="2"/>
    </font>
    <font>
      <b/>
      <sz val="9"/>
      <color indexed="8"/>
      <name val="Arial Narrow"/>
      <family val="2"/>
    </font>
    <font>
      <b/>
      <sz val="9"/>
      <color indexed="72"/>
      <name val="Arial Narrow"/>
      <family val="2"/>
    </font>
    <font>
      <sz val="10"/>
      <name val="Arial"/>
      <family val="2"/>
    </font>
    <font>
      <b/>
      <sz val="8"/>
      <color rgb="FF0070C0"/>
      <name val="Arial"/>
      <family val="2"/>
    </font>
    <font>
      <b/>
      <sz val="8"/>
      <color rgb="FF00B0F0"/>
      <name val="Arial"/>
      <family val="2"/>
    </font>
    <font>
      <b/>
      <sz val="8"/>
      <color rgb="FF00B050"/>
      <name val="Arial"/>
      <family val="2"/>
    </font>
    <font>
      <sz val="10"/>
      <color indexed="8"/>
      <name val="Arial Narrow"/>
      <family val="2"/>
    </font>
    <font>
      <sz val="9"/>
      <color theme="1"/>
      <name val="Arial Narrow"/>
      <family val="2"/>
    </font>
    <font>
      <b/>
      <i/>
      <sz val="10"/>
      <name val="Arial"/>
      <family val="2"/>
    </font>
    <font>
      <sz val="10"/>
      <name val="Arial "/>
    </font>
    <font>
      <i/>
      <sz val="8"/>
      <name val="Arial Narrow"/>
      <family val="2"/>
    </font>
    <font>
      <i/>
      <sz val="10"/>
      <color rgb="FFFF0000"/>
      <name val="Arial"/>
      <family val="2"/>
    </font>
    <font>
      <sz val="10"/>
      <color rgb="FFFF0000"/>
      <name val="Arial"/>
      <family val="2"/>
    </font>
    <font>
      <sz val="10"/>
      <color rgb="FFFF0000"/>
      <name val="Trebuchet MS"/>
      <family val="2"/>
    </font>
    <font>
      <sz val="10"/>
      <color theme="1"/>
      <name val="Trebuchet MS"/>
      <family val="2"/>
    </font>
    <font>
      <sz val="10"/>
      <name val="Century Gothic"/>
      <family val="2"/>
    </font>
    <font>
      <sz val="10"/>
      <name val="Arial"/>
      <family val="2"/>
    </font>
    <font>
      <b/>
      <sz val="14"/>
      <name val="Arial Narrow"/>
      <family val="2"/>
    </font>
    <font>
      <b/>
      <sz val="12"/>
      <name val="Arial Black"/>
      <family val="2"/>
    </font>
    <font>
      <b/>
      <sz val="10"/>
      <name val="Cambria"/>
      <family val="1"/>
      <scheme val="major"/>
    </font>
    <font>
      <b/>
      <sz val="10"/>
      <name val="Arial Rounded MT Bold"/>
      <family val="2"/>
    </font>
    <font>
      <b/>
      <u/>
      <sz val="16"/>
      <name val="Arial Narrow"/>
      <family val="2"/>
    </font>
    <font>
      <b/>
      <sz val="11"/>
      <name val="Arial Narrow"/>
      <family val="2"/>
    </font>
    <font>
      <sz val="10"/>
      <color rgb="FF000000"/>
      <name val="Arial Narrow"/>
      <family val="2"/>
    </font>
    <font>
      <sz val="10"/>
      <color theme="1"/>
      <name val="Arial Narrow"/>
      <family val="2"/>
    </font>
    <font>
      <b/>
      <sz val="9"/>
      <color rgb="FFFF0000"/>
      <name val="Arial Narrow"/>
      <family val="2"/>
    </font>
    <font>
      <sz val="8"/>
      <color theme="1"/>
      <name val="Trebuchet MS"/>
      <family val="2"/>
    </font>
    <font>
      <b/>
      <sz val="8"/>
      <color theme="1"/>
      <name val="Trebuchet MS"/>
      <family val="2"/>
    </font>
    <font>
      <sz val="9"/>
      <name val="Trebuchet MS"/>
      <family val="2"/>
    </font>
    <font>
      <b/>
      <sz val="10"/>
      <color rgb="FFFF0000"/>
      <name val="Trebuchet MS"/>
      <family val="2"/>
    </font>
    <font>
      <b/>
      <sz val="10"/>
      <color theme="1"/>
      <name val="Trebuchet MS"/>
      <family val="2"/>
    </font>
    <font>
      <sz val="10"/>
      <color theme="0"/>
      <name val="Trebuchet MS"/>
      <family val="2"/>
    </font>
    <font>
      <sz val="11"/>
      <name val="Trebuchet MS"/>
      <family val="2"/>
    </font>
    <font>
      <b/>
      <sz val="10"/>
      <color theme="1"/>
      <name val="Arial"/>
      <family val="2"/>
    </font>
    <font>
      <b/>
      <sz val="12"/>
      <name val="Trebuchet MS"/>
      <family val="2"/>
    </font>
    <font>
      <b/>
      <u/>
      <sz val="14"/>
      <name val="Arial"/>
      <family val="2"/>
    </font>
    <font>
      <b/>
      <sz val="11"/>
      <color theme="1"/>
      <name val="Arial"/>
      <family val="2"/>
    </font>
    <font>
      <b/>
      <sz val="9"/>
      <color theme="1"/>
      <name val="Arial Narrow"/>
      <family val="2"/>
    </font>
    <font>
      <b/>
      <sz val="10"/>
      <color theme="1"/>
      <name val="Arial Narrow"/>
      <family val="2"/>
    </font>
    <font>
      <b/>
      <sz val="10"/>
      <color rgb="FF0070C0"/>
      <name val="Arial Narrow"/>
      <family val="2"/>
    </font>
    <font>
      <b/>
      <sz val="8"/>
      <color rgb="FF0070C0"/>
      <name val="Arial Narrow"/>
      <family val="2"/>
    </font>
    <font>
      <sz val="10"/>
      <color indexed="10"/>
      <name val="Arial Narrow"/>
      <family val="2"/>
    </font>
    <font>
      <sz val="10"/>
      <color indexed="57"/>
      <name val="Arial Narrow"/>
      <family val="2"/>
    </font>
    <font>
      <sz val="10"/>
      <color indexed="48"/>
      <name val="Arial Narrow"/>
      <family val="2"/>
    </font>
    <font>
      <sz val="10"/>
      <color indexed="14"/>
      <name val="Arial Narrow"/>
      <family val="2"/>
    </font>
    <font>
      <sz val="10"/>
      <color indexed="72"/>
      <name val="Arial Narrow"/>
      <family val="2"/>
    </font>
    <font>
      <sz val="12"/>
      <name val="Agency FB"/>
      <family val="2"/>
    </font>
    <font>
      <b/>
      <sz val="12"/>
      <name val="Agency FB"/>
      <family val="2"/>
    </font>
    <font>
      <b/>
      <sz val="12"/>
      <color rgb="FF000000"/>
      <name val="Agency FB"/>
      <family val="2"/>
    </font>
    <font>
      <b/>
      <sz val="12"/>
      <color theme="1"/>
      <name val="Agency FB"/>
      <family val="2"/>
    </font>
    <font>
      <sz val="12"/>
      <color rgb="FF000000"/>
      <name val="Agency FB"/>
      <family val="2"/>
    </font>
    <font>
      <b/>
      <sz val="12"/>
      <color rgb="FF002060"/>
      <name val="Agency FB"/>
      <family val="2"/>
    </font>
    <font>
      <b/>
      <sz val="14"/>
      <color rgb="FF002060"/>
      <name val="Agency FB"/>
      <family val="2"/>
    </font>
    <font>
      <sz val="9"/>
      <color rgb="FFFF0000"/>
      <name val="Arial Narrow"/>
      <family val="2"/>
    </font>
    <font>
      <sz val="8"/>
      <color rgb="FFFF0000"/>
      <name val="Arial Narrow"/>
      <family val="2"/>
    </font>
    <font>
      <sz val="9"/>
      <color theme="0"/>
      <name val="Arial Narrow"/>
      <family val="2"/>
    </font>
    <font>
      <b/>
      <sz val="9"/>
      <color theme="0"/>
      <name val="Arial Narrow"/>
      <family val="2"/>
    </font>
    <font>
      <b/>
      <sz val="13"/>
      <color theme="1"/>
      <name val="Agency FB"/>
      <family val="2"/>
    </font>
    <font>
      <b/>
      <sz val="10"/>
      <color theme="4"/>
      <name val="Arial Narrow"/>
      <family val="2"/>
    </font>
    <font>
      <b/>
      <sz val="10"/>
      <color indexed="8"/>
      <name val="Arial Narrow"/>
      <family val="2"/>
    </font>
    <font>
      <b/>
      <sz val="10"/>
      <color indexed="14"/>
      <name val="Arial Narrow"/>
      <family val="2"/>
    </font>
    <font>
      <b/>
      <sz val="10"/>
      <color indexed="48"/>
      <name val="Arial Narrow"/>
      <family val="2"/>
    </font>
    <font>
      <b/>
      <sz val="10"/>
      <color indexed="10"/>
      <name val="Arial Narrow"/>
      <family val="2"/>
    </font>
    <font>
      <b/>
      <sz val="10"/>
      <color indexed="57"/>
      <name val="Arial Narrow"/>
      <family val="2"/>
    </font>
    <font>
      <sz val="12"/>
      <color theme="1"/>
      <name val="Agency FB"/>
      <family val="2"/>
    </font>
    <font>
      <sz val="8"/>
      <color indexed="10"/>
      <name val="Arial"/>
    </font>
    <font>
      <sz val="8"/>
      <color indexed="57"/>
      <name val="Arial"/>
    </font>
    <font>
      <sz val="8"/>
      <color indexed="48"/>
      <name val="Arial"/>
    </font>
    <font>
      <sz val="8"/>
      <color indexed="72"/>
      <name val="Arial"/>
    </font>
    <font>
      <sz val="8"/>
      <color indexed="14"/>
      <name val="Arial"/>
    </font>
  </fonts>
  <fills count="32">
    <fill>
      <patternFill patternType="none"/>
    </fill>
    <fill>
      <patternFill patternType="gray125"/>
    </fill>
    <fill>
      <patternFill patternType="solid">
        <fgColor indexed="22"/>
        <bgColor indexed="64"/>
      </patternFill>
    </fill>
    <fill>
      <patternFill patternType="solid">
        <fgColor indexed="17"/>
        <bgColor indexed="64"/>
      </patternFill>
    </fill>
    <fill>
      <patternFill patternType="solid">
        <fgColor theme="0"/>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rgb="FFFFFF00"/>
        <bgColor indexed="64"/>
      </patternFill>
    </fill>
    <fill>
      <patternFill patternType="solid">
        <fgColor rgb="FFC0C0C0"/>
        <bgColor indexed="64"/>
      </patternFill>
    </fill>
    <fill>
      <patternFill patternType="solid">
        <fgColor indexed="9"/>
        <bgColor indexed="64"/>
      </patternFill>
    </fill>
    <fill>
      <patternFill patternType="solid">
        <fgColor theme="8" tint="0.59999389629810485"/>
        <bgColor indexed="64"/>
      </patternFill>
    </fill>
    <fill>
      <patternFill patternType="solid">
        <fgColor rgb="FFFFC000"/>
        <bgColor indexed="64"/>
      </patternFill>
    </fill>
    <fill>
      <patternFill patternType="solid">
        <fgColor theme="4" tint="0.59999389629810485"/>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0000"/>
        <bgColor indexed="64"/>
      </patternFill>
    </fill>
    <fill>
      <patternFill patternType="solid">
        <fgColor rgb="FF92D050"/>
        <bgColor indexed="64"/>
      </patternFill>
    </fill>
    <fill>
      <patternFill patternType="solid">
        <fgColor rgb="FF00B0F0"/>
        <bgColor indexed="64"/>
      </patternFill>
    </fill>
    <fill>
      <patternFill patternType="solid">
        <fgColor theme="3" tint="0.39997558519241921"/>
        <bgColor indexed="64"/>
      </patternFill>
    </fill>
    <fill>
      <patternFill patternType="solid">
        <fgColor theme="4"/>
        <bgColor indexed="64"/>
      </patternFill>
    </fill>
    <fill>
      <patternFill patternType="solid">
        <fgColor rgb="FF0070C0"/>
        <bgColor indexed="64"/>
      </patternFill>
    </fill>
    <fill>
      <patternFill patternType="solid">
        <fgColor theme="4" tint="0.39997558519241921"/>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6" tint="0.79998168889431442"/>
        <bgColor indexed="64"/>
      </patternFill>
    </fill>
    <fill>
      <patternFill patternType="solid">
        <fgColor theme="5" tint="0.59999389629810485"/>
        <bgColor indexed="64"/>
      </patternFill>
    </fill>
    <fill>
      <patternFill patternType="solid">
        <fgColor theme="0" tint="-0.249977111117893"/>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rgb="FF37C923"/>
        <bgColor indexed="64"/>
      </patternFill>
    </fill>
    <fill>
      <patternFill patternType="solid">
        <fgColor theme="0" tint="-0.14999847407452621"/>
        <bgColor indexed="64"/>
      </patternFill>
    </fill>
  </fills>
  <borders count="96">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style="thin">
        <color indexed="64"/>
      </top>
      <bottom style="hair">
        <color indexed="64"/>
      </bottom>
      <diagonal/>
    </border>
    <border>
      <left style="medium">
        <color indexed="64"/>
      </left>
      <right style="medium">
        <color indexed="64"/>
      </right>
      <top style="hair">
        <color indexed="64"/>
      </top>
      <bottom style="hair">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style="medium">
        <color indexed="64"/>
      </right>
      <top style="hair">
        <color indexed="64"/>
      </top>
      <bottom style="thin">
        <color indexed="64"/>
      </bottom>
      <diagonal/>
    </border>
    <border>
      <left/>
      <right/>
      <top style="thin">
        <color indexed="64"/>
      </top>
      <bottom/>
      <diagonal/>
    </border>
    <border>
      <left/>
      <right style="thin">
        <color indexed="64"/>
      </right>
      <top style="thin">
        <color indexed="64"/>
      </top>
      <bottom/>
      <diagonal/>
    </border>
    <border>
      <left/>
      <right style="medium">
        <color indexed="64"/>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right style="medium">
        <color indexed="64"/>
      </right>
      <top style="hair">
        <color indexed="64"/>
      </top>
      <bottom style="hair">
        <color indexed="64"/>
      </bottom>
      <diagonal/>
    </border>
    <border>
      <left style="medium">
        <color indexed="64"/>
      </left>
      <right style="medium">
        <color indexed="64"/>
      </right>
      <top/>
      <bottom style="hair">
        <color indexed="64"/>
      </bottom>
      <diagonal/>
    </border>
    <border>
      <left style="medium">
        <color indexed="64"/>
      </left>
      <right style="medium">
        <color indexed="64"/>
      </right>
      <top/>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right/>
      <top style="medium">
        <color indexed="64"/>
      </top>
      <bottom style="thin">
        <color indexed="64"/>
      </bottom>
      <diagonal/>
    </border>
    <border>
      <left/>
      <right/>
      <top style="thin">
        <color indexed="64"/>
      </top>
      <bottom style="medium">
        <color indexed="64"/>
      </bottom>
      <diagonal/>
    </border>
    <border>
      <left style="medium">
        <color indexed="64"/>
      </left>
      <right/>
      <top style="thin">
        <color indexed="64"/>
      </top>
      <bottom/>
      <diagonal/>
    </border>
    <border>
      <left style="thin">
        <color indexed="64"/>
      </left>
      <right/>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thin">
        <color indexed="64"/>
      </left>
      <right/>
      <top style="medium">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medium">
        <color indexed="64"/>
      </bottom>
      <diagonal/>
    </border>
    <border>
      <left/>
      <right style="medium">
        <color indexed="64"/>
      </right>
      <top style="medium">
        <color indexed="64"/>
      </top>
      <bottom/>
      <diagonal/>
    </border>
    <border>
      <left style="thin">
        <color indexed="64"/>
      </left>
      <right style="thin">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medium">
        <color indexed="64"/>
      </right>
      <top/>
      <bottom style="medium">
        <color indexed="64"/>
      </bottom>
      <diagonal/>
    </border>
    <border>
      <left/>
      <right style="medium">
        <color indexed="64"/>
      </right>
      <top style="thin">
        <color indexed="64"/>
      </top>
      <bottom/>
      <diagonal/>
    </border>
    <border>
      <left style="thin">
        <color indexed="64"/>
      </left>
      <right style="hair">
        <color indexed="22"/>
      </right>
      <top style="thin">
        <color indexed="64"/>
      </top>
      <bottom/>
      <diagonal/>
    </border>
    <border>
      <left style="hair">
        <color indexed="22"/>
      </left>
      <right style="hair">
        <color indexed="22"/>
      </right>
      <top style="thin">
        <color indexed="64"/>
      </top>
      <bottom/>
      <diagonal/>
    </border>
    <border>
      <left style="hair">
        <color indexed="22"/>
      </left>
      <right style="thin">
        <color indexed="64"/>
      </right>
      <top style="thin">
        <color indexed="64"/>
      </top>
      <bottom/>
      <diagonal/>
    </border>
    <border>
      <left style="thin">
        <color indexed="64"/>
      </left>
      <right style="hair">
        <color indexed="22"/>
      </right>
      <top/>
      <bottom style="thin">
        <color indexed="64"/>
      </bottom>
      <diagonal/>
    </border>
    <border>
      <left style="hair">
        <color indexed="22"/>
      </left>
      <right style="hair">
        <color indexed="22"/>
      </right>
      <top/>
      <bottom style="thin">
        <color indexed="64"/>
      </bottom>
      <diagonal/>
    </border>
    <border>
      <left style="hair">
        <color indexed="22"/>
      </left>
      <right style="thin">
        <color indexed="64"/>
      </right>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thin">
        <color indexed="64"/>
      </right>
      <top style="medium">
        <color indexed="64"/>
      </top>
      <bottom/>
      <diagonal/>
    </border>
    <border>
      <left style="thin">
        <color indexed="64"/>
      </left>
      <right style="medium">
        <color indexed="64"/>
      </right>
      <top/>
      <bottom/>
      <diagonal/>
    </border>
    <border>
      <left style="thin">
        <color indexed="64"/>
      </left>
      <right style="medium">
        <color indexed="64"/>
      </right>
      <top style="medium">
        <color indexed="64"/>
      </top>
      <bottom/>
      <diagonal/>
    </border>
    <border>
      <left style="thin">
        <color indexed="64"/>
      </left>
      <right/>
      <top style="medium">
        <color indexed="64"/>
      </top>
      <bottom/>
      <diagonal/>
    </border>
    <border>
      <left style="thin">
        <color indexed="64"/>
      </left>
      <right style="thin">
        <color indexed="64"/>
      </right>
      <top/>
      <bottom style="hair">
        <color indexed="64"/>
      </bottom>
      <diagonal/>
    </border>
    <border>
      <left style="thin">
        <color indexed="64"/>
      </left>
      <right/>
      <top style="medium">
        <color indexed="64"/>
      </top>
      <bottom style="medium">
        <color indexed="64"/>
      </bottom>
      <diagonal/>
    </border>
    <border>
      <left/>
      <right style="thin">
        <color indexed="64"/>
      </right>
      <top/>
      <bottom/>
      <diagonal/>
    </border>
    <border>
      <left/>
      <right style="thin">
        <color indexed="64"/>
      </right>
      <top style="medium">
        <color indexed="64"/>
      </top>
      <bottom style="medium">
        <color indexed="64"/>
      </bottom>
      <diagonal/>
    </border>
    <border>
      <left/>
      <right style="thin">
        <color indexed="64"/>
      </right>
      <top/>
      <bottom style="medium">
        <color indexed="64"/>
      </bottom>
      <diagonal/>
    </border>
    <border>
      <left/>
      <right style="medium">
        <color indexed="64"/>
      </right>
      <top style="medium">
        <color indexed="64"/>
      </top>
      <bottom style="thin">
        <color indexed="64"/>
      </bottom>
      <diagonal/>
    </border>
    <border>
      <left style="thin">
        <color indexed="64"/>
      </left>
      <right/>
      <top/>
      <bottom style="medium">
        <color indexed="64"/>
      </bottom>
      <diagonal/>
    </border>
    <border>
      <left/>
      <right style="medium">
        <color indexed="64"/>
      </right>
      <top/>
      <bottom style="thin">
        <color indexed="64"/>
      </bottom>
      <diagonal/>
    </border>
    <border>
      <left style="medium">
        <color indexed="64"/>
      </left>
      <right style="thin">
        <color indexed="64"/>
      </right>
      <top/>
      <bottom/>
      <diagonal/>
    </border>
    <border>
      <left style="medium">
        <color indexed="64"/>
      </left>
      <right/>
      <top/>
      <bottom style="thin">
        <color indexed="64"/>
      </bottom>
      <diagonal/>
    </border>
    <border>
      <left style="thin">
        <color auto="1"/>
      </left>
      <right style="thin">
        <color auto="1"/>
      </right>
      <top style="thin">
        <color auto="1"/>
      </top>
      <bottom style="hair">
        <color auto="1"/>
      </bottom>
      <diagonal/>
    </border>
    <border>
      <left style="thin">
        <color indexed="64"/>
      </left>
      <right style="thin">
        <color indexed="64"/>
      </right>
      <top style="hair">
        <color indexed="64"/>
      </top>
      <bottom/>
      <diagonal/>
    </border>
    <border>
      <left style="thin">
        <color indexed="64"/>
      </left>
      <right style="thin">
        <color indexed="64"/>
      </right>
      <top style="hair">
        <color auto="1"/>
      </top>
      <bottom style="thin">
        <color indexed="64"/>
      </bottom>
      <diagonal/>
    </border>
  </borders>
  <cellStyleXfs count="65">
    <xf numFmtId="0" fontId="0" fillId="0" borderId="0"/>
    <xf numFmtId="168"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65" fillId="0" borderId="0" applyFont="0" applyFill="0" applyBorder="0" applyAlignment="0" applyProtection="0"/>
    <xf numFmtId="169" fontId="16" fillId="0" borderId="0" applyFont="0" applyFill="0" applyBorder="0" applyAlignment="0" applyProtection="0"/>
    <xf numFmtId="164" fontId="65" fillId="0" borderId="0" applyFont="0" applyFill="0" applyBorder="0" applyAlignment="0" applyProtection="0"/>
    <xf numFmtId="166" fontId="16" fillId="0" borderId="0" applyFont="0" applyFill="0" applyBorder="0" applyAlignment="0" applyProtection="0">
      <alignment vertical="center"/>
    </xf>
    <xf numFmtId="0" fontId="16" fillId="0" borderId="0" applyFont="0" applyFill="0" applyBorder="0" applyAlignment="0" applyProtection="0"/>
    <xf numFmtId="0" fontId="65" fillId="0" borderId="0"/>
    <xf numFmtId="0" fontId="52" fillId="0" borderId="0">
      <alignment vertical="top"/>
    </xf>
    <xf numFmtId="0" fontId="65" fillId="0" borderId="0"/>
    <xf numFmtId="0" fontId="16" fillId="0" borderId="0"/>
    <xf numFmtId="0" fontId="16" fillId="0" borderId="0"/>
    <xf numFmtId="0" fontId="16" fillId="0" borderId="0"/>
    <xf numFmtId="0" fontId="16" fillId="0" borderId="0"/>
    <xf numFmtId="0" fontId="16" fillId="0" borderId="0"/>
    <xf numFmtId="0" fontId="17" fillId="0" borderId="0">
      <alignment vertical="center"/>
    </xf>
    <xf numFmtId="0" fontId="65" fillId="0" borderId="0"/>
    <xf numFmtId="0" fontId="16" fillId="0" borderId="0"/>
    <xf numFmtId="0" fontId="24" fillId="0" borderId="0"/>
    <xf numFmtId="0" fontId="65" fillId="0" borderId="0"/>
    <xf numFmtId="0" fontId="65" fillId="0" borderId="0"/>
    <xf numFmtId="0" fontId="16" fillId="0" borderId="0"/>
    <xf numFmtId="0" fontId="52" fillId="0" borderId="0">
      <alignment vertical="top"/>
    </xf>
    <xf numFmtId="0" fontId="17" fillId="0" borderId="0">
      <alignment vertical="center"/>
    </xf>
    <xf numFmtId="0" fontId="17" fillId="0" borderId="0">
      <alignment vertical="center"/>
    </xf>
    <xf numFmtId="9" fontId="16" fillId="0" borderId="0" applyFont="0" applyFill="0" applyBorder="0" applyAlignment="0" applyProtection="0"/>
    <xf numFmtId="9" fontId="16" fillId="0" borderId="0" applyFont="0" applyFill="0" applyBorder="0" applyAlignment="0" applyProtection="0">
      <alignment vertical="center"/>
    </xf>
    <xf numFmtId="9" fontId="16" fillId="0" borderId="0" applyFont="0" applyFill="0" applyBorder="0" applyAlignment="0" applyProtection="0"/>
    <xf numFmtId="9" fontId="16" fillId="0" borderId="0" applyFont="0" applyFill="0" applyBorder="0" applyAlignment="0" applyProtection="0"/>
    <xf numFmtId="0" fontId="25" fillId="0" borderId="0" applyNumberFormat="0" applyFill="0" applyBorder="0" applyProtection="0">
      <alignment vertical="center"/>
    </xf>
    <xf numFmtId="9" fontId="65" fillId="0" borderId="0" applyFont="0" applyFill="0" applyBorder="0" applyAlignment="0" applyProtection="0"/>
    <xf numFmtId="0" fontId="12" fillId="0" borderId="0"/>
    <xf numFmtId="9" fontId="80" fillId="0" borderId="0" applyFont="0" applyFill="0" applyBorder="0" applyAlignment="0" applyProtection="0"/>
    <xf numFmtId="0" fontId="11" fillId="0" borderId="0"/>
    <xf numFmtId="0" fontId="10" fillId="0" borderId="0"/>
    <xf numFmtId="0" fontId="10" fillId="0" borderId="0"/>
    <xf numFmtId="0" fontId="82" fillId="0" borderId="0"/>
    <xf numFmtId="0" fontId="9" fillId="0" borderId="0"/>
    <xf numFmtId="164" fontId="132" fillId="0" borderId="0" applyFont="0" applyFill="0" applyBorder="0" applyAlignment="0" applyProtection="0"/>
    <xf numFmtId="9" fontId="146" fillId="0" borderId="0" applyFont="0" applyFill="0" applyBorder="0" applyAlignment="0" applyProtection="0"/>
    <xf numFmtId="0" fontId="16" fillId="0" borderId="0"/>
    <xf numFmtId="178" fontId="16" fillId="0" borderId="0" applyFont="0" applyFill="0" applyBorder="0" applyAlignment="0" applyProtection="0"/>
    <xf numFmtId="166" fontId="16"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 fillId="0" borderId="0"/>
    <xf numFmtId="0" fontId="6" fillId="0" borderId="0"/>
    <xf numFmtId="0" fontId="5" fillId="0" borderId="0"/>
    <xf numFmtId="0" fontId="16" fillId="0" borderId="0"/>
    <xf numFmtId="0" fontId="16" fillId="0" borderId="0"/>
    <xf numFmtId="0" fontId="17" fillId="0" borderId="0">
      <alignment vertical="center"/>
    </xf>
    <xf numFmtId="165" fontId="16" fillId="0" borderId="0" applyFont="0" applyFill="0" applyBorder="0" applyAlignment="0" applyProtection="0"/>
    <xf numFmtId="183" fontId="16" fillId="0" borderId="0"/>
    <xf numFmtId="0" fontId="52" fillId="0" borderId="0">
      <alignment vertical="top"/>
    </xf>
    <xf numFmtId="0" fontId="4" fillId="0" borderId="0"/>
  </cellStyleXfs>
  <cellXfs count="2953">
    <xf numFmtId="0" fontId="0" fillId="0" borderId="0" xfId="0"/>
    <xf numFmtId="0" fontId="17" fillId="0" borderId="0" xfId="12" applyFont="1"/>
    <xf numFmtId="0" fontId="15" fillId="0" borderId="0" xfId="12" applyFont="1"/>
    <xf numFmtId="0" fontId="17" fillId="0" borderId="0" xfId="12" applyFont="1" applyAlignment="1">
      <alignment horizontal="center"/>
    </xf>
    <xf numFmtId="0" fontId="16" fillId="0" borderId="0" xfId="12"/>
    <xf numFmtId="0" fontId="15" fillId="0" borderId="0" xfId="12" applyFont="1" applyAlignment="1">
      <alignment horizontal="center"/>
    </xf>
    <xf numFmtId="4" fontId="15" fillId="0" borderId="0" xfId="12" applyNumberFormat="1" applyFont="1" applyAlignment="1">
      <alignment vertical="top"/>
    </xf>
    <xf numFmtId="4" fontId="15" fillId="0" borderId="0" xfId="12" applyNumberFormat="1" applyFont="1" applyAlignment="1">
      <alignment horizontal="center" vertical="top"/>
    </xf>
    <xf numFmtId="0" fontId="15" fillId="0" borderId="0" xfId="12" applyFont="1" applyAlignment="1">
      <alignment vertical="top"/>
    </xf>
    <xf numFmtId="4" fontId="15" fillId="0" borderId="0" xfId="12" applyNumberFormat="1" applyFont="1"/>
    <xf numFmtId="4" fontId="15" fillId="0" borderId="0" xfId="12" applyNumberFormat="1" applyFont="1" applyAlignment="1">
      <alignment horizontal="center"/>
    </xf>
    <xf numFmtId="14" fontId="17" fillId="0" borderId="0" xfId="12" applyNumberFormat="1" applyFont="1" applyAlignment="1">
      <alignment horizontal="left"/>
    </xf>
    <xf numFmtId="49" fontId="17" fillId="0" borderId="0" xfId="12" applyNumberFormat="1" applyFont="1"/>
    <xf numFmtId="1" fontId="17" fillId="0" borderId="0" xfId="12" applyNumberFormat="1" applyFont="1" applyAlignment="1">
      <alignment horizontal="left"/>
    </xf>
    <xf numFmtId="0" fontId="16" fillId="4" borderId="0" xfId="12" applyFill="1"/>
    <xf numFmtId="0" fontId="18" fillId="0" borderId="12" xfId="12" applyFont="1" applyBorder="1" applyAlignment="1" applyProtection="1">
      <alignment vertical="center"/>
      <protection locked="0"/>
    </xf>
    <xf numFmtId="0" fontId="19" fillId="0" borderId="0" xfId="12" applyFont="1"/>
    <xf numFmtId="0" fontId="20" fillId="0" borderId="12" xfId="12" applyFont="1" applyBorder="1" applyAlignment="1" applyProtection="1">
      <alignment vertical="center"/>
      <protection locked="0"/>
    </xf>
    <xf numFmtId="4" fontId="19" fillId="0" borderId="12" xfId="12" applyNumberFormat="1" applyFont="1" applyBorder="1"/>
    <xf numFmtId="2" fontId="19" fillId="0" borderId="12" xfId="12" applyNumberFormat="1" applyFont="1" applyBorder="1"/>
    <xf numFmtId="10" fontId="19" fillId="0" borderId="12" xfId="12" applyNumberFormat="1" applyFont="1" applyBorder="1"/>
    <xf numFmtId="0" fontId="21" fillId="0" borderId="12" xfId="12" applyFont="1" applyBorder="1" applyAlignment="1" applyProtection="1">
      <alignment vertical="center"/>
      <protection locked="0"/>
    </xf>
    <xf numFmtId="4" fontId="21" fillId="0" borderId="12" xfId="12" applyNumberFormat="1" applyFont="1" applyBorder="1" applyAlignment="1" applyProtection="1">
      <alignment vertical="center"/>
      <protection locked="0"/>
    </xf>
    <xf numFmtId="4" fontId="19" fillId="0" borderId="0" xfId="12" applyNumberFormat="1" applyFont="1"/>
    <xf numFmtId="10" fontId="15" fillId="0" borderId="5" xfId="12" applyNumberFormat="1" applyFont="1" applyBorder="1" applyAlignment="1">
      <alignment horizontal="center"/>
    </xf>
    <xf numFmtId="0" fontId="15" fillId="0" borderId="0" xfId="12" applyFont="1" applyAlignment="1">
      <alignment horizontal="right"/>
    </xf>
    <xf numFmtId="0" fontId="17" fillId="0" borderId="0" xfId="12" applyFont="1" applyAlignment="1">
      <alignment horizontal="center" vertical="center"/>
    </xf>
    <xf numFmtId="0" fontId="17" fillId="0" borderId="0" xfId="12" applyFont="1" applyAlignment="1">
      <alignment horizontal="right"/>
    </xf>
    <xf numFmtId="4" fontId="15" fillId="0" borderId="0" xfId="12" applyNumberFormat="1" applyFont="1" applyAlignment="1">
      <alignment horizontal="right"/>
    </xf>
    <xf numFmtId="10" fontId="23" fillId="0" borderId="16" xfId="12" applyNumberFormat="1" applyFont="1" applyBorder="1" applyAlignment="1">
      <alignment horizontal="right"/>
    </xf>
    <xf numFmtId="0" fontId="16" fillId="2" borderId="16" xfId="12" applyFill="1" applyBorder="1"/>
    <xf numFmtId="0" fontId="0" fillId="2" borderId="16" xfId="12" applyFont="1" applyFill="1" applyBorder="1"/>
    <xf numFmtId="0" fontId="23" fillId="2" borderId="16" xfId="12" applyFont="1" applyFill="1" applyBorder="1" applyAlignment="1">
      <alignment horizontal="right"/>
    </xf>
    <xf numFmtId="0" fontId="16" fillId="0" borderId="0" xfId="12" applyAlignment="1">
      <alignment horizontal="center" vertical="center"/>
    </xf>
    <xf numFmtId="0" fontId="23" fillId="0" borderId="0" xfId="12" applyFont="1"/>
    <xf numFmtId="0" fontId="23" fillId="0" borderId="0" xfId="12" applyFont="1" applyAlignment="1">
      <alignment horizontal="right"/>
    </xf>
    <xf numFmtId="0" fontId="16" fillId="0" borderId="0" xfId="12" applyAlignment="1">
      <alignment horizontal="right"/>
    </xf>
    <xf numFmtId="0" fontId="0" fillId="0" borderId="0" xfId="12" applyFont="1"/>
    <xf numFmtId="0" fontId="0" fillId="0" borderId="0" xfId="12" applyFont="1" applyAlignment="1">
      <alignment horizontal="right"/>
    </xf>
    <xf numFmtId="14" fontId="17" fillId="0" borderId="0" xfId="12" applyNumberFormat="1" applyFont="1" applyAlignment="1">
      <alignment vertical="top"/>
    </xf>
    <xf numFmtId="0" fontId="16" fillId="0" borderId="5" xfId="12" applyBorder="1"/>
    <xf numFmtId="0" fontId="23" fillId="0" borderId="0" xfId="12" applyFont="1" applyAlignment="1">
      <alignment horizontal="center"/>
    </xf>
    <xf numFmtId="0" fontId="23" fillId="0" borderId="16" xfId="12" applyFont="1" applyBorder="1"/>
    <xf numFmtId="2" fontId="26" fillId="0" borderId="0" xfId="23" applyNumberFormat="1" applyFont="1"/>
    <xf numFmtId="2" fontId="13" fillId="0" borderId="0" xfId="23" applyNumberFormat="1" applyFont="1"/>
    <xf numFmtId="2" fontId="13" fillId="0" borderId="0" xfId="23" applyNumberFormat="1" applyFont="1" applyAlignment="1">
      <alignment horizontal="center"/>
    </xf>
    <xf numFmtId="2" fontId="13" fillId="0" borderId="0" xfId="23" applyNumberFormat="1" applyFont="1" applyAlignment="1">
      <alignment horizontal="right"/>
    </xf>
    <xf numFmtId="2" fontId="14" fillId="0" borderId="0" xfId="23" applyNumberFormat="1" applyFont="1" applyAlignment="1">
      <alignment horizontal="right"/>
    </xf>
    <xf numFmtId="2" fontId="27" fillId="0" borderId="0" xfId="23" applyNumberFormat="1" applyFont="1" applyAlignment="1">
      <alignment horizontal="right"/>
    </xf>
    <xf numFmtId="2" fontId="27" fillId="0" borderId="0" xfId="23" applyNumberFormat="1" applyFont="1"/>
    <xf numFmtId="2" fontId="14" fillId="0" borderId="0" xfId="23" applyNumberFormat="1" applyFont="1"/>
    <xf numFmtId="2" fontId="29" fillId="0" borderId="0" xfId="23" applyNumberFormat="1" applyFont="1"/>
    <xf numFmtId="2" fontId="30" fillId="0" borderId="0" xfId="23" applyNumberFormat="1" applyFont="1"/>
    <xf numFmtId="2" fontId="29" fillId="0" borderId="0" xfId="23" applyNumberFormat="1" applyFont="1" applyAlignment="1">
      <alignment horizontal="center"/>
    </xf>
    <xf numFmtId="2" fontId="31" fillId="0" borderId="0" xfId="23" applyNumberFormat="1" applyFont="1" applyAlignment="1">
      <alignment horizontal="center"/>
    </xf>
    <xf numFmtId="2" fontId="31" fillId="0" borderId="0" xfId="23" applyNumberFormat="1" applyFont="1" applyAlignment="1">
      <alignment horizontal="right"/>
    </xf>
    <xf numFmtId="2" fontId="29" fillId="0" borderId="0" xfId="23" applyNumberFormat="1" applyFont="1" applyAlignment="1">
      <alignment horizontal="right"/>
    </xf>
    <xf numFmtId="2" fontId="32" fillId="0" borderId="0" xfId="23" applyNumberFormat="1" applyFont="1" applyAlignment="1">
      <alignment horizontal="right"/>
    </xf>
    <xf numFmtId="2" fontId="14" fillId="5" borderId="8" xfId="23" applyNumberFormat="1" applyFont="1" applyFill="1" applyBorder="1" applyAlignment="1">
      <alignment horizontal="center"/>
    </xf>
    <xf numFmtId="2" fontId="27" fillId="5" borderId="8" xfId="23" applyNumberFormat="1" applyFont="1" applyFill="1" applyBorder="1" applyAlignment="1">
      <alignment horizontal="center"/>
    </xf>
    <xf numFmtId="2" fontId="16" fillId="0" borderId="23" xfId="8" applyNumberFormat="1" applyFont="1" applyFill="1" applyBorder="1" applyAlignment="1">
      <alignment horizontal="center"/>
    </xf>
    <xf numFmtId="2" fontId="16" fillId="0" borderId="23" xfId="8" applyNumberFormat="1" applyFont="1" applyFill="1" applyBorder="1" applyAlignment="1">
      <alignment horizontal="right"/>
    </xf>
    <xf numFmtId="2" fontId="16" fillId="0" borderId="24" xfId="8" applyNumberFormat="1" applyFont="1" applyFill="1" applyBorder="1" applyAlignment="1">
      <alignment horizontal="right"/>
    </xf>
    <xf numFmtId="2" fontId="27" fillId="0" borderId="24" xfId="23" applyNumberFormat="1" applyFont="1" applyBorder="1" applyAlignment="1">
      <alignment horizontal="right"/>
    </xf>
    <xf numFmtId="2" fontId="16" fillId="0" borderId="24" xfId="8" applyNumberFormat="1" applyFont="1" applyFill="1" applyBorder="1" applyAlignment="1">
      <alignment horizontal="center"/>
    </xf>
    <xf numFmtId="2" fontId="40" fillId="0" borderId="0" xfId="23" applyNumberFormat="1" applyFont="1"/>
    <xf numFmtId="2" fontId="41" fillId="0" borderId="0" xfId="23" applyNumberFormat="1" applyFont="1"/>
    <xf numFmtId="2" fontId="41" fillId="0" borderId="0" xfId="23" applyNumberFormat="1" applyFont="1" applyAlignment="1">
      <alignment horizontal="center"/>
    </xf>
    <xf numFmtId="2" fontId="40" fillId="0" borderId="0" xfId="23" applyNumberFormat="1" applyFont="1" applyAlignment="1">
      <alignment horizontal="center"/>
    </xf>
    <xf numFmtId="2" fontId="41" fillId="0" borderId="0" xfId="23" applyNumberFormat="1" applyFont="1" applyAlignment="1">
      <alignment horizontal="right"/>
    </xf>
    <xf numFmtId="2" fontId="40" fillId="0" borderId="0" xfId="23" applyNumberFormat="1" applyFont="1" applyAlignment="1">
      <alignment horizontal="right"/>
    </xf>
    <xf numFmtId="2" fontId="42" fillId="0" borderId="0" xfId="23" applyNumberFormat="1" applyFont="1"/>
    <xf numFmtId="0" fontId="21" fillId="0" borderId="12" xfId="12" applyFont="1" applyBorder="1" applyAlignment="1" applyProtection="1">
      <alignment horizontal="center" vertical="center"/>
      <protection locked="0"/>
    </xf>
    <xf numFmtId="0" fontId="16" fillId="0" borderId="0" xfId="12" applyAlignment="1">
      <alignment horizontal="center"/>
    </xf>
    <xf numFmtId="0" fontId="19" fillId="0" borderId="0" xfId="12" applyFont="1" applyAlignment="1">
      <alignment horizontal="center"/>
    </xf>
    <xf numFmtId="4" fontId="19" fillId="0" borderId="12" xfId="12" applyNumberFormat="1" applyFont="1" applyBorder="1" applyAlignment="1" applyProtection="1">
      <alignment vertical="center"/>
      <protection locked="0"/>
    </xf>
    <xf numFmtId="10" fontId="23" fillId="0" borderId="5" xfId="12" applyNumberFormat="1" applyFont="1" applyBorder="1" applyAlignment="1">
      <alignment horizontal="center"/>
    </xf>
    <xf numFmtId="10" fontId="23" fillId="5" borderId="16" xfId="12" applyNumberFormat="1" applyFont="1" applyFill="1" applyBorder="1" applyAlignment="1">
      <alignment horizontal="center"/>
    </xf>
    <xf numFmtId="4" fontId="43" fillId="0" borderId="5" xfId="12" applyNumberFormat="1" applyFont="1" applyBorder="1" applyAlignment="1">
      <alignment horizontal="center" vertical="center"/>
    </xf>
    <xf numFmtId="10" fontId="43" fillId="0" borderId="5" xfId="29" applyNumberFormat="1" applyFont="1" applyFill="1" applyBorder="1" applyAlignment="1">
      <alignment horizontal="center" vertical="center"/>
    </xf>
    <xf numFmtId="0" fontId="67" fillId="0" borderId="0" xfId="0" applyFont="1"/>
    <xf numFmtId="0" fontId="45" fillId="0" borderId="0" xfId="0" applyFont="1"/>
    <xf numFmtId="0" fontId="45" fillId="0" borderId="8" xfId="0" applyFont="1" applyBorder="1"/>
    <xf numFmtId="0" fontId="0" fillId="0" borderId="0" xfId="0" applyAlignment="1">
      <alignment horizontal="center"/>
    </xf>
    <xf numFmtId="0" fontId="46" fillId="0" borderId="0" xfId="0" applyFont="1"/>
    <xf numFmtId="0" fontId="47" fillId="0" borderId="0" xfId="0" applyFont="1"/>
    <xf numFmtId="0" fontId="68" fillId="0" borderId="0" xfId="0" applyFont="1"/>
    <xf numFmtId="0" fontId="48" fillId="0" borderId="0" xfId="0" applyFont="1"/>
    <xf numFmtId="0" fontId="44" fillId="4" borderId="0" xfId="0" applyFont="1" applyFill="1"/>
    <xf numFmtId="0" fontId="41" fillId="0" borderId="5" xfId="0" applyFont="1" applyBorder="1"/>
    <xf numFmtId="0" fontId="40" fillId="0" borderId="5" xfId="0" applyFont="1" applyBorder="1" applyAlignment="1">
      <alignment horizontal="center"/>
    </xf>
    <xf numFmtId="2" fontId="40" fillId="0" borderId="5" xfId="0" applyNumberFormat="1" applyFont="1" applyBorder="1"/>
    <xf numFmtId="2" fontId="41" fillId="0" borderId="5" xfId="0" applyNumberFormat="1" applyFont="1" applyBorder="1"/>
    <xf numFmtId="2" fontId="40" fillId="0" borderId="5" xfId="0" applyNumberFormat="1" applyFont="1" applyBorder="1" applyAlignment="1">
      <alignment horizontal="right"/>
    </xf>
    <xf numFmtId="4" fontId="13" fillId="0" borderId="0" xfId="23" applyNumberFormat="1" applyFont="1" applyAlignment="1">
      <alignment horizontal="center"/>
    </xf>
    <xf numFmtId="4" fontId="41" fillId="0" borderId="5" xfId="23" applyNumberFormat="1" applyFont="1" applyBorder="1" applyAlignment="1">
      <alignment horizontal="center"/>
    </xf>
    <xf numFmtId="4" fontId="41" fillId="0" borderId="5" xfId="0" applyNumberFormat="1" applyFont="1" applyBorder="1" applyAlignment="1">
      <alignment horizontal="center"/>
    </xf>
    <xf numFmtId="4" fontId="0" fillId="0" borderId="0" xfId="0" applyNumberFormat="1" applyAlignment="1">
      <alignment horizontal="center"/>
    </xf>
    <xf numFmtId="0" fontId="23" fillId="0" borderId="0" xfId="0" applyFont="1" applyAlignment="1">
      <alignment horizontal="center"/>
    </xf>
    <xf numFmtId="0" fontId="50" fillId="0" borderId="0" xfId="0" applyFont="1"/>
    <xf numFmtId="49" fontId="69" fillId="0" borderId="4" xfId="0" applyNumberFormat="1" applyFont="1" applyBorder="1"/>
    <xf numFmtId="49" fontId="69" fillId="0" borderId="9" xfId="0" applyNumberFormat="1" applyFont="1" applyBorder="1"/>
    <xf numFmtId="49" fontId="17" fillId="0" borderId="4" xfId="0" applyNumberFormat="1" applyFont="1" applyBorder="1"/>
    <xf numFmtId="49" fontId="17" fillId="0" borderId="9" xfId="0" applyNumberFormat="1" applyFont="1" applyBorder="1"/>
    <xf numFmtId="49" fontId="70" fillId="0" borderId="4" xfId="0" applyNumberFormat="1" applyFont="1" applyBorder="1"/>
    <xf numFmtId="49" fontId="70" fillId="0" borderId="9" xfId="0" applyNumberFormat="1" applyFont="1" applyBorder="1"/>
    <xf numFmtId="49" fontId="71" fillId="0" borderId="4" xfId="0" applyNumberFormat="1" applyFont="1" applyBorder="1"/>
    <xf numFmtId="49" fontId="71" fillId="0" borderId="9" xfId="0" applyNumberFormat="1" applyFont="1" applyBorder="1"/>
    <xf numFmtId="4" fontId="17" fillId="0" borderId="5" xfId="0" applyNumberFormat="1" applyFont="1" applyBorder="1"/>
    <xf numFmtId="2" fontId="41" fillId="0" borderId="5" xfId="2" applyNumberFormat="1" applyFont="1" applyFill="1" applyBorder="1" applyAlignment="1">
      <alignment horizontal="right"/>
    </xf>
    <xf numFmtId="2" fontId="41" fillId="0" borderId="5" xfId="0" applyNumberFormat="1" applyFont="1" applyBorder="1" applyAlignment="1">
      <alignment horizontal="center"/>
    </xf>
    <xf numFmtId="0" fontId="40" fillId="0" borderId="5" xfId="0" applyFont="1" applyBorder="1"/>
    <xf numFmtId="0" fontId="19" fillId="0" borderId="5" xfId="12" applyFont="1" applyBorder="1" applyAlignment="1" applyProtection="1">
      <alignment horizontal="center" vertical="center"/>
      <protection locked="0"/>
    </xf>
    <xf numFmtId="2" fontId="40" fillId="0" borderId="24" xfId="23" applyNumberFormat="1" applyFont="1" applyBorder="1" applyAlignment="1">
      <alignment horizontal="right"/>
    </xf>
    <xf numFmtId="2" fontId="41" fillId="0" borderId="5" xfId="23" applyNumberFormat="1" applyFont="1" applyBorder="1" applyAlignment="1">
      <alignment horizontal="center"/>
    </xf>
    <xf numFmtId="0" fontId="40" fillId="0" borderId="11" xfId="0" applyFont="1" applyBorder="1" applyAlignment="1">
      <alignment horizontal="center"/>
    </xf>
    <xf numFmtId="2" fontId="16" fillId="0" borderId="0" xfId="8" applyNumberFormat="1" applyFont="1" applyFill="1" applyBorder="1" applyAlignment="1">
      <alignment horizontal="right"/>
    </xf>
    <xf numFmtId="4" fontId="22" fillId="0" borderId="5" xfId="12" applyNumberFormat="1" applyFont="1" applyBorder="1"/>
    <xf numFmtId="4" fontId="0" fillId="0" borderId="5" xfId="0" applyNumberFormat="1" applyBorder="1" applyAlignment="1">
      <alignment horizontal="center"/>
    </xf>
    <xf numFmtId="0" fontId="0" fillId="0" borderId="5" xfId="0" applyBorder="1"/>
    <xf numFmtId="4" fontId="0" fillId="0" borderId="8" xfId="0" applyNumberFormat="1" applyBorder="1" applyAlignment="1">
      <alignment horizontal="center"/>
    </xf>
    <xf numFmtId="0" fontId="0" fillId="0" borderId="8" xfId="0" applyBorder="1"/>
    <xf numFmtId="2" fontId="49" fillId="0" borderId="6" xfId="23" applyNumberFormat="1" applyFont="1" applyBorder="1" applyAlignment="1">
      <alignment horizontal="center"/>
    </xf>
    <xf numFmtId="0" fontId="41" fillId="0" borderId="6" xfId="0" applyFont="1" applyBorder="1" applyAlignment="1">
      <alignment horizontal="center"/>
    </xf>
    <xf numFmtId="2" fontId="40" fillId="0" borderId="6" xfId="8" applyNumberFormat="1" applyFont="1" applyFill="1" applyBorder="1" applyAlignment="1">
      <alignment horizontal="right"/>
    </xf>
    <xf numFmtId="0" fontId="40" fillId="0" borderId="6" xfId="0" applyFont="1" applyBorder="1"/>
    <xf numFmtId="0" fontId="40" fillId="0" borderId="6" xfId="0" applyFont="1" applyBorder="1" applyAlignment="1">
      <alignment horizontal="left"/>
    </xf>
    <xf numFmtId="0" fontId="41" fillId="0" borderId="6" xfId="0" applyFont="1" applyBorder="1"/>
    <xf numFmtId="2" fontId="40" fillId="0" borderId="6" xfId="2" applyNumberFormat="1" applyFont="1" applyFill="1" applyBorder="1" applyAlignment="1">
      <alignment horizontal="center" vertical="center"/>
    </xf>
    <xf numFmtId="0" fontId="51" fillId="0" borderId="6" xfId="0" applyFont="1" applyBorder="1"/>
    <xf numFmtId="2" fontId="41" fillId="4" borderId="6" xfId="23" applyNumberFormat="1" applyFont="1" applyFill="1" applyBorder="1" applyAlignment="1">
      <alignment horizontal="right"/>
    </xf>
    <xf numFmtId="2" fontId="73" fillId="0" borderId="6" xfId="2" applyNumberFormat="1" applyFont="1" applyFill="1" applyBorder="1" applyAlignment="1">
      <alignment horizontal="center" vertical="center"/>
    </xf>
    <xf numFmtId="0" fontId="0" fillId="0" borderId="6" xfId="0" applyBorder="1"/>
    <xf numFmtId="0" fontId="0" fillId="0" borderId="35" xfId="0" applyBorder="1"/>
    <xf numFmtId="2" fontId="13" fillId="0" borderId="0" xfId="23" applyNumberFormat="1" applyFont="1" applyAlignment="1">
      <alignment horizontal="left"/>
    </xf>
    <xf numFmtId="2" fontId="26" fillId="0" borderId="0" xfId="23" applyNumberFormat="1" applyFont="1" applyAlignment="1">
      <alignment horizontal="left"/>
    </xf>
    <xf numFmtId="2" fontId="14" fillId="0" borderId="0" xfId="23" applyNumberFormat="1" applyFont="1" applyAlignment="1">
      <alignment horizontal="left"/>
    </xf>
    <xf numFmtId="0" fontId="0" fillId="0" borderId="0" xfId="0" applyAlignment="1">
      <alignment horizontal="left"/>
    </xf>
    <xf numFmtId="4" fontId="50" fillId="0" borderId="0" xfId="0" applyNumberFormat="1" applyFont="1"/>
    <xf numFmtId="0" fontId="13" fillId="0" borderId="0" xfId="12" applyFont="1" applyAlignment="1">
      <alignment vertical="top"/>
    </xf>
    <xf numFmtId="0" fontId="13" fillId="0" borderId="0" xfId="12" applyFont="1"/>
    <xf numFmtId="0" fontId="13" fillId="0" borderId="0" xfId="12" applyFont="1" applyAlignment="1">
      <alignment horizontal="center"/>
    </xf>
    <xf numFmtId="4" fontId="13" fillId="0" borderId="0" xfId="12" applyNumberFormat="1" applyFont="1" applyAlignment="1">
      <alignment vertical="top"/>
    </xf>
    <xf numFmtId="4" fontId="13" fillId="0" borderId="0" xfId="12" applyNumberFormat="1" applyFont="1" applyAlignment="1">
      <alignment horizontal="center" vertical="top"/>
    </xf>
    <xf numFmtId="170" fontId="19" fillId="0" borderId="0" xfId="12" applyNumberFormat="1" applyFont="1"/>
    <xf numFmtId="49" fontId="17" fillId="0" borderId="36" xfId="0" applyNumberFormat="1" applyFont="1" applyBorder="1"/>
    <xf numFmtId="49" fontId="69" fillId="0" borderId="36" xfId="0" applyNumberFormat="1" applyFont="1" applyBorder="1"/>
    <xf numFmtId="49" fontId="70" fillId="0" borderId="36" xfId="0" applyNumberFormat="1" applyFont="1" applyBorder="1"/>
    <xf numFmtId="49" fontId="71" fillId="0" borderId="36" xfId="0" applyNumberFormat="1" applyFont="1" applyBorder="1"/>
    <xf numFmtId="49" fontId="17" fillId="0" borderId="37" xfId="0" applyNumberFormat="1" applyFont="1" applyBorder="1"/>
    <xf numFmtId="49" fontId="17" fillId="0" borderId="31" xfId="0" applyNumberFormat="1" applyFont="1" applyBorder="1"/>
    <xf numFmtId="49" fontId="70" fillId="0" borderId="31" xfId="0" applyNumberFormat="1" applyFont="1" applyBorder="1"/>
    <xf numFmtId="49" fontId="69" fillId="0" borderId="31" xfId="0" applyNumberFormat="1" applyFont="1" applyBorder="1"/>
    <xf numFmtId="49" fontId="71" fillId="0" borderId="31" xfId="0" applyNumberFormat="1" applyFont="1" applyBorder="1"/>
    <xf numFmtId="49" fontId="17" fillId="0" borderId="39" xfId="0" applyNumberFormat="1" applyFont="1" applyBorder="1"/>
    <xf numFmtId="0" fontId="15" fillId="4" borderId="10" xfId="12" applyFont="1" applyFill="1" applyBorder="1" applyAlignment="1">
      <alignment horizontal="center" vertical="center"/>
    </xf>
    <xf numFmtId="0" fontId="19" fillId="0" borderId="10" xfId="12" applyFont="1" applyBorder="1" applyAlignment="1" applyProtection="1">
      <alignment horizontal="center" vertical="center"/>
      <protection locked="0"/>
    </xf>
    <xf numFmtId="0" fontId="21" fillId="0" borderId="10" xfId="12" applyFont="1" applyBorder="1" applyAlignment="1" applyProtection="1">
      <alignment horizontal="center" vertical="center"/>
      <protection locked="0"/>
    </xf>
    <xf numFmtId="0" fontId="18" fillId="0" borderId="10" xfId="12" applyFont="1" applyBorder="1" applyAlignment="1" applyProtection="1">
      <alignment horizontal="center" vertical="center"/>
      <protection locked="0"/>
    </xf>
    <xf numFmtId="0" fontId="17" fillId="4" borderId="10" xfId="12" applyFont="1" applyFill="1" applyBorder="1" applyAlignment="1">
      <alignment horizontal="center" vertical="center"/>
    </xf>
    <xf numFmtId="0" fontId="18" fillId="0" borderId="10" xfId="12" applyFont="1" applyBorder="1" applyAlignment="1" applyProtection="1">
      <alignment vertical="center"/>
      <protection locked="0"/>
    </xf>
    <xf numFmtId="0" fontId="19" fillId="0" borderId="10" xfId="12" applyFont="1" applyBorder="1" applyAlignment="1" applyProtection="1">
      <alignment vertical="center"/>
      <protection locked="0"/>
    </xf>
    <xf numFmtId="0" fontId="21" fillId="0" borderId="10" xfId="12" applyFont="1" applyBorder="1" applyAlignment="1" applyProtection="1">
      <alignment vertical="center"/>
      <protection locked="0"/>
    </xf>
    <xf numFmtId="0" fontId="20" fillId="0" borderId="10" xfId="12" applyFont="1" applyBorder="1" applyAlignment="1" applyProtection="1">
      <alignment horizontal="center" vertical="center"/>
      <protection locked="0"/>
    </xf>
    <xf numFmtId="0" fontId="20" fillId="0" borderId="10" xfId="12" applyFont="1" applyBorder="1" applyAlignment="1" applyProtection="1">
      <alignment vertical="center"/>
      <protection locked="0"/>
    </xf>
    <xf numFmtId="0" fontId="21" fillId="0" borderId="41" xfId="12" applyFont="1" applyBorder="1" applyAlignment="1" applyProtection="1">
      <alignment horizontal="center" vertical="center"/>
      <protection locked="0"/>
    </xf>
    <xf numFmtId="4" fontId="16" fillId="4" borderId="0" xfId="12" applyNumberFormat="1" applyFill="1"/>
    <xf numFmtId="10" fontId="19" fillId="0" borderId="0" xfId="12" applyNumberFormat="1" applyFont="1"/>
    <xf numFmtId="10" fontId="16" fillId="0" borderId="0" xfId="12" applyNumberFormat="1"/>
    <xf numFmtId="4" fontId="17" fillId="0" borderId="0" xfId="15" applyNumberFormat="1" applyFont="1"/>
    <xf numFmtId="4" fontId="55" fillId="0" borderId="0" xfId="15" applyNumberFormat="1" applyFont="1" applyAlignment="1">
      <alignment horizontal="center"/>
    </xf>
    <xf numFmtId="4" fontId="17" fillId="0" borderId="0" xfId="17" applyNumberFormat="1">
      <alignment vertical="center"/>
    </xf>
    <xf numFmtId="4" fontId="15" fillId="0" borderId="0" xfId="15" applyNumberFormat="1" applyFont="1"/>
    <xf numFmtId="49" fontId="17" fillId="0" borderId="43" xfId="25" applyNumberFormat="1" applyBorder="1" applyAlignment="1">
      <alignment horizontal="left" vertical="center"/>
    </xf>
    <xf numFmtId="4" fontId="17" fillId="0" borderId="0" xfId="15" applyNumberFormat="1" applyFont="1" applyAlignment="1">
      <alignment horizontal="center"/>
    </xf>
    <xf numFmtId="4" fontId="17" fillId="0" borderId="25" xfId="15" applyNumberFormat="1" applyFont="1" applyBorder="1"/>
    <xf numFmtId="4" fontId="17" fillId="0" borderId="46" xfId="15" applyNumberFormat="1" applyFont="1" applyBorder="1" applyAlignment="1">
      <alignment horizontal="center"/>
    </xf>
    <xf numFmtId="4" fontId="15" fillId="0" borderId="0" xfId="15" applyNumberFormat="1" applyFont="1" applyAlignment="1">
      <alignment horizontal="center"/>
    </xf>
    <xf numFmtId="4" fontId="17" fillId="0" borderId="43" xfId="15" applyNumberFormat="1" applyFont="1" applyBorder="1" applyAlignment="1">
      <alignment horizontal="center"/>
    </xf>
    <xf numFmtId="4" fontId="17" fillId="0" borderId="26" xfId="15" applyNumberFormat="1" applyFont="1" applyBorder="1" applyAlignment="1">
      <alignment horizontal="center"/>
    </xf>
    <xf numFmtId="4" fontId="17" fillId="0" borderId="4" xfId="15" applyNumberFormat="1" applyFont="1" applyBorder="1"/>
    <xf numFmtId="4" fontId="15" fillId="0" borderId="5" xfId="15" applyNumberFormat="1" applyFont="1" applyBorder="1" applyAlignment="1">
      <alignment horizontal="center"/>
    </xf>
    <xf numFmtId="3" fontId="74" fillId="0" borderId="5" xfId="15" applyNumberFormat="1" applyFont="1" applyBorder="1" applyAlignment="1">
      <alignment horizontal="center"/>
    </xf>
    <xf numFmtId="3" fontId="74" fillId="0" borderId="6" xfId="15" applyNumberFormat="1" applyFont="1" applyBorder="1" applyAlignment="1">
      <alignment horizontal="center"/>
    </xf>
    <xf numFmtId="4" fontId="56" fillId="0" borderId="0" xfId="15" applyNumberFormat="1" applyFont="1" applyAlignment="1">
      <alignment horizontal="center"/>
    </xf>
    <xf numFmtId="4" fontId="17" fillId="0" borderId="0" xfId="7" applyNumberFormat="1" applyFont="1" applyBorder="1" applyAlignment="1">
      <alignment horizontal="center"/>
    </xf>
    <xf numFmtId="4" fontId="17" fillId="0" borderId="5" xfId="15" applyNumberFormat="1" applyFont="1" applyBorder="1"/>
    <xf numFmtId="4" fontId="17" fillId="0" borderId="6" xfId="15" applyNumberFormat="1" applyFont="1" applyBorder="1"/>
    <xf numFmtId="4" fontId="54" fillId="0" borderId="0" xfId="15" applyNumberFormat="1" applyFont="1"/>
    <xf numFmtId="10" fontId="0" fillId="0" borderId="0" xfId="28" applyNumberFormat="1" applyFont="1">
      <alignment vertical="center"/>
    </xf>
    <xf numFmtId="10" fontId="69" fillId="0" borderId="0" xfId="28" applyNumberFormat="1" applyFont="1">
      <alignment vertical="center"/>
    </xf>
    <xf numFmtId="4" fontId="72" fillId="0" borderId="4" xfId="15" applyNumberFormat="1" applyFont="1" applyBorder="1" applyAlignment="1">
      <alignment horizontal="center"/>
    </xf>
    <xf numFmtId="49" fontId="75" fillId="0" borderId="4" xfId="12" applyNumberFormat="1" applyFont="1" applyBorder="1" applyAlignment="1">
      <alignment horizontal="left"/>
    </xf>
    <xf numFmtId="4" fontId="17" fillId="0" borderId="5" xfId="17" applyNumberFormat="1" applyBorder="1">
      <alignment vertical="center"/>
    </xf>
    <xf numFmtId="4" fontId="17" fillId="0" borderId="4" xfId="15" applyNumberFormat="1" applyFont="1" applyBorder="1" applyAlignment="1">
      <alignment horizontal="left"/>
    </xf>
    <xf numFmtId="4" fontId="76" fillId="0" borderId="4" xfId="15" applyNumberFormat="1" applyFont="1" applyBorder="1"/>
    <xf numFmtId="4" fontId="17" fillId="0" borderId="0" xfId="7" applyNumberFormat="1" applyFont="1" applyFill="1" applyBorder="1" applyAlignment="1"/>
    <xf numFmtId="4" fontId="17" fillId="0" borderId="11" xfId="15" applyNumberFormat="1" applyFont="1" applyBorder="1"/>
    <xf numFmtId="4" fontId="17" fillId="0" borderId="43" xfId="15" applyNumberFormat="1" applyFont="1" applyBorder="1"/>
    <xf numFmtId="4" fontId="17" fillId="0" borderId="13" xfId="15" applyNumberFormat="1" applyFont="1" applyBorder="1"/>
    <xf numFmtId="4" fontId="17" fillId="0" borderId="13" xfId="7" applyNumberFormat="1" applyFont="1" applyFill="1" applyBorder="1" applyAlignment="1"/>
    <xf numFmtId="4" fontId="15" fillId="0" borderId="13" xfId="7" applyNumberFormat="1" applyFont="1" applyFill="1" applyBorder="1" applyAlignment="1"/>
    <xf numFmtId="4" fontId="17" fillId="0" borderId="5" xfId="15" applyNumberFormat="1" applyFont="1" applyBorder="1" applyAlignment="1">
      <alignment horizontal="center"/>
    </xf>
    <xf numFmtId="4" fontId="17" fillId="0" borderId="0" xfId="17" applyNumberFormat="1" applyAlignment="1">
      <alignment horizontal="center" vertical="center"/>
    </xf>
    <xf numFmtId="49" fontId="17" fillId="0" borderId="49" xfId="26" applyNumberFormat="1" applyBorder="1" applyAlignment="1">
      <alignment horizontal="left" vertical="center"/>
    </xf>
    <xf numFmtId="49" fontId="17" fillId="0" borderId="21" xfId="26" applyNumberFormat="1" applyBorder="1" applyAlignment="1">
      <alignment horizontal="left" vertical="center"/>
    </xf>
    <xf numFmtId="14" fontId="15" fillId="0" borderId="0" xfId="24" applyNumberFormat="1" applyFont="1" applyAlignment="1">
      <alignment horizontal="left" vertical="top"/>
    </xf>
    <xf numFmtId="0" fontId="17" fillId="0" borderId="0" xfId="25" applyAlignment="1">
      <alignment horizontal="center" vertical="center"/>
    </xf>
    <xf numFmtId="4" fontId="17" fillId="0" borderId="0" xfId="25" applyNumberFormat="1">
      <alignment vertical="center"/>
    </xf>
    <xf numFmtId="0" fontId="17" fillId="0" borderId="0" xfId="17">
      <alignment vertical="center"/>
    </xf>
    <xf numFmtId="49" fontId="17" fillId="0" borderId="50" xfId="26" applyNumberFormat="1" applyBorder="1" applyAlignment="1">
      <alignment horizontal="left" vertical="center"/>
    </xf>
    <xf numFmtId="171" fontId="15" fillId="0" borderId="51" xfId="26" applyNumberFormat="1" applyFont="1" applyBorder="1" applyAlignment="1">
      <alignment horizontal="left" vertical="center"/>
    </xf>
    <xf numFmtId="0" fontId="17" fillId="0" borderId="51" xfId="25" applyBorder="1" applyAlignment="1">
      <alignment horizontal="center" vertical="center"/>
    </xf>
    <xf numFmtId="4" fontId="17" fillId="0" borderId="51" xfId="25" applyNumberFormat="1" applyBorder="1">
      <alignment vertical="center"/>
    </xf>
    <xf numFmtId="0" fontId="17" fillId="0" borderId="51" xfId="17" applyBorder="1">
      <alignment vertical="center"/>
    </xf>
    <xf numFmtId="4" fontId="72" fillId="0" borderId="1" xfId="15" applyNumberFormat="1" applyFont="1" applyBorder="1" applyAlignment="1">
      <alignment horizontal="right"/>
    </xf>
    <xf numFmtId="4" fontId="72" fillId="0" borderId="2" xfId="15" applyNumberFormat="1" applyFont="1" applyBorder="1" applyAlignment="1">
      <alignment horizontal="right"/>
    </xf>
    <xf numFmtId="4" fontId="15" fillId="0" borderId="2" xfId="15" applyNumberFormat="1" applyFont="1" applyBorder="1" applyAlignment="1">
      <alignment horizontal="center"/>
    </xf>
    <xf numFmtId="4" fontId="15" fillId="0" borderId="3" xfId="15" applyNumberFormat="1" applyFont="1" applyBorder="1" applyAlignment="1">
      <alignment horizontal="center"/>
    </xf>
    <xf numFmtId="3" fontId="15" fillId="4" borderId="5" xfId="15" applyNumberFormat="1" applyFont="1" applyFill="1" applyBorder="1" applyAlignment="1">
      <alignment horizontal="center"/>
    </xf>
    <xf numFmtId="4" fontId="17" fillId="0" borderId="5" xfId="7" applyNumberFormat="1" applyFont="1" applyFill="1" applyBorder="1" applyAlignment="1"/>
    <xf numFmtId="2" fontId="14" fillId="3" borderId="11" xfId="15" applyNumberFormat="1" applyFont="1" applyFill="1" applyBorder="1" applyAlignment="1">
      <alignment horizontal="center"/>
    </xf>
    <xf numFmtId="4" fontId="72" fillId="0" borderId="5" xfId="15" applyNumberFormat="1" applyFont="1" applyBorder="1" applyAlignment="1">
      <alignment horizontal="center"/>
    </xf>
    <xf numFmtId="49" fontId="70" fillId="0" borderId="5" xfId="12" applyNumberFormat="1" applyFont="1" applyBorder="1" applyAlignment="1">
      <alignment horizontal="left"/>
    </xf>
    <xf numFmtId="4" fontId="17" fillId="0" borderId="7" xfId="15" applyNumberFormat="1" applyFont="1" applyBorder="1"/>
    <xf numFmtId="4" fontId="17" fillId="0" borderId="8" xfId="15" applyNumberFormat="1" applyFont="1" applyBorder="1"/>
    <xf numFmtId="4" fontId="15" fillId="0" borderId="46" xfId="15" applyNumberFormat="1" applyFont="1" applyBorder="1"/>
    <xf numFmtId="4" fontId="15" fillId="0" borderId="54" xfId="15" applyNumberFormat="1" applyFont="1" applyBorder="1"/>
    <xf numFmtId="4" fontId="15" fillId="0" borderId="10" xfId="15" applyNumberFormat="1" applyFont="1" applyBorder="1"/>
    <xf numFmtId="49" fontId="23" fillId="6" borderId="1" xfId="0" applyNumberFormat="1" applyFont="1" applyFill="1" applyBorder="1" applyAlignment="1">
      <alignment horizontal="right"/>
    </xf>
    <xf numFmtId="2" fontId="23" fillId="6" borderId="2" xfId="0" applyNumberFormat="1" applyFont="1" applyFill="1" applyBorder="1" applyAlignment="1">
      <alignment horizontal="center"/>
    </xf>
    <xf numFmtId="2" fontId="16" fillId="6" borderId="2" xfId="0" applyNumberFormat="1" applyFont="1" applyFill="1" applyBorder="1" applyAlignment="1">
      <alignment horizontal="center"/>
    </xf>
    <xf numFmtId="4" fontId="23" fillId="6" borderId="2" xfId="0" applyNumberFormat="1" applyFont="1" applyFill="1" applyBorder="1" applyAlignment="1">
      <alignment horizontal="center"/>
    </xf>
    <xf numFmtId="2" fontId="23" fillId="6" borderId="3" xfId="0" applyNumberFormat="1" applyFont="1" applyFill="1" applyBorder="1" applyAlignment="1">
      <alignment horizontal="center"/>
    </xf>
    <xf numFmtId="49" fontId="23" fillId="6" borderId="7" xfId="0" applyNumberFormat="1" applyFont="1" applyFill="1" applyBorder="1" applyAlignment="1">
      <alignment horizontal="right"/>
    </xf>
    <xf numFmtId="2" fontId="23" fillId="6" borderId="8" xfId="0" applyNumberFormat="1" applyFont="1" applyFill="1" applyBorder="1" applyAlignment="1">
      <alignment horizontal="center"/>
    </xf>
    <xf numFmtId="2" fontId="16" fillId="6" borderId="8" xfId="0" applyNumberFormat="1" applyFont="1" applyFill="1" applyBorder="1" applyAlignment="1">
      <alignment horizontal="center"/>
    </xf>
    <xf numFmtId="4" fontId="23" fillId="6" borderId="8" xfId="0" applyNumberFormat="1" applyFont="1" applyFill="1" applyBorder="1" applyAlignment="1">
      <alignment horizontal="center"/>
    </xf>
    <xf numFmtId="2" fontId="23" fillId="6" borderId="35" xfId="0" applyNumberFormat="1" applyFont="1" applyFill="1" applyBorder="1" applyAlignment="1">
      <alignment horizontal="center"/>
    </xf>
    <xf numFmtId="2" fontId="16" fillId="0" borderId="13" xfId="0" applyNumberFormat="1" applyFont="1" applyBorder="1" applyAlignment="1">
      <alignment horizontal="center"/>
    </xf>
    <xf numFmtId="2" fontId="23" fillId="0" borderId="13" xfId="0" applyNumberFormat="1" applyFont="1" applyBorder="1" applyAlignment="1">
      <alignment horizontal="center"/>
    </xf>
    <xf numFmtId="4" fontId="23" fillId="0" borderId="13" xfId="0" applyNumberFormat="1" applyFont="1" applyBorder="1" applyAlignment="1">
      <alignment horizontal="center"/>
    </xf>
    <xf numFmtId="2" fontId="23" fillId="0" borderId="48" xfId="0" applyNumberFormat="1" applyFont="1" applyBorder="1" applyAlignment="1">
      <alignment horizontal="center"/>
    </xf>
    <xf numFmtId="49" fontId="16" fillId="0" borderId="4" xfId="0" applyNumberFormat="1" applyFont="1" applyBorder="1" applyAlignment="1">
      <alignment horizontal="right"/>
    </xf>
    <xf numFmtId="2" fontId="16" fillId="0" borderId="5" xfId="0" applyNumberFormat="1" applyFont="1" applyBorder="1" applyAlignment="1">
      <alignment horizontal="left"/>
    </xf>
    <xf numFmtId="2" fontId="16" fillId="0" borderId="5" xfId="0" applyNumberFormat="1" applyFont="1" applyBorder="1" applyAlignment="1">
      <alignment horizontal="center"/>
    </xf>
    <xf numFmtId="2" fontId="16" fillId="0" borderId="5" xfId="0" applyNumberFormat="1" applyFont="1" applyBorder="1" applyAlignment="1">
      <alignment horizontal="right"/>
    </xf>
    <xf numFmtId="2" fontId="23" fillId="0" borderId="6" xfId="0" applyNumberFormat="1" applyFont="1" applyBorder="1" applyAlignment="1">
      <alignment horizontal="right"/>
    </xf>
    <xf numFmtId="49" fontId="23" fillId="0" borderId="4" xfId="0" applyNumberFormat="1" applyFont="1" applyBorder="1" applyAlignment="1">
      <alignment horizontal="right"/>
    </xf>
    <xf numFmtId="2" fontId="23" fillId="0" borderId="5" xfId="0" applyNumberFormat="1" applyFont="1" applyBorder="1" applyAlignment="1">
      <alignment horizontal="center"/>
    </xf>
    <xf numFmtId="4" fontId="23" fillId="0" borderId="5" xfId="0" applyNumberFormat="1" applyFont="1" applyBorder="1" applyAlignment="1">
      <alignment horizontal="center"/>
    </xf>
    <xf numFmtId="0" fontId="23" fillId="0" borderId="5" xfId="0" applyFont="1" applyBorder="1"/>
    <xf numFmtId="4" fontId="16" fillId="0" borderId="5" xfId="0" applyNumberFormat="1" applyFont="1" applyBorder="1" applyAlignment="1">
      <alignment horizontal="right"/>
    </xf>
    <xf numFmtId="172" fontId="16" fillId="0" borderId="5" xfId="0" applyNumberFormat="1" applyFont="1" applyBorder="1" applyAlignment="1">
      <alignment horizontal="center"/>
    </xf>
    <xf numFmtId="4" fontId="23" fillId="0" borderId="6" xfId="0" applyNumberFormat="1" applyFont="1" applyBorder="1" applyAlignment="1">
      <alignment horizontal="right"/>
    </xf>
    <xf numFmtId="0" fontId="16" fillId="0" borderId="5" xfId="0" applyFont="1" applyBorder="1"/>
    <xf numFmtId="0" fontId="16" fillId="0" borderId="5" xfId="0" applyFont="1" applyBorder="1" applyAlignment="1">
      <alignment horizontal="center"/>
    </xf>
    <xf numFmtId="4" fontId="16" fillId="0" borderId="5" xfId="0" applyNumberFormat="1" applyFont="1" applyBorder="1"/>
    <xf numFmtId="4" fontId="16" fillId="4" borderId="5" xfId="0" applyNumberFormat="1" applyFont="1" applyFill="1" applyBorder="1" applyAlignment="1">
      <alignment horizontal="right"/>
    </xf>
    <xf numFmtId="4" fontId="16" fillId="4" borderId="5" xfId="0" applyNumberFormat="1" applyFont="1" applyFill="1" applyBorder="1"/>
    <xf numFmtId="4" fontId="16" fillId="0" borderId="5" xfId="0" applyNumberFormat="1" applyFont="1" applyBorder="1" applyAlignment="1">
      <alignment horizontal="left"/>
    </xf>
    <xf numFmtId="49" fontId="78" fillId="0" borderId="4" xfId="0" applyNumberFormat="1" applyFont="1" applyBorder="1" applyAlignment="1">
      <alignment horizontal="right"/>
    </xf>
    <xf numFmtId="0" fontId="43" fillId="0" borderId="4" xfId="12" applyFont="1" applyBorder="1" applyAlignment="1">
      <alignment horizontal="center" vertical="center"/>
    </xf>
    <xf numFmtId="0" fontId="16" fillId="0" borderId="0" xfId="14"/>
    <xf numFmtId="2" fontId="16" fillId="0" borderId="0" xfId="14" applyNumberFormat="1"/>
    <xf numFmtId="10" fontId="16" fillId="0" borderId="0" xfId="14" applyNumberFormat="1"/>
    <xf numFmtId="0" fontId="17" fillId="0" borderId="0" xfId="14" applyFont="1"/>
    <xf numFmtId="0" fontId="16" fillId="0" borderId="0" xfId="19"/>
    <xf numFmtId="14" fontId="17" fillId="0" borderId="0" xfId="12" applyNumberFormat="1" applyFont="1" applyAlignment="1">
      <alignment horizontal="right"/>
    </xf>
    <xf numFmtId="2" fontId="14" fillId="0" borderId="0" xfId="23" applyNumberFormat="1" applyFont="1" applyAlignment="1">
      <alignment horizontal="center"/>
    </xf>
    <xf numFmtId="2" fontId="14" fillId="5" borderId="2" xfId="23" applyNumberFormat="1" applyFont="1" applyFill="1" applyBorder="1" applyAlignment="1">
      <alignment horizontal="center"/>
    </xf>
    <xf numFmtId="4" fontId="16" fillId="0" borderId="5" xfId="0" applyNumberFormat="1" applyFont="1" applyBorder="1" applyAlignment="1">
      <alignment horizontal="center"/>
    </xf>
    <xf numFmtId="10" fontId="19" fillId="0" borderId="3" xfId="12" applyNumberFormat="1" applyFont="1" applyBorder="1"/>
    <xf numFmtId="10" fontId="19" fillId="0" borderId="6" xfId="12" applyNumberFormat="1" applyFont="1" applyBorder="1"/>
    <xf numFmtId="4" fontId="21" fillId="0" borderId="5" xfId="12" applyNumberFormat="1" applyFont="1" applyBorder="1" applyAlignment="1" applyProtection="1">
      <alignment vertical="center"/>
      <protection locked="0"/>
    </xf>
    <xf numFmtId="0" fontId="15" fillId="4" borderId="1" xfId="12" applyFont="1" applyFill="1" applyBorder="1" applyAlignment="1">
      <alignment horizontal="center" vertical="center"/>
    </xf>
    <xf numFmtId="0" fontId="15" fillId="4" borderId="3" xfId="12" applyFont="1" applyFill="1" applyBorder="1" applyAlignment="1">
      <alignment horizontal="center" vertical="center"/>
    </xf>
    <xf numFmtId="4" fontId="0" fillId="0" borderId="5" xfId="0" applyNumberFormat="1" applyBorder="1"/>
    <xf numFmtId="4" fontId="70" fillId="0" borderId="5" xfId="0" applyNumberFormat="1" applyFont="1" applyBorder="1"/>
    <xf numFmtId="49" fontId="17" fillId="4" borderId="31" xfId="0" applyNumberFormat="1" applyFont="1" applyFill="1" applyBorder="1"/>
    <xf numFmtId="4" fontId="21" fillId="4" borderId="9" xfId="12" applyNumberFormat="1" applyFont="1" applyFill="1" applyBorder="1" applyAlignment="1" applyProtection="1">
      <alignment vertical="center"/>
      <protection locked="0"/>
    </xf>
    <xf numFmtId="10" fontId="19" fillId="4" borderId="6" xfId="12" applyNumberFormat="1" applyFont="1" applyFill="1" applyBorder="1"/>
    <xf numFmtId="4" fontId="19" fillId="4" borderId="4" xfId="12" applyNumberFormat="1" applyFont="1" applyFill="1" applyBorder="1"/>
    <xf numFmtId="4" fontId="21" fillId="4" borderId="5" xfId="12" applyNumberFormat="1" applyFont="1" applyFill="1" applyBorder="1" applyAlignment="1" applyProtection="1">
      <alignment vertical="center"/>
      <protection locked="0"/>
    </xf>
    <xf numFmtId="49" fontId="17" fillId="4" borderId="31" xfId="0" applyNumberFormat="1" applyFont="1" applyFill="1" applyBorder="1" applyAlignment="1">
      <alignment horizontal="left"/>
    </xf>
    <xf numFmtId="4" fontId="23" fillId="0" borderId="6" xfId="12" applyNumberFormat="1" applyFont="1" applyBorder="1"/>
    <xf numFmtId="4" fontId="23" fillId="0" borderId="0" xfId="12" applyNumberFormat="1" applyFont="1"/>
    <xf numFmtId="4" fontId="23" fillId="0" borderId="0" xfId="12" applyNumberFormat="1" applyFont="1" applyAlignment="1">
      <alignment horizontal="right"/>
    </xf>
    <xf numFmtId="0" fontId="13" fillId="0" borderId="0" xfId="37" applyFont="1"/>
    <xf numFmtId="0" fontId="13" fillId="0" borderId="21" xfId="37" applyFont="1" applyBorder="1"/>
    <xf numFmtId="0" fontId="14" fillId="0" borderId="0" xfId="37" applyFont="1"/>
    <xf numFmtId="0" fontId="27" fillId="0" borderId="0" xfId="37" applyFont="1"/>
    <xf numFmtId="0" fontId="13" fillId="0" borderId="22" xfId="37" applyFont="1" applyBorder="1"/>
    <xf numFmtId="0" fontId="23" fillId="0" borderId="23" xfId="37" quotePrefix="1" applyFont="1" applyBorder="1" applyAlignment="1" applyProtection="1">
      <alignment vertical="center"/>
      <protection locked="0"/>
    </xf>
    <xf numFmtId="0" fontId="23" fillId="0" borderId="23" xfId="37" applyFont="1" applyBorder="1" applyAlignment="1" applyProtection="1">
      <alignment vertical="center"/>
      <protection locked="0"/>
    </xf>
    <xf numFmtId="0" fontId="23" fillId="0" borderId="23" xfId="37" applyFont="1" applyBorder="1" applyAlignment="1">
      <alignment horizontal="center"/>
    </xf>
    <xf numFmtId="2" fontId="16" fillId="0" borderId="23" xfId="37" applyNumberFormat="1" applyFont="1" applyBorder="1"/>
    <xf numFmtId="0" fontId="23" fillId="0" borderId="23" xfId="37" applyFont="1" applyBorder="1" applyAlignment="1">
      <alignment horizontal="right"/>
    </xf>
    <xf numFmtId="0" fontId="16" fillId="0" borderId="23" xfId="37" applyFont="1" applyBorder="1"/>
    <xf numFmtId="0" fontId="33" fillId="0" borderId="0" xfId="37" applyFont="1"/>
    <xf numFmtId="0" fontId="66" fillId="0" borderId="0" xfId="37" applyFont="1"/>
    <xf numFmtId="0" fontId="17" fillId="0" borderId="0" xfId="37" applyFont="1"/>
    <xf numFmtId="0" fontId="17" fillId="0" borderId="0" xfId="37" applyFont="1" applyAlignment="1">
      <alignment horizontal="center"/>
    </xf>
    <xf numFmtId="0" fontId="34" fillId="0" borderId="0" xfId="37" applyFont="1"/>
    <xf numFmtId="0" fontId="35" fillId="0" borderId="0" xfId="37" applyFont="1" applyAlignment="1">
      <alignment horizontal="center"/>
    </xf>
    <xf numFmtId="0" fontId="23" fillId="0" borderId="24" xfId="37" applyFont="1" applyBorder="1" applyAlignment="1" applyProtection="1">
      <alignment vertical="center"/>
      <protection locked="0"/>
    </xf>
    <xf numFmtId="4" fontId="16" fillId="0" borderId="24" xfId="37" applyNumberFormat="1" applyFont="1" applyBorder="1" applyAlignment="1" applyProtection="1">
      <alignment vertical="center"/>
      <protection locked="0"/>
    </xf>
    <xf numFmtId="0" fontId="23" fillId="0" borderId="24" xfId="37" applyFont="1" applyBorder="1"/>
    <xf numFmtId="0" fontId="16" fillId="0" borderId="24" xfId="37" applyFont="1" applyBorder="1"/>
    <xf numFmtId="2" fontId="16" fillId="0" borderId="24" xfId="37" applyNumberFormat="1" applyFont="1" applyBorder="1"/>
    <xf numFmtId="0" fontId="23" fillId="0" borderId="24" xfId="37" applyFont="1" applyBorder="1" applyAlignment="1">
      <alignment horizontal="left"/>
    </xf>
    <xf numFmtId="4" fontId="16" fillId="0" borderId="0" xfId="37" applyNumberFormat="1" applyFont="1" applyAlignment="1" applyProtection="1">
      <alignment vertical="center"/>
      <protection locked="0"/>
    </xf>
    <xf numFmtId="0" fontId="23" fillId="0" borderId="0" xfId="37" applyFont="1"/>
    <xf numFmtId="0" fontId="16" fillId="0" borderId="0" xfId="37" applyFont="1"/>
    <xf numFmtId="2" fontId="16" fillId="0" borderId="0" xfId="37" applyNumberFormat="1" applyFont="1"/>
    <xf numFmtId="0" fontId="16" fillId="0" borderId="24" xfId="37" applyFont="1" applyBorder="1" applyAlignment="1" applyProtection="1">
      <alignment vertical="center"/>
      <protection locked="0"/>
    </xf>
    <xf numFmtId="2" fontId="41" fillId="0" borderId="24" xfId="37" applyNumberFormat="1" applyFont="1" applyBorder="1"/>
    <xf numFmtId="0" fontId="16" fillId="0" borderId="24" xfId="37" applyFont="1" applyBorder="1" applyAlignment="1" applyProtection="1">
      <alignment horizontal="left" vertical="center"/>
      <protection locked="0"/>
    </xf>
    <xf numFmtId="0" fontId="23" fillId="0" borderId="33" xfId="37" quotePrefix="1" applyFont="1" applyBorder="1" applyAlignment="1" applyProtection="1">
      <alignment vertical="center"/>
      <protection locked="0"/>
    </xf>
    <xf numFmtId="0" fontId="23" fillId="0" borderId="34" xfId="37" quotePrefix="1" applyFont="1" applyBorder="1" applyAlignment="1" applyProtection="1">
      <alignment vertical="center"/>
      <protection locked="0"/>
    </xf>
    <xf numFmtId="0" fontId="23" fillId="0" borderId="32" xfId="37" applyFont="1" applyBorder="1" applyAlignment="1" applyProtection="1">
      <alignment vertical="center"/>
      <protection locked="0"/>
    </xf>
    <xf numFmtId="0" fontId="23" fillId="0" borderId="6" xfId="37" quotePrefix="1" applyFont="1" applyBorder="1" applyAlignment="1" applyProtection="1">
      <alignment vertical="center"/>
      <protection locked="0"/>
    </xf>
    <xf numFmtId="0" fontId="23" fillId="0" borderId="24" xfId="37" applyFont="1" applyBorder="1" applyAlignment="1">
      <alignment horizontal="center"/>
    </xf>
    <xf numFmtId="0" fontId="16" fillId="0" borderId="32" xfId="37" applyFont="1" applyBorder="1" applyAlignment="1" applyProtection="1">
      <alignment vertical="center"/>
      <protection locked="0"/>
    </xf>
    <xf numFmtId="2" fontId="23" fillId="0" borderId="24" xfId="37" applyNumberFormat="1" applyFont="1" applyBorder="1"/>
    <xf numFmtId="0" fontId="23" fillId="0" borderId="31" xfId="37" quotePrefix="1" applyFont="1" applyBorder="1" applyAlignment="1" applyProtection="1">
      <alignment vertical="center"/>
      <protection locked="0"/>
    </xf>
    <xf numFmtId="0" fontId="16" fillId="0" borderId="33" xfId="37" applyFont="1" applyBorder="1" applyAlignment="1" applyProtection="1">
      <alignment vertical="center"/>
      <protection locked="0"/>
    </xf>
    <xf numFmtId="4" fontId="16" fillId="0" borderId="24" xfId="37" applyNumberFormat="1" applyFont="1" applyBorder="1"/>
    <xf numFmtId="0" fontId="19" fillId="0" borderId="0" xfId="37" applyFont="1"/>
    <xf numFmtId="10" fontId="19" fillId="0" borderId="0" xfId="37" applyNumberFormat="1" applyFont="1"/>
    <xf numFmtId="4" fontId="19" fillId="0" borderId="0" xfId="37" applyNumberFormat="1" applyFont="1"/>
    <xf numFmtId="0" fontId="37" fillId="0" borderId="5" xfId="37" applyFont="1" applyBorder="1"/>
    <xf numFmtId="0" fontId="38" fillId="0" borderId="5" xfId="37" applyFont="1" applyBorder="1" applyAlignment="1">
      <alignment horizontal="left" vertical="center" shrinkToFit="1"/>
    </xf>
    <xf numFmtId="0" fontId="25" fillId="0" borderId="5" xfId="37" applyFont="1" applyBorder="1" applyAlignment="1">
      <alignment horizontal="center" vertical="center" shrinkToFit="1"/>
    </xf>
    <xf numFmtId="0" fontId="25" fillId="0" borderId="25" xfId="37" applyFont="1" applyBorder="1" applyAlignment="1">
      <alignment horizontal="center" vertical="justify" shrinkToFit="1"/>
    </xf>
    <xf numFmtId="0" fontId="25" fillId="0" borderId="25" xfId="37" applyFont="1" applyBorder="1" applyAlignment="1">
      <alignment horizontal="center"/>
    </xf>
    <xf numFmtId="2" fontId="25" fillId="0" borderId="25" xfId="37" applyNumberFormat="1" applyFont="1" applyBorder="1" applyAlignment="1">
      <alignment horizontal="center" vertical="center" shrinkToFit="1"/>
    </xf>
    <xf numFmtId="2" fontId="15" fillId="0" borderId="26" xfId="37" applyNumberFormat="1" applyFont="1" applyBorder="1" applyAlignment="1">
      <alignment horizontal="center" vertical="center" shrinkToFit="1"/>
    </xf>
    <xf numFmtId="0" fontId="25" fillId="0" borderId="5" xfId="37" applyFont="1" applyBorder="1" applyAlignment="1">
      <alignment horizontal="left" vertical="center" shrinkToFit="1"/>
    </xf>
    <xf numFmtId="0" fontId="15" fillId="0" borderId="26" xfId="37" applyFont="1" applyBorder="1" applyAlignment="1">
      <alignment horizontal="center" vertical="center" shrinkToFit="1"/>
    </xf>
    <xf numFmtId="2" fontId="27" fillId="0" borderId="24" xfId="37" applyNumberFormat="1" applyFont="1" applyBorder="1"/>
    <xf numFmtId="0" fontId="37" fillId="0" borderId="5" xfId="37" applyFont="1" applyBorder="1" applyAlignment="1">
      <alignment horizontal="center" vertical="center"/>
    </xf>
    <xf numFmtId="2" fontId="37" fillId="0" borderId="5" xfId="37" applyNumberFormat="1" applyFont="1" applyBorder="1" applyAlignment="1">
      <alignment horizontal="center" vertical="center"/>
    </xf>
    <xf numFmtId="0" fontId="16" fillId="0" borderId="24" xfId="37" quotePrefix="1" applyFont="1" applyBorder="1" applyAlignment="1" applyProtection="1">
      <alignment vertical="center"/>
      <protection locked="0"/>
    </xf>
    <xf numFmtId="0" fontId="25" fillId="0" borderId="5" xfId="37" applyFont="1" applyBorder="1"/>
    <xf numFmtId="2" fontId="25" fillId="0" borderId="5" xfId="37" applyNumberFormat="1" applyFont="1" applyBorder="1" applyAlignment="1">
      <alignment horizontal="center" vertical="center"/>
    </xf>
    <xf numFmtId="2" fontId="25" fillId="0" borderId="5" xfId="37" applyNumberFormat="1" applyFont="1" applyBorder="1" applyAlignment="1">
      <alignment horizontal="center" vertical="center" shrinkToFit="1"/>
    </xf>
    <xf numFmtId="0" fontId="39" fillId="0" borderId="5" xfId="37" applyFont="1" applyBorder="1"/>
    <xf numFmtId="16" fontId="23" fillId="0" borderId="24" xfId="37" applyNumberFormat="1" applyFont="1" applyBorder="1" applyAlignment="1" applyProtection="1">
      <alignment vertical="center"/>
      <protection locked="0"/>
    </xf>
    <xf numFmtId="2" fontId="36" fillId="0" borderId="24" xfId="37" applyNumberFormat="1" applyFont="1" applyBorder="1"/>
    <xf numFmtId="0" fontId="16" fillId="0" borderId="27" xfId="37" quotePrefix="1" applyFont="1" applyBorder="1" applyAlignment="1" applyProtection="1">
      <alignment vertical="center"/>
      <protection locked="0"/>
    </xf>
    <xf numFmtId="0" fontId="16" fillId="0" borderId="27" xfId="37" applyFont="1" applyBorder="1" applyAlignment="1" applyProtection="1">
      <alignment vertical="center"/>
      <protection locked="0"/>
    </xf>
    <xf numFmtId="0" fontId="23" fillId="0" borderId="27" xfId="37" applyFont="1" applyBorder="1" applyAlignment="1" applyProtection="1">
      <alignment vertical="center"/>
      <protection locked="0"/>
    </xf>
    <xf numFmtId="4" fontId="16" fillId="0" borderId="27" xfId="37" applyNumberFormat="1" applyFont="1" applyBorder="1" applyAlignment="1" applyProtection="1">
      <alignment vertical="center"/>
      <protection locked="0"/>
    </xf>
    <xf numFmtId="2" fontId="16" fillId="0" borderId="27" xfId="37" applyNumberFormat="1" applyFont="1" applyBorder="1"/>
    <xf numFmtId="4" fontId="16" fillId="0" borderId="27" xfId="37" applyNumberFormat="1" applyFont="1" applyBorder="1"/>
    <xf numFmtId="2" fontId="27" fillId="0" borderId="27" xfId="37" applyNumberFormat="1" applyFont="1" applyBorder="1"/>
    <xf numFmtId="49" fontId="23" fillId="0" borderId="47" xfId="0" applyNumberFormat="1" applyFont="1" applyBorder="1" applyAlignment="1">
      <alignment horizontal="right"/>
    </xf>
    <xf numFmtId="2" fontId="23" fillId="0" borderId="13" xfId="0" applyNumberFormat="1" applyFont="1" applyBorder="1" applyAlignment="1">
      <alignment horizontal="left"/>
    </xf>
    <xf numFmtId="2" fontId="23" fillId="0" borderId="5" xfId="0" applyNumberFormat="1" applyFont="1" applyBorder="1" applyAlignment="1">
      <alignment horizontal="left"/>
    </xf>
    <xf numFmtId="2" fontId="23" fillId="0" borderId="5" xfId="0" applyNumberFormat="1" applyFont="1" applyBorder="1" applyAlignment="1">
      <alignment horizontal="right"/>
    </xf>
    <xf numFmtId="164" fontId="16" fillId="0" borderId="5" xfId="2" applyFont="1" applyFill="1" applyBorder="1" applyAlignment="1">
      <alignment horizontal="center"/>
    </xf>
    <xf numFmtId="164" fontId="16" fillId="0" borderId="5" xfId="2" applyFont="1" applyFill="1" applyBorder="1" applyAlignment="1">
      <alignment horizontal="right"/>
    </xf>
    <xf numFmtId="164" fontId="16" fillId="0" borderId="5" xfId="2" applyFont="1" applyFill="1" applyBorder="1" applyAlignment="1">
      <alignment horizontal="left"/>
    </xf>
    <xf numFmtId="4" fontId="16" fillId="0" borderId="5" xfId="2" applyNumberFormat="1" applyFont="1" applyFill="1" applyBorder="1" applyAlignment="1">
      <alignment horizontal="right"/>
    </xf>
    <xf numFmtId="4" fontId="16" fillId="4" borderId="5" xfId="2" applyNumberFormat="1" applyFont="1" applyFill="1" applyBorder="1" applyAlignment="1">
      <alignment horizontal="right"/>
    </xf>
    <xf numFmtId="0" fontId="82" fillId="0" borderId="0" xfId="38"/>
    <xf numFmtId="167" fontId="82" fillId="0" borderId="0" xfId="38" applyNumberFormat="1"/>
    <xf numFmtId="167" fontId="83" fillId="0" borderId="0" xfId="38" applyNumberFormat="1" applyFont="1"/>
    <xf numFmtId="167" fontId="84" fillId="0" borderId="0" xfId="38" applyNumberFormat="1" applyFont="1"/>
    <xf numFmtId="4" fontId="82" fillId="0" borderId="0" xfId="38" applyNumberFormat="1"/>
    <xf numFmtId="0" fontId="84" fillId="0" borderId="0" xfId="38" applyFont="1"/>
    <xf numFmtId="0" fontId="85" fillId="0" borderId="0" xfId="38" applyFont="1"/>
    <xf numFmtId="4" fontId="69" fillId="4" borderId="17" xfId="38" applyNumberFormat="1" applyFont="1" applyFill="1" applyBorder="1"/>
    <xf numFmtId="167" fontId="86" fillId="0" borderId="5" xfId="38" applyNumberFormat="1" applyFont="1" applyBorder="1"/>
    <xf numFmtId="10" fontId="86" fillId="0" borderId="5" xfId="38" applyNumberFormat="1" applyFont="1" applyBorder="1" applyAlignment="1">
      <alignment horizontal="center"/>
    </xf>
    <xf numFmtId="0" fontId="86" fillId="0" borderId="4" xfId="38" applyFont="1" applyBorder="1"/>
    <xf numFmtId="167" fontId="87" fillId="0" borderId="5" xfId="38" applyNumberFormat="1" applyFont="1" applyBorder="1"/>
    <xf numFmtId="10" fontId="87" fillId="0" borderId="5" xfId="38" applyNumberFormat="1" applyFont="1" applyBorder="1" applyAlignment="1">
      <alignment horizontal="center"/>
    </xf>
    <xf numFmtId="0" fontId="87" fillId="0" borderId="4" xfId="38" applyFont="1" applyBorder="1"/>
    <xf numFmtId="0" fontId="88" fillId="4" borderId="0" xfId="38" applyFont="1" applyFill="1"/>
    <xf numFmtId="167" fontId="87" fillId="4" borderId="5" xfId="38" applyNumberFormat="1" applyFont="1" applyFill="1" applyBorder="1"/>
    <xf numFmtId="10" fontId="87" fillId="4" borderId="5" xfId="38" applyNumberFormat="1" applyFont="1" applyFill="1" applyBorder="1" applyAlignment="1">
      <alignment horizontal="center"/>
    </xf>
    <xf numFmtId="0" fontId="87" fillId="4" borderId="4" xfId="38" applyFont="1" applyFill="1" applyBorder="1"/>
    <xf numFmtId="0" fontId="86" fillId="4" borderId="0" xfId="38" applyFont="1" applyFill="1"/>
    <xf numFmtId="167" fontId="86" fillId="4" borderId="5" xfId="38" applyNumberFormat="1" applyFont="1" applyFill="1" applyBorder="1"/>
    <xf numFmtId="10" fontId="86" fillId="4" borderId="5" xfId="38" applyNumberFormat="1" applyFont="1" applyFill="1" applyBorder="1" applyAlignment="1">
      <alignment horizontal="center"/>
    </xf>
    <xf numFmtId="0" fontId="86" fillId="4" borderId="4" xfId="38" applyFont="1" applyFill="1" applyBorder="1"/>
    <xf numFmtId="0" fontId="87" fillId="4" borderId="0" xfId="38" applyFont="1" applyFill="1"/>
    <xf numFmtId="167" fontId="87" fillId="4" borderId="13" xfId="38" applyNumberFormat="1" applyFont="1" applyFill="1" applyBorder="1"/>
    <xf numFmtId="10" fontId="87" fillId="4" borderId="13" xfId="38" applyNumberFormat="1" applyFont="1" applyFill="1" applyBorder="1" applyAlignment="1">
      <alignment horizontal="center"/>
    </xf>
    <xf numFmtId="0" fontId="87" fillId="4" borderId="47" xfId="38" applyFont="1" applyFill="1" applyBorder="1"/>
    <xf numFmtId="10" fontId="89" fillId="4" borderId="8" xfId="38" applyNumberFormat="1" applyFont="1" applyFill="1" applyBorder="1" applyAlignment="1">
      <alignment horizontal="center"/>
    </xf>
    <xf numFmtId="0" fontId="89" fillId="4" borderId="7" xfId="38" applyFont="1" applyFill="1" applyBorder="1" applyAlignment="1">
      <alignment horizontal="right"/>
    </xf>
    <xf numFmtId="10" fontId="89" fillId="4" borderId="5" xfId="38" applyNumberFormat="1" applyFont="1" applyFill="1" applyBorder="1" applyAlignment="1">
      <alignment horizontal="center"/>
    </xf>
    <xf numFmtId="0" fontId="89" fillId="4" borderId="4" xfId="38" applyFont="1" applyFill="1" applyBorder="1" applyAlignment="1">
      <alignment horizontal="right"/>
    </xf>
    <xf numFmtId="4" fontId="82" fillId="4" borderId="5" xfId="38" applyNumberFormat="1" applyFill="1" applyBorder="1"/>
    <xf numFmtId="4" fontId="86" fillId="4" borderId="2" xfId="38" applyNumberFormat="1" applyFont="1" applyFill="1" applyBorder="1"/>
    <xf numFmtId="10" fontId="86" fillId="4" borderId="53" xfId="38" applyNumberFormat="1" applyFont="1" applyFill="1" applyBorder="1"/>
    <xf numFmtId="49" fontId="86" fillId="4" borderId="1" xfId="38" applyNumberFormat="1" applyFont="1" applyFill="1" applyBorder="1"/>
    <xf numFmtId="0" fontId="82" fillId="4" borderId="0" xfId="38" applyFill="1"/>
    <xf numFmtId="4" fontId="82" fillId="4" borderId="0" xfId="38" applyNumberFormat="1" applyFill="1"/>
    <xf numFmtId="4" fontId="17" fillId="4" borderId="5" xfId="38" applyNumberFormat="1" applyFont="1" applyFill="1" applyBorder="1"/>
    <xf numFmtId="4" fontId="17" fillId="4" borderId="8" xfId="38" applyNumberFormat="1" applyFont="1" applyFill="1" applyBorder="1"/>
    <xf numFmtId="49" fontId="17" fillId="4" borderId="8" xfId="38" applyNumberFormat="1" applyFont="1" applyFill="1" applyBorder="1"/>
    <xf numFmtId="49" fontId="17" fillId="4" borderId="7" xfId="38" applyNumberFormat="1" applyFont="1" applyFill="1" applyBorder="1"/>
    <xf numFmtId="4" fontId="69" fillId="4" borderId="5" xfId="38" applyNumberFormat="1" applyFont="1" applyFill="1" applyBorder="1"/>
    <xf numFmtId="4" fontId="90" fillId="4" borderId="5" xfId="38" applyNumberFormat="1" applyFont="1" applyFill="1" applyBorder="1"/>
    <xf numFmtId="49" fontId="69" fillId="4" borderId="5" xfId="38" applyNumberFormat="1" applyFont="1" applyFill="1" applyBorder="1"/>
    <xf numFmtId="49" fontId="69" fillId="4" borderId="4" xfId="38" applyNumberFormat="1" applyFont="1" applyFill="1" applyBorder="1"/>
    <xf numFmtId="49" fontId="17" fillId="4" borderId="5" xfId="38" applyNumberFormat="1" applyFont="1" applyFill="1" applyBorder="1"/>
    <xf numFmtId="49" fontId="17" fillId="4" borderId="4" xfId="38" applyNumberFormat="1" applyFont="1" applyFill="1" applyBorder="1"/>
    <xf numFmtId="4" fontId="88" fillId="4" borderId="5" xfId="38" applyNumberFormat="1" applyFont="1" applyFill="1" applyBorder="1"/>
    <xf numFmtId="4" fontId="70" fillId="4" borderId="5" xfId="38" applyNumberFormat="1" applyFont="1" applyFill="1" applyBorder="1"/>
    <xf numFmtId="49" fontId="70" fillId="4" borderId="5" xfId="38" applyNumberFormat="1" applyFont="1" applyFill="1" applyBorder="1"/>
    <xf numFmtId="49" fontId="70" fillId="4" borderId="4" xfId="38" applyNumberFormat="1" applyFont="1" applyFill="1" applyBorder="1"/>
    <xf numFmtId="4" fontId="71" fillId="4" borderId="5" xfId="38" applyNumberFormat="1" applyFont="1" applyFill="1" applyBorder="1"/>
    <xf numFmtId="49" fontId="71" fillId="4" borderId="5" xfId="38" applyNumberFormat="1" applyFont="1" applyFill="1" applyBorder="1"/>
    <xf numFmtId="49" fontId="71" fillId="4" borderId="4" xfId="38" applyNumberFormat="1" applyFont="1" applyFill="1" applyBorder="1"/>
    <xf numFmtId="4" fontId="91" fillId="4" borderId="5" xfId="38" applyNumberFormat="1" applyFont="1" applyFill="1" applyBorder="1"/>
    <xf numFmtId="4" fontId="91" fillId="4" borderId="17" xfId="38" applyNumberFormat="1" applyFont="1" applyFill="1" applyBorder="1"/>
    <xf numFmtId="49" fontId="91" fillId="4" borderId="5" xfId="38" applyNumberFormat="1" applyFont="1" applyFill="1" applyBorder="1"/>
    <xf numFmtId="49" fontId="91" fillId="4" borderId="4" xfId="38" applyNumberFormat="1" applyFont="1" applyFill="1" applyBorder="1"/>
    <xf numFmtId="4" fontId="92" fillId="4" borderId="5" xfId="38" applyNumberFormat="1" applyFont="1" applyFill="1" applyBorder="1"/>
    <xf numFmtId="4" fontId="92" fillId="4" borderId="17" xfId="38" applyNumberFormat="1" applyFont="1" applyFill="1" applyBorder="1"/>
    <xf numFmtId="49" fontId="92" fillId="4" borderId="5" xfId="38" applyNumberFormat="1" applyFont="1" applyFill="1" applyBorder="1" applyAlignment="1">
      <alignment vertical="center" wrapText="1"/>
    </xf>
    <xf numFmtId="49" fontId="92" fillId="4" borderId="4" xfId="38" applyNumberFormat="1" applyFont="1" applyFill="1" applyBorder="1"/>
    <xf numFmtId="0" fontId="16" fillId="0" borderId="0" xfId="38" applyFont="1" applyAlignment="1">
      <alignment vertical="center"/>
    </xf>
    <xf numFmtId="174" fontId="16" fillId="0" borderId="0" xfId="38" applyNumberFormat="1" applyFont="1" applyAlignment="1">
      <alignment horizontal="left" vertical="center"/>
    </xf>
    <xf numFmtId="174" fontId="23" fillId="0" borderId="0" xfId="38" applyNumberFormat="1" applyFont="1" applyAlignment="1">
      <alignment horizontal="left" vertical="center"/>
    </xf>
    <xf numFmtId="174" fontId="16" fillId="0" borderId="0" xfId="38" applyNumberFormat="1" applyFont="1" applyAlignment="1">
      <alignment vertical="center"/>
    </xf>
    <xf numFmtId="174" fontId="95" fillId="0" borderId="0" xfId="38" applyNumberFormat="1" applyFont="1" applyAlignment="1">
      <alignment vertical="center"/>
    </xf>
    <xf numFmtId="174" fontId="95" fillId="0" borderId="0" xfId="38" applyNumberFormat="1" applyFont="1" applyAlignment="1">
      <alignment horizontal="center" vertical="center"/>
    </xf>
    <xf numFmtId="4" fontId="75" fillId="0" borderId="5" xfId="0" applyNumberFormat="1" applyFont="1" applyBorder="1"/>
    <xf numFmtId="4" fontId="0" fillId="0" borderId="2" xfId="0" applyNumberFormat="1" applyBorder="1"/>
    <xf numFmtId="4" fontId="70" fillId="0" borderId="2" xfId="0" applyNumberFormat="1" applyFont="1" applyBorder="1"/>
    <xf numFmtId="0" fontId="97" fillId="4" borderId="1" xfId="12" applyFont="1" applyFill="1" applyBorder="1" applyAlignment="1">
      <alignment horizontal="center" vertical="center"/>
    </xf>
    <xf numFmtId="4" fontId="23" fillId="4" borderId="0" xfId="12" applyNumberFormat="1" applyFont="1" applyFill="1"/>
    <xf numFmtId="0" fontId="22" fillId="0" borderId="0" xfId="12" applyFont="1"/>
    <xf numFmtId="0" fontId="23" fillId="4" borderId="0" xfId="12" applyFont="1" applyFill="1"/>
    <xf numFmtId="49" fontId="75" fillId="4" borderId="31" xfId="0" applyNumberFormat="1" applyFont="1" applyFill="1" applyBorder="1"/>
    <xf numFmtId="4" fontId="72" fillId="4" borderId="2" xfId="0" applyNumberFormat="1" applyFont="1" applyFill="1" applyBorder="1"/>
    <xf numFmtId="4" fontId="72" fillId="4" borderId="57" xfId="0" applyNumberFormat="1" applyFont="1" applyFill="1" applyBorder="1"/>
    <xf numFmtId="2" fontId="14" fillId="4" borderId="11" xfId="15" applyNumberFormat="1" applyFont="1" applyFill="1" applyBorder="1" applyAlignment="1">
      <alignment horizontal="center"/>
    </xf>
    <xf numFmtId="4" fontId="17" fillId="4" borderId="5" xfId="15" applyNumberFormat="1" applyFont="1" applyFill="1" applyBorder="1"/>
    <xf numFmtId="3" fontId="74" fillId="4" borderId="5" xfId="15" applyNumberFormat="1" applyFont="1" applyFill="1" applyBorder="1" applyAlignment="1">
      <alignment horizontal="center"/>
    </xf>
    <xf numFmtId="4" fontId="17" fillId="0" borderId="65" xfId="15" applyNumberFormat="1" applyFont="1" applyBorder="1"/>
    <xf numFmtId="4" fontId="17" fillId="0" borderId="67" xfId="15" applyNumberFormat="1" applyFont="1" applyBorder="1"/>
    <xf numFmtId="4" fontId="55" fillId="0" borderId="67" xfId="15" applyNumberFormat="1" applyFont="1" applyBorder="1" applyAlignment="1">
      <alignment horizontal="center"/>
    </xf>
    <xf numFmtId="2" fontId="14" fillId="4" borderId="80" xfId="15" applyNumberFormat="1" applyFont="1" applyFill="1" applyBorder="1" applyAlignment="1">
      <alignment horizontal="center"/>
    </xf>
    <xf numFmtId="2" fontId="14" fillId="3" borderId="80" xfId="15" applyNumberFormat="1" applyFont="1" applyFill="1" applyBorder="1" applyAlignment="1">
      <alignment horizontal="center"/>
    </xf>
    <xf numFmtId="3" fontId="74" fillId="4" borderId="6" xfId="15" applyNumberFormat="1" applyFont="1" applyFill="1" applyBorder="1" applyAlignment="1">
      <alignment horizontal="center"/>
    </xf>
    <xf numFmtId="4" fontId="17" fillId="0" borderId="8" xfId="7" applyNumberFormat="1" applyFont="1" applyFill="1" applyBorder="1" applyAlignment="1"/>
    <xf numFmtId="2" fontId="14" fillId="3" borderId="69" xfId="15" applyNumberFormat="1" applyFont="1" applyFill="1" applyBorder="1" applyAlignment="1">
      <alignment horizontal="center"/>
    </xf>
    <xf numFmtId="174" fontId="96" fillId="0" borderId="0" xfId="38" applyNumberFormat="1" applyFont="1" applyAlignment="1">
      <alignment horizontal="center" vertical="center"/>
    </xf>
    <xf numFmtId="0" fontId="13" fillId="0" borderId="0" xfId="12" applyFont="1" applyAlignment="1">
      <alignment horizontal="center" vertical="top"/>
    </xf>
    <xf numFmtId="4" fontId="72" fillId="4" borderId="3" xfId="0" applyNumberFormat="1" applyFont="1" applyFill="1" applyBorder="1" applyAlignment="1">
      <alignment horizontal="center"/>
    </xf>
    <xf numFmtId="4" fontId="72" fillId="4" borderId="2" xfId="0" applyNumberFormat="1" applyFont="1" applyFill="1" applyBorder="1" applyAlignment="1">
      <alignment horizontal="center"/>
    </xf>
    <xf numFmtId="4" fontId="19" fillId="4" borderId="4" xfId="12" applyNumberFormat="1" applyFont="1" applyFill="1" applyBorder="1" applyAlignment="1">
      <alignment horizontal="center"/>
    </xf>
    <xf numFmtId="4" fontId="21" fillId="4" borderId="6" xfId="12" applyNumberFormat="1" applyFont="1" applyFill="1" applyBorder="1" applyAlignment="1" applyProtection="1">
      <alignment horizontal="center" vertical="center"/>
      <protection locked="0"/>
    </xf>
    <xf numFmtId="4" fontId="21" fillId="4" borderId="5" xfId="12" applyNumberFormat="1" applyFont="1" applyFill="1" applyBorder="1" applyAlignment="1" applyProtection="1">
      <alignment horizontal="center" vertical="center"/>
      <protection locked="0"/>
    </xf>
    <xf numFmtId="10" fontId="19" fillId="4" borderId="6" xfId="12" applyNumberFormat="1" applyFont="1" applyFill="1" applyBorder="1" applyAlignment="1">
      <alignment horizontal="center"/>
    </xf>
    <xf numFmtId="4" fontId="19" fillId="0" borderId="0" xfId="12" applyNumberFormat="1" applyFont="1" applyAlignment="1">
      <alignment horizontal="center"/>
    </xf>
    <xf numFmtId="49" fontId="17" fillId="0" borderId="5" xfId="0" applyNumberFormat="1" applyFont="1" applyBorder="1"/>
    <xf numFmtId="0" fontId="21" fillId="0" borderId="5" xfId="12" applyFont="1" applyBorder="1" applyAlignment="1" applyProtection="1">
      <alignment horizontal="center" vertical="center"/>
      <protection locked="0"/>
    </xf>
    <xf numFmtId="4" fontId="19" fillId="0" borderId="5" xfId="12" applyNumberFormat="1" applyFont="1" applyBorder="1"/>
    <xf numFmtId="4" fontId="19" fillId="4" borderId="5" xfId="12" applyNumberFormat="1" applyFont="1" applyFill="1" applyBorder="1"/>
    <xf numFmtId="4" fontId="19" fillId="0" borderId="2" xfId="12" applyNumberFormat="1" applyFont="1" applyBorder="1"/>
    <xf numFmtId="0" fontId="18" fillId="0" borderId="5" xfId="12" applyFont="1" applyBorder="1" applyAlignment="1" applyProtection="1">
      <alignment horizontal="center" vertical="center"/>
      <protection locked="0"/>
    </xf>
    <xf numFmtId="49" fontId="99" fillId="4" borderId="1" xfId="0" applyNumberFormat="1" applyFont="1" applyFill="1" applyBorder="1"/>
    <xf numFmtId="49" fontId="75" fillId="0" borderId="4" xfId="0" applyNumberFormat="1" applyFont="1" applyBorder="1"/>
    <xf numFmtId="10" fontId="19" fillId="0" borderId="5" xfId="12" applyNumberFormat="1" applyFont="1" applyBorder="1"/>
    <xf numFmtId="0" fontId="19" fillId="4" borderId="5" xfId="12" applyFont="1" applyFill="1" applyBorder="1" applyAlignment="1" applyProtection="1">
      <alignment horizontal="center" vertical="center"/>
      <protection locked="0"/>
    </xf>
    <xf numFmtId="49" fontId="72" fillId="4" borderId="2" xfId="0" applyNumberFormat="1" applyFont="1" applyFill="1" applyBorder="1"/>
    <xf numFmtId="0" fontId="18" fillId="0" borderId="2" xfId="12" applyFont="1" applyBorder="1" applyAlignment="1" applyProtection="1">
      <alignment horizontal="center" vertical="center"/>
      <protection locked="0"/>
    </xf>
    <xf numFmtId="4" fontId="72" fillId="0" borderId="2" xfId="0" applyNumberFormat="1" applyFont="1" applyBorder="1"/>
    <xf numFmtId="10" fontId="19" fillId="0" borderId="2" xfId="12" applyNumberFormat="1" applyFont="1" applyBorder="1"/>
    <xf numFmtId="4" fontId="53" fillId="0" borderId="0" xfId="15" applyNumberFormat="1" applyFont="1" applyAlignment="1">
      <alignment horizontal="center"/>
    </xf>
    <xf numFmtId="173" fontId="94" fillId="8" borderId="53" xfId="38" applyNumberFormat="1" applyFont="1" applyFill="1" applyBorder="1" applyAlignment="1">
      <alignment horizontal="center" vertical="center" wrapText="1"/>
    </xf>
    <xf numFmtId="167" fontId="87" fillId="4" borderId="55" xfId="38" applyNumberFormat="1" applyFont="1" applyFill="1" applyBorder="1"/>
    <xf numFmtId="167" fontId="87" fillId="4" borderId="17" xfId="38" applyNumberFormat="1" applyFont="1" applyFill="1" applyBorder="1"/>
    <xf numFmtId="167" fontId="86" fillId="4" borderId="17" xfId="38" applyNumberFormat="1" applyFont="1" applyFill="1" applyBorder="1"/>
    <xf numFmtId="167" fontId="87" fillId="0" borderId="17" xfId="38" applyNumberFormat="1" applyFont="1" applyBorder="1"/>
    <xf numFmtId="167" fontId="86" fillId="0" borderId="17" xfId="38" applyNumberFormat="1" applyFont="1" applyBorder="1"/>
    <xf numFmtId="0" fontId="17" fillId="0" borderId="22" xfId="17" applyBorder="1">
      <alignment vertical="center"/>
    </xf>
    <xf numFmtId="0" fontId="17" fillId="0" borderId="52" xfId="17" applyBorder="1">
      <alignment vertical="center"/>
    </xf>
    <xf numFmtId="4" fontId="15" fillId="0" borderId="26" xfId="15" applyNumberFormat="1" applyFont="1" applyBorder="1" applyAlignment="1">
      <alignment horizontal="center" vertical="center"/>
    </xf>
    <xf numFmtId="4" fontId="57" fillId="0" borderId="53" xfId="15" applyNumberFormat="1" applyFont="1" applyBorder="1" applyAlignment="1">
      <alignment horizontal="center" vertical="center"/>
    </xf>
    <xf numFmtId="4" fontId="15" fillId="0" borderId="0" xfId="15" applyNumberFormat="1" applyFont="1" applyAlignment="1">
      <alignment horizontal="left" vertical="center"/>
    </xf>
    <xf numFmtId="4" fontId="15" fillId="0" borderId="0" xfId="15" applyNumberFormat="1" applyFont="1" applyAlignment="1">
      <alignment horizontal="right" vertical="center"/>
    </xf>
    <xf numFmtId="4" fontId="55" fillId="0" borderId="0" xfId="15" applyNumberFormat="1" applyFont="1" applyAlignment="1">
      <alignment horizontal="center" vertical="center"/>
    </xf>
    <xf numFmtId="4" fontId="17" fillId="0" borderId="46" xfId="15" applyNumberFormat="1" applyFont="1" applyBorder="1" applyAlignment="1">
      <alignment horizontal="center" vertical="center"/>
    </xf>
    <xf numFmtId="4" fontId="50" fillId="0" borderId="43" xfId="15" applyNumberFormat="1" applyFont="1" applyBorder="1" applyAlignment="1">
      <alignment vertical="center"/>
    </xf>
    <xf numFmtId="4" fontId="15" fillId="0" borderId="0" xfId="15" applyNumberFormat="1" applyFont="1" applyAlignment="1">
      <alignment horizontal="center" vertical="center"/>
    </xf>
    <xf numFmtId="4" fontId="17" fillId="0" borderId="0" xfId="15" applyNumberFormat="1" applyFont="1" applyAlignment="1">
      <alignment vertical="center"/>
    </xf>
    <xf numFmtId="4" fontId="17" fillId="4" borderId="6" xfId="15" applyNumberFormat="1" applyFont="1" applyFill="1" applyBorder="1"/>
    <xf numFmtId="0" fontId="19" fillId="4" borderId="0" xfId="12" applyFont="1" applyFill="1"/>
    <xf numFmtId="4" fontId="19" fillId="4" borderId="0" xfId="12" applyNumberFormat="1" applyFont="1" applyFill="1"/>
    <xf numFmtId="0" fontId="100" fillId="4" borderId="0" xfId="0" applyFont="1" applyFill="1"/>
    <xf numFmtId="0" fontId="101" fillId="4" borderId="0" xfId="0" applyFont="1" applyFill="1"/>
    <xf numFmtId="0" fontId="58" fillId="4" borderId="0" xfId="0" applyFont="1" applyFill="1"/>
    <xf numFmtId="0" fontId="58" fillId="4" borderId="60" xfId="0" applyFont="1" applyFill="1" applyBorder="1" applyAlignment="1">
      <alignment horizontal="center" vertical="center"/>
    </xf>
    <xf numFmtId="0" fontId="100" fillId="4" borderId="18" xfId="0" applyFont="1" applyFill="1" applyBorder="1" applyAlignment="1">
      <alignment horizontal="center"/>
    </xf>
    <xf numFmtId="0" fontId="102" fillId="4" borderId="18" xfId="0" applyFont="1" applyFill="1" applyBorder="1" applyAlignment="1">
      <alignment horizontal="center"/>
    </xf>
    <xf numFmtId="0" fontId="58" fillId="4" borderId="18" xfId="0" applyFont="1" applyFill="1" applyBorder="1"/>
    <xf numFmtId="0" fontId="100" fillId="4" borderId="5" xfId="0" applyFont="1" applyFill="1" applyBorder="1"/>
    <xf numFmtId="0" fontId="58" fillId="4" borderId="7" xfId="0" applyFont="1" applyFill="1" applyBorder="1" applyAlignment="1">
      <alignment vertical="center"/>
    </xf>
    <xf numFmtId="0" fontId="58" fillId="4" borderId="16" xfId="0" applyFont="1" applyFill="1" applyBorder="1" applyAlignment="1">
      <alignment horizontal="center" vertical="top"/>
    </xf>
    <xf numFmtId="0" fontId="103" fillId="4" borderId="16" xfId="0" applyFont="1" applyFill="1" applyBorder="1" applyAlignment="1">
      <alignment horizontal="center" vertical="top"/>
    </xf>
    <xf numFmtId="0" fontId="100" fillId="4" borderId="49" xfId="0" applyFont="1" applyFill="1" applyBorder="1" applyAlignment="1">
      <alignment horizontal="center" vertical="top"/>
    </xf>
    <xf numFmtId="4" fontId="104" fillId="4" borderId="1" xfId="0" applyNumberFormat="1" applyFont="1" applyFill="1" applyBorder="1" applyAlignment="1">
      <alignment horizontal="center"/>
    </xf>
    <xf numFmtId="4" fontId="104" fillId="4" borderId="2" xfId="0" applyNumberFormat="1" applyFont="1" applyFill="1" applyBorder="1" applyAlignment="1">
      <alignment horizontal="center"/>
    </xf>
    <xf numFmtId="4" fontId="101" fillId="4" borderId="2" xfId="0" applyNumberFormat="1" applyFont="1" applyFill="1" applyBorder="1" applyAlignment="1">
      <alignment horizontal="center"/>
    </xf>
    <xf numFmtId="4" fontId="101" fillId="4" borderId="57" xfId="0" applyNumberFormat="1" applyFont="1" applyFill="1" applyBorder="1" applyAlignment="1">
      <alignment horizontal="center"/>
    </xf>
    <xf numFmtId="4" fontId="101" fillId="4" borderId="9" xfId="0" applyNumberFormat="1" applyFont="1" applyFill="1" applyBorder="1" applyAlignment="1">
      <alignment horizontal="center"/>
    </xf>
    <xf numFmtId="4" fontId="100" fillId="4" borderId="31" xfId="0" applyNumberFormat="1" applyFont="1" applyFill="1" applyBorder="1" applyAlignment="1">
      <alignment horizontal="center"/>
    </xf>
    <xf numFmtId="4" fontId="104" fillId="4" borderId="31" xfId="0" applyNumberFormat="1" applyFont="1" applyFill="1" applyBorder="1" applyAlignment="1">
      <alignment horizontal="center"/>
    </xf>
    <xf numFmtId="4" fontId="58" fillId="4" borderId="0" xfId="0" applyNumberFormat="1" applyFont="1" applyFill="1"/>
    <xf numFmtId="0" fontId="104" fillId="4" borderId="0" xfId="0" applyFont="1" applyFill="1"/>
    <xf numFmtId="4" fontId="58" fillId="4" borderId="4" xfId="0" applyNumberFormat="1" applyFont="1" applyFill="1" applyBorder="1" applyAlignment="1">
      <alignment horizontal="center"/>
    </xf>
    <xf numFmtId="4" fontId="58" fillId="4" borderId="5" xfId="0" applyNumberFormat="1" applyFont="1" applyFill="1" applyBorder="1" applyAlignment="1">
      <alignment horizontal="center"/>
    </xf>
    <xf numFmtId="4" fontId="100" fillId="4" borderId="5" xfId="0" applyNumberFormat="1" applyFont="1" applyFill="1" applyBorder="1" applyAlignment="1">
      <alignment horizontal="center"/>
    </xf>
    <xf numFmtId="4" fontId="100" fillId="4" borderId="9" xfId="0" applyNumberFormat="1" applyFont="1" applyFill="1" applyBorder="1" applyAlignment="1">
      <alignment horizontal="center"/>
    </xf>
    <xf numFmtId="4" fontId="58" fillId="4" borderId="31" xfId="0" applyNumberFormat="1" applyFont="1" applyFill="1" applyBorder="1" applyAlignment="1">
      <alignment horizontal="center"/>
    </xf>
    <xf numFmtId="0" fontId="41" fillId="4" borderId="10" xfId="12" applyFont="1" applyFill="1" applyBorder="1" applyAlignment="1" applyProtection="1">
      <alignment horizontal="center" vertical="center"/>
      <protection locked="0"/>
    </xf>
    <xf numFmtId="4" fontId="104" fillId="4" borderId="4" xfId="0" applyNumberFormat="1" applyFont="1" applyFill="1" applyBorder="1" applyAlignment="1">
      <alignment horizontal="center"/>
    </xf>
    <xf numFmtId="4" fontId="104" fillId="4" borderId="5" xfId="0" applyNumberFormat="1" applyFont="1" applyFill="1" applyBorder="1" applyAlignment="1">
      <alignment horizontal="center"/>
    </xf>
    <xf numFmtId="4" fontId="101" fillId="4" borderId="5" xfId="0" applyNumberFormat="1" applyFont="1" applyFill="1" applyBorder="1" applyAlignment="1">
      <alignment horizontal="center"/>
    </xf>
    <xf numFmtId="4" fontId="100" fillId="4" borderId="4" xfId="0" applyNumberFormat="1" applyFont="1" applyFill="1" applyBorder="1" applyAlignment="1">
      <alignment horizontal="center"/>
    </xf>
    <xf numFmtId="0" fontId="16" fillId="4" borderId="10" xfId="12" applyFill="1" applyBorder="1" applyAlignment="1">
      <alignment horizontal="center" vertical="center"/>
    </xf>
    <xf numFmtId="0" fontId="41" fillId="4" borderId="10" xfId="12" applyFont="1" applyFill="1" applyBorder="1" applyAlignment="1" applyProtection="1">
      <alignment vertical="center"/>
      <protection locked="0"/>
    </xf>
    <xf numFmtId="0" fontId="100" fillId="4" borderId="20" xfId="0" applyFont="1" applyFill="1" applyBorder="1"/>
    <xf numFmtId="0" fontId="101" fillId="4" borderId="19" xfId="0" applyFont="1" applyFill="1" applyBorder="1" applyAlignment="1">
      <alignment horizontal="center"/>
    </xf>
    <xf numFmtId="0" fontId="100" fillId="4" borderId="59" xfId="0" applyFont="1" applyFill="1" applyBorder="1" applyAlignment="1">
      <alignment horizontal="center"/>
    </xf>
    <xf numFmtId="0" fontId="100" fillId="4" borderId="17" xfId="0" applyFont="1" applyFill="1" applyBorder="1" applyAlignment="1">
      <alignment horizontal="center"/>
    </xf>
    <xf numFmtId="4" fontId="21" fillId="4" borderId="9" xfId="12" applyNumberFormat="1" applyFont="1" applyFill="1" applyBorder="1" applyAlignment="1" applyProtection="1">
      <alignment horizontal="right" vertical="center"/>
      <protection locked="0"/>
    </xf>
    <xf numFmtId="39" fontId="30" fillId="0" borderId="0" xfId="26" applyNumberFormat="1" applyFont="1" applyAlignment="1">
      <alignment horizontal="center" vertical="center" wrapText="1"/>
    </xf>
    <xf numFmtId="0" fontId="16" fillId="2" borderId="5" xfId="12" applyFill="1" applyBorder="1" applyAlignment="1">
      <alignment horizontal="center"/>
    </xf>
    <xf numFmtId="4" fontId="19" fillId="4" borderId="6" xfId="12" applyNumberFormat="1" applyFont="1" applyFill="1" applyBorder="1" applyAlignment="1" applyProtection="1">
      <alignment horizontal="center" vertical="center"/>
      <protection locked="0"/>
    </xf>
    <xf numFmtId="49" fontId="17" fillId="4" borderId="36" xfId="0" applyNumberFormat="1" applyFont="1" applyFill="1" applyBorder="1"/>
    <xf numFmtId="4" fontId="17" fillId="0" borderId="0" xfId="12" applyNumberFormat="1" applyFont="1" applyAlignment="1">
      <alignment vertical="top"/>
    </xf>
    <xf numFmtId="49" fontId="72" fillId="4" borderId="60" xfId="0" applyNumberFormat="1" applyFont="1" applyFill="1" applyBorder="1"/>
    <xf numFmtId="49" fontId="15" fillId="4" borderId="36" xfId="0" applyNumberFormat="1" applyFont="1" applyFill="1" applyBorder="1"/>
    <xf numFmtId="49" fontId="75" fillId="4" borderId="36" xfId="0" applyNumberFormat="1" applyFont="1" applyFill="1" applyBorder="1"/>
    <xf numFmtId="49" fontId="17" fillId="4" borderId="36" xfId="0" applyNumberFormat="1" applyFont="1" applyFill="1" applyBorder="1" applyAlignment="1">
      <alignment horizontal="left"/>
    </xf>
    <xf numFmtId="0" fontId="15" fillId="4" borderId="61" xfId="12" applyFont="1" applyFill="1" applyBorder="1" applyAlignment="1">
      <alignment horizontal="center" vertical="center"/>
    </xf>
    <xf numFmtId="49" fontId="75" fillId="4" borderId="58" xfId="0" applyNumberFormat="1" applyFont="1" applyFill="1" applyBorder="1"/>
    <xf numFmtId="4" fontId="21" fillId="4" borderId="10" xfId="12" applyNumberFormat="1" applyFont="1" applyFill="1" applyBorder="1" applyAlignment="1" applyProtection="1">
      <alignment horizontal="right" vertical="center"/>
      <protection locked="0"/>
    </xf>
    <xf numFmtId="0" fontId="17" fillId="4" borderId="5" xfId="12" applyFont="1" applyFill="1" applyBorder="1" applyAlignment="1">
      <alignment horizontal="center" vertical="center"/>
    </xf>
    <xf numFmtId="0" fontId="60" fillId="4" borderId="0" xfId="0" applyFont="1" applyFill="1" applyAlignment="1">
      <alignment horizontal="center"/>
    </xf>
    <xf numFmtId="0" fontId="59" fillId="4" borderId="0" xfId="0" applyFont="1" applyFill="1" applyAlignment="1">
      <alignment horizontal="left"/>
    </xf>
    <xf numFmtId="0" fontId="60" fillId="4" borderId="0" xfId="0" applyFont="1" applyFill="1"/>
    <xf numFmtId="0" fontId="59" fillId="4" borderId="0" xfId="0" applyFont="1" applyFill="1"/>
    <xf numFmtId="0" fontId="60" fillId="4" borderId="0" xfId="0" applyFont="1" applyFill="1" applyAlignment="1">
      <alignment horizontal="left"/>
    </xf>
    <xf numFmtId="49" fontId="17" fillId="4" borderId="42" xfId="0" applyNumberFormat="1" applyFont="1" applyFill="1" applyBorder="1"/>
    <xf numFmtId="49" fontId="17" fillId="4" borderId="64" xfId="0" applyNumberFormat="1" applyFont="1" applyFill="1" applyBorder="1"/>
    <xf numFmtId="0" fontId="59" fillId="4" borderId="14" xfId="0" applyFont="1" applyFill="1" applyBorder="1" applyAlignment="1">
      <alignment horizontal="center"/>
    </xf>
    <xf numFmtId="0" fontId="59" fillId="4" borderId="20" xfId="0" applyFont="1" applyFill="1" applyBorder="1" applyAlignment="1">
      <alignment horizontal="left"/>
    </xf>
    <xf numFmtId="0" fontId="16" fillId="4" borderId="40" xfId="12" applyFill="1" applyBorder="1" applyAlignment="1">
      <alignment horizontal="center" vertical="center"/>
    </xf>
    <xf numFmtId="49" fontId="17" fillId="4" borderId="60" xfId="0" applyNumberFormat="1" applyFont="1" applyFill="1" applyBorder="1"/>
    <xf numFmtId="49" fontId="17" fillId="4" borderId="38" xfId="0" applyNumberFormat="1" applyFont="1" applyFill="1" applyBorder="1"/>
    <xf numFmtId="0" fontId="41" fillId="4" borderId="28" xfId="12" applyFont="1" applyFill="1" applyBorder="1" applyAlignment="1" applyProtection="1">
      <alignment horizontal="center" vertical="center"/>
      <protection locked="0"/>
    </xf>
    <xf numFmtId="4" fontId="17" fillId="0" borderId="0" xfId="12" applyNumberFormat="1" applyFont="1" applyAlignment="1">
      <alignment horizontal="center"/>
    </xf>
    <xf numFmtId="0" fontId="17" fillId="4" borderId="13" xfId="12" applyFont="1" applyFill="1" applyBorder="1" applyAlignment="1">
      <alignment horizontal="center" vertical="center"/>
    </xf>
    <xf numFmtId="4" fontId="17" fillId="4" borderId="3" xfId="0" applyNumberFormat="1" applyFont="1" applyFill="1" applyBorder="1" applyAlignment="1">
      <alignment horizontal="center"/>
    </xf>
    <xf numFmtId="0" fontId="17" fillId="4" borderId="5" xfId="12" applyFont="1" applyFill="1" applyBorder="1" applyAlignment="1">
      <alignment horizontal="center"/>
    </xf>
    <xf numFmtId="4" fontId="98" fillId="4" borderId="44" xfId="12" applyNumberFormat="1" applyFont="1" applyFill="1" applyBorder="1" applyAlignment="1">
      <alignment horizontal="center"/>
    </xf>
    <xf numFmtId="0" fontId="21" fillId="0" borderId="83" xfId="12" applyFont="1" applyBorder="1" applyAlignment="1" applyProtection="1">
      <alignment vertical="center"/>
      <protection locked="0"/>
    </xf>
    <xf numFmtId="0" fontId="19" fillId="0" borderId="83" xfId="12" applyFont="1" applyBorder="1" applyAlignment="1" applyProtection="1">
      <alignment horizontal="center" vertical="center"/>
      <protection locked="0"/>
    </xf>
    <xf numFmtId="4" fontId="21" fillId="0" borderId="83" xfId="12" applyNumberFormat="1" applyFont="1" applyBorder="1" applyAlignment="1" applyProtection="1">
      <alignment vertical="center"/>
      <protection locked="0"/>
    </xf>
    <xf numFmtId="4" fontId="19" fillId="0" borderId="83" xfId="12" applyNumberFormat="1" applyFont="1" applyBorder="1" applyAlignment="1">
      <alignment horizontal="center"/>
    </xf>
    <xf numFmtId="2" fontId="19" fillId="0" borderId="83" xfId="12" applyNumberFormat="1" applyFont="1" applyBorder="1" applyAlignment="1">
      <alignment horizontal="center"/>
    </xf>
    <xf numFmtId="10" fontId="19" fillId="0" borderId="83" xfId="12" applyNumberFormat="1" applyFont="1" applyBorder="1" applyAlignment="1">
      <alignment horizontal="center"/>
    </xf>
    <xf numFmtId="4" fontId="19" fillId="0" borderId="83" xfId="12" applyNumberFormat="1" applyFont="1" applyBorder="1"/>
    <xf numFmtId="10" fontId="19" fillId="0" borderId="83" xfId="12" applyNumberFormat="1" applyFont="1" applyBorder="1"/>
    <xf numFmtId="0" fontId="21" fillId="0" borderId="5" xfId="12" applyFont="1" applyBorder="1" applyAlignment="1" applyProtection="1">
      <alignment vertical="center"/>
      <protection locked="0"/>
    </xf>
    <xf numFmtId="0" fontId="15" fillId="0" borderId="5" xfId="12" applyFont="1" applyBorder="1" applyAlignment="1">
      <alignment horizontal="left"/>
    </xf>
    <xf numFmtId="4" fontId="15" fillId="0" borderId="5" xfId="12" applyNumberFormat="1" applyFont="1" applyBorder="1"/>
    <xf numFmtId="10" fontId="15" fillId="0" borderId="5" xfId="27" applyNumberFormat="1" applyFont="1" applyBorder="1"/>
    <xf numFmtId="4" fontId="17" fillId="0" borderId="5" xfId="12" applyNumberFormat="1" applyFont="1" applyBorder="1" applyAlignment="1">
      <alignment horizontal="center"/>
    </xf>
    <xf numFmtId="0" fontId="15" fillId="0" borderId="5" xfId="12" applyFont="1" applyBorder="1" applyAlignment="1">
      <alignment horizontal="right"/>
    </xf>
    <xf numFmtId="4" fontId="14" fillId="0" borderId="5" xfId="12" applyNumberFormat="1" applyFont="1" applyBorder="1"/>
    <xf numFmtId="4" fontId="13" fillId="0" borderId="5" xfId="12" applyNumberFormat="1" applyFont="1" applyBorder="1" applyAlignment="1">
      <alignment horizontal="center"/>
    </xf>
    <xf numFmtId="4" fontId="14" fillId="0" borderId="5" xfId="12" applyNumberFormat="1" applyFont="1" applyBorder="1" applyAlignment="1">
      <alignment horizontal="center"/>
    </xf>
    <xf numFmtId="0" fontId="17" fillId="0" borderId="5" xfId="12" applyFont="1" applyBorder="1" applyAlignment="1">
      <alignment horizontal="center"/>
    </xf>
    <xf numFmtId="0" fontId="17" fillId="0" borderId="5" xfId="12" applyFont="1" applyBorder="1" applyAlignment="1">
      <alignment horizontal="center" vertical="center"/>
    </xf>
    <xf numFmtId="0" fontId="17" fillId="0" borderId="5" xfId="12" applyFont="1" applyBorder="1"/>
    <xf numFmtId="0" fontId="15" fillId="0" borderId="5" xfId="12" applyFont="1" applyBorder="1"/>
    <xf numFmtId="0" fontId="15" fillId="0" borderId="5" xfId="12" applyFont="1" applyBorder="1" applyAlignment="1">
      <alignment horizontal="center"/>
    </xf>
    <xf numFmtId="0" fontId="18" fillId="0" borderId="5" xfId="12" applyFont="1" applyBorder="1" applyAlignment="1" applyProtection="1">
      <alignment vertical="center"/>
      <protection locked="0"/>
    </xf>
    <xf numFmtId="4" fontId="15" fillId="0" borderId="5" xfId="12" applyNumberFormat="1" applyFont="1" applyBorder="1" applyAlignment="1">
      <alignment horizontal="right"/>
    </xf>
    <xf numFmtId="10" fontId="16" fillId="0" borderId="5" xfId="12" applyNumberFormat="1" applyBorder="1" applyAlignment="1">
      <alignment horizontal="center"/>
    </xf>
    <xf numFmtId="0" fontId="0" fillId="2" borderId="5" xfId="12" applyFont="1" applyFill="1" applyBorder="1"/>
    <xf numFmtId="0" fontId="23" fillId="2" borderId="5" xfId="12" applyFont="1" applyFill="1" applyBorder="1" applyAlignment="1">
      <alignment horizontal="right"/>
    </xf>
    <xf numFmtId="10" fontId="23" fillId="0" borderId="5" xfId="12" applyNumberFormat="1" applyFont="1" applyBorder="1" applyAlignment="1">
      <alignment horizontal="right"/>
    </xf>
    <xf numFmtId="0" fontId="16" fillId="0" borderId="5" xfId="12" applyBorder="1" applyAlignment="1">
      <alignment horizontal="center"/>
    </xf>
    <xf numFmtId="0" fontId="16" fillId="0" borderId="5" xfId="12" applyBorder="1" applyAlignment="1">
      <alignment horizontal="center" vertical="center"/>
    </xf>
    <xf numFmtId="0" fontId="23" fillId="0" borderId="5" xfId="12" applyFont="1" applyBorder="1"/>
    <xf numFmtId="0" fontId="0" fillId="0" borderId="5" xfId="12" applyFont="1" applyBorder="1"/>
    <xf numFmtId="0" fontId="23" fillId="0" borderId="5" xfId="12" applyFont="1" applyBorder="1" applyAlignment="1">
      <alignment horizontal="right"/>
    </xf>
    <xf numFmtId="0" fontId="0" fillId="0" borderId="5" xfId="12" applyFont="1" applyBorder="1" applyAlignment="1">
      <alignment horizontal="right"/>
    </xf>
    <xf numFmtId="0" fontId="15" fillId="6" borderId="5" xfId="12" applyFont="1" applyFill="1" applyBorder="1" applyAlignment="1">
      <alignment horizontal="left"/>
    </xf>
    <xf numFmtId="0" fontId="106" fillId="4" borderId="5" xfId="12" applyFont="1" applyFill="1" applyBorder="1" applyAlignment="1">
      <alignment horizontal="center"/>
    </xf>
    <xf numFmtId="0" fontId="16" fillId="4" borderId="5" xfId="12" applyFill="1" applyBorder="1" applyAlignment="1">
      <alignment horizontal="center"/>
    </xf>
    <xf numFmtId="0" fontId="14" fillId="4" borderId="5" xfId="12" applyFont="1" applyFill="1" applyBorder="1"/>
    <xf numFmtId="0" fontId="107" fillId="4" borderId="5" xfId="12" applyFont="1" applyFill="1" applyBorder="1" applyAlignment="1" applyProtection="1">
      <alignment horizontal="center" vertical="center"/>
      <protection locked="0"/>
    </xf>
    <xf numFmtId="4" fontId="107" fillId="4" borderId="10" xfId="12" applyNumberFormat="1" applyFont="1" applyFill="1" applyBorder="1" applyAlignment="1" applyProtection="1">
      <alignment horizontal="right" vertical="center"/>
      <protection locked="0"/>
    </xf>
    <xf numFmtId="4" fontId="107" fillId="4" borderId="9" xfId="12" applyNumberFormat="1" applyFont="1" applyFill="1" applyBorder="1" applyAlignment="1" applyProtection="1">
      <alignment horizontal="right" vertical="center"/>
      <protection locked="0"/>
    </xf>
    <xf numFmtId="4" fontId="107" fillId="4" borderId="9" xfId="12" applyNumberFormat="1" applyFont="1" applyFill="1" applyBorder="1" applyAlignment="1" applyProtection="1">
      <alignment vertical="center"/>
      <protection locked="0"/>
    </xf>
    <xf numFmtId="4" fontId="107" fillId="4" borderId="4" xfId="12" applyNumberFormat="1" applyFont="1" applyFill="1" applyBorder="1" applyAlignment="1">
      <alignment horizontal="center"/>
    </xf>
    <xf numFmtId="4" fontId="107" fillId="4" borderId="6" xfId="12" applyNumberFormat="1" applyFont="1" applyFill="1" applyBorder="1" applyAlignment="1" applyProtection="1">
      <alignment horizontal="center" vertical="center"/>
      <protection locked="0"/>
    </xf>
    <xf numFmtId="4" fontId="107" fillId="4" borderId="5" xfId="12" applyNumberFormat="1" applyFont="1" applyFill="1" applyBorder="1" applyAlignment="1" applyProtection="1">
      <alignment horizontal="center" vertical="center"/>
      <protection locked="0"/>
    </xf>
    <xf numFmtId="10" fontId="107" fillId="4" borderId="6" xfId="12" applyNumberFormat="1" applyFont="1" applyFill="1" applyBorder="1" applyAlignment="1">
      <alignment horizontal="center"/>
    </xf>
    <xf numFmtId="4" fontId="107" fillId="4" borderId="4" xfId="12" applyNumberFormat="1" applyFont="1" applyFill="1" applyBorder="1"/>
    <xf numFmtId="4" fontId="107" fillId="4" borderId="5" xfId="12" applyNumberFormat="1" applyFont="1" applyFill="1" applyBorder="1" applyAlignment="1" applyProtection="1">
      <alignment vertical="center"/>
      <protection locked="0"/>
    </xf>
    <xf numFmtId="10" fontId="107" fillId="4" borderId="6" xfId="12" applyNumberFormat="1" applyFont="1" applyFill="1" applyBorder="1"/>
    <xf numFmtId="0" fontId="74" fillId="4" borderId="5" xfId="12" applyFont="1" applyFill="1" applyBorder="1" applyAlignment="1">
      <alignment horizontal="center" vertical="center"/>
    </xf>
    <xf numFmtId="4" fontId="17" fillId="4" borderId="5" xfId="12" applyNumberFormat="1" applyFont="1" applyFill="1" applyBorder="1" applyAlignment="1">
      <alignment horizontal="center"/>
    </xf>
    <xf numFmtId="0" fontId="105" fillId="5" borderId="5" xfId="0" applyFont="1" applyFill="1" applyBorder="1" applyAlignment="1">
      <alignment horizontal="left"/>
    </xf>
    <xf numFmtId="10" fontId="15" fillId="4" borderId="5" xfId="27" applyNumberFormat="1" applyFont="1" applyFill="1" applyBorder="1" applyAlignment="1">
      <alignment horizontal="center"/>
    </xf>
    <xf numFmtId="0" fontId="16" fillId="4" borderId="5" xfId="12" applyFill="1" applyBorder="1"/>
    <xf numFmtId="0" fontId="43" fillId="0" borderId="47" xfId="12" applyFont="1" applyBorder="1" applyAlignment="1">
      <alignment horizontal="center" vertical="center"/>
    </xf>
    <xf numFmtId="0" fontId="43" fillId="0" borderId="55" xfId="12" applyFont="1" applyBorder="1" applyAlignment="1">
      <alignment horizontal="left" vertical="center"/>
    </xf>
    <xf numFmtId="49" fontId="43" fillId="0" borderId="46" xfId="12" applyNumberFormat="1" applyFont="1" applyBorder="1" applyAlignment="1">
      <alignment horizontal="left" vertical="center"/>
    </xf>
    <xf numFmtId="0" fontId="23" fillId="5" borderId="5" xfId="12" applyFont="1" applyFill="1" applyBorder="1" applyAlignment="1">
      <alignment horizontal="center"/>
    </xf>
    <xf numFmtId="4" fontId="43" fillId="0" borderId="25" xfId="12" applyNumberFormat="1" applyFont="1" applyBorder="1" applyAlignment="1">
      <alignment vertical="center"/>
    </xf>
    <xf numFmtId="10" fontId="23" fillId="0" borderId="69" xfId="29" applyNumberFormat="1" applyFont="1" applyFill="1" applyBorder="1" applyAlignment="1">
      <alignment horizontal="center" vertical="center"/>
    </xf>
    <xf numFmtId="4" fontId="23" fillId="0" borderId="67" xfId="12" applyNumberFormat="1" applyFont="1" applyBorder="1"/>
    <xf numFmtId="4" fontId="23" fillId="0" borderId="67" xfId="12" applyNumberFormat="1" applyFont="1" applyBorder="1" applyAlignment="1">
      <alignment horizontal="center"/>
    </xf>
    <xf numFmtId="10" fontId="23" fillId="0" borderId="67" xfId="12" applyNumberFormat="1" applyFont="1" applyBorder="1" applyAlignment="1">
      <alignment horizontal="center"/>
    </xf>
    <xf numFmtId="4" fontId="43" fillId="0" borderId="5" xfId="12" applyNumberFormat="1" applyFont="1" applyBorder="1" applyAlignment="1">
      <alignment vertical="center"/>
    </xf>
    <xf numFmtId="4" fontId="23" fillId="0" borderId="5" xfId="12" applyNumberFormat="1" applyFont="1" applyBorder="1" applyAlignment="1">
      <alignment horizontal="center"/>
    </xf>
    <xf numFmtId="0" fontId="43" fillId="0" borderId="5" xfId="12" applyFont="1" applyBorder="1" applyAlignment="1">
      <alignment horizontal="left"/>
    </xf>
    <xf numFmtId="10" fontId="43" fillId="0" borderId="5" xfId="12" applyNumberFormat="1" applyFont="1" applyBorder="1" applyAlignment="1">
      <alignment horizontal="left"/>
    </xf>
    <xf numFmtId="4" fontId="43" fillId="0" borderId="5" xfId="12" applyNumberFormat="1" applyFont="1" applyBorder="1"/>
    <xf numFmtId="0" fontId="43" fillId="0" borderId="4" xfId="12" applyFont="1" applyBorder="1" applyAlignment="1">
      <alignment horizontal="left"/>
    </xf>
    <xf numFmtId="10" fontId="23" fillId="0" borderId="0" xfId="27" applyNumberFormat="1" applyFont="1" applyBorder="1"/>
    <xf numFmtId="0" fontId="43" fillId="0" borderId="44" xfId="12" applyFont="1" applyBorder="1" applyAlignment="1">
      <alignment horizontal="left"/>
    </xf>
    <xf numFmtId="0" fontId="43" fillId="0" borderId="25" xfId="12" applyFont="1" applyBorder="1" applyAlignment="1">
      <alignment horizontal="left"/>
    </xf>
    <xf numFmtId="10" fontId="43" fillId="0" borderId="25" xfId="12" applyNumberFormat="1" applyFont="1" applyBorder="1" applyAlignment="1">
      <alignment horizontal="left"/>
    </xf>
    <xf numFmtId="4" fontId="43" fillId="0" borderId="25" xfId="12" applyNumberFormat="1" applyFont="1" applyBorder="1"/>
    <xf numFmtId="10" fontId="23" fillId="0" borderId="25" xfId="12" applyNumberFormat="1" applyFont="1" applyBorder="1" applyAlignment="1">
      <alignment horizontal="center"/>
    </xf>
    <xf numFmtId="4" fontId="23" fillId="0" borderId="25" xfId="12" applyNumberFormat="1" applyFont="1" applyBorder="1" applyAlignment="1">
      <alignment horizontal="center"/>
    </xf>
    <xf numFmtId="4" fontId="23" fillId="0" borderId="45" xfId="12" applyNumberFormat="1" applyFont="1" applyBorder="1"/>
    <xf numFmtId="4" fontId="23" fillId="0" borderId="15" xfId="12" applyNumberFormat="1" applyFont="1" applyBorder="1"/>
    <xf numFmtId="10" fontId="23" fillId="0" borderId="15" xfId="27" applyNumberFormat="1" applyFont="1" applyBorder="1"/>
    <xf numFmtId="10" fontId="23" fillId="0" borderId="59" xfId="27" applyNumberFormat="1" applyFont="1" applyBorder="1"/>
    <xf numFmtId="0" fontId="43" fillId="0" borderId="44" xfId="12" applyFont="1" applyBorder="1" applyAlignment="1">
      <alignment horizontal="center" vertical="center"/>
    </xf>
    <xf numFmtId="0" fontId="43" fillId="0" borderId="25" xfId="12" applyFont="1" applyBorder="1" applyAlignment="1">
      <alignment horizontal="center" vertical="center"/>
    </xf>
    <xf numFmtId="4" fontId="43" fillId="0" borderId="25" xfId="12" applyNumberFormat="1" applyFont="1" applyBorder="1" applyAlignment="1">
      <alignment horizontal="center" vertical="center"/>
    </xf>
    <xf numFmtId="10" fontId="43" fillId="0" borderId="25" xfId="29" applyNumberFormat="1" applyFont="1" applyFill="1" applyBorder="1" applyAlignment="1">
      <alignment horizontal="center" vertical="center"/>
    </xf>
    <xf numFmtId="10" fontId="16" fillId="0" borderId="45" xfId="29" applyNumberFormat="1" applyFont="1" applyFill="1" applyBorder="1" applyAlignment="1">
      <alignment horizontal="center" vertical="center"/>
    </xf>
    <xf numFmtId="0" fontId="43" fillId="0" borderId="13" xfId="12" applyFont="1" applyBorder="1" applyAlignment="1">
      <alignment horizontal="left"/>
    </xf>
    <xf numFmtId="4" fontId="43" fillId="0" borderId="13" xfId="12" applyNumberFormat="1" applyFont="1" applyBorder="1"/>
    <xf numFmtId="10" fontId="23" fillId="0" borderId="13" xfId="12" applyNumberFormat="1" applyFont="1" applyBorder="1" applyAlignment="1">
      <alignment horizontal="center"/>
    </xf>
    <xf numFmtId="4" fontId="23" fillId="0" borderId="13" xfId="12" applyNumberFormat="1" applyFont="1" applyBorder="1" applyAlignment="1">
      <alignment horizontal="center"/>
    </xf>
    <xf numFmtId="4" fontId="23" fillId="0" borderId="15" xfId="12" applyNumberFormat="1" applyFont="1" applyBorder="1" applyAlignment="1">
      <alignment horizontal="center"/>
    </xf>
    <xf numFmtId="10" fontId="23" fillId="0" borderId="15" xfId="12" applyNumberFormat="1" applyFont="1" applyBorder="1" applyAlignment="1">
      <alignment horizontal="center"/>
    </xf>
    <xf numFmtId="10" fontId="23" fillId="0" borderId="59" xfId="29" applyNumberFormat="1" applyFont="1" applyFill="1" applyBorder="1" applyAlignment="1">
      <alignment horizontal="center" vertical="center"/>
    </xf>
    <xf numFmtId="49" fontId="17" fillId="7" borderId="31" xfId="0" applyNumberFormat="1" applyFont="1" applyFill="1" applyBorder="1"/>
    <xf numFmtId="0" fontId="41" fillId="7" borderId="10" xfId="12" applyFont="1" applyFill="1" applyBorder="1" applyAlignment="1" applyProtection="1">
      <alignment horizontal="center" vertical="center"/>
      <protection locked="0"/>
    </xf>
    <xf numFmtId="4" fontId="60" fillId="4" borderId="5" xfId="0" applyNumberFormat="1" applyFont="1" applyFill="1" applyBorder="1" applyAlignment="1">
      <alignment horizontal="center"/>
    </xf>
    <xf numFmtId="2" fontId="60" fillId="4" borderId="0" xfId="0" applyNumberFormat="1" applyFont="1" applyFill="1"/>
    <xf numFmtId="4" fontId="59" fillId="4" borderId="5" xfId="0" applyNumberFormat="1" applyFont="1" applyFill="1" applyBorder="1" applyAlignment="1">
      <alignment horizontal="center"/>
    </xf>
    <xf numFmtId="4" fontId="100" fillId="4" borderId="36" xfId="0" applyNumberFormat="1" applyFont="1" applyFill="1" applyBorder="1" applyAlignment="1">
      <alignment horizontal="center"/>
    </xf>
    <xf numFmtId="0" fontId="100" fillId="4" borderId="84" xfId="0" applyFont="1" applyFill="1" applyBorder="1" applyAlignment="1">
      <alignment horizontal="center"/>
    </xf>
    <xf numFmtId="4" fontId="59" fillId="4" borderId="17" xfId="0" applyNumberFormat="1" applyFont="1" applyFill="1" applyBorder="1" applyAlignment="1">
      <alignment horizontal="center"/>
    </xf>
    <xf numFmtId="0" fontId="58" fillId="4" borderId="5" xfId="0" applyFont="1" applyFill="1" applyBorder="1"/>
    <xf numFmtId="0" fontId="100" fillId="4" borderId="5" xfId="0" applyFont="1" applyFill="1" applyBorder="1" applyAlignment="1">
      <alignment horizontal="center" vertical="top"/>
    </xf>
    <xf numFmtId="4" fontId="58" fillId="4" borderId="5" xfId="0" applyNumberFormat="1" applyFont="1" applyFill="1" applyBorder="1"/>
    <xf numFmtId="0" fontId="104" fillId="4" borderId="5" xfId="0" applyFont="1" applyFill="1" applyBorder="1"/>
    <xf numFmtId="0" fontId="100" fillId="4" borderId="5" xfId="0" applyFont="1" applyFill="1" applyBorder="1" applyAlignment="1">
      <alignment horizontal="center"/>
    </xf>
    <xf numFmtId="0" fontId="58" fillId="4" borderId="5" xfId="0" applyFont="1" applyFill="1" applyBorder="1" applyAlignment="1">
      <alignment horizontal="center"/>
    </xf>
    <xf numFmtId="0" fontId="104" fillId="4" borderId="5" xfId="0" applyFont="1" applyFill="1" applyBorder="1" applyAlignment="1">
      <alignment horizontal="center"/>
    </xf>
    <xf numFmtId="0" fontId="109" fillId="0" borderId="0" xfId="12" applyFont="1" applyAlignment="1">
      <alignment horizontal="center" vertical="center"/>
    </xf>
    <xf numFmtId="0" fontId="109" fillId="0" borderId="4" xfId="12" applyFont="1" applyBorder="1" applyAlignment="1">
      <alignment horizontal="center" vertical="center"/>
    </xf>
    <xf numFmtId="0" fontId="109" fillId="0" borderId="5" xfId="12" applyFont="1" applyBorder="1" applyAlignment="1">
      <alignment horizontal="center" vertical="center"/>
    </xf>
    <xf numFmtId="0" fontId="109" fillId="0" borderId="6" xfId="12" applyFont="1" applyBorder="1" applyAlignment="1">
      <alignment horizontal="center" vertical="center"/>
    </xf>
    <xf numFmtId="167" fontId="109" fillId="0" borderId="6" xfId="12" applyNumberFormat="1" applyFont="1" applyBorder="1" applyAlignment="1">
      <alignment horizontal="center" vertical="center"/>
    </xf>
    <xf numFmtId="0" fontId="109" fillId="0" borderId="6" xfId="12" applyFont="1" applyBorder="1" applyAlignment="1">
      <alignment horizontal="center" vertical="center" wrapText="1"/>
    </xf>
    <xf numFmtId="0" fontId="77" fillId="4" borderId="0" xfId="12" applyFont="1" applyFill="1" applyAlignment="1">
      <alignment vertical="top" wrapText="1"/>
    </xf>
    <xf numFmtId="0" fontId="113" fillId="0" borderId="0" xfId="12" applyFont="1" applyAlignment="1">
      <alignment horizontal="center" vertical="center"/>
    </xf>
    <xf numFmtId="0" fontId="114" fillId="0" borderId="0" xfId="12" applyFont="1" applyAlignment="1">
      <alignment vertical="center"/>
    </xf>
    <xf numFmtId="0" fontId="113" fillId="0" borderId="0" xfId="12" applyFont="1" applyAlignment="1">
      <alignment horizontal="right" vertical="center"/>
    </xf>
    <xf numFmtId="0" fontId="113" fillId="0" borderId="0" xfId="12" applyFont="1" applyAlignment="1">
      <alignment vertical="center"/>
    </xf>
    <xf numFmtId="0" fontId="114" fillId="0" borderId="0" xfId="12" applyFont="1" applyAlignment="1">
      <alignment horizontal="center" vertical="center"/>
    </xf>
    <xf numFmtId="0" fontId="113" fillId="0" borderId="0" xfId="12" applyFont="1"/>
    <xf numFmtId="0" fontId="113" fillId="0" borderId="0" xfId="12" applyFont="1" applyAlignment="1">
      <alignment horizontal="left" vertical="center"/>
    </xf>
    <xf numFmtId="0" fontId="113" fillId="0" borderId="0" xfId="12" quotePrefix="1" applyFont="1" applyAlignment="1">
      <alignment horizontal="center" vertical="center"/>
    </xf>
    <xf numFmtId="0" fontId="113" fillId="9" borderId="0" xfId="12" applyFont="1" applyFill="1" applyAlignment="1">
      <alignment vertical="center"/>
    </xf>
    <xf numFmtId="0" fontId="113" fillId="9" borderId="0" xfId="12" applyFont="1" applyFill="1" applyAlignment="1">
      <alignment horizontal="center" vertical="center"/>
    </xf>
    <xf numFmtId="166" fontId="113" fillId="9" borderId="0" xfId="12" applyNumberFormat="1" applyFont="1" applyFill="1" applyAlignment="1">
      <alignment horizontal="center" vertical="center"/>
    </xf>
    <xf numFmtId="166" fontId="113" fillId="0" borderId="0" xfId="12" applyNumberFormat="1" applyFont="1" applyAlignment="1">
      <alignment horizontal="center" vertical="center"/>
    </xf>
    <xf numFmtId="0" fontId="113" fillId="9" borderId="0" xfId="12" applyFont="1" applyFill="1"/>
    <xf numFmtId="49" fontId="17" fillId="7" borderId="64" xfId="0" applyNumberFormat="1" applyFont="1" applyFill="1" applyBorder="1"/>
    <xf numFmtId="0" fontId="60" fillId="4" borderId="5" xfId="0" applyFont="1" applyFill="1" applyBorder="1" applyAlignment="1">
      <alignment horizontal="center"/>
    </xf>
    <xf numFmtId="0" fontId="59" fillId="4" borderId="5" xfId="0" applyFont="1" applyFill="1" applyBorder="1" applyAlignment="1">
      <alignment horizontal="center"/>
    </xf>
    <xf numFmtId="49" fontId="17" fillId="6" borderId="31" xfId="0" applyNumberFormat="1" applyFont="1" applyFill="1" applyBorder="1"/>
    <xf numFmtId="4" fontId="102" fillId="4" borderId="9" xfId="0" applyNumberFormat="1" applyFont="1" applyFill="1" applyBorder="1" applyAlignment="1">
      <alignment horizontal="center"/>
    </xf>
    <xf numFmtId="0" fontId="101" fillId="4" borderId="5" xfId="0" applyFont="1" applyFill="1" applyBorder="1" applyAlignment="1">
      <alignment horizontal="center"/>
    </xf>
    <xf numFmtId="4" fontId="43" fillId="0" borderId="13" xfId="12" applyNumberFormat="1" applyFont="1" applyBorder="1" applyAlignment="1">
      <alignment horizontal="center" vertical="center"/>
    </xf>
    <xf numFmtId="0" fontId="17" fillId="4" borderId="1" xfId="12" applyFont="1" applyFill="1" applyBorder="1" applyAlignment="1">
      <alignment horizontal="center" vertical="center"/>
    </xf>
    <xf numFmtId="49" fontId="70" fillId="4" borderId="31" xfId="0" applyNumberFormat="1" applyFont="1" applyFill="1" applyBorder="1"/>
    <xf numFmtId="2" fontId="17" fillId="4" borderId="4" xfId="12" applyNumberFormat="1" applyFont="1" applyFill="1" applyBorder="1" applyAlignment="1">
      <alignment horizontal="center" vertical="center"/>
    </xf>
    <xf numFmtId="10" fontId="43" fillId="0" borderId="13" xfId="29" applyNumberFormat="1" applyFont="1" applyFill="1" applyBorder="1" applyAlignment="1">
      <alignment horizontal="center" vertical="center"/>
    </xf>
    <xf numFmtId="10" fontId="16" fillId="0" borderId="48" xfId="29" applyNumberFormat="1" applyFont="1" applyFill="1" applyBorder="1" applyAlignment="1">
      <alignment horizontal="center" vertical="center"/>
    </xf>
    <xf numFmtId="4" fontId="43" fillId="0" borderId="9" xfId="12" applyNumberFormat="1" applyFont="1" applyBorder="1" applyAlignment="1">
      <alignment vertical="center"/>
    </xf>
    <xf numFmtId="10" fontId="16" fillId="0" borderId="6" xfId="29" applyNumberFormat="1" applyFont="1" applyFill="1" applyBorder="1" applyAlignment="1">
      <alignment vertical="center"/>
    </xf>
    <xf numFmtId="0" fontId="23" fillId="4" borderId="0" xfId="12" applyFont="1" applyFill="1" applyAlignment="1">
      <alignment horizontal="left"/>
    </xf>
    <xf numFmtId="10" fontId="23" fillId="4" borderId="0" xfId="12" applyNumberFormat="1" applyFont="1" applyFill="1" applyAlignment="1">
      <alignment horizontal="center"/>
    </xf>
    <xf numFmtId="4" fontId="23" fillId="5" borderId="16" xfId="12" applyNumberFormat="1" applyFont="1" applyFill="1" applyBorder="1" applyAlignment="1">
      <alignment horizontal="center" vertical="center"/>
    </xf>
    <xf numFmtId="4" fontId="23" fillId="5" borderId="68" xfId="12" applyNumberFormat="1" applyFont="1" applyFill="1" applyBorder="1" applyAlignment="1">
      <alignment horizontal="center"/>
    </xf>
    <xf numFmtId="10" fontId="43" fillId="4" borderId="13" xfId="12" applyNumberFormat="1" applyFont="1" applyFill="1" applyBorder="1" applyAlignment="1">
      <alignment horizontal="left"/>
    </xf>
    <xf numFmtId="10" fontId="43" fillId="4" borderId="5" xfId="12" applyNumberFormat="1" applyFont="1" applyFill="1" applyBorder="1" applyAlignment="1">
      <alignment horizontal="left"/>
    </xf>
    <xf numFmtId="166" fontId="114" fillId="4" borderId="0" xfId="12" applyNumberFormat="1" applyFont="1" applyFill="1" applyAlignment="1">
      <alignment horizontal="center" vertical="center"/>
    </xf>
    <xf numFmtId="164" fontId="114" fillId="4" borderId="0" xfId="12" applyNumberFormat="1" applyFont="1" applyFill="1" applyAlignment="1">
      <alignment horizontal="center" vertical="center"/>
    </xf>
    <xf numFmtId="49" fontId="17" fillId="14" borderId="60" xfId="0" applyNumberFormat="1" applyFont="1" applyFill="1" applyBorder="1"/>
    <xf numFmtId="49" fontId="17" fillId="14" borderId="38" xfId="0" applyNumberFormat="1" applyFont="1" applyFill="1" applyBorder="1"/>
    <xf numFmtId="49" fontId="17" fillId="14" borderId="36" xfId="0" applyNumberFormat="1" applyFont="1" applyFill="1" applyBorder="1"/>
    <xf numFmtId="49" fontId="17" fillId="14" borderId="31" xfId="0" applyNumberFormat="1" applyFont="1" applyFill="1" applyBorder="1"/>
    <xf numFmtId="49" fontId="17" fillId="7" borderId="36" xfId="0" applyNumberFormat="1" applyFont="1" applyFill="1" applyBorder="1"/>
    <xf numFmtId="49" fontId="17" fillId="7" borderId="31" xfId="0" applyNumberFormat="1" applyFont="1" applyFill="1" applyBorder="1" applyAlignment="1">
      <alignment horizontal="left"/>
    </xf>
    <xf numFmtId="49" fontId="17" fillId="7" borderId="42" xfId="0" applyNumberFormat="1" applyFont="1" applyFill="1" applyBorder="1"/>
    <xf numFmtId="49" fontId="17" fillId="14" borderId="42" xfId="0" applyNumberFormat="1" applyFont="1" applyFill="1" applyBorder="1"/>
    <xf numFmtId="49" fontId="17" fillId="14" borderId="64" xfId="0" applyNumberFormat="1" applyFont="1" applyFill="1" applyBorder="1"/>
    <xf numFmtId="4" fontId="100" fillId="7" borderId="5" xfId="0" applyNumberFormat="1" applyFont="1" applyFill="1" applyBorder="1" applyAlignment="1">
      <alignment horizontal="center"/>
    </xf>
    <xf numFmtId="4" fontId="58" fillId="7" borderId="5" xfId="0" applyNumberFormat="1" applyFont="1" applyFill="1" applyBorder="1" applyAlignment="1">
      <alignment horizontal="center"/>
    </xf>
    <xf numFmtId="4" fontId="101" fillId="7" borderId="5" xfId="0" applyNumberFormat="1" applyFont="1" applyFill="1" applyBorder="1" applyAlignment="1">
      <alignment horizontal="center"/>
    </xf>
    <xf numFmtId="0" fontId="58" fillId="7" borderId="5" xfId="0" applyFont="1" applyFill="1" applyBorder="1" applyAlignment="1">
      <alignment horizontal="center"/>
    </xf>
    <xf numFmtId="4" fontId="58" fillId="7" borderId="5" xfId="0" applyNumberFormat="1" applyFont="1" applyFill="1" applyBorder="1"/>
    <xf numFmtId="0" fontId="58" fillId="7" borderId="0" xfId="0" applyFont="1" applyFill="1"/>
    <xf numFmtId="4" fontId="104" fillId="7" borderId="5" xfId="0" applyNumberFormat="1" applyFont="1" applyFill="1" applyBorder="1" applyAlignment="1">
      <alignment horizontal="center"/>
    </xf>
    <xf numFmtId="0" fontId="104" fillId="7" borderId="5" xfId="0" applyFont="1" applyFill="1" applyBorder="1" applyAlignment="1">
      <alignment horizontal="center"/>
    </xf>
    <xf numFmtId="0" fontId="104" fillId="7" borderId="0" xfId="0" applyFont="1" applyFill="1"/>
    <xf numFmtId="4" fontId="100" fillId="4" borderId="0" xfId="0" applyNumberFormat="1" applyFont="1" applyFill="1" applyAlignment="1">
      <alignment horizontal="center"/>
    </xf>
    <xf numFmtId="0" fontId="100" fillId="7" borderId="0" xfId="0" applyFont="1" applyFill="1"/>
    <xf numFmtId="0" fontId="100" fillId="7" borderId="18" xfId="0" applyFont="1" applyFill="1" applyBorder="1" applyAlignment="1">
      <alignment horizontal="center"/>
    </xf>
    <xf numFmtId="0" fontId="58" fillId="7" borderId="16" xfId="0" applyFont="1" applyFill="1" applyBorder="1" applyAlignment="1">
      <alignment horizontal="center" vertical="top"/>
    </xf>
    <xf numFmtId="4" fontId="104" fillId="7" borderId="2" xfId="0" applyNumberFormat="1" applyFont="1" applyFill="1" applyBorder="1" applyAlignment="1">
      <alignment horizontal="center"/>
    </xf>
    <xf numFmtId="4" fontId="60" fillId="7" borderId="5" xfId="0" applyNumberFormat="1" applyFont="1" applyFill="1" applyBorder="1" applyAlignment="1">
      <alignment horizontal="center"/>
    </xf>
    <xf numFmtId="4" fontId="101" fillId="7" borderId="2" xfId="0" applyNumberFormat="1" applyFont="1" applyFill="1" applyBorder="1" applyAlignment="1">
      <alignment horizontal="center"/>
    </xf>
    <xf numFmtId="4" fontId="59" fillId="7" borderId="5" xfId="0" applyNumberFormat="1" applyFont="1" applyFill="1" applyBorder="1" applyAlignment="1">
      <alignment horizontal="center"/>
    </xf>
    <xf numFmtId="4" fontId="116" fillId="4" borderId="4" xfId="0" applyNumberFormat="1" applyFont="1" applyFill="1" applyBorder="1" applyAlignment="1">
      <alignment horizontal="center"/>
    </xf>
    <xf numFmtId="4" fontId="58" fillId="7" borderId="4" xfId="0" applyNumberFormat="1" applyFont="1" applyFill="1" applyBorder="1" applyAlignment="1">
      <alignment horizontal="center"/>
    </xf>
    <xf numFmtId="4" fontId="101" fillId="7" borderId="57" xfId="0" applyNumberFormat="1" applyFont="1" applyFill="1" applyBorder="1" applyAlignment="1">
      <alignment horizontal="center"/>
    </xf>
    <xf numFmtId="4" fontId="100" fillId="7" borderId="9" xfId="0" applyNumberFormat="1" applyFont="1" applyFill="1" applyBorder="1" applyAlignment="1">
      <alignment horizontal="center"/>
    </xf>
    <xf numFmtId="0" fontId="41" fillId="4" borderId="5" xfId="12" applyFont="1" applyFill="1" applyBorder="1" applyAlignment="1" applyProtection="1">
      <alignment horizontal="center" vertical="center"/>
      <protection locked="0"/>
    </xf>
    <xf numFmtId="0" fontId="41" fillId="4" borderId="25" xfId="12" applyFont="1" applyFill="1" applyBorder="1" applyAlignment="1" applyProtection="1">
      <alignment horizontal="center" vertical="center"/>
      <protection locked="0"/>
    </xf>
    <xf numFmtId="4" fontId="58" fillId="4" borderId="25" xfId="0" applyNumberFormat="1" applyFont="1" applyFill="1" applyBorder="1" applyAlignment="1">
      <alignment horizontal="center"/>
    </xf>
    <xf numFmtId="4" fontId="58" fillId="7" borderId="25" xfId="0" applyNumberFormat="1" applyFont="1" applyFill="1" applyBorder="1" applyAlignment="1">
      <alignment horizontal="center"/>
    </xf>
    <xf numFmtId="4" fontId="100" fillId="4" borderId="25" xfId="0" applyNumberFormat="1" applyFont="1" applyFill="1" applyBorder="1" applyAlignment="1">
      <alignment horizontal="center"/>
    </xf>
    <xf numFmtId="4" fontId="100" fillId="7" borderId="25" xfId="0" applyNumberFormat="1" applyFont="1" applyFill="1" applyBorder="1" applyAlignment="1">
      <alignment horizontal="center"/>
    </xf>
    <xf numFmtId="49" fontId="17" fillId="4" borderId="5" xfId="0" applyNumberFormat="1" applyFont="1" applyFill="1" applyBorder="1"/>
    <xf numFmtId="0" fontId="59" fillId="4" borderId="5" xfId="0" applyFont="1" applyFill="1" applyBorder="1" applyAlignment="1">
      <alignment horizontal="left"/>
    </xf>
    <xf numFmtId="4" fontId="103" fillId="4" borderId="5" xfId="0" applyNumberFormat="1" applyFont="1" applyFill="1" applyBorder="1" applyAlignment="1">
      <alignment horizontal="center"/>
    </xf>
    <xf numFmtId="0" fontId="101" fillId="7" borderId="0" xfId="0" applyFont="1" applyFill="1"/>
    <xf numFmtId="4" fontId="101" fillId="7" borderId="9" xfId="0" applyNumberFormat="1" applyFont="1" applyFill="1" applyBorder="1" applyAlignment="1">
      <alignment horizontal="center"/>
    </xf>
    <xf numFmtId="4" fontId="58" fillId="4" borderId="9" xfId="0" applyNumberFormat="1" applyFont="1" applyFill="1" applyBorder="1" applyAlignment="1">
      <alignment horizontal="center"/>
    </xf>
    <xf numFmtId="4" fontId="58" fillId="4" borderId="10" xfId="0" applyNumberFormat="1" applyFont="1" applyFill="1" applyBorder="1" applyAlignment="1">
      <alignment horizontal="center"/>
    </xf>
    <xf numFmtId="49" fontId="17" fillId="4" borderId="10" xfId="0" applyNumberFormat="1" applyFont="1" applyFill="1" applyBorder="1"/>
    <xf numFmtId="4" fontId="58" fillId="4" borderId="9" xfId="0" applyNumberFormat="1" applyFont="1" applyFill="1" applyBorder="1" applyAlignment="1">
      <alignment horizontal="center" vertical="center"/>
    </xf>
    <xf numFmtId="0" fontId="101" fillId="15" borderId="0" xfId="0" applyFont="1" applyFill="1"/>
    <xf numFmtId="0" fontId="100" fillId="15" borderId="18" xfId="0" applyFont="1" applyFill="1" applyBorder="1" applyAlignment="1">
      <alignment horizontal="center"/>
    </xf>
    <xf numFmtId="0" fontId="58" fillId="15" borderId="16" xfId="0" applyFont="1" applyFill="1" applyBorder="1" applyAlignment="1">
      <alignment horizontal="center" vertical="top"/>
    </xf>
    <xf numFmtId="4" fontId="101" fillId="15" borderId="9" xfId="0" applyNumberFormat="1" applyFont="1" applyFill="1" applyBorder="1" applyAlignment="1">
      <alignment horizontal="center"/>
    </xf>
    <xf numFmtId="4" fontId="59" fillId="15" borderId="5" xfId="0" applyNumberFormat="1" applyFont="1" applyFill="1" applyBorder="1" applyAlignment="1">
      <alignment horizontal="center"/>
    </xf>
    <xf numFmtId="4" fontId="58" fillId="15" borderId="9" xfId="0" applyNumberFormat="1" applyFont="1" applyFill="1" applyBorder="1" applyAlignment="1">
      <alignment horizontal="center"/>
    </xf>
    <xf numFmtId="49" fontId="17" fillId="7" borderId="10" xfId="0" applyNumberFormat="1" applyFont="1" applyFill="1" applyBorder="1"/>
    <xf numFmtId="0" fontId="100" fillId="4" borderId="5" xfId="0" applyFont="1" applyFill="1" applyBorder="1" applyAlignment="1">
      <alignment horizontal="center" vertical="center"/>
    </xf>
    <xf numFmtId="0" fontId="102" fillId="15" borderId="18" xfId="0" applyFont="1" applyFill="1" applyBorder="1" applyAlignment="1">
      <alignment horizontal="center"/>
    </xf>
    <xf numFmtId="0" fontId="103" fillId="15" borderId="16" xfId="0" applyFont="1" applyFill="1" applyBorder="1" applyAlignment="1">
      <alignment horizontal="center" vertical="top"/>
    </xf>
    <xf numFmtId="4" fontId="58" fillId="15" borderId="4" xfId="0" applyNumberFormat="1" applyFont="1" applyFill="1" applyBorder="1" applyAlignment="1">
      <alignment horizontal="center"/>
    </xf>
    <xf numFmtId="4" fontId="100" fillId="15" borderId="5" xfId="0" applyNumberFormat="1" applyFont="1" applyFill="1" applyBorder="1" applyAlignment="1">
      <alignment horizontal="center"/>
    </xf>
    <xf numFmtId="4" fontId="100" fillId="15" borderId="25" xfId="0" applyNumberFormat="1" applyFont="1" applyFill="1" applyBorder="1" applyAlignment="1">
      <alignment horizontal="center"/>
    </xf>
    <xf numFmtId="4" fontId="102" fillId="15" borderId="9" xfId="0" applyNumberFormat="1" applyFont="1" applyFill="1" applyBorder="1" applyAlignment="1">
      <alignment horizontal="center"/>
    </xf>
    <xf numFmtId="0" fontId="58" fillId="7" borderId="5" xfId="0" applyFont="1" applyFill="1" applyBorder="1"/>
    <xf numFmtId="0" fontId="59" fillId="4" borderId="0" xfId="0" applyFont="1" applyFill="1" applyAlignment="1">
      <alignment horizontal="center"/>
    </xf>
    <xf numFmtId="49" fontId="17" fillId="12" borderId="60" xfId="0" applyNumberFormat="1" applyFont="1" applyFill="1" applyBorder="1"/>
    <xf numFmtId="49" fontId="17" fillId="12" borderId="38" xfId="0" applyNumberFormat="1" applyFont="1" applyFill="1" applyBorder="1"/>
    <xf numFmtId="0" fontId="16" fillId="12" borderId="40" xfId="12" applyFill="1" applyBorder="1" applyAlignment="1">
      <alignment horizontal="center" vertical="center"/>
    </xf>
    <xf numFmtId="4" fontId="104" fillId="12" borderId="1" xfId="0" applyNumberFormat="1" applyFont="1" applyFill="1" applyBorder="1" applyAlignment="1">
      <alignment horizontal="center"/>
    </xf>
    <xf numFmtId="4" fontId="104" fillId="12" borderId="2" xfId="0" applyNumberFormat="1" applyFont="1" applyFill="1" applyBorder="1" applyAlignment="1">
      <alignment horizontal="center"/>
    </xf>
    <xf numFmtId="4" fontId="101" fillId="12" borderId="2" xfId="0" applyNumberFormat="1" applyFont="1" applyFill="1" applyBorder="1" applyAlignment="1">
      <alignment horizontal="center"/>
    </xf>
    <xf numFmtId="4" fontId="101" fillId="12" borderId="57" xfId="0" applyNumberFormat="1" applyFont="1" applyFill="1" applyBorder="1" applyAlignment="1">
      <alignment horizontal="center"/>
    </xf>
    <xf numFmtId="4" fontId="101" fillId="12" borderId="9" xfId="0" applyNumberFormat="1" applyFont="1" applyFill="1" applyBorder="1" applyAlignment="1">
      <alignment horizontal="center"/>
    </xf>
    <xf numFmtId="4" fontId="100" fillId="12" borderId="31" xfId="0" applyNumberFormat="1" applyFont="1" applyFill="1" applyBorder="1" applyAlignment="1">
      <alignment horizontal="center"/>
    </xf>
    <xf numFmtId="4" fontId="100" fillId="7" borderId="36" xfId="0" applyNumberFormat="1" applyFont="1" applyFill="1" applyBorder="1" applyAlignment="1">
      <alignment horizontal="center"/>
    </xf>
    <xf numFmtId="4" fontId="100" fillId="7" borderId="31" xfId="0" applyNumberFormat="1" applyFont="1" applyFill="1" applyBorder="1" applyAlignment="1">
      <alignment horizontal="center"/>
    </xf>
    <xf numFmtId="49" fontId="17" fillId="0" borderId="17" xfId="0" applyNumberFormat="1" applyFont="1" applyBorder="1"/>
    <xf numFmtId="4" fontId="101" fillId="4" borderId="10" xfId="0" applyNumberFormat="1" applyFont="1" applyFill="1" applyBorder="1" applyAlignment="1">
      <alignment horizontal="center"/>
    </xf>
    <xf numFmtId="4" fontId="100" fillId="4" borderId="10" xfId="0" applyNumberFormat="1" applyFont="1" applyFill="1" applyBorder="1" applyAlignment="1">
      <alignment horizontal="center"/>
    </xf>
    <xf numFmtId="0" fontId="101" fillId="4" borderId="51" xfId="0" applyFont="1" applyFill="1" applyBorder="1" applyAlignment="1">
      <alignment horizontal="center"/>
    </xf>
    <xf numFmtId="0" fontId="74" fillId="4" borderId="9" xfId="12" applyFont="1" applyFill="1" applyBorder="1" applyAlignment="1">
      <alignment horizontal="center" vertical="center"/>
    </xf>
    <xf numFmtId="0" fontId="17" fillId="4" borderId="26" xfId="12" applyFont="1" applyFill="1" applyBorder="1" applyAlignment="1">
      <alignment horizontal="center" vertical="center"/>
    </xf>
    <xf numFmtId="0" fontId="100" fillId="4" borderId="68" xfId="0" applyFont="1" applyFill="1" applyBorder="1" applyAlignment="1">
      <alignment horizontal="center"/>
    </xf>
    <xf numFmtId="0" fontId="100" fillId="4" borderId="52" xfId="0" applyFont="1" applyFill="1" applyBorder="1" applyAlignment="1">
      <alignment horizontal="center"/>
    </xf>
    <xf numFmtId="0" fontId="100" fillId="7" borderId="68" xfId="0" applyFont="1" applyFill="1" applyBorder="1" applyAlignment="1">
      <alignment horizontal="center"/>
    </xf>
    <xf numFmtId="4" fontId="58" fillId="7" borderId="9" xfId="0" applyNumberFormat="1" applyFont="1" applyFill="1" applyBorder="1" applyAlignment="1">
      <alignment horizontal="center"/>
    </xf>
    <xf numFmtId="0" fontId="101" fillId="7" borderId="51" xfId="0" applyFont="1" applyFill="1" applyBorder="1" applyAlignment="1">
      <alignment horizontal="center"/>
    </xf>
    <xf numFmtId="0" fontId="101" fillId="7" borderId="5" xfId="0" applyFont="1" applyFill="1" applyBorder="1" applyAlignment="1">
      <alignment horizontal="center"/>
    </xf>
    <xf numFmtId="0" fontId="102" fillId="15" borderId="0" xfId="0" applyFont="1" applyFill="1"/>
    <xf numFmtId="0" fontId="103" fillId="15" borderId="0" xfId="0" applyFont="1" applyFill="1"/>
    <xf numFmtId="4" fontId="103" fillId="15" borderId="9" xfId="0" applyNumberFormat="1" applyFont="1" applyFill="1" applyBorder="1" applyAlignment="1">
      <alignment horizontal="center"/>
    </xf>
    <xf numFmtId="4" fontId="102" fillId="15" borderId="5" xfId="0" applyNumberFormat="1" applyFont="1" applyFill="1" applyBorder="1" applyAlignment="1">
      <alignment horizontal="center"/>
    </xf>
    <xf numFmtId="0" fontId="102" fillId="15" borderId="51" xfId="0" applyFont="1" applyFill="1" applyBorder="1" applyAlignment="1">
      <alignment horizontal="center"/>
    </xf>
    <xf numFmtId="0" fontId="102" fillId="15" borderId="5" xfId="0" applyFont="1" applyFill="1" applyBorder="1" applyAlignment="1">
      <alignment horizontal="center"/>
    </xf>
    <xf numFmtId="0" fontId="100" fillId="7" borderId="5" xfId="0" applyFont="1" applyFill="1" applyBorder="1" applyAlignment="1">
      <alignment horizontal="center"/>
    </xf>
    <xf numFmtId="0" fontId="100" fillId="7" borderId="5" xfId="0" applyFont="1" applyFill="1" applyBorder="1"/>
    <xf numFmtId="0" fontId="101" fillId="7" borderId="5" xfId="0" applyFont="1" applyFill="1" applyBorder="1"/>
    <xf numFmtId="4" fontId="101" fillId="15" borderId="57" xfId="0" applyNumberFormat="1" applyFont="1" applyFill="1" applyBorder="1" applyAlignment="1">
      <alignment horizontal="center"/>
    </xf>
    <xf numFmtId="0" fontId="58" fillId="15" borderId="0" xfId="0" applyFont="1" applyFill="1"/>
    <xf numFmtId="0" fontId="101" fillId="15" borderId="5" xfId="0" applyFont="1" applyFill="1" applyBorder="1" applyAlignment="1">
      <alignment horizontal="center"/>
    </xf>
    <xf numFmtId="4" fontId="101" fillId="15" borderId="5" xfId="0" applyNumberFormat="1" applyFont="1" applyFill="1" applyBorder="1" applyAlignment="1">
      <alignment horizontal="center"/>
    </xf>
    <xf numFmtId="49" fontId="17" fillId="7" borderId="36" xfId="0" applyNumberFormat="1" applyFont="1" applyFill="1" applyBorder="1" applyAlignment="1">
      <alignment horizontal="left"/>
    </xf>
    <xf numFmtId="49" fontId="75" fillId="7" borderId="31" xfId="0" applyNumberFormat="1" applyFont="1" applyFill="1" applyBorder="1"/>
    <xf numFmtId="49" fontId="75" fillId="7" borderId="36" xfId="0" applyNumberFormat="1" applyFont="1" applyFill="1" applyBorder="1"/>
    <xf numFmtId="49" fontId="72" fillId="7" borderId="60" xfId="0" applyNumberFormat="1" applyFont="1" applyFill="1" applyBorder="1"/>
    <xf numFmtId="0" fontId="17" fillId="7" borderId="13" xfId="12" applyFont="1" applyFill="1" applyBorder="1" applyAlignment="1">
      <alignment horizontal="center" vertical="center"/>
    </xf>
    <xf numFmtId="4" fontId="104" fillId="7" borderId="1" xfId="0" applyNumberFormat="1" applyFont="1" applyFill="1" applyBorder="1" applyAlignment="1">
      <alignment horizontal="center"/>
    </xf>
    <xf numFmtId="4" fontId="101" fillId="7" borderId="10" xfId="0" applyNumberFormat="1" applyFont="1" applyFill="1" applyBorder="1" applyAlignment="1">
      <alignment horizontal="center"/>
    </xf>
    <xf numFmtId="0" fontId="104" fillId="7" borderId="5" xfId="0" applyFont="1" applyFill="1" applyBorder="1"/>
    <xf numFmtId="49" fontId="17" fillId="7" borderId="5" xfId="0" applyNumberFormat="1" applyFont="1" applyFill="1" applyBorder="1" applyAlignment="1">
      <alignment horizontal="center"/>
    </xf>
    <xf numFmtId="0" fontId="19" fillId="7" borderId="5" xfId="12" applyFont="1" applyFill="1" applyBorder="1" applyAlignment="1" applyProtection="1">
      <alignment horizontal="center" vertical="center"/>
      <protection locked="0"/>
    </xf>
    <xf numFmtId="0" fontId="17" fillId="7" borderId="5" xfId="12" applyFont="1" applyFill="1" applyBorder="1" applyAlignment="1">
      <alignment horizontal="center" vertical="center"/>
    </xf>
    <xf numFmtId="4" fontId="59" fillId="7" borderId="10" xfId="0" applyNumberFormat="1" applyFont="1" applyFill="1" applyBorder="1" applyAlignment="1">
      <alignment horizontal="center"/>
    </xf>
    <xf numFmtId="4" fontId="59" fillId="7" borderId="17" xfId="0" applyNumberFormat="1" applyFont="1" applyFill="1" applyBorder="1" applyAlignment="1">
      <alignment horizontal="center"/>
    </xf>
    <xf numFmtId="0" fontId="107" fillId="7" borderId="5" xfId="12" applyFont="1" applyFill="1" applyBorder="1" applyAlignment="1" applyProtection="1">
      <alignment horizontal="center" vertical="center"/>
      <protection locked="0"/>
    </xf>
    <xf numFmtId="4" fontId="104" fillId="7" borderId="4" xfId="0" applyNumberFormat="1" applyFont="1" applyFill="1" applyBorder="1" applyAlignment="1">
      <alignment horizontal="center"/>
    </xf>
    <xf numFmtId="2" fontId="60" fillId="7" borderId="0" xfId="0" applyNumberFormat="1" applyFont="1" applyFill="1"/>
    <xf numFmtId="4" fontId="103" fillId="7" borderId="5" xfId="0" applyNumberFormat="1" applyFont="1" applyFill="1" applyBorder="1" applyAlignment="1">
      <alignment horizontal="center"/>
    </xf>
    <xf numFmtId="4" fontId="100" fillId="7" borderId="4" xfId="0" applyNumberFormat="1" applyFont="1" applyFill="1" applyBorder="1" applyAlignment="1">
      <alignment horizontal="center"/>
    </xf>
    <xf numFmtId="49" fontId="15" fillId="7" borderId="36" xfId="0" applyNumberFormat="1" applyFont="1" applyFill="1" applyBorder="1"/>
    <xf numFmtId="49" fontId="17" fillId="16" borderId="36" xfId="0" applyNumberFormat="1" applyFont="1" applyFill="1" applyBorder="1"/>
    <xf numFmtId="0" fontId="19" fillId="16" borderId="5" xfId="12" applyFont="1" applyFill="1" applyBorder="1" applyAlignment="1" applyProtection="1">
      <alignment horizontal="center" vertical="center"/>
      <protection locked="0"/>
    </xf>
    <xf numFmtId="4" fontId="58" fillId="16" borderId="4" xfId="0" applyNumberFormat="1" applyFont="1" applyFill="1" applyBorder="1" applyAlignment="1">
      <alignment horizontal="center"/>
    </xf>
    <xf numFmtId="4" fontId="58" fillId="16" borderId="5" xfId="0" applyNumberFormat="1" applyFont="1" applyFill="1" applyBorder="1" applyAlignment="1">
      <alignment horizontal="center"/>
    </xf>
    <xf numFmtId="4" fontId="100" fillId="16" borderId="5" xfId="0" applyNumberFormat="1" applyFont="1" applyFill="1" applyBorder="1" applyAlignment="1">
      <alignment horizontal="center"/>
    </xf>
    <xf numFmtId="4" fontId="101" fillId="16" borderId="9" xfId="0" applyNumberFormat="1" applyFont="1" applyFill="1" applyBorder="1" applyAlignment="1">
      <alignment horizontal="center"/>
    </xf>
    <xf numFmtId="4" fontId="102" fillId="16" borderId="9" xfId="0" applyNumberFormat="1" applyFont="1" applyFill="1" applyBorder="1" applyAlignment="1">
      <alignment horizontal="center"/>
    </xf>
    <xf numFmtId="4" fontId="101" fillId="16" borderId="10" xfId="0" applyNumberFormat="1" applyFont="1" applyFill="1" applyBorder="1" applyAlignment="1">
      <alignment horizontal="center"/>
    </xf>
    <xf numFmtId="4" fontId="100" fillId="16" borderId="36" xfId="0" applyNumberFormat="1" applyFont="1" applyFill="1" applyBorder="1" applyAlignment="1">
      <alignment horizontal="center"/>
    </xf>
    <xf numFmtId="0" fontId="58" fillId="16" borderId="5" xfId="0" applyFont="1" applyFill="1" applyBorder="1" applyAlignment="1">
      <alignment horizontal="center"/>
    </xf>
    <xf numFmtId="4" fontId="58" fillId="16" borderId="5" xfId="0" applyNumberFormat="1" applyFont="1" applyFill="1" applyBorder="1"/>
    <xf numFmtId="0" fontId="58" fillId="16" borderId="0" xfId="0" applyFont="1" applyFill="1"/>
    <xf numFmtId="0" fontId="74" fillId="7" borderId="5" xfId="12" applyFont="1" applyFill="1" applyBorder="1" applyAlignment="1">
      <alignment horizontal="center" vertical="center"/>
    </xf>
    <xf numFmtId="4" fontId="100" fillId="7" borderId="10" xfId="0" applyNumberFormat="1" applyFont="1" applyFill="1" applyBorder="1" applyAlignment="1">
      <alignment horizontal="center"/>
    </xf>
    <xf numFmtId="0" fontId="17" fillId="16" borderId="5" xfId="12" applyFont="1" applyFill="1" applyBorder="1" applyAlignment="1">
      <alignment horizontal="center" vertical="center"/>
    </xf>
    <xf numFmtId="0" fontId="60" fillId="7" borderId="5" xfId="0" applyFont="1" applyFill="1" applyBorder="1" applyAlignment="1">
      <alignment horizontal="center"/>
    </xf>
    <xf numFmtId="0" fontId="60" fillId="16" borderId="5" xfId="0" applyFont="1" applyFill="1" applyBorder="1" applyAlignment="1">
      <alignment horizontal="center"/>
    </xf>
    <xf numFmtId="0" fontId="16" fillId="0" borderId="5" xfId="0" applyFont="1" applyBorder="1" applyAlignment="1">
      <alignment vertical="center" wrapText="1"/>
    </xf>
    <xf numFmtId="0" fontId="16" fillId="0" borderId="5" xfId="0" applyFont="1" applyBorder="1" applyAlignment="1">
      <alignment vertical="center"/>
    </xf>
    <xf numFmtId="0" fontId="16" fillId="0" borderId="5" xfId="0" applyFont="1" applyBorder="1" applyAlignment="1">
      <alignment horizontal="center" vertical="center" wrapText="1"/>
    </xf>
    <xf numFmtId="0" fontId="0" fillId="7" borderId="5" xfId="0" applyFill="1" applyBorder="1"/>
    <xf numFmtId="0" fontId="16" fillId="7" borderId="5" xfId="0" applyFont="1" applyFill="1" applyBorder="1" applyAlignment="1">
      <alignment vertical="center"/>
    </xf>
    <xf numFmtId="0" fontId="16" fillId="0" borderId="5" xfId="0" applyFont="1" applyBorder="1" applyAlignment="1">
      <alignment horizontal="center" wrapText="1"/>
    </xf>
    <xf numFmtId="16" fontId="16" fillId="0" borderId="5" xfId="0" quotePrefix="1" applyNumberFormat="1" applyFont="1" applyBorder="1" applyAlignment="1">
      <alignment horizontal="center" vertical="center"/>
    </xf>
    <xf numFmtId="16" fontId="16" fillId="7" borderId="5" xfId="0" quotePrefix="1" applyNumberFormat="1" applyFont="1" applyFill="1" applyBorder="1" applyAlignment="1">
      <alignment horizontal="center" vertical="center"/>
    </xf>
    <xf numFmtId="16" fontId="16" fillId="4" borderId="5" xfId="0" quotePrefix="1" applyNumberFormat="1" applyFont="1" applyFill="1" applyBorder="1" applyAlignment="1">
      <alignment horizontal="center" vertical="center"/>
    </xf>
    <xf numFmtId="0" fontId="0" fillId="0" borderId="5" xfId="0" applyBorder="1" applyAlignment="1">
      <alignment vertical="center"/>
    </xf>
    <xf numFmtId="0" fontId="0" fillId="7" borderId="5" xfId="0" applyFill="1" applyBorder="1" applyAlignment="1">
      <alignment vertical="center"/>
    </xf>
    <xf numFmtId="0" fontId="0" fillId="0" borderId="0" xfId="0" applyAlignment="1">
      <alignment vertical="center"/>
    </xf>
    <xf numFmtId="0" fontId="0" fillId="4" borderId="5" xfId="0" applyFill="1" applyBorder="1" applyAlignment="1">
      <alignment vertical="center"/>
    </xf>
    <xf numFmtId="0" fontId="0" fillId="7" borderId="0" xfId="0" applyFill="1"/>
    <xf numFmtId="4" fontId="58" fillId="16" borderId="25" xfId="0" applyNumberFormat="1" applyFont="1" applyFill="1" applyBorder="1" applyAlignment="1">
      <alignment horizontal="center"/>
    </xf>
    <xf numFmtId="4" fontId="58" fillId="15" borderId="5" xfId="0" applyNumberFormat="1" applyFont="1" applyFill="1" applyBorder="1" applyAlignment="1">
      <alignment horizontal="center"/>
    </xf>
    <xf numFmtId="0" fontId="58" fillId="4" borderId="13" xfId="0" applyFont="1" applyFill="1" applyBorder="1" applyAlignment="1">
      <alignment horizontal="center"/>
    </xf>
    <xf numFmtId="0" fontId="100" fillId="4" borderId="13" xfId="0" applyFont="1" applyFill="1" applyBorder="1" applyAlignment="1">
      <alignment horizontal="center"/>
    </xf>
    <xf numFmtId="0" fontId="100" fillId="4" borderId="13" xfId="0" applyFont="1" applyFill="1" applyBorder="1"/>
    <xf numFmtId="4" fontId="102" fillId="4" borderId="5" xfId="0" applyNumberFormat="1" applyFont="1" applyFill="1" applyBorder="1" applyAlignment="1">
      <alignment horizontal="center"/>
    </xf>
    <xf numFmtId="0" fontId="103" fillId="4" borderId="0" xfId="0" applyFont="1" applyFill="1"/>
    <xf numFmtId="4" fontId="103" fillId="4" borderId="9" xfId="0" applyNumberFormat="1" applyFont="1" applyFill="1" applyBorder="1" applyAlignment="1">
      <alignment horizontal="center"/>
    </xf>
    <xf numFmtId="0" fontId="100" fillId="4" borderId="51" xfId="0" applyFont="1" applyFill="1" applyBorder="1"/>
    <xf numFmtId="4" fontId="104" fillId="15" borderId="5" xfId="0" applyNumberFormat="1" applyFont="1" applyFill="1" applyBorder="1" applyAlignment="1">
      <alignment horizontal="center"/>
    </xf>
    <xf numFmtId="4" fontId="100" fillId="16" borderId="25" xfId="0" applyNumberFormat="1" applyFont="1" applyFill="1" applyBorder="1" applyAlignment="1">
      <alignment horizontal="center"/>
    </xf>
    <xf numFmtId="4" fontId="58" fillId="15" borderId="25" xfId="0" applyNumberFormat="1" applyFont="1" applyFill="1" applyBorder="1" applyAlignment="1">
      <alignment horizontal="center"/>
    </xf>
    <xf numFmtId="4" fontId="100" fillId="4" borderId="22" xfId="0" applyNumberFormat="1" applyFont="1" applyFill="1" applyBorder="1" applyAlignment="1">
      <alignment horizontal="center"/>
    </xf>
    <xf numFmtId="0" fontId="58" fillId="15" borderId="5" xfId="0" applyFont="1" applyFill="1" applyBorder="1"/>
    <xf numFmtId="49" fontId="75" fillId="0" borderId="5" xfId="0" applyNumberFormat="1" applyFont="1" applyBorder="1" applyAlignment="1">
      <alignment horizontal="left"/>
    </xf>
    <xf numFmtId="49" fontId="17" fillId="7" borderId="10" xfId="0" quotePrefix="1" applyNumberFormat="1" applyFont="1" applyFill="1" applyBorder="1"/>
    <xf numFmtId="49" fontId="17" fillId="4" borderId="10" xfId="0" quotePrefix="1" applyNumberFormat="1" applyFont="1" applyFill="1" applyBorder="1"/>
    <xf numFmtId="2" fontId="19" fillId="4" borderId="0" xfId="12" applyNumberFormat="1" applyFont="1" applyFill="1" applyAlignment="1">
      <alignment horizontal="center"/>
    </xf>
    <xf numFmtId="2" fontId="19" fillId="0" borderId="0" xfId="12" applyNumberFormat="1" applyFont="1" applyAlignment="1">
      <alignment horizontal="center"/>
    </xf>
    <xf numFmtId="2" fontId="19" fillId="0" borderId="0" xfId="12" applyNumberFormat="1" applyFont="1"/>
    <xf numFmtId="0" fontId="19" fillId="15" borderId="0" xfId="12" applyFont="1" applyFill="1"/>
    <xf numFmtId="4" fontId="100" fillId="15" borderId="9" xfId="0" applyNumberFormat="1" applyFont="1" applyFill="1" applyBorder="1" applyAlignment="1">
      <alignment horizontal="center"/>
    </xf>
    <xf numFmtId="2" fontId="19" fillId="7" borderId="0" xfId="12" applyNumberFormat="1" applyFont="1" applyFill="1" applyAlignment="1">
      <alignment horizontal="center"/>
    </xf>
    <xf numFmtId="4" fontId="19" fillId="7" borderId="5" xfId="12" applyNumberFormat="1" applyFont="1" applyFill="1" applyBorder="1"/>
    <xf numFmtId="2" fontId="58" fillId="15" borderId="5" xfId="0" applyNumberFormat="1" applyFont="1" applyFill="1" applyBorder="1" applyAlignment="1">
      <alignment horizontal="center"/>
    </xf>
    <xf numFmtId="0" fontId="58" fillId="4" borderId="7" xfId="0" applyFont="1" applyFill="1" applyBorder="1" applyAlignment="1">
      <alignment horizontal="center" vertical="center"/>
    </xf>
    <xf numFmtId="4" fontId="101" fillId="7" borderId="17" xfId="0" applyNumberFormat="1" applyFont="1" applyFill="1" applyBorder="1" applyAlignment="1">
      <alignment horizontal="center"/>
    </xf>
    <xf numFmtId="4" fontId="101" fillId="4" borderId="17" xfId="0" applyNumberFormat="1" applyFont="1" applyFill="1" applyBorder="1" applyAlignment="1">
      <alignment horizontal="center"/>
    </xf>
    <xf numFmtId="0" fontId="100" fillId="15" borderId="51" xfId="0" applyFont="1" applyFill="1" applyBorder="1"/>
    <xf numFmtId="4" fontId="119" fillId="15" borderId="5" xfId="0" applyNumberFormat="1" applyFont="1" applyFill="1" applyBorder="1" applyAlignment="1">
      <alignment horizontal="center"/>
    </xf>
    <xf numFmtId="0" fontId="101" fillId="11" borderId="0" xfId="0" applyFont="1" applyFill="1"/>
    <xf numFmtId="0" fontId="100" fillId="11" borderId="51" xfId="0" applyFont="1" applyFill="1" applyBorder="1"/>
    <xf numFmtId="0" fontId="100" fillId="11" borderId="18" xfId="0" applyFont="1" applyFill="1" applyBorder="1" applyAlignment="1">
      <alignment horizontal="center"/>
    </xf>
    <xf numFmtId="0" fontId="58" fillId="11" borderId="56" xfId="0" applyFont="1" applyFill="1" applyBorder="1" applyAlignment="1">
      <alignment horizontal="center" vertical="top"/>
    </xf>
    <xf numFmtId="4" fontId="101" fillId="11" borderId="5" xfId="0" applyNumberFormat="1" applyFont="1" applyFill="1" applyBorder="1" applyAlignment="1">
      <alignment horizontal="center"/>
    </xf>
    <xf numFmtId="4" fontId="59" fillId="11" borderId="5" xfId="0" applyNumberFormat="1" applyFont="1" applyFill="1" applyBorder="1" applyAlignment="1">
      <alignment horizontal="center"/>
    </xf>
    <xf numFmtId="4" fontId="100" fillId="11" borderId="5" xfId="0" applyNumberFormat="1" applyFont="1" applyFill="1" applyBorder="1" applyAlignment="1">
      <alignment horizontal="center"/>
    </xf>
    <xf numFmtId="0" fontId="101" fillId="11" borderId="51" xfId="0" applyFont="1" applyFill="1" applyBorder="1" applyAlignment="1">
      <alignment horizontal="center"/>
    </xf>
    <xf numFmtId="0" fontId="101" fillId="11" borderId="5" xfId="0" applyFont="1" applyFill="1" applyBorder="1" applyAlignment="1">
      <alignment horizontal="center"/>
    </xf>
    <xf numFmtId="4" fontId="21" fillId="15" borderId="10" xfId="12" applyNumberFormat="1" applyFont="1" applyFill="1" applyBorder="1" applyAlignment="1" applyProtection="1">
      <alignment horizontal="center" vertical="center"/>
      <protection locked="0"/>
    </xf>
    <xf numFmtId="4" fontId="100" fillId="15" borderId="36" xfId="0" applyNumberFormat="1" applyFont="1" applyFill="1" applyBorder="1" applyAlignment="1">
      <alignment horizontal="center"/>
    </xf>
    <xf numFmtId="49" fontId="17" fillId="11" borderId="5" xfId="0" applyNumberFormat="1" applyFont="1" applyFill="1" applyBorder="1"/>
    <xf numFmtId="49" fontId="17" fillId="4" borderId="5" xfId="0" applyNumberFormat="1" applyFont="1" applyFill="1" applyBorder="1" applyAlignment="1">
      <alignment horizontal="center"/>
    </xf>
    <xf numFmtId="0" fontId="23" fillId="2" borderId="5" xfId="12" applyFont="1" applyFill="1" applyBorder="1" applyAlignment="1">
      <alignment horizontal="center"/>
    </xf>
    <xf numFmtId="0" fontId="23" fillId="0" borderId="5" xfId="12" applyFont="1" applyBorder="1" applyAlignment="1">
      <alignment horizontal="center"/>
    </xf>
    <xf numFmtId="4" fontId="104" fillId="15" borderId="5" xfId="0" applyNumberFormat="1" applyFont="1" applyFill="1" applyBorder="1"/>
    <xf numFmtId="4" fontId="100" fillId="15" borderId="10" xfId="0" applyNumberFormat="1" applyFont="1" applyFill="1" applyBorder="1" applyAlignment="1">
      <alignment horizontal="center"/>
    </xf>
    <xf numFmtId="4" fontId="60" fillId="15" borderId="5" xfId="0" applyNumberFormat="1" applyFont="1" applyFill="1" applyBorder="1" applyAlignment="1">
      <alignment horizontal="center"/>
    </xf>
    <xf numFmtId="2" fontId="60" fillId="15" borderId="0" xfId="0" applyNumberFormat="1" applyFont="1" applyFill="1"/>
    <xf numFmtId="4" fontId="116" fillId="15" borderId="4" xfId="0" applyNumberFormat="1" applyFont="1" applyFill="1" applyBorder="1" applyAlignment="1">
      <alignment horizontal="center"/>
    </xf>
    <xf numFmtId="2" fontId="19" fillId="15" borderId="0" xfId="12" applyNumberFormat="1" applyFont="1" applyFill="1" applyAlignment="1">
      <alignment horizontal="center"/>
    </xf>
    <xf numFmtId="4" fontId="104" fillId="11" borderId="2" xfId="0" applyNumberFormat="1" applyFont="1" applyFill="1" applyBorder="1" applyAlignment="1">
      <alignment horizontal="center"/>
    </xf>
    <xf numFmtId="4" fontId="58" fillId="11" borderId="5" xfId="0" applyNumberFormat="1" applyFont="1" applyFill="1" applyBorder="1" applyAlignment="1">
      <alignment horizontal="center"/>
    </xf>
    <xf numFmtId="4" fontId="104" fillId="11" borderId="5" xfId="0" applyNumberFormat="1" applyFont="1" applyFill="1" applyBorder="1" applyAlignment="1">
      <alignment horizontal="center"/>
    </xf>
    <xf numFmtId="4" fontId="60" fillId="11" borderId="5" xfId="0" applyNumberFormat="1" applyFont="1" applyFill="1" applyBorder="1" applyAlignment="1">
      <alignment horizontal="center"/>
    </xf>
    <xf numFmtId="0" fontId="100" fillId="11" borderId="68" xfId="0" applyFont="1" applyFill="1" applyBorder="1" applyAlignment="1">
      <alignment horizontal="center"/>
    </xf>
    <xf numFmtId="0" fontId="100" fillId="11" borderId="0" xfId="0" applyFont="1" applyFill="1"/>
    <xf numFmtId="4" fontId="107" fillId="11" borderId="9" xfId="12" applyNumberFormat="1" applyFont="1" applyFill="1" applyBorder="1" applyAlignment="1" applyProtection="1">
      <alignment horizontal="right" vertical="center"/>
      <protection locked="0"/>
    </xf>
    <xf numFmtId="4" fontId="58" fillId="11" borderId="4" xfId="0" applyNumberFormat="1" applyFont="1" applyFill="1" applyBorder="1" applyAlignment="1">
      <alignment horizontal="center"/>
    </xf>
    <xf numFmtId="4" fontId="58" fillId="11" borderId="25" xfId="0" applyNumberFormat="1" applyFont="1" applyFill="1" applyBorder="1" applyAlignment="1">
      <alignment horizontal="center"/>
    </xf>
    <xf numFmtId="4" fontId="101" fillId="11" borderId="9" xfId="0" applyNumberFormat="1" applyFont="1" applyFill="1" applyBorder="1" applyAlignment="1">
      <alignment horizontal="center"/>
    </xf>
    <xf numFmtId="0" fontId="19" fillId="11" borderId="0" xfId="12" applyFont="1" applyFill="1"/>
    <xf numFmtId="4" fontId="100" fillId="11" borderId="9" xfId="0" applyNumberFormat="1" applyFont="1" applyFill="1" applyBorder="1" applyAlignment="1">
      <alignment horizontal="center"/>
    </xf>
    <xf numFmtId="4" fontId="100" fillId="11" borderId="25" xfId="0" applyNumberFormat="1" applyFont="1" applyFill="1" applyBorder="1" applyAlignment="1">
      <alignment horizontal="center"/>
    </xf>
    <xf numFmtId="0" fontId="58" fillId="11" borderId="16" xfId="0" applyFont="1" applyFill="1" applyBorder="1" applyAlignment="1">
      <alignment horizontal="center" vertical="top"/>
    </xf>
    <xf numFmtId="0" fontId="58" fillId="11" borderId="5" xfId="0" applyFont="1" applyFill="1" applyBorder="1"/>
    <xf numFmtId="4" fontId="58" fillId="11" borderId="9" xfId="0" applyNumberFormat="1" applyFont="1" applyFill="1" applyBorder="1" applyAlignment="1">
      <alignment horizontal="center"/>
    </xf>
    <xf numFmtId="4" fontId="101" fillId="11" borderId="2" xfId="0" applyNumberFormat="1" applyFont="1" applyFill="1" applyBorder="1" applyAlignment="1">
      <alignment horizontal="center"/>
    </xf>
    <xf numFmtId="0" fontId="100" fillId="11" borderId="5" xfId="0" applyFont="1" applyFill="1" applyBorder="1"/>
    <xf numFmtId="4" fontId="107" fillId="11" borderId="5" xfId="12" applyNumberFormat="1" applyFont="1" applyFill="1" applyBorder="1" applyAlignment="1" applyProtection="1">
      <alignment horizontal="center" vertical="center"/>
      <protection locked="0"/>
    </xf>
    <xf numFmtId="0" fontId="59" fillId="17" borderId="0" xfId="0" applyFont="1" applyFill="1"/>
    <xf numFmtId="0" fontId="100" fillId="17" borderId="0" xfId="0" applyFont="1" applyFill="1"/>
    <xf numFmtId="0" fontId="101" fillId="17" borderId="0" xfId="0" applyFont="1" applyFill="1"/>
    <xf numFmtId="0" fontId="102" fillId="17" borderId="0" xfId="0" applyFont="1" applyFill="1"/>
    <xf numFmtId="0" fontId="59" fillId="17" borderId="0" xfId="0" applyFont="1" applyFill="1" applyAlignment="1">
      <alignment horizontal="left"/>
    </xf>
    <xf numFmtId="0" fontId="120" fillId="17" borderId="0" xfId="0" applyFont="1" applyFill="1" applyAlignment="1">
      <alignment horizontal="left"/>
    </xf>
    <xf numFmtId="2" fontId="58" fillId="4" borderId="5" xfId="0" applyNumberFormat="1" applyFont="1" applyFill="1" applyBorder="1" applyAlignment="1">
      <alignment horizontal="center"/>
    </xf>
    <xf numFmtId="0" fontId="102" fillId="4" borderId="0" xfId="0" applyFont="1" applyFill="1"/>
    <xf numFmtId="0" fontId="102" fillId="4" borderId="51" xfId="0" applyFont="1" applyFill="1" applyBorder="1" applyAlignment="1">
      <alignment horizontal="center"/>
    </xf>
    <xf numFmtId="0" fontId="102" fillId="4" borderId="5" xfId="0" applyFont="1" applyFill="1" applyBorder="1" applyAlignment="1">
      <alignment horizontal="center"/>
    </xf>
    <xf numFmtId="0" fontId="122" fillId="4" borderId="51" xfId="0" applyFont="1" applyFill="1" applyBorder="1"/>
    <xf numFmtId="4" fontId="58" fillId="4" borderId="17" xfId="0" applyNumberFormat="1" applyFont="1" applyFill="1" applyBorder="1" applyAlignment="1">
      <alignment horizontal="center"/>
    </xf>
    <xf numFmtId="4" fontId="58" fillId="4" borderId="29" xfId="0" applyNumberFormat="1" applyFont="1" applyFill="1" applyBorder="1" applyAlignment="1">
      <alignment horizontal="center"/>
    </xf>
    <xf numFmtId="4" fontId="58" fillId="4" borderId="36" xfId="0" applyNumberFormat="1" applyFont="1" applyFill="1" applyBorder="1" applyAlignment="1">
      <alignment horizontal="center"/>
    </xf>
    <xf numFmtId="4" fontId="58" fillId="4" borderId="26" xfId="0" applyNumberFormat="1" applyFont="1" applyFill="1" applyBorder="1" applyAlignment="1">
      <alignment horizontal="center"/>
    </xf>
    <xf numFmtId="4" fontId="102" fillId="7" borderId="9" xfId="0" applyNumberFormat="1" applyFont="1" applyFill="1" applyBorder="1" applyAlignment="1">
      <alignment horizontal="center"/>
    </xf>
    <xf numFmtId="49" fontId="72" fillId="16" borderId="60" xfId="0" applyNumberFormat="1" applyFont="1" applyFill="1" applyBorder="1"/>
    <xf numFmtId="0" fontId="107" fillId="16" borderId="5" xfId="12" applyFont="1" applyFill="1" applyBorder="1" applyAlignment="1" applyProtection="1">
      <alignment horizontal="center" vertical="center"/>
      <protection locked="0"/>
    </xf>
    <xf numFmtId="0" fontId="74" fillId="16" borderId="5" xfId="12" applyFont="1" applyFill="1" applyBorder="1" applyAlignment="1">
      <alignment horizontal="center" vertical="center"/>
    </xf>
    <xf numFmtId="0" fontId="58" fillId="4" borderId="51" xfId="0" applyFont="1" applyFill="1" applyBorder="1"/>
    <xf numFmtId="0" fontId="58" fillId="4" borderId="49" xfId="0" applyFont="1" applyFill="1" applyBorder="1" applyAlignment="1">
      <alignment horizontal="center" vertical="top"/>
    </xf>
    <xf numFmtId="0" fontId="58" fillId="4" borderId="84" xfId="0" applyFont="1" applyFill="1" applyBorder="1" applyAlignment="1">
      <alignment horizontal="center"/>
    </xf>
    <xf numFmtId="4" fontId="58" fillId="4" borderId="1" xfId="0" applyNumberFormat="1" applyFont="1" applyFill="1" applyBorder="1" applyAlignment="1">
      <alignment horizontal="center"/>
    </xf>
    <xf numFmtId="4" fontId="102" fillId="4" borderId="10" xfId="0" applyNumberFormat="1" applyFont="1" applyFill="1" applyBorder="1" applyAlignment="1">
      <alignment horizontal="center"/>
    </xf>
    <xf numFmtId="0" fontId="58" fillId="4" borderId="56" xfId="0" applyFont="1" applyFill="1" applyBorder="1" applyAlignment="1">
      <alignment horizontal="center" vertical="top"/>
    </xf>
    <xf numFmtId="4" fontId="103" fillId="4" borderId="25" xfId="0" applyNumberFormat="1" applyFont="1" applyFill="1" applyBorder="1" applyAlignment="1">
      <alignment horizontal="center"/>
    </xf>
    <xf numFmtId="4" fontId="102" fillId="4" borderId="25" xfId="0" applyNumberFormat="1" applyFont="1" applyFill="1" applyBorder="1" applyAlignment="1">
      <alignment horizontal="center"/>
    </xf>
    <xf numFmtId="0" fontId="101" fillId="4" borderId="5" xfId="0" applyFont="1" applyFill="1" applyBorder="1"/>
    <xf numFmtId="4" fontId="107" fillId="7" borderId="9" xfId="12" applyNumberFormat="1" applyFont="1" applyFill="1" applyBorder="1" applyAlignment="1" applyProtection="1">
      <alignment vertical="center"/>
      <protection locked="0"/>
    </xf>
    <xf numFmtId="4" fontId="58" fillId="14" borderId="4" xfId="0" applyNumberFormat="1" applyFont="1" applyFill="1" applyBorder="1" applyAlignment="1">
      <alignment horizontal="center"/>
    </xf>
    <xf numFmtId="4" fontId="58" fillId="18" borderId="4" xfId="0" applyNumberFormat="1" applyFont="1" applyFill="1" applyBorder="1" applyAlignment="1">
      <alignment horizontal="center"/>
    </xf>
    <xf numFmtId="4" fontId="58" fillId="18" borderId="17" xfId="0" applyNumberFormat="1" applyFont="1" applyFill="1" applyBorder="1" applyAlignment="1">
      <alignment horizontal="center"/>
    </xf>
    <xf numFmtId="4" fontId="58" fillId="18" borderId="5" xfId="0" applyNumberFormat="1" applyFont="1" applyFill="1" applyBorder="1" applyAlignment="1">
      <alignment horizontal="center"/>
    </xf>
    <xf numFmtId="4" fontId="58" fillId="14" borderId="25" xfId="0" applyNumberFormat="1" applyFont="1" applyFill="1" applyBorder="1" applyAlignment="1">
      <alignment horizontal="center"/>
    </xf>
    <xf numFmtId="4" fontId="100" fillId="14" borderId="5" xfId="0" applyNumberFormat="1" applyFont="1" applyFill="1" applyBorder="1" applyAlignment="1">
      <alignment horizontal="center"/>
    </xf>
    <xf numFmtId="4" fontId="58" fillId="14" borderId="5" xfId="0" applyNumberFormat="1" applyFont="1" applyFill="1" applyBorder="1" applyAlignment="1">
      <alignment horizontal="center"/>
    </xf>
    <xf numFmtId="0" fontId="58" fillId="14" borderId="5" xfId="0" applyFont="1" applyFill="1" applyBorder="1" applyAlignment="1">
      <alignment horizontal="center"/>
    </xf>
    <xf numFmtId="4" fontId="100" fillId="14" borderId="25" xfId="0" applyNumberFormat="1" applyFont="1" applyFill="1" applyBorder="1" applyAlignment="1">
      <alignment horizontal="center"/>
    </xf>
    <xf numFmtId="4" fontId="100" fillId="18" borderId="5" xfId="0" applyNumberFormat="1" applyFont="1" applyFill="1" applyBorder="1" applyAlignment="1">
      <alignment horizontal="center"/>
    </xf>
    <xf numFmtId="4" fontId="100" fillId="14" borderId="9" xfId="0" applyNumberFormat="1" applyFont="1" applyFill="1" applyBorder="1" applyAlignment="1">
      <alignment horizontal="center"/>
    </xf>
    <xf numFmtId="0" fontId="19" fillId="4" borderId="9" xfId="12" applyFont="1" applyFill="1" applyBorder="1" applyAlignment="1" applyProtection="1">
      <alignment horizontal="center" vertical="center"/>
      <protection locked="0"/>
    </xf>
    <xf numFmtId="0" fontId="17" fillId="4" borderId="9" xfId="12" applyFont="1" applyFill="1" applyBorder="1" applyAlignment="1">
      <alignment horizontal="center" vertical="center"/>
    </xf>
    <xf numFmtId="0" fontId="107" fillId="4" borderId="9" xfId="12" applyFont="1" applyFill="1" applyBorder="1" applyAlignment="1" applyProtection="1">
      <alignment horizontal="center" vertical="center"/>
      <protection locked="0"/>
    </xf>
    <xf numFmtId="4" fontId="100" fillId="18" borderId="9" xfId="0" applyNumberFormat="1" applyFont="1" applyFill="1" applyBorder="1" applyAlignment="1">
      <alignment horizontal="center"/>
    </xf>
    <xf numFmtId="2" fontId="123" fillId="14" borderId="0" xfId="0" applyNumberFormat="1" applyFont="1" applyFill="1" applyAlignment="1">
      <alignment horizontal="center"/>
    </xf>
    <xf numFmtId="0" fontId="100" fillId="16" borderId="0" xfId="0" applyFont="1" applyFill="1"/>
    <xf numFmtId="4" fontId="58" fillId="14" borderId="9" xfId="0" applyNumberFormat="1" applyFont="1" applyFill="1" applyBorder="1" applyAlignment="1">
      <alignment horizontal="center"/>
    </xf>
    <xf numFmtId="4" fontId="100" fillId="19" borderId="9" xfId="0" applyNumberFormat="1" applyFont="1" applyFill="1" applyBorder="1" applyAlignment="1">
      <alignment horizontal="center"/>
    </xf>
    <xf numFmtId="4" fontId="58" fillId="18" borderId="9" xfId="0" applyNumberFormat="1" applyFont="1" applyFill="1" applyBorder="1" applyAlignment="1">
      <alignment horizontal="center"/>
    </xf>
    <xf numFmtId="4" fontId="19" fillId="18" borderId="4" xfId="12" applyNumberFormat="1" applyFont="1" applyFill="1" applyBorder="1" applyAlignment="1">
      <alignment horizontal="center"/>
    </xf>
    <xf numFmtId="0" fontId="100" fillId="4" borderId="51" xfId="0" applyFont="1" applyFill="1" applyBorder="1" applyAlignment="1">
      <alignment horizontal="center"/>
    </xf>
    <xf numFmtId="4" fontId="102" fillId="18" borderId="9" xfId="0" applyNumberFormat="1" applyFont="1" applyFill="1" applyBorder="1" applyAlignment="1">
      <alignment horizontal="center"/>
    </xf>
    <xf numFmtId="0" fontId="58" fillId="4" borderId="25" xfId="0" applyFont="1" applyFill="1" applyBorder="1"/>
    <xf numFmtId="4" fontId="100" fillId="18" borderId="25" xfId="0" applyNumberFormat="1" applyFont="1" applyFill="1" applyBorder="1" applyAlignment="1">
      <alignment horizontal="center"/>
    </xf>
    <xf numFmtId="49" fontId="15" fillId="4" borderId="10" xfId="0" quotePrefix="1" applyNumberFormat="1" applyFont="1" applyFill="1" applyBorder="1"/>
    <xf numFmtId="49" fontId="15" fillId="4" borderId="5" xfId="0" applyNumberFormat="1" applyFont="1" applyFill="1" applyBorder="1"/>
    <xf numFmtId="4" fontId="58" fillId="18" borderId="36" xfId="0" applyNumberFormat="1" applyFont="1" applyFill="1" applyBorder="1" applyAlignment="1">
      <alignment horizontal="center"/>
    </xf>
    <xf numFmtId="4" fontId="58" fillId="14" borderId="36" xfId="0" applyNumberFormat="1" applyFont="1" applyFill="1" applyBorder="1" applyAlignment="1">
      <alignment horizontal="center"/>
    </xf>
    <xf numFmtId="4" fontId="100" fillId="14" borderId="31" xfId="0" applyNumberFormat="1" applyFont="1" applyFill="1" applyBorder="1" applyAlignment="1">
      <alignment horizontal="center"/>
    </xf>
    <xf numFmtId="4" fontId="100" fillId="13" borderId="31" xfId="0" applyNumberFormat="1" applyFont="1" applyFill="1" applyBorder="1" applyAlignment="1">
      <alignment horizontal="center"/>
    </xf>
    <xf numFmtId="4" fontId="100" fillId="20" borderId="25" xfId="0" applyNumberFormat="1" applyFont="1" applyFill="1" applyBorder="1" applyAlignment="1">
      <alignment horizontal="center"/>
    </xf>
    <xf numFmtId="4" fontId="58" fillId="18" borderId="25" xfId="0" applyNumberFormat="1" applyFont="1" applyFill="1" applyBorder="1" applyAlignment="1">
      <alignment horizontal="center"/>
    </xf>
    <xf numFmtId="4" fontId="100" fillId="18" borderId="31" xfId="0" applyNumberFormat="1" applyFont="1" applyFill="1" applyBorder="1" applyAlignment="1">
      <alignment horizontal="center"/>
    </xf>
    <xf numFmtId="4" fontId="100" fillId="13" borderId="36" xfId="0" applyNumberFormat="1" applyFont="1" applyFill="1" applyBorder="1" applyAlignment="1">
      <alignment horizontal="center"/>
    </xf>
    <xf numFmtId="2" fontId="123" fillId="4" borderId="0" xfId="0" applyNumberFormat="1" applyFont="1" applyFill="1" applyAlignment="1">
      <alignment horizontal="center"/>
    </xf>
    <xf numFmtId="0" fontId="100" fillId="7" borderId="51" xfId="0" applyFont="1" applyFill="1" applyBorder="1"/>
    <xf numFmtId="0" fontId="102" fillId="7" borderId="18" xfId="0" applyFont="1" applyFill="1" applyBorder="1" applyAlignment="1">
      <alignment horizontal="center"/>
    </xf>
    <xf numFmtId="0" fontId="103" fillId="7" borderId="16" xfId="0" applyFont="1" applyFill="1" applyBorder="1" applyAlignment="1">
      <alignment horizontal="center" vertical="top"/>
    </xf>
    <xf numFmtId="0" fontId="124" fillId="7" borderId="51" xfId="0" applyFont="1" applyFill="1" applyBorder="1"/>
    <xf numFmtId="0" fontId="124" fillId="4" borderId="51" xfId="0" applyFont="1" applyFill="1" applyBorder="1"/>
    <xf numFmtId="2" fontId="58" fillId="18" borderId="0" xfId="0" applyNumberFormat="1" applyFont="1" applyFill="1"/>
    <xf numFmtId="3" fontId="58" fillId="4" borderId="5" xfId="0" applyNumberFormat="1" applyFont="1" applyFill="1" applyBorder="1" applyAlignment="1">
      <alignment horizontal="center"/>
    </xf>
    <xf numFmtId="4" fontId="100" fillId="21" borderId="25" xfId="0" applyNumberFormat="1" applyFont="1" applyFill="1" applyBorder="1" applyAlignment="1">
      <alignment horizontal="center"/>
    </xf>
    <xf numFmtId="4" fontId="100" fillId="21" borderId="9" xfId="0" applyNumberFormat="1" applyFont="1" applyFill="1" applyBorder="1" applyAlignment="1">
      <alignment horizontal="center"/>
    </xf>
    <xf numFmtId="4" fontId="58" fillId="21" borderId="4" xfId="0" applyNumberFormat="1" applyFont="1" applyFill="1" applyBorder="1" applyAlignment="1">
      <alignment horizontal="center"/>
    </xf>
    <xf numFmtId="0" fontId="58" fillId="21" borderId="5" xfId="0" applyFont="1" applyFill="1" applyBorder="1"/>
    <xf numFmtId="4" fontId="102" fillId="21" borderId="25" xfId="0" applyNumberFormat="1" applyFont="1" applyFill="1" applyBorder="1" applyAlignment="1">
      <alignment horizontal="center"/>
    </xf>
    <xf numFmtId="4" fontId="58" fillId="21" borderId="25" xfId="0" applyNumberFormat="1" applyFont="1" applyFill="1" applyBorder="1" applyAlignment="1">
      <alignment horizontal="center"/>
    </xf>
    <xf numFmtId="4" fontId="58" fillId="21" borderId="5" xfId="0" applyNumberFormat="1" applyFont="1" applyFill="1" applyBorder="1" applyAlignment="1">
      <alignment horizontal="center"/>
    </xf>
    <xf numFmtId="4" fontId="103" fillId="14" borderId="25" xfId="0" applyNumberFormat="1" applyFont="1" applyFill="1" applyBorder="1" applyAlignment="1">
      <alignment horizontal="center"/>
    </xf>
    <xf numFmtId="2" fontId="58" fillId="14" borderId="0" xfId="0" applyNumberFormat="1" applyFont="1" applyFill="1" applyAlignment="1">
      <alignment horizontal="center"/>
    </xf>
    <xf numFmtId="4" fontId="19" fillId="14" borderId="4" xfId="12" applyNumberFormat="1" applyFont="1" applyFill="1" applyBorder="1"/>
    <xf numFmtId="4" fontId="100" fillId="14" borderId="10" xfId="0" applyNumberFormat="1" applyFont="1" applyFill="1" applyBorder="1" applyAlignment="1">
      <alignment horizontal="center"/>
    </xf>
    <xf numFmtId="0" fontId="100" fillId="4" borderId="0" xfId="0" applyFont="1" applyFill="1" applyAlignment="1">
      <alignment horizontal="center" vertical="top"/>
    </xf>
    <xf numFmtId="4" fontId="102" fillId="13" borderId="9" xfId="0" applyNumberFormat="1" applyFont="1" applyFill="1" applyBorder="1" applyAlignment="1">
      <alignment horizontal="center"/>
    </xf>
    <xf numFmtId="4" fontId="100" fillId="13" borderId="25" xfId="0" applyNumberFormat="1" applyFont="1" applyFill="1" applyBorder="1" applyAlignment="1">
      <alignment horizontal="center"/>
    </xf>
    <xf numFmtId="4" fontId="100" fillId="12" borderId="25" xfId="0" applyNumberFormat="1" applyFont="1" applyFill="1" applyBorder="1" applyAlignment="1">
      <alignment horizontal="center"/>
    </xf>
    <xf numFmtId="4" fontId="100" fillId="12" borderId="9" xfId="0" applyNumberFormat="1" applyFont="1" applyFill="1" applyBorder="1" applyAlignment="1">
      <alignment horizontal="center"/>
    </xf>
    <xf numFmtId="4" fontId="58" fillId="12" borderId="5" xfId="0" applyNumberFormat="1" applyFont="1" applyFill="1" applyBorder="1" applyAlignment="1">
      <alignment horizontal="center"/>
    </xf>
    <xf numFmtId="4" fontId="100" fillId="13" borderId="5" xfId="0" applyNumberFormat="1" applyFont="1" applyFill="1" applyBorder="1" applyAlignment="1">
      <alignment horizontal="center"/>
    </xf>
    <xf numFmtId="4" fontId="100" fillId="13" borderId="10" xfId="0" applyNumberFormat="1" applyFont="1" applyFill="1" applyBorder="1" applyAlignment="1">
      <alignment horizontal="center"/>
    </xf>
    <xf numFmtId="4" fontId="102" fillId="6" borderId="9" xfId="0" applyNumberFormat="1" applyFont="1" applyFill="1" applyBorder="1" applyAlignment="1">
      <alignment horizontal="center"/>
    </xf>
    <xf numFmtId="4" fontId="102" fillId="14" borderId="9" xfId="0" applyNumberFormat="1" applyFont="1" applyFill="1" applyBorder="1" applyAlignment="1">
      <alignment horizontal="center"/>
    </xf>
    <xf numFmtId="4" fontId="100" fillId="13" borderId="9" xfId="0" applyNumberFormat="1" applyFont="1" applyFill="1" applyBorder="1" applyAlignment="1">
      <alignment horizontal="center"/>
    </xf>
    <xf numFmtId="4" fontId="102" fillId="14" borderId="10" xfId="0" applyNumberFormat="1" applyFont="1" applyFill="1" applyBorder="1" applyAlignment="1">
      <alignment horizontal="center"/>
    </xf>
    <xf numFmtId="4" fontId="100" fillId="14" borderId="0" xfId="0" applyNumberFormat="1" applyFont="1" applyFill="1" applyAlignment="1">
      <alignment horizontal="center"/>
    </xf>
    <xf numFmtId="49" fontId="17" fillId="14" borderId="10" xfId="0" quotePrefix="1" applyNumberFormat="1" applyFont="1" applyFill="1" applyBorder="1"/>
    <xf numFmtId="4" fontId="100" fillId="14" borderId="36" xfId="0" applyNumberFormat="1" applyFont="1" applyFill="1" applyBorder="1" applyAlignment="1">
      <alignment horizontal="center"/>
    </xf>
    <xf numFmtId="0" fontId="113" fillId="0" borderId="0" xfId="12" applyFont="1" applyAlignment="1">
      <alignment horizontal="center" vertical="center" wrapText="1"/>
    </xf>
    <xf numFmtId="0" fontId="113" fillId="0" borderId="0" xfId="12" applyFont="1" applyAlignment="1">
      <alignment horizontal="center"/>
    </xf>
    <xf numFmtId="0" fontId="127" fillId="0" borderId="0" xfId="12" applyFont="1" applyAlignment="1">
      <alignment horizontal="center" vertical="center"/>
    </xf>
    <xf numFmtId="2" fontId="58" fillId="4" borderId="0" xfId="0" applyNumberFormat="1" applyFont="1" applyFill="1" applyAlignment="1">
      <alignment horizontal="center"/>
    </xf>
    <xf numFmtId="0" fontId="17" fillId="4" borderId="46" xfId="12" applyFont="1" applyFill="1" applyBorder="1" applyAlignment="1">
      <alignment horizontal="center" vertical="center"/>
    </xf>
    <xf numFmtId="49" fontId="17" fillId="4" borderId="9" xfId="0" applyNumberFormat="1" applyFont="1" applyFill="1" applyBorder="1" applyAlignment="1">
      <alignment horizontal="center"/>
    </xf>
    <xf numFmtId="4" fontId="104" fillId="4" borderId="61" xfId="0" applyNumberFormat="1" applyFont="1" applyFill="1" applyBorder="1" applyAlignment="1">
      <alignment horizontal="center"/>
    </xf>
    <xf numFmtId="4" fontId="104" fillId="4" borderId="17" xfId="0" applyNumberFormat="1" applyFont="1" applyFill="1" applyBorder="1" applyAlignment="1">
      <alignment horizontal="center"/>
    </xf>
    <xf numFmtId="0" fontId="58" fillId="4" borderId="17" xfId="0" applyFont="1" applyFill="1" applyBorder="1"/>
    <xf numFmtId="4" fontId="58" fillId="12" borderId="17" xfId="0" applyNumberFormat="1" applyFont="1" applyFill="1" applyBorder="1" applyAlignment="1">
      <alignment horizontal="center"/>
    </xf>
    <xf numFmtId="4" fontId="58" fillId="13" borderId="5" xfId="0" applyNumberFormat="1" applyFont="1" applyFill="1" applyBorder="1" applyAlignment="1">
      <alignment horizontal="center"/>
    </xf>
    <xf numFmtId="0" fontId="100" fillId="7" borderId="51" xfId="0" applyFont="1" applyFill="1" applyBorder="1" applyAlignment="1">
      <alignment horizontal="center"/>
    </xf>
    <xf numFmtId="4" fontId="100" fillId="13" borderId="17" xfId="0" applyNumberFormat="1" applyFont="1" applyFill="1" applyBorder="1" applyAlignment="1">
      <alignment horizontal="center"/>
    </xf>
    <xf numFmtId="4" fontId="58" fillId="13" borderId="17" xfId="0" applyNumberFormat="1" applyFont="1" applyFill="1" applyBorder="1" applyAlignment="1">
      <alignment horizontal="center"/>
    </xf>
    <xf numFmtId="0" fontId="58" fillId="13" borderId="0" xfId="0" applyFont="1" applyFill="1"/>
    <xf numFmtId="0" fontId="17" fillId="13" borderId="9" xfId="12" applyFont="1" applyFill="1" applyBorder="1" applyAlignment="1">
      <alignment horizontal="center" vertical="center"/>
    </xf>
    <xf numFmtId="4" fontId="58" fillId="13" borderId="9" xfId="0" applyNumberFormat="1" applyFont="1" applyFill="1" applyBorder="1" applyAlignment="1">
      <alignment horizontal="center"/>
    </xf>
    <xf numFmtId="2" fontId="58" fillId="13" borderId="5" xfId="0" applyNumberFormat="1" applyFont="1" applyFill="1" applyBorder="1" applyAlignment="1">
      <alignment horizontal="center"/>
    </xf>
    <xf numFmtId="0" fontId="100" fillId="15" borderId="0" xfId="0" applyFont="1" applyFill="1"/>
    <xf numFmtId="0" fontId="100" fillId="15" borderId="5" xfId="0" applyFont="1" applyFill="1" applyBorder="1" applyAlignment="1">
      <alignment horizontal="center"/>
    </xf>
    <xf numFmtId="2" fontId="58" fillId="13" borderId="0" xfId="0" applyNumberFormat="1" applyFont="1" applyFill="1"/>
    <xf numFmtId="2" fontId="58" fillId="13" borderId="0" xfId="0" applyNumberFormat="1" applyFont="1" applyFill="1" applyAlignment="1">
      <alignment horizontal="center"/>
    </xf>
    <xf numFmtId="0" fontId="58" fillId="13" borderId="17" xfId="0" applyFont="1" applyFill="1" applyBorder="1"/>
    <xf numFmtId="0" fontId="19" fillId="4" borderId="0" xfId="12" applyFont="1" applyFill="1" applyAlignment="1">
      <alignment horizontal="center"/>
    </xf>
    <xf numFmtId="10" fontId="16" fillId="0" borderId="6" xfId="29" applyNumberFormat="1" applyFont="1" applyFill="1" applyBorder="1" applyAlignment="1">
      <alignment horizontal="center" vertical="center"/>
    </xf>
    <xf numFmtId="4" fontId="101" fillId="15" borderId="2" xfId="0" applyNumberFormat="1" applyFont="1" applyFill="1" applyBorder="1" applyAlignment="1">
      <alignment horizontal="center"/>
    </xf>
    <xf numFmtId="0" fontId="100" fillId="15" borderId="52" xfId="0" applyFont="1" applyFill="1" applyBorder="1" applyAlignment="1">
      <alignment horizontal="center"/>
    </xf>
    <xf numFmtId="4" fontId="107" fillId="15" borderId="4" xfId="12" applyNumberFormat="1" applyFont="1" applyFill="1" applyBorder="1" applyAlignment="1">
      <alignment horizontal="center"/>
    </xf>
    <xf numFmtId="2" fontId="123" fillId="15" borderId="0" xfId="0" applyNumberFormat="1" applyFont="1" applyFill="1" applyAlignment="1">
      <alignment horizontal="center"/>
    </xf>
    <xf numFmtId="4" fontId="58" fillId="13" borderId="25" xfId="0" applyNumberFormat="1" applyFont="1" applyFill="1" applyBorder="1" applyAlignment="1">
      <alignment horizontal="center"/>
    </xf>
    <xf numFmtId="4" fontId="58" fillId="13" borderId="4" xfId="0" applyNumberFormat="1" applyFont="1" applyFill="1" applyBorder="1" applyAlignment="1">
      <alignment horizontal="center"/>
    </xf>
    <xf numFmtId="49" fontId="75" fillId="4" borderId="10" xfId="0" applyNumberFormat="1" applyFont="1" applyFill="1" applyBorder="1"/>
    <xf numFmtId="49" fontId="15" fillId="4" borderId="10" xfId="0" applyNumberFormat="1" applyFont="1" applyFill="1" applyBorder="1"/>
    <xf numFmtId="4" fontId="101" fillId="13" borderId="9" xfId="0" applyNumberFormat="1" applyFont="1" applyFill="1" applyBorder="1" applyAlignment="1">
      <alignment horizontal="center"/>
    </xf>
    <xf numFmtId="0" fontId="58" fillId="13" borderId="5" xfId="0" applyFont="1" applyFill="1" applyBorder="1"/>
    <xf numFmtId="4" fontId="104" fillId="13" borderId="9" xfId="0" applyNumberFormat="1" applyFont="1" applyFill="1" applyBorder="1" applyAlignment="1">
      <alignment horizontal="center"/>
    </xf>
    <xf numFmtId="0" fontId="101" fillId="15" borderId="51" xfId="0" applyFont="1" applyFill="1" applyBorder="1" applyAlignment="1">
      <alignment horizontal="center"/>
    </xf>
    <xf numFmtId="0" fontId="124" fillId="15" borderId="51" xfId="0" applyFont="1" applyFill="1" applyBorder="1"/>
    <xf numFmtId="49" fontId="17" fillId="14" borderId="10" xfId="0" applyNumberFormat="1" applyFont="1" applyFill="1" applyBorder="1"/>
    <xf numFmtId="0" fontId="58" fillId="15" borderId="25" xfId="0" applyFont="1" applyFill="1" applyBorder="1"/>
    <xf numFmtId="2" fontId="58" fillId="13" borderId="5" xfId="0" applyNumberFormat="1" applyFont="1" applyFill="1" applyBorder="1"/>
    <xf numFmtId="4" fontId="100" fillId="5" borderId="5" xfId="0" applyNumberFormat="1" applyFont="1" applyFill="1" applyBorder="1" applyAlignment="1">
      <alignment horizontal="center"/>
    </xf>
    <xf numFmtId="0" fontId="100" fillId="13" borderId="5" xfId="0" applyFont="1" applyFill="1" applyBorder="1" applyAlignment="1">
      <alignment horizontal="center"/>
    </xf>
    <xf numFmtId="0" fontId="101" fillId="4" borderId="0" xfId="0" applyFont="1" applyFill="1" applyAlignment="1">
      <alignment horizontal="center"/>
    </xf>
    <xf numFmtId="0" fontId="100" fillId="4" borderId="0" xfId="0" applyFont="1" applyFill="1" applyAlignment="1">
      <alignment horizontal="center"/>
    </xf>
    <xf numFmtId="4" fontId="58" fillId="6" borderId="36" xfId="0" applyNumberFormat="1" applyFont="1" applyFill="1" applyBorder="1" applyAlignment="1">
      <alignment horizontal="center"/>
    </xf>
    <xf numFmtId="0" fontId="100" fillId="13" borderId="5" xfId="0" applyFont="1" applyFill="1" applyBorder="1"/>
    <xf numFmtId="4" fontId="43" fillId="13" borderId="13" xfId="12" applyNumberFormat="1" applyFont="1" applyFill="1" applyBorder="1" applyAlignment="1">
      <alignment horizontal="center" vertical="center"/>
    </xf>
    <xf numFmtId="4" fontId="19" fillId="0" borderId="0" xfId="12" applyNumberFormat="1" applyFont="1" applyAlignment="1">
      <alignment horizontal="left"/>
    </xf>
    <xf numFmtId="0" fontId="19" fillId="0" borderId="0" xfId="12" applyFont="1" applyAlignment="1">
      <alignment horizontal="left"/>
    </xf>
    <xf numFmtId="2" fontId="109" fillId="0" borderId="5" xfId="12" applyNumberFormat="1" applyFont="1" applyBorder="1" applyAlignment="1">
      <alignment horizontal="center" vertical="center"/>
    </xf>
    <xf numFmtId="0" fontId="128" fillId="0" borderId="6" xfId="12" applyFont="1" applyBorder="1" applyAlignment="1">
      <alignment horizontal="left" vertical="center" wrapText="1"/>
    </xf>
    <xf numFmtId="0" fontId="42" fillId="0" borderId="0" xfId="12" applyFont="1"/>
    <xf numFmtId="0" fontId="42" fillId="0" borderId="0" xfId="12" applyFont="1" applyAlignment="1">
      <alignment vertical="top"/>
    </xf>
    <xf numFmtId="0" fontId="42" fillId="0" borderId="0" xfId="12" applyFont="1" applyAlignment="1">
      <alignment horizontal="center"/>
    </xf>
    <xf numFmtId="0" fontId="129" fillId="0" borderId="0" xfId="12" applyFont="1" applyAlignment="1">
      <alignment horizontal="center"/>
    </xf>
    <xf numFmtId="4" fontId="129" fillId="0" borderId="0" xfId="12" applyNumberFormat="1" applyFont="1" applyAlignment="1">
      <alignment horizontal="left" vertical="top"/>
    </xf>
    <xf numFmtId="4" fontId="42" fillId="0" borderId="0" xfId="12" applyNumberFormat="1" applyFont="1" applyAlignment="1">
      <alignment horizontal="center"/>
    </xf>
    <xf numFmtId="14" fontId="42" fillId="0" borderId="0" xfId="12" applyNumberFormat="1" applyFont="1" applyAlignment="1">
      <alignment horizontal="left"/>
    </xf>
    <xf numFmtId="49" fontId="42" fillId="0" borderId="0" xfId="12" applyNumberFormat="1" applyFont="1"/>
    <xf numFmtId="1" fontId="42" fillId="0" borderId="0" xfId="12" applyNumberFormat="1" applyFont="1" applyAlignment="1">
      <alignment horizontal="left"/>
    </xf>
    <xf numFmtId="0" fontId="42" fillId="0" borderId="0" xfId="12" applyFont="1" applyAlignment="1">
      <alignment horizontal="left" vertical="top"/>
    </xf>
    <xf numFmtId="4" fontId="42" fillId="0" borderId="0" xfId="12" applyNumberFormat="1" applyFont="1"/>
    <xf numFmtId="0" fontId="129" fillId="4" borderId="1" xfId="12" applyFont="1" applyFill="1" applyBorder="1" applyAlignment="1">
      <alignment horizontal="center" vertical="center"/>
    </xf>
    <xf numFmtId="0" fontId="129" fillId="4" borderId="3" xfId="12" applyFont="1" applyFill="1" applyBorder="1" applyAlignment="1">
      <alignment horizontal="center" vertical="center"/>
    </xf>
    <xf numFmtId="0" fontId="129" fillId="4" borderId="0" xfId="12" applyFont="1" applyFill="1"/>
    <xf numFmtId="4" fontId="42" fillId="4" borderId="0" xfId="12" applyNumberFormat="1" applyFont="1" applyFill="1"/>
    <xf numFmtId="0" fontId="42" fillId="4" borderId="0" xfId="12" applyFont="1" applyFill="1"/>
    <xf numFmtId="4" fontId="42" fillId="4" borderId="6" xfId="12" applyNumberFormat="1" applyFont="1" applyFill="1" applyBorder="1" applyAlignment="1" applyProtection="1">
      <alignment horizontal="center" vertical="center"/>
      <protection locked="0"/>
    </xf>
    <xf numFmtId="4" fontId="42" fillId="4" borderId="4" xfId="12" applyNumberFormat="1" applyFont="1" applyFill="1" applyBorder="1" applyAlignment="1">
      <alignment horizontal="center"/>
    </xf>
    <xf numFmtId="4" fontId="42" fillId="4" borderId="5" xfId="12" applyNumberFormat="1" applyFont="1" applyFill="1" applyBorder="1" applyAlignment="1" applyProtection="1">
      <alignment vertical="center"/>
      <protection locked="0"/>
    </xf>
    <xf numFmtId="0" fontId="42" fillId="0" borderId="0" xfId="0" applyFont="1" applyAlignment="1">
      <alignment vertical="top"/>
    </xf>
    <xf numFmtId="4" fontId="130" fillId="0" borderId="0" xfId="0" applyNumberFormat="1" applyFont="1" applyAlignment="1">
      <alignment vertical="top"/>
    </xf>
    <xf numFmtId="0" fontId="129" fillId="0" borderId="0" xfId="12" applyFont="1" applyAlignment="1">
      <alignment horizontal="center" vertical="center"/>
    </xf>
    <xf numFmtId="14" fontId="42" fillId="0" borderId="0" xfId="12" applyNumberFormat="1" applyFont="1" applyAlignment="1">
      <alignment horizontal="center"/>
    </xf>
    <xf numFmtId="4" fontId="42" fillId="0" borderId="0" xfId="12" applyNumberFormat="1" applyFont="1" applyAlignment="1">
      <alignment horizontal="center" vertical="center"/>
    </xf>
    <xf numFmtId="0" fontId="90" fillId="4" borderId="5" xfId="0" applyFont="1" applyFill="1" applyBorder="1" applyAlignment="1" applyProtection="1">
      <alignment vertical="center"/>
      <protection locked="0"/>
    </xf>
    <xf numFmtId="0" fontId="21" fillId="4" borderId="13" xfId="12" applyFont="1" applyFill="1" applyBorder="1" applyAlignment="1" applyProtection="1">
      <alignment vertical="center"/>
      <protection locked="0"/>
    </xf>
    <xf numFmtId="0" fontId="90" fillId="4" borderId="6" xfId="0" applyFont="1" applyFill="1" applyBorder="1" applyAlignment="1" applyProtection="1">
      <alignment horizontal="center" vertical="center"/>
      <protection locked="0"/>
    </xf>
    <xf numFmtId="0" fontId="15" fillId="4" borderId="13" xfId="12" applyFont="1" applyFill="1" applyBorder="1" applyAlignment="1">
      <alignment horizontal="right"/>
    </xf>
    <xf numFmtId="0" fontId="17" fillId="4" borderId="13" xfId="12" applyFont="1" applyFill="1" applyBorder="1" applyAlignment="1">
      <alignment horizontal="center"/>
    </xf>
    <xf numFmtId="0" fontId="17" fillId="4" borderId="13" xfId="12" applyFont="1" applyFill="1" applyBorder="1"/>
    <xf numFmtId="0" fontId="15" fillId="4" borderId="13" xfId="12" applyFont="1" applyFill="1" applyBorder="1"/>
    <xf numFmtId="0" fontId="15" fillId="4" borderId="13" xfId="12" applyFont="1" applyFill="1" applyBorder="1" applyAlignment="1">
      <alignment horizontal="center"/>
    </xf>
    <xf numFmtId="4" fontId="17" fillId="4" borderId="13" xfId="12" applyNumberFormat="1" applyFont="1" applyFill="1" applyBorder="1" applyAlignment="1">
      <alignment horizontal="center"/>
    </xf>
    <xf numFmtId="0" fontId="21" fillId="4" borderId="1" xfId="12" applyFont="1" applyFill="1" applyBorder="1" applyAlignment="1" applyProtection="1">
      <alignment vertical="center"/>
      <protection locked="0"/>
    </xf>
    <xf numFmtId="0" fontId="14" fillId="4" borderId="2" xfId="12" applyFont="1" applyFill="1" applyBorder="1"/>
    <xf numFmtId="0" fontId="21" fillId="4" borderId="4" xfId="12" applyFont="1" applyFill="1" applyBorder="1" applyAlignment="1" applyProtection="1">
      <alignment vertical="center"/>
      <protection locked="0"/>
    </xf>
    <xf numFmtId="0" fontId="131" fillId="4" borderId="7" xfId="12" applyFont="1" applyFill="1" applyBorder="1" applyAlignment="1" applyProtection="1">
      <alignment vertical="center"/>
      <protection locked="0"/>
    </xf>
    <xf numFmtId="0" fontId="14" fillId="4" borderId="8" xfId="12" applyFont="1" applyFill="1" applyBorder="1" applyAlignment="1">
      <alignment horizontal="center"/>
    </xf>
    <xf numFmtId="4" fontId="14" fillId="4" borderId="8" xfId="12" applyNumberFormat="1" applyFont="1" applyFill="1" applyBorder="1"/>
    <xf numFmtId="4" fontId="14" fillId="4" borderId="8" xfId="12" applyNumberFormat="1" applyFont="1" applyFill="1" applyBorder="1" applyAlignment="1">
      <alignment horizontal="center"/>
    </xf>
    <xf numFmtId="0" fontId="14" fillId="4" borderId="8" xfId="12" applyFont="1" applyFill="1" applyBorder="1"/>
    <xf numFmtId="10" fontId="14" fillId="4" borderId="8" xfId="12" applyNumberFormat="1" applyFont="1" applyFill="1" applyBorder="1" applyAlignment="1">
      <alignment horizontal="center"/>
    </xf>
    <xf numFmtId="0" fontId="97" fillId="4" borderId="5" xfId="0" applyFont="1" applyFill="1" applyBorder="1" applyAlignment="1" applyProtection="1">
      <alignment vertical="center"/>
      <protection locked="0"/>
    </xf>
    <xf numFmtId="0" fontId="133" fillId="4" borderId="4" xfId="0" applyFont="1" applyFill="1" applyBorder="1" applyAlignment="1" applyProtection="1">
      <alignment vertical="center"/>
      <protection locked="0"/>
    </xf>
    <xf numFmtId="0" fontId="133" fillId="4" borderId="5" xfId="0" applyFont="1" applyFill="1" applyBorder="1" applyAlignment="1" applyProtection="1">
      <alignment vertical="center"/>
      <protection locked="0"/>
    </xf>
    <xf numFmtId="0" fontId="133" fillId="4" borderId="6" xfId="0" applyFont="1" applyFill="1" applyBorder="1" applyAlignment="1" applyProtection="1">
      <alignment horizontal="center" vertical="center"/>
      <protection locked="0"/>
    </xf>
    <xf numFmtId="0" fontId="90" fillId="4" borderId="4" xfId="0" applyFont="1" applyFill="1" applyBorder="1" applyAlignment="1" applyProtection="1">
      <alignment vertical="center"/>
      <protection locked="0"/>
    </xf>
    <xf numFmtId="0" fontId="69" fillId="4" borderId="4" xfId="0" applyFont="1" applyFill="1" applyBorder="1" applyAlignment="1" applyProtection="1">
      <alignment vertical="center"/>
      <protection locked="0"/>
    </xf>
    <xf numFmtId="0" fontId="72" fillId="4" borderId="5" xfId="0" applyFont="1" applyFill="1" applyBorder="1" applyAlignment="1" applyProtection="1">
      <alignment vertical="center"/>
      <protection locked="0"/>
    </xf>
    <xf numFmtId="0" fontId="72" fillId="4" borderId="6" xfId="0" applyFont="1" applyFill="1" applyBorder="1" applyAlignment="1" applyProtection="1">
      <alignment horizontal="center" vertical="center"/>
      <protection locked="0"/>
    </xf>
    <xf numFmtId="0" fontId="97" fillId="4" borderId="4" xfId="0" applyFont="1" applyFill="1" applyBorder="1" applyAlignment="1" applyProtection="1">
      <alignment vertical="center"/>
      <protection locked="0"/>
    </xf>
    <xf numFmtId="0" fontId="97" fillId="4" borderId="6" xfId="0" applyFont="1" applyFill="1" applyBorder="1" applyAlignment="1" applyProtection="1">
      <alignment horizontal="center" vertical="center"/>
      <protection locked="0"/>
    </xf>
    <xf numFmtId="0" fontId="133" fillId="4" borderId="6" xfId="0" applyFont="1" applyFill="1" applyBorder="1" applyAlignment="1" applyProtection="1">
      <alignment vertical="center"/>
      <protection locked="0"/>
    </xf>
    <xf numFmtId="0" fontId="13" fillId="4" borderId="5" xfId="12" applyFont="1" applyFill="1" applyBorder="1"/>
    <xf numFmtId="10" fontId="16" fillId="0" borderId="48" xfId="29" applyNumberFormat="1" applyFont="1" applyFill="1" applyBorder="1" applyAlignment="1">
      <alignment vertical="center"/>
    </xf>
    <xf numFmtId="4" fontId="23" fillId="0" borderId="5" xfId="12" applyNumberFormat="1" applyFont="1" applyBorder="1"/>
    <xf numFmtId="49" fontId="43" fillId="0" borderId="46" xfId="12" applyNumberFormat="1" applyFont="1" applyBorder="1" applyAlignment="1">
      <alignment horizontal="left" vertical="top"/>
    </xf>
    <xf numFmtId="0" fontId="141" fillId="0" borderId="4" xfId="12" applyFont="1" applyBorder="1" applyAlignment="1">
      <alignment horizontal="center" vertical="center"/>
    </xf>
    <xf numFmtId="4" fontId="141" fillId="0" borderId="5" xfId="12" applyNumberFormat="1" applyFont="1" applyBorder="1" applyAlignment="1">
      <alignment horizontal="center" vertical="center"/>
    </xf>
    <xf numFmtId="4" fontId="141" fillId="0" borderId="13" xfId="12" applyNumberFormat="1" applyFont="1" applyBorder="1" applyAlignment="1">
      <alignment horizontal="center" vertical="center"/>
    </xf>
    <xf numFmtId="10" fontId="141" fillId="0" borderId="13" xfId="29" applyNumberFormat="1" applyFont="1" applyFill="1" applyBorder="1" applyAlignment="1">
      <alignment horizontal="center" vertical="center"/>
    </xf>
    <xf numFmtId="10" fontId="142" fillId="0" borderId="6" xfId="29" applyNumberFormat="1" applyFont="1" applyFill="1" applyBorder="1" applyAlignment="1">
      <alignment horizontal="center" vertical="center"/>
    </xf>
    <xf numFmtId="10" fontId="141" fillId="0" borderId="5" xfId="29" applyNumberFormat="1" applyFont="1" applyFill="1" applyBorder="1" applyAlignment="1">
      <alignment horizontal="center" vertical="center"/>
    </xf>
    <xf numFmtId="0" fontId="143" fillId="0" borderId="0" xfId="12" applyFont="1" applyAlignment="1">
      <alignment horizontal="center" vertical="center"/>
    </xf>
    <xf numFmtId="0" fontId="144" fillId="0" borderId="0" xfId="12" applyFont="1" applyAlignment="1">
      <alignment horizontal="center" vertical="center"/>
    </xf>
    <xf numFmtId="0" fontId="61" fillId="0" borderId="0" xfId="19" applyFont="1"/>
    <xf numFmtId="0" fontId="63" fillId="0" borderId="0" xfId="19" applyFont="1" applyAlignment="1">
      <alignment vertical="center" wrapText="1"/>
    </xf>
    <xf numFmtId="166" fontId="63" fillId="0" borderId="0" xfId="19" applyNumberFormat="1" applyFont="1"/>
    <xf numFmtId="0" fontId="64" fillId="0" borderId="0" xfId="19" applyFont="1"/>
    <xf numFmtId="15" fontId="63" fillId="0" borderId="0" xfId="19" applyNumberFormat="1" applyFont="1"/>
    <xf numFmtId="2" fontId="16" fillId="0" borderId="0" xfId="30" applyNumberFormat="1"/>
    <xf numFmtId="4" fontId="16" fillId="0" borderId="0" xfId="14" applyNumberFormat="1"/>
    <xf numFmtId="10" fontId="16" fillId="0" borderId="0" xfId="30" applyNumberFormat="1"/>
    <xf numFmtId="4" fontId="79" fillId="0" borderId="0" xfId="14" applyNumberFormat="1" applyFont="1"/>
    <xf numFmtId="4" fontId="138" fillId="0" borderId="5" xfId="12" applyNumberFormat="1" applyFont="1" applyBorder="1"/>
    <xf numFmtId="4" fontId="129" fillId="0" borderId="0" xfId="12" applyNumberFormat="1" applyFont="1" applyAlignment="1">
      <alignment horizontal="center"/>
    </xf>
    <xf numFmtId="4" fontId="16" fillId="0" borderId="13" xfId="12" applyNumberFormat="1" applyBorder="1" applyAlignment="1">
      <alignment horizontal="right"/>
    </xf>
    <xf numFmtId="4" fontId="16" fillId="0" borderId="5" xfId="12" applyNumberFormat="1" applyBorder="1" applyAlignment="1">
      <alignment horizontal="right"/>
    </xf>
    <xf numFmtId="0" fontId="49" fillId="0" borderId="0" xfId="12" applyFont="1"/>
    <xf numFmtId="0" fontId="16" fillId="0" borderId="0" xfId="42" applyAlignment="1">
      <alignment vertical="center"/>
    </xf>
    <xf numFmtId="0" fontId="151" fillId="0" borderId="0" xfId="42" applyFont="1" applyAlignment="1">
      <alignment vertical="center"/>
    </xf>
    <xf numFmtId="0" fontId="40" fillId="0" borderId="0" xfId="42" applyFont="1" applyAlignment="1">
      <alignment horizontal="center" vertical="center"/>
    </xf>
    <xf numFmtId="0" fontId="40" fillId="0" borderId="0" xfId="42" applyFont="1" applyAlignment="1">
      <alignment vertical="center"/>
    </xf>
    <xf numFmtId="0" fontId="41" fillId="0" borderId="0" xfId="42" applyFont="1" applyAlignment="1">
      <alignment vertical="center"/>
    </xf>
    <xf numFmtId="0" fontId="40" fillId="0" borderId="0" xfId="42" applyFont="1" applyAlignment="1">
      <alignment vertical="center" wrapText="1"/>
    </xf>
    <xf numFmtId="0" fontId="40" fillId="4" borderId="0" xfId="42" applyFont="1" applyFill="1" applyAlignment="1">
      <alignment vertical="center"/>
    </xf>
    <xf numFmtId="0" fontId="40" fillId="4" borderId="0" xfId="42" applyFont="1" applyFill="1" applyAlignment="1">
      <alignment vertical="center" wrapText="1"/>
    </xf>
    <xf numFmtId="0" fontId="41" fillId="4" borderId="0" xfId="42" applyFont="1" applyFill="1" applyAlignment="1">
      <alignment vertical="center" wrapText="1"/>
    </xf>
    <xf numFmtId="0" fontId="154" fillId="0" borderId="0" xfId="42" applyFont="1" applyAlignment="1">
      <alignment vertical="center"/>
    </xf>
    <xf numFmtId="0" fontId="41" fillId="0" borderId="0" xfId="42" applyFont="1" applyAlignment="1">
      <alignment horizontal="left" vertical="center" wrapText="1"/>
    </xf>
    <xf numFmtId="0" fontId="40" fillId="0" borderId="0" xfId="42" applyFont="1" applyAlignment="1">
      <alignment horizontal="left" vertical="center"/>
    </xf>
    <xf numFmtId="0" fontId="40" fillId="0" borderId="5" xfId="42" applyFont="1" applyBorder="1" applyAlignment="1">
      <alignment horizontal="center" vertical="center" wrapText="1"/>
    </xf>
    <xf numFmtId="0" fontId="41" fillId="0" borderId="0" xfId="42" applyFont="1" applyAlignment="1">
      <alignment vertical="center" wrapText="1"/>
    </xf>
    <xf numFmtId="0" fontId="41" fillId="0" borderId="5" xfId="42" applyFont="1" applyBorder="1" applyAlignment="1">
      <alignment horizontal="center" vertical="center" wrapText="1"/>
    </xf>
    <xf numFmtId="2" fontId="41" fillId="0" borderId="5" xfId="42" applyNumberFormat="1" applyFont="1" applyBorder="1" applyAlignment="1">
      <alignment horizontal="center" vertical="center" wrapText="1"/>
    </xf>
    <xf numFmtId="0" fontId="42" fillId="0" borderId="0" xfId="12" applyFont="1" applyAlignment="1">
      <alignment horizontal="right"/>
    </xf>
    <xf numFmtId="2" fontId="129" fillId="0" borderId="0" xfId="12" applyNumberFormat="1" applyFont="1" applyAlignment="1">
      <alignment horizontal="center"/>
    </xf>
    <xf numFmtId="0" fontId="14" fillId="4" borderId="2" xfId="12" applyFont="1" applyFill="1" applyBorder="1" applyAlignment="1">
      <alignment horizontal="left"/>
    </xf>
    <xf numFmtId="0" fontId="67" fillId="4" borderId="2" xfId="12" applyFont="1" applyFill="1" applyBorder="1" applyAlignment="1">
      <alignment horizontal="center"/>
    </xf>
    <xf numFmtId="4" fontId="14" fillId="4" borderId="2" xfId="12" applyNumberFormat="1" applyFont="1" applyFill="1" applyBorder="1"/>
    <xf numFmtId="4" fontId="14" fillId="4" borderId="2" xfId="12" applyNumberFormat="1" applyFont="1" applyFill="1" applyBorder="1" applyAlignment="1">
      <alignment horizontal="center"/>
    </xf>
    <xf numFmtId="10" fontId="14" fillId="4" borderId="2" xfId="12" applyNumberFormat="1" applyFont="1" applyFill="1" applyBorder="1" applyAlignment="1">
      <alignment horizontal="center"/>
    </xf>
    <xf numFmtId="0" fontId="67" fillId="4" borderId="5" xfId="12" applyFont="1" applyFill="1" applyBorder="1" applyAlignment="1">
      <alignment horizontal="center"/>
    </xf>
    <xf numFmtId="4" fontId="13" fillId="4" borderId="5" xfId="12" applyNumberFormat="1" applyFont="1" applyFill="1" applyBorder="1"/>
    <xf numFmtId="4" fontId="13" fillId="4" borderId="5" xfId="12" applyNumberFormat="1" applyFont="1" applyFill="1" applyBorder="1" applyAlignment="1">
      <alignment horizontal="center"/>
    </xf>
    <xf numFmtId="10" fontId="13" fillId="4" borderId="5" xfId="12" applyNumberFormat="1" applyFont="1" applyFill="1" applyBorder="1" applyAlignment="1">
      <alignment horizontal="center"/>
    </xf>
    <xf numFmtId="10" fontId="13" fillId="4" borderId="6" xfId="27" applyNumberFormat="1" applyFont="1" applyFill="1" applyBorder="1"/>
    <xf numFmtId="0" fontId="67" fillId="4" borderId="5" xfId="12" applyFont="1" applyFill="1" applyBorder="1" applyAlignment="1">
      <alignment horizontal="left"/>
    </xf>
    <xf numFmtId="177" fontId="13" fillId="4" borderId="5" xfId="12" applyNumberFormat="1" applyFont="1" applyFill="1" applyBorder="1" applyAlignment="1">
      <alignment horizontal="center"/>
    </xf>
    <xf numFmtId="0" fontId="14" fillId="4" borderId="5" xfId="12" applyFont="1" applyFill="1" applyBorder="1" applyAlignment="1">
      <alignment horizontal="left"/>
    </xf>
    <xf numFmtId="0" fontId="13" fillId="4" borderId="5" xfId="12" applyFont="1" applyFill="1" applyBorder="1" applyAlignment="1">
      <alignment horizontal="center"/>
    </xf>
    <xf numFmtId="4" fontId="14" fillId="4" borderId="5" xfId="12" applyNumberFormat="1" applyFont="1" applyFill="1" applyBorder="1"/>
    <xf numFmtId="4" fontId="14" fillId="4" borderId="5" xfId="12" applyNumberFormat="1" applyFont="1" applyFill="1" applyBorder="1" applyAlignment="1">
      <alignment horizontal="center"/>
    </xf>
    <xf numFmtId="4" fontId="14" fillId="4" borderId="5" xfId="12" applyNumberFormat="1" applyFont="1" applyFill="1" applyBorder="1" applyAlignment="1">
      <alignment horizontal="right"/>
    </xf>
    <xf numFmtId="10" fontId="14" fillId="4" borderId="6" xfId="27" applyNumberFormat="1" applyFont="1" applyFill="1" applyBorder="1"/>
    <xf numFmtId="10" fontId="16" fillId="0" borderId="0" xfId="34" applyNumberFormat="1" applyFont="1" applyBorder="1" applyAlignment="1">
      <alignment horizontal="center"/>
    </xf>
    <xf numFmtId="0" fontId="42" fillId="4" borderId="0" xfId="12" applyFont="1" applyFill="1" applyAlignment="1">
      <alignment horizontal="center"/>
    </xf>
    <xf numFmtId="0" fontId="129" fillId="4" borderId="0" xfId="12" applyFont="1" applyFill="1" applyAlignment="1">
      <alignment horizontal="center"/>
    </xf>
    <xf numFmtId="4" fontId="19" fillId="4" borderId="0" xfId="12" applyNumberFormat="1" applyFont="1" applyFill="1" applyAlignment="1">
      <alignment horizontal="center"/>
    </xf>
    <xf numFmtId="4" fontId="138" fillId="0" borderId="5" xfId="12" applyNumberFormat="1" applyFont="1" applyBorder="1" applyAlignment="1">
      <alignment horizontal="center"/>
    </xf>
    <xf numFmtId="4" fontId="43" fillId="0" borderId="5" xfId="12" applyNumberFormat="1" applyFont="1" applyBorder="1" applyAlignment="1">
      <alignment horizontal="center"/>
    </xf>
    <xf numFmtId="10" fontId="138" fillId="0" borderId="5" xfId="29" applyNumberFormat="1" applyFont="1" applyFill="1" applyBorder="1" applyAlignment="1">
      <alignment horizontal="center" vertical="center"/>
    </xf>
    <xf numFmtId="10" fontId="23" fillId="0" borderId="6" xfId="29" applyNumberFormat="1" applyFont="1" applyFill="1" applyBorder="1" applyAlignment="1">
      <alignment vertical="center"/>
    </xf>
    <xf numFmtId="0" fontId="129" fillId="2" borderId="21" xfId="12" applyFont="1" applyFill="1" applyBorder="1" applyAlignment="1">
      <alignment horizontal="center" vertical="center"/>
    </xf>
    <xf numFmtId="0" fontId="129" fillId="2" borderId="0" xfId="12" applyFont="1" applyFill="1" applyAlignment="1">
      <alignment horizontal="center" vertical="center"/>
    </xf>
    <xf numFmtId="0" fontId="42" fillId="2" borderId="22" xfId="12" applyFont="1" applyFill="1" applyBorder="1" applyAlignment="1">
      <alignment horizontal="center" vertical="center"/>
    </xf>
    <xf numFmtId="4" fontId="16" fillId="0" borderId="43" xfId="14" applyNumberFormat="1" applyBorder="1"/>
    <xf numFmtId="10" fontId="16" fillId="0" borderId="0" xfId="30" applyNumberFormat="1" applyBorder="1"/>
    <xf numFmtId="10" fontId="16" fillId="0" borderId="85" xfId="14" applyNumberFormat="1" applyBorder="1"/>
    <xf numFmtId="10" fontId="17" fillId="0" borderId="0" xfId="34" applyNumberFormat="1" applyFont="1" applyBorder="1" applyAlignment="1">
      <alignment horizontal="center"/>
    </xf>
    <xf numFmtId="4" fontId="42" fillId="4" borderId="5" xfId="12" applyNumberFormat="1" applyFont="1" applyFill="1" applyBorder="1" applyAlignment="1" applyProtection="1">
      <alignment horizontal="center" vertical="center"/>
      <protection locked="0"/>
    </xf>
    <xf numFmtId="0" fontId="43" fillId="0" borderId="9" xfId="12" applyFont="1" applyBorder="1" applyAlignment="1">
      <alignment horizontal="left"/>
    </xf>
    <xf numFmtId="0" fontId="140" fillId="0" borderId="17" xfId="12" applyFont="1" applyBorder="1" applyAlignment="1">
      <alignment horizontal="left"/>
    </xf>
    <xf numFmtId="10" fontId="23" fillId="0" borderId="6" xfId="29" applyNumberFormat="1" applyFont="1" applyFill="1" applyBorder="1" applyAlignment="1">
      <alignment horizontal="center" vertical="center"/>
    </xf>
    <xf numFmtId="0" fontId="139" fillId="0" borderId="4" xfId="12" applyFont="1" applyBorder="1" applyAlignment="1">
      <alignment horizontal="center" vertical="center"/>
    </xf>
    <xf numFmtId="9" fontId="19" fillId="0" borderId="0" xfId="41" applyFont="1"/>
    <xf numFmtId="0" fontId="15" fillId="0" borderId="0" xfId="12" applyFont="1" applyAlignment="1">
      <alignment horizontal="left" vertical="center"/>
    </xf>
    <xf numFmtId="0" fontId="16" fillId="0" borderId="5" xfId="14" applyBorder="1" applyAlignment="1">
      <alignment horizontal="center"/>
    </xf>
    <xf numFmtId="10" fontId="14" fillId="4" borderId="3" xfId="27" applyNumberFormat="1" applyFont="1" applyFill="1" applyBorder="1"/>
    <xf numFmtId="0" fontId="63" fillId="0" borderId="0" xfId="58" applyFont="1" applyAlignment="1">
      <alignment horizontal="left" vertical="center"/>
    </xf>
    <xf numFmtId="0" fontId="63" fillId="0" borderId="0" xfId="58" applyFont="1" applyAlignment="1">
      <alignment horizontal="left"/>
    </xf>
    <xf numFmtId="0" fontId="16" fillId="0" borderId="0" xfId="14" applyAlignment="1">
      <alignment horizontal="center" vertical="center"/>
    </xf>
    <xf numFmtId="0" fontId="15" fillId="6" borderId="71" xfId="14" applyFont="1" applyFill="1" applyBorder="1" applyAlignment="1">
      <alignment horizontal="center"/>
    </xf>
    <xf numFmtId="0" fontId="15" fillId="6" borderId="72" xfId="14" applyFont="1" applyFill="1" applyBorder="1" applyAlignment="1">
      <alignment horizontal="center"/>
    </xf>
    <xf numFmtId="0" fontId="15" fillId="6" borderId="73" xfId="14" applyFont="1" applyFill="1" applyBorder="1" applyAlignment="1">
      <alignment horizontal="center"/>
    </xf>
    <xf numFmtId="0" fontId="15" fillId="6" borderId="74" xfId="14" applyFont="1" applyFill="1" applyBorder="1" applyAlignment="1">
      <alignment horizontal="center"/>
    </xf>
    <xf numFmtId="0" fontId="15" fillId="6" borderId="75" xfId="14" applyFont="1" applyFill="1" applyBorder="1" applyAlignment="1">
      <alignment horizontal="center"/>
    </xf>
    <xf numFmtId="0" fontId="15" fillId="6" borderId="76" xfId="14" applyFont="1" applyFill="1" applyBorder="1" applyAlignment="1">
      <alignment horizontal="center"/>
    </xf>
    <xf numFmtId="0" fontId="16" fillId="0" borderId="0" xfId="14" applyAlignment="1">
      <alignment horizontal="center"/>
    </xf>
    <xf numFmtId="4" fontId="17" fillId="0" borderId="5" xfId="14" applyNumberFormat="1" applyFont="1" applyBorder="1" applyAlignment="1">
      <alignment horizontal="center"/>
    </xf>
    <xf numFmtId="10" fontId="17" fillId="0" borderId="5" xfId="34" applyNumberFormat="1" applyFont="1" applyBorder="1" applyAlignment="1">
      <alignment horizontal="center"/>
    </xf>
    <xf numFmtId="0" fontId="16" fillId="0" borderId="5" xfId="14" applyBorder="1"/>
    <xf numFmtId="15" fontId="16" fillId="0" borderId="5" xfId="14" applyNumberFormat="1" applyBorder="1" applyAlignment="1">
      <alignment horizontal="center"/>
    </xf>
    <xf numFmtId="4" fontId="16" fillId="0" borderId="5" xfId="14" applyNumberFormat="1" applyBorder="1"/>
    <xf numFmtId="10" fontId="16" fillId="0" borderId="5" xfId="30" applyNumberFormat="1" applyBorder="1"/>
    <xf numFmtId="10" fontId="16" fillId="0" borderId="5" xfId="14" applyNumberFormat="1" applyBorder="1"/>
    <xf numFmtId="0" fontId="114" fillId="0" borderId="0" xfId="12" applyFont="1"/>
    <xf numFmtId="0" fontId="157" fillId="0" borderId="0" xfId="12" applyFont="1" applyAlignment="1" applyProtection="1">
      <alignment horizontal="center" vertical="center"/>
      <protection locked="0"/>
    </xf>
    <xf numFmtId="4" fontId="158" fillId="4" borderId="0" xfId="12" applyNumberFormat="1" applyFont="1" applyFill="1" applyAlignment="1">
      <alignment horizontal="center"/>
    </xf>
    <xf numFmtId="4" fontId="113" fillId="4" borderId="17" xfId="12" applyNumberFormat="1" applyFont="1" applyFill="1" applyBorder="1" applyAlignment="1">
      <alignment vertical="center"/>
    </xf>
    <xf numFmtId="4" fontId="144" fillId="0" borderId="10" xfId="12" applyNumberFormat="1" applyFont="1" applyBorder="1" applyAlignment="1">
      <alignment horizontal="center" vertical="center"/>
    </xf>
    <xf numFmtId="164" fontId="113" fillId="0" borderId="0" xfId="2" applyFont="1" applyFill="1" applyBorder="1" applyAlignment="1">
      <alignment horizontal="center" vertical="center"/>
    </xf>
    <xf numFmtId="4" fontId="113" fillId="0" borderId="0" xfId="12" applyNumberFormat="1" applyFont="1" applyAlignment="1">
      <alignment horizontal="center" vertical="center"/>
    </xf>
    <xf numFmtId="10" fontId="113" fillId="0" borderId="0" xfId="12" applyNumberFormat="1" applyFont="1" applyAlignment="1">
      <alignment horizontal="center" vertical="center"/>
    </xf>
    <xf numFmtId="0" fontId="114" fillId="0" borderId="0" xfId="12" applyFont="1" applyAlignment="1">
      <alignment horizontal="center" vertical="center" wrapText="1"/>
    </xf>
    <xf numFmtId="10" fontId="113" fillId="0" borderId="0" xfId="29" applyNumberFormat="1" applyFont="1" applyFill="1" applyBorder="1" applyAlignment="1">
      <alignment horizontal="center" vertical="center"/>
    </xf>
    <xf numFmtId="164" fontId="113" fillId="0" borderId="0" xfId="12" applyNumberFormat="1" applyFont="1" applyAlignment="1">
      <alignment horizontal="center" vertical="center"/>
    </xf>
    <xf numFmtId="9" fontId="113" fillId="0" borderId="0" xfId="29" applyFont="1" applyFill="1" applyBorder="1" applyAlignment="1">
      <alignment horizontal="center" vertical="center"/>
    </xf>
    <xf numFmtId="4" fontId="161" fillId="0" borderId="0" xfId="12" applyNumberFormat="1" applyFont="1" applyAlignment="1">
      <alignment horizontal="center" vertical="center"/>
    </xf>
    <xf numFmtId="0" fontId="16" fillId="0" borderId="46" xfId="14" applyBorder="1" applyAlignment="1">
      <alignment vertical="center"/>
    </xf>
    <xf numFmtId="179" fontId="42" fillId="0" borderId="0" xfId="12" applyNumberFormat="1" applyFont="1" applyAlignment="1">
      <alignment horizontal="right"/>
    </xf>
    <xf numFmtId="0" fontId="129" fillId="4" borderId="0" xfId="12" applyFont="1" applyFill="1" applyAlignment="1">
      <alignment vertical="center"/>
    </xf>
    <xf numFmtId="0" fontId="42" fillId="4" borderId="0" xfId="12" applyFont="1" applyFill="1" applyAlignment="1">
      <alignment vertical="center"/>
    </xf>
    <xf numFmtId="4" fontId="155" fillId="4" borderId="3" xfId="0" applyNumberFormat="1" applyFont="1" applyFill="1" applyBorder="1" applyAlignment="1">
      <alignment horizontal="center" vertical="center"/>
    </xf>
    <xf numFmtId="4" fontId="129" fillId="4" borderId="2" xfId="0" applyNumberFormat="1" applyFont="1" applyFill="1" applyBorder="1" applyAlignment="1">
      <alignment horizontal="center" vertical="center"/>
    </xf>
    <xf numFmtId="4" fontId="129" fillId="4" borderId="2" xfId="0" applyNumberFormat="1" applyFont="1" applyFill="1" applyBorder="1" applyAlignment="1">
      <alignment vertical="center"/>
    </xf>
    <xf numFmtId="4" fontId="129" fillId="4" borderId="0" xfId="12" applyNumberFormat="1" applyFont="1" applyFill="1" applyAlignment="1">
      <alignment vertical="center"/>
    </xf>
    <xf numFmtId="4" fontId="42" fillId="4" borderId="0" xfId="12" applyNumberFormat="1" applyFont="1" applyFill="1" applyAlignment="1">
      <alignment vertical="center"/>
    </xf>
    <xf numFmtId="4" fontId="137" fillId="4" borderId="0" xfId="12" applyNumberFormat="1" applyFont="1" applyFill="1" applyAlignment="1">
      <alignment vertical="center"/>
    </xf>
    <xf numFmtId="4" fontId="42" fillId="4" borderId="4" xfId="12" applyNumberFormat="1" applyFont="1" applyFill="1" applyBorder="1" applyAlignment="1">
      <alignment horizontal="center" vertical="center"/>
    </xf>
    <xf numFmtId="10" fontId="42" fillId="4" borderId="6" xfId="12" applyNumberFormat="1" applyFont="1" applyFill="1" applyBorder="1" applyAlignment="1">
      <alignment horizontal="center" vertical="center"/>
    </xf>
    <xf numFmtId="4" fontId="42" fillId="4" borderId="4" xfId="12" applyNumberFormat="1" applyFont="1" applyFill="1" applyBorder="1" applyAlignment="1">
      <alignment vertical="center"/>
    </xf>
    <xf numFmtId="10" fontId="42" fillId="4" borderId="6" xfId="12" applyNumberFormat="1" applyFont="1" applyFill="1" applyBorder="1" applyAlignment="1">
      <alignment vertical="center"/>
    </xf>
    <xf numFmtId="0" fontId="42" fillId="0" borderId="0" xfId="12" applyFont="1" applyAlignment="1">
      <alignment vertical="center"/>
    </xf>
    <xf numFmtId="4" fontId="14" fillId="0" borderId="2" xfId="12" applyNumberFormat="1" applyFont="1" applyBorder="1" applyAlignment="1">
      <alignment horizontal="center"/>
    </xf>
    <xf numFmtId="4" fontId="14" fillId="0" borderId="8" xfId="12" applyNumberFormat="1" applyFont="1" applyBorder="1" applyAlignment="1">
      <alignment horizontal="center"/>
    </xf>
    <xf numFmtId="0" fontId="15" fillId="0" borderId="13" xfId="12" applyFont="1" applyBorder="1" applyAlignment="1">
      <alignment horizontal="center"/>
    </xf>
    <xf numFmtId="0" fontId="42" fillId="4" borderId="0" xfId="12" applyFont="1" applyFill="1" applyAlignment="1">
      <alignment horizontal="center" vertical="center"/>
    </xf>
    <xf numFmtId="0" fontId="129" fillId="4" borderId="0" xfId="12" applyFont="1" applyFill="1" applyAlignment="1">
      <alignment horizontal="center" vertical="center"/>
    </xf>
    <xf numFmtId="4" fontId="42" fillId="4" borderId="0" xfId="12" applyNumberFormat="1" applyFont="1" applyFill="1" applyAlignment="1">
      <alignment horizontal="center" vertical="center"/>
    </xf>
    <xf numFmtId="4" fontId="42" fillId="4" borderId="0" xfId="12" applyNumberFormat="1" applyFont="1" applyFill="1" applyAlignment="1">
      <alignment horizontal="center"/>
    </xf>
    <xf numFmtId="0" fontId="42" fillId="23" borderId="0" xfId="12" applyFont="1" applyFill="1" applyAlignment="1">
      <alignment horizontal="center"/>
    </xf>
    <xf numFmtId="4" fontId="19" fillId="23" borderId="0" xfId="12" applyNumberFormat="1" applyFont="1" applyFill="1" applyAlignment="1">
      <alignment horizontal="center"/>
    </xf>
    <xf numFmtId="0" fontId="42" fillId="23" borderId="0" xfId="12" applyFont="1" applyFill="1"/>
    <xf numFmtId="176" fontId="13" fillId="4" borderId="5" xfId="12" applyNumberFormat="1" applyFont="1" applyFill="1" applyBorder="1" applyAlignment="1">
      <alignment horizontal="center"/>
    </xf>
    <xf numFmtId="15" fontId="16" fillId="4" borderId="5" xfId="14" applyNumberFormat="1" applyFill="1" applyBorder="1" applyAlignment="1">
      <alignment horizontal="center"/>
    </xf>
    <xf numFmtId="4" fontId="16" fillId="4" borderId="5" xfId="14" applyNumberFormat="1" applyFill="1" applyBorder="1"/>
    <xf numFmtId="10" fontId="16" fillId="4" borderId="5" xfId="30" applyNumberFormat="1" applyFill="1" applyBorder="1"/>
    <xf numFmtId="10" fontId="16" fillId="4" borderId="5" xfId="14" applyNumberFormat="1" applyFill="1" applyBorder="1"/>
    <xf numFmtId="10" fontId="17" fillId="4" borderId="5" xfId="34" applyNumberFormat="1" applyFont="1" applyFill="1" applyBorder="1" applyAlignment="1">
      <alignment horizontal="center"/>
    </xf>
    <xf numFmtId="10" fontId="16" fillId="4" borderId="0" xfId="34" applyNumberFormat="1" applyFont="1" applyFill="1" applyBorder="1" applyAlignment="1">
      <alignment horizontal="center"/>
    </xf>
    <xf numFmtId="0" fontId="16" fillId="4" borderId="0" xfId="14" applyFill="1"/>
    <xf numFmtId="4" fontId="16" fillId="4" borderId="0" xfId="14" applyNumberFormat="1" applyFill="1"/>
    <xf numFmtId="14" fontId="17" fillId="4" borderId="0" xfId="12" applyNumberFormat="1" applyFont="1" applyFill="1" applyAlignment="1">
      <alignment horizontal="left" vertical="center"/>
    </xf>
    <xf numFmtId="164" fontId="19" fillId="0" borderId="0" xfId="40" applyFont="1" applyFill="1" applyAlignment="1">
      <alignment horizontal="center"/>
    </xf>
    <xf numFmtId="0" fontId="159" fillId="0" borderId="0" xfId="12" applyFont="1" applyAlignment="1">
      <alignment horizontal="center" vertical="center"/>
    </xf>
    <xf numFmtId="0" fontId="113" fillId="0" borderId="0" xfId="42" applyFont="1" applyAlignment="1">
      <alignment horizontal="center" vertical="center"/>
    </xf>
    <xf numFmtId="0" fontId="113" fillId="9" borderId="0" xfId="42" applyFont="1" applyFill="1" applyAlignment="1">
      <alignment vertical="center"/>
    </xf>
    <xf numFmtId="0" fontId="113" fillId="0" borderId="0" xfId="42" applyFont="1" applyAlignment="1">
      <alignment vertical="center"/>
    </xf>
    <xf numFmtId="166" fontId="113" fillId="9" borderId="0" xfId="42" applyNumberFormat="1" applyFont="1" applyFill="1" applyAlignment="1">
      <alignment horizontal="center" vertical="center"/>
    </xf>
    <xf numFmtId="0" fontId="113" fillId="9" borderId="0" xfId="42" applyFont="1" applyFill="1"/>
    <xf numFmtId="0" fontId="113" fillId="0" borderId="0" xfId="42" applyFont="1"/>
    <xf numFmtId="0" fontId="114" fillId="0" borderId="0" xfId="42" applyFont="1" applyAlignment="1">
      <alignment vertical="center"/>
    </xf>
    <xf numFmtId="0" fontId="114" fillId="0" borderId="0" xfId="42" applyFont="1" applyAlignment="1">
      <alignment horizontal="center" vertical="center"/>
    </xf>
    <xf numFmtId="0" fontId="113" fillId="0" borderId="0" xfId="42" applyFont="1" applyAlignment="1">
      <alignment horizontal="left" vertical="center"/>
    </xf>
    <xf numFmtId="4" fontId="113" fillId="4" borderId="10" xfId="12" applyNumberFormat="1" applyFont="1" applyFill="1" applyBorder="1" applyAlignment="1">
      <alignment vertical="center"/>
    </xf>
    <xf numFmtId="171" fontId="145" fillId="0" borderId="0" xfId="58" applyNumberFormat="1" applyFont="1"/>
    <xf numFmtId="167" fontId="145" fillId="4" borderId="0" xfId="58" applyNumberFormat="1" applyFont="1" applyFill="1"/>
    <xf numFmtId="0" fontId="145" fillId="0" borderId="0" xfId="58" applyFont="1"/>
    <xf numFmtId="0" fontId="145" fillId="4" borderId="0" xfId="58" applyFont="1" applyFill="1"/>
    <xf numFmtId="0" fontId="143" fillId="4" borderId="0" xfId="12" applyFont="1" applyFill="1" applyAlignment="1">
      <alignment horizontal="center" vertical="center"/>
    </xf>
    <xf numFmtId="0" fontId="143" fillId="7" borderId="0" xfId="12" applyFont="1" applyFill="1" applyAlignment="1">
      <alignment horizontal="center" vertical="center"/>
    </xf>
    <xf numFmtId="4" fontId="129" fillId="23" borderId="1" xfId="12" applyNumberFormat="1" applyFont="1" applyFill="1" applyBorder="1" applyAlignment="1">
      <alignment horizontal="center" vertical="center"/>
    </xf>
    <xf numFmtId="4" fontId="42" fillId="23" borderId="4" xfId="0" applyNumberFormat="1" applyFont="1" applyFill="1" applyBorder="1" applyAlignment="1">
      <alignment horizontal="center" vertical="center"/>
    </xf>
    <xf numFmtId="4" fontId="42" fillId="23" borderId="36" xfId="12" applyNumberFormat="1" applyFont="1" applyFill="1" applyBorder="1" applyAlignment="1">
      <alignment horizontal="center" vertical="center"/>
    </xf>
    <xf numFmtId="166" fontId="19" fillId="4" borderId="0" xfId="12" applyNumberFormat="1" applyFont="1" applyFill="1"/>
    <xf numFmtId="10" fontId="144" fillId="0" borderId="9" xfId="29" applyNumberFormat="1" applyFont="1" applyFill="1" applyBorder="1" applyAlignment="1">
      <alignment horizontal="center" vertical="center"/>
    </xf>
    <xf numFmtId="10" fontId="144" fillId="0" borderId="17" xfId="29" applyNumberFormat="1" applyFont="1" applyFill="1" applyBorder="1" applyAlignment="1">
      <alignment horizontal="center" vertical="center"/>
    </xf>
    <xf numFmtId="0" fontId="156" fillId="0" borderId="9" xfId="12" applyFont="1" applyBorder="1" applyAlignment="1" applyProtection="1">
      <alignment horizontal="center" vertical="center"/>
      <protection locked="0"/>
    </xf>
    <xf numFmtId="0" fontId="156" fillId="0" borderId="17" xfId="12" applyFont="1" applyBorder="1" applyAlignment="1" applyProtection="1">
      <alignment horizontal="center" vertical="center"/>
      <protection locked="0"/>
    </xf>
    <xf numFmtId="4" fontId="144" fillId="4" borderId="9" xfId="12" applyNumberFormat="1" applyFont="1" applyFill="1" applyBorder="1" applyAlignment="1">
      <alignment horizontal="center" vertical="center"/>
    </xf>
    <xf numFmtId="4" fontId="144" fillId="4" borderId="10" xfId="12" applyNumberFormat="1" applyFont="1" applyFill="1" applyBorder="1" applyAlignment="1">
      <alignment horizontal="center" vertical="center"/>
    </xf>
    <xf numFmtId="4" fontId="144" fillId="4" borderId="17" xfId="12" applyNumberFormat="1" applyFont="1" applyFill="1" applyBorder="1" applyAlignment="1">
      <alignment horizontal="center" vertical="center"/>
    </xf>
    <xf numFmtId="10" fontId="144" fillId="4" borderId="9" xfId="29" applyNumberFormat="1" applyFont="1" applyFill="1" applyBorder="1" applyAlignment="1">
      <alignment horizontal="center" vertical="center"/>
    </xf>
    <xf numFmtId="10" fontId="144" fillId="4" borderId="17" xfId="29" applyNumberFormat="1" applyFont="1" applyFill="1" applyBorder="1" applyAlignment="1">
      <alignment horizontal="center" vertical="center"/>
    </xf>
    <xf numFmtId="10" fontId="144" fillId="4" borderId="58" xfId="29" applyNumberFormat="1" applyFont="1" applyFill="1" applyBorder="1" applyAlignment="1">
      <alignment horizontal="center" vertical="center"/>
    </xf>
    <xf numFmtId="4" fontId="144" fillId="0" borderId="9" xfId="12" applyNumberFormat="1" applyFont="1" applyBorder="1" applyAlignment="1">
      <alignment horizontal="center" vertical="center"/>
    </xf>
    <xf numFmtId="4" fontId="144" fillId="0" borderId="17" xfId="12" applyNumberFormat="1" applyFont="1" applyBorder="1" applyAlignment="1">
      <alignment horizontal="center" vertical="center"/>
    </xf>
    <xf numFmtId="164" fontId="144" fillId="4" borderId="9" xfId="12" applyNumberFormat="1" applyFont="1" applyFill="1" applyBorder="1" applyAlignment="1">
      <alignment horizontal="center" vertical="center"/>
    </xf>
    <xf numFmtId="164" fontId="144" fillId="4" borderId="10" xfId="12" applyNumberFormat="1" applyFont="1" applyFill="1" applyBorder="1" applyAlignment="1">
      <alignment horizontal="center" vertical="center"/>
    </xf>
    <xf numFmtId="164" fontId="144" fillId="4" borderId="17" xfId="12" applyNumberFormat="1" applyFont="1" applyFill="1" applyBorder="1" applyAlignment="1">
      <alignment horizontal="center" vertical="center"/>
    </xf>
    <xf numFmtId="0" fontId="42" fillId="4" borderId="0" xfId="12" applyFont="1" applyFill="1" applyAlignment="1">
      <alignment horizontal="left" vertical="center"/>
    </xf>
    <xf numFmtId="0" fontId="113" fillId="9" borderId="0" xfId="42" applyFont="1" applyFill="1" applyAlignment="1">
      <alignment horizontal="left" vertical="center"/>
    </xf>
    <xf numFmtId="0" fontId="125" fillId="9" borderId="0" xfId="42" applyFont="1" applyFill="1" applyAlignment="1">
      <alignment horizontal="left" vertical="center"/>
    </xf>
    <xf numFmtId="164" fontId="114" fillId="0" borderId="5" xfId="2" applyFont="1" applyBorder="1" applyAlignment="1">
      <alignment vertical="center"/>
    </xf>
    <xf numFmtId="0" fontId="114" fillId="10" borderId="5" xfId="12" applyFont="1" applyFill="1" applyBorder="1" applyAlignment="1">
      <alignment horizontal="center" vertical="center"/>
    </xf>
    <xf numFmtId="164" fontId="113" fillId="0" borderId="5" xfId="2" applyFont="1" applyBorder="1" applyAlignment="1">
      <alignment vertical="center"/>
    </xf>
    <xf numFmtId="4" fontId="113" fillId="4" borderId="5" xfId="12" applyNumberFormat="1" applyFont="1" applyFill="1" applyBorder="1" applyAlignment="1">
      <alignment vertical="center"/>
    </xf>
    <xf numFmtId="0" fontId="113" fillId="0" borderId="5" xfId="42" applyFont="1" applyBorder="1"/>
    <xf numFmtId="166" fontId="114" fillId="0" borderId="5" xfId="12" applyNumberFormat="1" applyFont="1" applyBorder="1" applyAlignment="1">
      <alignment vertical="center"/>
    </xf>
    <xf numFmtId="0" fontId="113" fillId="0" borderId="0" xfId="42" applyFont="1" applyAlignment="1">
      <alignment horizontal="center" vertical="center" wrapText="1"/>
    </xf>
    <xf numFmtId="0" fontId="113" fillId="0" borderId="0" xfId="42" applyFont="1" applyAlignment="1">
      <alignment horizontal="right"/>
    </xf>
    <xf numFmtId="0" fontId="114" fillId="0" borderId="0" xfId="42" applyFont="1" applyAlignment="1">
      <alignment vertical="center" wrapText="1"/>
    </xf>
    <xf numFmtId="0" fontId="113" fillId="0" borderId="0" xfId="42" applyFont="1" applyAlignment="1">
      <alignment vertical="center" wrapText="1"/>
    </xf>
    <xf numFmtId="0" fontId="156" fillId="0" borderId="4" xfId="42" applyFont="1" applyBorder="1" applyAlignment="1" applyProtection="1">
      <alignment vertical="center"/>
      <protection locked="0"/>
    </xf>
    <xf numFmtId="4" fontId="158" fillId="4" borderId="17" xfId="42" applyNumberFormat="1" applyFont="1" applyFill="1" applyBorder="1" applyAlignment="1">
      <alignment horizontal="center"/>
    </xf>
    <xf numFmtId="49" fontId="113" fillId="4" borderId="9" xfId="42" applyNumberFormat="1" applyFont="1" applyFill="1" applyBorder="1" applyAlignment="1">
      <alignment horizontal="center"/>
    </xf>
    <xf numFmtId="49" fontId="113" fillId="4" borderId="10" xfId="42" applyNumberFormat="1" applyFont="1" applyFill="1" applyBorder="1" applyAlignment="1">
      <alignment horizontal="center"/>
    </xf>
    <xf numFmtId="49" fontId="113" fillId="4" borderId="17" xfId="42" applyNumberFormat="1" applyFont="1" applyFill="1" applyBorder="1" applyAlignment="1">
      <alignment horizontal="center"/>
    </xf>
    <xf numFmtId="49" fontId="159" fillId="4" borderId="0" xfId="42" applyNumberFormat="1" applyFont="1" applyFill="1" applyAlignment="1">
      <alignment horizontal="left"/>
    </xf>
    <xf numFmtId="0" fontId="157" fillId="4" borderId="9" xfId="42" applyFont="1" applyFill="1" applyBorder="1" applyAlignment="1" applyProtection="1">
      <alignment horizontal="center" vertical="center"/>
      <protection locked="0"/>
    </xf>
    <xf numFmtId="0" fontId="157" fillId="4" borderId="10" xfId="42" applyFont="1" applyFill="1" applyBorder="1" applyAlignment="1" applyProtection="1">
      <alignment horizontal="center" vertical="center"/>
      <protection locked="0"/>
    </xf>
    <xf numFmtId="0" fontId="157" fillId="4" borderId="17" xfId="42" applyFont="1" applyFill="1" applyBorder="1" applyAlignment="1" applyProtection="1">
      <alignment horizontal="center" vertical="center"/>
      <protection locked="0"/>
    </xf>
    <xf numFmtId="0" fontId="156" fillId="0" borderId="0" xfId="42" applyFont="1" applyAlignment="1" applyProtection="1">
      <alignment vertical="center"/>
      <protection locked="0"/>
    </xf>
    <xf numFmtId="0" fontId="157" fillId="4" borderId="0" xfId="42" applyFont="1" applyFill="1" applyAlignment="1" applyProtection="1">
      <alignment vertical="center"/>
      <protection locked="0"/>
    </xf>
    <xf numFmtId="0" fontId="156" fillId="4" borderId="0" xfId="42" applyFont="1" applyFill="1" applyAlignment="1" applyProtection="1">
      <alignment horizontal="left" vertical="center"/>
      <protection locked="0"/>
    </xf>
    <xf numFmtId="49" fontId="113" fillId="4" borderId="0" xfId="42" applyNumberFormat="1" applyFont="1" applyFill="1" applyAlignment="1">
      <alignment horizontal="center"/>
    </xf>
    <xf numFmtId="49" fontId="159" fillId="4" borderId="0" xfId="42" applyNumberFormat="1" applyFont="1" applyFill="1" applyAlignment="1">
      <alignment horizontal="center"/>
    </xf>
    <xf numFmtId="0" fontId="113" fillId="9" borderId="0" xfId="42" applyFont="1" applyFill="1" applyAlignment="1">
      <alignment vertical="top"/>
    </xf>
    <xf numFmtId="0" fontId="113" fillId="4" borderId="0" xfId="42" applyFont="1" applyFill="1" applyAlignment="1">
      <alignment vertical="top" wrapText="1"/>
    </xf>
    <xf numFmtId="9" fontId="113" fillId="0" borderId="0" xfId="27" applyFont="1"/>
    <xf numFmtId="4" fontId="114" fillId="0" borderId="0" xfId="42" applyNumberFormat="1" applyFont="1"/>
    <xf numFmtId="0" fontId="114" fillId="0" borderId="0" xfId="42" applyFont="1"/>
    <xf numFmtId="0" fontId="113" fillId="4" borderId="0" xfId="42" applyFont="1" applyFill="1"/>
    <xf numFmtId="0" fontId="113" fillId="7" borderId="0" xfId="42" applyFont="1" applyFill="1"/>
    <xf numFmtId="164" fontId="113" fillId="0" borderId="0" xfId="42" applyNumberFormat="1" applyFont="1"/>
    <xf numFmtId="0" fontId="114" fillId="9" borderId="0" xfId="42" applyFont="1" applyFill="1"/>
    <xf numFmtId="0" fontId="113" fillId="0" borderId="5" xfId="42" applyFont="1" applyBorder="1" applyAlignment="1">
      <alignment horizontal="center" vertical="center"/>
    </xf>
    <xf numFmtId="0" fontId="127" fillId="0" borderId="0" xfId="42" applyFont="1" applyAlignment="1">
      <alignment horizontal="center" vertical="center"/>
    </xf>
    <xf numFmtId="4" fontId="113" fillId="0" borderId="0" xfId="42" applyNumberFormat="1" applyFont="1"/>
    <xf numFmtId="164" fontId="113" fillId="0" borderId="0" xfId="2" applyFont="1"/>
    <xf numFmtId="0" fontId="113" fillId="4" borderId="0" xfId="42" applyFont="1" applyFill="1" applyAlignment="1">
      <alignment horizontal="center" vertical="center"/>
    </xf>
    <xf numFmtId="0" fontId="113" fillId="4" borderId="0" xfId="42" applyFont="1" applyFill="1" applyAlignment="1">
      <alignment vertical="top"/>
    </xf>
    <xf numFmtId="0" fontId="113" fillId="0" borderId="0" xfId="42" applyFont="1" applyAlignment="1">
      <alignment horizontal="left" vertical="center" wrapText="1"/>
    </xf>
    <xf numFmtId="10" fontId="159" fillId="0" borderId="0" xfId="41" applyNumberFormat="1" applyFont="1" applyAlignment="1">
      <alignment horizontal="center" vertical="center"/>
    </xf>
    <xf numFmtId="164" fontId="16" fillId="0" borderId="0" xfId="2" applyFont="1" applyBorder="1" applyAlignment="1">
      <alignment horizontal="center"/>
    </xf>
    <xf numFmtId="0" fontId="72" fillId="4" borderId="1" xfId="0" applyFont="1" applyFill="1" applyBorder="1" applyAlignment="1" applyProtection="1">
      <alignment vertical="center"/>
      <protection locked="0"/>
    </xf>
    <xf numFmtId="0" fontId="72" fillId="4" borderId="2" xfId="0" applyFont="1" applyFill="1" applyBorder="1" applyAlignment="1" applyProtection="1">
      <alignment vertical="center"/>
      <protection locked="0"/>
    </xf>
    <xf numFmtId="0" fontId="72" fillId="4" borderId="3" xfId="0" applyFont="1" applyFill="1" applyBorder="1" applyAlignment="1" applyProtection="1">
      <alignment vertical="center"/>
      <protection locked="0"/>
    </xf>
    <xf numFmtId="49" fontId="129" fillId="4" borderId="6" xfId="0" applyNumberFormat="1" applyFont="1" applyFill="1" applyBorder="1" applyAlignment="1">
      <alignment vertical="center"/>
    </xf>
    <xf numFmtId="0" fontId="133" fillId="4" borderId="4" xfId="0" applyFont="1" applyFill="1" applyBorder="1" applyAlignment="1" applyProtection="1">
      <alignment horizontal="left" vertical="center"/>
      <protection locked="0"/>
    </xf>
    <xf numFmtId="0" fontId="90" fillId="4" borderId="5" xfId="0" applyFont="1" applyFill="1" applyBorder="1" applyAlignment="1" applyProtection="1">
      <alignment horizontal="left" vertical="center" wrapText="1"/>
      <protection locked="0"/>
    </xf>
    <xf numFmtId="0" fontId="17" fillId="4" borderId="4" xfId="0" applyFont="1" applyFill="1" applyBorder="1" applyAlignment="1" applyProtection="1">
      <alignment vertical="center"/>
      <protection locked="0"/>
    </xf>
    <xf numFmtId="0" fontId="17" fillId="4" borderId="5" xfId="0" applyFont="1" applyFill="1" applyBorder="1" applyAlignment="1" applyProtection="1">
      <alignment vertical="center"/>
      <protection locked="0"/>
    </xf>
    <xf numFmtId="0" fontId="17" fillId="4" borderId="6" xfId="0" applyFont="1" applyFill="1" applyBorder="1" applyAlignment="1" applyProtection="1">
      <alignment horizontal="center" vertical="center"/>
      <protection locked="0"/>
    </xf>
    <xf numFmtId="0" fontId="134" fillId="4" borderId="4" xfId="0" applyFont="1" applyFill="1" applyBorder="1" applyAlignment="1" applyProtection="1">
      <alignment vertical="center"/>
      <protection locked="0"/>
    </xf>
    <xf numFmtId="0" fontId="134" fillId="4" borderId="5" xfId="0" applyFont="1" applyFill="1" applyBorder="1" applyAlignment="1" applyProtection="1">
      <alignment vertical="center"/>
      <protection locked="0"/>
    </xf>
    <xf numFmtId="0" fontId="134" fillId="4" borderId="6" xfId="0" applyFont="1" applyFill="1" applyBorder="1" applyAlignment="1" applyProtection="1">
      <alignment horizontal="center" vertical="center"/>
      <protection locked="0"/>
    </xf>
    <xf numFmtId="0" fontId="15" fillId="4" borderId="4" xfId="0" applyFont="1" applyFill="1" applyBorder="1" applyAlignment="1" applyProtection="1">
      <alignment vertical="center"/>
      <protection locked="0"/>
    </xf>
    <xf numFmtId="0" fontId="15" fillId="4" borderId="5" xfId="0" applyFont="1" applyFill="1" applyBorder="1" applyAlignment="1" applyProtection="1">
      <alignment vertical="center"/>
      <protection locked="0"/>
    </xf>
    <xf numFmtId="0" fontId="15" fillId="4" borderId="6" xfId="0" applyFont="1" applyFill="1" applyBorder="1" applyAlignment="1" applyProtection="1">
      <alignment horizontal="center" vertical="center"/>
      <protection locked="0"/>
    </xf>
    <xf numFmtId="0" fontId="72" fillId="4" borderId="4" xfId="0" applyFont="1" applyFill="1" applyBorder="1" applyAlignment="1" applyProtection="1">
      <alignment vertical="center"/>
      <protection locked="0"/>
    </xf>
    <xf numFmtId="0" fontId="135" fillId="4" borderId="4" xfId="0" applyFont="1" applyFill="1" applyBorder="1" applyAlignment="1" applyProtection="1">
      <alignment vertical="center"/>
      <protection locked="0"/>
    </xf>
    <xf numFmtId="0" fontId="135" fillId="4" borderId="5" xfId="0" applyFont="1" applyFill="1" applyBorder="1" applyAlignment="1" applyProtection="1">
      <alignment vertical="center"/>
      <protection locked="0"/>
    </xf>
    <xf numFmtId="0" fontId="135" fillId="4" borderId="6" xfId="0" applyFont="1" applyFill="1" applyBorder="1" applyAlignment="1" applyProtection="1">
      <alignment horizontal="center" vertical="center"/>
      <protection locked="0"/>
    </xf>
    <xf numFmtId="0" fontId="72" fillId="4" borderId="4" xfId="0" quotePrefix="1" applyFont="1" applyFill="1" applyBorder="1" applyAlignment="1" applyProtection="1">
      <alignment vertical="center"/>
      <protection locked="0"/>
    </xf>
    <xf numFmtId="0" fontId="72" fillId="4" borderId="9" xfId="0" applyFont="1" applyFill="1" applyBorder="1" applyAlignment="1" applyProtection="1">
      <alignment vertical="center"/>
      <protection locked="0"/>
    </xf>
    <xf numFmtId="0" fontId="90" fillId="4" borderId="4" xfId="0" quotePrefix="1" applyFont="1" applyFill="1" applyBorder="1" applyAlignment="1" applyProtection="1">
      <alignment vertical="center"/>
      <protection locked="0"/>
    </xf>
    <xf numFmtId="0" fontId="90" fillId="4" borderId="9" xfId="0" applyFont="1" applyFill="1" applyBorder="1" applyAlignment="1" applyProtection="1">
      <alignment vertical="center"/>
      <protection locked="0"/>
    </xf>
    <xf numFmtId="0" fontId="90" fillId="4" borderId="7" xfId="0" quotePrefix="1" applyFont="1" applyFill="1" applyBorder="1" applyAlignment="1" applyProtection="1">
      <alignment vertical="center"/>
      <protection locked="0"/>
    </xf>
    <xf numFmtId="0" fontId="90" fillId="4" borderId="63" xfId="0" applyFont="1" applyFill="1" applyBorder="1" applyAlignment="1" applyProtection="1">
      <alignment vertical="center"/>
      <protection locked="0"/>
    </xf>
    <xf numFmtId="4" fontId="42" fillId="25" borderId="0" xfId="12" applyNumberFormat="1" applyFont="1" applyFill="1"/>
    <xf numFmtId="0" fontId="129" fillId="2" borderId="22" xfId="12" applyFont="1" applyFill="1" applyBorder="1" applyAlignment="1">
      <alignment horizontal="center" vertical="center"/>
    </xf>
    <xf numFmtId="0" fontId="129" fillId="2" borderId="53" xfId="12" applyFont="1" applyFill="1" applyBorder="1" applyAlignment="1">
      <alignment horizontal="center" vertical="center"/>
    </xf>
    <xf numFmtId="0" fontId="129" fillId="2" borderId="51" xfId="12" applyFont="1" applyFill="1" applyBorder="1" applyAlignment="1">
      <alignment horizontal="center" vertical="center"/>
    </xf>
    <xf numFmtId="4" fontId="43" fillId="4" borderId="13" xfId="12" applyNumberFormat="1" applyFont="1" applyFill="1" applyBorder="1" applyAlignment="1">
      <alignment horizontal="center" vertical="center"/>
    </xf>
    <xf numFmtId="0" fontId="36" fillId="0" borderId="0" xfId="12" applyFont="1"/>
    <xf numFmtId="0" fontId="36" fillId="0" borderId="0" xfId="12" applyFont="1" applyAlignment="1">
      <alignment horizontal="center"/>
    </xf>
    <xf numFmtId="0" fontId="137" fillId="0" borderId="0" xfId="12" applyFont="1" applyAlignment="1">
      <alignment horizontal="center"/>
    </xf>
    <xf numFmtId="4" fontId="167" fillId="0" borderId="0" xfId="12" applyNumberFormat="1" applyFont="1" applyAlignment="1">
      <alignment horizontal="left" vertical="center"/>
    </xf>
    <xf numFmtId="4" fontId="137" fillId="0" borderId="0" xfId="12" applyNumberFormat="1" applyFont="1" applyAlignment="1">
      <alignment horizontal="center" vertical="center"/>
    </xf>
    <xf numFmtId="0" fontId="167" fillId="0" borderId="0" xfId="12" applyFont="1" applyAlignment="1">
      <alignment horizontal="center" vertical="center"/>
    </xf>
    <xf numFmtId="0" fontId="137" fillId="0" borderId="0" xfId="12" applyFont="1" applyAlignment="1">
      <alignment vertical="top"/>
    </xf>
    <xf numFmtId="0" fontId="167" fillId="0" borderId="0" xfId="12" applyFont="1" applyAlignment="1">
      <alignment horizontal="center"/>
    </xf>
    <xf numFmtId="4" fontId="167" fillId="0" borderId="0" xfId="12" applyNumberFormat="1" applyFont="1" applyAlignment="1">
      <alignment horizontal="left" vertical="top"/>
    </xf>
    <xf numFmtId="4" fontId="137" fillId="0" borderId="0" xfId="12" applyNumberFormat="1" applyFont="1" applyAlignment="1">
      <alignment horizontal="center"/>
    </xf>
    <xf numFmtId="14" fontId="137" fillId="0" borderId="0" xfId="12" applyNumberFormat="1" applyFont="1" applyAlignment="1">
      <alignment horizontal="left"/>
    </xf>
    <xf numFmtId="0" fontId="137" fillId="0" borderId="0" xfId="12" applyFont="1"/>
    <xf numFmtId="14" fontId="137" fillId="0" borderId="0" xfId="12" applyNumberFormat="1" applyFont="1" applyAlignment="1">
      <alignment horizontal="center"/>
    </xf>
    <xf numFmtId="49" fontId="137" fillId="0" borderId="0" xfId="12" applyNumberFormat="1" applyFont="1"/>
    <xf numFmtId="1" fontId="137" fillId="0" borderId="0" xfId="12" applyNumberFormat="1" applyFont="1" applyAlignment="1">
      <alignment horizontal="left"/>
    </xf>
    <xf numFmtId="4" fontId="167" fillId="0" borderId="0" xfId="12" applyNumberFormat="1" applyFont="1" applyAlignment="1">
      <alignment horizontal="center"/>
    </xf>
    <xf numFmtId="0" fontId="167" fillId="2" borderId="21" xfId="12" applyFont="1" applyFill="1" applyBorder="1" applyAlignment="1">
      <alignment horizontal="center" vertical="center"/>
    </xf>
    <xf numFmtId="0" fontId="167" fillId="2" borderId="0" xfId="12" applyFont="1" applyFill="1" applyAlignment="1">
      <alignment horizontal="center" vertical="center"/>
    </xf>
    <xf numFmtId="0" fontId="137" fillId="2" borderId="22" xfId="12" applyFont="1" applyFill="1" applyBorder="1" applyAlignment="1">
      <alignment horizontal="center" vertical="center"/>
    </xf>
    <xf numFmtId="0" fontId="167" fillId="2" borderId="22" xfId="12" applyFont="1" applyFill="1" applyBorder="1" applyAlignment="1">
      <alignment horizontal="center" vertical="center"/>
    </xf>
    <xf numFmtId="0" fontId="167" fillId="2" borderId="0" xfId="12" applyFont="1" applyFill="1" applyAlignment="1">
      <alignment horizontal="distributed" vertical="center"/>
    </xf>
    <xf numFmtId="0" fontId="168" fillId="0" borderId="38" xfId="42" applyFont="1" applyBorder="1" applyAlignment="1" applyProtection="1">
      <alignment vertical="center"/>
      <protection locked="0"/>
    </xf>
    <xf numFmtId="4" fontId="168" fillId="0" borderId="49" xfId="42" applyNumberFormat="1" applyFont="1" applyBorder="1" applyAlignment="1">
      <alignment vertical="center" wrapText="1"/>
    </xf>
    <xf numFmtId="4" fontId="154" fillId="0" borderId="14" xfId="42" applyNumberFormat="1" applyFont="1" applyBorder="1" applyAlignment="1">
      <alignment horizontal="center" vertical="center"/>
    </xf>
    <xf numFmtId="4" fontId="154" fillId="0" borderId="15" xfId="42" applyNumberFormat="1" applyFont="1" applyBorder="1" applyAlignment="1">
      <alignment vertical="center"/>
    </xf>
    <xf numFmtId="4" fontId="154" fillId="0" borderId="15" xfId="42" applyNumberFormat="1" applyFont="1" applyBorder="1" applyAlignment="1">
      <alignment horizontal="center" vertical="center"/>
    </xf>
    <xf numFmtId="164" fontId="97" fillId="0" borderId="59" xfId="3" applyFont="1" applyFill="1" applyBorder="1" applyAlignment="1">
      <alignment horizontal="center" vertical="center"/>
    </xf>
    <xf numFmtId="0" fontId="137" fillId="0" borderId="14" xfId="12" applyFont="1" applyBorder="1" applyAlignment="1">
      <alignment horizontal="center" vertical="center"/>
    </xf>
    <xf numFmtId="4" fontId="167" fillId="0" borderId="59" xfId="42" applyNumberFormat="1" applyFont="1" applyBorder="1" applyAlignment="1">
      <alignment horizontal="center" vertical="center"/>
    </xf>
    <xf numFmtId="4" fontId="167" fillId="0" borderId="84" xfId="42" applyNumberFormat="1" applyFont="1" applyBorder="1" applyAlignment="1">
      <alignment horizontal="center" vertical="center"/>
    </xf>
    <xf numFmtId="0" fontId="167" fillId="0" borderId="14" xfId="12" applyFont="1" applyBorder="1" applyAlignment="1">
      <alignment horizontal="center" vertical="center"/>
    </xf>
    <xf numFmtId="4" fontId="167" fillId="0" borderId="15" xfId="42" applyNumberFormat="1" applyFont="1" applyBorder="1" applyAlignment="1">
      <alignment horizontal="center" vertical="center"/>
    </xf>
    <xf numFmtId="0" fontId="167" fillId="0" borderId="59" xfId="12" applyFont="1" applyBorder="1" applyAlignment="1">
      <alignment horizontal="center" vertical="center"/>
    </xf>
    <xf numFmtId="4" fontId="167" fillId="0" borderId="15" xfId="42" applyNumberFormat="1" applyFont="1" applyBorder="1" applyAlignment="1">
      <alignment vertical="center"/>
    </xf>
    <xf numFmtId="4" fontId="129" fillId="0" borderId="0" xfId="12" applyNumberFormat="1" applyFont="1" applyAlignment="1">
      <alignment vertical="center"/>
    </xf>
    <xf numFmtId="0" fontId="42" fillId="0" borderId="0" xfId="12" applyFont="1" applyAlignment="1">
      <alignment horizontal="center" vertical="center"/>
    </xf>
    <xf numFmtId="4" fontId="42" fillId="0" borderId="0" xfId="12" applyNumberFormat="1" applyFont="1" applyAlignment="1">
      <alignment vertical="center"/>
    </xf>
    <xf numFmtId="0" fontId="129" fillId="0" borderId="0" xfId="12" applyFont="1" applyAlignment="1">
      <alignment vertical="center"/>
    </xf>
    <xf numFmtId="0" fontId="154" fillId="0" borderId="31" xfId="42" applyFont="1" applyBorder="1" applyAlignment="1" applyProtection="1">
      <alignment vertical="center"/>
      <protection locked="0"/>
    </xf>
    <xf numFmtId="0" fontId="154" fillId="0" borderId="47" xfId="42" applyFont="1" applyBorder="1" applyAlignment="1" applyProtection="1">
      <alignment horizontal="center" vertical="center"/>
      <protection locked="0"/>
    </xf>
    <xf numFmtId="4" fontId="154" fillId="0" borderId="13" xfId="42" applyNumberFormat="1" applyFont="1" applyBorder="1" applyAlignment="1" applyProtection="1">
      <alignment horizontal="center"/>
      <protection locked="0"/>
    </xf>
    <xf numFmtId="4" fontId="154" fillId="0" borderId="13" xfId="42" applyNumberFormat="1" applyFont="1" applyBorder="1" applyAlignment="1" applyProtection="1">
      <alignment horizontal="center" vertical="center"/>
      <protection locked="0"/>
    </xf>
    <xf numFmtId="4" fontId="154" fillId="0" borderId="48" xfId="12" applyNumberFormat="1" applyFont="1" applyBorder="1" applyAlignment="1">
      <alignment horizontal="center" vertical="center"/>
    </xf>
    <xf numFmtId="49" fontId="154" fillId="0" borderId="47" xfId="42" applyNumberFormat="1" applyFont="1" applyBorder="1" applyAlignment="1">
      <alignment vertical="center"/>
    </xf>
    <xf numFmtId="49" fontId="154" fillId="0" borderId="48" xfId="42" applyNumberFormat="1" applyFont="1" applyBorder="1" applyAlignment="1">
      <alignment vertical="center"/>
    </xf>
    <xf numFmtId="49" fontId="168" fillId="0" borderId="46" xfId="42" applyNumberFormat="1" applyFont="1" applyBorder="1" applyAlignment="1">
      <alignment vertical="center"/>
    </xf>
    <xf numFmtId="49" fontId="168" fillId="0" borderId="47" xfId="42" applyNumberFormat="1" applyFont="1" applyBorder="1" applyAlignment="1">
      <alignment vertical="center"/>
    </xf>
    <xf numFmtId="49" fontId="168" fillId="0" borderId="13" xfId="42" applyNumberFormat="1" applyFont="1" applyBorder="1" applyAlignment="1">
      <alignment vertical="center"/>
    </xf>
    <xf numFmtId="49" fontId="168" fillId="0" borderId="48" xfId="42" applyNumberFormat="1" applyFont="1" applyBorder="1" applyAlignment="1">
      <alignment vertical="center"/>
    </xf>
    <xf numFmtId="4" fontId="137" fillId="0" borderId="0" xfId="12" applyNumberFormat="1" applyFont="1" applyAlignment="1">
      <alignment vertical="center"/>
    </xf>
    <xf numFmtId="0" fontId="154" fillId="0" borderId="31" xfId="42" applyFont="1" applyBorder="1" applyAlignment="1" applyProtection="1">
      <alignment vertical="center" wrapText="1"/>
      <protection locked="0"/>
    </xf>
    <xf numFmtId="0" fontId="154" fillId="0" borderId="4" xfId="42" applyFont="1" applyBorder="1" applyAlignment="1" applyProtection="1">
      <alignment horizontal="center" vertical="center"/>
      <protection locked="0"/>
    </xf>
    <xf numFmtId="4" fontId="154" fillId="0" borderId="5" xfId="42" applyNumberFormat="1" applyFont="1" applyBorder="1" applyAlignment="1" applyProtection="1">
      <alignment horizontal="center"/>
      <protection locked="0"/>
    </xf>
    <xf numFmtId="4" fontId="154" fillId="0" borderId="5" xfId="42" applyNumberFormat="1" applyFont="1" applyBorder="1" applyAlignment="1" applyProtection="1">
      <alignment horizontal="center" vertical="center"/>
      <protection locked="0"/>
    </xf>
    <xf numFmtId="4" fontId="154" fillId="4" borderId="6" xfId="12" applyNumberFormat="1" applyFont="1" applyFill="1" applyBorder="1" applyAlignment="1">
      <alignment horizontal="center" vertical="center"/>
    </xf>
    <xf numFmtId="4" fontId="154" fillId="0" borderId="4" xfId="12" applyNumberFormat="1" applyFont="1" applyBorder="1" applyAlignment="1">
      <alignment horizontal="center" vertical="center"/>
    </xf>
    <xf numFmtId="4" fontId="154" fillId="4" borderId="6" xfId="12" applyNumberFormat="1" applyFont="1" applyFill="1" applyBorder="1" applyAlignment="1" applyProtection="1">
      <alignment horizontal="center" vertical="center"/>
      <protection locked="0"/>
    </xf>
    <xf numFmtId="4" fontId="154" fillId="0" borderId="9" xfId="12" applyNumberFormat="1" applyFont="1" applyBorder="1" applyAlignment="1" applyProtection="1">
      <alignment horizontal="center" vertical="center"/>
      <protection locked="0"/>
    </xf>
    <xf numFmtId="4" fontId="154" fillId="4" borderId="4" xfId="12" applyNumberFormat="1" applyFont="1" applyFill="1" applyBorder="1" applyAlignment="1">
      <alignment horizontal="center" vertical="center"/>
    </xf>
    <xf numFmtId="4" fontId="154" fillId="4" borderId="5" xfId="12" applyNumberFormat="1" applyFont="1" applyFill="1" applyBorder="1" applyAlignment="1" applyProtection="1">
      <alignment horizontal="center" vertical="center"/>
      <protection locked="0"/>
    </xf>
    <xf numFmtId="10" fontId="154" fillId="4" borderId="6" xfId="12" applyNumberFormat="1" applyFont="1" applyFill="1" applyBorder="1" applyAlignment="1">
      <alignment horizontal="center" vertical="center"/>
    </xf>
    <xf numFmtId="4" fontId="154" fillId="4" borderId="4" xfId="12" applyNumberFormat="1" applyFont="1" applyFill="1" applyBorder="1" applyAlignment="1">
      <alignment vertical="center"/>
    </xf>
    <xf numFmtId="4" fontId="154" fillId="4" borderId="5" xfId="12" applyNumberFormat="1" applyFont="1" applyFill="1" applyBorder="1" applyAlignment="1" applyProtection="1">
      <alignment vertical="center"/>
      <protection locked="0"/>
    </xf>
    <xf numFmtId="10" fontId="154" fillId="4" borderId="6" xfId="12" applyNumberFormat="1" applyFont="1" applyFill="1" applyBorder="1" applyAlignment="1">
      <alignment vertical="center"/>
    </xf>
    <xf numFmtId="0" fontId="154" fillId="0" borderId="39" xfId="42" applyFont="1" applyBorder="1" applyAlignment="1" applyProtection="1">
      <alignment vertical="center"/>
      <protection locked="0"/>
    </xf>
    <xf numFmtId="0" fontId="154" fillId="0" borderId="39" xfId="42" applyFont="1" applyBorder="1" applyAlignment="1" applyProtection="1">
      <alignment vertical="center" wrapText="1"/>
      <protection locked="0"/>
    </xf>
    <xf numFmtId="0" fontId="154" fillId="0" borderId="7" xfId="42" applyFont="1" applyBorder="1" applyAlignment="1" applyProtection="1">
      <alignment horizontal="center" vertical="center"/>
      <protection locked="0"/>
    </xf>
    <xf numFmtId="4" fontId="154" fillId="0" borderId="8" xfId="42" applyNumberFormat="1" applyFont="1" applyBorder="1" applyAlignment="1" applyProtection="1">
      <alignment horizontal="center"/>
      <protection locked="0"/>
    </xf>
    <xf numFmtId="4" fontId="154" fillId="0" borderId="8" xfId="42" applyNumberFormat="1" applyFont="1" applyBorder="1" applyAlignment="1" applyProtection="1">
      <alignment horizontal="center" vertical="center"/>
      <protection locked="0"/>
    </xf>
    <xf numFmtId="4" fontId="154" fillId="4" borderId="7" xfId="12" applyNumberFormat="1" applyFont="1" applyFill="1" applyBorder="1" applyAlignment="1">
      <alignment horizontal="center" vertical="center"/>
    </xf>
    <xf numFmtId="4" fontId="154" fillId="4" borderId="8" xfId="12" applyNumberFormat="1" applyFont="1" applyFill="1" applyBorder="1" applyAlignment="1" applyProtection="1">
      <alignment horizontal="center" vertical="center"/>
      <protection locked="0"/>
    </xf>
    <xf numFmtId="10" fontId="154" fillId="4" borderId="35" xfId="12" applyNumberFormat="1" applyFont="1" applyFill="1" applyBorder="1" applyAlignment="1">
      <alignment horizontal="center" vertical="center"/>
    </xf>
    <xf numFmtId="4" fontId="154" fillId="4" borderId="7" xfId="12" applyNumberFormat="1" applyFont="1" applyFill="1" applyBorder="1" applyAlignment="1">
      <alignment vertical="center"/>
    </xf>
    <xf numFmtId="4" fontId="154" fillId="4" borderId="8" xfId="12" applyNumberFormat="1" applyFont="1" applyFill="1" applyBorder="1" applyAlignment="1" applyProtection="1">
      <alignment vertical="center"/>
      <protection locked="0"/>
    </xf>
    <xf numFmtId="10" fontId="154" fillId="4" borderId="35" xfId="12" applyNumberFormat="1" applyFont="1" applyFill="1" applyBorder="1" applyAlignment="1">
      <alignment vertical="center"/>
    </xf>
    <xf numFmtId="0" fontId="21" fillId="0" borderId="4" xfId="12" applyFont="1" applyBorder="1" applyAlignment="1" applyProtection="1">
      <alignment vertical="center"/>
      <protection locked="0"/>
    </xf>
    <xf numFmtId="0" fontId="67" fillId="0" borderId="5" xfId="12" applyFont="1" applyBorder="1" applyAlignment="1">
      <alignment horizontal="left"/>
    </xf>
    <xf numFmtId="176" fontId="13" fillId="0" borderId="5" xfId="12" applyNumberFormat="1" applyFont="1" applyBorder="1" applyAlignment="1">
      <alignment horizontal="center"/>
    </xf>
    <xf numFmtId="0" fontId="67" fillId="0" borderId="5" xfId="12" applyFont="1" applyBorder="1" applyAlignment="1">
      <alignment horizontal="center"/>
    </xf>
    <xf numFmtId="4" fontId="13" fillId="0" borderId="5" xfId="12" applyNumberFormat="1" applyFont="1" applyBorder="1"/>
    <xf numFmtId="10" fontId="13" fillId="0" borderId="5" xfId="12" applyNumberFormat="1" applyFont="1" applyBorder="1" applyAlignment="1">
      <alignment horizontal="center"/>
    </xf>
    <xf numFmtId="10" fontId="41" fillId="4" borderId="9" xfId="12" applyNumberFormat="1" applyFont="1" applyFill="1" applyBorder="1" applyAlignment="1">
      <alignment horizontal="center" vertical="center"/>
    </xf>
    <xf numFmtId="4" fontId="41" fillId="4" borderId="5" xfId="12" applyNumberFormat="1" applyFont="1" applyFill="1" applyBorder="1" applyAlignment="1">
      <alignment vertical="center"/>
    </xf>
    <xf numFmtId="10" fontId="13" fillId="0" borderId="6" xfId="27" applyNumberFormat="1" applyFont="1" applyFill="1" applyBorder="1"/>
    <xf numFmtId="2" fontId="13" fillId="0" borderId="5" xfId="12" applyNumberFormat="1" applyFont="1" applyBorder="1" applyAlignment="1">
      <alignment horizontal="center"/>
    </xf>
    <xf numFmtId="0" fontId="14" fillId="4" borderId="8" xfId="12" applyFont="1" applyFill="1" applyBorder="1" applyAlignment="1">
      <alignment horizontal="left"/>
    </xf>
    <xf numFmtId="10" fontId="14" fillId="0" borderId="8" xfId="12" applyNumberFormat="1" applyFont="1" applyBorder="1" applyAlignment="1">
      <alignment horizontal="center"/>
    </xf>
    <xf numFmtId="10" fontId="41" fillId="4" borderId="63" xfId="12" applyNumberFormat="1" applyFont="1" applyFill="1" applyBorder="1" applyAlignment="1">
      <alignment horizontal="center" vertical="center"/>
    </xf>
    <xf numFmtId="10" fontId="14" fillId="4" borderId="67" xfId="12" applyNumberFormat="1" applyFont="1" applyFill="1" applyBorder="1" applyAlignment="1">
      <alignment horizontal="center"/>
    </xf>
    <xf numFmtId="10" fontId="129" fillId="4" borderId="52" xfId="27" applyNumberFormat="1" applyFont="1" applyFill="1" applyBorder="1"/>
    <xf numFmtId="0" fontId="15" fillId="23" borderId="13" xfId="12" applyFont="1" applyFill="1" applyBorder="1" applyAlignment="1">
      <alignment horizontal="center"/>
    </xf>
    <xf numFmtId="10" fontId="41" fillId="4" borderId="46" xfId="12" applyNumberFormat="1" applyFont="1" applyFill="1" applyBorder="1" applyAlignment="1">
      <alignment horizontal="center" vertical="center"/>
    </xf>
    <xf numFmtId="4" fontId="41" fillId="4" borderId="47" xfId="12" applyNumberFormat="1" applyFont="1" applyFill="1" applyBorder="1" applyAlignment="1">
      <alignment vertical="center"/>
    </xf>
    <xf numFmtId="0" fontId="18" fillId="4" borderId="5" xfId="12" applyFont="1" applyFill="1" applyBorder="1" applyAlignment="1" applyProtection="1">
      <alignment vertical="center"/>
      <protection locked="0"/>
    </xf>
    <xf numFmtId="0" fontId="15" fillId="4" borderId="5" xfId="12" applyFont="1" applyFill="1" applyBorder="1" applyAlignment="1">
      <alignment horizontal="right"/>
    </xf>
    <xf numFmtId="0" fontId="15" fillId="4" borderId="5" xfId="12" applyFont="1" applyFill="1" applyBorder="1"/>
    <xf numFmtId="0" fontId="15" fillId="4" borderId="5" xfId="12" applyFont="1" applyFill="1" applyBorder="1" applyAlignment="1">
      <alignment horizontal="center"/>
    </xf>
    <xf numFmtId="0" fontId="15" fillId="23" borderId="5" xfId="12" applyFont="1" applyFill="1" applyBorder="1" applyAlignment="1">
      <alignment horizontal="center"/>
    </xf>
    <xf numFmtId="4" fontId="41" fillId="4" borderId="4" xfId="12" applyNumberFormat="1" applyFont="1" applyFill="1" applyBorder="1" applyAlignment="1">
      <alignment vertical="center"/>
    </xf>
    <xf numFmtId="0" fontId="21" fillId="4" borderId="5" xfId="12" applyFont="1" applyFill="1" applyBorder="1" applyAlignment="1" applyProtection="1">
      <alignment vertical="center"/>
      <protection locked="0"/>
    </xf>
    <xf numFmtId="4" fontId="15" fillId="4" borderId="5" xfId="12" applyNumberFormat="1" applyFont="1" applyFill="1" applyBorder="1" applyAlignment="1">
      <alignment horizontal="right"/>
    </xf>
    <xf numFmtId="10" fontId="16" fillId="4" borderId="5" xfId="12" applyNumberFormat="1" applyFill="1" applyBorder="1" applyAlignment="1">
      <alignment horizontal="center"/>
    </xf>
    <xf numFmtId="0" fontId="23" fillId="23" borderId="5" xfId="12" applyFont="1" applyFill="1" applyBorder="1" applyAlignment="1">
      <alignment horizontal="center"/>
    </xf>
    <xf numFmtId="0" fontId="23" fillId="4" borderId="5" xfId="12" applyFont="1" applyFill="1" applyBorder="1" applyAlignment="1">
      <alignment horizontal="center"/>
    </xf>
    <xf numFmtId="10" fontId="23" fillId="4" borderId="5" xfId="12" applyNumberFormat="1" applyFont="1" applyFill="1" applyBorder="1" applyAlignment="1">
      <alignment horizontal="center"/>
    </xf>
    <xf numFmtId="0" fontId="23" fillId="4" borderId="5" xfId="12" applyFont="1" applyFill="1" applyBorder="1" applyAlignment="1">
      <alignment horizontal="right"/>
    </xf>
    <xf numFmtId="10" fontId="23" fillId="4" borderId="5" xfId="12" applyNumberFormat="1" applyFont="1" applyFill="1" applyBorder="1" applyAlignment="1">
      <alignment horizontal="right"/>
    </xf>
    <xf numFmtId="10" fontId="19" fillId="4" borderId="0" xfId="12" applyNumberFormat="1" applyFont="1" applyFill="1"/>
    <xf numFmtId="0" fontId="16" fillId="4" borderId="5" xfId="12" applyFill="1" applyBorder="1" applyAlignment="1">
      <alignment horizontal="center" vertical="center"/>
    </xf>
    <xf numFmtId="0" fontId="23" fillId="4" borderId="5" xfId="12" applyFont="1" applyFill="1" applyBorder="1"/>
    <xf numFmtId="0" fontId="0" fillId="4" borderId="5" xfId="12" applyFont="1" applyFill="1" applyBorder="1" applyAlignment="1">
      <alignment horizontal="right"/>
    </xf>
    <xf numFmtId="4" fontId="41" fillId="4" borderId="28" xfId="12" applyNumberFormat="1" applyFont="1" applyFill="1" applyBorder="1" applyAlignment="1">
      <alignment vertical="center"/>
    </xf>
    <xf numFmtId="164" fontId="129" fillId="0" borderId="0" xfId="3" applyFont="1" applyAlignment="1">
      <alignment horizontal="right"/>
    </xf>
    <xf numFmtId="10" fontId="19" fillId="0" borderId="0" xfId="27" applyNumberFormat="1" applyFont="1" applyFill="1" applyAlignment="1">
      <alignment horizontal="center"/>
    </xf>
    <xf numFmtId="4" fontId="41" fillId="4" borderId="0" xfId="12" applyNumberFormat="1" applyFont="1" applyFill="1" applyAlignment="1">
      <alignment vertical="center"/>
    </xf>
    <xf numFmtId="10" fontId="19" fillId="0" borderId="0" xfId="27" applyNumberFormat="1" applyFont="1" applyAlignment="1">
      <alignment horizontal="center"/>
    </xf>
    <xf numFmtId="10" fontId="129" fillId="0" borderId="0" xfId="27" applyNumberFormat="1" applyFont="1" applyAlignment="1">
      <alignment horizontal="right"/>
    </xf>
    <xf numFmtId="10" fontId="19" fillId="23" borderId="0" xfId="27" applyNumberFormat="1" applyFont="1" applyFill="1" applyAlignment="1">
      <alignment horizontal="center"/>
    </xf>
    <xf numFmtId="10" fontId="14" fillId="4" borderId="0" xfId="27" applyNumberFormat="1" applyFont="1" applyFill="1" applyBorder="1"/>
    <xf numFmtId="0" fontId="42" fillId="0" borderId="0" xfId="42" applyFont="1" applyAlignment="1">
      <alignment vertical="top"/>
    </xf>
    <xf numFmtId="4" fontId="130" fillId="0" borderId="0" xfId="42" applyNumberFormat="1" applyFont="1" applyAlignment="1">
      <alignment vertical="top"/>
    </xf>
    <xf numFmtId="2" fontId="129" fillId="0" borderId="0" xfId="42" applyNumberFormat="1" applyFont="1" applyAlignment="1">
      <alignment vertical="top"/>
    </xf>
    <xf numFmtId="0" fontId="168" fillId="0" borderId="31" xfId="42" applyFont="1" applyBorder="1" applyAlignment="1" applyProtection="1">
      <alignment vertical="center" wrapText="1"/>
      <protection locked="0"/>
    </xf>
    <xf numFmtId="4" fontId="41" fillId="0" borderId="5" xfId="42" applyNumberFormat="1" applyFont="1" applyBorder="1" applyAlignment="1" applyProtection="1">
      <alignment horizontal="center" vertical="center"/>
      <protection locked="0"/>
    </xf>
    <xf numFmtId="0" fontId="167" fillId="2" borderId="53" xfId="12" applyFont="1" applyFill="1" applyBorder="1" applyAlignment="1">
      <alignment horizontal="center" vertical="center"/>
    </xf>
    <xf numFmtId="0" fontId="167" fillId="2" borderId="51" xfId="12" applyFont="1" applyFill="1" applyBorder="1" applyAlignment="1">
      <alignment horizontal="center" vertical="center"/>
    </xf>
    <xf numFmtId="4" fontId="154" fillId="0" borderId="84" xfId="42" applyNumberFormat="1" applyFont="1" applyBorder="1" applyAlignment="1">
      <alignment horizontal="center" vertical="center"/>
    </xf>
    <xf numFmtId="164" fontId="97" fillId="0" borderId="19" xfId="3" applyFont="1" applyFill="1" applyBorder="1" applyAlignment="1">
      <alignment horizontal="center" vertical="center"/>
    </xf>
    <xf numFmtId="0" fontId="168" fillId="0" borderId="31" xfId="42" applyFont="1" applyBorder="1" applyAlignment="1" applyProtection="1">
      <alignment vertical="center"/>
      <protection locked="0"/>
    </xf>
    <xf numFmtId="4" fontId="154" fillId="0" borderId="46" xfId="42" applyNumberFormat="1" applyFont="1" applyBorder="1" applyAlignment="1" applyProtection="1">
      <alignment horizontal="center" vertical="center"/>
      <protection locked="0"/>
    </xf>
    <xf numFmtId="4" fontId="154" fillId="0" borderId="54" xfId="12" applyNumberFormat="1" applyFont="1" applyBorder="1" applyAlignment="1">
      <alignment horizontal="center" vertical="center"/>
    </xf>
    <xf numFmtId="4" fontId="154" fillId="0" borderId="9" xfId="42" applyNumberFormat="1" applyFont="1" applyBorder="1" applyAlignment="1" applyProtection="1">
      <alignment horizontal="center" vertical="center"/>
      <protection locked="0"/>
    </xf>
    <xf numFmtId="4" fontId="154" fillId="4" borderId="10" xfId="12" applyNumberFormat="1" applyFont="1" applyFill="1" applyBorder="1" applyAlignment="1">
      <alignment horizontal="center" vertical="center"/>
    </xf>
    <xf numFmtId="4" fontId="154" fillId="0" borderId="63" xfId="42" applyNumberFormat="1" applyFont="1" applyBorder="1" applyAlignment="1" applyProtection="1">
      <alignment horizontal="center" vertical="center"/>
      <protection locked="0"/>
    </xf>
    <xf numFmtId="4" fontId="154" fillId="0" borderId="44" xfId="12" applyNumberFormat="1" applyFont="1" applyBorder="1" applyAlignment="1">
      <alignment horizontal="center" vertical="center"/>
    </xf>
    <xf numFmtId="4" fontId="13" fillId="0" borderId="9" xfId="12" applyNumberFormat="1" applyFont="1" applyBorder="1" applyAlignment="1">
      <alignment horizontal="center"/>
    </xf>
    <xf numFmtId="4" fontId="154" fillId="0" borderId="5" xfId="12" applyNumberFormat="1" applyFont="1" applyBorder="1" applyAlignment="1">
      <alignment horizontal="center" vertical="center"/>
    </xf>
    <xf numFmtId="4" fontId="13" fillId="4" borderId="9" xfId="12" applyNumberFormat="1" applyFont="1" applyFill="1" applyBorder="1" applyAlignment="1">
      <alignment horizontal="center"/>
    </xf>
    <xf numFmtId="4" fontId="23" fillId="7" borderId="5" xfId="12" applyNumberFormat="1" applyFont="1" applyFill="1" applyBorder="1"/>
    <xf numFmtId="0" fontId="51" fillId="4" borderId="0" xfId="12" applyFont="1" applyFill="1"/>
    <xf numFmtId="0" fontId="51" fillId="4" borderId="0" xfId="12" applyFont="1" applyFill="1" applyAlignment="1">
      <alignment horizontal="center"/>
    </xf>
    <xf numFmtId="4" fontId="129" fillId="4" borderId="0" xfId="12" applyNumberFormat="1" applyFont="1" applyFill="1" applyAlignment="1">
      <alignment horizontal="left" vertical="center"/>
    </xf>
    <xf numFmtId="0" fontId="42" fillId="4" borderId="0" xfId="12" applyFont="1" applyFill="1" applyAlignment="1">
      <alignment vertical="top"/>
    </xf>
    <xf numFmtId="4" fontId="129" fillId="4" borderId="0" xfId="12" applyNumberFormat="1" applyFont="1" applyFill="1" applyAlignment="1">
      <alignment horizontal="left" vertical="top"/>
    </xf>
    <xf numFmtId="14" fontId="42" fillId="4" borderId="0" xfId="12" applyNumberFormat="1" applyFont="1" applyFill="1" applyAlignment="1">
      <alignment horizontal="left"/>
    </xf>
    <xf numFmtId="14" fontId="42" fillId="4" borderId="0" xfId="12" applyNumberFormat="1" applyFont="1" applyFill="1" applyAlignment="1">
      <alignment horizontal="center"/>
    </xf>
    <xf numFmtId="49" fontId="42" fillId="4" borderId="0" xfId="12" applyNumberFormat="1" applyFont="1" applyFill="1"/>
    <xf numFmtId="1" fontId="42" fillId="4" borderId="0" xfId="12" applyNumberFormat="1" applyFont="1" applyFill="1" applyAlignment="1">
      <alignment horizontal="left"/>
    </xf>
    <xf numFmtId="4" fontId="129" fillId="4" borderId="0" xfId="12" applyNumberFormat="1" applyFont="1" applyFill="1" applyAlignment="1">
      <alignment horizontal="center"/>
    </xf>
    <xf numFmtId="0" fontId="42" fillId="4" borderId="0" xfId="12" applyFont="1" applyFill="1" applyAlignment="1">
      <alignment horizontal="left" vertical="top"/>
    </xf>
    <xf numFmtId="0" fontId="129" fillId="2" borderId="0" xfId="12" applyFont="1" applyFill="1" applyAlignment="1">
      <alignment horizontal="distributed" vertical="center"/>
    </xf>
    <xf numFmtId="0" fontId="73" fillId="0" borderId="60" xfId="42" applyFont="1" applyBorder="1" applyAlignment="1" applyProtection="1">
      <alignment vertical="center"/>
      <protection locked="0"/>
    </xf>
    <xf numFmtId="4" fontId="73" fillId="0" borderId="60" xfId="42" applyNumberFormat="1" applyFont="1" applyBorder="1" applyAlignment="1">
      <alignment vertical="center" wrapText="1"/>
    </xf>
    <xf numFmtId="4" fontId="136" fillId="0" borderId="1" xfId="42" applyNumberFormat="1" applyFont="1" applyBorder="1" applyAlignment="1">
      <alignment horizontal="center" vertical="center"/>
    </xf>
    <xf numFmtId="4" fontId="136" fillId="0" borderId="2" xfId="42" applyNumberFormat="1" applyFont="1" applyBorder="1" applyAlignment="1">
      <alignment vertical="center"/>
    </xf>
    <xf numFmtId="4" fontId="136" fillId="0" borderId="57" xfId="42" applyNumberFormat="1" applyFont="1" applyBorder="1" applyAlignment="1">
      <alignment vertical="center"/>
    </xf>
    <xf numFmtId="164" fontId="72" fillId="0" borderId="3" xfId="2" applyFont="1" applyFill="1" applyBorder="1" applyAlignment="1">
      <alignment horizontal="center" vertical="center"/>
    </xf>
    <xf numFmtId="164" fontId="72" fillId="0" borderId="40" xfId="2" applyFont="1" applyFill="1" applyBorder="1" applyAlignment="1">
      <alignment horizontal="center" vertical="center"/>
    </xf>
    <xf numFmtId="0" fontId="42" fillId="0" borderId="1" xfId="12" applyFont="1" applyBorder="1" applyAlignment="1">
      <alignment horizontal="center" vertical="center"/>
    </xf>
    <xf numFmtId="4" fontId="155" fillId="0" borderId="3" xfId="42" applyNumberFormat="1" applyFont="1" applyBorder="1" applyAlignment="1">
      <alignment horizontal="center" vertical="center"/>
    </xf>
    <xf numFmtId="4" fontId="129" fillId="26" borderId="61" xfId="12" applyNumberFormat="1" applyFont="1" applyFill="1" applyBorder="1" applyAlignment="1">
      <alignment horizontal="center" vertical="center"/>
    </xf>
    <xf numFmtId="4" fontId="155" fillId="0" borderId="57" xfId="42" applyNumberFormat="1" applyFont="1" applyBorder="1" applyAlignment="1">
      <alignment horizontal="center" vertical="center"/>
    </xf>
    <xf numFmtId="0" fontId="129" fillId="0" borderId="1" xfId="12" applyFont="1" applyBorder="1" applyAlignment="1">
      <alignment horizontal="center" vertical="center"/>
    </xf>
    <xf numFmtId="4" fontId="129" fillId="0" borderId="2" xfId="42" applyNumberFormat="1" applyFont="1" applyBorder="1" applyAlignment="1">
      <alignment horizontal="center" vertical="center"/>
    </xf>
    <xf numFmtId="0" fontId="129" fillId="0" borderId="57" xfId="12" applyFont="1" applyBorder="1" applyAlignment="1">
      <alignment horizontal="center" vertical="center"/>
    </xf>
    <xf numFmtId="4" fontId="129" fillId="0" borderId="2" xfId="42" applyNumberFormat="1" applyFont="1" applyBorder="1" applyAlignment="1">
      <alignment vertical="center"/>
    </xf>
    <xf numFmtId="0" fontId="129" fillId="0" borderId="3" xfId="12" applyFont="1" applyBorder="1" applyAlignment="1">
      <alignment horizontal="center" vertical="center"/>
    </xf>
    <xf numFmtId="0" fontId="169" fillId="0" borderId="36" xfId="42" applyFont="1" applyBorder="1" applyAlignment="1" applyProtection="1">
      <alignment vertical="center"/>
      <protection locked="0"/>
    </xf>
    <xf numFmtId="4" fontId="42" fillId="0" borderId="4" xfId="12" applyNumberFormat="1" applyFont="1" applyBorder="1" applyAlignment="1">
      <alignment horizontal="center" vertical="center"/>
    </xf>
    <xf numFmtId="4" fontId="42" fillId="0" borderId="5" xfId="12" applyNumberFormat="1" applyFont="1" applyBorder="1" applyAlignment="1">
      <alignment horizontal="center" vertical="center"/>
    </xf>
    <xf numFmtId="4" fontId="42" fillId="0" borderId="9" xfId="12" applyNumberFormat="1" applyFont="1" applyBorder="1" applyAlignment="1">
      <alignment horizontal="center" vertical="center"/>
    </xf>
    <xf numFmtId="4" fontId="42" fillId="0" borderId="6" xfId="12" applyNumberFormat="1" applyFont="1" applyBorder="1" applyAlignment="1">
      <alignment horizontal="center" vertical="center"/>
    </xf>
    <xf numFmtId="4" fontId="42" fillId="0" borderId="10" xfId="12" applyNumberFormat="1" applyFont="1" applyBorder="1" applyAlignment="1">
      <alignment horizontal="center" vertical="center"/>
    </xf>
    <xf numFmtId="49" fontId="42" fillId="0" borderId="4" xfId="42" applyNumberFormat="1" applyFont="1" applyBorder="1" applyAlignment="1">
      <alignment vertical="center"/>
    </xf>
    <xf numFmtId="49" fontId="42" fillId="0" borderId="6" xfId="42" applyNumberFormat="1" applyFont="1" applyBorder="1" applyAlignment="1">
      <alignment vertical="center"/>
    </xf>
    <xf numFmtId="4" fontId="42" fillId="26" borderId="17" xfId="42" applyNumberFormat="1" applyFont="1" applyFill="1" applyBorder="1" applyAlignment="1">
      <alignment horizontal="center" vertical="center"/>
    </xf>
    <xf numFmtId="49" fontId="129" fillId="0" borderId="9" xfId="42" applyNumberFormat="1" applyFont="1" applyBorder="1" applyAlignment="1">
      <alignment vertical="center"/>
    </xf>
    <xf numFmtId="49" fontId="129" fillId="0" borderId="4" xfId="42" applyNumberFormat="1" applyFont="1" applyBorder="1" applyAlignment="1">
      <alignment vertical="center"/>
    </xf>
    <xf numFmtId="49" fontId="129" fillId="0" borderId="5" xfId="42" applyNumberFormat="1" applyFont="1" applyBorder="1" applyAlignment="1">
      <alignment vertical="center"/>
    </xf>
    <xf numFmtId="49" fontId="129" fillId="0" borderId="6" xfId="42" applyNumberFormat="1" applyFont="1" applyBorder="1" applyAlignment="1">
      <alignment vertical="center"/>
    </xf>
    <xf numFmtId="0" fontId="154" fillId="4" borderId="36" xfId="42" applyFont="1" applyFill="1" applyBorder="1" applyAlignment="1" applyProtection="1">
      <alignment vertical="center"/>
      <protection locked="0"/>
    </xf>
    <xf numFmtId="4" fontId="136" fillId="4" borderId="36" xfId="42" applyNumberFormat="1" applyFont="1" applyFill="1" applyBorder="1" applyAlignment="1">
      <alignment vertical="center"/>
    </xf>
    <xf numFmtId="4" fontId="42" fillId="4" borderId="5" xfId="12" applyNumberFormat="1" applyFont="1" applyFill="1" applyBorder="1" applyAlignment="1">
      <alignment horizontal="center" vertical="center"/>
    </xf>
    <xf numFmtId="4" fontId="42" fillId="4" borderId="9" xfId="12" applyNumberFormat="1" applyFont="1" applyFill="1" applyBorder="1" applyAlignment="1">
      <alignment horizontal="center" vertical="center"/>
    </xf>
    <xf numFmtId="4" fontId="42" fillId="4" borderId="6" xfId="12" applyNumberFormat="1" applyFont="1" applyFill="1" applyBorder="1" applyAlignment="1">
      <alignment horizontal="center" vertical="center"/>
    </xf>
    <xf numFmtId="4" fontId="42" fillId="26" borderId="5" xfId="12" applyNumberFormat="1" applyFont="1" applyFill="1" applyBorder="1" applyAlignment="1">
      <alignment horizontal="center" vertical="center"/>
    </xf>
    <xf numFmtId="4" fontId="42" fillId="0" borderId="9" xfId="12" applyNumberFormat="1" applyFont="1" applyBorder="1" applyAlignment="1" applyProtection="1">
      <alignment horizontal="center" vertical="center"/>
      <protection locked="0"/>
    </xf>
    <xf numFmtId="10" fontId="42" fillId="4" borderId="9" xfId="12" applyNumberFormat="1" applyFont="1" applyFill="1" applyBorder="1" applyAlignment="1">
      <alignment horizontal="center" vertical="center"/>
    </xf>
    <xf numFmtId="4" fontId="42" fillId="0" borderId="6" xfId="12" applyNumberFormat="1" applyFont="1" applyBorder="1" applyAlignment="1" applyProtection="1">
      <alignment horizontal="center" vertical="center"/>
      <protection locked="0"/>
    </xf>
    <xf numFmtId="4" fontId="42" fillId="26" borderId="10" xfId="12" applyNumberFormat="1" applyFont="1" applyFill="1" applyBorder="1" applyAlignment="1">
      <alignment horizontal="center" vertical="center"/>
    </xf>
    <xf numFmtId="4" fontId="42" fillId="0" borderId="5" xfId="12" applyNumberFormat="1" applyFont="1" applyBorder="1" applyAlignment="1" applyProtection="1">
      <alignment horizontal="center" vertical="center"/>
      <protection locked="0"/>
    </xf>
    <xf numFmtId="10" fontId="42" fillId="0" borderId="9" xfId="12" applyNumberFormat="1" applyFont="1" applyBorder="1" applyAlignment="1">
      <alignment horizontal="center" vertical="center"/>
    </xf>
    <xf numFmtId="4" fontId="42" fillId="0" borderId="4" xfId="12" applyNumberFormat="1" applyFont="1" applyBorder="1" applyAlignment="1">
      <alignment vertical="center"/>
    </xf>
    <xf numFmtId="4" fontId="42" fillId="0" borderId="5" xfId="12" applyNumberFormat="1" applyFont="1" applyBorder="1" applyAlignment="1" applyProtection="1">
      <alignment vertical="center"/>
      <protection locked="0"/>
    </xf>
    <xf numFmtId="10" fontId="42" fillId="0" borderId="6" xfId="12" applyNumberFormat="1" applyFont="1" applyBorder="1" applyAlignment="1">
      <alignment vertical="center"/>
    </xf>
    <xf numFmtId="0" fontId="154" fillId="4" borderId="36" xfId="42" quotePrefix="1" applyFont="1" applyFill="1" applyBorder="1" applyAlignment="1" applyProtection="1">
      <alignment vertical="center"/>
      <protection locked="0"/>
    </xf>
    <xf numFmtId="4" fontId="73" fillId="0" borderId="36" xfId="42" quotePrefix="1" applyNumberFormat="1" applyFont="1" applyBorder="1" applyAlignment="1">
      <alignment vertical="center"/>
    </xf>
    <xf numFmtId="4" fontId="73" fillId="0" borderId="36" xfId="42" applyNumberFormat="1" applyFont="1" applyBorder="1" applyAlignment="1">
      <alignment vertical="center"/>
    </xf>
    <xf numFmtId="4" fontId="42" fillId="0" borderId="17" xfId="42" applyNumberFormat="1" applyFont="1" applyBorder="1" applyAlignment="1">
      <alignment horizontal="center" vertical="center"/>
    </xf>
    <xf numFmtId="0" fontId="154" fillId="0" borderId="36" xfId="42" quotePrefix="1" applyFont="1" applyBorder="1" applyAlignment="1" applyProtection="1">
      <alignment vertical="center"/>
      <protection locked="0"/>
    </xf>
    <xf numFmtId="4" fontId="40" fillId="0" borderId="36" xfId="42" applyNumberFormat="1" applyFont="1" applyBorder="1" applyAlignment="1">
      <alignment vertical="center"/>
    </xf>
    <xf numFmtId="4" fontId="40" fillId="4" borderId="36" xfId="42" applyNumberFormat="1" applyFont="1" applyFill="1" applyBorder="1" applyAlignment="1">
      <alignment vertical="center"/>
    </xf>
    <xf numFmtId="0" fontId="170" fillId="0" borderId="36" xfId="42" quotePrefix="1" applyFont="1" applyBorder="1" applyAlignment="1" applyProtection="1">
      <alignment vertical="center"/>
      <protection locked="0"/>
    </xf>
    <xf numFmtId="4" fontId="40" fillId="0" borderId="36" xfId="42" quotePrefix="1" applyNumberFormat="1" applyFont="1" applyBorder="1" applyAlignment="1">
      <alignment vertical="center"/>
    </xf>
    <xf numFmtId="10" fontId="14" fillId="26" borderId="2" xfId="12" applyNumberFormat="1" applyFont="1" applyFill="1" applyBorder="1" applyAlignment="1">
      <alignment horizontal="center"/>
    </xf>
    <xf numFmtId="10" fontId="14" fillId="4" borderId="48" xfId="27" applyNumberFormat="1" applyFont="1" applyFill="1" applyBorder="1"/>
    <xf numFmtId="10" fontId="13" fillId="26" borderId="5" xfId="12" applyNumberFormat="1" applyFont="1" applyFill="1" applyBorder="1" applyAlignment="1">
      <alignment horizontal="center"/>
    </xf>
    <xf numFmtId="0" fontId="13" fillId="0" borderId="5" xfId="12" applyFont="1" applyBorder="1"/>
    <xf numFmtId="2" fontId="13" fillId="26" borderId="5" xfId="12" applyNumberFormat="1" applyFont="1" applyFill="1" applyBorder="1" applyAlignment="1">
      <alignment horizontal="center"/>
    </xf>
    <xf numFmtId="4" fontId="14" fillId="26" borderId="5" xfId="12" applyNumberFormat="1" applyFont="1" applyFill="1" applyBorder="1"/>
    <xf numFmtId="0" fontId="14" fillId="4" borderId="8" xfId="12" applyFont="1" applyFill="1" applyBorder="1" applyAlignment="1">
      <alignment horizontal="right"/>
    </xf>
    <xf numFmtId="0" fontId="17" fillId="4" borderId="5" xfId="12" applyFont="1" applyFill="1" applyBorder="1"/>
    <xf numFmtId="0" fontId="0" fillId="4" borderId="5" xfId="12" applyFont="1" applyFill="1" applyBorder="1"/>
    <xf numFmtId="0" fontId="15" fillId="4" borderId="5" xfId="12" applyFont="1" applyFill="1" applyBorder="1" applyAlignment="1">
      <alignment horizontal="left"/>
    </xf>
    <xf numFmtId="0" fontId="21" fillId="4" borderId="83" xfId="12" applyFont="1" applyFill="1" applyBorder="1" applyAlignment="1" applyProtection="1">
      <alignment vertical="center"/>
      <protection locked="0"/>
    </xf>
    <xf numFmtId="0" fontId="19" fillId="4" borderId="83" xfId="12" applyFont="1" applyFill="1" applyBorder="1" applyAlignment="1" applyProtection="1">
      <alignment horizontal="center" vertical="center"/>
      <protection locked="0"/>
    </xf>
    <xf numFmtId="4" fontId="21" fillId="4" borderId="83" xfId="12" applyNumberFormat="1" applyFont="1" applyFill="1" applyBorder="1" applyAlignment="1" applyProtection="1">
      <alignment vertical="center"/>
      <protection locked="0"/>
    </xf>
    <xf numFmtId="4" fontId="19" fillId="4" borderId="83" xfId="12" applyNumberFormat="1" applyFont="1" applyFill="1" applyBorder="1" applyAlignment="1">
      <alignment horizontal="center"/>
    </xf>
    <xf numFmtId="2" fontId="19" fillId="4" borderId="83" xfId="12" applyNumberFormat="1" applyFont="1" applyFill="1" applyBorder="1" applyAlignment="1">
      <alignment horizontal="center"/>
    </xf>
    <xf numFmtId="4" fontId="19" fillId="23" borderId="83" xfId="12" applyNumberFormat="1" applyFont="1" applyFill="1" applyBorder="1" applyAlignment="1">
      <alignment horizontal="center"/>
    </xf>
    <xf numFmtId="10" fontId="19" fillId="4" borderId="83" xfId="12" applyNumberFormat="1" applyFont="1" applyFill="1" applyBorder="1" applyAlignment="1">
      <alignment horizontal="center"/>
    </xf>
    <xf numFmtId="4" fontId="19" fillId="4" borderId="83" xfId="12" applyNumberFormat="1" applyFont="1" applyFill="1" applyBorder="1"/>
    <xf numFmtId="10" fontId="19" fillId="4" borderId="83" xfId="12" applyNumberFormat="1" applyFont="1" applyFill="1" applyBorder="1"/>
    <xf numFmtId="4" fontId="49" fillId="4" borderId="0" xfId="12" applyNumberFormat="1" applyFont="1" applyFill="1"/>
    <xf numFmtId="164" fontId="19" fillId="4" borderId="0" xfId="2" applyFont="1" applyFill="1" applyAlignment="1">
      <alignment horizontal="center"/>
    </xf>
    <xf numFmtId="164" fontId="129" fillId="0" borderId="0" xfId="2" applyFont="1" applyAlignment="1">
      <alignment horizontal="right"/>
    </xf>
    <xf numFmtId="164" fontId="19" fillId="0" borderId="0" xfId="2" applyFont="1" applyAlignment="1"/>
    <xf numFmtId="4" fontId="129" fillId="0" borderId="0" xfId="12" applyNumberFormat="1" applyFont="1" applyAlignment="1">
      <alignment horizontal="left" vertical="center"/>
    </xf>
    <xf numFmtId="14" fontId="42" fillId="0" borderId="0" xfId="12" applyNumberFormat="1" applyFont="1" applyAlignment="1">
      <alignment horizontal="left" vertical="center"/>
    </xf>
    <xf numFmtId="14" fontId="42" fillId="0" borderId="0" xfId="12" applyNumberFormat="1" applyFont="1" applyAlignment="1">
      <alignment horizontal="center" wrapText="1"/>
    </xf>
    <xf numFmtId="0" fontId="73" fillId="0" borderId="16" xfId="42" applyFont="1" applyBorder="1" applyAlignment="1" applyProtection="1">
      <alignment vertical="center"/>
      <protection locked="0"/>
    </xf>
    <xf numFmtId="4" fontId="73" fillId="0" borderId="18" xfId="42" applyNumberFormat="1" applyFont="1" applyBorder="1" applyAlignment="1">
      <alignment vertical="center" wrapText="1"/>
    </xf>
    <xf numFmtId="4" fontId="136" fillId="0" borderId="14" xfId="42" applyNumberFormat="1" applyFont="1" applyBorder="1" applyAlignment="1">
      <alignment horizontal="center" vertical="center"/>
    </xf>
    <xf numFmtId="4" fontId="136" fillId="0" borderId="15" xfId="42" applyNumberFormat="1" applyFont="1" applyBorder="1" applyAlignment="1">
      <alignment horizontal="center" vertical="center"/>
    </xf>
    <xf numFmtId="4" fontId="136" fillId="0" borderId="84" xfId="42" applyNumberFormat="1" applyFont="1" applyBorder="1" applyAlignment="1">
      <alignment horizontal="center" vertical="center"/>
    </xf>
    <xf numFmtId="164" fontId="72" fillId="0" borderId="59" xfId="2" applyFont="1" applyFill="1" applyBorder="1" applyAlignment="1">
      <alignment horizontal="center" vertical="center"/>
    </xf>
    <xf numFmtId="164" fontId="72" fillId="0" borderId="19" xfId="2" applyFont="1" applyFill="1" applyBorder="1" applyAlignment="1">
      <alignment horizontal="center" vertical="center"/>
    </xf>
    <xf numFmtId="0" fontId="42" fillId="0" borderId="14" xfId="12" applyFont="1" applyBorder="1" applyAlignment="1">
      <alignment horizontal="center" vertical="center"/>
    </xf>
    <xf numFmtId="4" fontId="155" fillId="0" borderId="59" xfId="42" applyNumberFormat="1" applyFont="1" applyBorder="1" applyAlignment="1">
      <alignment horizontal="center" vertical="center"/>
    </xf>
    <xf numFmtId="4" fontId="41" fillId="23" borderId="15" xfId="12" applyNumberFormat="1" applyFont="1" applyFill="1" applyBorder="1" applyAlignment="1">
      <alignment horizontal="center" vertical="center"/>
    </xf>
    <xf numFmtId="4" fontId="155" fillId="0" borderId="84" xfId="42" applyNumberFormat="1" applyFont="1" applyBorder="1" applyAlignment="1">
      <alignment horizontal="center" vertical="center"/>
    </xf>
    <xf numFmtId="0" fontId="129" fillId="0" borderId="14" xfId="12" applyFont="1" applyBorder="1" applyAlignment="1">
      <alignment horizontal="center" vertical="center"/>
    </xf>
    <xf numFmtId="4" fontId="129" fillId="0" borderId="15" xfId="42" applyNumberFormat="1" applyFont="1" applyBorder="1" applyAlignment="1">
      <alignment horizontal="center" vertical="center"/>
    </xf>
    <xf numFmtId="0" fontId="129" fillId="0" borderId="59" xfId="12" applyFont="1" applyBorder="1" applyAlignment="1">
      <alignment horizontal="center" vertical="center"/>
    </xf>
    <xf numFmtId="4" fontId="129" fillId="0" borderId="15" xfId="42" applyNumberFormat="1" applyFont="1" applyBorder="1" applyAlignment="1">
      <alignment vertical="center"/>
    </xf>
    <xf numFmtId="0" fontId="171" fillId="0" borderId="1" xfId="42" applyFont="1" applyBorder="1" applyAlignment="1" applyProtection="1">
      <alignment vertical="center"/>
      <protection locked="0"/>
    </xf>
    <xf numFmtId="0" fontId="171" fillId="0" borderId="3" xfId="42" applyFont="1" applyBorder="1" applyAlignment="1" applyProtection="1">
      <alignment vertical="center"/>
      <protection locked="0"/>
    </xf>
    <xf numFmtId="0" fontId="171" fillId="0" borderId="55" xfId="42" applyFont="1" applyBorder="1" applyAlignment="1" applyProtection="1">
      <alignment horizontal="center" vertical="center"/>
      <protection locked="0"/>
    </xf>
    <xf numFmtId="4" fontId="171" fillId="0" borderId="13" xfId="42" applyNumberFormat="1" applyFont="1" applyBorder="1" applyAlignment="1" applyProtection="1">
      <alignment horizontal="center" vertical="center"/>
      <protection locked="0"/>
    </xf>
    <xf numFmtId="4" fontId="171" fillId="0" borderId="46" xfId="42" applyNumberFormat="1" applyFont="1" applyBorder="1" applyAlignment="1" applyProtection="1">
      <alignment horizontal="center" vertical="center"/>
      <protection locked="0"/>
    </xf>
    <xf numFmtId="4" fontId="41" fillId="0" borderId="48" xfId="12" applyNumberFormat="1" applyFont="1" applyBorder="1" applyAlignment="1">
      <alignment horizontal="center" vertical="center"/>
    </xf>
    <xf numFmtId="4" fontId="41" fillId="0" borderId="54" xfId="12" applyNumberFormat="1" applyFont="1" applyBorder="1" applyAlignment="1">
      <alignment horizontal="center" vertical="center"/>
    </xf>
    <xf numFmtId="49" fontId="41" fillId="0" borderId="47" xfId="42" applyNumberFormat="1" applyFont="1" applyBorder="1" applyAlignment="1">
      <alignment vertical="center"/>
    </xf>
    <xf numFmtId="49" fontId="41" fillId="0" borderId="48" xfId="42" applyNumberFormat="1" applyFont="1" applyBorder="1" applyAlignment="1">
      <alignment vertical="center"/>
    </xf>
    <xf numFmtId="4" fontId="41" fillId="23" borderId="13" xfId="12" applyNumberFormat="1" applyFont="1" applyFill="1" applyBorder="1" applyAlignment="1">
      <alignment horizontal="center" vertical="center"/>
    </xf>
    <xf numFmtId="49" fontId="40" fillId="0" borderId="46" xfId="42" applyNumberFormat="1" applyFont="1" applyBorder="1" applyAlignment="1">
      <alignment vertical="center"/>
    </xf>
    <xf numFmtId="49" fontId="40" fillId="0" borderId="47" xfId="42" applyNumberFormat="1" applyFont="1" applyBorder="1" applyAlignment="1">
      <alignment vertical="center"/>
    </xf>
    <xf numFmtId="49" fontId="40" fillId="0" borderId="13" xfId="42" applyNumberFormat="1" applyFont="1" applyBorder="1" applyAlignment="1">
      <alignment vertical="center"/>
    </xf>
    <xf numFmtId="49" fontId="40" fillId="0" borderId="48" xfId="42" applyNumberFormat="1" applyFont="1" applyBorder="1" applyAlignment="1">
      <alignment vertical="center"/>
    </xf>
    <xf numFmtId="0" fontId="172" fillId="0" borderId="4" xfId="42" applyFont="1" applyBorder="1" applyAlignment="1" applyProtection="1">
      <alignment vertical="center"/>
      <protection locked="0"/>
    </xf>
    <xf numFmtId="0" fontId="172" fillId="0" borderId="6" xfId="42" applyFont="1" applyBorder="1" applyAlignment="1" applyProtection="1">
      <alignment vertical="center"/>
      <protection locked="0"/>
    </xf>
    <xf numFmtId="0" fontId="41" fillId="0" borderId="17" xfId="42" applyFont="1" applyBorder="1" applyAlignment="1" applyProtection="1">
      <alignment horizontal="center" vertical="center"/>
      <protection locked="0"/>
    </xf>
    <xf numFmtId="4" fontId="41" fillId="0" borderId="9" xfId="42" applyNumberFormat="1" applyFont="1" applyBorder="1" applyAlignment="1" applyProtection="1">
      <alignment horizontal="center" vertical="center"/>
      <protection locked="0"/>
    </xf>
    <xf numFmtId="4" fontId="41" fillId="4" borderId="6" xfId="12" applyNumberFormat="1" applyFont="1" applyFill="1" applyBorder="1" applyAlignment="1">
      <alignment horizontal="center" vertical="center"/>
    </xf>
    <xf numFmtId="4" fontId="41" fillId="4" borderId="10" xfId="12" applyNumberFormat="1" applyFont="1" applyFill="1" applyBorder="1" applyAlignment="1">
      <alignment horizontal="center" vertical="center"/>
    </xf>
    <xf numFmtId="4" fontId="41" fillId="0" borderId="4" xfId="12" applyNumberFormat="1" applyFont="1" applyBorder="1" applyAlignment="1">
      <alignment horizontal="center" vertical="center"/>
    </xf>
    <xf numFmtId="4" fontId="41" fillId="4" borderId="6" xfId="12" applyNumberFormat="1" applyFont="1" applyFill="1" applyBorder="1" applyAlignment="1" applyProtection="1">
      <alignment horizontal="center" vertical="center"/>
      <protection locked="0"/>
    </xf>
    <xf numFmtId="4" fontId="41" fillId="23" borderId="5" xfId="12" applyNumberFormat="1" applyFont="1" applyFill="1" applyBorder="1" applyAlignment="1">
      <alignment horizontal="center" vertical="center"/>
    </xf>
    <xf numFmtId="4" fontId="41" fillId="0" borderId="9" xfId="12" applyNumberFormat="1" applyFont="1" applyBorder="1" applyAlignment="1" applyProtection="1">
      <alignment horizontal="center" vertical="center"/>
      <protection locked="0"/>
    </xf>
    <xf numFmtId="4" fontId="41" fillId="4" borderId="4" xfId="12" applyNumberFormat="1" applyFont="1" applyFill="1" applyBorder="1" applyAlignment="1">
      <alignment horizontal="center" vertical="center"/>
    </xf>
    <xf numFmtId="4" fontId="41" fillId="4" borderId="5" xfId="12" applyNumberFormat="1" applyFont="1" applyFill="1" applyBorder="1" applyAlignment="1" applyProtection="1">
      <alignment horizontal="center" vertical="center"/>
      <protection locked="0"/>
    </xf>
    <xf numFmtId="10" fontId="41" fillId="4" borderId="6" xfId="12" applyNumberFormat="1" applyFont="1" applyFill="1" applyBorder="1" applyAlignment="1">
      <alignment horizontal="center" vertical="center"/>
    </xf>
    <xf numFmtId="4" fontId="41" fillId="4" borderId="5" xfId="12" applyNumberFormat="1" applyFont="1" applyFill="1" applyBorder="1" applyAlignment="1" applyProtection="1">
      <alignment vertical="center"/>
      <protection locked="0"/>
    </xf>
    <xf numFmtId="10" fontId="41" fillId="4" borderId="6" xfId="12" applyNumberFormat="1" applyFont="1" applyFill="1" applyBorder="1" applyAlignment="1">
      <alignment vertical="center"/>
    </xf>
    <xf numFmtId="0" fontId="41" fillId="0" borderId="4" xfId="42" applyFont="1" applyBorder="1" applyAlignment="1" applyProtection="1">
      <alignment vertical="center"/>
      <protection locked="0"/>
    </xf>
    <xf numFmtId="0" fontId="41" fillId="0" borderId="6" xfId="42" applyFont="1" applyBorder="1" applyAlignment="1" applyProtection="1">
      <alignment vertical="center"/>
      <protection locked="0"/>
    </xf>
    <xf numFmtId="0" fontId="173" fillId="0" borderId="4" xfId="42" applyFont="1" applyBorder="1" applyAlignment="1" applyProtection="1">
      <alignment vertical="center"/>
      <protection locked="0"/>
    </xf>
    <xf numFmtId="0" fontId="173" fillId="0" borderId="6" xfId="42" applyFont="1" applyBorder="1" applyAlignment="1" applyProtection="1">
      <alignment vertical="center"/>
      <protection locked="0"/>
    </xf>
    <xf numFmtId="0" fontId="174" fillId="0" borderId="4" xfId="42" applyFont="1" applyBorder="1" applyAlignment="1" applyProtection="1">
      <alignment vertical="center"/>
      <protection locked="0"/>
    </xf>
    <xf numFmtId="0" fontId="174" fillId="0" borderId="6" xfId="42" applyFont="1" applyBorder="1" applyAlignment="1" applyProtection="1">
      <alignment vertical="center"/>
      <protection locked="0"/>
    </xf>
    <xf numFmtId="0" fontId="171" fillId="0" borderId="4" xfId="42" applyFont="1" applyBorder="1" applyAlignment="1" applyProtection="1">
      <alignment vertical="center"/>
      <protection locked="0"/>
    </xf>
    <xf numFmtId="0" fontId="171" fillId="0" borderId="6" xfId="42" applyFont="1" applyBorder="1" applyAlignment="1" applyProtection="1">
      <alignment vertical="center"/>
      <protection locked="0"/>
    </xf>
    <xf numFmtId="0" fontId="175" fillId="0" borderId="4" xfId="42" applyFont="1" applyBorder="1" applyAlignment="1" applyProtection="1">
      <alignment vertical="center"/>
      <protection locked="0"/>
    </xf>
    <xf numFmtId="0" fontId="175" fillId="0" borderId="6" xfId="42" applyFont="1" applyBorder="1" applyAlignment="1" applyProtection="1">
      <alignment vertical="center"/>
      <protection locked="0"/>
    </xf>
    <xf numFmtId="0" fontId="41" fillId="0" borderId="7" xfId="42" applyFont="1" applyBorder="1" applyAlignment="1" applyProtection="1">
      <alignment vertical="center"/>
      <protection locked="0"/>
    </xf>
    <xf numFmtId="0" fontId="41" fillId="0" borderId="35" xfId="42" applyFont="1" applyBorder="1" applyAlignment="1" applyProtection="1">
      <alignment vertical="center"/>
      <protection locked="0"/>
    </xf>
    <xf numFmtId="0" fontId="41" fillId="0" borderId="29" xfId="42" applyFont="1" applyBorder="1" applyAlignment="1" applyProtection="1">
      <alignment horizontal="center" vertical="center"/>
      <protection locked="0"/>
    </xf>
    <xf numFmtId="4" fontId="41" fillId="0" borderId="25" xfId="42" applyNumberFormat="1" applyFont="1" applyBorder="1" applyAlignment="1" applyProtection="1">
      <alignment horizontal="center" vertical="center"/>
      <protection locked="0"/>
    </xf>
    <xf numFmtId="4" fontId="41" fillId="0" borderId="26" xfId="42" applyNumberFormat="1" applyFont="1" applyBorder="1" applyAlignment="1" applyProtection="1">
      <alignment horizontal="center" vertical="center"/>
      <protection locked="0"/>
    </xf>
    <xf numFmtId="4" fontId="41" fillId="4" borderId="45" xfId="12" applyNumberFormat="1" applyFont="1" applyFill="1" applyBorder="1" applyAlignment="1">
      <alignment horizontal="center" vertical="center"/>
    </xf>
    <xf numFmtId="4" fontId="41" fillId="0" borderId="44" xfId="12" applyNumberFormat="1" applyFont="1" applyBorder="1" applyAlignment="1">
      <alignment horizontal="center" vertical="center"/>
    </xf>
    <xf numFmtId="4" fontId="41" fillId="4" borderId="45" xfId="12" applyNumberFormat="1" applyFont="1" applyFill="1" applyBorder="1" applyAlignment="1" applyProtection="1">
      <alignment horizontal="center" vertical="center"/>
      <protection locked="0"/>
    </xf>
    <xf numFmtId="4" fontId="41" fillId="23" borderId="25" xfId="12" applyNumberFormat="1" applyFont="1" applyFill="1" applyBorder="1" applyAlignment="1">
      <alignment horizontal="center" vertical="center"/>
    </xf>
    <xf numFmtId="4" fontId="41" fillId="0" borderId="26" xfId="12" applyNumberFormat="1" applyFont="1" applyBorder="1" applyAlignment="1" applyProtection="1">
      <alignment horizontal="center" vertical="center"/>
      <protection locked="0"/>
    </xf>
    <xf numFmtId="4" fontId="41" fillId="4" borderId="44" xfId="12" applyNumberFormat="1" applyFont="1" applyFill="1" applyBorder="1" applyAlignment="1">
      <alignment horizontal="center" vertical="center"/>
    </xf>
    <xf numFmtId="4" fontId="41" fillId="4" borderId="25" xfId="12" applyNumberFormat="1" applyFont="1" applyFill="1" applyBorder="1" applyAlignment="1" applyProtection="1">
      <alignment horizontal="center" vertical="center"/>
      <protection locked="0"/>
    </xf>
    <xf numFmtId="10" fontId="41" fillId="4" borderId="45" xfId="12" applyNumberFormat="1" applyFont="1" applyFill="1" applyBorder="1" applyAlignment="1">
      <alignment horizontal="center" vertical="center"/>
    </xf>
    <xf numFmtId="4" fontId="41" fillId="4" borderId="44" xfId="12" applyNumberFormat="1" applyFont="1" applyFill="1" applyBorder="1" applyAlignment="1">
      <alignment vertical="center"/>
    </xf>
    <xf numFmtId="4" fontId="41" fillId="4" borderId="25" xfId="12" applyNumberFormat="1" applyFont="1" applyFill="1" applyBorder="1" applyAlignment="1" applyProtection="1">
      <alignment vertical="center"/>
      <protection locked="0"/>
    </xf>
    <xf numFmtId="10" fontId="41" fillId="4" borderId="45" xfId="12" applyNumberFormat="1" applyFont="1" applyFill="1" applyBorder="1" applyAlignment="1">
      <alignment vertical="center"/>
    </xf>
    <xf numFmtId="10" fontId="14" fillId="4" borderId="2" xfId="27" applyNumberFormat="1" applyFont="1" applyFill="1" applyBorder="1" applyAlignment="1">
      <alignment horizontal="center" vertical="center"/>
    </xf>
    <xf numFmtId="10" fontId="41" fillId="4" borderId="5" xfId="12" applyNumberFormat="1" applyFont="1" applyFill="1" applyBorder="1" applyAlignment="1">
      <alignment horizontal="center" vertical="center"/>
    </xf>
    <xf numFmtId="4" fontId="13" fillId="0" borderId="17" xfId="12" applyNumberFormat="1" applyFont="1" applyBorder="1"/>
    <xf numFmtId="4" fontId="14" fillId="4" borderId="9" xfId="12" applyNumberFormat="1" applyFont="1" applyFill="1" applyBorder="1" applyAlignment="1">
      <alignment horizontal="center"/>
    </xf>
    <xf numFmtId="4" fontId="14" fillId="4" borderId="17" xfId="12" applyNumberFormat="1" applyFont="1" applyFill="1" applyBorder="1" applyAlignment="1">
      <alignment horizontal="right"/>
    </xf>
    <xf numFmtId="4" fontId="14" fillId="4" borderId="63" xfId="12" applyNumberFormat="1" applyFont="1" applyFill="1" applyBorder="1" applyAlignment="1">
      <alignment horizontal="center"/>
    </xf>
    <xf numFmtId="10" fontId="41" fillId="4" borderId="8" xfId="12" applyNumberFormat="1" applyFont="1" applyFill="1" applyBorder="1" applyAlignment="1">
      <alignment horizontal="center" vertical="center"/>
    </xf>
    <xf numFmtId="4" fontId="14" fillId="4" borderId="62" xfId="12" applyNumberFormat="1" applyFont="1" applyFill="1" applyBorder="1"/>
    <xf numFmtId="4" fontId="27" fillId="7" borderId="5" xfId="12" applyNumberFormat="1" applyFont="1" applyFill="1" applyBorder="1"/>
    <xf numFmtId="164" fontId="19" fillId="0" borderId="0" xfId="2" applyFont="1" applyAlignment="1">
      <alignment horizontal="center"/>
    </xf>
    <xf numFmtId="0" fontId="129" fillId="27" borderId="0" xfId="12" applyFont="1" applyFill="1" applyAlignment="1">
      <alignment horizontal="center" vertical="center"/>
    </xf>
    <xf numFmtId="0" fontId="72" fillId="0" borderId="1" xfId="42" applyFont="1" applyBorder="1" applyAlignment="1" applyProtection="1">
      <alignment vertical="center"/>
      <protection locked="0"/>
    </xf>
    <xf numFmtId="0" fontId="72" fillId="0" borderId="2" xfId="42" applyFont="1" applyBorder="1" applyAlignment="1" applyProtection="1">
      <alignment vertical="center"/>
      <protection locked="0"/>
    </xf>
    <xf numFmtId="0" fontId="72" fillId="0" borderId="3" xfId="42" applyFont="1" applyBorder="1" applyAlignment="1" applyProtection="1">
      <alignment vertical="center"/>
      <protection locked="0"/>
    </xf>
    <xf numFmtId="164" fontId="72" fillId="0" borderId="1" xfId="2" applyFont="1" applyBorder="1" applyAlignment="1">
      <alignment horizontal="right"/>
    </xf>
    <xf numFmtId="164" fontId="72" fillId="0" borderId="2" xfId="2" applyFont="1" applyBorder="1" applyAlignment="1">
      <alignment horizontal="right"/>
    </xf>
    <xf numFmtId="164" fontId="72" fillId="0" borderId="57" xfId="2" applyFont="1" applyBorder="1" applyAlignment="1">
      <alignment horizontal="right"/>
    </xf>
    <xf numFmtId="164" fontId="72" fillId="0" borderId="3" xfId="2" applyFont="1" applyBorder="1" applyAlignment="1">
      <alignment horizontal="center"/>
    </xf>
    <xf numFmtId="164" fontId="72" fillId="0" borderId="40" xfId="2" applyFont="1" applyBorder="1" applyAlignment="1">
      <alignment horizontal="center"/>
    </xf>
    <xf numFmtId="0" fontId="42" fillId="4" borderId="1" xfId="12" applyFont="1" applyFill="1" applyBorder="1" applyAlignment="1">
      <alignment horizontal="center" vertical="center"/>
    </xf>
    <xf numFmtId="4" fontId="155" fillId="4" borderId="3" xfId="42" applyNumberFormat="1" applyFont="1" applyFill="1" applyBorder="1" applyAlignment="1">
      <alignment horizontal="center"/>
    </xf>
    <xf numFmtId="4" fontId="129" fillId="4" borderId="61" xfId="12" applyNumberFormat="1" applyFont="1" applyFill="1" applyBorder="1" applyAlignment="1">
      <alignment horizontal="center" vertical="center"/>
    </xf>
    <xf numFmtId="4" fontId="155" fillId="4" borderId="57" xfId="42" applyNumberFormat="1" applyFont="1" applyFill="1" applyBorder="1" applyAlignment="1">
      <alignment horizontal="center"/>
    </xf>
    <xf numFmtId="4" fontId="129" fillId="4" borderId="2" xfId="42" applyNumberFormat="1" applyFont="1" applyFill="1" applyBorder="1" applyAlignment="1">
      <alignment horizontal="center"/>
    </xf>
    <xf numFmtId="4" fontId="129" fillId="4" borderId="2" xfId="42" applyNumberFormat="1" applyFont="1" applyFill="1" applyBorder="1"/>
    <xf numFmtId="4" fontId="129" fillId="4" borderId="0" xfId="12" applyNumberFormat="1" applyFont="1" applyFill="1"/>
    <xf numFmtId="0" fontId="90" fillId="4" borderId="4" xfId="42" quotePrefix="1" applyFont="1" applyFill="1" applyBorder="1" applyAlignment="1" applyProtection="1">
      <alignment vertical="center"/>
      <protection locked="0"/>
    </xf>
    <xf numFmtId="0" fontId="90" fillId="4" borderId="5" xfId="42" applyFont="1" applyFill="1" applyBorder="1" applyAlignment="1" applyProtection="1">
      <alignment horizontal="left" vertical="center" indent="1"/>
      <protection locked="0"/>
    </xf>
    <xf numFmtId="0" fontId="90" fillId="4" borderId="6" xfId="42" applyFont="1" applyFill="1" applyBorder="1" applyAlignment="1" applyProtection="1">
      <alignment horizontal="center" vertical="center"/>
      <protection locked="0"/>
    </xf>
    <xf numFmtId="4" fontId="136" fillId="4" borderId="4" xfId="42" applyNumberFormat="1" applyFont="1" applyFill="1" applyBorder="1" applyAlignment="1">
      <alignment vertical="top"/>
    </xf>
    <xf numFmtId="4" fontId="136" fillId="4" borderId="5" xfId="42" applyNumberFormat="1" applyFont="1" applyFill="1" applyBorder="1" applyAlignment="1">
      <alignment vertical="top"/>
    </xf>
    <xf numFmtId="4" fontId="136" fillId="4" borderId="9" xfId="42" applyNumberFormat="1" applyFont="1" applyFill="1" applyBorder="1" applyAlignment="1">
      <alignment vertical="top"/>
    </xf>
    <xf numFmtId="4" fontId="136" fillId="4" borderId="6" xfId="42" applyNumberFormat="1" applyFont="1" applyFill="1" applyBorder="1" applyAlignment="1">
      <alignment vertical="top"/>
    </xf>
    <xf numFmtId="4" fontId="42" fillId="4" borderId="10" xfId="12" applyNumberFormat="1" applyFont="1" applyFill="1" applyBorder="1" applyAlignment="1">
      <alignment horizontal="center"/>
    </xf>
    <xf numFmtId="4" fontId="42" fillId="4" borderId="17" xfId="42" applyNumberFormat="1" applyFont="1" applyFill="1" applyBorder="1" applyAlignment="1">
      <alignment horizontal="center"/>
    </xf>
    <xf numFmtId="4" fontId="42" fillId="4" borderId="9" xfId="12" applyNumberFormat="1" applyFont="1" applyFill="1" applyBorder="1" applyAlignment="1" applyProtection="1">
      <alignment horizontal="center" vertical="center"/>
      <protection locked="0"/>
    </xf>
    <xf numFmtId="10" fontId="42" fillId="4" borderId="6" xfId="12" applyNumberFormat="1" applyFont="1" applyFill="1" applyBorder="1" applyAlignment="1">
      <alignment horizontal="center"/>
    </xf>
    <xf numFmtId="4" fontId="42" fillId="4" borderId="4" xfId="12" applyNumberFormat="1" applyFont="1" applyFill="1" applyBorder="1"/>
    <xf numFmtId="10" fontId="42" fillId="4" borderId="6" xfId="12" applyNumberFormat="1" applyFont="1" applyFill="1" applyBorder="1"/>
    <xf numFmtId="4" fontId="137" fillId="4" borderId="0" xfId="12" applyNumberFormat="1" applyFont="1" applyFill="1"/>
    <xf numFmtId="0" fontId="72" fillId="0" borderId="1" xfId="42" quotePrefix="1" applyFont="1" applyBorder="1" applyAlignment="1" applyProtection="1">
      <alignment vertical="center"/>
      <protection locked="0"/>
    </xf>
    <xf numFmtId="0" fontId="133" fillId="4" borderId="6" xfId="42" applyFont="1" applyFill="1" applyBorder="1" applyAlignment="1" applyProtection="1">
      <alignment horizontal="center" vertical="center"/>
      <protection locked="0"/>
    </xf>
    <xf numFmtId="0" fontId="41" fillId="4" borderId="4" xfId="42" applyFont="1" applyFill="1" applyBorder="1" applyAlignment="1">
      <alignment vertical="top"/>
    </xf>
    <xf numFmtId="0" fontId="41" fillId="4" borderId="5" xfId="42" applyFont="1" applyFill="1" applyBorder="1" applyAlignment="1">
      <alignment vertical="top"/>
    </xf>
    <xf numFmtId="0" fontId="41" fillId="4" borderId="9" xfId="42" applyFont="1" applyFill="1" applyBorder="1" applyAlignment="1">
      <alignment vertical="top"/>
    </xf>
    <xf numFmtId="0" fontId="41" fillId="4" borderId="6" xfId="42" applyFont="1" applyFill="1" applyBorder="1" applyAlignment="1">
      <alignment vertical="top"/>
    </xf>
    <xf numFmtId="0" fontId="90" fillId="4" borderId="4" xfId="42" applyFont="1" applyFill="1" applyBorder="1" applyAlignment="1" applyProtection="1">
      <alignment vertical="center"/>
      <protection locked="0"/>
    </xf>
    <xf numFmtId="4" fontId="13" fillId="4" borderId="5" xfId="12" applyNumberFormat="1" applyFont="1" applyFill="1" applyBorder="1" applyAlignment="1">
      <alignment horizontal="center" vertical="center"/>
    </xf>
    <xf numFmtId="10" fontId="14" fillId="4" borderId="35" xfId="27" applyNumberFormat="1" applyFont="1" applyFill="1" applyBorder="1"/>
    <xf numFmtId="4" fontId="40" fillId="7" borderId="0" xfId="12" applyNumberFormat="1" applyFont="1" applyFill="1"/>
    <xf numFmtId="0" fontId="129" fillId="0" borderId="0" xfId="12" applyFont="1" applyAlignment="1">
      <alignment horizontal="right"/>
    </xf>
    <xf numFmtId="164" fontId="19" fillId="0" borderId="0" xfId="2" applyFont="1" applyFill="1" applyAlignment="1">
      <alignment horizontal="center"/>
    </xf>
    <xf numFmtId="0" fontId="176" fillId="0" borderId="0" xfId="42" applyFont="1"/>
    <xf numFmtId="4" fontId="177" fillId="0" borderId="0" xfId="42" applyNumberFormat="1" applyFont="1" applyAlignment="1">
      <alignment horizontal="right"/>
    </xf>
    <xf numFmtId="4" fontId="177" fillId="0" borderId="0" xfId="42" applyNumberFormat="1" applyFont="1"/>
    <xf numFmtId="175" fontId="176" fillId="0" borderId="0" xfId="42" applyNumberFormat="1" applyFont="1" applyAlignment="1">
      <alignment horizontal="center"/>
    </xf>
    <xf numFmtId="0" fontId="176" fillId="4" borderId="0" xfId="42" applyFont="1" applyFill="1"/>
    <xf numFmtId="0" fontId="176" fillId="0" borderId="0" xfId="42" applyFont="1" applyAlignment="1">
      <alignment horizontal="center"/>
    </xf>
    <xf numFmtId="0" fontId="176" fillId="4" borderId="0" xfId="42" applyFont="1" applyFill="1" applyAlignment="1">
      <alignment horizontal="center"/>
    </xf>
    <xf numFmtId="180" fontId="176" fillId="0" borderId="0" xfId="42" applyNumberFormat="1" applyFont="1" applyAlignment="1">
      <alignment horizontal="center"/>
    </xf>
    <xf numFmtId="0" fontId="177" fillId="0" borderId="0" xfId="60" applyFont="1" applyAlignment="1">
      <alignment horizontal="right" vertical="center"/>
    </xf>
    <xf numFmtId="0" fontId="177" fillId="0" borderId="0" xfId="60" applyFont="1" applyAlignment="1">
      <alignment horizontal="left" vertical="center" wrapText="1"/>
    </xf>
    <xf numFmtId="2" fontId="177" fillId="0" borderId="0" xfId="60" applyNumberFormat="1" applyFont="1" applyAlignment="1">
      <alignment horizontal="center" vertical="center" wrapText="1"/>
    </xf>
    <xf numFmtId="0" fontId="177" fillId="0" borderId="0" xfId="60" applyFont="1" applyAlignment="1">
      <alignment horizontal="center" vertical="center" wrapText="1"/>
    </xf>
    <xf numFmtId="0" fontId="177" fillId="4" borderId="0" xfId="60" applyFont="1" applyFill="1" applyAlignment="1">
      <alignment horizontal="center" vertical="center" wrapText="1"/>
    </xf>
    <xf numFmtId="0" fontId="177" fillId="0" borderId="0" xfId="42" applyFont="1"/>
    <xf numFmtId="0" fontId="177" fillId="28" borderId="5" xfId="42" applyFont="1" applyFill="1" applyBorder="1" applyAlignment="1">
      <alignment horizontal="center"/>
    </xf>
    <xf numFmtId="0" fontId="178" fillId="7" borderId="93" xfId="42" applyFont="1" applyFill="1" applyBorder="1" applyAlignment="1">
      <alignment horizontal="center" vertical="top" wrapText="1"/>
    </xf>
    <xf numFmtId="0" fontId="178" fillId="7" borderId="93" xfId="42" applyFont="1" applyFill="1" applyBorder="1" applyAlignment="1">
      <alignment horizontal="left" vertical="center" wrapText="1"/>
    </xf>
    <xf numFmtId="4" fontId="178" fillId="7" borderId="93" xfId="42" applyNumberFormat="1" applyFont="1" applyFill="1" applyBorder="1" applyAlignment="1">
      <alignment horizontal="right" vertical="center" wrapText="1"/>
    </xf>
    <xf numFmtId="10" fontId="177" fillId="7" borderId="93" xfId="27" applyNumberFormat="1" applyFont="1" applyFill="1" applyBorder="1" applyAlignment="1" applyProtection="1">
      <alignment horizontal="right" vertical="center"/>
    </xf>
    <xf numFmtId="2" fontId="176" fillId="0" borderId="0" xfId="42" applyNumberFormat="1" applyFont="1"/>
    <xf numFmtId="4" fontId="176" fillId="0" borderId="0" xfId="42" applyNumberFormat="1" applyFont="1"/>
    <xf numFmtId="165" fontId="177" fillId="0" borderId="0" xfId="61" applyFont="1"/>
    <xf numFmtId="10" fontId="177" fillId="0" borderId="0" xfId="27" applyNumberFormat="1" applyFont="1"/>
    <xf numFmtId="0" fontId="178" fillId="4" borderId="12" xfId="42" applyFont="1" applyFill="1" applyBorder="1" applyAlignment="1">
      <alignment horizontal="center" vertical="top" wrapText="1"/>
    </xf>
    <xf numFmtId="0" fontId="180" fillId="4" borderId="12" xfId="42" applyFont="1" applyFill="1" applyBorder="1" applyAlignment="1">
      <alignment horizontal="left" vertical="center" wrapText="1"/>
    </xf>
    <xf numFmtId="4" fontId="180" fillId="4" borderId="12" xfId="42" applyNumberFormat="1" applyFont="1" applyFill="1" applyBorder="1" applyAlignment="1">
      <alignment horizontal="right" vertical="center" wrapText="1"/>
    </xf>
    <xf numFmtId="10" fontId="177" fillId="4" borderId="12" xfId="27" applyNumberFormat="1" applyFont="1" applyFill="1" applyBorder="1" applyAlignment="1" applyProtection="1">
      <alignment horizontal="right" vertical="center"/>
    </xf>
    <xf numFmtId="10" fontId="176" fillId="4" borderId="12" xfId="27" applyNumberFormat="1" applyFont="1" applyFill="1" applyBorder="1" applyAlignment="1" applyProtection="1">
      <alignment horizontal="right" vertical="center"/>
    </xf>
    <xf numFmtId="10" fontId="176" fillId="4" borderId="12" xfId="27" applyNumberFormat="1" applyFont="1" applyFill="1" applyBorder="1" applyAlignment="1" applyProtection="1">
      <alignment horizontal="right"/>
    </xf>
    <xf numFmtId="10" fontId="176" fillId="0" borderId="0" xfId="27" applyNumberFormat="1" applyFont="1"/>
    <xf numFmtId="164" fontId="176" fillId="0" borderId="0" xfId="2" applyFont="1"/>
    <xf numFmtId="181" fontId="176" fillId="0" borderId="0" xfId="27" applyNumberFormat="1" applyFont="1"/>
    <xf numFmtId="0" fontId="178" fillId="7" borderId="12" xfId="42" applyFont="1" applyFill="1" applyBorder="1" applyAlignment="1">
      <alignment horizontal="center" vertical="top" wrapText="1"/>
    </xf>
    <xf numFmtId="0" fontId="178" fillId="7" borderId="12" xfId="42" applyFont="1" applyFill="1" applyBorder="1" applyAlignment="1">
      <alignment horizontal="left" vertical="center" wrapText="1"/>
    </xf>
    <xf numFmtId="4" fontId="178" fillId="7" borderId="12" xfId="42" applyNumberFormat="1" applyFont="1" applyFill="1" applyBorder="1" applyAlignment="1">
      <alignment horizontal="right" vertical="center" wrapText="1"/>
    </xf>
    <xf numFmtId="10" fontId="177" fillId="7" borderId="12" xfId="27" applyNumberFormat="1" applyFont="1" applyFill="1" applyBorder="1" applyAlignment="1" applyProtection="1">
      <alignment horizontal="right" vertical="center"/>
    </xf>
    <xf numFmtId="4" fontId="177" fillId="7" borderId="12" xfId="42" applyNumberFormat="1" applyFont="1" applyFill="1" applyBorder="1" applyAlignment="1">
      <alignment horizontal="right" vertical="center"/>
    </xf>
    <xf numFmtId="10" fontId="177" fillId="7" borderId="12" xfId="27" applyNumberFormat="1" applyFont="1" applyFill="1" applyBorder="1" applyAlignment="1" applyProtection="1">
      <alignment horizontal="right"/>
    </xf>
    <xf numFmtId="0" fontId="178" fillId="6" borderId="12" xfId="42" applyFont="1" applyFill="1" applyBorder="1" applyAlignment="1">
      <alignment horizontal="center" vertical="top" wrapText="1"/>
    </xf>
    <xf numFmtId="0" fontId="178" fillId="6" borderId="12" xfId="42" applyFont="1" applyFill="1" applyBorder="1" applyAlignment="1">
      <alignment horizontal="left" vertical="center" wrapText="1"/>
    </xf>
    <xf numFmtId="4" fontId="178" fillId="6" borderId="12" xfId="42" applyNumberFormat="1" applyFont="1" applyFill="1" applyBorder="1" applyAlignment="1">
      <alignment horizontal="right" vertical="center" wrapText="1"/>
    </xf>
    <xf numFmtId="4" fontId="180" fillId="6" borderId="12" xfId="42" applyNumberFormat="1" applyFont="1" applyFill="1" applyBorder="1" applyAlignment="1">
      <alignment horizontal="center" vertical="center" wrapText="1"/>
    </xf>
    <xf numFmtId="10" fontId="176" fillId="6" borderId="12" xfId="27" applyNumberFormat="1" applyFont="1" applyFill="1" applyBorder="1" applyAlignment="1" applyProtection="1">
      <alignment horizontal="right" vertical="center"/>
    </xf>
    <xf numFmtId="4" fontId="176" fillId="6" borderId="12" xfId="42" applyNumberFormat="1" applyFont="1" applyFill="1" applyBorder="1" applyAlignment="1">
      <alignment horizontal="right" vertical="center"/>
    </xf>
    <xf numFmtId="10" fontId="176" fillId="6" borderId="12" xfId="27" applyNumberFormat="1" applyFont="1" applyFill="1" applyBorder="1" applyAlignment="1" applyProtection="1">
      <alignment horizontal="right"/>
    </xf>
    <xf numFmtId="0" fontId="178" fillId="11" borderId="12" xfId="42" applyFont="1" applyFill="1" applyBorder="1" applyAlignment="1">
      <alignment horizontal="center" vertical="top" wrapText="1"/>
    </xf>
    <xf numFmtId="0" fontId="178" fillId="11" borderId="12" xfId="42" applyFont="1" applyFill="1" applyBorder="1" applyAlignment="1">
      <alignment horizontal="left" vertical="center" wrapText="1"/>
    </xf>
    <xf numFmtId="4" fontId="178" fillId="11" borderId="12" xfId="42" applyNumberFormat="1" applyFont="1" applyFill="1" applyBorder="1" applyAlignment="1">
      <alignment horizontal="right" vertical="center" wrapText="1"/>
    </xf>
    <xf numFmtId="10" fontId="177" fillId="11" borderId="12" xfId="27" applyNumberFormat="1" applyFont="1" applyFill="1" applyBorder="1" applyAlignment="1" applyProtection="1">
      <alignment horizontal="right" vertical="center"/>
    </xf>
    <xf numFmtId="4" fontId="177" fillId="11" borderId="12" xfId="42" applyNumberFormat="1" applyFont="1" applyFill="1" applyBorder="1" applyAlignment="1">
      <alignment horizontal="right" vertical="center"/>
    </xf>
    <xf numFmtId="0" fontId="180" fillId="0" borderId="12" xfId="42" applyFont="1" applyBorder="1" applyAlignment="1">
      <alignment horizontal="center" vertical="top" wrapText="1"/>
    </xf>
    <xf numFmtId="0" fontId="180" fillId="0" borderId="12" xfId="42" applyFont="1" applyBorder="1" applyAlignment="1">
      <alignment horizontal="left" vertical="center" wrapText="1" indent="2"/>
    </xf>
    <xf numFmtId="4" fontId="180" fillId="0" borderId="12" xfId="42" applyNumberFormat="1" applyFont="1" applyBorder="1" applyAlignment="1">
      <alignment horizontal="right" vertical="center" wrapText="1"/>
    </xf>
    <xf numFmtId="10" fontId="176" fillId="0" borderId="12" xfId="27" applyNumberFormat="1" applyFont="1" applyFill="1" applyBorder="1" applyAlignment="1" applyProtection="1">
      <alignment horizontal="right" vertical="center"/>
    </xf>
    <xf numFmtId="4" fontId="176" fillId="0" borderId="12" xfId="42" applyNumberFormat="1" applyFont="1" applyBorder="1" applyAlignment="1">
      <alignment horizontal="right" vertical="center"/>
    </xf>
    <xf numFmtId="2" fontId="177" fillId="0" borderId="0" xfId="42" applyNumberFormat="1" applyFont="1"/>
    <xf numFmtId="0" fontId="180" fillId="4" borderId="12" xfId="42" applyFont="1" applyFill="1" applyBorder="1" applyAlignment="1">
      <alignment horizontal="left" vertical="center" wrapText="1" indent="2"/>
    </xf>
    <xf numFmtId="182" fontId="177" fillId="0" borderId="0" xfId="27" applyNumberFormat="1" applyFont="1"/>
    <xf numFmtId="0" fontId="178" fillId="0" borderId="12" xfId="42" applyFont="1" applyBorder="1" applyAlignment="1">
      <alignment horizontal="center" vertical="top" wrapText="1"/>
    </xf>
    <xf numFmtId="10" fontId="177" fillId="0" borderId="12" xfId="27" applyNumberFormat="1" applyFont="1" applyFill="1" applyBorder="1" applyAlignment="1" applyProtection="1">
      <alignment horizontal="right" vertical="center"/>
    </xf>
    <xf numFmtId="0" fontId="179" fillId="11" borderId="12" xfId="42" applyFont="1" applyFill="1" applyBorder="1" applyAlignment="1">
      <alignment horizontal="center" vertical="top" wrapText="1"/>
    </xf>
    <xf numFmtId="0" fontId="179" fillId="11" borderId="12" xfId="42" applyFont="1" applyFill="1" applyBorder="1" applyAlignment="1">
      <alignment horizontal="left" vertical="center" wrapText="1"/>
    </xf>
    <xf numFmtId="4" fontId="179" fillId="11" borderId="12" xfId="42" applyNumberFormat="1" applyFont="1" applyFill="1" applyBorder="1" applyAlignment="1">
      <alignment horizontal="right" vertical="center" wrapText="1"/>
    </xf>
    <xf numFmtId="10" fontId="179" fillId="11" borderId="12" xfId="27" applyNumberFormat="1" applyFont="1" applyFill="1" applyBorder="1" applyAlignment="1" applyProtection="1">
      <alignment horizontal="right" vertical="center"/>
    </xf>
    <xf numFmtId="4" fontId="179" fillId="11" borderId="12" xfId="42" applyNumberFormat="1" applyFont="1" applyFill="1" applyBorder="1" applyAlignment="1">
      <alignment horizontal="right" vertical="center"/>
    </xf>
    <xf numFmtId="0" fontId="180" fillId="0" borderId="10" xfId="42" applyFont="1" applyBorder="1" applyAlignment="1">
      <alignment horizontal="center" vertical="top" wrapText="1"/>
    </xf>
    <xf numFmtId="0" fontId="180" fillId="0" borderId="10" xfId="42" applyFont="1" applyBorder="1" applyAlignment="1">
      <alignment horizontal="left" vertical="center" wrapText="1"/>
    </xf>
    <xf numFmtId="4" fontId="180" fillId="0" borderId="10" xfId="42" applyNumberFormat="1" applyFont="1" applyBorder="1" applyAlignment="1">
      <alignment horizontal="right" vertical="center" wrapText="1"/>
    </xf>
    <xf numFmtId="10" fontId="176" fillId="0" borderId="10" xfId="27" applyNumberFormat="1" applyFont="1" applyFill="1" applyBorder="1" applyAlignment="1" applyProtection="1">
      <alignment horizontal="right" vertical="center"/>
    </xf>
    <xf numFmtId="4" fontId="176" fillId="0" borderId="10" xfId="42" applyNumberFormat="1" applyFont="1" applyBorder="1" applyAlignment="1">
      <alignment horizontal="right" vertical="center"/>
    </xf>
    <xf numFmtId="2" fontId="176" fillId="0" borderId="0" xfId="27" applyNumberFormat="1" applyFont="1"/>
    <xf numFmtId="4" fontId="178" fillId="29" borderId="5" xfId="42" applyNumberFormat="1" applyFont="1" applyFill="1" applyBorder="1" applyAlignment="1">
      <alignment horizontal="right" vertical="top" wrapText="1"/>
    </xf>
    <xf numFmtId="10" fontId="177" fillId="29" borderId="5" xfId="27" applyNumberFormat="1" applyFont="1" applyFill="1" applyBorder="1" applyAlignment="1" applyProtection="1">
      <alignment horizontal="right"/>
    </xf>
    <xf numFmtId="4" fontId="176" fillId="0" borderId="0" xfId="27" applyNumberFormat="1" applyFont="1"/>
    <xf numFmtId="0" fontId="176" fillId="0" borderId="28" xfId="42" applyFont="1" applyBorder="1" applyAlignment="1">
      <alignment horizontal="right"/>
    </xf>
    <xf numFmtId="0" fontId="178" fillId="0" borderId="28" xfId="42" applyFont="1" applyBorder="1" applyAlignment="1">
      <alignment horizontal="left" vertical="top" wrapText="1"/>
    </xf>
    <xf numFmtId="4" fontId="178" fillId="0" borderId="28" xfId="42" applyNumberFormat="1" applyFont="1" applyBorder="1" applyAlignment="1">
      <alignment horizontal="left" vertical="top" wrapText="1"/>
    </xf>
    <xf numFmtId="2" fontId="177" fillId="0" borderId="10" xfId="42" applyNumberFormat="1" applyFont="1" applyBorder="1" applyAlignment="1">
      <alignment horizontal="right"/>
    </xf>
    <xf numFmtId="10" fontId="177" fillId="0" borderId="10" xfId="27" applyNumberFormat="1" applyFont="1" applyFill="1" applyBorder="1" applyAlignment="1" applyProtection="1">
      <alignment horizontal="right"/>
    </xf>
    <xf numFmtId="4" fontId="178" fillId="10" borderId="5" xfId="42" applyNumberFormat="1" applyFont="1" applyFill="1" applyBorder="1" applyAlignment="1">
      <alignment horizontal="right" vertical="top" wrapText="1"/>
    </xf>
    <xf numFmtId="4" fontId="178" fillId="10" borderId="5" xfId="42" applyNumberFormat="1" applyFont="1" applyFill="1" applyBorder="1" applyAlignment="1">
      <alignment horizontal="right" vertical="center" wrapText="1"/>
    </xf>
    <xf numFmtId="10" fontId="177" fillId="10" borderId="5" xfId="42" applyNumberFormat="1" applyFont="1" applyFill="1" applyBorder="1" applyAlignment="1">
      <alignment horizontal="center" vertical="center"/>
    </xf>
    <xf numFmtId="10" fontId="177" fillId="10" borderId="5" xfId="27" applyNumberFormat="1" applyFont="1" applyFill="1" applyBorder="1" applyAlignment="1" applyProtection="1">
      <alignment horizontal="right" vertical="center"/>
    </xf>
    <xf numFmtId="0" fontId="178" fillId="0" borderId="83" xfId="42" applyFont="1" applyBorder="1" applyAlignment="1">
      <alignment horizontal="center" vertical="top" wrapText="1"/>
    </xf>
    <xf numFmtId="0" fontId="176" fillId="4" borderId="83" xfId="63" applyFont="1" applyFill="1" applyBorder="1" applyAlignment="1"/>
    <xf numFmtId="4" fontId="176" fillId="0" borderId="83" xfId="63" applyNumberFormat="1" applyFont="1" applyBorder="1" applyAlignment="1"/>
    <xf numFmtId="4" fontId="176" fillId="4" borderId="83" xfId="63" applyNumberFormat="1" applyFont="1" applyFill="1" applyBorder="1" applyAlignment="1"/>
    <xf numFmtId="10" fontId="176" fillId="0" borderId="83" xfId="27" applyNumberFormat="1" applyFont="1" applyFill="1" applyBorder="1" applyAlignment="1" applyProtection="1">
      <alignment horizontal="right"/>
    </xf>
    <xf numFmtId="184" fontId="176" fillId="4" borderId="12" xfId="63" applyNumberFormat="1" applyFont="1" applyFill="1" applyBorder="1" applyAlignment="1"/>
    <xf numFmtId="4" fontId="176" fillId="0" borderId="83" xfId="42" applyNumberFormat="1" applyFont="1" applyBorder="1" applyAlignment="1">
      <alignment horizontal="right"/>
    </xf>
    <xf numFmtId="10" fontId="176" fillId="4" borderId="83" xfId="27" applyNumberFormat="1" applyFont="1" applyFill="1" applyBorder="1" applyAlignment="1" applyProtection="1">
      <alignment horizontal="right"/>
    </xf>
    <xf numFmtId="176" fontId="176" fillId="0" borderId="0" xfId="42" applyNumberFormat="1" applyFont="1"/>
    <xf numFmtId="0" fontId="176" fillId="4" borderId="12" xfId="63" applyFont="1" applyFill="1" applyBorder="1" applyAlignment="1"/>
    <xf numFmtId="4" fontId="176" fillId="0" borderId="12" xfId="63" applyNumberFormat="1" applyFont="1" applyBorder="1" applyAlignment="1"/>
    <xf numFmtId="4" fontId="176" fillId="0" borderId="12" xfId="42" applyNumberFormat="1" applyFont="1" applyBorder="1" applyAlignment="1">
      <alignment horizontal="right"/>
    </xf>
    <xf numFmtId="4" fontId="176" fillId="4" borderId="12" xfId="63" applyNumberFormat="1" applyFont="1" applyFill="1" applyBorder="1" applyAlignment="1"/>
    <xf numFmtId="0" fontId="176" fillId="0" borderId="12" xfId="63" applyFont="1" applyBorder="1" applyAlignment="1"/>
    <xf numFmtId="0" fontId="178" fillId="0" borderId="94" xfId="42" applyFont="1" applyBorder="1" applyAlignment="1">
      <alignment horizontal="center" vertical="top" wrapText="1"/>
    </xf>
    <xf numFmtId="0" fontId="176" fillId="0" borderId="94" xfId="63" applyFont="1" applyBorder="1" applyAlignment="1"/>
    <xf numFmtId="4" fontId="176" fillId="0" borderId="94" xfId="63" applyNumberFormat="1" applyFont="1" applyBorder="1" applyAlignment="1"/>
    <xf numFmtId="4" fontId="181" fillId="10" borderId="5" xfId="62" applyNumberFormat="1" applyFont="1" applyFill="1" applyBorder="1" applyAlignment="1">
      <alignment vertical="center" wrapText="1"/>
    </xf>
    <xf numFmtId="0" fontId="178" fillId="0" borderId="93" xfId="42" applyFont="1" applyBorder="1" applyAlignment="1">
      <alignment horizontal="center" vertical="top" wrapText="1"/>
    </xf>
    <xf numFmtId="183" fontId="181" fillId="0" borderId="93" xfId="62" applyFont="1" applyBorder="1" applyAlignment="1">
      <alignment horizontal="left" vertical="center" wrapText="1"/>
    </xf>
    <xf numFmtId="4" fontId="181" fillId="0" borderId="93" xfId="62" applyNumberFormat="1" applyFont="1" applyBorder="1" applyAlignment="1">
      <alignment horizontal="right" vertical="center" wrapText="1"/>
    </xf>
    <xf numFmtId="2" fontId="177" fillId="0" borderId="93" xfId="42" applyNumberFormat="1" applyFont="1" applyBorder="1" applyAlignment="1">
      <alignment horizontal="right"/>
    </xf>
    <xf numFmtId="10" fontId="177" fillId="0" borderId="93" xfId="27" applyNumberFormat="1" applyFont="1" applyFill="1" applyBorder="1" applyAlignment="1" applyProtection="1">
      <alignment horizontal="right"/>
    </xf>
    <xf numFmtId="10" fontId="176" fillId="0" borderId="12" xfId="27" applyNumberFormat="1" applyFont="1" applyFill="1" applyBorder="1" applyAlignment="1" applyProtection="1">
      <alignment horizontal="right"/>
    </xf>
    <xf numFmtId="4" fontId="181" fillId="0" borderId="12" xfId="62" applyNumberFormat="1" applyFont="1" applyBorder="1" applyAlignment="1">
      <alignment horizontal="right" vertical="center" wrapText="1"/>
    </xf>
    <xf numFmtId="2" fontId="177" fillId="0" borderId="12" xfId="42" applyNumberFormat="1" applyFont="1" applyBorder="1" applyAlignment="1">
      <alignment horizontal="right"/>
    </xf>
    <xf numFmtId="10" fontId="177" fillId="0" borderId="12" xfId="27" applyNumberFormat="1" applyFont="1" applyFill="1" applyBorder="1" applyAlignment="1" applyProtection="1">
      <alignment horizontal="right"/>
    </xf>
    <xf numFmtId="0" fontId="177" fillId="0" borderId="12" xfId="63" applyFont="1" applyBorder="1" applyAlignment="1">
      <alignment horizontal="left" indent="1"/>
    </xf>
    <xf numFmtId="4" fontId="177" fillId="0" borderId="12" xfId="42" applyNumberFormat="1" applyFont="1" applyBorder="1" applyAlignment="1">
      <alignment horizontal="right"/>
    </xf>
    <xf numFmtId="184" fontId="177" fillId="4" borderId="12" xfId="63" applyNumberFormat="1" applyFont="1" applyFill="1" applyBorder="1" applyAlignment="1"/>
    <xf numFmtId="183" fontId="181" fillId="0" borderId="12" xfId="62" applyFont="1" applyBorder="1" applyAlignment="1">
      <alignment horizontal="left" vertical="center" wrapText="1"/>
    </xf>
    <xf numFmtId="0" fontId="178" fillId="0" borderId="95" xfId="42" applyFont="1" applyBorder="1" applyAlignment="1">
      <alignment horizontal="center" vertical="top" wrapText="1"/>
    </xf>
    <xf numFmtId="0" fontId="176" fillId="0" borderId="95" xfId="63" applyFont="1" applyBorder="1" applyAlignment="1"/>
    <xf numFmtId="4" fontId="176" fillId="0" borderId="95" xfId="42" applyNumberFormat="1" applyFont="1" applyBorder="1" applyAlignment="1">
      <alignment horizontal="right"/>
    </xf>
    <xf numFmtId="2" fontId="177" fillId="0" borderId="95" xfId="42" applyNumberFormat="1" applyFont="1" applyBorder="1" applyAlignment="1">
      <alignment horizontal="right"/>
    </xf>
    <xf numFmtId="10" fontId="177" fillId="0" borderId="95" xfId="27" applyNumberFormat="1" applyFont="1" applyFill="1" applyBorder="1" applyAlignment="1" applyProtection="1">
      <alignment horizontal="right"/>
    </xf>
    <xf numFmtId="175" fontId="182" fillId="10" borderId="5" xfId="62" applyNumberFormat="1" applyFont="1" applyFill="1" applyBorder="1" applyAlignment="1">
      <alignment vertical="top" wrapText="1"/>
    </xf>
    <xf numFmtId="0" fontId="178" fillId="0" borderId="0" xfId="42" applyFont="1" applyAlignment="1">
      <alignment horizontal="center" vertical="top" wrapText="1"/>
    </xf>
    <xf numFmtId="0" fontId="176" fillId="0" borderId="0" xfId="63" applyFont="1" applyAlignment="1"/>
    <xf numFmtId="4" fontId="176" fillId="0" borderId="43" xfId="42" applyNumberFormat="1" applyFont="1" applyBorder="1"/>
    <xf numFmtId="2" fontId="177" fillId="0" borderId="85" xfId="42" applyNumberFormat="1" applyFont="1" applyBorder="1" applyAlignment="1">
      <alignment horizontal="right"/>
    </xf>
    <xf numFmtId="2" fontId="177" fillId="0" borderId="43" xfId="42" applyNumberFormat="1" applyFont="1" applyBorder="1" applyAlignment="1">
      <alignment horizontal="right"/>
    </xf>
    <xf numFmtId="10" fontId="177" fillId="0" borderId="43" xfId="27" applyNumberFormat="1" applyFont="1" applyFill="1" applyBorder="1" applyAlignment="1" applyProtection="1">
      <alignment horizontal="right"/>
    </xf>
    <xf numFmtId="175" fontId="182" fillId="30" borderId="5" xfId="62" applyNumberFormat="1" applyFont="1" applyFill="1" applyBorder="1" applyAlignment="1">
      <alignment horizontal="right" vertical="top" wrapText="1"/>
    </xf>
    <xf numFmtId="10" fontId="182" fillId="30" borderId="5" xfId="42" applyNumberFormat="1" applyFont="1" applyFill="1" applyBorder="1" applyAlignment="1">
      <alignment horizontal="right" vertical="center"/>
    </xf>
    <xf numFmtId="10" fontId="182" fillId="30" borderId="5" xfId="27" applyNumberFormat="1" applyFont="1" applyFill="1" applyBorder="1" applyAlignment="1" applyProtection="1">
      <alignment horizontal="right" vertical="center"/>
    </xf>
    <xf numFmtId="183" fontId="182" fillId="0" borderId="28" xfId="62" applyFont="1" applyBorder="1" applyAlignment="1">
      <alignment horizontal="left" vertical="top" wrapText="1"/>
    </xf>
    <xf numFmtId="2" fontId="177" fillId="0" borderId="28" xfId="42" applyNumberFormat="1" applyFont="1" applyBorder="1" applyAlignment="1">
      <alignment horizontal="right"/>
    </xf>
    <xf numFmtId="10" fontId="177" fillId="0" borderId="28" xfId="27" applyNumberFormat="1" applyFont="1" applyFill="1" applyBorder="1" applyAlignment="1" applyProtection="1">
      <alignment horizontal="right"/>
    </xf>
    <xf numFmtId="0" fontId="176" fillId="0" borderId="0" xfId="42" applyFont="1" applyAlignment="1">
      <alignment horizontal="right"/>
    </xf>
    <xf numFmtId="175" fontId="176" fillId="0" borderId="0" xfId="42" applyNumberFormat="1" applyFont="1"/>
    <xf numFmtId="0" fontId="178" fillId="4" borderId="12" xfId="42" applyFont="1" applyFill="1" applyBorder="1" applyAlignment="1">
      <alignment horizontal="left" vertical="center" wrapText="1"/>
    </xf>
    <xf numFmtId="4" fontId="178" fillId="4" borderId="12" xfId="42" applyNumberFormat="1" applyFont="1" applyFill="1" applyBorder="1" applyAlignment="1">
      <alignment horizontal="right" vertical="center" wrapText="1"/>
    </xf>
    <xf numFmtId="4" fontId="177" fillId="4" borderId="12" xfId="42" applyNumberFormat="1" applyFont="1" applyFill="1" applyBorder="1" applyAlignment="1">
      <alignment horizontal="right" vertical="center"/>
    </xf>
    <xf numFmtId="10" fontId="177" fillId="4" borderId="12" xfId="27" applyNumberFormat="1" applyFont="1" applyFill="1" applyBorder="1" applyAlignment="1" applyProtection="1">
      <alignment horizontal="right"/>
    </xf>
    <xf numFmtId="2" fontId="176" fillId="4" borderId="0" xfId="42" applyNumberFormat="1" applyFont="1" applyFill="1"/>
    <xf numFmtId="10" fontId="176" fillId="4" borderId="0" xfId="27" applyNumberFormat="1" applyFont="1" applyFill="1"/>
    <xf numFmtId="165" fontId="177" fillId="4" borderId="0" xfId="61" applyFont="1" applyFill="1"/>
    <xf numFmtId="0" fontId="73" fillId="0" borderId="31" xfId="42" applyFont="1" applyBorder="1" applyAlignment="1" applyProtection="1">
      <alignment vertical="center"/>
      <protection locked="0"/>
    </xf>
    <xf numFmtId="0" fontId="73" fillId="0" borderId="38" xfId="42" applyFont="1" applyBorder="1" applyAlignment="1" applyProtection="1">
      <alignment vertical="center" wrapText="1"/>
      <protection locked="0"/>
    </xf>
    <xf numFmtId="0" fontId="73" fillId="0" borderId="31" xfId="42" applyFont="1" applyBorder="1" applyAlignment="1" applyProtection="1">
      <alignment vertical="center" wrapText="1"/>
      <protection locked="0"/>
    </xf>
    <xf numFmtId="164" fontId="177" fillId="0" borderId="0" xfId="40" applyFont="1"/>
    <xf numFmtId="164" fontId="177" fillId="4" borderId="0" xfId="40" applyFont="1" applyFill="1"/>
    <xf numFmtId="164" fontId="176" fillId="0" borderId="0" xfId="40" applyFont="1"/>
    <xf numFmtId="4" fontId="184" fillId="4" borderId="0" xfId="12" applyNumberFormat="1" applyFont="1" applyFill="1" applyAlignment="1">
      <alignment horizontal="center"/>
    </xf>
    <xf numFmtId="0" fontId="184" fillId="4" borderId="0" xfId="12" applyFont="1" applyFill="1" applyAlignment="1">
      <alignment horizontal="center"/>
    </xf>
    <xf numFmtId="4" fontId="184" fillId="0" borderId="0" xfId="12" applyNumberFormat="1" applyFont="1" applyAlignment="1">
      <alignment horizontal="center"/>
    </xf>
    <xf numFmtId="185" fontId="176" fillId="0" borderId="0" xfId="40" applyNumberFormat="1" applyFont="1"/>
    <xf numFmtId="0" fontId="185" fillId="0" borderId="0" xfId="12" applyFont="1"/>
    <xf numFmtId="0" fontId="186" fillId="4" borderId="0" xfId="12" applyFont="1" applyFill="1" applyAlignment="1">
      <alignment vertical="center"/>
    </xf>
    <xf numFmtId="0" fontId="185" fillId="4" borderId="0" xfId="12" applyFont="1" applyFill="1" applyAlignment="1">
      <alignment vertical="center"/>
    </xf>
    <xf numFmtId="0" fontId="185" fillId="4" borderId="0" xfId="12" applyFont="1" applyFill="1"/>
    <xf numFmtId="0" fontId="107" fillId="4" borderId="0" xfId="12" applyFont="1" applyFill="1"/>
    <xf numFmtId="0" fontId="154" fillId="4" borderId="42" xfId="42" applyFont="1" applyFill="1" applyBorder="1" applyAlignment="1" applyProtection="1">
      <alignment vertical="center"/>
      <protection locked="0"/>
    </xf>
    <xf numFmtId="4" fontId="136" fillId="4" borderId="42" xfId="42" applyNumberFormat="1" applyFont="1" applyFill="1" applyBorder="1" applyAlignment="1">
      <alignment vertical="center"/>
    </xf>
    <xf numFmtId="4" fontId="42" fillId="4" borderId="44" xfId="12" applyNumberFormat="1" applyFont="1" applyFill="1" applyBorder="1" applyAlignment="1">
      <alignment horizontal="center" vertical="center"/>
    </xf>
    <xf numFmtId="4" fontId="42" fillId="4" borderId="25" xfId="12" applyNumberFormat="1" applyFont="1" applyFill="1" applyBorder="1" applyAlignment="1">
      <alignment horizontal="center" vertical="center"/>
    </xf>
    <xf numFmtId="4" fontId="42" fillId="4" borderId="26" xfId="12" applyNumberFormat="1" applyFont="1" applyFill="1" applyBorder="1" applyAlignment="1">
      <alignment horizontal="center" vertical="center"/>
    </xf>
    <xf numFmtId="4" fontId="42" fillId="4" borderId="45" xfId="12" applyNumberFormat="1" applyFont="1" applyFill="1" applyBorder="1" applyAlignment="1">
      <alignment horizontal="center" vertical="center"/>
    </xf>
    <xf numFmtId="4" fontId="42" fillId="4" borderId="64" xfId="12" applyNumberFormat="1" applyFont="1" applyFill="1" applyBorder="1" applyAlignment="1">
      <alignment horizontal="center" vertical="center"/>
    </xf>
    <xf numFmtId="4" fontId="42" fillId="0" borderId="44" xfId="12" applyNumberFormat="1" applyFont="1" applyBorder="1" applyAlignment="1">
      <alignment horizontal="center" vertical="center"/>
    </xf>
    <xf numFmtId="4" fontId="42" fillId="4" borderId="45" xfId="12" applyNumberFormat="1" applyFont="1" applyFill="1" applyBorder="1" applyAlignment="1" applyProtection="1">
      <alignment horizontal="center" vertical="center"/>
      <protection locked="0"/>
    </xf>
    <xf numFmtId="4" fontId="42" fillId="26" borderId="28" xfId="12" applyNumberFormat="1" applyFont="1" applyFill="1" applyBorder="1" applyAlignment="1">
      <alignment horizontal="center" vertical="center"/>
    </xf>
    <xf numFmtId="4" fontId="42" fillId="0" borderId="26" xfId="12" applyNumberFormat="1" applyFont="1" applyBorder="1" applyAlignment="1" applyProtection="1">
      <alignment horizontal="center" vertical="center"/>
      <protection locked="0"/>
    </xf>
    <xf numFmtId="4" fontId="42" fillId="4" borderId="25" xfId="12" applyNumberFormat="1" applyFont="1" applyFill="1" applyBorder="1" applyAlignment="1" applyProtection="1">
      <alignment horizontal="center" vertical="center"/>
      <protection locked="0"/>
    </xf>
    <xf numFmtId="10" fontId="42" fillId="4" borderId="26" xfId="12" applyNumberFormat="1" applyFont="1" applyFill="1" applyBorder="1" applyAlignment="1">
      <alignment horizontal="center" vertical="center"/>
    </xf>
    <xf numFmtId="4" fontId="42" fillId="4" borderId="44" xfId="12" applyNumberFormat="1" applyFont="1" applyFill="1" applyBorder="1" applyAlignment="1">
      <alignment vertical="center"/>
    </xf>
    <xf numFmtId="4" fontId="42" fillId="4" borderId="25" xfId="12" applyNumberFormat="1" applyFont="1" applyFill="1" applyBorder="1" applyAlignment="1" applyProtection="1">
      <alignment vertical="center"/>
      <protection locked="0"/>
    </xf>
    <xf numFmtId="10" fontId="42" fillId="4" borderId="45" xfId="12" applyNumberFormat="1" applyFont="1" applyFill="1" applyBorder="1" applyAlignment="1">
      <alignment vertical="center"/>
    </xf>
    <xf numFmtId="4" fontId="14" fillId="7" borderId="2" xfId="12" applyNumberFormat="1" applyFont="1" applyFill="1" applyBorder="1"/>
    <xf numFmtId="4" fontId="14" fillId="0" borderId="2" xfId="12" applyNumberFormat="1" applyFont="1" applyBorder="1"/>
    <xf numFmtId="10" fontId="14" fillId="4" borderId="2" xfId="27" applyNumberFormat="1" applyFont="1" applyFill="1" applyBorder="1" applyAlignment="1">
      <alignment horizontal="center"/>
    </xf>
    <xf numFmtId="0" fontId="129" fillId="4" borderId="51" xfId="12" applyFont="1" applyFill="1" applyBorder="1"/>
    <xf numFmtId="4" fontId="176" fillId="4" borderId="12" xfId="42" applyNumberFormat="1" applyFont="1" applyFill="1" applyBorder="1" applyAlignment="1">
      <alignment horizontal="right" vertical="center" wrapText="1"/>
    </xf>
    <xf numFmtId="10" fontId="42" fillId="4" borderId="0" xfId="41" applyNumberFormat="1" applyFont="1" applyFill="1" applyAlignment="1">
      <alignment vertical="center"/>
    </xf>
    <xf numFmtId="0" fontId="90" fillId="0" borderId="4" xfId="0" applyFont="1" applyBorder="1" applyAlignment="1" applyProtection="1">
      <alignment vertical="center"/>
      <protection locked="0"/>
    </xf>
    <xf numFmtId="0" fontId="90" fillId="0" borderId="5" xfId="0" applyFont="1" applyBorder="1" applyAlignment="1" applyProtection="1">
      <alignment vertical="center"/>
      <protection locked="0"/>
    </xf>
    <xf numFmtId="0" fontId="4" fillId="0" borderId="0" xfId="64"/>
    <xf numFmtId="0" fontId="4" fillId="0" borderId="0" xfId="64" applyAlignment="1">
      <alignment horizontal="center"/>
    </xf>
    <xf numFmtId="0" fontId="4" fillId="0" borderId="1" xfId="64" applyBorder="1" applyAlignment="1">
      <alignment horizontal="center"/>
    </xf>
    <xf numFmtId="0" fontId="4" fillId="0" borderId="2" xfId="64" applyBorder="1" applyAlignment="1">
      <alignment horizontal="center"/>
    </xf>
    <xf numFmtId="0" fontId="4" fillId="0" borderId="3" xfId="64" applyBorder="1" applyAlignment="1">
      <alignment horizontal="center"/>
    </xf>
    <xf numFmtId="0" fontId="4" fillId="0" borderId="5" xfId="64" applyBorder="1"/>
    <xf numFmtId="0" fontId="4" fillId="0" borderId="5" xfId="64" applyBorder="1" applyAlignment="1">
      <alignment vertical="center"/>
    </xf>
    <xf numFmtId="0" fontId="4" fillId="0" borderId="4" xfId="64" applyBorder="1"/>
    <xf numFmtId="167" fontId="4" fillId="0" borderId="0" xfId="64" applyNumberFormat="1"/>
    <xf numFmtId="0" fontId="4" fillId="0" borderId="4" xfId="64" applyBorder="1" applyAlignment="1">
      <alignment horizontal="center"/>
    </xf>
    <xf numFmtId="0" fontId="109" fillId="0" borderId="0" xfId="64" applyFont="1" applyAlignment="1">
      <alignment vertical="center"/>
    </xf>
    <xf numFmtId="0" fontId="111" fillId="0" borderId="0" xfId="64" applyFont="1"/>
    <xf numFmtId="0" fontId="111" fillId="0" borderId="0" xfId="64" applyFont="1" applyAlignment="1">
      <alignment horizontal="left" vertical="center"/>
    </xf>
    <xf numFmtId="0" fontId="111" fillId="0" borderId="0" xfId="64" applyFont="1" applyAlignment="1">
      <alignment horizontal="center" vertical="center"/>
    </xf>
    <xf numFmtId="4" fontId="109" fillId="0" borderId="0" xfId="64" applyNumberFormat="1" applyFont="1"/>
    <xf numFmtId="0" fontId="4" fillId="0" borderId="5" xfId="64" applyBorder="1" applyAlignment="1">
      <alignment vertical="top"/>
    </xf>
    <xf numFmtId="0" fontId="111" fillId="0" borderId="0" xfId="64" quotePrefix="1" applyFont="1" applyAlignment="1">
      <alignment horizontal="left" vertical="center"/>
    </xf>
    <xf numFmtId="0" fontId="4" fillId="0" borderId="9" xfId="64" applyBorder="1" applyAlignment="1">
      <alignment horizontal="left"/>
    </xf>
    <xf numFmtId="0" fontId="4" fillId="0" borderId="9" xfId="64" applyBorder="1"/>
    <xf numFmtId="0" fontId="165" fillId="0" borderId="0" xfId="12" applyFont="1" applyAlignment="1">
      <alignment horizontal="center" vertical="center"/>
    </xf>
    <xf numFmtId="10" fontId="143" fillId="7" borderId="0" xfId="41" applyNumberFormat="1" applyFont="1" applyFill="1" applyAlignment="1">
      <alignment horizontal="center" vertical="center"/>
    </xf>
    <xf numFmtId="10" fontId="113" fillId="0" borderId="0" xfId="41" applyNumberFormat="1" applyFont="1" applyAlignment="1">
      <alignment horizontal="center" vertical="center"/>
    </xf>
    <xf numFmtId="0" fontId="62" fillId="0" borderId="0" xfId="19" applyFont="1" applyAlignment="1">
      <alignment horizontal="center"/>
    </xf>
    <xf numFmtId="0" fontId="63" fillId="0" borderId="0" xfId="19" applyFont="1" applyAlignment="1">
      <alignment horizontal="center"/>
    </xf>
    <xf numFmtId="0" fontId="16" fillId="0" borderId="0" xfId="14" applyAlignment="1">
      <alignment horizontal="center" vertical="center" wrapText="1"/>
    </xf>
    <xf numFmtId="171" fontId="145" fillId="0" borderId="0" xfId="58" applyNumberFormat="1" applyFont="1" applyAlignment="1">
      <alignment horizontal="left"/>
    </xf>
    <xf numFmtId="43" fontId="16" fillId="0" borderId="0" xfId="14" applyNumberFormat="1" applyAlignment="1">
      <alignment horizontal="center"/>
    </xf>
    <xf numFmtId="43" fontId="16" fillId="0" borderId="0" xfId="34" applyNumberFormat="1" applyFont="1" applyBorder="1" applyAlignment="1">
      <alignment horizontal="center"/>
    </xf>
    <xf numFmtId="0" fontId="16" fillId="0" borderId="5" xfId="14" applyBorder="1" applyAlignment="1">
      <alignment horizontal="center" vertical="center"/>
    </xf>
    <xf numFmtId="164" fontId="16" fillId="0" borderId="5" xfId="40" applyFont="1" applyBorder="1"/>
    <xf numFmtId="0" fontId="57" fillId="0" borderId="5" xfId="14" applyFont="1" applyBorder="1" applyAlignment="1">
      <alignment horizontal="center"/>
    </xf>
    <xf numFmtId="164" fontId="23" fillId="0" borderId="5" xfId="40" applyFont="1" applyBorder="1"/>
    <xf numFmtId="164" fontId="16" fillId="0" borderId="0" xfId="40" applyFont="1" applyBorder="1"/>
    <xf numFmtId="164" fontId="23" fillId="0" borderId="0" xfId="40" applyFont="1" applyBorder="1"/>
    <xf numFmtId="4" fontId="16" fillId="0" borderId="0" xfId="14" applyNumberFormat="1" applyAlignment="1">
      <alignment horizontal="center" vertical="center" wrapText="1"/>
    </xf>
    <xf numFmtId="4" fontId="16" fillId="0" borderId="0" xfId="14" applyNumberFormat="1" applyAlignment="1">
      <alignment horizontal="center"/>
    </xf>
    <xf numFmtId="164" fontId="16" fillId="0" borderId="0" xfId="14" applyNumberFormat="1" applyAlignment="1">
      <alignment horizontal="center" vertical="center" wrapText="1"/>
    </xf>
    <xf numFmtId="164" fontId="16" fillId="0" borderId="0" xfId="40" applyFont="1" applyBorder="1" applyAlignment="1">
      <alignment horizontal="center"/>
    </xf>
    <xf numFmtId="164" fontId="16" fillId="0" borderId="0" xfId="40" applyFont="1" applyBorder="1" applyAlignment="1">
      <alignment horizontal="center" vertical="center" wrapText="1"/>
    </xf>
    <xf numFmtId="164" fontId="16" fillId="0" borderId="5" xfId="40" applyFont="1" applyBorder="1" applyAlignment="1">
      <alignment horizontal="center" vertical="center" wrapText="1"/>
    </xf>
    <xf numFmtId="164" fontId="16" fillId="0" borderId="5" xfId="40" applyFont="1" applyBorder="1" applyAlignment="1">
      <alignment horizontal="center"/>
    </xf>
    <xf numFmtId="164" fontId="23" fillId="0" borderId="5" xfId="40" applyFont="1" applyBorder="1" applyAlignment="1">
      <alignment horizontal="center"/>
    </xf>
    <xf numFmtId="49" fontId="16" fillId="0" borderId="0" xfId="40" applyNumberFormat="1" applyFont="1" applyBorder="1" applyAlignment="1">
      <alignment horizontal="center" vertical="center" wrapText="1"/>
    </xf>
    <xf numFmtId="164" fontId="16" fillId="0" borderId="9" xfId="40" applyFont="1" applyBorder="1" applyAlignment="1">
      <alignment horizontal="center" vertical="center" wrapText="1"/>
    </xf>
    <xf numFmtId="164" fontId="16" fillId="0" borderId="9" xfId="40" applyFont="1" applyBorder="1" applyAlignment="1">
      <alignment horizontal="center"/>
    </xf>
    <xf numFmtId="49" fontId="16" fillId="0" borderId="5" xfId="40" applyNumberFormat="1" applyFont="1" applyBorder="1" applyAlignment="1">
      <alignment horizontal="center" vertical="center" wrapText="1"/>
    </xf>
    <xf numFmtId="49" fontId="16" fillId="0" borderId="9" xfId="40" applyNumberFormat="1" applyFont="1" applyBorder="1" applyAlignment="1">
      <alignment horizontal="center" vertical="center" wrapText="1"/>
    </xf>
    <xf numFmtId="0" fontId="176" fillId="7" borderId="0" xfId="42" applyFont="1" applyFill="1"/>
    <xf numFmtId="2" fontId="176" fillId="7" borderId="0" xfId="42" applyNumberFormat="1" applyFont="1" applyFill="1"/>
    <xf numFmtId="164" fontId="176" fillId="7" borderId="0" xfId="2" applyFont="1" applyFill="1"/>
    <xf numFmtId="165" fontId="177" fillId="7" borderId="0" xfId="61" applyFont="1" applyFill="1"/>
    <xf numFmtId="164" fontId="177" fillId="7" borderId="0" xfId="40" applyFont="1" applyFill="1"/>
    <xf numFmtId="4" fontId="176" fillId="7" borderId="0" xfId="42" applyNumberFormat="1" applyFont="1" applyFill="1"/>
    <xf numFmtId="185" fontId="176" fillId="7" borderId="0" xfId="40" applyNumberFormat="1" applyFont="1" applyFill="1"/>
    <xf numFmtId="4" fontId="113" fillId="0" borderId="0" xfId="12" applyNumberFormat="1" applyFont="1" applyAlignment="1">
      <alignment horizontal="left"/>
    </xf>
    <xf numFmtId="0" fontId="114" fillId="0" borderId="0" xfId="12" applyFont="1" applyAlignment="1">
      <alignment horizontal="left" vertical="center"/>
    </xf>
    <xf numFmtId="14" fontId="42" fillId="0" borderId="0" xfId="12" applyNumberFormat="1" applyFont="1" applyAlignment="1">
      <alignment horizontal="right" vertical="center"/>
    </xf>
    <xf numFmtId="0" fontId="155" fillId="0" borderId="0" xfId="12" applyFont="1" applyAlignment="1">
      <alignment horizontal="center"/>
    </xf>
    <xf numFmtId="0" fontId="3" fillId="0" borderId="5" xfId="64" applyFont="1" applyBorder="1"/>
    <xf numFmtId="4" fontId="113" fillId="0" borderId="0" xfId="12" applyNumberFormat="1" applyFont="1" applyAlignment="1">
      <alignment horizontal="left" vertical="center" wrapText="1"/>
    </xf>
    <xf numFmtId="4" fontId="113" fillId="0" borderId="0" xfId="12" applyNumberFormat="1" applyFont="1" applyAlignment="1">
      <alignment horizontal="left" vertical="center"/>
    </xf>
    <xf numFmtId="0" fontId="114" fillId="0" borderId="0" xfId="0" applyFont="1" applyAlignment="1">
      <alignment vertical="center"/>
    </xf>
    <xf numFmtId="164" fontId="113" fillId="4" borderId="46" xfId="2" applyFont="1" applyFill="1" applyBorder="1" applyAlignment="1">
      <alignment vertical="center"/>
    </xf>
    <xf numFmtId="164" fontId="113" fillId="4" borderId="54" xfId="2" applyFont="1" applyFill="1" applyBorder="1" applyAlignment="1">
      <alignment vertical="center"/>
    </xf>
    <xf numFmtId="164" fontId="113" fillId="4" borderId="55" xfId="2" applyFont="1" applyFill="1" applyBorder="1" applyAlignment="1">
      <alignment vertical="center"/>
    </xf>
    <xf numFmtId="4" fontId="23" fillId="0" borderId="5" xfId="14" applyNumberFormat="1" applyFont="1" applyBorder="1" applyAlignment="1">
      <alignment vertical="center"/>
    </xf>
    <xf numFmtId="10" fontId="23" fillId="0" borderId="5" xfId="30" applyNumberFormat="1" applyFont="1" applyBorder="1" applyAlignment="1">
      <alignment vertical="center"/>
    </xf>
    <xf numFmtId="10" fontId="42" fillId="7" borderId="6" xfId="12" applyNumberFormat="1" applyFont="1" applyFill="1" applyBorder="1" applyAlignment="1">
      <alignment vertical="center"/>
    </xf>
    <xf numFmtId="0" fontId="188" fillId="0" borderId="31" xfId="42" applyFont="1" applyBorder="1" applyAlignment="1" applyProtection="1">
      <alignment vertical="center"/>
      <protection locked="0"/>
    </xf>
    <xf numFmtId="0" fontId="188" fillId="0" borderId="31" xfId="42" applyFont="1" applyBorder="1" applyAlignment="1" applyProtection="1">
      <alignment vertical="center" wrapText="1"/>
      <protection locked="0"/>
    </xf>
    <xf numFmtId="49" fontId="40" fillId="0" borderId="0" xfId="42" applyNumberFormat="1" applyFont="1" applyAlignment="1">
      <alignment vertical="center"/>
    </xf>
    <xf numFmtId="10" fontId="41" fillId="4" borderId="0" xfId="12" applyNumberFormat="1" applyFont="1" applyFill="1" applyAlignment="1">
      <alignment vertical="center"/>
    </xf>
    <xf numFmtId="10" fontId="13" fillId="0" borderId="0" xfId="27" applyNumberFormat="1" applyFont="1" applyFill="1" applyBorder="1"/>
    <xf numFmtId="10" fontId="13" fillId="4" borderId="0" xfId="27" applyNumberFormat="1" applyFont="1" applyFill="1" applyBorder="1"/>
    <xf numFmtId="10" fontId="129" fillId="4" borderId="0" xfId="27" applyNumberFormat="1" applyFont="1" applyFill="1" applyBorder="1"/>
    <xf numFmtId="4" fontId="176" fillId="4" borderId="0" xfId="42" applyNumberFormat="1" applyFont="1" applyFill="1"/>
    <xf numFmtId="0" fontId="90" fillId="7" borderId="4" xfId="0" applyFont="1" applyFill="1" applyBorder="1" applyAlignment="1" applyProtection="1">
      <alignment vertical="center"/>
      <protection locked="0"/>
    </xf>
    <xf numFmtId="0" fontId="90" fillId="0" borderId="6" xfId="0" applyFont="1" applyBorder="1" applyAlignment="1" applyProtection="1">
      <alignment horizontal="center" vertical="center"/>
      <protection locked="0"/>
    </xf>
    <xf numFmtId="0" fontId="185" fillId="0" borderId="0" xfId="12" applyFont="1" applyAlignment="1">
      <alignment vertical="center"/>
    </xf>
    <xf numFmtId="0" fontId="97" fillId="0" borderId="4" xfId="0" applyFont="1" applyBorder="1" applyAlignment="1" applyProtection="1">
      <alignment vertical="center"/>
      <protection locked="0"/>
    </xf>
    <xf numFmtId="0" fontId="97" fillId="0" borderId="5" xfId="0" applyFont="1" applyBorder="1" applyAlignment="1" applyProtection="1">
      <alignment vertical="center"/>
      <protection locked="0"/>
    </xf>
    <xf numFmtId="0" fontId="97" fillId="0" borderId="6" xfId="0" applyFont="1" applyBorder="1" applyAlignment="1" applyProtection="1">
      <alignment horizontal="center" vertical="center"/>
      <protection locked="0"/>
    </xf>
    <xf numFmtId="0" fontId="17" fillId="0" borderId="4" xfId="0" applyFont="1" applyBorder="1" applyAlignment="1" applyProtection="1">
      <alignment vertical="center"/>
      <protection locked="0"/>
    </xf>
    <xf numFmtId="0" fontId="17" fillId="0" borderId="5" xfId="0" applyFont="1" applyBorder="1" applyAlignment="1" applyProtection="1">
      <alignment vertical="center"/>
      <protection locked="0"/>
    </xf>
    <xf numFmtId="0" fontId="17" fillId="0" borderId="6" xfId="0" applyFont="1" applyBorder="1" applyAlignment="1" applyProtection="1">
      <alignment horizontal="center" vertical="center"/>
      <protection locked="0"/>
    </xf>
    <xf numFmtId="4" fontId="16" fillId="0" borderId="54" xfId="14" applyNumberFormat="1" applyBorder="1"/>
    <xf numFmtId="4" fontId="23" fillId="0" borderId="5" xfId="14" applyNumberFormat="1" applyFont="1" applyBorder="1"/>
    <xf numFmtId="0" fontId="110" fillId="0" borderId="22" xfId="0" applyFont="1" applyBorder="1" applyAlignment="1">
      <alignment horizontal="left" vertical="center" wrapText="1"/>
    </xf>
    <xf numFmtId="0" fontId="110" fillId="0" borderId="6" xfId="0" applyFont="1" applyBorder="1" applyAlignment="1">
      <alignment horizontal="left" vertical="center" wrapText="1"/>
    </xf>
    <xf numFmtId="167" fontId="4" fillId="0" borderId="22" xfId="64" applyNumberFormat="1" applyBorder="1" applyAlignment="1">
      <alignment horizontal="center"/>
    </xf>
    <xf numFmtId="0" fontId="112" fillId="0" borderId="6" xfId="0" applyFont="1" applyBorder="1" applyAlignment="1">
      <alignment horizontal="center"/>
    </xf>
    <xf numFmtId="0" fontId="112" fillId="0" borderId="22" xfId="0" applyFont="1" applyBorder="1" applyAlignment="1">
      <alignment horizontal="center"/>
    </xf>
    <xf numFmtId="0" fontId="4" fillId="0" borderId="7" xfId="64" applyBorder="1"/>
    <xf numFmtId="0" fontId="4" fillId="0" borderId="8" xfId="64" applyBorder="1"/>
    <xf numFmtId="0" fontId="90" fillId="4" borderId="47" xfId="0" applyFont="1" applyFill="1" applyBorder="1" applyAlignment="1" applyProtection="1">
      <alignment vertical="center"/>
      <protection locked="0"/>
    </xf>
    <xf numFmtId="0" fontId="90" fillId="4" borderId="13" xfId="0" applyFont="1" applyFill="1" applyBorder="1" applyAlignment="1" applyProtection="1">
      <alignment vertical="center"/>
      <protection locked="0"/>
    </xf>
    <xf numFmtId="0" fontId="90" fillId="4" borderId="48" xfId="0" applyFont="1" applyFill="1" applyBorder="1" applyAlignment="1" applyProtection="1">
      <alignment horizontal="center" vertical="center"/>
      <protection locked="0"/>
    </xf>
    <xf numFmtId="0" fontId="90" fillId="4" borderId="7" xfId="0" applyFont="1" applyFill="1" applyBorder="1" applyAlignment="1" applyProtection="1">
      <alignment vertical="center"/>
      <protection locked="0"/>
    </xf>
    <xf numFmtId="0" fontId="90" fillId="4" borderId="8" xfId="0" applyFont="1" applyFill="1" applyBorder="1" applyAlignment="1" applyProtection="1">
      <alignment vertical="center"/>
      <protection locked="0"/>
    </xf>
    <xf numFmtId="0" fontId="90" fillId="4" borderId="35" xfId="0" applyFont="1" applyFill="1" applyBorder="1" applyAlignment="1" applyProtection="1">
      <alignment horizontal="center" vertical="center"/>
      <protection locked="0"/>
    </xf>
    <xf numFmtId="4" fontId="42" fillId="0" borderId="0" xfId="0" applyNumberFormat="1" applyFont="1" applyAlignment="1">
      <alignment horizontal="center" vertical="center"/>
    </xf>
    <xf numFmtId="4" fontId="42" fillId="0" borderId="0" xfId="0" applyNumberFormat="1" applyFont="1" applyAlignment="1">
      <alignment horizontal="center"/>
    </xf>
    <xf numFmtId="4" fontId="42" fillId="0" borderId="0" xfId="12" applyNumberFormat="1" applyFont="1" applyAlignment="1" applyProtection="1">
      <alignment horizontal="center" vertical="center"/>
      <protection locked="0"/>
    </xf>
    <xf numFmtId="4" fontId="183" fillId="0" borderId="0" xfId="0" applyNumberFormat="1" applyFont="1" applyAlignment="1">
      <alignment horizontal="center" vertical="center"/>
    </xf>
    <xf numFmtId="0" fontId="16" fillId="0" borderId="0" xfId="0" applyFont="1"/>
    <xf numFmtId="4" fontId="41" fillId="4" borderId="15" xfId="12" applyNumberFormat="1" applyFont="1" applyFill="1" applyBorder="1" applyAlignment="1">
      <alignment horizontal="center" vertical="center"/>
    </xf>
    <xf numFmtId="0" fontId="190" fillId="0" borderId="4" xfId="42" applyFont="1" applyBorder="1" applyAlignment="1" applyProtection="1">
      <alignment vertical="center"/>
      <protection locked="0"/>
    </xf>
    <xf numFmtId="0" fontId="190" fillId="0" borderId="6" xfId="42" applyFont="1" applyBorder="1" applyAlignment="1" applyProtection="1">
      <alignment vertical="center"/>
      <protection locked="0"/>
    </xf>
    <xf numFmtId="0" fontId="191" fillId="0" borderId="4" xfId="42" applyFont="1" applyBorder="1" applyAlignment="1" applyProtection="1">
      <alignment vertical="center"/>
      <protection locked="0"/>
    </xf>
    <xf numFmtId="0" fontId="191" fillId="0" borderId="6" xfId="42" applyFont="1" applyBorder="1" applyAlignment="1" applyProtection="1">
      <alignment vertical="center"/>
      <protection locked="0"/>
    </xf>
    <xf numFmtId="0" fontId="192" fillId="0" borderId="1" xfId="42" applyFont="1" applyBorder="1" applyAlignment="1" applyProtection="1">
      <alignment vertical="center"/>
      <protection locked="0"/>
    </xf>
    <xf numFmtId="0" fontId="192" fillId="0" borderId="3" xfId="42" applyFont="1" applyBorder="1" applyAlignment="1" applyProtection="1">
      <alignment vertical="center"/>
      <protection locked="0"/>
    </xf>
    <xf numFmtId="0" fontId="193" fillId="0" borderId="4" xfId="42" applyFont="1" applyBorder="1" applyAlignment="1" applyProtection="1">
      <alignment vertical="center"/>
      <protection locked="0"/>
    </xf>
    <xf numFmtId="0" fontId="193" fillId="0" borderId="6" xfId="42" applyFont="1" applyBorder="1" applyAlignment="1" applyProtection="1">
      <alignment vertical="center"/>
      <protection locked="0"/>
    </xf>
    <xf numFmtId="0" fontId="192" fillId="0" borderId="4" xfId="42" applyFont="1" applyBorder="1" applyAlignment="1" applyProtection="1">
      <alignment vertical="center"/>
      <protection locked="0"/>
    </xf>
    <xf numFmtId="0" fontId="192" fillId="0" borderId="6" xfId="42" applyFont="1" applyBorder="1" applyAlignment="1" applyProtection="1">
      <alignment vertical="center"/>
      <protection locked="0"/>
    </xf>
    <xf numFmtId="4" fontId="113" fillId="4" borderId="28" xfId="12" applyNumberFormat="1" applyFont="1" applyFill="1" applyBorder="1" applyAlignment="1">
      <alignment horizontal="center" vertical="center"/>
    </xf>
    <xf numFmtId="4" fontId="113" fillId="4" borderId="10" xfId="12" applyNumberFormat="1" applyFont="1" applyFill="1" applyBorder="1" applyAlignment="1">
      <alignment horizontal="center" vertical="center"/>
    </xf>
    <xf numFmtId="170" fontId="113" fillId="0" borderId="0" xfId="42" applyNumberFormat="1" applyFont="1"/>
    <xf numFmtId="0" fontId="129" fillId="0" borderId="0" xfId="12" applyFont="1"/>
    <xf numFmtId="4" fontId="129" fillId="23" borderId="31" xfId="12" applyNumberFormat="1" applyFont="1" applyFill="1" applyBorder="1" applyAlignment="1">
      <alignment horizontal="center" vertical="center"/>
    </xf>
    <xf numFmtId="4" fontId="0" fillId="0" borderId="0" xfId="0" applyNumberFormat="1"/>
    <xf numFmtId="0" fontId="40" fillId="0" borderId="6" xfId="42" applyFont="1" applyBorder="1" applyAlignment="1" applyProtection="1">
      <alignment vertical="center"/>
      <protection locked="0"/>
    </xf>
    <xf numFmtId="0" fontId="40" fillId="0" borderId="4" xfId="42" applyFont="1" applyBorder="1" applyAlignment="1" applyProtection="1">
      <alignment vertical="center"/>
      <protection locked="0"/>
    </xf>
    <xf numFmtId="4" fontId="41" fillId="0" borderId="17" xfId="42" applyNumberFormat="1" applyFont="1" applyBorder="1" applyAlignment="1" applyProtection="1">
      <alignment horizontal="center" vertical="center"/>
      <protection locked="0"/>
    </xf>
    <xf numFmtId="0" fontId="194" fillId="0" borderId="28" xfId="12" applyFont="1" applyBorder="1" applyAlignment="1">
      <alignment vertical="top" wrapText="1"/>
    </xf>
    <xf numFmtId="0" fontId="194" fillId="0" borderId="70" xfId="12" applyFont="1" applyBorder="1" applyAlignment="1">
      <alignment vertical="top" wrapText="1"/>
    </xf>
    <xf numFmtId="4" fontId="41" fillId="23" borderId="6" xfId="12" applyNumberFormat="1" applyFont="1" applyFill="1" applyBorder="1" applyAlignment="1">
      <alignment horizontal="center" vertical="center"/>
    </xf>
    <xf numFmtId="0" fontId="41" fillId="0" borderId="62" xfId="42" applyFont="1" applyBorder="1" applyAlignment="1" applyProtection="1">
      <alignment horizontal="center" vertical="center"/>
      <protection locked="0"/>
    </xf>
    <xf numFmtId="4" fontId="41" fillId="23" borderId="35" xfId="12" applyNumberFormat="1" applyFont="1" applyFill="1" applyBorder="1" applyAlignment="1">
      <alignment horizontal="center" vertical="center"/>
    </xf>
    <xf numFmtId="2" fontId="41" fillId="0" borderId="5" xfId="12" applyNumberFormat="1" applyFont="1" applyBorder="1" applyAlignment="1">
      <alignment horizontal="center"/>
    </xf>
    <xf numFmtId="0" fontId="168" fillId="0" borderId="5" xfId="12" applyFont="1" applyBorder="1" applyAlignment="1">
      <alignment horizontal="left" vertical="top" wrapText="1"/>
    </xf>
    <xf numFmtId="0" fontId="154" fillId="0" borderId="5" xfId="12" applyFont="1" applyBorder="1" applyAlignment="1">
      <alignment horizontal="left" vertical="top" wrapText="1"/>
    </xf>
    <xf numFmtId="10" fontId="0" fillId="0" borderId="0" xfId="41" applyNumberFormat="1" applyFont="1"/>
    <xf numFmtId="0" fontId="129" fillId="4" borderId="0" xfId="12" applyFont="1" applyFill="1" applyAlignment="1">
      <alignment horizontal="left" vertical="center"/>
    </xf>
    <xf numFmtId="0" fontId="41" fillId="7" borderId="6" xfId="42" applyFont="1" applyFill="1" applyBorder="1" applyAlignment="1" applyProtection="1">
      <alignment vertical="center"/>
      <protection locked="0"/>
    </xf>
    <xf numFmtId="0" fontId="109" fillId="0" borderId="6" xfId="12" applyFont="1" applyBorder="1" applyAlignment="1">
      <alignment horizontal="left" vertical="center"/>
    </xf>
    <xf numFmtId="49" fontId="129" fillId="4" borderId="58" xfId="0" applyNumberFormat="1" applyFont="1" applyFill="1" applyBorder="1" applyAlignment="1">
      <alignment vertical="center"/>
    </xf>
    <xf numFmtId="49" fontId="129" fillId="4" borderId="5" xfId="0" applyNumberFormat="1" applyFont="1" applyFill="1" applyBorder="1" applyAlignment="1">
      <alignment vertical="center"/>
    </xf>
    <xf numFmtId="0" fontId="129" fillId="0" borderId="0" xfId="12" applyFont="1" applyAlignment="1">
      <alignment horizontal="left" vertical="center"/>
    </xf>
    <xf numFmtId="0" fontId="129" fillId="0" borderId="0" xfId="12" applyFont="1" applyAlignment="1">
      <alignment horizontal="left"/>
    </xf>
    <xf numFmtId="4" fontId="13" fillId="0" borderId="13" xfId="12" applyNumberFormat="1" applyFont="1" applyBorder="1" applyAlignment="1">
      <alignment horizontal="center"/>
    </xf>
    <xf numFmtId="4" fontId="13" fillId="4" borderId="13" xfId="12" applyNumberFormat="1" applyFont="1" applyFill="1" applyBorder="1"/>
    <xf numFmtId="0" fontId="21" fillId="4" borderId="14" xfId="12" applyFont="1" applyFill="1" applyBorder="1" applyAlignment="1" applyProtection="1">
      <alignment vertical="center"/>
      <protection locked="0"/>
    </xf>
    <xf numFmtId="0" fontId="14" fillId="4" borderId="15" xfId="12" applyFont="1" applyFill="1" applyBorder="1" applyAlignment="1">
      <alignment horizontal="left"/>
    </xf>
    <xf numFmtId="0" fontId="67" fillId="4" borderId="15" xfId="12" applyFont="1" applyFill="1" applyBorder="1" applyAlignment="1">
      <alignment horizontal="center"/>
    </xf>
    <xf numFmtId="4" fontId="14" fillId="4" borderId="15" xfId="12" applyNumberFormat="1" applyFont="1" applyFill="1" applyBorder="1"/>
    <xf numFmtId="4" fontId="14" fillId="4" borderId="15" xfId="12" applyNumberFormat="1" applyFont="1" applyFill="1" applyBorder="1" applyAlignment="1">
      <alignment horizontal="center"/>
    </xf>
    <xf numFmtId="10" fontId="14" fillId="4" borderId="59" xfId="27" applyNumberFormat="1" applyFont="1" applyFill="1" applyBorder="1"/>
    <xf numFmtId="10" fontId="14" fillId="4" borderId="86" xfId="41" applyNumberFormat="1" applyFont="1" applyFill="1" applyBorder="1" applyAlignment="1"/>
    <xf numFmtId="0" fontId="67" fillId="4" borderId="14" xfId="12" applyFont="1" applyFill="1" applyBorder="1" applyAlignment="1">
      <alignment horizontal="center"/>
    </xf>
    <xf numFmtId="4" fontId="14" fillId="4" borderId="84" xfId="12" applyNumberFormat="1" applyFont="1" applyFill="1" applyBorder="1" applyAlignment="1">
      <alignment horizontal="center"/>
    </xf>
    <xf numFmtId="10" fontId="14" fillId="4" borderId="86" xfId="12" applyNumberFormat="1" applyFont="1" applyFill="1" applyBorder="1" applyAlignment="1">
      <alignment horizontal="center"/>
    </xf>
    <xf numFmtId="10" fontId="14" fillId="23" borderId="14" xfId="12" applyNumberFormat="1" applyFont="1" applyFill="1" applyBorder="1" applyAlignment="1">
      <alignment horizontal="center"/>
    </xf>
    <xf numFmtId="4" fontId="14" fillId="0" borderId="59" xfId="12" applyNumberFormat="1" applyFont="1" applyBorder="1" applyAlignment="1">
      <alignment horizontal="center"/>
    </xf>
    <xf numFmtId="10" fontId="14" fillId="4" borderId="84" xfId="12" applyNumberFormat="1" applyFont="1" applyFill="1" applyBorder="1" applyAlignment="1">
      <alignment horizontal="center"/>
    </xf>
    <xf numFmtId="0" fontId="14" fillId="4" borderId="14" xfId="12" applyFont="1" applyFill="1" applyBorder="1"/>
    <xf numFmtId="0" fontId="21" fillId="0" borderId="47" xfId="12" applyFont="1" applyBorder="1" applyAlignment="1" applyProtection="1">
      <alignment vertical="center"/>
      <protection locked="0"/>
    </xf>
    <xf numFmtId="0" fontId="67" fillId="0" borderId="13" xfId="12" applyFont="1" applyBorder="1" applyAlignment="1">
      <alignment horizontal="left"/>
    </xf>
    <xf numFmtId="176" fontId="13" fillId="0" borderId="13" xfId="12" applyNumberFormat="1" applyFont="1" applyBorder="1" applyAlignment="1">
      <alignment horizontal="center"/>
    </xf>
    <xf numFmtId="0" fontId="67" fillId="0" borderId="13" xfId="12" applyFont="1" applyBorder="1" applyAlignment="1">
      <alignment horizontal="center"/>
    </xf>
    <xf numFmtId="10" fontId="13" fillId="0" borderId="13" xfId="12" applyNumberFormat="1" applyFont="1" applyBorder="1" applyAlignment="1">
      <alignment horizontal="center"/>
    </xf>
    <xf numFmtId="4" fontId="13" fillId="0" borderId="46" xfId="12" applyNumberFormat="1" applyFont="1" applyBorder="1" applyAlignment="1">
      <alignment horizontal="center"/>
    </xf>
    <xf numFmtId="10" fontId="41" fillId="4" borderId="13" xfId="12" applyNumberFormat="1" applyFont="1" applyFill="1" applyBorder="1" applyAlignment="1">
      <alignment horizontal="center" vertical="center"/>
    </xf>
    <xf numFmtId="4" fontId="41" fillId="4" borderId="13" xfId="12" applyNumberFormat="1" applyFont="1" applyFill="1" applyBorder="1" applyAlignment="1">
      <alignment vertical="center"/>
    </xf>
    <xf numFmtId="4" fontId="13" fillId="0" borderId="55" xfId="12" applyNumberFormat="1" applyFont="1" applyBorder="1"/>
    <xf numFmtId="10" fontId="13" fillId="0" borderId="48" xfId="27" applyNumberFormat="1" applyFont="1" applyFill="1" applyBorder="1"/>
    <xf numFmtId="4" fontId="14" fillId="4" borderId="86" xfId="12" applyNumberFormat="1" applyFont="1" applyFill="1" applyBorder="1"/>
    <xf numFmtId="4" fontId="14" fillId="0" borderId="84" xfId="12" applyNumberFormat="1" applyFont="1" applyBorder="1" applyAlignment="1">
      <alignment horizontal="center"/>
    </xf>
    <xf numFmtId="10" fontId="14" fillId="4" borderId="14" xfId="12" applyNumberFormat="1" applyFont="1" applyFill="1" applyBorder="1" applyAlignment="1">
      <alignment horizontal="center"/>
    </xf>
    <xf numFmtId="10" fontId="41" fillId="4" borderId="59" xfId="12" applyNumberFormat="1" applyFont="1" applyFill="1" applyBorder="1" applyAlignment="1">
      <alignment horizontal="center" vertical="center"/>
    </xf>
    <xf numFmtId="10" fontId="14" fillId="0" borderId="86" xfId="12" applyNumberFormat="1" applyFont="1" applyBorder="1" applyAlignment="1">
      <alignment horizontal="center"/>
    </xf>
    <xf numFmtId="10" fontId="14" fillId="4" borderId="14" xfId="27" applyNumberFormat="1" applyFont="1" applyFill="1" applyBorder="1" applyAlignment="1">
      <alignment horizontal="center" vertical="center"/>
    </xf>
    <xf numFmtId="4" fontId="14" fillId="4" borderId="59" xfId="12" applyNumberFormat="1" applyFont="1" applyFill="1" applyBorder="1" applyAlignment="1">
      <alignment horizontal="center"/>
    </xf>
    <xf numFmtId="4" fontId="14" fillId="4" borderId="59" xfId="12" applyNumberFormat="1" applyFont="1" applyFill="1" applyBorder="1"/>
    <xf numFmtId="4" fontId="13" fillId="0" borderId="13" xfId="12" applyNumberFormat="1" applyFont="1" applyBorder="1"/>
    <xf numFmtId="10" fontId="14" fillId="0" borderId="14" xfId="12" applyNumberFormat="1" applyFont="1" applyBorder="1" applyAlignment="1">
      <alignment horizontal="center"/>
    </xf>
    <xf numFmtId="4" fontId="154" fillId="0" borderId="13" xfId="12" applyNumberFormat="1" applyFont="1" applyBorder="1" applyAlignment="1">
      <alignment horizontal="center" vertical="center"/>
    </xf>
    <xf numFmtId="10" fontId="14" fillId="4" borderId="18" xfId="27" applyNumberFormat="1" applyFont="1" applyFill="1" applyBorder="1" applyAlignment="1">
      <alignment horizontal="center"/>
    </xf>
    <xf numFmtId="0" fontId="67" fillId="4" borderId="59" xfId="12" applyFont="1" applyFill="1" applyBorder="1" applyAlignment="1">
      <alignment horizontal="center"/>
    </xf>
    <xf numFmtId="0" fontId="14" fillId="4" borderId="84" xfId="12" applyFont="1" applyFill="1" applyBorder="1" applyAlignment="1">
      <alignment horizontal="left"/>
    </xf>
    <xf numFmtId="177" fontId="13" fillId="4" borderId="14" xfId="12" applyNumberFormat="1" applyFont="1" applyFill="1" applyBorder="1" applyAlignment="1">
      <alignment horizontal="center"/>
    </xf>
    <xf numFmtId="0" fontId="113" fillId="0" borderId="0" xfId="42" applyFont="1" applyAlignment="1">
      <alignment horizontal="center"/>
    </xf>
    <xf numFmtId="0" fontId="1" fillId="0" borderId="5" xfId="64" applyFont="1" applyBorder="1"/>
    <xf numFmtId="43" fontId="113" fillId="0" borderId="0" xfId="42" applyNumberFormat="1" applyFont="1"/>
    <xf numFmtId="4" fontId="113" fillId="7" borderId="0" xfId="42" applyNumberFormat="1" applyFont="1" applyFill="1"/>
    <xf numFmtId="164" fontId="113" fillId="4" borderId="0" xfId="2" applyFont="1" applyFill="1" applyBorder="1" applyAlignment="1">
      <alignment vertical="center"/>
    </xf>
    <xf numFmtId="4" fontId="113" fillId="4" borderId="0" xfId="12" applyNumberFormat="1" applyFont="1" applyFill="1" applyAlignment="1">
      <alignment horizontal="center" vertical="center"/>
    </xf>
    <xf numFmtId="10" fontId="113" fillId="4" borderId="0" xfId="29" applyNumberFormat="1" applyFont="1" applyFill="1" applyBorder="1" applyAlignment="1">
      <alignment horizontal="center" vertical="center"/>
    </xf>
    <xf numFmtId="0" fontId="129" fillId="2" borderId="66" xfId="12" applyFont="1" applyFill="1" applyBorder="1" applyAlignment="1">
      <alignment horizontal="center" vertical="center" wrapText="1"/>
    </xf>
    <xf numFmtId="0" fontId="129" fillId="2" borderId="52" xfId="12" applyFont="1" applyFill="1" applyBorder="1" applyAlignment="1">
      <alignment horizontal="center" vertical="center" wrapText="1"/>
    </xf>
    <xf numFmtId="186" fontId="0" fillId="0" borderId="0" xfId="0" applyNumberFormat="1"/>
    <xf numFmtId="0" fontId="42" fillId="4" borderId="0" xfId="12" applyFont="1" applyFill="1" applyAlignment="1">
      <alignment horizontal="right"/>
    </xf>
    <xf numFmtId="4" fontId="155" fillId="4" borderId="3" xfId="0" applyNumberFormat="1" applyFont="1" applyFill="1" applyBorder="1" applyAlignment="1">
      <alignment horizontal="right" vertical="center"/>
    </xf>
    <xf numFmtId="49" fontId="42" fillId="4" borderId="6" xfId="0" applyNumberFormat="1" applyFont="1" applyFill="1" applyBorder="1" applyAlignment="1">
      <alignment horizontal="right" vertical="center"/>
    </xf>
    <xf numFmtId="4" fontId="42" fillId="4" borderId="6" xfId="12" applyNumberFormat="1" applyFont="1" applyFill="1" applyBorder="1" applyAlignment="1" applyProtection="1">
      <alignment horizontal="right" vertical="center"/>
      <protection locked="0"/>
    </xf>
    <xf numFmtId="4" fontId="14" fillId="4" borderId="84" xfId="12" applyNumberFormat="1" applyFont="1" applyFill="1" applyBorder="1" applyAlignment="1">
      <alignment horizontal="right"/>
    </xf>
    <xf numFmtId="0" fontId="42" fillId="0" borderId="0" xfId="0" applyFont="1" applyAlignment="1">
      <alignment horizontal="right" vertical="top"/>
    </xf>
    <xf numFmtId="2" fontId="129" fillId="0" borderId="0" xfId="0" applyNumberFormat="1" applyFont="1" applyAlignment="1">
      <alignment horizontal="right" vertical="top"/>
    </xf>
    <xf numFmtId="0" fontId="42" fillId="4" borderId="55" xfId="12" applyFont="1" applyFill="1" applyBorder="1" applyAlignment="1">
      <alignment horizontal="center" vertical="center"/>
    </xf>
    <xf numFmtId="49" fontId="42" fillId="4" borderId="17" xfId="0" applyNumberFormat="1" applyFont="1" applyFill="1" applyBorder="1" applyAlignment="1">
      <alignment vertical="center"/>
    </xf>
    <xf numFmtId="4" fontId="42" fillId="4" borderId="17" xfId="12" applyNumberFormat="1" applyFont="1" applyFill="1" applyBorder="1" applyAlignment="1">
      <alignment horizontal="center" vertical="center"/>
    </xf>
    <xf numFmtId="0" fontId="21" fillId="4" borderId="65" xfId="12" applyFont="1" applyFill="1" applyBorder="1" applyAlignment="1" applyProtection="1">
      <alignment vertical="center"/>
      <protection locked="0"/>
    </xf>
    <xf numFmtId="0" fontId="14" fillId="4" borderId="67" xfId="12" applyFont="1" applyFill="1" applyBorder="1" applyAlignment="1">
      <alignment horizontal="left"/>
    </xf>
    <xf numFmtId="0" fontId="67" fillId="4" borderId="89" xfId="12" applyFont="1" applyFill="1" applyBorder="1" applyAlignment="1">
      <alignment horizontal="center"/>
    </xf>
    <xf numFmtId="0" fontId="67" fillId="4" borderId="65" xfId="12" applyFont="1" applyFill="1" applyBorder="1" applyAlignment="1">
      <alignment horizontal="center"/>
    </xf>
    <xf numFmtId="4" fontId="189" fillId="25" borderId="69" xfId="0" applyNumberFormat="1" applyFont="1" applyFill="1" applyBorder="1" applyAlignment="1">
      <alignment vertical="center"/>
    </xf>
    <xf numFmtId="4" fontId="189" fillId="25" borderId="51" xfId="0" applyNumberFormat="1" applyFont="1" applyFill="1" applyBorder="1" applyAlignment="1">
      <alignment vertical="center"/>
    </xf>
    <xf numFmtId="0" fontId="195" fillId="0" borderId="5" xfId="0" applyFont="1" applyBorder="1" applyAlignment="1" applyProtection="1">
      <alignment vertical="center"/>
      <protection locked="0"/>
    </xf>
    <xf numFmtId="0" fontId="195" fillId="0" borderId="5" xfId="0" applyFont="1" applyBorder="1" applyAlignment="1" applyProtection="1">
      <alignment horizontal="center" vertical="center"/>
      <protection locked="0"/>
    </xf>
    <xf numFmtId="4" fontId="195" fillId="0" borderId="5" xfId="0" applyNumberFormat="1" applyFont="1" applyBorder="1" applyAlignment="1" applyProtection="1">
      <alignment vertical="center"/>
      <protection locked="0"/>
    </xf>
    <xf numFmtId="0" fontId="196" fillId="0" borderId="5" xfId="0" applyFont="1" applyBorder="1" applyAlignment="1" applyProtection="1">
      <alignment vertical="center"/>
      <protection locked="0"/>
    </xf>
    <xf numFmtId="0" fontId="196" fillId="0" borderId="5" xfId="0" applyFont="1" applyBorder="1" applyAlignment="1" applyProtection="1">
      <alignment horizontal="center" vertical="center"/>
      <protection locked="0"/>
    </xf>
    <xf numFmtId="4" fontId="196" fillId="0" borderId="5" xfId="0" applyNumberFormat="1" applyFont="1" applyBorder="1" applyAlignment="1" applyProtection="1">
      <alignment vertical="center"/>
      <protection locked="0"/>
    </xf>
    <xf numFmtId="0" fontId="197" fillId="0" borderId="5" xfId="0" applyFont="1" applyBorder="1" applyAlignment="1" applyProtection="1">
      <alignment vertical="center"/>
      <protection locked="0"/>
    </xf>
    <xf numFmtId="0" fontId="197" fillId="0" borderId="5" xfId="0" applyFont="1" applyBorder="1" applyAlignment="1" applyProtection="1">
      <alignment horizontal="center" vertical="center"/>
      <protection locked="0"/>
    </xf>
    <xf numFmtId="4" fontId="197" fillId="0" borderId="5" xfId="0" applyNumberFormat="1" applyFont="1" applyBorder="1" applyAlignment="1" applyProtection="1">
      <alignment vertical="center"/>
      <protection locked="0"/>
    </xf>
    <xf numFmtId="0" fontId="198" fillId="0" borderId="5" xfId="0" applyFont="1" applyBorder="1" applyAlignment="1" applyProtection="1">
      <alignment vertical="center"/>
      <protection locked="0"/>
    </xf>
    <xf numFmtId="0" fontId="198" fillId="0" borderId="5" xfId="0" applyFont="1" applyBorder="1" applyAlignment="1" applyProtection="1">
      <alignment horizontal="center" vertical="center"/>
      <protection locked="0"/>
    </xf>
    <xf numFmtId="4" fontId="198" fillId="0" borderId="5" xfId="0" applyNumberFormat="1" applyFont="1" applyBorder="1" applyAlignment="1" applyProtection="1">
      <alignment vertical="center"/>
      <protection locked="0"/>
    </xf>
    <xf numFmtId="0" fontId="199" fillId="0" borderId="5" xfId="0" applyFont="1" applyBorder="1" applyAlignment="1" applyProtection="1">
      <alignment vertical="center"/>
      <protection locked="0"/>
    </xf>
    <xf numFmtId="0" fontId="199" fillId="0" borderId="5" xfId="0" applyFont="1" applyBorder="1" applyAlignment="1" applyProtection="1">
      <alignment horizontal="center" vertical="center"/>
      <protection locked="0"/>
    </xf>
    <xf numFmtId="4" fontId="199" fillId="0" borderId="5" xfId="0" applyNumberFormat="1" applyFont="1" applyBorder="1" applyAlignment="1" applyProtection="1">
      <alignment vertical="center"/>
      <protection locked="0"/>
    </xf>
    <xf numFmtId="0" fontId="15" fillId="2" borderId="56" xfId="12" applyFont="1" applyFill="1" applyBorder="1" applyAlignment="1">
      <alignment horizontal="center" vertical="center"/>
    </xf>
    <xf numFmtId="0" fontId="15" fillId="2" borderId="68" xfId="12" applyFont="1" applyFill="1" applyBorder="1" applyAlignment="1">
      <alignment horizontal="center" vertical="center"/>
    </xf>
    <xf numFmtId="0" fontId="15" fillId="2" borderId="56" xfId="12" applyFont="1" applyFill="1" applyBorder="1" applyAlignment="1">
      <alignment horizontal="distributed"/>
    </xf>
    <xf numFmtId="0" fontId="15" fillId="2" borderId="68" xfId="12" applyFont="1" applyFill="1" applyBorder="1" applyAlignment="1">
      <alignment horizontal="distributed"/>
    </xf>
    <xf numFmtId="0" fontId="17" fillId="2" borderId="56" xfId="12" applyFont="1" applyFill="1" applyBorder="1" applyAlignment="1">
      <alignment horizontal="center" vertical="center"/>
    </xf>
    <xf numFmtId="0" fontId="17" fillId="2" borderId="68" xfId="12" applyFont="1" applyFill="1" applyBorder="1" applyAlignment="1">
      <alignment horizontal="center" vertical="center"/>
    </xf>
    <xf numFmtId="0" fontId="15" fillId="2" borderId="18" xfId="12" applyFont="1" applyFill="1" applyBorder="1" applyAlignment="1">
      <alignment horizontal="center"/>
    </xf>
    <xf numFmtId="0" fontId="15" fillId="2" borderId="19" xfId="12" applyFont="1" applyFill="1" applyBorder="1" applyAlignment="1">
      <alignment horizontal="center"/>
    </xf>
    <xf numFmtId="0" fontId="15" fillId="2" borderId="20" xfId="12" applyFont="1" applyFill="1" applyBorder="1" applyAlignment="1">
      <alignment horizontal="center"/>
    </xf>
    <xf numFmtId="0" fontId="23" fillId="2" borderId="9" xfId="12" applyFont="1" applyFill="1" applyBorder="1" applyAlignment="1">
      <alignment horizontal="center"/>
    </xf>
    <xf numFmtId="0" fontId="23" fillId="2" borderId="10" xfId="12" applyFont="1" applyFill="1" applyBorder="1" applyAlignment="1">
      <alignment horizontal="center"/>
    </xf>
    <xf numFmtId="0" fontId="23" fillId="2" borderId="17" xfId="12" applyFont="1" applyFill="1" applyBorder="1" applyAlignment="1">
      <alignment horizontal="center"/>
    </xf>
    <xf numFmtId="0" fontId="23" fillId="0" borderId="0" xfId="12" applyFont="1" applyAlignment="1">
      <alignment horizontal="center"/>
    </xf>
    <xf numFmtId="0" fontId="15" fillId="0" borderId="0" xfId="12" applyFont="1" applyAlignment="1">
      <alignment horizontal="center"/>
    </xf>
    <xf numFmtId="14" fontId="27" fillId="0" borderId="18" xfId="12" applyNumberFormat="1" applyFont="1" applyBorder="1" applyAlignment="1">
      <alignment horizontal="left" vertical="center" wrapText="1"/>
    </xf>
    <xf numFmtId="14" fontId="27" fillId="0" borderId="19" xfId="12" applyNumberFormat="1" applyFont="1" applyBorder="1" applyAlignment="1">
      <alignment horizontal="left" vertical="center" wrapText="1"/>
    </xf>
    <xf numFmtId="14" fontId="27" fillId="0" borderId="20" xfId="12" applyNumberFormat="1" applyFont="1" applyBorder="1" applyAlignment="1">
      <alignment horizontal="left" vertical="center" wrapText="1"/>
    </xf>
    <xf numFmtId="14" fontId="13" fillId="0" borderId="0" xfId="12" applyNumberFormat="1" applyFont="1" applyAlignment="1">
      <alignment horizontal="right" vertical="top"/>
    </xf>
    <xf numFmtId="0" fontId="15" fillId="2" borderId="34" xfId="12" applyFont="1" applyFill="1" applyBorder="1" applyAlignment="1">
      <alignment horizontal="center" vertical="center"/>
    </xf>
    <xf numFmtId="0" fontId="17" fillId="2" borderId="34" xfId="12" applyFont="1" applyFill="1" applyBorder="1" applyAlignment="1">
      <alignment horizontal="center" vertical="center"/>
    </xf>
    <xf numFmtId="0" fontId="15" fillId="2" borderId="49" xfId="12" applyFont="1" applyFill="1" applyBorder="1" applyAlignment="1">
      <alignment horizontal="center" vertical="center"/>
    </xf>
    <xf numFmtId="0" fontId="15" fillId="2" borderId="53" xfId="12" applyFont="1" applyFill="1" applyBorder="1" applyAlignment="1">
      <alignment horizontal="center" vertical="center"/>
    </xf>
    <xf numFmtId="0" fontId="15" fillId="2" borderId="66" xfId="12" applyFont="1" applyFill="1" applyBorder="1" applyAlignment="1">
      <alignment horizontal="center" vertical="center"/>
    </xf>
    <xf numFmtId="0" fontId="15" fillId="2" borderId="50" xfId="12" applyFont="1" applyFill="1" applyBorder="1" applyAlignment="1">
      <alignment horizontal="center" vertical="center"/>
    </xf>
    <xf numFmtId="0" fontId="15" fillId="2" borderId="51" xfId="12" applyFont="1" applyFill="1" applyBorder="1" applyAlignment="1">
      <alignment horizontal="center" vertical="center"/>
    </xf>
    <xf numFmtId="0" fontId="15" fillId="2" borderId="52" xfId="12" applyFont="1" applyFill="1" applyBorder="1" applyAlignment="1">
      <alignment horizontal="center" vertical="center"/>
    </xf>
    <xf numFmtId="0" fontId="15" fillId="2" borderId="56" xfId="12" applyFont="1" applyFill="1" applyBorder="1" applyAlignment="1">
      <alignment horizontal="distributed" vertical="center"/>
    </xf>
    <xf numFmtId="0" fontId="15" fillId="2" borderId="68" xfId="12" applyFont="1" applyFill="1" applyBorder="1" applyAlignment="1">
      <alignment horizontal="distributed" vertical="center"/>
    </xf>
    <xf numFmtId="0" fontId="16" fillId="0" borderId="54" xfId="0" applyFont="1" applyBorder="1" applyAlignment="1">
      <alignment horizontal="center"/>
    </xf>
    <xf numFmtId="0" fontId="111" fillId="0" borderId="0" xfId="64" applyFont="1" applyAlignment="1">
      <alignment horizontal="left" vertical="center" wrapText="1"/>
    </xf>
    <xf numFmtId="0" fontId="77" fillId="4" borderId="5" xfId="12" applyFont="1" applyFill="1" applyBorder="1" applyAlignment="1">
      <alignment horizontal="left" vertical="top" wrapText="1"/>
    </xf>
    <xf numFmtId="0" fontId="77" fillId="4" borderId="6" xfId="12" applyFont="1" applyFill="1" applyBorder="1" applyAlignment="1">
      <alignment horizontal="left" vertical="top" wrapText="1"/>
    </xf>
    <xf numFmtId="0" fontId="77" fillId="4" borderId="8" xfId="12" applyFont="1" applyFill="1" applyBorder="1" applyAlignment="1">
      <alignment horizontal="left" vertical="top" wrapText="1"/>
    </xf>
    <xf numFmtId="0" fontId="77" fillId="4" borderId="35" xfId="12" applyFont="1" applyFill="1" applyBorder="1" applyAlignment="1">
      <alignment horizontal="left" vertical="top" wrapText="1"/>
    </xf>
    <xf numFmtId="0" fontId="108" fillId="0" borderId="0" xfId="64" applyFont="1" applyAlignment="1">
      <alignment horizontal="center"/>
    </xf>
    <xf numFmtId="0" fontId="2" fillId="0" borderId="0" xfId="64" applyFont="1" applyAlignment="1">
      <alignment horizontal="center"/>
    </xf>
    <xf numFmtId="0" fontId="4" fillId="0" borderId="0" xfId="64" applyAlignment="1">
      <alignment horizontal="center"/>
    </xf>
    <xf numFmtId="0" fontId="108" fillId="0" borderId="51" xfId="64" applyFont="1" applyBorder="1" applyAlignment="1">
      <alignment horizontal="center"/>
    </xf>
    <xf numFmtId="0" fontId="109" fillId="0" borderId="44" xfId="12" applyFont="1" applyBorder="1" applyAlignment="1">
      <alignment horizontal="center" vertical="center"/>
    </xf>
    <xf numFmtId="0" fontId="109" fillId="0" borderId="47" xfId="12" applyFont="1" applyBorder="1" applyAlignment="1">
      <alignment horizontal="center" vertical="center"/>
    </xf>
    <xf numFmtId="0" fontId="40" fillId="0" borderId="5" xfId="42" applyFont="1" applyBorder="1" applyAlignment="1">
      <alignment horizontal="center" vertical="center" wrapText="1"/>
    </xf>
    <xf numFmtId="0" fontId="41" fillId="0" borderId="5" xfId="42" applyFont="1" applyBorder="1" applyAlignment="1">
      <alignment horizontal="left" vertical="center" wrapText="1"/>
    </xf>
    <xf numFmtId="0" fontId="41" fillId="0" borderId="25" xfId="42" applyFont="1" applyBorder="1" applyAlignment="1">
      <alignment horizontal="center" vertical="center" wrapText="1"/>
    </xf>
    <xf numFmtId="0" fontId="41" fillId="0" borderId="11" xfId="42" applyFont="1" applyBorder="1" applyAlignment="1">
      <alignment horizontal="center" vertical="center" wrapText="1"/>
    </xf>
    <xf numFmtId="0" fontId="41" fillId="0" borderId="13" xfId="42" applyFont="1" applyBorder="1" applyAlignment="1">
      <alignment horizontal="center" vertical="center" wrapText="1"/>
    </xf>
    <xf numFmtId="0" fontId="41" fillId="0" borderId="9" xfId="42" applyFont="1" applyBorder="1" applyAlignment="1">
      <alignment horizontal="left" vertical="center" wrapText="1"/>
    </xf>
    <xf numFmtId="0" fontId="41" fillId="0" borderId="10" xfId="42" applyFont="1" applyBorder="1" applyAlignment="1">
      <alignment horizontal="left" vertical="center" wrapText="1"/>
    </xf>
    <xf numFmtId="0" fontId="41" fillId="0" borderId="17" xfId="42" applyFont="1" applyBorder="1" applyAlignment="1">
      <alignment horizontal="left" vertical="center" wrapText="1"/>
    </xf>
    <xf numFmtId="0" fontId="41" fillId="0" borderId="0" xfId="42" applyFont="1" applyAlignment="1">
      <alignment horizontal="left" vertical="top" wrapText="1"/>
    </xf>
    <xf numFmtId="0" fontId="147" fillId="0" borderId="0" xfId="42" applyFont="1" applyAlignment="1">
      <alignment horizontal="center" vertical="center"/>
    </xf>
    <xf numFmtId="0" fontId="148" fillId="0" borderId="0" xfId="42" applyFont="1" applyAlignment="1">
      <alignment horizontal="center" vertical="center"/>
    </xf>
    <xf numFmtId="0" fontId="149" fillId="0" borderId="0" xfId="42" applyFont="1" applyAlignment="1">
      <alignment horizontal="center" vertical="center"/>
    </xf>
    <xf numFmtId="0" fontId="150" fillId="0" borderId="0" xfId="42" applyFont="1" applyAlignment="1">
      <alignment horizontal="center" vertical="center"/>
    </xf>
    <xf numFmtId="0" fontId="151" fillId="0" borderId="0" xfId="42" applyFont="1" applyAlignment="1">
      <alignment horizontal="center" vertical="center"/>
    </xf>
    <xf numFmtId="0" fontId="152" fillId="0" borderId="0" xfId="42" applyFont="1" applyAlignment="1">
      <alignment horizontal="center" vertical="center"/>
    </xf>
    <xf numFmtId="0" fontId="40" fillId="0" borderId="0" xfId="42" applyFont="1" applyAlignment="1">
      <alignment vertical="center"/>
    </xf>
    <xf numFmtId="0" fontId="153" fillId="0" borderId="0" xfId="42" applyFont="1" applyAlignment="1">
      <alignment vertical="top" wrapText="1"/>
    </xf>
    <xf numFmtId="0" fontId="153" fillId="0" borderId="0" xfId="42" applyFont="1" applyAlignment="1">
      <alignment horizontal="justify" vertical="center" wrapText="1"/>
    </xf>
    <xf numFmtId="0" fontId="41" fillId="0" borderId="0" xfId="42" applyFont="1" applyAlignment="1">
      <alignment horizontal="left" vertical="center" wrapText="1"/>
    </xf>
    <xf numFmtId="0" fontId="58" fillId="4" borderId="0" xfId="0" applyFont="1" applyFill="1" applyAlignment="1">
      <alignment horizontal="right"/>
    </xf>
    <xf numFmtId="0" fontId="58" fillId="4" borderId="0" xfId="0" applyFont="1" applyFill="1" applyAlignment="1">
      <alignment horizontal="center"/>
    </xf>
    <xf numFmtId="0" fontId="58" fillId="4" borderId="0" xfId="0" applyFont="1" applyFill="1" applyAlignment="1">
      <alignment horizontal="left"/>
    </xf>
    <xf numFmtId="14" fontId="58" fillId="4" borderId="0" xfId="0" applyNumberFormat="1" applyFont="1" applyFill="1" applyAlignment="1">
      <alignment horizontal="left" wrapText="1"/>
    </xf>
    <xf numFmtId="0" fontId="58" fillId="4" borderId="0" xfId="0" applyFont="1" applyFill="1" applyAlignment="1">
      <alignment horizontal="left" wrapText="1"/>
    </xf>
    <xf numFmtId="0" fontId="60" fillId="4" borderId="56" xfId="0" applyFont="1" applyFill="1" applyBorder="1" applyAlignment="1">
      <alignment horizontal="center" vertical="center"/>
    </xf>
    <xf numFmtId="0" fontId="60" fillId="4" borderId="68" xfId="0" applyFont="1" applyFill="1" applyBorder="1" applyAlignment="1">
      <alignment horizontal="center" vertical="center"/>
    </xf>
    <xf numFmtId="0" fontId="100" fillId="4" borderId="0" xfId="0" applyFont="1" applyFill="1" applyAlignment="1">
      <alignment horizontal="right"/>
    </xf>
    <xf numFmtId="14" fontId="100" fillId="4" borderId="0" xfId="0" applyNumberFormat="1" applyFont="1" applyFill="1" applyAlignment="1">
      <alignment horizontal="left"/>
    </xf>
    <xf numFmtId="0" fontId="100" fillId="4" borderId="18" xfId="0" applyFont="1" applyFill="1" applyBorder="1" applyAlignment="1">
      <alignment horizontal="center"/>
    </xf>
    <xf numFmtId="0" fontId="100" fillId="4" borderId="19" xfId="0" applyFont="1" applyFill="1" applyBorder="1" applyAlignment="1">
      <alignment horizontal="center"/>
    </xf>
    <xf numFmtId="0" fontId="100" fillId="4" borderId="20" xfId="0" applyFont="1" applyFill="1" applyBorder="1" applyAlignment="1">
      <alignment horizontal="center"/>
    </xf>
    <xf numFmtId="14" fontId="23" fillId="0" borderId="0" xfId="12" applyNumberFormat="1" applyFont="1" applyAlignment="1">
      <alignment horizontal="left" vertical="center" wrapText="1"/>
    </xf>
    <xf numFmtId="0" fontId="15" fillId="2" borderId="21" xfId="12" applyFont="1" applyFill="1" applyBorder="1" applyAlignment="1">
      <alignment horizontal="center" vertical="center"/>
    </xf>
    <xf numFmtId="0" fontId="15" fillId="2" borderId="0" xfId="12" applyFont="1" applyFill="1" applyAlignment="1">
      <alignment horizontal="center" vertical="center"/>
    </xf>
    <xf numFmtId="0" fontId="15" fillId="2" borderId="22" xfId="12" applyFont="1" applyFill="1" applyBorder="1" applyAlignment="1">
      <alignment horizontal="center" vertical="center"/>
    </xf>
    <xf numFmtId="0" fontId="15" fillId="2" borderId="54" xfId="12" applyFont="1" applyFill="1" applyBorder="1" applyAlignment="1">
      <alignment horizontal="center" vertical="center"/>
    </xf>
    <xf numFmtId="0" fontId="15" fillId="2" borderId="28" xfId="12" applyFont="1" applyFill="1" applyBorder="1" applyAlignment="1">
      <alignment horizontal="center" vertical="center"/>
    </xf>
    <xf numFmtId="0" fontId="15" fillId="2" borderId="38" xfId="12" applyFont="1" applyFill="1" applyBorder="1" applyAlignment="1">
      <alignment horizontal="center" vertical="center"/>
    </xf>
    <xf numFmtId="0" fontId="15" fillId="2" borderId="64" xfId="12" applyFont="1" applyFill="1" applyBorder="1" applyAlignment="1">
      <alignment horizontal="center" vertical="center"/>
    </xf>
    <xf numFmtId="0" fontId="15" fillId="2" borderId="38" xfId="12" applyFont="1" applyFill="1" applyBorder="1" applyAlignment="1">
      <alignment horizontal="distributed" vertical="center"/>
    </xf>
    <xf numFmtId="0" fontId="15" fillId="2" borderId="64" xfId="12" applyFont="1" applyFill="1" applyBorder="1" applyAlignment="1">
      <alignment horizontal="distributed" vertical="center"/>
    </xf>
    <xf numFmtId="0" fontId="15" fillId="0" borderId="5" xfId="12" applyFont="1" applyBorder="1" applyAlignment="1">
      <alignment horizontal="center"/>
    </xf>
    <xf numFmtId="0" fontId="23" fillId="0" borderId="5" xfId="12" applyFont="1" applyBorder="1" applyAlignment="1">
      <alignment horizontal="center"/>
    </xf>
    <xf numFmtId="0" fontId="23" fillId="2" borderId="18" xfId="12" applyFont="1" applyFill="1" applyBorder="1" applyAlignment="1">
      <alignment horizontal="center"/>
    </xf>
    <xf numFmtId="0" fontId="23" fillId="2" borderId="19" xfId="12" applyFont="1" applyFill="1" applyBorder="1" applyAlignment="1">
      <alignment horizontal="center"/>
    </xf>
    <xf numFmtId="0" fontId="23" fillId="2" borderId="20" xfId="12" applyFont="1" applyFill="1" applyBorder="1" applyAlignment="1">
      <alignment horizontal="center"/>
    </xf>
    <xf numFmtId="0" fontId="15" fillId="2" borderId="0" xfId="12" applyFont="1" applyFill="1" applyAlignment="1">
      <alignment horizontal="distributed"/>
    </xf>
    <xf numFmtId="0" fontId="113" fillId="4" borderId="36" xfId="42" applyFont="1" applyFill="1" applyBorder="1" applyAlignment="1">
      <alignment horizontal="center" vertical="center"/>
    </xf>
    <xf numFmtId="0" fontId="113" fillId="4" borderId="10" xfId="42" applyFont="1" applyFill="1" applyBorder="1" applyAlignment="1">
      <alignment horizontal="center" vertical="center"/>
    </xf>
    <xf numFmtId="0" fontId="113" fillId="4" borderId="58" xfId="42" applyFont="1" applyFill="1" applyBorder="1" applyAlignment="1">
      <alignment horizontal="center" vertical="center"/>
    </xf>
    <xf numFmtId="0" fontId="113" fillId="4" borderId="36" xfId="42" quotePrefix="1" applyFont="1" applyFill="1" applyBorder="1" applyAlignment="1">
      <alignment horizontal="center" vertical="center"/>
    </xf>
    <xf numFmtId="0" fontId="113" fillId="4" borderId="10" xfId="42" quotePrefix="1" applyFont="1" applyFill="1" applyBorder="1" applyAlignment="1">
      <alignment horizontal="center" vertical="center"/>
    </xf>
    <xf numFmtId="0" fontId="113" fillId="4" borderId="17" xfId="42" quotePrefix="1" applyFont="1" applyFill="1" applyBorder="1" applyAlignment="1">
      <alignment horizontal="center" vertical="center"/>
    </xf>
    <xf numFmtId="0" fontId="113" fillId="4" borderId="9" xfId="42" quotePrefix="1" applyFont="1" applyFill="1" applyBorder="1" applyAlignment="1">
      <alignment horizontal="center" vertical="center"/>
    </xf>
    <xf numFmtId="49" fontId="113" fillId="4" borderId="5" xfId="42" applyNumberFormat="1" applyFont="1" applyFill="1" applyBorder="1" applyAlignment="1">
      <alignment horizontal="center" vertical="top"/>
    </xf>
    <xf numFmtId="0" fontId="113" fillId="0" borderId="36" xfId="42" applyFont="1" applyBorder="1" applyAlignment="1">
      <alignment horizontal="center" vertical="center"/>
    </xf>
    <xf numFmtId="0" fontId="113" fillId="0" borderId="10" xfId="42" applyFont="1" applyBorder="1" applyAlignment="1">
      <alignment horizontal="center" vertical="center"/>
    </xf>
    <xf numFmtId="0" fontId="113" fillId="0" borderId="58" xfId="42" applyFont="1" applyBorder="1" applyAlignment="1">
      <alignment horizontal="center" vertical="center"/>
    </xf>
    <xf numFmtId="0" fontId="113" fillId="0" borderId="36" xfId="42" quotePrefix="1" applyFont="1" applyBorder="1" applyAlignment="1">
      <alignment horizontal="center" vertical="center"/>
    </xf>
    <xf numFmtId="0" fontId="113" fillId="0" borderId="10" xfId="42" quotePrefix="1" applyFont="1" applyBorder="1" applyAlignment="1">
      <alignment horizontal="center" vertical="center"/>
    </xf>
    <xf numFmtId="0" fontId="113" fillId="0" borderId="17" xfId="42" quotePrefix="1" applyFont="1" applyBorder="1" applyAlignment="1">
      <alignment horizontal="center" vertical="center"/>
    </xf>
    <xf numFmtId="0" fontId="113" fillId="0" borderId="9" xfId="42" quotePrefix="1" applyFont="1" applyBorder="1" applyAlignment="1">
      <alignment horizontal="center" vertical="center"/>
    </xf>
    <xf numFmtId="4" fontId="113" fillId="4" borderId="63" xfId="12" applyNumberFormat="1" applyFont="1" applyFill="1" applyBorder="1" applyAlignment="1">
      <alignment horizontal="center" vertical="center"/>
    </xf>
    <xf numFmtId="4" fontId="113" fillId="4" borderId="41" xfId="12" applyNumberFormat="1" applyFont="1" applyFill="1" applyBorder="1" applyAlignment="1">
      <alignment horizontal="center" vertical="center"/>
    </xf>
    <xf numFmtId="0" fontId="114" fillId="9" borderId="0" xfId="12" applyFont="1" applyFill="1" applyAlignment="1">
      <alignment horizontal="center" vertical="center"/>
    </xf>
    <xf numFmtId="0" fontId="115" fillId="4" borderId="0" xfId="42" applyFont="1" applyFill="1" applyAlignment="1">
      <alignment horizontal="center" vertical="center"/>
    </xf>
    <xf numFmtId="0" fontId="126" fillId="0" borderId="0" xfId="42" applyFont="1" applyAlignment="1">
      <alignment horizontal="center" vertical="center"/>
    </xf>
    <xf numFmtId="0" fontId="113" fillId="5" borderId="9" xfId="12" applyFont="1" applyFill="1" applyBorder="1" applyAlignment="1">
      <alignment horizontal="left" vertical="center"/>
    </xf>
    <xf numFmtId="0" fontId="113" fillId="5" borderId="10" xfId="12" applyFont="1" applyFill="1" applyBorder="1" applyAlignment="1">
      <alignment horizontal="left" vertical="center"/>
    </xf>
    <xf numFmtId="0" fontId="113" fillId="5" borderId="17" xfId="12" applyFont="1" applyFill="1" applyBorder="1" applyAlignment="1">
      <alignment horizontal="left" vertical="center"/>
    </xf>
    <xf numFmtId="0" fontId="114" fillId="5" borderId="18" xfId="12" applyFont="1" applyFill="1" applyBorder="1" applyAlignment="1">
      <alignment horizontal="left" vertical="center" wrapText="1"/>
    </xf>
    <xf numFmtId="0" fontId="114" fillId="5" borderId="19" xfId="12" applyFont="1" applyFill="1" applyBorder="1" applyAlignment="1">
      <alignment horizontal="left" vertical="center" wrapText="1"/>
    </xf>
    <xf numFmtId="0" fontId="114" fillId="5" borderId="20" xfId="12" applyFont="1" applyFill="1" applyBorder="1" applyAlignment="1">
      <alignment horizontal="left" vertical="center" wrapText="1"/>
    </xf>
    <xf numFmtId="0" fontId="113" fillId="0" borderId="9" xfId="12" applyFont="1" applyBorder="1" applyAlignment="1">
      <alignment horizontal="left" vertical="center"/>
    </xf>
    <xf numFmtId="0" fontId="113" fillId="0" borderId="10" xfId="12" applyFont="1" applyBorder="1" applyAlignment="1">
      <alignment horizontal="left" vertical="center"/>
    </xf>
    <xf numFmtId="0" fontId="113" fillId="0" borderId="17" xfId="12" applyFont="1" applyBorder="1" applyAlignment="1">
      <alignment horizontal="left" vertical="center"/>
    </xf>
    <xf numFmtId="14" fontId="114" fillId="4" borderId="9" xfId="12" applyNumberFormat="1" applyFont="1" applyFill="1" applyBorder="1" applyAlignment="1">
      <alignment horizontal="left" vertical="center"/>
    </xf>
    <xf numFmtId="14" fontId="114" fillId="4" borderId="10" xfId="12" applyNumberFormat="1" applyFont="1" applyFill="1" applyBorder="1" applyAlignment="1">
      <alignment horizontal="left" vertical="center"/>
    </xf>
    <xf numFmtId="14" fontId="114" fillId="4" borderId="17" xfId="12" applyNumberFormat="1" applyFont="1" applyFill="1" applyBorder="1" applyAlignment="1">
      <alignment horizontal="left" vertical="center"/>
    </xf>
    <xf numFmtId="0" fontId="113" fillId="0" borderId="0" xfId="12" applyFont="1" applyAlignment="1">
      <alignment horizontal="center" vertical="center"/>
    </xf>
    <xf numFmtId="0" fontId="114" fillId="0" borderId="0" xfId="12" applyFont="1" applyAlignment="1">
      <alignment horizontal="left" vertical="center"/>
    </xf>
    <xf numFmtId="0" fontId="114" fillId="0" borderId="57" xfId="12" applyFont="1" applyBorder="1" applyAlignment="1">
      <alignment horizontal="left" vertical="center"/>
    </xf>
    <xf numFmtId="0" fontId="114" fillId="0" borderId="40" xfId="12" applyFont="1" applyBorder="1" applyAlignment="1">
      <alignment horizontal="left" vertical="center"/>
    </xf>
    <xf numFmtId="0" fontId="114" fillId="0" borderId="61" xfId="12" applyFont="1" applyBorder="1" applyAlignment="1">
      <alignment horizontal="left" vertical="center"/>
    </xf>
    <xf numFmtId="0" fontId="114" fillId="0" borderId="0" xfId="12" applyFont="1" applyAlignment="1">
      <alignment horizontal="left" vertical="center" wrapText="1"/>
    </xf>
    <xf numFmtId="0" fontId="113" fillId="0" borderId="0" xfId="12" applyFont="1" applyAlignment="1">
      <alignment vertical="center"/>
    </xf>
    <xf numFmtId="4" fontId="114" fillId="0" borderId="5" xfId="2" applyNumberFormat="1" applyFont="1" applyBorder="1" applyAlignment="1">
      <alignment horizontal="center" vertical="center"/>
    </xf>
    <xf numFmtId="164" fontId="114" fillId="0" borderId="5" xfId="2" applyFont="1" applyBorder="1" applyAlignment="1">
      <alignment horizontal="center" vertical="top"/>
    </xf>
    <xf numFmtId="164" fontId="114" fillId="0" borderId="5" xfId="2" applyFont="1" applyBorder="1" applyAlignment="1">
      <alignment horizontal="center" vertical="center"/>
    </xf>
    <xf numFmtId="0" fontId="113" fillId="0" borderId="5" xfId="12" applyFont="1" applyBorder="1" applyAlignment="1">
      <alignment horizontal="center" vertical="center"/>
    </xf>
    <xf numFmtId="0" fontId="113" fillId="0" borderId="9" xfId="12" applyFont="1" applyBorder="1" applyAlignment="1">
      <alignment vertical="center"/>
    </xf>
    <xf numFmtId="0" fontId="113" fillId="0" borderId="10" xfId="12" applyFont="1" applyBorder="1" applyAlignment="1">
      <alignment vertical="center"/>
    </xf>
    <xf numFmtId="0" fontId="113" fillId="0" borderId="17" xfId="12" applyFont="1" applyBorder="1" applyAlignment="1">
      <alignment vertical="center"/>
    </xf>
    <xf numFmtId="0" fontId="113" fillId="0" borderId="9" xfId="12" applyFont="1" applyBorder="1" applyAlignment="1">
      <alignment horizontal="center" vertical="center"/>
    </xf>
    <xf numFmtId="0" fontId="113" fillId="0" borderId="10" xfId="12" applyFont="1" applyBorder="1" applyAlignment="1">
      <alignment horizontal="center" vertical="center"/>
    </xf>
    <xf numFmtId="0" fontId="113" fillId="0" borderId="17" xfId="12" applyFont="1" applyBorder="1" applyAlignment="1">
      <alignment horizontal="center" vertical="center"/>
    </xf>
    <xf numFmtId="0" fontId="113" fillId="0" borderId="0" xfId="12" applyFont="1" applyAlignment="1">
      <alignment horizontal="left" vertical="center" wrapText="1"/>
    </xf>
    <xf numFmtId="4" fontId="113" fillId="0" borderId="0" xfId="12" applyNumberFormat="1" applyFont="1" applyAlignment="1">
      <alignment horizontal="left"/>
    </xf>
    <xf numFmtId="0" fontId="113" fillId="0" borderId="0" xfId="12" applyFont="1" applyAlignment="1">
      <alignment horizontal="left" vertical="center"/>
    </xf>
    <xf numFmtId="0" fontId="114" fillId="10" borderId="5" xfId="12" applyFont="1" applyFill="1" applyBorder="1" applyAlignment="1">
      <alignment horizontal="center" vertical="center"/>
    </xf>
    <xf numFmtId="164" fontId="113" fillId="0" borderId="5" xfId="2" applyFont="1" applyBorder="1" applyAlignment="1">
      <alignment horizontal="center" vertical="center"/>
    </xf>
    <xf numFmtId="164" fontId="114" fillId="0" borderId="5" xfId="12" applyNumberFormat="1" applyFont="1" applyBorder="1" applyAlignment="1">
      <alignment horizontal="center" vertical="center"/>
    </xf>
    <xf numFmtId="4" fontId="113" fillId="0" borderId="5" xfId="12" applyNumberFormat="1" applyFont="1" applyBorder="1" applyAlignment="1">
      <alignment horizontal="center" vertical="center"/>
    </xf>
    <xf numFmtId="4" fontId="113" fillId="0" borderId="5" xfId="12" applyNumberFormat="1" applyFont="1" applyBorder="1" applyAlignment="1">
      <alignment horizontal="right" vertical="center"/>
    </xf>
    <xf numFmtId="166" fontId="114" fillId="5" borderId="5" xfId="12" applyNumberFormat="1" applyFont="1" applyFill="1" applyBorder="1" applyAlignment="1">
      <alignment horizontal="center" vertical="center"/>
    </xf>
    <xf numFmtId="175" fontId="114" fillId="5" borderId="5" xfId="12" applyNumberFormat="1" applyFont="1" applyFill="1" applyBorder="1" applyAlignment="1">
      <alignment horizontal="center" vertical="center"/>
    </xf>
    <xf numFmtId="164" fontId="113" fillId="0" borderId="0" xfId="12" applyNumberFormat="1" applyFont="1" applyAlignment="1">
      <alignment horizontal="center" vertical="center"/>
    </xf>
    <xf numFmtId="0" fontId="113" fillId="0" borderId="18" xfId="12" applyFont="1" applyBorder="1" applyAlignment="1">
      <alignment horizontal="center" vertical="justify" wrapText="1"/>
    </xf>
    <xf numFmtId="0" fontId="113" fillId="0" borderId="19" xfId="12" applyFont="1" applyBorder="1" applyAlignment="1">
      <alignment horizontal="center" vertical="justify" wrapText="1"/>
    </xf>
    <xf numFmtId="0" fontId="113" fillId="0" borderId="86" xfId="12" applyFont="1" applyBorder="1" applyAlignment="1">
      <alignment horizontal="center" vertical="justify" wrapText="1"/>
    </xf>
    <xf numFmtId="0" fontId="113" fillId="0" borderId="84" xfId="12" applyFont="1" applyBorder="1" applyAlignment="1">
      <alignment horizontal="center" vertical="justify" wrapText="1"/>
    </xf>
    <xf numFmtId="0" fontId="113" fillId="0" borderId="20" xfId="12" applyFont="1" applyBorder="1" applyAlignment="1">
      <alignment horizontal="center" vertical="justify" wrapText="1"/>
    </xf>
    <xf numFmtId="164" fontId="113" fillId="0" borderId="5" xfId="12" applyNumberFormat="1" applyFont="1" applyBorder="1" applyAlignment="1">
      <alignment horizontal="center" vertical="center"/>
    </xf>
    <xf numFmtId="166" fontId="114" fillId="0" borderId="5" xfId="12" applyNumberFormat="1" applyFont="1" applyBorder="1" applyAlignment="1">
      <alignment horizontal="center" vertical="center"/>
    </xf>
    <xf numFmtId="175" fontId="114" fillId="0" borderId="5" xfId="12" applyNumberFormat="1" applyFont="1" applyBorder="1" applyAlignment="1">
      <alignment horizontal="center" vertical="center"/>
    </xf>
    <xf numFmtId="0" fontId="113" fillId="0" borderId="9" xfId="42" applyFont="1" applyBorder="1" applyAlignment="1">
      <alignment horizontal="center" vertical="center" wrapText="1"/>
    </xf>
    <xf numFmtId="0" fontId="113" fillId="0" borderId="10" xfId="42" applyFont="1" applyBorder="1" applyAlignment="1">
      <alignment horizontal="center" vertical="center" wrapText="1"/>
    </xf>
    <xf numFmtId="0" fontId="113" fillId="0" borderId="17" xfId="42" applyFont="1" applyBorder="1" applyAlignment="1">
      <alignment horizontal="center" vertical="center" wrapText="1"/>
    </xf>
    <xf numFmtId="0" fontId="113" fillId="0" borderId="9" xfId="42" applyFont="1" applyBorder="1" applyAlignment="1">
      <alignment horizontal="center" vertical="center"/>
    </xf>
    <xf numFmtId="0" fontId="113" fillId="0" borderId="17" xfId="42" applyFont="1" applyBorder="1" applyAlignment="1">
      <alignment horizontal="center" vertical="center"/>
    </xf>
    <xf numFmtId="0" fontId="113" fillId="0" borderId="0" xfId="42" applyFont="1" applyAlignment="1">
      <alignment horizontal="right"/>
    </xf>
    <xf numFmtId="0" fontId="113" fillId="0" borderId="85" xfId="42" applyFont="1" applyBorder="1" applyAlignment="1">
      <alignment horizontal="right"/>
    </xf>
    <xf numFmtId="0" fontId="113" fillId="0" borderId="9" xfId="42" applyFont="1" applyBorder="1" applyAlignment="1">
      <alignment horizontal="center"/>
    </xf>
    <xf numFmtId="0" fontId="113" fillId="0" borderId="10" xfId="42" applyFont="1" applyBorder="1" applyAlignment="1">
      <alignment horizontal="center"/>
    </xf>
    <xf numFmtId="0" fontId="113" fillId="0" borderId="17" xfId="42" applyFont="1" applyBorder="1" applyAlignment="1">
      <alignment horizontal="center"/>
    </xf>
    <xf numFmtId="0" fontId="113" fillId="0" borderId="43" xfId="42" applyFont="1" applyBorder="1" applyAlignment="1">
      <alignment horizontal="right"/>
    </xf>
    <xf numFmtId="14" fontId="113" fillId="0" borderId="9" xfId="42" applyNumberFormat="1" applyFont="1" applyBorder="1" applyAlignment="1">
      <alignment horizontal="center"/>
    </xf>
    <xf numFmtId="14" fontId="113" fillId="0" borderId="10" xfId="42" applyNumberFormat="1" applyFont="1" applyBorder="1" applyAlignment="1">
      <alignment horizontal="center"/>
    </xf>
    <xf numFmtId="14" fontId="113" fillId="0" borderId="17" xfId="42" applyNumberFormat="1" applyFont="1" applyBorder="1" applyAlignment="1">
      <alignment horizontal="center"/>
    </xf>
    <xf numFmtId="14" fontId="113" fillId="0" borderId="18" xfId="12" quotePrefix="1" applyNumberFormat="1" applyFont="1" applyBorder="1" applyAlignment="1">
      <alignment horizontal="center" vertical="center"/>
    </xf>
    <xf numFmtId="14" fontId="113" fillId="0" borderId="19" xfId="12" quotePrefix="1" applyNumberFormat="1" applyFont="1" applyBorder="1" applyAlignment="1">
      <alignment horizontal="center" vertical="center"/>
    </xf>
    <xf numFmtId="14" fontId="113" fillId="0" borderId="20" xfId="12" quotePrefix="1" applyNumberFormat="1" applyFont="1" applyBorder="1" applyAlignment="1">
      <alignment horizontal="center" vertical="center"/>
    </xf>
    <xf numFmtId="14" fontId="113" fillId="0" borderId="86" xfId="12" quotePrefix="1" applyNumberFormat="1" applyFont="1" applyBorder="1" applyAlignment="1">
      <alignment horizontal="center" vertical="center"/>
    </xf>
    <xf numFmtId="14" fontId="113" fillId="0" borderId="84" xfId="12" quotePrefix="1" applyNumberFormat="1" applyFont="1" applyBorder="1" applyAlignment="1">
      <alignment horizontal="center" vertical="center"/>
    </xf>
    <xf numFmtId="14" fontId="113" fillId="0" borderId="53" xfId="12" quotePrefix="1" applyNumberFormat="1" applyFont="1" applyBorder="1" applyAlignment="1">
      <alignment horizontal="center" vertical="center"/>
    </xf>
    <xf numFmtId="0" fontId="114" fillId="0" borderId="25" xfId="42" applyFont="1" applyBorder="1" applyAlignment="1">
      <alignment horizontal="center" vertical="center"/>
    </xf>
    <xf numFmtId="0" fontId="114" fillId="0" borderId="11" xfId="42" applyFont="1" applyBorder="1" applyAlignment="1">
      <alignment horizontal="center" vertical="center"/>
    </xf>
    <xf numFmtId="0" fontId="114" fillId="0" borderId="13" xfId="42" applyFont="1" applyBorder="1" applyAlignment="1">
      <alignment horizontal="center" vertical="center"/>
    </xf>
    <xf numFmtId="0" fontId="114" fillId="0" borderId="26" xfId="42" applyFont="1" applyBorder="1" applyAlignment="1">
      <alignment horizontal="center" vertical="center" wrapText="1"/>
    </xf>
    <xf numFmtId="0" fontId="114" fillId="0" borderId="28" xfId="42" applyFont="1" applyBorder="1" applyAlignment="1">
      <alignment horizontal="center" vertical="center" wrapText="1"/>
    </xf>
    <xf numFmtId="0" fontId="114" fillId="0" borderId="29" xfId="42" applyFont="1" applyBorder="1" applyAlignment="1">
      <alignment horizontal="center" vertical="center" wrapText="1"/>
    </xf>
    <xf numFmtId="0" fontId="114" fillId="0" borderId="43" xfId="42" applyFont="1" applyBorder="1" applyAlignment="1">
      <alignment horizontal="center" vertical="center" wrapText="1"/>
    </xf>
    <xf numFmtId="0" fontId="114" fillId="0" borderId="0" xfId="42" applyFont="1" applyAlignment="1">
      <alignment horizontal="center" vertical="center" wrapText="1"/>
    </xf>
    <xf numFmtId="0" fontId="114" fillId="0" borderId="85" xfId="42" applyFont="1" applyBorder="1" applyAlignment="1">
      <alignment horizontal="center" vertical="center" wrapText="1"/>
    </xf>
    <xf numFmtId="0" fontId="114" fillId="0" borderId="46" xfId="42" applyFont="1" applyBorder="1" applyAlignment="1">
      <alignment horizontal="center" vertical="center" wrapText="1"/>
    </xf>
    <xf numFmtId="0" fontId="114" fillId="0" borderId="54" xfId="42" applyFont="1" applyBorder="1" applyAlignment="1">
      <alignment horizontal="center" vertical="center" wrapText="1"/>
    </xf>
    <xf numFmtId="0" fontId="114" fillId="0" borderId="55" xfId="42" applyFont="1" applyBorder="1" applyAlignment="1">
      <alignment horizontal="center" vertical="center" wrapText="1"/>
    </xf>
    <xf numFmtId="14" fontId="113" fillId="0" borderId="9" xfId="42" applyNumberFormat="1" applyFont="1" applyBorder="1" applyAlignment="1">
      <alignment horizontal="center" vertical="center"/>
    </xf>
    <xf numFmtId="14" fontId="113" fillId="0" borderId="10" xfId="42" applyNumberFormat="1" applyFont="1" applyBorder="1" applyAlignment="1">
      <alignment horizontal="center" vertical="center"/>
    </xf>
    <xf numFmtId="14" fontId="113" fillId="0" borderId="17" xfId="42" applyNumberFormat="1" applyFont="1" applyBorder="1" applyAlignment="1">
      <alignment horizontal="center" vertical="center"/>
    </xf>
    <xf numFmtId="0" fontId="114" fillId="0" borderId="5" xfId="42" applyFont="1" applyBorder="1" applyAlignment="1">
      <alignment horizontal="center" vertical="center" wrapText="1"/>
    </xf>
    <xf numFmtId="0" fontId="157" fillId="4" borderId="9" xfId="42" applyFont="1" applyFill="1" applyBorder="1" applyAlignment="1" applyProtection="1">
      <alignment horizontal="center" vertical="center"/>
      <protection locked="0"/>
    </xf>
    <xf numFmtId="0" fontId="157" fillId="4" borderId="10" xfId="42" applyFont="1" applyFill="1" applyBorder="1" applyAlignment="1" applyProtection="1">
      <alignment horizontal="center" vertical="center"/>
      <protection locked="0"/>
    </xf>
    <xf numFmtId="0" fontId="157" fillId="4" borderId="17" xfId="42" applyFont="1" applyFill="1" applyBorder="1" applyAlignment="1" applyProtection="1">
      <alignment horizontal="center" vertical="center"/>
      <protection locked="0"/>
    </xf>
    <xf numFmtId="0" fontId="156" fillId="0" borderId="9" xfId="12" applyFont="1" applyBorder="1" applyAlignment="1" applyProtection="1">
      <alignment horizontal="center" vertical="center"/>
      <protection locked="0"/>
    </xf>
    <xf numFmtId="0" fontId="156" fillId="0" borderId="17" xfId="12" applyFont="1" applyBorder="1" applyAlignment="1" applyProtection="1">
      <alignment horizontal="center" vertical="center"/>
      <protection locked="0"/>
    </xf>
    <xf numFmtId="0" fontId="114" fillId="5" borderId="63" xfId="12" applyFont="1" applyFill="1" applyBorder="1" applyAlignment="1">
      <alignment horizontal="center" vertical="center"/>
    </xf>
    <xf numFmtId="0" fontId="114" fillId="5" borderId="41" xfId="12" applyFont="1" applyFill="1" applyBorder="1" applyAlignment="1">
      <alignment horizontal="center" vertical="center"/>
    </xf>
    <xf numFmtId="0" fontId="114" fillId="5" borderId="62" xfId="12" applyFont="1" applyFill="1" applyBorder="1" applyAlignment="1">
      <alignment horizontal="center" vertical="center"/>
    </xf>
    <xf numFmtId="0" fontId="114" fillId="5" borderId="30" xfId="12" applyFont="1" applyFill="1" applyBorder="1" applyAlignment="1">
      <alignment horizontal="center" vertical="center"/>
    </xf>
    <xf numFmtId="0" fontId="113" fillId="0" borderId="60" xfId="12" applyFont="1" applyBorder="1" applyAlignment="1">
      <alignment horizontal="center" vertical="center"/>
    </xf>
    <xf numFmtId="0" fontId="113" fillId="0" borderId="40" xfId="12" applyFont="1" applyBorder="1" applyAlignment="1">
      <alignment horizontal="center" vertical="center"/>
    </xf>
    <xf numFmtId="0" fontId="113" fillId="0" borderId="88" xfId="12" applyFont="1" applyBorder="1" applyAlignment="1">
      <alignment horizontal="center" vertical="center"/>
    </xf>
    <xf numFmtId="4" fontId="113" fillId="4" borderId="60" xfId="12" applyNumberFormat="1" applyFont="1" applyFill="1" applyBorder="1" applyAlignment="1">
      <alignment horizontal="center" vertical="center"/>
    </xf>
    <xf numFmtId="4" fontId="113" fillId="4" borderId="40" xfId="12" applyNumberFormat="1" applyFont="1" applyFill="1" applyBorder="1" applyAlignment="1">
      <alignment horizontal="center" vertical="center"/>
    </xf>
    <xf numFmtId="4" fontId="113" fillId="4" borderId="61" xfId="12" applyNumberFormat="1" applyFont="1" applyFill="1" applyBorder="1" applyAlignment="1">
      <alignment horizontal="center" vertical="center"/>
    </xf>
    <xf numFmtId="4" fontId="113" fillId="25" borderId="57" xfId="12" applyNumberFormat="1" applyFont="1" applyFill="1" applyBorder="1" applyAlignment="1">
      <alignment horizontal="center" vertical="center"/>
    </xf>
    <xf numFmtId="4" fontId="113" fillId="25" borderId="40" xfId="12" applyNumberFormat="1" applyFont="1" applyFill="1" applyBorder="1" applyAlignment="1">
      <alignment horizontal="center" vertical="center"/>
    </xf>
    <xf numFmtId="4" fontId="113" fillId="25" borderId="61" xfId="12" applyNumberFormat="1" applyFont="1" applyFill="1" applyBorder="1" applyAlignment="1">
      <alignment horizontal="center" vertical="center"/>
    </xf>
    <xf numFmtId="10" fontId="113" fillId="25" borderId="57" xfId="29" applyNumberFormat="1" applyFont="1" applyFill="1" applyBorder="1" applyAlignment="1">
      <alignment horizontal="center" vertical="center"/>
    </xf>
    <xf numFmtId="10" fontId="113" fillId="25" borderId="61" xfId="29" applyNumberFormat="1" applyFont="1" applyFill="1" applyBorder="1" applyAlignment="1">
      <alignment horizontal="center" vertical="center"/>
    </xf>
    <xf numFmtId="0" fontId="114" fillId="5" borderId="49" xfId="12" applyFont="1" applyFill="1" applyBorder="1" applyAlignment="1">
      <alignment horizontal="center" vertical="justify"/>
    </xf>
    <xf numFmtId="0" fontId="114" fillId="5" borderId="53" xfId="12" applyFont="1" applyFill="1" applyBorder="1" applyAlignment="1">
      <alignment horizontal="center" vertical="justify"/>
    </xf>
    <xf numFmtId="0" fontId="114" fillId="5" borderId="79" xfId="12" applyFont="1" applyFill="1" applyBorder="1" applyAlignment="1">
      <alignment horizontal="center" vertical="justify"/>
    </xf>
    <xf numFmtId="0" fontId="114" fillId="5" borderId="50" xfId="12" applyFont="1" applyFill="1" applyBorder="1" applyAlignment="1">
      <alignment horizontal="center" vertical="justify"/>
    </xf>
    <xf numFmtId="0" fontId="114" fillId="5" borderId="51" xfId="12" applyFont="1" applyFill="1" applyBorder="1" applyAlignment="1">
      <alignment horizontal="center" vertical="justify"/>
    </xf>
    <xf numFmtId="0" fontId="114" fillId="5" borderId="87" xfId="12" applyFont="1" applyFill="1" applyBorder="1" applyAlignment="1">
      <alignment horizontal="center" vertical="justify"/>
    </xf>
    <xf numFmtId="0" fontId="114" fillId="5" borderId="82" xfId="12" applyFont="1" applyFill="1" applyBorder="1" applyAlignment="1">
      <alignment horizontal="center" vertical="center" wrapText="1"/>
    </xf>
    <xf numFmtId="0" fontId="114" fillId="5" borderId="53" xfId="12" applyFont="1" applyFill="1" applyBorder="1" applyAlignment="1">
      <alignment horizontal="center" vertical="center" wrapText="1"/>
    </xf>
    <xf numFmtId="0" fontId="114" fillId="5" borderId="79" xfId="12" applyFont="1" applyFill="1" applyBorder="1" applyAlignment="1">
      <alignment horizontal="center" vertical="center" wrapText="1"/>
    </xf>
    <xf numFmtId="0" fontId="114" fillId="5" borderId="89" xfId="12" applyFont="1" applyFill="1" applyBorder="1" applyAlignment="1">
      <alignment horizontal="center" vertical="center" wrapText="1"/>
    </xf>
    <xf numFmtId="0" fontId="114" fillId="5" borderId="51" xfId="12" applyFont="1" applyFill="1" applyBorder="1" applyAlignment="1">
      <alignment horizontal="center" vertical="center" wrapText="1"/>
    </xf>
    <xf numFmtId="0" fontId="114" fillId="5" borderId="87" xfId="12" applyFont="1" applyFill="1" applyBorder="1" applyAlignment="1">
      <alignment horizontal="center" vertical="center" wrapText="1"/>
    </xf>
    <xf numFmtId="0" fontId="114" fillId="5" borderId="57" xfId="12" applyFont="1" applyFill="1" applyBorder="1" applyAlignment="1">
      <alignment horizontal="center" vertical="center"/>
    </xf>
    <xf numFmtId="0" fontId="114" fillId="5" borderId="40" xfId="12" applyFont="1" applyFill="1" applyBorder="1" applyAlignment="1">
      <alignment horizontal="center" vertical="center"/>
    </xf>
    <xf numFmtId="0" fontId="114" fillId="5" borderId="61" xfId="12" applyFont="1" applyFill="1" applyBorder="1" applyAlignment="1">
      <alignment horizontal="center" vertical="center"/>
    </xf>
    <xf numFmtId="0" fontId="114" fillId="5" borderId="88" xfId="12" applyFont="1" applyFill="1" applyBorder="1" applyAlignment="1">
      <alignment horizontal="center" vertical="center"/>
    </xf>
    <xf numFmtId="164" fontId="113" fillId="4" borderId="57" xfId="12" applyNumberFormat="1" applyFont="1" applyFill="1" applyBorder="1" applyAlignment="1">
      <alignment horizontal="center" vertical="center"/>
    </xf>
    <xf numFmtId="164" fontId="113" fillId="4" borderId="40" xfId="12" applyNumberFormat="1" applyFont="1" applyFill="1" applyBorder="1" applyAlignment="1">
      <alignment horizontal="center" vertical="center"/>
    </xf>
    <xf numFmtId="164" fontId="113" fillId="4" borderId="61" xfId="12" applyNumberFormat="1" applyFont="1" applyFill="1" applyBorder="1" applyAlignment="1">
      <alignment horizontal="center" vertical="center"/>
    </xf>
    <xf numFmtId="10" fontId="113" fillId="4" borderId="57" xfId="29" applyNumberFormat="1" applyFont="1" applyFill="1" applyBorder="1" applyAlignment="1">
      <alignment horizontal="center" vertical="center"/>
    </xf>
    <xf numFmtId="10" fontId="113" fillId="4" borderId="88" xfId="29" applyNumberFormat="1" applyFont="1" applyFill="1" applyBorder="1" applyAlignment="1">
      <alignment horizontal="center" vertical="center"/>
    </xf>
    <xf numFmtId="10" fontId="114" fillId="14" borderId="57" xfId="29" applyNumberFormat="1" applyFont="1" applyFill="1" applyBorder="1" applyAlignment="1">
      <alignment horizontal="center" vertical="center"/>
    </xf>
    <xf numFmtId="10" fontId="114" fillId="14" borderId="88" xfId="29" applyNumberFormat="1" applyFont="1" applyFill="1" applyBorder="1" applyAlignment="1">
      <alignment horizontal="center" vertical="center"/>
    </xf>
    <xf numFmtId="0" fontId="114" fillId="24" borderId="36" xfId="12" applyFont="1" applyFill="1" applyBorder="1" applyAlignment="1">
      <alignment horizontal="left" vertical="center" wrapText="1"/>
    </xf>
    <xf numFmtId="0" fontId="114" fillId="24" borderId="10" xfId="12" applyFont="1" applyFill="1" applyBorder="1" applyAlignment="1">
      <alignment horizontal="left" vertical="center" wrapText="1"/>
    </xf>
    <xf numFmtId="0" fontId="114" fillId="24" borderId="58" xfId="12" applyFont="1" applyFill="1" applyBorder="1" applyAlignment="1">
      <alignment horizontal="left" vertical="center" wrapText="1"/>
    </xf>
    <xf numFmtId="4" fontId="114" fillId="24" borderId="9" xfId="12" applyNumberFormat="1" applyFont="1" applyFill="1" applyBorder="1" applyAlignment="1">
      <alignment horizontal="center" vertical="center"/>
    </xf>
    <xf numFmtId="4" fontId="114" fillId="24" borderId="10" xfId="12" applyNumberFormat="1" applyFont="1" applyFill="1" applyBorder="1" applyAlignment="1">
      <alignment horizontal="center" vertical="center"/>
    </xf>
    <xf numFmtId="4" fontId="114" fillId="24" borderId="17" xfId="12" applyNumberFormat="1" applyFont="1" applyFill="1" applyBorder="1" applyAlignment="1">
      <alignment horizontal="center" vertical="center"/>
    </xf>
    <xf numFmtId="10" fontId="114" fillId="24" borderId="9" xfId="29" applyNumberFormat="1" applyFont="1" applyFill="1" applyBorder="1" applyAlignment="1">
      <alignment horizontal="center" vertical="center"/>
    </xf>
    <xf numFmtId="10" fontId="114" fillId="24" borderId="17" xfId="29" applyNumberFormat="1" applyFont="1" applyFill="1" applyBorder="1" applyAlignment="1">
      <alignment horizontal="center" vertical="center"/>
    </xf>
    <xf numFmtId="10" fontId="114" fillId="24" borderId="58" xfId="29" applyNumberFormat="1" applyFont="1" applyFill="1" applyBorder="1" applyAlignment="1">
      <alignment horizontal="center" vertical="center"/>
    </xf>
    <xf numFmtId="0" fontId="114" fillId="14" borderId="60" xfId="12" applyFont="1" applyFill="1" applyBorder="1" applyAlignment="1">
      <alignment horizontal="left" vertical="center"/>
    </xf>
    <xf numFmtId="0" fontId="114" fillId="14" borderId="40" xfId="12" applyFont="1" applyFill="1" applyBorder="1" applyAlignment="1">
      <alignment horizontal="left" vertical="center"/>
    </xf>
    <xf numFmtId="0" fontId="114" fillId="14" borderId="88" xfId="12" applyFont="1" applyFill="1" applyBorder="1" applyAlignment="1">
      <alignment horizontal="left" vertical="center"/>
    </xf>
    <xf numFmtId="4" fontId="114" fillId="14" borderId="60" xfId="12" applyNumberFormat="1" applyFont="1" applyFill="1" applyBorder="1" applyAlignment="1">
      <alignment horizontal="center" vertical="center"/>
    </xf>
    <xf numFmtId="4" fontId="114" fillId="14" borderId="40" xfId="12" applyNumberFormat="1" applyFont="1" applyFill="1" applyBorder="1" applyAlignment="1">
      <alignment horizontal="center" vertical="center"/>
    </xf>
    <xf numFmtId="4" fontId="114" fillId="14" borderId="61" xfId="12" applyNumberFormat="1" applyFont="1" applyFill="1" applyBorder="1" applyAlignment="1">
      <alignment horizontal="center" vertical="center"/>
    </xf>
    <xf numFmtId="4" fontId="114" fillId="14" borderId="57" xfId="12" applyNumberFormat="1" applyFont="1" applyFill="1" applyBorder="1" applyAlignment="1">
      <alignment horizontal="center" vertical="center"/>
    </xf>
    <xf numFmtId="10" fontId="114" fillId="14" borderId="61" xfId="29" applyNumberFormat="1" applyFont="1" applyFill="1" applyBorder="1" applyAlignment="1">
      <alignment horizontal="center" vertical="center"/>
    </xf>
    <xf numFmtId="10" fontId="114" fillId="24" borderId="9" xfId="12" applyNumberFormat="1" applyFont="1" applyFill="1" applyBorder="1" applyAlignment="1">
      <alignment horizontal="center" vertical="center"/>
    </xf>
    <xf numFmtId="10" fontId="114" fillId="24" borderId="58" xfId="12" applyNumberFormat="1" applyFont="1" applyFill="1" applyBorder="1" applyAlignment="1">
      <alignment horizontal="center" vertical="center"/>
    </xf>
    <xf numFmtId="0" fontId="144" fillId="4" borderId="36" xfId="12" applyFont="1" applyFill="1" applyBorder="1" applyAlignment="1">
      <alignment horizontal="left" vertical="center" wrapText="1"/>
    </xf>
    <xf numFmtId="0" fontId="144" fillId="4" borderId="10" xfId="12" applyFont="1" applyFill="1" applyBorder="1" applyAlignment="1">
      <alignment horizontal="left" vertical="center" wrapText="1"/>
    </xf>
    <xf numFmtId="0" fontId="144" fillId="4" borderId="58" xfId="12" applyFont="1" applyFill="1" applyBorder="1" applyAlignment="1">
      <alignment horizontal="left" vertical="center" wrapText="1"/>
    </xf>
    <xf numFmtId="4" fontId="113" fillId="4" borderId="36" xfId="12" applyNumberFormat="1" applyFont="1" applyFill="1" applyBorder="1" applyAlignment="1">
      <alignment horizontal="center" vertical="center"/>
    </xf>
    <xf numFmtId="4" fontId="113" fillId="4" borderId="10" xfId="12" applyNumberFormat="1" applyFont="1" applyFill="1" applyBorder="1" applyAlignment="1">
      <alignment horizontal="center" vertical="center"/>
    </xf>
    <xf numFmtId="4" fontId="113" fillId="4" borderId="17" xfId="12" applyNumberFormat="1" applyFont="1" applyFill="1" applyBorder="1" applyAlignment="1">
      <alignment horizontal="center" vertical="center"/>
    </xf>
    <xf numFmtId="4" fontId="113" fillId="4" borderId="9" xfId="12" applyNumberFormat="1" applyFont="1" applyFill="1" applyBorder="1" applyAlignment="1">
      <alignment horizontal="center" vertical="center"/>
    </xf>
    <xf numFmtId="10" fontId="113" fillId="4" borderId="9" xfId="29" applyNumberFormat="1" applyFont="1" applyFill="1" applyBorder="1" applyAlignment="1">
      <alignment horizontal="center" vertical="center"/>
    </xf>
    <xf numFmtId="10" fontId="113" fillId="4" borderId="17" xfId="29" applyNumberFormat="1" applyFont="1" applyFill="1" applyBorder="1" applyAlignment="1">
      <alignment horizontal="center" vertical="center"/>
    </xf>
    <xf numFmtId="10" fontId="16" fillId="4" borderId="9" xfId="29" applyNumberFormat="1" applyFont="1" applyFill="1" applyBorder="1" applyAlignment="1">
      <alignment horizontal="center" vertical="center"/>
    </xf>
    <xf numFmtId="10" fontId="16" fillId="4" borderId="17" xfId="29" applyNumberFormat="1" applyFont="1" applyFill="1" applyBorder="1" applyAlignment="1">
      <alignment horizontal="center" vertical="center"/>
    </xf>
    <xf numFmtId="10" fontId="113" fillId="0" borderId="9" xfId="29" applyNumberFormat="1" applyFont="1" applyFill="1" applyBorder="1" applyAlignment="1">
      <alignment horizontal="center" vertical="center"/>
    </xf>
    <xf numFmtId="10" fontId="113" fillId="0" borderId="17" xfId="29" applyNumberFormat="1" applyFont="1" applyFill="1" applyBorder="1" applyAlignment="1">
      <alignment horizontal="center" vertical="center"/>
    </xf>
    <xf numFmtId="4" fontId="113" fillId="4" borderId="9" xfId="12" applyNumberFormat="1" applyFont="1" applyFill="1" applyBorder="1" applyAlignment="1">
      <alignment horizontal="right" vertical="center"/>
    </xf>
    <xf numFmtId="4" fontId="113" fillId="4" borderId="10" xfId="12" applyNumberFormat="1" applyFont="1" applyFill="1" applyBorder="1" applyAlignment="1">
      <alignment horizontal="right" vertical="center"/>
    </xf>
    <xf numFmtId="10" fontId="113" fillId="0" borderId="58" xfId="29" applyNumberFormat="1" applyFont="1" applyFill="1" applyBorder="1" applyAlignment="1">
      <alignment horizontal="center" vertical="center"/>
    </xf>
    <xf numFmtId="0" fontId="160" fillId="24" borderId="36" xfId="12" applyFont="1" applyFill="1" applyBorder="1" applyAlignment="1">
      <alignment horizontal="left" vertical="center" wrapText="1"/>
    </xf>
    <xf numFmtId="0" fontId="160" fillId="24" borderId="10" xfId="12" applyFont="1" applyFill="1" applyBorder="1" applyAlignment="1">
      <alignment horizontal="left" vertical="center" wrapText="1"/>
    </xf>
    <xf numFmtId="0" fontId="160" fillId="24" borderId="58" xfId="12" applyFont="1" applyFill="1" applyBorder="1" applyAlignment="1">
      <alignment horizontal="left" vertical="center" wrapText="1"/>
    </xf>
    <xf numFmtId="4" fontId="114" fillId="24" borderId="36" xfId="12" applyNumberFormat="1" applyFont="1" applyFill="1" applyBorder="1" applyAlignment="1">
      <alignment horizontal="center" vertical="center"/>
    </xf>
    <xf numFmtId="0" fontId="114" fillId="24" borderId="10" xfId="12" applyFont="1" applyFill="1" applyBorder="1" applyAlignment="1">
      <alignment horizontal="center" vertical="center"/>
    </xf>
    <xf numFmtId="0" fontId="114" fillId="24" borderId="17" xfId="12" applyFont="1" applyFill="1" applyBorder="1" applyAlignment="1">
      <alignment horizontal="center" vertical="center"/>
    </xf>
    <xf numFmtId="10" fontId="113" fillId="24" borderId="9" xfId="29" applyNumberFormat="1" applyFont="1" applyFill="1" applyBorder="1" applyAlignment="1">
      <alignment horizontal="center" vertical="center"/>
    </xf>
    <xf numFmtId="10" fontId="113" fillId="24" borderId="17" xfId="29" applyNumberFormat="1" applyFont="1" applyFill="1" applyBorder="1" applyAlignment="1">
      <alignment horizontal="center" vertical="center"/>
    </xf>
    <xf numFmtId="10" fontId="113" fillId="4" borderId="58" xfId="29" applyNumberFormat="1" applyFont="1" applyFill="1" applyBorder="1" applyAlignment="1">
      <alignment horizontal="center" vertical="center"/>
    </xf>
    <xf numFmtId="4" fontId="113" fillId="0" borderId="9" xfId="12" applyNumberFormat="1" applyFont="1" applyBorder="1" applyAlignment="1">
      <alignment horizontal="center" vertical="center"/>
    </xf>
    <xf numFmtId="4" fontId="113" fillId="0" borderId="10" xfId="12" applyNumberFormat="1" applyFont="1" applyBorder="1" applyAlignment="1">
      <alignment horizontal="center" vertical="center"/>
    </xf>
    <xf numFmtId="10" fontId="113" fillId="14" borderId="9" xfId="29" applyNumberFormat="1" applyFont="1" applyFill="1" applyBorder="1" applyAlignment="1">
      <alignment horizontal="center" vertical="center"/>
    </xf>
    <xf numFmtId="10" fontId="113" fillId="14" borderId="58" xfId="29" applyNumberFormat="1" applyFont="1" applyFill="1" applyBorder="1" applyAlignment="1">
      <alignment horizontal="center" vertical="center"/>
    </xf>
    <xf numFmtId="4" fontId="113" fillId="0" borderId="17" xfId="12" applyNumberFormat="1" applyFont="1" applyBorder="1" applyAlignment="1">
      <alignment horizontal="center" vertical="center"/>
    </xf>
    <xf numFmtId="0" fontId="160" fillId="14" borderId="36" xfId="12" applyFont="1" applyFill="1" applyBorder="1" applyAlignment="1">
      <alignment horizontal="left" vertical="center" wrapText="1"/>
    </xf>
    <xf numFmtId="0" fontId="160" fillId="14" borderId="10" xfId="12" applyFont="1" applyFill="1" applyBorder="1" applyAlignment="1">
      <alignment horizontal="left" vertical="center" wrapText="1"/>
    </xf>
    <xf numFmtId="0" fontId="160" fillId="14" borderId="58" xfId="12" applyFont="1" applyFill="1" applyBorder="1" applyAlignment="1">
      <alignment horizontal="left" vertical="center" wrapText="1"/>
    </xf>
    <xf numFmtId="4" fontId="114" fillId="14" borderId="36" xfId="12" applyNumberFormat="1" applyFont="1" applyFill="1" applyBorder="1" applyAlignment="1">
      <alignment horizontal="center" vertical="center"/>
    </xf>
    <xf numFmtId="4" fontId="114" fillId="14" borderId="10" xfId="12" applyNumberFormat="1" applyFont="1" applyFill="1" applyBorder="1" applyAlignment="1">
      <alignment horizontal="center" vertical="center"/>
    </xf>
    <xf numFmtId="4" fontId="114" fillId="14" borderId="17" xfId="12" applyNumberFormat="1" applyFont="1" applyFill="1" applyBorder="1" applyAlignment="1">
      <alignment horizontal="center" vertical="center"/>
    </xf>
    <xf numFmtId="10" fontId="114" fillId="14" borderId="9" xfId="29" applyNumberFormat="1" applyFont="1" applyFill="1" applyBorder="1" applyAlignment="1">
      <alignment horizontal="center" vertical="center"/>
    </xf>
    <xf numFmtId="10" fontId="114" fillId="14" borderId="17" xfId="29" applyNumberFormat="1" applyFont="1" applyFill="1" applyBorder="1" applyAlignment="1">
      <alignment horizontal="center" vertical="center"/>
    </xf>
    <xf numFmtId="4" fontId="114" fillId="14" borderId="9" xfId="12" applyNumberFormat="1" applyFont="1" applyFill="1" applyBorder="1" applyAlignment="1">
      <alignment horizontal="center" vertical="center"/>
    </xf>
    <xf numFmtId="10" fontId="113" fillId="14" borderId="17" xfId="29" applyNumberFormat="1" applyFont="1" applyFill="1" applyBorder="1" applyAlignment="1">
      <alignment horizontal="center" vertical="center"/>
    </xf>
    <xf numFmtId="0" fontId="113" fillId="4" borderId="36" xfId="12" applyFont="1" applyFill="1" applyBorder="1" applyAlignment="1">
      <alignment horizontal="left" vertical="center" wrapText="1"/>
    </xf>
    <xf numFmtId="0" fontId="113" fillId="4" borderId="10" xfId="12" applyFont="1" applyFill="1" applyBorder="1" applyAlignment="1">
      <alignment horizontal="left" vertical="center" wrapText="1"/>
    </xf>
    <xf numFmtId="0" fontId="113" fillId="4" borderId="58" xfId="12" applyFont="1" applyFill="1" applyBorder="1" applyAlignment="1">
      <alignment horizontal="left" vertical="center" wrapText="1"/>
    </xf>
    <xf numFmtId="0" fontId="144" fillId="4" borderId="42" xfId="12" applyFont="1" applyFill="1" applyBorder="1" applyAlignment="1">
      <alignment horizontal="left" vertical="center" wrapText="1"/>
    </xf>
    <xf numFmtId="0" fontId="144" fillId="4" borderId="28" xfId="12" applyFont="1" applyFill="1" applyBorder="1" applyAlignment="1">
      <alignment horizontal="left" vertical="center" wrapText="1"/>
    </xf>
    <xf numFmtId="0" fontId="144" fillId="4" borderId="70" xfId="12" applyFont="1" applyFill="1" applyBorder="1" applyAlignment="1">
      <alignment horizontal="left" vertical="center" wrapText="1"/>
    </xf>
    <xf numFmtId="4" fontId="113" fillId="4" borderId="42" xfId="12" applyNumberFormat="1" applyFont="1" applyFill="1" applyBorder="1" applyAlignment="1">
      <alignment horizontal="center" vertical="center"/>
    </xf>
    <xf numFmtId="4" fontId="113" fillId="4" borderId="28" xfId="12" applyNumberFormat="1" applyFont="1" applyFill="1" applyBorder="1" applyAlignment="1">
      <alignment horizontal="center" vertical="center"/>
    </xf>
    <xf numFmtId="4" fontId="113" fillId="4" borderId="29" xfId="12" applyNumberFormat="1" applyFont="1" applyFill="1" applyBorder="1" applyAlignment="1">
      <alignment horizontal="center" vertical="center"/>
    </xf>
    <xf numFmtId="4" fontId="113" fillId="4" borderId="26" xfId="12" applyNumberFormat="1" applyFont="1" applyFill="1" applyBorder="1" applyAlignment="1">
      <alignment horizontal="center" vertical="center"/>
    </xf>
    <xf numFmtId="10" fontId="113" fillId="4" borderId="26" xfId="29" applyNumberFormat="1" applyFont="1" applyFill="1" applyBorder="1" applyAlignment="1">
      <alignment horizontal="center" vertical="center"/>
    </xf>
    <xf numFmtId="10" fontId="113" fillId="4" borderId="29" xfId="29" applyNumberFormat="1" applyFont="1" applyFill="1" applyBorder="1" applyAlignment="1">
      <alignment horizontal="center" vertical="center"/>
    </xf>
    <xf numFmtId="10" fontId="16" fillId="4" borderId="26" xfId="29" applyNumberFormat="1" applyFont="1" applyFill="1" applyBorder="1" applyAlignment="1">
      <alignment horizontal="center" vertical="center"/>
    </xf>
    <xf numFmtId="10" fontId="16" fillId="4" borderId="29" xfId="29" applyNumberFormat="1" applyFont="1" applyFill="1" applyBorder="1" applyAlignment="1">
      <alignment horizontal="center" vertical="center"/>
    </xf>
    <xf numFmtId="4" fontId="114" fillId="24" borderId="84" xfId="12" applyNumberFormat="1" applyFont="1" applyFill="1" applyBorder="1" applyAlignment="1">
      <alignment horizontal="center" vertical="center"/>
    </xf>
    <xf numFmtId="4" fontId="114" fillId="24" borderId="19" xfId="12" applyNumberFormat="1" applyFont="1" applyFill="1" applyBorder="1" applyAlignment="1">
      <alignment horizontal="center" vertical="center"/>
    </xf>
    <xf numFmtId="4" fontId="114" fillId="24" borderId="86" xfId="12" applyNumberFormat="1" applyFont="1" applyFill="1" applyBorder="1" applyAlignment="1">
      <alignment horizontal="center" vertical="center"/>
    </xf>
    <xf numFmtId="10" fontId="114" fillId="24" borderId="84" xfId="29" applyNumberFormat="1" applyFont="1" applyFill="1" applyBorder="1" applyAlignment="1">
      <alignment horizontal="center" vertical="center"/>
    </xf>
    <xf numFmtId="10" fontId="114" fillId="24" borderId="86" xfId="29" applyNumberFormat="1" applyFont="1" applyFill="1" applyBorder="1" applyAlignment="1">
      <alignment horizontal="center" vertical="center"/>
    </xf>
    <xf numFmtId="164" fontId="114" fillId="24" borderId="84" xfId="12" applyNumberFormat="1" applyFont="1" applyFill="1" applyBorder="1" applyAlignment="1">
      <alignment horizontal="center" vertical="center"/>
    </xf>
    <xf numFmtId="164" fontId="114" fillId="24" borderId="19" xfId="12" applyNumberFormat="1" applyFont="1" applyFill="1" applyBorder="1" applyAlignment="1">
      <alignment horizontal="center" vertical="center"/>
    </xf>
    <xf numFmtId="164" fontId="114" fillId="24" borderId="86" xfId="12" applyNumberFormat="1" applyFont="1" applyFill="1" applyBorder="1" applyAlignment="1">
      <alignment horizontal="center" vertical="center"/>
    </xf>
    <xf numFmtId="10" fontId="114" fillId="24" borderId="20" xfId="29" applyNumberFormat="1" applyFont="1" applyFill="1" applyBorder="1" applyAlignment="1">
      <alignment horizontal="center" vertical="center"/>
    </xf>
    <xf numFmtId="10" fontId="113" fillId="9" borderId="54" xfId="12" applyNumberFormat="1" applyFont="1" applyFill="1" applyBorder="1" applyAlignment="1">
      <alignment horizontal="center" vertical="center"/>
    </xf>
    <xf numFmtId="0" fontId="113" fillId="9" borderId="63" xfId="12" applyFont="1" applyFill="1" applyBorder="1" applyAlignment="1">
      <alignment horizontal="left" vertical="center"/>
    </xf>
    <xf numFmtId="0" fontId="113" fillId="9" borderId="41" xfId="12" applyFont="1" applyFill="1" applyBorder="1" applyAlignment="1">
      <alignment horizontal="left" vertical="center"/>
    </xf>
    <xf numFmtId="0" fontId="113" fillId="9" borderId="62" xfId="12" applyFont="1" applyFill="1" applyBorder="1" applyAlignment="1">
      <alignment horizontal="left" vertical="center"/>
    </xf>
    <xf numFmtId="4" fontId="113" fillId="0" borderId="26" xfId="12" applyNumberFormat="1" applyFont="1" applyBorder="1" applyAlignment="1">
      <alignment horizontal="center" vertical="center"/>
    </xf>
    <xf numFmtId="4" fontId="113" fillId="0" borderId="28" xfId="12" applyNumberFormat="1" applyFont="1" applyBorder="1" applyAlignment="1">
      <alignment horizontal="center" vertical="center"/>
    </xf>
    <xf numFmtId="4" fontId="113" fillId="0" borderId="29" xfId="12" applyNumberFormat="1" applyFont="1" applyBorder="1" applyAlignment="1">
      <alignment horizontal="center" vertical="center"/>
    </xf>
    <xf numFmtId="10" fontId="113" fillId="0" borderId="26" xfId="29" applyNumberFormat="1" applyFont="1" applyFill="1" applyBorder="1" applyAlignment="1">
      <alignment horizontal="center" vertical="center"/>
    </xf>
    <xf numFmtId="10" fontId="113" fillId="0" borderId="29" xfId="29" applyNumberFormat="1" applyFont="1" applyFill="1" applyBorder="1" applyAlignment="1">
      <alignment horizontal="center" vertical="center"/>
    </xf>
    <xf numFmtId="10" fontId="113" fillId="0" borderId="70" xfId="29" applyNumberFormat="1" applyFont="1" applyFill="1" applyBorder="1" applyAlignment="1">
      <alignment horizontal="center" vertical="center"/>
    </xf>
    <xf numFmtId="0" fontId="163" fillId="24" borderId="18" xfId="12" applyFont="1" applyFill="1" applyBorder="1" applyAlignment="1">
      <alignment horizontal="left" vertical="center" wrapText="1"/>
    </xf>
    <xf numFmtId="0" fontId="163" fillId="24" borderId="19" xfId="12" applyFont="1" applyFill="1" applyBorder="1" applyAlignment="1">
      <alignment horizontal="left" vertical="center" wrapText="1"/>
    </xf>
    <xf numFmtId="0" fontId="163" fillId="24" borderId="20" xfId="12" applyFont="1" applyFill="1" applyBorder="1" applyAlignment="1">
      <alignment horizontal="left" vertical="center" wrapText="1"/>
    </xf>
    <xf numFmtId="4" fontId="114" fillId="24" borderId="18" xfId="12" applyNumberFormat="1" applyFont="1" applyFill="1" applyBorder="1" applyAlignment="1">
      <alignment horizontal="center" vertical="center"/>
    </xf>
    <xf numFmtId="10" fontId="23" fillId="24" borderId="84" xfId="29" applyNumberFormat="1" applyFont="1" applyFill="1" applyBorder="1" applyAlignment="1">
      <alignment horizontal="center" vertical="center"/>
    </xf>
    <xf numFmtId="10" fontId="23" fillId="24" borderId="86" xfId="29" applyNumberFormat="1" applyFont="1" applyFill="1" applyBorder="1" applyAlignment="1">
      <alignment horizontal="center" vertical="center"/>
    </xf>
    <xf numFmtId="4" fontId="144" fillId="4" borderId="9" xfId="12" applyNumberFormat="1" applyFont="1" applyFill="1" applyBorder="1" applyAlignment="1">
      <alignment horizontal="center" vertical="center"/>
    </xf>
    <xf numFmtId="4" fontId="144" fillId="4" borderId="10" xfId="12" applyNumberFormat="1" applyFont="1" applyFill="1" applyBorder="1" applyAlignment="1">
      <alignment horizontal="center" vertical="center"/>
    </xf>
    <xf numFmtId="4" fontId="144" fillId="4" borderId="17" xfId="12" applyNumberFormat="1" applyFont="1" applyFill="1" applyBorder="1" applyAlignment="1">
      <alignment horizontal="center" vertical="center"/>
    </xf>
    <xf numFmtId="10" fontId="144" fillId="4" borderId="9" xfId="29" applyNumberFormat="1" applyFont="1" applyFill="1" applyBorder="1" applyAlignment="1">
      <alignment horizontal="center" vertical="center"/>
    </xf>
    <xf numFmtId="10" fontId="144" fillId="4" borderId="17" xfId="29" applyNumberFormat="1" applyFont="1" applyFill="1" applyBorder="1" applyAlignment="1">
      <alignment horizontal="center" vertical="center"/>
    </xf>
    <xf numFmtId="164" fontId="144" fillId="4" borderId="9" xfId="12" applyNumberFormat="1" applyFont="1" applyFill="1" applyBorder="1" applyAlignment="1">
      <alignment horizontal="center" vertical="center"/>
    </xf>
    <xf numFmtId="164" fontId="144" fillId="4" borderId="10" xfId="12" applyNumberFormat="1" applyFont="1" applyFill="1" applyBorder="1" applyAlignment="1">
      <alignment horizontal="center" vertical="center"/>
    </xf>
    <xf numFmtId="164" fontId="144" fillId="4" borderId="17" xfId="12" applyNumberFormat="1" applyFont="1" applyFill="1" applyBorder="1" applyAlignment="1">
      <alignment horizontal="center" vertical="center"/>
    </xf>
    <xf numFmtId="10" fontId="144" fillId="4" borderId="58" xfId="29" applyNumberFormat="1" applyFont="1" applyFill="1" applyBorder="1" applyAlignment="1">
      <alignment horizontal="center" vertical="center"/>
    </xf>
    <xf numFmtId="0" fontId="160" fillId="0" borderId="36" xfId="12" applyFont="1" applyBorder="1" applyAlignment="1">
      <alignment horizontal="center" vertical="center"/>
    </xf>
    <xf numFmtId="0" fontId="160" fillId="0" borderId="10" xfId="12" applyFont="1" applyBorder="1" applyAlignment="1">
      <alignment horizontal="center" vertical="center"/>
    </xf>
    <xf numFmtId="0" fontId="160" fillId="0" borderId="17" xfId="12" applyFont="1" applyBorder="1" applyAlignment="1">
      <alignment horizontal="center" vertical="center"/>
    </xf>
    <xf numFmtId="164" fontId="160" fillId="0" borderId="9" xfId="2" applyFont="1" applyFill="1" applyBorder="1" applyAlignment="1">
      <alignment horizontal="center" vertical="center"/>
    </xf>
    <xf numFmtId="164" fontId="160" fillId="0" borderId="10" xfId="2" applyFont="1" applyFill="1" applyBorder="1" applyAlignment="1">
      <alignment horizontal="center" vertical="center"/>
    </xf>
    <xf numFmtId="164" fontId="160" fillId="0" borderId="17" xfId="2" applyFont="1" applyFill="1" applyBorder="1" applyAlignment="1">
      <alignment horizontal="center" vertical="center"/>
    </xf>
    <xf numFmtId="164" fontId="144" fillId="0" borderId="9" xfId="2" applyFont="1" applyFill="1" applyBorder="1" applyAlignment="1">
      <alignment horizontal="center" vertical="center"/>
    </xf>
    <xf numFmtId="164" fontId="144" fillId="0" borderId="10" xfId="2" applyFont="1" applyFill="1" applyBorder="1" applyAlignment="1">
      <alignment horizontal="center" vertical="center"/>
    </xf>
    <xf numFmtId="164" fontId="144" fillId="0" borderId="17" xfId="2" applyFont="1" applyFill="1" applyBorder="1" applyAlignment="1">
      <alignment horizontal="center" vertical="center"/>
    </xf>
    <xf numFmtId="4" fontId="144" fillId="0" borderId="9" xfId="12" applyNumberFormat="1" applyFont="1" applyBorder="1" applyAlignment="1">
      <alignment horizontal="center" vertical="center"/>
    </xf>
    <xf numFmtId="4" fontId="144" fillId="0" borderId="10" xfId="12" applyNumberFormat="1" applyFont="1" applyBorder="1" applyAlignment="1">
      <alignment horizontal="center" vertical="center"/>
    </xf>
    <xf numFmtId="4" fontId="144" fillId="0" borderId="17" xfId="12" applyNumberFormat="1" applyFont="1" applyBorder="1" applyAlignment="1">
      <alignment horizontal="center" vertical="center"/>
    </xf>
    <xf numFmtId="10" fontId="144" fillId="0" borderId="9" xfId="29" applyNumberFormat="1" applyFont="1" applyFill="1" applyBorder="1" applyAlignment="1">
      <alignment horizontal="center" vertical="center"/>
    </xf>
    <xf numFmtId="10" fontId="144" fillId="0" borderId="17" xfId="29" applyNumberFormat="1" applyFont="1" applyFill="1" applyBorder="1" applyAlignment="1">
      <alignment horizontal="center" vertical="center"/>
    </xf>
    <xf numFmtId="164" fontId="144" fillId="0" borderId="9" xfId="12" applyNumberFormat="1" applyFont="1" applyBorder="1" applyAlignment="1">
      <alignment horizontal="center" vertical="center"/>
    </xf>
    <xf numFmtId="164" fontId="144" fillId="0" borderId="10" xfId="12" applyNumberFormat="1" applyFont="1" applyBorder="1" applyAlignment="1">
      <alignment horizontal="center" vertical="center"/>
    </xf>
    <xf numFmtId="164" fontId="144" fillId="0" borderId="17" xfId="12" applyNumberFormat="1" applyFont="1" applyBorder="1" applyAlignment="1">
      <alignment horizontal="center" vertical="center"/>
    </xf>
    <xf numFmtId="10" fontId="144" fillId="0" borderId="58" xfId="29" applyNumberFormat="1" applyFont="1" applyFill="1" applyBorder="1" applyAlignment="1">
      <alignment horizontal="center" vertical="center"/>
    </xf>
    <xf numFmtId="0" fontId="114" fillId="0" borderId="37" xfId="12" applyFont="1" applyBorder="1" applyAlignment="1">
      <alignment horizontal="center" vertical="center"/>
    </xf>
    <xf numFmtId="0" fontId="114" fillId="0" borderId="41" xfId="12" applyFont="1" applyBorder="1" applyAlignment="1">
      <alignment horizontal="center" vertical="center"/>
    </xf>
    <xf numFmtId="0" fontId="114" fillId="0" borderId="62" xfId="12" applyFont="1" applyBorder="1" applyAlignment="1">
      <alignment horizontal="center" vertical="center"/>
    </xf>
    <xf numFmtId="164" fontId="113" fillId="0" borderId="63" xfId="2" applyFont="1" applyFill="1" applyBorder="1" applyAlignment="1">
      <alignment horizontal="center" vertical="center"/>
    </xf>
    <xf numFmtId="164" fontId="113" fillId="0" borderId="41" xfId="2" applyFont="1" applyFill="1" applyBorder="1" applyAlignment="1">
      <alignment horizontal="center" vertical="center"/>
    </xf>
    <xf numFmtId="164" fontId="113" fillId="0" borderId="62" xfId="2" applyFont="1" applyFill="1" applyBorder="1" applyAlignment="1">
      <alignment horizontal="center" vertical="center"/>
    </xf>
    <xf numFmtId="4" fontId="113" fillId="0" borderId="63" xfId="12" applyNumberFormat="1" applyFont="1" applyBorder="1" applyAlignment="1">
      <alignment horizontal="center" vertical="center"/>
    </xf>
    <xf numFmtId="4" fontId="113" fillId="0" borderId="41" xfId="12" applyNumberFormat="1" applyFont="1" applyBorder="1" applyAlignment="1">
      <alignment horizontal="center" vertical="center"/>
    </xf>
    <xf numFmtId="4" fontId="113" fillId="0" borderId="62" xfId="12" applyNumberFormat="1" applyFont="1" applyBorder="1" applyAlignment="1">
      <alignment horizontal="center" vertical="center"/>
    </xf>
    <xf numFmtId="10" fontId="113" fillId="0" borderId="63" xfId="12" applyNumberFormat="1" applyFont="1" applyBorder="1" applyAlignment="1">
      <alignment horizontal="center" vertical="center"/>
    </xf>
    <xf numFmtId="10" fontId="113" fillId="0" borderId="62" xfId="12" applyNumberFormat="1" applyFont="1" applyBorder="1" applyAlignment="1">
      <alignment horizontal="center" vertical="center"/>
    </xf>
    <xf numFmtId="0" fontId="113" fillId="0" borderId="63" xfId="12" applyFont="1" applyBorder="1" applyAlignment="1">
      <alignment horizontal="center" vertical="center"/>
    </xf>
    <xf numFmtId="0" fontId="113" fillId="0" borderId="41" xfId="12" applyFont="1" applyBorder="1" applyAlignment="1">
      <alignment horizontal="center" vertical="center"/>
    </xf>
    <xf numFmtId="0" fontId="113" fillId="0" borderId="62" xfId="12" applyFont="1" applyBorder="1" applyAlignment="1">
      <alignment horizontal="center" vertical="center"/>
    </xf>
    <xf numFmtId="10" fontId="113" fillId="0" borderId="30" xfId="12" applyNumberFormat="1" applyFont="1" applyBorder="1" applyAlignment="1">
      <alignment horizontal="center" vertical="center"/>
    </xf>
    <xf numFmtId="0" fontId="114" fillId="0" borderId="9" xfId="12" applyFont="1" applyBorder="1" applyAlignment="1">
      <alignment horizontal="left" vertical="center"/>
    </xf>
    <xf numFmtId="0" fontId="114" fillId="0" borderId="10" xfId="12" applyFont="1" applyBorder="1" applyAlignment="1">
      <alignment horizontal="left" vertical="center"/>
    </xf>
    <xf numFmtId="0" fontId="114" fillId="0" borderId="17" xfId="12" applyFont="1" applyBorder="1" applyAlignment="1">
      <alignment horizontal="left" vertical="center"/>
    </xf>
    <xf numFmtId="0" fontId="114" fillId="5" borderId="42" xfId="12" applyFont="1" applyFill="1" applyBorder="1" applyAlignment="1">
      <alignment horizontal="center" vertical="center"/>
    </xf>
    <xf numFmtId="0" fontId="114" fillId="5" borderId="28" xfId="12" applyFont="1" applyFill="1" applyBorder="1" applyAlignment="1">
      <alignment horizontal="center" vertical="center"/>
    </xf>
    <xf numFmtId="0" fontId="114" fillId="5" borderId="29" xfId="12" applyFont="1" applyFill="1" applyBorder="1" applyAlignment="1">
      <alignment horizontal="center" vertical="center"/>
    </xf>
    <xf numFmtId="0" fontId="114" fillId="5" borderId="21" xfId="12" applyFont="1" applyFill="1" applyBorder="1" applyAlignment="1">
      <alignment horizontal="center" vertical="center"/>
    </xf>
    <xf numFmtId="0" fontId="114" fillId="5" borderId="0" xfId="12" applyFont="1" applyFill="1" applyAlignment="1">
      <alignment horizontal="center" vertical="center"/>
    </xf>
    <xf numFmtId="0" fontId="114" fillId="5" borderId="85" xfId="12" applyFont="1" applyFill="1" applyBorder="1" applyAlignment="1">
      <alignment horizontal="center" vertical="center"/>
    </xf>
    <xf numFmtId="0" fontId="114" fillId="5" borderId="26" xfId="12" applyFont="1" applyFill="1" applyBorder="1" applyAlignment="1">
      <alignment horizontal="center" vertical="center" wrapText="1"/>
    </xf>
    <xf numFmtId="0" fontId="114" fillId="5" borderId="28" xfId="12" applyFont="1" applyFill="1" applyBorder="1" applyAlignment="1">
      <alignment horizontal="center" vertical="center" wrapText="1"/>
    </xf>
    <xf numFmtId="0" fontId="114" fillId="5" borderId="29" xfId="12" applyFont="1" applyFill="1" applyBorder="1" applyAlignment="1">
      <alignment horizontal="center" vertical="center" wrapText="1"/>
    </xf>
    <xf numFmtId="0" fontId="114" fillId="5" borderId="43" xfId="12" applyFont="1" applyFill="1" applyBorder="1" applyAlignment="1">
      <alignment horizontal="center" vertical="center" wrapText="1"/>
    </xf>
    <xf numFmtId="0" fontId="114" fillId="5" borderId="0" xfId="12" applyFont="1" applyFill="1" applyAlignment="1">
      <alignment horizontal="center" vertical="center" wrapText="1"/>
    </xf>
    <xf numFmtId="0" fontId="114" fillId="5" borderId="85" xfId="12" applyFont="1" applyFill="1" applyBorder="1" applyAlignment="1">
      <alignment horizontal="center" vertical="center" wrapText="1"/>
    </xf>
    <xf numFmtId="0" fontId="114" fillId="5" borderId="9" xfId="12" applyFont="1" applyFill="1" applyBorder="1" applyAlignment="1">
      <alignment horizontal="center" vertical="center"/>
    </xf>
    <xf numFmtId="0" fontId="114" fillId="5" borderId="10" xfId="12" applyFont="1" applyFill="1" applyBorder="1" applyAlignment="1">
      <alignment horizontal="center" vertical="center"/>
    </xf>
    <xf numFmtId="0" fontId="114" fillId="5" borderId="17" xfId="12" applyFont="1" applyFill="1" applyBorder="1" applyAlignment="1">
      <alignment horizontal="center" vertical="center"/>
    </xf>
    <xf numFmtId="0" fontId="114" fillId="5" borderId="58" xfId="12" applyFont="1" applyFill="1" applyBorder="1" applyAlignment="1">
      <alignment horizontal="center" vertical="center"/>
    </xf>
    <xf numFmtId="0" fontId="114" fillId="5" borderId="26" xfId="12" applyFont="1" applyFill="1" applyBorder="1" applyAlignment="1">
      <alignment horizontal="center" vertical="center"/>
    </xf>
    <xf numFmtId="0" fontId="114" fillId="5" borderId="70" xfId="12" applyFont="1" applyFill="1" applyBorder="1" applyAlignment="1">
      <alignment horizontal="center" vertical="center"/>
    </xf>
    <xf numFmtId="4" fontId="144" fillId="4" borderId="2" xfId="12" applyNumberFormat="1" applyFont="1" applyFill="1" applyBorder="1" applyAlignment="1">
      <alignment horizontal="center" vertical="center"/>
    </xf>
    <xf numFmtId="10" fontId="144" fillId="4" borderId="2" xfId="29" applyNumberFormat="1" applyFont="1" applyFill="1" applyBorder="1" applyAlignment="1">
      <alignment horizontal="center" vertical="center"/>
    </xf>
    <xf numFmtId="164" fontId="144" fillId="4" borderId="2" xfId="12" applyNumberFormat="1" applyFont="1" applyFill="1" applyBorder="1" applyAlignment="1">
      <alignment horizontal="center" vertical="center"/>
    </xf>
    <xf numFmtId="10" fontId="144" fillId="4" borderId="3" xfId="29" applyNumberFormat="1" applyFont="1" applyFill="1" applyBorder="1" applyAlignment="1">
      <alignment horizontal="center" vertical="center"/>
    </xf>
    <xf numFmtId="0" fontId="160" fillId="0" borderId="4" xfId="12" applyFont="1" applyBorder="1" applyAlignment="1">
      <alignment horizontal="center" vertical="center"/>
    </xf>
    <xf numFmtId="0" fontId="160" fillId="0" borderId="5" xfId="12" applyFont="1" applyBorder="1" applyAlignment="1">
      <alignment horizontal="center" vertical="center"/>
    </xf>
    <xf numFmtId="164" fontId="144" fillId="4" borderId="5" xfId="2" applyFont="1" applyFill="1" applyBorder="1" applyAlignment="1">
      <alignment horizontal="center" vertical="center"/>
    </xf>
    <xf numFmtId="4" fontId="144" fillId="4" borderId="5" xfId="12" applyNumberFormat="1" applyFont="1" applyFill="1" applyBorder="1" applyAlignment="1">
      <alignment horizontal="center" vertical="center"/>
    </xf>
    <xf numFmtId="10" fontId="144" fillId="4" borderId="5" xfId="29" applyNumberFormat="1" applyFont="1" applyFill="1" applyBorder="1" applyAlignment="1">
      <alignment horizontal="center" vertical="center"/>
    </xf>
    <xf numFmtId="4" fontId="144" fillId="25" borderId="5" xfId="12" applyNumberFormat="1" applyFont="1" applyFill="1" applyBorder="1" applyAlignment="1">
      <alignment horizontal="center" vertical="center"/>
    </xf>
    <xf numFmtId="0" fontId="160" fillId="0" borderId="1" xfId="12" applyFont="1" applyBorder="1" applyAlignment="1">
      <alignment horizontal="center" vertical="center"/>
    </xf>
    <xf numFmtId="0" fontId="160" fillId="0" borderId="2" xfId="12" applyFont="1" applyBorder="1" applyAlignment="1">
      <alignment horizontal="center" vertical="center"/>
    </xf>
    <xf numFmtId="164" fontId="144" fillId="4" borderId="2" xfId="2" applyFont="1" applyFill="1" applyBorder="1" applyAlignment="1">
      <alignment horizontal="center" vertical="center"/>
    </xf>
    <xf numFmtId="4" fontId="144" fillId="4" borderId="78" xfId="12" applyNumberFormat="1" applyFont="1" applyFill="1" applyBorder="1" applyAlignment="1">
      <alignment horizontal="center" vertical="center"/>
    </xf>
    <xf numFmtId="4" fontId="144" fillId="25" borderId="2" xfId="12" applyNumberFormat="1" applyFont="1" applyFill="1" applyBorder="1" applyAlignment="1">
      <alignment horizontal="center" vertical="center"/>
    </xf>
    <xf numFmtId="164" fontId="144" fillId="4" borderId="5" xfId="12" applyNumberFormat="1" applyFont="1" applyFill="1" applyBorder="1" applyAlignment="1">
      <alignment horizontal="center" vertical="center"/>
    </xf>
    <xf numFmtId="10" fontId="144" fillId="4" borderId="6" xfId="29" applyNumberFormat="1" applyFont="1" applyFill="1" applyBorder="1" applyAlignment="1">
      <alignment horizontal="center" vertical="center"/>
    </xf>
    <xf numFmtId="0" fontId="160" fillId="0" borderId="7" xfId="12" applyFont="1" applyBorder="1" applyAlignment="1">
      <alignment horizontal="center" vertical="center"/>
    </xf>
    <xf numFmtId="0" fontId="160" fillId="0" borderId="8" xfId="12" applyFont="1" applyBorder="1" applyAlignment="1">
      <alignment horizontal="center" vertical="center"/>
    </xf>
    <xf numFmtId="164" fontId="144" fillId="0" borderId="8" xfId="2" applyFont="1" applyFill="1" applyBorder="1" applyAlignment="1">
      <alignment horizontal="center" vertical="center"/>
    </xf>
    <xf numFmtId="4" fontId="144" fillId="4" borderId="8" xfId="12" applyNumberFormat="1" applyFont="1" applyFill="1" applyBorder="1" applyAlignment="1">
      <alignment horizontal="center" vertical="center"/>
    </xf>
    <xf numFmtId="10" fontId="144" fillId="0" borderId="8" xfId="29" applyNumberFormat="1" applyFont="1" applyFill="1" applyBorder="1" applyAlignment="1">
      <alignment horizontal="center" vertical="center"/>
    </xf>
    <xf numFmtId="4" fontId="144" fillId="0" borderId="8" xfId="12" applyNumberFormat="1" applyFont="1" applyBorder="1" applyAlignment="1">
      <alignment horizontal="center" vertical="center"/>
    </xf>
    <xf numFmtId="164" fontId="144" fillId="0" borderId="8" xfId="12" applyNumberFormat="1" applyFont="1" applyBorder="1" applyAlignment="1">
      <alignment horizontal="center" vertical="center"/>
    </xf>
    <xf numFmtId="10" fontId="144" fillId="0" borderId="35" xfId="29" applyNumberFormat="1" applyFont="1" applyFill="1" applyBorder="1" applyAlignment="1">
      <alignment horizontal="center" vertical="center"/>
    </xf>
    <xf numFmtId="164" fontId="144" fillId="0" borderId="5" xfId="2" applyFont="1" applyFill="1" applyBorder="1" applyAlignment="1">
      <alignment horizontal="center" vertical="center"/>
    </xf>
    <xf numFmtId="4" fontId="144" fillId="0" borderId="5" xfId="12" applyNumberFormat="1" applyFont="1" applyBorder="1" applyAlignment="1">
      <alignment horizontal="center" vertical="center"/>
    </xf>
    <xf numFmtId="10" fontId="144" fillId="0" borderId="5" xfId="29" applyNumberFormat="1" applyFont="1" applyFill="1" applyBorder="1" applyAlignment="1">
      <alignment horizontal="center" vertical="center"/>
    </xf>
    <xf numFmtId="0" fontId="114" fillId="0" borderId="51" xfId="12" applyFont="1" applyBorder="1" applyAlignment="1">
      <alignment horizontal="left" vertical="center"/>
    </xf>
    <xf numFmtId="4" fontId="144" fillId="4" borderId="84" xfId="12" applyNumberFormat="1" applyFont="1" applyFill="1" applyBorder="1" applyAlignment="1">
      <alignment horizontal="center" vertical="center"/>
    </xf>
    <xf numFmtId="4" fontId="144" fillId="4" borderId="19" xfId="12" applyNumberFormat="1" applyFont="1" applyFill="1" applyBorder="1" applyAlignment="1">
      <alignment horizontal="center" vertical="center"/>
    </xf>
    <xf numFmtId="4" fontId="144" fillId="4" borderId="86" xfId="12" applyNumberFormat="1" applyFont="1" applyFill="1" applyBorder="1" applyAlignment="1">
      <alignment horizontal="center" vertical="center"/>
    </xf>
    <xf numFmtId="10" fontId="144" fillId="0" borderId="84" xfId="29" applyNumberFormat="1" applyFont="1" applyFill="1" applyBorder="1" applyAlignment="1">
      <alignment horizontal="center" vertical="center"/>
    </xf>
    <xf numFmtId="10" fontId="144" fillId="0" borderId="19" xfId="29" applyNumberFormat="1" applyFont="1" applyFill="1" applyBorder="1" applyAlignment="1">
      <alignment horizontal="center" vertical="center"/>
    </xf>
    <xf numFmtId="164" fontId="144" fillId="4" borderId="14" xfId="12" applyNumberFormat="1" applyFont="1" applyFill="1" applyBorder="1" applyAlignment="1">
      <alignment horizontal="center" vertical="center"/>
    </xf>
    <xf numFmtId="164" fontId="144" fillId="4" borderId="15" xfId="12" applyNumberFormat="1" applyFont="1" applyFill="1" applyBorder="1" applyAlignment="1">
      <alignment horizontal="center" vertical="center"/>
    </xf>
    <xf numFmtId="164" fontId="144" fillId="4" borderId="59" xfId="12" applyNumberFormat="1" applyFont="1" applyFill="1" applyBorder="1" applyAlignment="1">
      <alignment horizontal="center" vertical="center"/>
    </xf>
    <xf numFmtId="10" fontId="144" fillId="0" borderId="20" xfId="29" applyNumberFormat="1" applyFont="1" applyFill="1" applyBorder="1" applyAlignment="1">
      <alignment horizontal="center" vertical="center"/>
    </xf>
    <xf numFmtId="0" fontId="114" fillId="0" borderId="9" xfId="42" applyFont="1" applyBorder="1" applyAlignment="1">
      <alignment horizontal="center" vertical="center" wrapText="1"/>
    </xf>
    <xf numFmtId="0" fontId="114" fillId="0" borderId="10" xfId="42" applyFont="1" applyBorder="1" applyAlignment="1">
      <alignment horizontal="center" vertical="center" wrapText="1"/>
    </xf>
    <xf numFmtId="0" fontId="114" fillId="0" borderId="17" xfId="42" applyFont="1" applyBorder="1" applyAlignment="1">
      <alignment horizontal="center" vertical="center" wrapText="1"/>
    </xf>
    <xf numFmtId="0" fontId="114" fillId="0" borderId="26" xfId="42" applyFont="1" applyBorder="1" applyAlignment="1">
      <alignment horizontal="center" vertical="center"/>
    </xf>
    <xf numFmtId="0" fontId="114" fillId="0" borderId="28" xfId="42" applyFont="1" applyBorder="1" applyAlignment="1">
      <alignment horizontal="center" vertical="center"/>
    </xf>
    <xf numFmtId="0" fontId="114" fillId="0" borderId="29" xfId="42" applyFont="1" applyBorder="1" applyAlignment="1">
      <alignment horizontal="center" vertical="center"/>
    </xf>
    <xf numFmtId="0" fontId="114" fillId="0" borderId="46" xfId="42" applyFont="1" applyBorder="1" applyAlignment="1">
      <alignment horizontal="center" vertical="center"/>
    </xf>
    <xf numFmtId="0" fontId="114" fillId="0" borderId="54" xfId="42" applyFont="1" applyBorder="1" applyAlignment="1">
      <alignment horizontal="center" vertical="center"/>
    </xf>
    <xf numFmtId="0" fontId="114" fillId="0" borderId="55" xfId="42" applyFont="1" applyBorder="1" applyAlignment="1">
      <alignment horizontal="center" vertical="center"/>
    </xf>
    <xf numFmtId="0" fontId="160" fillId="0" borderId="18" xfId="12" applyFont="1" applyBorder="1" applyAlignment="1">
      <alignment horizontal="center" vertical="center"/>
    </xf>
    <xf numFmtId="0" fontId="160" fillId="0" borderId="19" xfId="12" applyFont="1" applyBorder="1" applyAlignment="1">
      <alignment horizontal="center" vertical="center"/>
    </xf>
    <xf numFmtId="0" fontId="160" fillId="0" borderId="86" xfId="12" applyFont="1" applyBorder="1" applyAlignment="1">
      <alignment horizontal="center" vertical="center"/>
    </xf>
    <xf numFmtId="164" fontId="144" fillId="4" borderId="84" xfId="2" applyFont="1" applyFill="1" applyBorder="1" applyAlignment="1">
      <alignment horizontal="center" vertical="center"/>
    </xf>
    <xf numFmtId="164" fontId="144" fillId="4" borderId="19" xfId="2" applyFont="1" applyFill="1" applyBorder="1" applyAlignment="1">
      <alignment horizontal="center" vertical="center"/>
    </xf>
    <xf numFmtId="164" fontId="144" fillId="4" borderId="86" xfId="2" applyFont="1" applyFill="1" applyBorder="1" applyAlignment="1">
      <alignment horizontal="center" vertical="center"/>
    </xf>
    <xf numFmtId="4" fontId="144" fillId="0" borderId="84" xfId="12" applyNumberFormat="1" applyFont="1" applyBorder="1" applyAlignment="1">
      <alignment horizontal="center" vertical="center"/>
    </xf>
    <xf numFmtId="4" fontId="144" fillId="0" borderId="19" xfId="12" applyNumberFormat="1" applyFont="1" applyBorder="1" applyAlignment="1">
      <alignment horizontal="center" vertical="center"/>
    </xf>
    <xf numFmtId="4" fontId="144" fillId="0" borderId="86" xfId="12" applyNumberFormat="1" applyFont="1" applyBorder="1" applyAlignment="1">
      <alignment horizontal="center" vertical="center"/>
    </xf>
    <xf numFmtId="10" fontId="144" fillId="0" borderId="86" xfId="29" applyNumberFormat="1" applyFont="1" applyFill="1" applyBorder="1" applyAlignment="1">
      <alignment horizontal="center" vertical="center"/>
    </xf>
    <xf numFmtId="4" fontId="144" fillId="25" borderId="84" xfId="12" applyNumberFormat="1" applyFont="1" applyFill="1" applyBorder="1" applyAlignment="1">
      <alignment horizontal="center" vertical="center"/>
    </xf>
    <xf numFmtId="4" fontId="144" fillId="25" borderId="19" xfId="12" applyNumberFormat="1" applyFont="1" applyFill="1" applyBorder="1" applyAlignment="1">
      <alignment horizontal="center" vertical="center"/>
    </xf>
    <xf numFmtId="4" fontId="144" fillId="25" borderId="86" xfId="12" applyNumberFormat="1" applyFont="1" applyFill="1" applyBorder="1" applyAlignment="1">
      <alignment horizontal="center" vertical="center"/>
    </xf>
    <xf numFmtId="0" fontId="114" fillId="0" borderId="9" xfId="42" applyFont="1" applyBorder="1" applyAlignment="1">
      <alignment horizontal="center" vertical="center"/>
    </xf>
    <xf numFmtId="0" fontId="114" fillId="0" borderId="17" xfId="42" applyFont="1" applyBorder="1" applyAlignment="1">
      <alignment horizontal="center" vertical="center"/>
    </xf>
    <xf numFmtId="16" fontId="113" fillId="4" borderId="9" xfId="42" applyNumberFormat="1" applyFont="1" applyFill="1" applyBorder="1" applyAlignment="1">
      <alignment horizontal="center" vertical="center"/>
    </xf>
    <xf numFmtId="16" fontId="113" fillId="4" borderId="10" xfId="42" applyNumberFormat="1" applyFont="1" applyFill="1" applyBorder="1" applyAlignment="1">
      <alignment horizontal="center" vertical="center"/>
    </xf>
    <xf numFmtId="16" fontId="113" fillId="4" borderId="17" xfId="42" applyNumberFormat="1" applyFont="1" applyFill="1" applyBorder="1" applyAlignment="1">
      <alignment horizontal="center" vertical="center"/>
    </xf>
    <xf numFmtId="0" fontId="113" fillId="4" borderId="9" xfId="42" applyFont="1" applyFill="1" applyBorder="1" applyAlignment="1">
      <alignment horizontal="center" vertical="center"/>
    </xf>
    <xf numFmtId="0" fontId="113" fillId="4" borderId="17" xfId="42" applyFont="1" applyFill="1" applyBorder="1" applyAlignment="1">
      <alignment horizontal="center" vertical="center"/>
    </xf>
    <xf numFmtId="4" fontId="113" fillId="4" borderId="9" xfId="42" applyNumberFormat="1" applyFont="1" applyFill="1" applyBorder="1" applyAlignment="1">
      <alignment horizontal="center" vertical="center"/>
    </xf>
    <xf numFmtId="4" fontId="113" fillId="4" borderId="10" xfId="42" applyNumberFormat="1" applyFont="1" applyFill="1" applyBorder="1" applyAlignment="1">
      <alignment horizontal="center" vertical="center"/>
    </xf>
    <xf numFmtId="4" fontId="113" fillId="4" borderId="17" xfId="42" applyNumberFormat="1" applyFont="1" applyFill="1" applyBorder="1" applyAlignment="1">
      <alignment horizontal="center" vertical="center"/>
    </xf>
    <xf numFmtId="0" fontId="127" fillId="0" borderId="43" xfId="42" applyFont="1" applyBorder="1" applyAlignment="1">
      <alignment horizontal="center" vertical="center"/>
    </xf>
    <xf numFmtId="0" fontId="127" fillId="0" borderId="0" xfId="42" applyFont="1" applyAlignment="1">
      <alignment horizontal="center" vertical="center"/>
    </xf>
    <xf numFmtId="0" fontId="113" fillId="0" borderId="43" xfId="42" applyFont="1" applyBorder="1" applyAlignment="1">
      <alignment horizontal="center" vertical="center" wrapText="1"/>
    </xf>
    <xf numFmtId="0" fontId="113" fillId="0" borderId="0" xfId="42" applyFont="1" applyAlignment="1">
      <alignment horizontal="center" vertical="center" wrapText="1"/>
    </xf>
    <xf numFmtId="4" fontId="114" fillId="4" borderId="9" xfId="42" applyNumberFormat="1" applyFont="1" applyFill="1" applyBorder="1" applyAlignment="1">
      <alignment horizontal="center" vertical="center"/>
    </xf>
    <xf numFmtId="4" fontId="114" fillId="4" borderId="10" xfId="42" applyNumberFormat="1" applyFont="1" applyFill="1" applyBorder="1" applyAlignment="1">
      <alignment horizontal="center" vertical="center"/>
    </xf>
    <xf numFmtId="4" fontId="114" fillId="4" borderId="17" xfId="42" applyNumberFormat="1" applyFont="1" applyFill="1" applyBorder="1" applyAlignment="1">
      <alignment horizontal="center" vertical="center"/>
    </xf>
    <xf numFmtId="4" fontId="114" fillId="0" borderId="9" xfId="42" applyNumberFormat="1" applyFont="1" applyBorder="1" applyAlignment="1">
      <alignment horizontal="center" vertical="center"/>
    </xf>
    <xf numFmtId="4" fontId="114" fillId="0" borderId="10" xfId="42" applyNumberFormat="1" applyFont="1" applyBorder="1" applyAlignment="1">
      <alignment horizontal="center" vertical="center"/>
    </xf>
    <xf numFmtId="4" fontId="114" fillId="0" borderId="17" xfId="42" applyNumberFormat="1" applyFont="1" applyBorder="1" applyAlignment="1">
      <alignment horizontal="center" vertical="center"/>
    </xf>
    <xf numFmtId="0" fontId="164" fillId="0" borderId="26" xfId="12" applyFont="1" applyBorder="1" applyAlignment="1">
      <alignment horizontal="center" vertical="center" wrapText="1"/>
    </xf>
    <xf numFmtId="0" fontId="164" fillId="0" borderId="28" xfId="12" applyFont="1" applyBorder="1" applyAlignment="1">
      <alignment horizontal="center" vertical="center" wrapText="1"/>
    </xf>
    <xf numFmtId="0" fontId="164" fillId="0" borderId="29" xfId="12" applyFont="1" applyBorder="1" applyAlignment="1">
      <alignment horizontal="center" vertical="center" wrapText="1"/>
    </xf>
    <xf numFmtId="0" fontId="164" fillId="0" borderId="46" xfId="12" applyFont="1" applyBorder="1" applyAlignment="1">
      <alignment horizontal="center" vertical="center" wrapText="1"/>
    </xf>
    <xf numFmtId="0" fontId="164" fillId="0" borderId="54" xfId="12" applyFont="1" applyBorder="1" applyAlignment="1">
      <alignment horizontal="center" vertical="center" wrapText="1"/>
    </xf>
    <xf numFmtId="0" fontId="164" fillId="0" borderId="55" xfId="12" applyFont="1" applyBorder="1" applyAlignment="1">
      <alignment horizontal="center" vertical="center" wrapText="1"/>
    </xf>
    <xf numFmtId="0" fontId="114" fillId="0" borderId="26" xfId="12" applyFont="1" applyBorder="1" applyAlignment="1">
      <alignment horizontal="center" vertical="center" wrapText="1"/>
    </xf>
    <xf numFmtId="0" fontId="114" fillId="0" borderId="28" xfId="12" applyFont="1" applyBorder="1" applyAlignment="1">
      <alignment horizontal="center" vertical="center" wrapText="1"/>
    </xf>
    <xf numFmtId="0" fontId="114" fillId="0" borderId="29" xfId="12" applyFont="1" applyBorder="1" applyAlignment="1">
      <alignment horizontal="center" vertical="center" wrapText="1"/>
    </xf>
    <xf numFmtId="0" fontId="114" fillId="0" borderId="46" xfId="12" applyFont="1" applyBorder="1" applyAlignment="1">
      <alignment horizontal="center" vertical="center" wrapText="1"/>
    </xf>
    <xf numFmtId="0" fontId="114" fillId="0" borderId="54" xfId="12" applyFont="1" applyBorder="1" applyAlignment="1">
      <alignment horizontal="center" vertical="center" wrapText="1"/>
    </xf>
    <xf numFmtId="0" fontId="114" fillId="0" borderId="55" xfId="12" applyFont="1" applyBorder="1" applyAlignment="1">
      <alignment horizontal="center" vertical="center" wrapText="1"/>
    </xf>
    <xf numFmtId="0" fontId="114" fillId="0" borderId="9" xfId="12" applyFont="1" applyBorder="1" applyAlignment="1">
      <alignment horizontal="center" vertical="center"/>
    </xf>
    <xf numFmtId="0" fontId="114" fillId="0" borderId="10" xfId="12" applyFont="1" applyBorder="1" applyAlignment="1">
      <alignment horizontal="center" vertical="center"/>
    </xf>
    <xf numFmtId="0" fontId="114" fillId="0" borderId="17" xfId="12" applyFont="1" applyBorder="1" applyAlignment="1">
      <alignment horizontal="center" vertical="center"/>
    </xf>
    <xf numFmtId="0" fontId="114" fillId="0" borderId="10" xfId="42" applyFont="1" applyBorder="1" applyAlignment="1">
      <alignment horizontal="center" vertical="center"/>
    </xf>
    <xf numFmtId="0" fontId="114" fillId="4" borderId="9" xfId="42" applyFont="1" applyFill="1" applyBorder="1" applyAlignment="1">
      <alignment horizontal="center" vertical="center"/>
    </xf>
    <xf numFmtId="0" fontId="114" fillId="4" borderId="10" xfId="42" applyFont="1" applyFill="1" applyBorder="1" applyAlignment="1">
      <alignment horizontal="center" vertical="center"/>
    </xf>
    <xf numFmtId="0" fontId="114" fillId="4" borderId="17" xfId="42" applyFont="1" applyFill="1" applyBorder="1" applyAlignment="1">
      <alignment horizontal="center" vertical="center"/>
    </xf>
    <xf numFmtId="164" fontId="113" fillId="4" borderId="5" xfId="2" applyFont="1" applyFill="1" applyBorder="1" applyAlignment="1">
      <alignment vertical="center"/>
    </xf>
    <xf numFmtId="0" fontId="113" fillId="0" borderId="92" xfId="42" quotePrefix="1" applyFont="1" applyBorder="1" applyAlignment="1">
      <alignment horizontal="center" vertical="center"/>
    </xf>
    <xf numFmtId="0" fontId="113" fillId="0" borderId="54" xfId="42" quotePrefix="1" applyFont="1" applyBorder="1" applyAlignment="1">
      <alignment horizontal="center" vertical="center"/>
    </xf>
    <xf numFmtId="0" fontId="113" fillId="0" borderId="55" xfId="42" quotePrefix="1" applyFont="1" applyBorder="1" applyAlignment="1">
      <alignment horizontal="center" vertical="center"/>
    </xf>
    <xf numFmtId="49" fontId="113" fillId="9" borderId="5" xfId="42" applyNumberFormat="1" applyFont="1" applyFill="1" applyBorder="1" applyAlignment="1">
      <alignment horizontal="center" vertical="top"/>
    </xf>
    <xf numFmtId="0" fontId="114" fillId="4" borderId="18" xfId="42" applyFont="1" applyFill="1" applyBorder="1" applyAlignment="1">
      <alignment horizontal="center" vertical="center"/>
    </xf>
    <xf numFmtId="0" fontId="114" fillId="4" borderId="19" xfId="42" applyFont="1" applyFill="1" applyBorder="1" applyAlignment="1">
      <alignment horizontal="center" vertical="center"/>
    </xf>
    <xf numFmtId="0" fontId="114" fillId="9" borderId="49" xfId="42" applyFont="1" applyFill="1" applyBorder="1" applyAlignment="1">
      <alignment horizontal="center" vertical="center" wrapText="1"/>
    </xf>
    <xf numFmtId="0" fontId="114" fillId="9" borderId="53" xfId="42" applyFont="1" applyFill="1" applyBorder="1" applyAlignment="1">
      <alignment horizontal="center" vertical="center" wrapText="1"/>
    </xf>
    <xf numFmtId="0" fontId="114" fillId="9" borderId="66" xfId="42" applyFont="1" applyFill="1" applyBorder="1" applyAlignment="1">
      <alignment horizontal="center" vertical="center" wrapText="1"/>
    </xf>
    <xf numFmtId="0" fontId="114" fillId="9" borderId="21" xfId="42" applyFont="1" applyFill="1" applyBorder="1" applyAlignment="1">
      <alignment horizontal="center" vertical="center" wrapText="1"/>
    </xf>
    <xf numFmtId="0" fontId="114" fillId="9" borderId="0" xfId="42" applyFont="1" applyFill="1" applyAlignment="1">
      <alignment horizontal="center" vertical="center" wrapText="1"/>
    </xf>
    <xf numFmtId="0" fontId="114" fillId="9" borderId="22" xfId="42" applyFont="1" applyFill="1" applyBorder="1" applyAlignment="1">
      <alignment horizontal="center" vertical="center" wrapText="1"/>
    </xf>
    <xf numFmtId="0" fontId="114" fillId="0" borderId="49" xfId="42" applyFont="1" applyBorder="1" applyAlignment="1">
      <alignment horizontal="center" vertical="center"/>
    </xf>
    <xf numFmtId="0" fontId="114" fillId="0" borderId="53" xfId="42" applyFont="1" applyBorder="1" applyAlignment="1">
      <alignment horizontal="center" vertical="center"/>
    </xf>
    <xf numFmtId="0" fontId="114" fillId="0" borderId="79" xfId="42" applyFont="1" applyBorder="1" applyAlignment="1">
      <alignment horizontal="center" vertical="center"/>
    </xf>
    <xf numFmtId="0" fontId="114" fillId="0" borderId="82" xfId="42" applyFont="1" applyBorder="1" applyAlignment="1">
      <alignment horizontal="center" vertical="center"/>
    </xf>
    <xf numFmtId="0" fontId="113" fillId="0" borderId="60" xfId="42" applyFont="1" applyBorder="1" applyAlignment="1">
      <alignment horizontal="center" vertical="center"/>
    </xf>
    <xf numFmtId="0" fontId="113" fillId="0" borderId="40" xfId="42" applyFont="1" applyBorder="1" applyAlignment="1">
      <alignment horizontal="center" vertical="center"/>
    </xf>
    <xf numFmtId="0" fontId="113" fillId="0" borderId="88" xfId="42" applyFont="1" applyBorder="1" applyAlignment="1">
      <alignment horizontal="center" vertical="center"/>
    </xf>
    <xf numFmtId="0" fontId="113" fillId="0" borderId="60" xfId="42" quotePrefix="1" applyFont="1" applyBorder="1" applyAlignment="1">
      <alignment horizontal="center" vertical="center"/>
    </xf>
    <xf numFmtId="0" fontId="113" fillId="0" borderId="61" xfId="42" applyFont="1" applyBorder="1" applyAlignment="1">
      <alignment horizontal="center" vertical="center"/>
    </xf>
    <xf numFmtId="0" fontId="113" fillId="0" borderId="57" xfId="42" applyFont="1" applyBorder="1" applyAlignment="1">
      <alignment horizontal="center" vertical="center"/>
    </xf>
    <xf numFmtId="0" fontId="113" fillId="4" borderId="42" xfId="42" quotePrefix="1" applyFont="1" applyFill="1" applyBorder="1" applyAlignment="1">
      <alignment horizontal="center" vertical="center"/>
    </xf>
    <xf numFmtId="0" fontId="113" fillId="4" borderId="28" xfId="42" quotePrefix="1" applyFont="1" applyFill="1" applyBorder="1" applyAlignment="1">
      <alignment horizontal="center" vertical="center"/>
    </xf>
    <xf numFmtId="0" fontId="113" fillId="4" borderId="29" xfId="42" quotePrefix="1" applyFont="1" applyFill="1" applyBorder="1" applyAlignment="1">
      <alignment horizontal="center" vertical="center"/>
    </xf>
    <xf numFmtId="0" fontId="162" fillId="4" borderId="0" xfId="42" applyFont="1" applyFill="1" applyAlignment="1">
      <alignment horizontal="left" vertical="center" wrapText="1"/>
    </xf>
    <xf numFmtId="0" fontId="113" fillId="4" borderId="0" xfId="12" applyFont="1" applyFill="1" applyAlignment="1">
      <alignment horizontal="left" vertical="center" wrapText="1"/>
    </xf>
    <xf numFmtId="0" fontId="129" fillId="2" borderId="56" xfId="12" applyFont="1" applyFill="1" applyBorder="1" applyAlignment="1">
      <alignment horizontal="center" vertical="center"/>
    </xf>
    <xf numFmtId="0" fontId="129" fillId="2" borderId="34" xfId="12" applyFont="1" applyFill="1" applyBorder="1" applyAlignment="1">
      <alignment horizontal="center" vertical="center"/>
    </xf>
    <xf numFmtId="0" fontId="129" fillId="2" borderId="68" xfId="12" applyFont="1" applyFill="1" applyBorder="1" applyAlignment="1">
      <alignment horizontal="center" vertical="center"/>
    </xf>
    <xf numFmtId="0" fontId="154" fillId="0" borderId="5" xfId="12" applyFont="1" applyBorder="1" applyAlignment="1">
      <alignment horizontal="left" vertical="top" wrapText="1"/>
    </xf>
    <xf numFmtId="0" fontId="168" fillId="0" borderId="0" xfId="12" applyFont="1" applyAlignment="1">
      <alignment horizontal="left" vertical="top" wrapText="1"/>
    </xf>
    <xf numFmtId="183" fontId="181" fillId="10" borderId="5" xfId="62" applyFont="1" applyFill="1" applyBorder="1" applyAlignment="1">
      <alignment horizontal="center" vertical="center" wrapText="1"/>
    </xf>
    <xf numFmtId="183" fontId="182" fillId="10" borderId="5" xfId="62" applyFont="1" applyFill="1" applyBorder="1" applyAlignment="1">
      <alignment horizontal="center" vertical="top" wrapText="1"/>
    </xf>
    <xf numFmtId="183" fontId="182" fillId="30" borderId="5" xfId="62" applyFont="1" applyFill="1" applyBorder="1" applyAlignment="1">
      <alignment horizontal="center" vertical="top" wrapText="1"/>
    </xf>
    <xf numFmtId="0" fontId="177" fillId="28" borderId="5" xfId="42" applyFont="1" applyFill="1" applyBorder="1" applyAlignment="1">
      <alignment horizontal="center" vertical="center"/>
    </xf>
    <xf numFmtId="0" fontId="176" fillId="28" borderId="5" xfId="42" applyFont="1" applyFill="1" applyBorder="1" applyAlignment="1">
      <alignment horizontal="center"/>
    </xf>
    <xf numFmtId="0" fontId="177" fillId="28" borderId="5" xfId="42" applyFont="1" applyFill="1" applyBorder="1" applyAlignment="1">
      <alignment horizontal="center"/>
    </xf>
    <xf numFmtId="0" fontId="178" fillId="29" borderId="5" xfId="42" applyFont="1" applyFill="1" applyBorder="1" applyAlignment="1">
      <alignment horizontal="center" vertical="top" wrapText="1"/>
    </xf>
    <xf numFmtId="183" fontId="181" fillId="10" borderId="5" xfId="62" applyFont="1" applyFill="1" applyBorder="1" applyAlignment="1">
      <alignment horizontal="left" vertical="center" wrapText="1"/>
    </xf>
    <xf numFmtId="0" fontId="179" fillId="28" borderId="5" xfId="42" applyFont="1" applyFill="1" applyBorder="1" applyAlignment="1">
      <alignment horizontal="center" vertical="center"/>
    </xf>
    <xf numFmtId="0" fontId="179" fillId="28" borderId="5" xfId="42" applyFont="1" applyFill="1" applyBorder="1" applyAlignment="1">
      <alignment horizontal="center" vertical="center" wrapText="1"/>
    </xf>
    <xf numFmtId="0" fontId="176" fillId="0" borderId="0" xfId="42" applyFont="1" applyAlignment="1">
      <alignment horizontal="center"/>
    </xf>
    <xf numFmtId="0" fontId="177" fillId="0" borderId="0" xfId="42" applyFont="1" applyAlignment="1">
      <alignment horizontal="center"/>
    </xf>
    <xf numFmtId="4" fontId="177" fillId="0" borderId="0" xfId="42" applyNumberFormat="1" applyFont="1" applyAlignment="1">
      <alignment horizontal="right" vertical="center" wrapText="1"/>
    </xf>
    <xf numFmtId="4" fontId="177" fillId="0" borderId="0" xfId="42" applyNumberFormat="1" applyFont="1" applyAlignment="1">
      <alignment horizontal="center" vertical="center" wrapText="1"/>
    </xf>
    <xf numFmtId="0" fontId="62" fillId="0" borderId="0" xfId="19" applyFont="1" applyAlignment="1">
      <alignment horizontal="center"/>
    </xf>
    <xf numFmtId="49" fontId="63" fillId="0" borderId="0" xfId="19" applyNumberFormat="1" applyFont="1" applyAlignment="1">
      <alignment horizontal="center"/>
    </xf>
    <xf numFmtId="0" fontId="63" fillId="0" borderId="0" xfId="19" applyFont="1" applyAlignment="1">
      <alignment horizontal="center"/>
    </xf>
    <xf numFmtId="49" fontId="81" fillId="0" borderId="0" xfId="19" applyNumberFormat="1" applyFont="1" applyAlignment="1">
      <alignment horizontal="center"/>
    </xf>
    <xf numFmtId="0" fontId="81" fillId="0" borderId="0" xfId="19" applyFont="1" applyAlignment="1">
      <alignment horizontal="center"/>
    </xf>
    <xf numFmtId="0" fontId="16" fillId="0" borderId="9" xfId="14" applyBorder="1" applyAlignment="1">
      <alignment horizontal="center"/>
    </xf>
    <xf numFmtId="0" fontId="16" fillId="0" borderId="10" xfId="14" applyBorder="1" applyAlignment="1">
      <alignment horizontal="center"/>
    </xf>
    <xf numFmtId="0" fontId="16" fillId="0" borderId="17" xfId="14" applyBorder="1" applyAlignment="1">
      <alignment horizontal="center"/>
    </xf>
    <xf numFmtId="14" fontId="145" fillId="0" borderId="0" xfId="58" applyNumberFormat="1" applyFont="1" applyAlignment="1">
      <alignment horizontal="left" vertical="center" wrapText="1"/>
    </xf>
    <xf numFmtId="167" fontId="145" fillId="4" borderId="0" xfId="58" applyNumberFormat="1" applyFont="1" applyFill="1" applyAlignment="1">
      <alignment horizontal="left"/>
    </xf>
    <xf numFmtId="167" fontId="145" fillId="4" borderId="0" xfId="58" applyNumberFormat="1" applyFont="1" applyFill="1" applyAlignment="1">
      <alignment horizontal="left" vertical="center"/>
    </xf>
    <xf numFmtId="171" fontId="145" fillId="0" borderId="0" xfId="58" applyNumberFormat="1" applyFont="1" applyAlignment="1">
      <alignment horizontal="left"/>
    </xf>
    <xf numFmtId="0" fontId="16" fillId="0" borderId="0" xfId="14" applyAlignment="1">
      <alignment horizontal="center" vertical="center" wrapText="1"/>
    </xf>
    <xf numFmtId="0" fontId="16" fillId="0" borderId="9" xfId="14" applyBorder="1" applyAlignment="1">
      <alignment horizontal="center" vertical="center"/>
    </xf>
    <xf numFmtId="0" fontId="16" fillId="0" borderId="10" xfId="14" applyBorder="1" applyAlignment="1">
      <alignment horizontal="center" vertical="center"/>
    </xf>
    <xf numFmtId="0" fontId="16" fillId="0" borderId="17" xfId="14" applyBorder="1" applyAlignment="1">
      <alignment horizontal="center" vertical="center"/>
    </xf>
    <xf numFmtId="0" fontId="57" fillId="0" borderId="54" xfId="14" applyFont="1" applyBorder="1" applyAlignment="1">
      <alignment horizontal="center"/>
    </xf>
    <xf numFmtId="0" fontId="57" fillId="0" borderId="0" xfId="14" applyFont="1" applyAlignment="1">
      <alignment horizontal="center"/>
    </xf>
    <xf numFmtId="4" fontId="23" fillId="0" borderId="9" xfId="14" applyNumberFormat="1" applyFont="1" applyBorder="1" applyAlignment="1">
      <alignment horizontal="right" vertical="center"/>
    </xf>
    <xf numFmtId="4" fontId="23" fillId="0" borderId="10" xfId="14" applyNumberFormat="1" applyFont="1" applyBorder="1" applyAlignment="1">
      <alignment horizontal="right" vertical="center"/>
    </xf>
    <xf numFmtId="4" fontId="23" fillId="0" borderId="17" xfId="14" applyNumberFormat="1" applyFont="1" applyBorder="1" applyAlignment="1">
      <alignment horizontal="right" vertical="center"/>
    </xf>
    <xf numFmtId="0" fontId="15" fillId="6" borderId="9" xfId="14" applyFont="1" applyFill="1" applyBorder="1" applyAlignment="1">
      <alignment horizontal="center"/>
    </xf>
    <xf numFmtId="0" fontId="15" fillId="6" borderId="10" xfId="14" applyFont="1" applyFill="1" applyBorder="1" applyAlignment="1">
      <alignment horizontal="center"/>
    </xf>
    <xf numFmtId="0" fontId="15" fillId="6" borderId="17" xfId="14" applyFont="1" applyFill="1" applyBorder="1" applyAlignment="1">
      <alignment horizontal="center"/>
    </xf>
    <xf numFmtId="0" fontId="187" fillId="31" borderId="60" xfId="0" applyFont="1" applyFill="1" applyBorder="1" applyAlignment="1">
      <alignment horizontal="center" vertical="center"/>
    </xf>
    <xf numFmtId="0" fontId="187" fillId="31" borderId="88" xfId="0" applyFont="1" applyFill="1" applyBorder="1" applyAlignment="1">
      <alignment horizontal="center" vertical="center"/>
    </xf>
    <xf numFmtId="0" fontId="15" fillId="6" borderId="5" xfId="14" applyFont="1" applyFill="1" applyBorder="1" applyAlignment="1">
      <alignment horizontal="center" vertical="center"/>
    </xf>
    <xf numFmtId="0" fontId="15" fillId="6" borderId="36" xfId="14" applyFont="1" applyFill="1" applyBorder="1" applyAlignment="1">
      <alignment horizontal="center"/>
    </xf>
    <xf numFmtId="0" fontId="23" fillId="6" borderId="9" xfId="14" applyFont="1" applyFill="1" applyBorder="1" applyAlignment="1">
      <alignment horizontal="center" vertical="center" wrapText="1"/>
    </xf>
    <xf numFmtId="0" fontId="23" fillId="6" borderId="17" xfId="14" applyFont="1" applyFill="1" applyBorder="1" applyAlignment="1">
      <alignment horizontal="center" vertical="center" wrapText="1"/>
    </xf>
    <xf numFmtId="0" fontId="23" fillId="6" borderId="25" xfId="14" applyFont="1" applyFill="1" applyBorder="1" applyAlignment="1">
      <alignment horizontal="center" vertical="center" wrapText="1"/>
    </xf>
    <xf numFmtId="0" fontId="23" fillId="6" borderId="13" xfId="14" applyFont="1" applyFill="1" applyBorder="1" applyAlignment="1">
      <alignment horizontal="center" vertical="center" wrapText="1"/>
    </xf>
    <xf numFmtId="0" fontId="15" fillId="6" borderId="25" xfId="14" applyFont="1" applyFill="1" applyBorder="1" applyAlignment="1">
      <alignment horizontal="center" vertical="center"/>
    </xf>
    <xf numFmtId="0" fontId="15" fillId="6" borderId="13" xfId="14" applyFont="1" applyFill="1" applyBorder="1" applyAlignment="1">
      <alignment horizontal="center" vertical="center"/>
    </xf>
    <xf numFmtId="0" fontId="43" fillId="0" borderId="36" xfId="12" applyFont="1" applyBorder="1" applyAlignment="1">
      <alignment horizontal="left"/>
    </xf>
    <xf numFmtId="0" fontId="43" fillId="0" borderId="10" xfId="12" applyFont="1" applyBorder="1" applyAlignment="1">
      <alignment horizontal="left"/>
    </xf>
    <xf numFmtId="0" fontId="43" fillId="0" borderId="17" xfId="12" applyFont="1" applyBorder="1" applyAlignment="1">
      <alignment horizontal="left"/>
    </xf>
    <xf numFmtId="4" fontId="43" fillId="0" borderId="82" xfId="12" applyNumberFormat="1" applyFont="1" applyBorder="1" applyAlignment="1">
      <alignment horizontal="center" vertical="center"/>
    </xf>
    <xf numFmtId="4" fontId="43" fillId="0" borderId="43" xfId="12" applyNumberFormat="1" applyFont="1" applyBorder="1" applyAlignment="1">
      <alignment horizontal="center" vertical="center"/>
    </xf>
    <xf numFmtId="0" fontId="23" fillId="5" borderId="2" xfId="12" applyFont="1" applyFill="1" applyBorder="1" applyAlignment="1">
      <alignment horizontal="center" vertical="center"/>
    </xf>
    <xf numFmtId="0" fontId="23" fillId="5" borderId="3" xfId="12" applyFont="1" applyFill="1" applyBorder="1" applyAlignment="1">
      <alignment horizontal="center" vertical="center"/>
    </xf>
    <xf numFmtId="0" fontId="23" fillId="5" borderId="5" xfId="12" applyFont="1" applyFill="1" applyBorder="1" applyAlignment="1">
      <alignment horizontal="center" vertical="center"/>
    </xf>
    <xf numFmtId="0" fontId="23" fillId="5" borderId="6" xfId="12" applyFont="1" applyFill="1" applyBorder="1" applyAlignment="1">
      <alignment horizontal="center" vertical="center"/>
    </xf>
    <xf numFmtId="0" fontId="23" fillId="5" borderId="8" xfId="12" applyFont="1" applyFill="1" applyBorder="1" applyAlignment="1">
      <alignment horizontal="center" vertical="center"/>
    </xf>
    <xf numFmtId="0" fontId="23" fillId="5" borderId="35" xfId="12" applyFont="1" applyFill="1" applyBorder="1" applyAlignment="1">
      <alignment horizontal="center" vertical="center"/>
    </xf>
    <xf numFmtId="10" fontId="16" fillId="0" borderId="3" xfId="29" applyNumberFormat="1" applyFont="1" applyFill="1" applyBorder="1" applyAlignment="1">
      <alignment horizontal="center" vertical="center"/>
    </xf>
    <xf numFmtId="10" fontId="16" fillId="0" borderId="6" xfId="29" applyNumberFormat="1" applyFont="1" applyFill="1" applyBorder="1" applyAlignment="1">
      <alignment horizontal="center" vertical="center"/>
    </xf>
    <xf numFmtId="4" fontId="43" fillId="0" borderId="78" xfId="12" applyNumberFormat="1" applyFont="1" applyBorder="1" applyAlignment="1">
      <alignment horizontal="center" vertical="center"/>
    </xf>
    <xf numFmtId="4" fontId="43" fillId="0" borderId="13" xfId="12" applyNumberFormat="1" applyFont="1" applyBorder="1" applyAlignment="1">
      <alignment horizontal="center" vertical="center"/>
    </xf>
    <xf numFmtId="0" fontId="43" fillId="0" borderId="37" xfId="12" applyFont="1" applyBorder="1" applyAlignment="1">
      <alignment horizontal="left"/>
    </xf>
    <xf numFmtId="0" fontId="43" fillId="0" borderId="41" xfId="12" applyFont="1" applyBorder="1" applyAlignment="1">
      <alignment horizontal="left"/>
    </xf>
    <xf numFmtId="0" fontId="43" fillId="0" borderId="62" xfId="12" applyFont="1" applyBorder="1" applyAlignment="1">
      <alignment horizontal="left"/>
    </xf>
    <xf numFmtId="0" fontId="43" fillId="0" borderId="9" xfId="12" applyFont="1" applyBorder="1" applyAlignment="1">
      <alignment horizontal="left"/>
    </xf>
    <xf numFmtId="0" fontId="140" fillId="0" borderId="17" xfId="12" applyFont="1" applyBorder="1" applyAlignment="1">
      <alignment horizontal="left"/>
    </xf>
    <xf numFmtId="0" fontId="23" fillId="0" borderId="14" xfId="12" applyFont="1" applyBorder="1" applyAlignment="1">
      <alignment horizontal="left"/>
    </xf>
    <xf numFmtId="0" fontId="23" fillId="0" borderId="15" xfId="12" applyFont="1" applyBorder="1" applyAlignment="1">
      <alignment horizontal="left"/>
    </xf>
    <xf numFmtId="0" fontId="141" fillId="0" borderId="5" xfId="12" applyFont="1" applyBorder="1" applyAlignment="1">
      <alignment horizontal="left" vertical="center"/>
    </xf>
    <xf numFmtId="0" fontId="43" fillId="0" borderId="13" xfId="12" applyFont="1" applyBorder="1" applyAlignment="1">
      <alignment horizontal="left" vertical="center"/>
    </xf>
    <xf numFmtId="0" fontId="23" fillId="0" borderId="4" xfId="12" applyFont="1" applyBorder="1" applyAlignment="1">
      <alignment horizontal="left"/>
    </xf>
    <xf numFmtId="0" fontId="23" fillId="0" borderId="5" xfId="12" applyFont="1" applyBorder="1" applyAlignment="1">
      <alignment horizontal="left"/>
    </xf>
    <xf numFmtId="0" fontId="138" fillId="0" borderId="36" xfId="12" applyFont="1" applyBorder="1" applyAlignment="1">
      <alignment horizontal="left"/>
    </xf>
    <xf numFmtId="0" fontId="138" fillId="0" borderId="10" xfId="12" applyFont="1" applyBorder="1" applyAlignment="1">
      <alignment horizontal="left"/>
    </xf>
    <xf numFmtId="0" fontId="138" fillId="0" borderId="17" xfId="12" applyFont="1" applyBorder="1" applyAlignment="1">
      <alignment horizontal="left"/>
    </xf>
    <xf numFmtId="14" fontId="27" fillId="0" borderId="0" xfId="12" applyNumberFormat="1" applyFont="1" applyAlignment="1">
      <alignment horizontal="left" vertical="center" wrapText="1"/>
    </xf>
    <xf numFmtId="0" fontId="23" fillId="5" borderId="1" xfId="12" applyFont="1" applyFill="1" applyBorder="1" applyAlignment="1">
      <alignment horizontal="center" vertical="center"/>
    </xf>
    <xf numFmtId="0" fontId="23" fillId="5" borderId="4" xfId="12" applyFont="1" applyFill="1" applyBorder="1" applyAlignment="1">
      <alignment horizontal="center" vertical="center"/>
    </xf>
    <xf numFmtId="0" fontId="23" fillId="5" borderId="7" xfId="12" applyFont="1" applyFill="1" applyBorder="1" applyAlignment="1">
      <alignment horizontal="center" vertical="center"/>
    </xf>
    <xf numFmtId="0" fontId="23" fillId="5" borderId="2" xfId="12" applyFont="1" applyFill="1" applyBorder="1" applyAlignment="1">
      <alignment horizontal="center"/>
    </xf>
    <xf numFmtId="0" fontId="23" fillId="5" borderId="5" xfId="12" applyFont="1" applyFill="1" applyBorder="1" applyAlignment="1">
      <alignment horizontal="center"/>
    </xf>
    <xf numFmtId="0" fontId="23" fillId="5" borderId="25" xfId="12" applyFont="1" applyFill="1" applyBorder="1" applyAlignment="1">
      <alignment horizontal="center" vertical="center" wrapText="1"/>
    </xf>
    <xf numFmtId="0" fontId="23" fillId="5" borderId="67" xfId="12" applyFont="1" applyFill="1" applyBorder="1" applyAlignment="1">
      <alignment horizontal="center" vertical="center" wrapText="1"/>
    </xf>
    <xf numFmtId="0" fontId="23" fillId="5" borderId="5" xfId="12" applyFont="1" applyFill="1" applyBorder="1" applyAlignment="1">
      <alignment horizontal="center" vertical="center" wrapText="1"/>
    </xf>
    <xf numFmtId="0" fontId="23" fillId="5" borderId="8" xfId="12" applyFont="1" applyFill="1" applyBorder="1" applyAlignment="1">
      <alignment horizontal="center" vertical="center" wrapText="1"/>
    </xf>
    <xf numFmtId="10" fontId="23" fillId="5" borderId="18" xfId="12" applyNumberFormat="1" applyFont="1" applyFill="1" applyBorder="1" applyAlignment="1">
      <alignment horizontal="center"/>
    </xf>
    <xf numFmtId="10" fontId="23" fillId="5" borderId="20" xfId="12" applyNumberFormat="1" applyFont="1" applyFill="1" applyBorder="1" applyAlignment="1">
      <alignment horizontal="center"/>
    </xf>
    <xf numFmtId="0" fontId="23" fillId="5" borderId="16" xfId="12" applyFont="1" applyFill="1" applyBorder="1" applyAlignment="1">
      <alignment horizontal="left"/>
    </xf>
    <xf numFmtId="0" fontId="43" fillId="0" borderId="25" xfId="12" applyFont="1" applyBorder="1" applyAlignment="1">
      <alignment horizontal="left" vertical="center"/>
    </xf>
    <xf numFmtId="0" fontId="23" fillId="5" borderId="18" xfId="12" applyFont="1" applyFill="1" applyBorder="1" applyAlignment="1">
      <alignment horizontal="left"/>
    </xf>
    <xf numFmtId="0" fontId="23" fillId="5" borderId="19" xfId="12" applyFont="1" applyFill="1" applyBorder="1" applyAlignment="1">
      <alignment horizontal="left"/>
    </xf>
    <xf numFmtId="0" fontId="23" fillId="5" borderId="20" xfId="12" applyFont="1" applyFill="1" applyBorder="1" applyAlignment="1">
      <alignment horizontal="left"/>
    </xf>
    <xf numFmtId="10" fontId="43" fillId="0" borderId="78" xfId="29" applyNumberFormat="1" applyFont="1" applyFill="1" applyBorder="1" applyAlignment="1">
      <alignment horizontal="center" vertical="center"/>
    </xf>
    <xf numFmtId="10" fontId="43" fillId="0" borderId="13" xfId="29" applyNumberFormat="1" applyFont="1" applyFill="1" applyBorder="1" applyAlignment="1">
      <alignment horizontal="center" vertical="center"/>
    </xf>
    <xf numFmtId="49" fontId="43" fillId="0" borderId="82" xfId="12" applyNumberFormat="1" applyFont="1" applyBorder="1" applyAlignment="1">
      <alignment horizontal="left" vertical="center" wrapText="1"/>
    </xf>
    <xf numFmtId="49" fontId="43" fillId="0" borderId="79" xfId="12" applyNumberFormat="1" applyFont="1" applyBorder="1" applyAlignment="1">
      <alignment horizontal="left" vertical="center" wrapText="1"/>
    </xf>
    <xf numFmtId="49" fontId="43" fillId="0" borderId="46" xfId="12" applyNumberFormat="1" applyFont="1" applyBorder="1" applyAlignment="1">
      <alignment horizontal="left" vertical="center" wrapText="1"/>
    </xf>
    <xf numFmtId="49" fontId="43" fillId="0" borderId="55" xfId="12" applyNumberFormat="1" applyFont="1" applyBorder="1" applyAlignment="1">
      <alignment horizontal="left" vertical="center" wrapText="1"/>
    </xf>
    <xf numFmtId="0" fontId="43" fillId="0" borderId="77" xfId="12" applyFont="1" applyBorder="1" applyAlignment="1">
      <alignment horizontal="center" vertical="center"/>
    </xf>
    <xf numFmtId="0" fontId="43" fillId="0" borderId="47" xfId="12" applyFont="1" applyBorder="1" applyAlignment="1">
      <alignment horizontal="center" vertical="center"/>
    </xf>
    <xf numFmtId="0" fontId="121" fillId="17" borderId="0" xfId="0" applyFont="1" applyFill="1" applyAlignment="1">
      <alignment horizontal="center"/>
    </xf>
    <xf numFmtId="0" fontId="120" fillId="17" borderId="0" xfId="0" applyFont="1" applyFill="1" applyAlignment="1">
      <alignment horizontal="center"/>
    </xf>
    <xf numFmtId="0" fontId="100" fillId="4" borderId="51" xfId="0" applyFont="1" applyFill="1" applyBorder="1" applyAlignment="1">
      <alignment horizontal="center"/>
    </xf>
    <xf numFmtId="0" fontId="129" fillId="0" borderId="18" xfId="12" applyFont="1" applyBorder="1" applyAlignment="1">
      <alignment horizontal="center"/>
    </xf>
    <xf numFmtId="0" fontId="129" fillId="0" borderId="19" xfId="12" applyFont="1" applyBorder="1" applyAlignment="1">
      <alignment horizontal="center"/>
    </xf>
    <xf numFmtId="0" fontId="129" fillId="0" borderId="20" xfId="12" applyFont="1" applyBorder="1" applyAlignment="1">
      <alignment horizontal="center"/>
    </xf>
    <xf numFmtId="0" fontId="23" fillId="4" borderId="9" xfId="12" applyFont="1" applyFill="1" applyBorder="1" applyAlignment="1">
      <alignment horizontal="center"/>
    </xf>
    <xf numFmtId="0" fontId="23" fillId="4" borderId="10" xfId="12" applyFont="1" applyFill="1" applyBorder="1" applyAlignment="1">
      <alignment horizontal="center"/>
    </xf>
    <xf numFmtId="0" fontId="23" fillId="4" borderId="17" xfId="12" applyFont="1" applyFill="1" applyBorder="1" applyAlignment="1">
      <alignment horizontal="center"/>
    </xf>
    <xf numFmtId="0" fontId="42" fillId="2" borderId="56" xfId="12" applyFont="1" applyFill="1" applyBorder="1" applyAlignment="1">
      <alignment horizontal="center" vertical="center"/>
    </xf>
    <xf numFmtId="0" fontId="42" fillId="2" borderId="68" xfId="12" applyFont="1" applyFill="1" applyBorder="1" applyAlignment="1">
      <alignment horizontal="center" vertical="center"/>
    </xf>
    <xf numFmtId="0" fontId="129" fillId="27" borderId="56" xfId="12" applyFont="1" applyFill="1" applyBorder="1" applyAlignment="1">
      <alignment horizontal="center" vertical="center"/>
    </xf>
    <xf numFmtId="0" fontId="129" fillId="27" borderId="68" xfId="12" applyFont="1" applyFill="1" applyBorder="1" applyAlignment="1">
      <alignment horizontal="center" vertical="center"/>
    </xf>
    <xf numFmtId="0" fontId="129" fillId="2" borderId="49" xfId="12" applyFont="1" applyFill="1" applyBorder="1" applyAlignment="1">
      <alignment horizontal="center" vertical="center"/>
    </xf>
    <xf numFmtId="0" fontId="129" fillId="2" borderId="53" xfId="12" applyFont="1" applyFill="1" applyBorder="1" applyAlignment="1">
      <alignment horizontal="center" vertical="center"/>
    </xf>
    <xf numFmtId="0" fontId="129" fillId="2" borderId="66" xfId="12" applyFont="1" applyFill="1" applyBorder="1" applyAlignment="1">
      <alignment horizontal="center" vertical="center"/>
    </xf>
    <xf numFmtId="0" fontId="129" fillId="2" borderId="50" xfId="12" applyFont="1" applyFill="1" applyBorder="1" applyAlignment="1">
      <alignment horizontal="center" vertical="center"/>
    </xf>
    <xf numFmtId="0" fontId="129" fillId="2" borderId="51" xfId="12" applyFont="1" applyFill="1" applyBorder="1" applyAlignment="1">
      <alignment horizontal="center" vertical="center"/>
    </xf>
    <xf numFmtId="0" fontId="129" fillId="2" borderId="52" xfId="12" applyFont="1" applyFill="1" applyBorder="1" applyAlignment="1">
      <alignment horizontal="center" vertical="center"/>
    </xf>
    <xf numFmtId="0" fontId="129" fillId="2" borderId="18" xfId="12" applyFont="1" applyFill="1" applyBorder="1" applyAlignment="1">
      <alignment horizontal="center"/>
    </xf>
    <xf numFmtId="0" fontId="129" fillId="2" borderId="20" xfId="12" applyFont="1" applyFill="1" applyBorder="1" applyAlignment="1">
      <alignment horizontal="center"/>
    </xf>
    <xf numFmtId="0" fontId="129" fillId="2" borderId="19" xfId="12" applyFont="1" applyFill="1" applyBorder="1" applyAlignment="1">
      <alignment horizontal="center"/>
    </xf>
    <xf numFmtId="0" fontId="129" fillId="7" borderId="56" xfId="12" applyFont="1" applyFill="1" applyBorder="1" applyAlignment="1">
      <alignment horizontal="center" vertical="center"/>
    </xf>
    <xf numFmtId="0" fontId="129" fillId="7" borderId="68" xfId="12" applyFont="1" applyFill="1" applyBorder="1" applyAlignment="1">
      <alignment horizontal="center" vertical="center"/>
    </xf>
    <xf numFmtId="0" fontId="129" fillId="7" borderId="56" xfId="12" applyFont="1" applyFill="1" applyBorder="1" applyAlignment="1">
      <alignment horizontal="center" vertical="center" wrapText="1"/>
    </xf>
    <xf numFmtId="0" fontId="129" fillId="7" borderId="68" xfId="12" applyFont="1" applyFill="1" applyBorder="1" applyAlignment="1">
      <alignment horizontal="center" vertical="center" wrapText="1"/>
    </xf>
    <xf numFmtId="0" fontId="129" fillId="2" borderId="56" xfId="12" applyFont="1" applyFill="1" applyBorder="1" applyAlignment="1">
      <alignment horizontal="distributed" vertical="center"/>
    </xf>
    <xf numFmtId="0" fontId="129" fillId="2" borderId="68" xfId="12" applyFont="1" applyFill="1" applyBorder="1" applyAlignment="1">
      <alignment horizontal="distributed" vertical="center"/>
    </xf>
    <xf numFmtId="0" fontId="129" fillId="0" borderId="0" xfId="12" applyFont="1" applyAlignment="1">
      <alignment horizontal="center"/>
    </xf>
    <xf numFmtId="14" fontId="42" fillId="0" borderId="0" xfId="12" applyNumberFormat="1" applyFont="1" applyAlignment="1">
      <alignment horizontal="left" vertical="center" wrapText="1"/>
    </xf>
    <xf numFmtId="14" fontId="42" fillId="0" borderId="0" xfId="12" applyNumberFormat="1" applyFont="1" applyAlignment="1">
      <alignment horizontal="right" vertical="center"/>
    </xf>
    <xf numFmtId="0" fontId="42" fillId="2" borderId="34" xfId="12" applyFont="1" applyFill="1" applyBorder="1" applyAlignment="1">
      <alignment horizontal="center" vertical="center"/>
    </xf>
    <xf numFmtId="0" fontId="129" fillId="2" borderId="56" xfId="12" applyFont="1" applyFill="1" applyBorder="1" applyAlignment="1">
      <alignment horizontal="center" vertical="center" wrapText="1"/>
    </xf>
    <xf numFmtId="0" fontId="129" fillId="2" borderId="68" xfId="12" applyFont="1" applyFill="1" applyBorder="1" applyAlignment="1">
      <alignment horizontal="center" vertical="center" wrapText="1"/>
    </xf>
    <xf numFmtId="0" fontId="49" fillId="4" borderId="0" xfId="12" applyFont="1" applyFill="1" applyAlignment="1">
      <alignment horizontal="center"/>
    </xf>
    <xf numFmtId="14" fontId="42" fillId="4" borderId="0" xfId="12" applyNumberFormat="1" applyFont="1" applyFill="1" applyAlignment="1">
      <alignment horizontal="left" wrapText="1"/>
    </xf>
    <xf numFmtId="14" fontId="41" fillId="4" borderId="0" xfId="12" applyNumberFormat="1" applyFont="1" applyFill="1" applyAlignment="1">
      <alignment horizontal="right" vertical="center"/>
    </xf>
    <xf numFmtId="0" fontId="129" fillId="22" borderId="19" xfId="12" applyFont="1" applyFill="1" applyBorder="1" applyAlignment="1">
      <alignment horizontal="center"/>
    </xf>
    <xf numFmtId="0" fontId="129" fillId="4" borderId="18" xfId="12" applyFont="1" applyFill="1" applyBorder="1" applyAlignment="1">
      <alignment horizontal="center"/>
    </xf>
    <xf numFmtId="0" fontId="129" fillId="4" borderId="19" xfId="12" applyFont="1" applyFill="1" applyBorder="1" applyAlignment="1">
      <alignment horizontal="center"/>
    </xf>
    <xf numFmtId="0" fontId="129" fillId="4" borderId="20" xfId="12" applyFont="1" applyFill="1" applyBorder="1" applyAlignment="1">
      <alignment horizontal="center"/>
    </xf>
    <xf numFmtId="0" fontId="129" fillId="22" borderId="0" xfId="12" applyFont="1" applyFill="1" applyAlignment="1">
      <alignment horizontal="center"/>
    </xf>
    <xf numFmtId="14" fontId="129" fillId="0" borderId="18" xfId="12" applyNumberFormat="1" applyFont="1" applyBorder="1" applyAlignment="1">
      <alignment horizontal="left" vertical="center" wrapText="1"/>
    </xf>
    <xf numFmtId="14" fontId="129" fillId="0" borderId="19" xfId="12" applyNumberFormat="1" applyFont="1" applyBorder="1" applyAlignment="1">
      <alignment horizontal="left" vertical="center" wrapText="1"/>
    </xf>
    <xf numFmtId="14" fontId="129" fillId="22" borderId="19" xfId="12" applyNumberFormat="1" applyFont="1" applyFill="1" applyBorder="1" applyAlignment="1">
      <alignment horizontal="left" vertical="center" wrapText="1"/>
    </xf>
    <xf numFmtId="14" fontId="129" fillId="0" borderId="20" xfId="12" applyNumberFormat="1" applyFont="1" applyBorder="1" applyAlignment="1">
      <alignment horizontal="left" vertical="center" wrapText="1"/>
    </xf>
    <xf numFmtId="14" fontId="154" fillId="0" borderId="0" xfId="12" applyNumberFormat="1" applyFont="1" applyAlignment="1">
      <alignment horizontal="right" vertical="center"/>
    </xf>
    <xf numFmtId="0" fontId="129" fillId="2" borderId="49" xfId="12" applyFont="1" applyFill="1" applyBorder="1" applyAlignment="1">
      <alignment horizontal="center" vertical="center" wrapText="1"/>
    </xf>
    <xf numFmtId="0" fontId="129" fillId="2" borderId="66" xfId="12" applyFont="1" applyFill="1" applyBorder="1" applyAlignment="1">
      <alignment horizontal="center" vertical="center" wrapText="1"/>
    </xf>
    <xf numFmtId="0" fontId="129" fillId="2" borderId="50" xfId="12" applyFont="1" applyFill="1" applyBorder="1" applyAlignment="1">
      <alignment horizontal="center" vertical="center" wrapText="1"/>
    </xf>
    <xf numFmtId="0" fontId="129" fillId="2" borderId="22" xfId="12" applyFont="1" applyFill="1" applyBorder="1" applyAlignment="1">
      <alignment horizontal="center" vertical="center" wrapText="1"/>
    </xf>
    <xf numFmtId="0" fontId="129" fillId="2" borderId="16" xfId="12" applyFont="1" applyFill="1" applyBorder="1" applyAlignment="1">
      <alignment horizontal="center"/>
    </xf>
    <xf numFmtId="0" fontId="129" fillId="2" borderId="21" xfId="12" applyFont="1" applyFill="1" applyBorder="1" applyAlignment="1">
      <alignment horizontal="center" vertical="center"/>
    </xf>
    <xf numFmtId="0" fontId="129" fillId="2" borderId="34" xfId="12" applyFont="1" applyFill="1" applyBorder="1" applyAlignment="1">
      <alignment horizontal="center" vertical="center" wrapText="1"/>
    </xf>
    <xf numFmtId="4" fontId="129" fillId="25" borderId="56" xfId="12" applyNumberFormat="1" applyFont="1" applyFill="1" applyBorder="1" applyAlignment="1">
      <alignment horizontal="center" vertical="center"/>
    </xf>
    <xf numFmtId="4" fontId="129" fillId="25" borderId="34" xfId="12" applyNumberFormat="1" applyFont="1" applyFill="1" applyBorder="1" applyAlignment="1">
      <alignment horizontal="center" vertical="center"/>
    </xf>
    <xf numFmtId="0" fontId="129" fillId="2" borderId="82" xfId="12" applyFont="1" applyFill="1" applyBorder="1" applyAlignment="1">
      <alignment horizontal="center" vertical="center"/>
    </xf>
    <xf numFmtId="0" fontId="129" fillId="2" borderId="46" xfId="12" applyFont="1" applyFill="1" applyBorder="1" applyAlignment="1">
      <alignment horizontal="center" vertical="center"/>
    </xf>
    <xf numFmtId="0" fontId="129" fillId="7" borderId="66" xfId="12" applyFont="1" applyFill="1" applyBorder="1" applyAlignment="1">
      <alignment horizontal="center" vertical="center" wrapText="1"/>
    </xf>
    <xf numFmtId="0" fontId="129" fillId="7" borderId="22" xfId="12" applyFont="1" applyFill="1" applyBorder="1" applyAlignment="1">
      <alignment horizontal="center" vertical="center" wrapText="1"/>
    </xf>
    <xf numFmtId="0" fontId="129" fillId="0" borderId="0" xfId="12" applyFont="1" applyAlignment="1">
      <alignment horizontal="center" vertical="center"/>
    </xf>
    <xf numFmtId="0" fontId="129" fillId="22" borderId="0" xfId="12" applyFont="1" applyFill="1" applyAlignment="1">
      <alignment horizontal="center" vertical="center"/>
    </xf>
    <xf numFmtId="0" fontId="155" fillId="0" borderId="0" xfId="12" applyFont="1" applyAlignment="1">
      <alignment horizontal="center"/>
    </xf>
    <xf numFmtId="0" fontId="155" fillId="22" borderId="0" xfId="12" applyFont="1" applyFill="1" applyAlignment="1">
      <alignment horizontal="center"/>
    </xf>
    <xf numFmtId="0" fontId="167" fillId="2" borderId="56" xfId="12" applyFont="1" applyFill="1" applyBorder="1" applyAlignment="1">
      <alignment horizontal="center" vertical="center"/>
    </xf>
    <xf numFmtId="0" fontId="167" fillId="2" borderId="68" xfId="12" applyFont="1" applyFill="1" applyBorder="1" applyAlignment="1">
      <alignment horizontal="center" vertical="center"/>
    </xf>
    <xf numFmtId="0" fontId="167" fillId="2" borderId="49" xfId="12" applyFont="1" applyFill="1" applyBorder="1" applyAlignment="1">
      <alignment horizontal="center" vertical="center"/>
    </xf>
    <xf numFmtId="0" fontId="167" fillId="2" borderId="53" xfId="12" applyFont="1" applyFill="1" applyBorder="1" applyAlignment="1">
      <alignment horizontal="center" vertical="center"/>
    </xf>
    <xf numFmtId="0" fontId="167" fillId="2" borderId="66" xfId="12" applyFont="1" applyFill="1" applyBorder="1" applyAlignment="1">
      <alignment horizontal="center" vertical="center"/>
    </xf>
    <xf numFmtId="0" fontId="167" fillId="2" borderId="50" xfId="12" applyFont="1" applyFill="1" applyBorder="1" applyAlignment="1">
      <alignment horizontal="center" vertical="center"/>
    </xf>
    <xf numFmtId="0" fontId="167" fillId="2" borderId="51" xfId="12" applyFont="1" applyFill="1" applyBorder="1" applyAlignment="1">
      <alignment horizontal="center" vertical="center"/>
    </xf>
    <xf numFmtId="0" fontId="167" fillId="2" borderId="52" xfId="12" applyFont="1" applyFill="1" applyBorder="1" applyAlignment="1">
      <alignment horizontal="center" vertical="center"/>
    </xf>
    <xf numFmtId="0" fontId="167" fillId="2" borderId="18" xfId="12" applyFont="1" applyFill="1" applyBorder="1" applyAlignment="1">
      <alignment horizontal="center"/>
    </xf>
    <xf numFmtId="0" fontId="167" fillId="2" borderId="20" xfId="12" applyFont="1" applyFill="1" applyBorder="1" applyAlignment="1">
      <alignment horizontal="center"/>
    </xf>
    <xf numFmtId="0" fontId="167" fillId="2" borderId="19" xfId="12" applyFont="1" applyFill="1" applyBorder="1" applyAlignment="1">
      <alignment horizontal="center"/>
    </xf>
    <xf numFmtId="0" fontId="167" fillId="7" borderId="56" xfId="12" applyFont="1" applyFill="1" applyBorder="1" applyAlignment="1">
      <alignment horizontal="center" vertical="center" wrapText="1"/>
    </xf>
    <xf numFmtId="0" fontId="167" fillId="7" borderId="68" xfId="12" applyFont="1" applyFill="1" applyBorder="1" applyAlignment="1">
      <alignment horizontal="center" vertical="center" wrapText="1"/>
    </xf>
    <xf numFmtId="0" fontId="167" fillId="2" borderId="56" xfId="12" applyFont="1" applyFill="1" applyBorder="1" applyAlignment="1">
      <alignment horizontal="center" vertical="center" wrapText="1"/>
    </xf>
    <xf numFmtId="0" fontId="167" fillId="2" borderId="68" xfId="12" applyFont="1" applyFill="1" applyBorder="1" applyAlignment="1">
      <alignment horizontal="center" vertical="center" wrapText="1"/>
    </xf>
    <xf numFmtId="0" fontId="167" fillId="2" borderId="56" xfId="12" applyFont="1" applyFill="1" applyBorder="1" applyAlignment="1">
      <alignment horizontal="distributed" vertical="center"/>
    </xf>
    <xf numFmtId="0" fontId="167" fillId="2" borderId="68" xfId="12" applyFont="1" applyFill="1" applyBorder="1" applyAlignment="1">
      <alignment horizontal="distributed" vertical="center"/>
    </xf>
    <xf numFmtId="0" fontId="166" fillId="0" borderId="0" xfId="12" applyFont="1" applyAlignment="1">
      <alignment horizontal="center"/>
    </xf>
    <xf numFmtId="0" fontId="166" fillId="22" borderId="0" xfId="12" applyFont="1" applyFill="1" applyAlignment="1">
      <alignment horizontal="center"/>
    </xf>
    <xf numFmtId="0" fontId="166" fillId="4" borderId="0" xfId="12" applyFont="1" applyFill="1" applyAlignment="1">
      <alignment horizontal="center"/>
    </xf>
    <xf numFmtId="14" fontId="137" fillId="0" borderId="0" xfId="12" applyNumberFormat="1" applyFont="1" applyAlignment="1">
      <alignment horizontal="left" wrapText="1"/>
    </xf>
    <xf numFmtId="0" fontId="167" fillId="2" borderId="34" xfId="12" applyFont="1" applyFill="1" applyBorder="1" applyAlignment="1">
      <alignment horizontal="center" vertical="center"/>
    </xf>
    <xf numFmtId="0" fontId="137" fillId="2" borderId="56" xfId="12" applyFont="1" applyFill="1" applyBorder="1" applyAlignment="1">
      <alignment horizontal="center" vertical="center"/>
    </xf>
    <xf numFmtId="0" fontId="137" fillId="2" borderId="34" xfId="12" applyFont="1" applyFill="1" applyBorder="1" applyAlignment="1">
      <alignment horizontal="center" vertical="center"/>
    </xf>
    <xf numFmtId="0" fontId="137" fillId="2" borderId="68" xfId="12" applyFont="1" applyFill="1" applyBorder="1" applyAlignment="1">
      <alignment horizontal="center" vertical="center"/>
    </xf>
    <xf numFmtId="0" fontId="167" fillId="22" borderId="19" xfId="12" applyFont="1" applyFill="1" applyBorder="1" applyAlignment="1">
      <alignment horizontal="center"/>
    </xf>
    <xf numFmtId="0" fontId="167" fillId="0" borderId="19" xfId="12" applyFont="1" applyBorder="1" applyAlignment="1">
      <alignment horizontal="center"/>
    </xf>
    <xf numFmtId="0" fontId="23" fillId="5" borderId="77" xfId="12" applyFont="1" applyFill="1" applyBorder="1" applyAlignment="1">
      <alignment horizontal="center" vertical="center"/>
    </xf>
    <xf numFmtId="0" fontId="23" fillId="5" borderId="91" xfId="12" applyFont="1" applyFill="1" applyBorder="1" applyAlignment="1">
      <alignment horizontal="center" vertical="center"/>
    </xf>
    <xf numFmtId="0" fontId="23" fillId="5" borderId="65" xfId="12" applyFont="1" applyFill="1" applyBorder="1" applyAlignment="1">
      <alignment horizontal="center" vertical="center"/>
    </xf>
    <xf numFmtId="0" fontId="23" fillId="5" borderId="82" xfId="12" applyFont="1" applyFill="1" applyBorder="1" applyAlignment="1">
      <alignment horizontal="center" vertical="center"/>
    </xf>
    <xf numFmtId="0" fontId="23" fillId="5" borderId="79" xfId="12" applyFont="1" applyFill="1" applyBorder="1" applyAlignment="1">
      <alignment horizontal="center" vertical="center"/>
    </xf>
    <xf numFmtId="0" fontId="23" fillId="5" borderId="43" xfId="12" applyFont="1" applyFill="1" applyBorder="1" applyAlignment="1">
      <alignment horizontal="center" vertical="center"/>
    </xf>
    <xf numFmtId="0" fontId="23" fillId="5" borderId="85" xfId="12" applyFont="1" applyFill="1" applyBorder="1" applyAlignment="1">
      <alignment horizontal="center" vertical="center"/>
    </xf>
    <xf numFmtId="0" fontId="23" fillId="5" borderId="89" xfId="12" applyFont="1" applyFill="1" applyBorder="1" applyAlignment="1">
      <alignment horizontal="center" vertical="center"/>
    </xf>
    <xf numFmtId="0" fontId="23" fillId="5" borderId="87" xfId="12" applyFont="1" applyFill="1" applyBorder="1" applyAlignment="1">
      <alignment horizontal="center" vertical="center"/>
    </xf>
    <xf numFmtId="0" fontId="23" fillId="5" borderId="78" xfId="12" applyFont="1" applyFill="1" applyBorder="1" applyAlignment="1">
      <alignment horizontal="center" vertical="center"/>
    </xf>
    <xf numFmtId="0" fontId="23" fillId="5" borderId="11" xfId="12" applyFont="1" applyFill="1" applyBorder="1" applyAlignment="1">
      <alignment horizontal="center" vertical="center"/>
    </xf>
    <xf numFmtId="0" fontId="23" fillId="5" borderId="67" xfId="12" applyFont="1" applyFill="1" applyBorder="1" applyAlignment="1">
      <alignment horizontal="center" vertical="center"/>
    </xf>
    <xf numFmtId="0" fontId="23" fillId="5" borderId="57" xfId="12" applyFont="1" applyFill="1" applyBorder="1" applyAlignment="1">
      <alignment horizontal="center"/>
    </xf>
    <xf numFmtId="0" fontId="23" fillId="5" borderId="40" xfId="12" applyFont="1" applyFill="1" applyBorder="1" applyAlignment="1">
      <alignment horizontal="center"/>
    </xf>
    <xf numFmtId="0" fontId="23" fillId="5" borderId="61" xfId="12" applyFont="1" applyFill="1" applyBorder="1" applyAlignment="1">
      <alignment horizontal="center"/>
    </xf>
    <xf numFmtId="0" fontId="23" fillId="5" borderId="66" xfId="12" applyFont="1" applyFill="1" applyBorder="1" applyAlignment="1">
      <alignment horizontal="center" vertical="center"/>
    </xf>
    <xf numFmtId="0" fontId="23" fillId="5" borderId="46" xfId="12" applyFont="1" applyFill="1" applyBorder="1" applyAlignment="1">
      <alignment horizontal="center" vertical="center"/>
    </xf>
    <xf numFmtId="0" fontId="23" fillId="5" borderId="90" xfId="12" applyFont="1" applyFill="1" applyBorder="1" applyAlignment="1">
      <alignment horizontal="center" vertical="center"/>
    </xf>
    <xf numFmtId="0" fontId="23" fillId="5" borderId="9" xfId="12" applyFont="1" applyFill="1" applyBorder="1" applyAlignment="1">
      <alignment horizontal="center"/>
    </xf>
    <xf numFmtId="0" fontId="23" fillId="5" borderId="17" xfId="12" applyFont="1" applyFill="1" applyBorder="1" applyAlignment="1">
      <alignment horizontal="center"/>
    </xf>
    <xf numFmtId="0" fontId="23" fillId="5" borderId="25" xfId="12" applyFont="1" applyFill="1" applyBorder="1" applyAlignment="1">
      <alignment horizontal="center" vertical="center"/>
    </xf>
    <xf numFmtId="0" fontId="23" fillId="5" borderId="45" xfId="12" applyFont="1" applyFill="1" applyBorder="1" applyAlignment="1">
      <alignment horizontal="center" vertical="center"/>
    </xf>
    <xf numFmtId="0" fontId="23" fillId="5" borderId="69" xfId="12" applyFont="1" applyFill="1" applyBorder="1" applyAlignment="1">
      <alignment horizontal="center" vertical="center"/>
    </xf>
    <xf numFmtId="10" fontId="16" fillId="0" borderId="81" xfId="29" applyNumberFormat="1" applyFont="1" applyFill="1" applyBorder="1" applyAlignment="1">
      <alignment horizontal="center" vertical="center"/>
    </xf>
    <xf numFmtId="10" fontId="16" fillId="0" borderId="48" xfId="29" applyNumberFormat="1" applyFont="1" applyFill="1" applyBorder="1" applyAlignment="1">
      <alignment horizontal="center" vertical="center"/>
    </xf>
    <xf numFmtId="0" fontId="23" fillId="0" borderId="37" xfId="12" applyFont="1" applyBorder="1" applyAlignment="1">
      <alignment horizontal="left"/>
    </xf>
    <xf numFmtId="0" fontId="23" fillId="0" borderId="41" xfId="12" applyFont="1" applyBorder="1" applyAlignment="1">
      <alignment horizontal="left"/>
    </xf>
    <xf numFmtId="0" fontId="23" fillId="0" borderId="62" xfId="12" applyFont="1" applyBorder="1" applyAlignment="1">
      <alignment horizontal="left"/>
    </xf>
    <xf numFmtId="0" fontId="23" fillId="0" borderId="18" xfId="12" applyFont="1" applyBorder="1" applyAlignment="1">
      <alignment horizontal="left"/>
    </xf>
    <xf numFmtId="0" fontId="23" fillId="0" borderId="19" xfId="12" applyFont="1" applyBorder="1" applyAlignment="1">
      <alignment horizontal="left"/>
    </xf>
    <xf numFmtId="0" fontId="23" fillId="0" borderId="86" xfId="12" applyFont="1" applyBorder="1" applyAlignment="1">
      <alignment horizontal="left"/>
    </xf>
    <xf numFmtId="0" fontId="49" fillId="0" borderId="51" xfId="12" applyFont="1" applyBorder="1" applyAlignment="1">
      <alignment horizontal="center"/>
    </xf>
    <xf numFmtId="0" fontId="43" fillId="0" borderId="57" xfId="12" applyFont="1" applyBorder="1" applyAlignment="1">
      <alignment horizontal="left" vertical="center"/>
    </xf>
    <xf numFmtId="0" fontId="43" fillId="0" borderId="61" xfId="12" applyFont="1" applyBorder="1" applyAlignment="1">
      <alignment horizontal="left" vertical="center"/>
    </xf>
    <xf numFmtId="0" fontId="43" fillId="0" borderId="9" xfId="12" applyFont="1" applyBorder="1" applyAlignment="1">
      <alignment horizontal="left" vertical="center"/>
    </xf>
    <xf numFmtId="0" fontId="43" fillId="0" borderId="17" xfId="12" applyFont="1" applyBorder="1" applyAlignment="1">
      <alignment horizontal="left" vertical="center"/>
    </xf>
    <xf numFmtId="0" fontId="43" fillId="0" borderId="63" xfId="12" applyFont="1" applyBorder="1" applyAlignment="1">
      <alignment horizontal="left" vertical="center"/>
    </xf>
    <xf numFmtId="0" fontId="43" fillId="0" borderId="62" xfId="12" applyFont="1" applyBorder="1" applyAlignment="1">
      <alignment horizontal="left" vertical="center"/>
    </xf>
    <xf numFmtId="2" fontId="28" fillId="0" borderId="0" xfId="23" applyNumberFormat="1" applyFont="1" applyAlignment="1">
      <alignment horizontal="center"/>
    </xf>
    <xf numFmtId="2" fontId="14" fillId="0" borderId="0" xfId="23" applyNumberFormat="1" applyFont="1" applyAlignment="1">
      <alignment horizontal="center"/>
    </xf>
    <xf numFmtId="2" fontId="14" fillId="5" borderId="1" xfId="23" applyNumberFormat="1" applyFont="1" applyFill="1" applyBorder="1" applyAlignment="1">
      <alignment horizontal="center" vertical="center" wrapText="1"/>
    </xf>
    <xf numFmtId="2" fontId="14" fillId="5" borderId="7" xfId="23" applyNumberFormat="1" applyFont="1" applyFill="1" applyBorder="1" applyAlignment="1">
      <alignment horizontal="center" vertical="center" wrapText="1"/>
    </xf>
    <xf numFmtId="2" fontId="14" fillId="5" borderId="2" xfId="23" applyNumberFormat="1" applyFont="1" applyFill="1" applyBorder="1" applyAlignment="1">
      <alignment horizontal="center" vertical="center" wrapText="1"/>
    </xf>
    <xf numFmtId="2" fontId="14" fillId="5" borderId="8" xfId="23" applyNumberFormat="1" applyFont="1" applyFill="1" applyBorder="1" applyAlignment="1">
      <alignment horizontal="center" vertical="center" wrapText="1"/>
    </xf>
    <xf numFmtId="2" fontId="14" fillId="5" borderId="2" xfId="23" applyNumberFormat="1" applyFont="1" applyFill="1" applyBorder="1" applyAlignment="1">
      <alignment horizontal="center"/>
    </xf>
    <xf numFmtId="2" fontId="14" fillId="5" borderId="81" xfId="23" applyNumberFormat="1" applyFont="1" applyFill="1" applyBorder="1" applyAlignment="1">
      <alignment horizontal="center" vertical="center"/>
    </xf>
    <xf numFmtId="2" fontId="14" fillId="5" borderId="69" xfId="23" applyNumberFormat="1" applyFont="1" applyFill="1" applyBorder="1" applyAlignment="1">
      <alignment horizontal="center" vertical="center"/>
    </xf>
    <xf numFmtId="4" fontId="16" fillId="0" borderId="5" xfId="0" applyNumberFormat="1" applyFont="1" applyBorder="1" applyAlignment="1">
      <alignment horizontal="center"/>
    </xf>
    <xf numFmtId="167" fontId="86" fillId="4" borderId="57" xfId="38" applyNumberFormat="1" applyFont="1" applyFill="1" applyBorder="1" applyAlignment="1">
      <alignment horizontal="right"/>
    </xf>
    <xf numFmtId="167" fontId="86" fillId="4" borderId="61" xfId="38" applyNumberFormat="1" applyFont="1" applyFill="1" applyBorder="1" applyAlignment="1">
      <alignment horizontal="right"/>
    </xf>
    <xf numFmtId="167" fontId="87" fillId="4" borderId="9" xfId="38" applyNumberFormat="1" applyFont="1" applyFill="1" applyBorder="1" applyAlignment="1">
      <alignment horizontal="right"/>
    </xf>
    <xf numFmtId="0" fontId="87" fillId="4" borderId="17" xfId="38" applyFont="1" applyFill="1" applyBorder="1" applyAlignment="1">
      <alignment horizontal="right"/>
    </xf>
    <xf numFmtId="173" fontId="94" fillId="8" borderId="56" xfId="38" applyNumberFormat="1" applyFont="1" applyFill="1" applyBorder="1" applyAlignment="1">
      <alignment horizontal="center" vertical="center" wrapText="1"/>
    </xf>
    <xf numFmtId="0" fontId="82" fillId="0" borderId="34" xfId="38" applyBorder="1" applyAlignment="1">
      <alignment horizontal="center" vertical="center" wrapText="1"/>
    </xf>
    <xf numFmtId="0" fontId="93" fillId="8" borderId="16" xfId="38" applyFont="1" applyFill="1" applyBorder="1" applyAlignment="1">
      <alignment horizontal="center" vertical="center" wrapText="1"/>
    </xf>
    <xf numFmtId="0" fontId="93" fillId="8" borderId="56" xfId="38" applyFont="1" applyFill="1" applyBorder="1" applyAlignment="1">
      <alignment horizontal="center" vertical="center" wrapText="1"/>
    </xf>
    <xf numFmtId="174" fontId="96" fillId="0" borderId="0" xfId="38" applyNumberFormat="1" applyFont="1" applyAlignment="1">
      <alignment horizontal="center" vertical="center"/>
    </xf>
    <xf numFmtId="173" fontId="94" fillId="8" borderId="18" xfId="38" applyNumberFormat="1" applyFont="1" applyFill="1" applyBorder="1" applyAlignment="1">
      <alignment horizontal="center" vertical="center" wrapText="1"/>
    </xf>
    <xf numFmtId="173" fontId="94" fillId="8" borderId="19" xfId="38" applyNumberFormat="1" applyFont="1" applyFill="1" applyBorder="1" applyAlignment="1">
      <alignment horizontal="center" vertical="center" wrapText="1"/>
    </xf>
    <xf numFmtId="167" fontId="87" fillId="4" borderId="17" xfId="38" applyNumberFormat="1" applyFont="1" applyFill="1" applyBorder="1" applyAlignment="1">
      <alignment horizontal="right"/>
    </xf>
    <xf numFmtId="167" fontId="87" fillId="0" borderId="9" xfId="38" applyNumberFormat="1" applyFont="1" applyBorder="1" applyAlignment="1">
      <alignment horizontal="right"/>
    </xf>
    <xf numFmtId="167" fontId="87" fillId="0" borderId="17" xfId="38" applyNumberFormat="1" applyFont="1" applyBorder="1" applyAlignment="1">
      <alignment horizontal="right"/>
    </xf>
    <xf numFmtId="167" fontId="86" fillId="0" borderId="9" xfId="38" applyNumberFormat="1" applyFont="1" applyBorder="1" applyAlignment="1">
      <alignment horizontal="right"/>
    </xf>
    <xf numFmtId="0" fontId="86" fillId="0" borderId="17" xfId="38" applyFont="1" applyBorder="1" applyAlignment="1">
      <alignment horizontal="right"/>
    </xf>
    <xf numFmtId="10" fontId="89" fillId="4" borderId="9" xfId="38" applyNumberFormat="1" applyFont="1" applyFill="1" applyBorder="1" applyAlignment="1">
      <alignment horizontal="center"/>
    </xf>
    <xf numFmtId="0" fontId="89" fillId="4" borderId="17" xfId="38" applyFont="1" applyFill="1" applyBorder="1" applyAlignment="1">
      <alignment horizontal="center"/>
    </xf>
    <xf numFmtId="10" fontId="89" fillId="4" borderId="63" xfId="38" applyNumberFormat="1" applyFont="1" applyFill="1" applyBorder="1" applyAlignment="1">
      <alignment horizontal="center"/>
    </xf>
    <xf numFmtId="0" fontId="89" fillId="4" borderId="62" xfId="38" applyFont="1" applyFill="1" applyBorder="1" applyAlignment="1">
      <alignment horizontal="center"/>
    </xf>
    <xf numFmtId="167" fontId="86" fillId="4" borderId="9" xfId="38" applyNumberFormat="1" applyFont="1" applyFill="1" applyBorder="1" applyAlignment="1">
      <alignment horizontal="right"/>
    </xf>
    <xf numFmtId="0" fontId="86" fillId="4" borderId="17" xfId="38" applyFont="1" applyFill="1" applyBorder="1" applyAlignment="1">
      <alignment horizontal="right"/>
    </xf>
    <xf numFmtId="4" fontId="57" fillId="0" borderId="82" xfId="15" applyNumberFormat="1" applyFont="1" applyBorder="1" applyAlignment="1">
      <alignment horizontal="center" vertical="center"/>
    </xf>
    <xf numFmtId="4" fontId="57" fillId="0" borderId="43" xfId="15" applyNumberFormat="1" applyFont="1" applyBorder="1" applyAlignment="1">
      <alignment horizontal="center" vertical="center"/>
    </xf>
    <xf numFmtId="4" fontId="53" fillId="0" borderId="0" xfId="15" applyNumberFormat="1" applyFont="1" applyAlignment="1">
      <alignment horizontal="center"/>
    </xf>
    <xf numFmtId="4" fontId="57" fillId="0" borderId="49" xfId="15" applyNumberFormat="1" applyFont="1" applyBorder="1" applyAlignment="1">
      <alignment horizontal="center" vertical="center"/>
    </xf>
    <xf numFmtId="4" fontId="57" fillId="0" borderId="21" xfId="15" applyNumberFormat="1" applyFont="1" applyBorder="1" applyAlignment="1">
      <alignment horizontal="center" vertical="center"/>
    </xf>
    <xf numFmtId="4" fontId="57" fillId="0" borderId="78" xfId="15" applyNumberFormat="1" applyFont="1" applyBorder="1" applyAlignment="1">
      <alignment horizontal="center" vertical="center"/>
    </xf>
    <xf numFmtId="4" fontId="57" fillId="0" borderId="11" xfId="15" applyNumberFormat="1" applyFont="1" applyBorder="1" applyAlignment="1">
      <alignment horizontal="center" vertical="center"/>
    </xf>
    <xf numFmtId="39" fontId="30" fillId="0" borderId="53" xfId="26" applyNumberFormat="1" applyFont="1" applyBorder="1" applyAlignment="1">
      <alignment horizontal="center" vertical="center" wrapText="1"/>
    </xf>
    <xf numFmtId="39" fontId="30" fillId="0" borderId="66" xfId="26" applyNumberFormat="1" applyFont="1" applyBorder="1" applyAlignment="1">
      <alignment horizontal="center" vertical="center" wrapText="1"/>
    </xf>
  </cellXfs>
  <cellStyles count="65">
    <cellStyle name="Euro" xfId="1" xr:uid="{00000000-0005-0000-0000-000000000000}"/>
    <cellStyle name="Euro 2" xfId="43" xr:uid="{00000000-0005-0000-0000-000001000000}"/>
    <cellStyle name="Millares" xfId="40" builtinId="3"/>
    <cellStyle name="Millares 2" xfId="2" xr:uid="{00000000-0005-0000-0000-000003000000}"/>
    <cellStyle name="Millares 3" xfId="3" xr:uid="{00000000-0005-0000-0000-000004000000}"/>
    <cellStyle name="Millares 4" xfId="4" xr:uid="{00000000-0005-0000-0000-000005000000}"/>
    <cellStyle name="Millares 5" xfId="5" xr:uid="{00000000-0005-0000-0000-000006000000}"/>
    <cellStyle name="Millares 6" xfId="6" xr:uid="{00000000-0005-0000-0000-000007000000}"/>
    <cellStyle name="Millares 7" xfId="7" xr:uid="{00000000-0005-0000-0000-000008000000}"/>
    <cellStyle name="Millares 8" xfId="44" xr:uid="{00000000-0005-0000-0000-000009000000}"/>
    <cellStyle name="Millares_Hoja1" xfId="8" xr:uid="{00000000-0005-0000-0000-00000A000000}"/>
    <cellStyle name="Moneda 2" xfId="61" xr:uid="{00000000-0005-0000-0000-00000B000000}"/>
    <cellStyle name="Normal" xfId="0" builtinId="0"/>
    <cellStyle name="Normal 10" xfId="9" xr:uid="{00000000-0005-0000-0000-00000D000000}"/>
    <cellStyle name="Normal 10 2" xfId="37" xr:uid="{00000000-0005-0000-0000-00000E000000}"/>
    <cellStyle name="Normal 10 3" xfId="54" xr:uid="{00000000-0005-0000-0000-00000F000000}"/>
    <cellStyle name="Normal 10 32" xfId="42" xr:uid="{00000000-0005-0000-0000-000010000000}"/>
    <cellStyle name="Normal 11" xfId="10" xr:uid="{00000000-0005-0000-0000-000011000000}"/>
    <cellStyle name="Normal 11 2" xfId="53" xr:uid="{00000000-0005-0000-0000-000012000000}"/>
    <cellStyle name="Normal 12" xfId="33" xr:uid="{00000000-0005-0000-0000-000013000000}"/>
    <cellStyle name="Normal 12 2" xfId="59" xr:uid="{00000000-0005-0000-0000-000014000000}"/>
    <cellStyle name="Normal 13" xfId="35" xr:uid="{00000000-0005-0000-0000-000015000000}"/>
    <cellStyle name="Normal 13 2" xfId="58" xr:uid="{00000000-0005-0000-0000-000016000000}"/>
    <cellStyle name="Normal 13 2 2" xfId="62" xr:uid="{00000000-0005-0000-0000-000017000000}"/>
    <cellStyle name="Normal 14" xfId="38" xr:uid="{00000000-0005-0000-0000-000018000000}"/>
    <cellStyle name="Normal 15" xfId="39" xr:uid="{00000000-0005-0000-0000-000019000000}"/>
    <cellStyle name="Normal 16" xfId="55" xr:uid="{00000000-0005-0000-0000-00001A000000}"/>
    <cellStyle name="Normal 17" xfId="57" xr:uid="{00000000-0005-0000-0000-00001B000000}"/>
    <cellStyle name="Normal 18" xfId="56" xr:uid="{00000000-0005-0000-0000-00001C000000}"/>
    <cellStyle name="Normal 2" xfId="11" xr:uid="{00000000-0005-0000-0000-00001D000000}"/>
    <cellStyle name="Normal 2 2" xfId="12" xr:uid="{00000000-0005-0000-0000-00001E000000}"/>
    <cellStyle name="Normal 2 2 2" xfId="13" xr:uid="{00000000-0005-0000-0000-00001F000000}"/>
    <cellStyle name="Normal 2 3" xfId="14" xr:uid="{00000000-0005-0000-0000-000020000000}"/>
    <cellStyle name="Normal 2 4" xfId="36" xr:uid="{00000000-0005-0000-0000-000021000000}"/>
    <cellStyle name="Normal 2 4 2" xfId="64" xr:uid="{00000000-0005-0000-0000-000022000000}"/>
    <cellStyle name="Normal 2 5" xfId="45" xr:uid="{00000000-0005-0000-0000-000023000000}"/>
    <cellStyle name="Normal 2_Resumen y cronograma hv" xfId="15" xr:uid="{00000000-0005-0000-0000-000024000000}"/>
    <cellStyle name="Normal 20" xfId="60" xr:uid="{00000000-0005-0000-0000-000025000000}"/>
    <cellStyle name="Normal 3" xfId="16" xr:uid="{00000000-0005-0000-0000-000026000000}"/>
    <cellStyle name="Normal 3 2" xfId="46" xr:uid="{00000000-0005-0000-0000-000027000000}"/>
    <cellStyle name="Normal 3 3" xfId="63" xr:uid="{00000000-0005-0000-0000-000028000000}"/>
    <cellStyle name="Normal 4" xfId="17" xr:uid="{00000000-0005-0000-0000-000029000000}"/>
    <cellStyle name="Normal 4 2" xfId="47" xr:uid="{00000000-0005-0000-0000-00002A000000}"/>
    <cellStyle name="Normal 5" xfId="18" xr:uid="{00000000-0005-0000-0000-00002B000000}"/>
    <cellStyle name="Normal 5 2" xfId="48" xr:uid="{00000000-0005-0000-0000-00002C000000}"/>
    <cellStyle name="Normal 6" xfId="19" xr:uid="{00000000-0005-0000-0000-00002D000000}"/>
    <cellStyle name="Normal 6 2" xfId="49" xr:uid="{00000000-0005-0000-0000-00002E000000}"/>
    <cellStyle name="Normal 7" xfId="20" xr:uid="{00000000-0005-0000-0000-00002F000000}"/>
    <cellStyle name="Normal 7 2" xfId="50" xr:uid="{00000000-0005-0000-0000-000030000000}"/>
    <cellStyle name="Normal 8" xfId="21" xr:uid="{00000000-0005-0000-0000-000031000000}"/>
    <cellStyle name="Normal 8 2" xfId="51" xr:uid="{00000000-0005-0000-0000-000032000000}"/>
    <cellStyle name="Normal 9" xfId="22" xr:uid="{00000000-0005-0000-0000-000033000000}"/>
    <cellStyle name="Normal 9 2" xfId="52" xr:uid="{00000000-0005-0000-0000-000034000000}"/>
    <cellStyle name="Normal_Metrados Ampliacion de Tribunasur FEB-05" xfId="23" xr:uid="{00000000-0005-0000-0000-000035000000}"/>
    <cellStyle name="Normal_ppto urubamba" xfId="24" xr:uid="{00000000-0005-0000-0000-000036000000}"/>
    <cellStyle name="Normal_Presupuesto LA CRIA 2" xfId="25" xr:uid="{00000000-0005-0000-0000-000037000000}"/>
    <cellStyle name="Normal_Presupuesto LA CRIA 2 2" xfId="26" xr:uid="{00000000-0005-0000-0000-000038000000}"/>
    <cellStyle name="Porcentaje" xfId="41" builtinId="5"/>
    <cellStyle name="Porcentaje 2" xfId="27" xr:uid="{00000000-0005-0000-0000-00003A000000}"/>
    <cellStyle name="Porcentaje 3" xfId="28" xr:uid="{00000000-0005-0000-0000-00003B000000}"/>
    <cellStyle name="Porcentaje 4" xfId="34" xr:uid="{00000000-0005-0000-0000-00003C000000}"/>
    <cellStyle name="Porcentual 2" xfId="29" xr:uid="{00000000-0005-0000-0000-00003D000000}"/>
    <cellStyle name="Porcentual 2 2" xfId="30" xr:uid="{00000000-0005-0000-0000-00003E000000}"/>
    <cellStyle name="Porcentual 3" xfId="31" xr:uid="{00000000-0005-0000-0000-00003F000000}"/>
    <cellStyle name="Porcentual 4" xfId="32" xr:uid="{00000000-0005-0000-0000-000040000000}"/>
  </cellStyles>
  <dxfs count="3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externalLink" Target="externalLinks/externalLink3.xml"/><Relationship Id="rId47" Type="http://schemas.openxmlformats.org/officeDocument/2006/relationships/externalLink" Target="externalLinks/externalLink8.xml"/><Relationship Id="rId63" Type="http://schemas.openxmlformats.org/officeDocument/2006/relationships/externalLink" Target="externalLinks/externalLink24.xml"/><Relationship Id="rId68" Type="http://schemas.openxmlformats.org/officeDocument/2006/relationships/externalLink" Target="externalLinks/externalLink29.xml"/><Relationship Id="rId84" Type="http://schemas.openxmlformats.org/officeDocument/2006/relationships/externalLink" Target="externalLinks/externalLink45.xml"/><Relationship Id="rId89" Type="http://schemas.openxmlformats.org/officeDocument/2006/relationships/externalLink" Target="externalLinks/externalLink50.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externalLink" Target="externalLinks/externalLink14.xml"/><Relationship Id="rId58" Type="http://schemas.openxmlformats.org/officeDocument/2006/relationships/externalLink" Target="externalLinks/externalLink19.xml"/><Relationship Id="rId74" Type="http://schemas.openxmlformats.org/officeDocument/2006/relationships/externalLink" Target="externalLinks/externalLink35.xml"/><Relationship Id="rId79" Type="http://schemas.openxmlformats.org/officeDocument/2006/relationships/externalLink" Target="externalLinks/externalLink40.xml"/><Relationship Id="rId5" Type="http://schemas.openxmlformats.org/officeDocument/2006/relationships/worksheet" Target="worksheets/sheet5.xml"/><Relationship Id="rId90" Type="http://schemas.openxmlformats.org/officeDocument/2006/relationships/externalLink" Target="externalLinks/externalLink51.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externalLink" Target="externalLinks/externalLink4.xml"/><Relationship Id="rId48" Type="http://schemas.openxmlformats.org/officeDocument/2006/relationships/externalLink" Target="externalLinks/externalLink9.xml"/><Relationship Id="rId64" Type="http://schemas.openxmlformats.org/officeDocument/2006/relationships/externalLink" Target="externalLinks/externalLink25.xml"/><Relationship Id="rId69" Type="http://schemas.openxmlformats.org/officeDocument/2006/relationships/externalLink" Target="externalLinks/externalLink30.xml"/><Relationship Id="rId8" Type="http://schemas.openxmlformats.org/officeDocument/2006/relationships/worksheet" Target="worksheets/sheet8.xml"/><Relationship Id="rId51" Type="http://schemas.openxmlformats.org/officeDocument/2006/relationships/externalLink" Target="externalLinks/externalLink12.xml"/><Relationship Id="rId72" Type="http://schemas.openxmlformats.org/officeDocument/2006/relationships/externalLink" Target="externalLinks/externalLink33.xml"/><Relationship Id="rId80" Type="http://schemas.openxmlformats.org/officeDocument/2006/relationships/externalLink" Target="externalLinks/externalLink41.xml"/><Relationship Id="rId85" Type="http://schemas.openxmlformats.org/officeDocument/2006/relationships/externalLink" Target="externalLinks/externalLink46.xml"/><Relationship Id="rId93"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7.xml"/><Relationship Id="rId59" Type="http://schemas.openxmlformats.org/officeDocument/2006/relationships/externalLink" Target="externalLinks/externalLink20.xml"/><Relationship Id="rId67" Type="http://schemas.openxmlformats.org/officeDocument/2006/relationships/externalLink" Target="externalLinks/externalLink28.xml"/><Relationship Id="rId20" Type="http://schemas.openxmlformats.org/officeDocument/2006/relationships/worksheet" Target="worksheets/sheet20.xml"/><Relationship Id="rId41" Type="http://schemas.openxmlformats.org/officeDocument/2006/relationships/externalLink" Target="externalLinks/externalLink2.xml"/><Relationship Id="rId54" Type="http://schemas.openxmlformats.org/officeDocument/2006/relationships/externalLink" Target="externalLinks/externalLink15.xml"/><Relationship Id="rId62" Type="http://schemas.openxmlformats.org/officeDocument/2006/relationships/externalLink" Target="externalLinks/externalLink23.xml"/><Relationship Id="rId70" Type="http://schemas.openxmlformats.org/officeDocument/2006/relationships/externalLink" Target="externalLinks/externalLink31.xml"/><Relationship Id="rId75" Type="http://schemas.openxmlformats.org/officeDocument/2006/relationships/externalLink" Target="externalLinks/externalLink36.xml"/><Relationship Id="rId83" Type="http://schemas.openxmlformats.org/officeDocument/2006/relationships/externalLink" Target="externalLinks/externalLink44.xml"/><Relationship Id="rId88" Type="http://schemas.openxmlformats.org/officeDocument/2006/relationships/externalLink" Target="externalLinks/externalLink49.xml"/><Relationship Id="rId9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10.xml"/><Relationship Id="rId57" Type="http://schemas.openxmlformats.org/officeDocument/2006/relationships/externalLink" Target="externalLinks/externalLink18.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externalLink" Target="externalLinks/externalLink5.xml"/><Relationship Id="rId52" Type="http://schemas.openxmlformats.org/officeDocument/2006/relationships/externalLink" Target="externalLinks/externalLink13.xml"/><Relationship Id="rId60" Type="http://schemas.openxmlformats.org/officeDocument/2006/relationships/externalLink" Target="externalLinks/externalLink21.xml"/><Relationship Id="rId65" Type="http://schemas.openxmlformats.org/officeDocument/2006/relationships/externalLink" Target="externalLinks/externalLink26.xml"/><Relationship Id="rId73" Type="http://schemas.openxmlformats.org/officeDocument/2006/relationships/externalLink" Target="externalLinks/externalLink34.xml"/><Relationship Id="rId78" Type="http://schemas.openxmlformats.org/officeDocument/2006/relationships/externalLink" Target="externalLinks/externalLink39.xml"/><Relationship Id="rId81" Type="http://schemas.openxmlformats.org/officeDocument/2006/relationships/externalLink" Target="externalLinks/externalLink42.xml"/><Relationship Id="rId86" Type="http://schemas.openxmlformats.org/officeDocument/2006/relationships/externalLink" Target="externalLinks/externalLink47.xml"/><Relationship Id="rId9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externalLink" Target="externalLinks/externalLink11.xml"/><Relationship Id="rId55" Type="http://schemas.openxmlformats.org/officeDocument/2006/relationships/externalLink" Target="externalLinks/externalLink16.xml"/><Relationship Id="rId76" Type="http://schemas.openxmlformats.org/officeDocument/2006/relationships/externalLink" Target="externalLinks/externalLink37.xml"/><Relationship Id="rId7" Type="http://schemas.openxmlformats.org/officeDocument/2006/relationships/worksheet" Target="worksheets/sheet7.xml"/><Relationship Id="rId71" Type="http://schemas.openxmlformats.org/officeDocument/2006/relationships/externalLink" Target="externalLinks/externalLink32.xml"/><Relationship Id="rId92" Type="http://schemas.openxmlformats.org/officeDocument/2006/relationships/styles" Target="styles.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externalLink" Target="externalLinks/externalLink1.xml"/><Relationship Id="rId45" Type="http://schemas.openxmlformats.org/officeDocument/2006/relationships/externalLink" Target="externalLinks/externalLink6.xml"/><Relationship Id="rId66" Type="http://schemas.openxmlformats.org/officeDocument/2006/relationships/externalLink" Target="externalLinks/externalLink27.xml"/><Relationship Id="rId87" Type="http://schemas.openxmlformats.org/officeDocument/2006/relationships/externalLink" Target="externalLinks/externalLink48.xml"/><Relationship Id="rId61" Type="http://schemas.openxmlformats.org/officeDocument/2006/relationships/externalLink" Target="externalLinks/externalLink22.xml"/><Relationship Id="rId82" Type="http://schemas.openxmlformats.org/officeDocument/2006/relationships/externalLink" Target="externalLinks/externalLink43.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externalLink" Target="externalLinks/externalLink17.xml"/><Relationship Id="rId77" Type="http://schemas.openxmlformats.org/officeDocument/2006/relationships/externalLink" Target="externalLinks/externalLink38.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a:lstStyle/>
          <a:p>
            <a:pPr>
              <a:defRPr/>
            </a:pPr>
            <a:r>
              <a:rPr lang="es-PE"/>
              <a:t>CURVA "S" DE VALORIZACION FISICA DE OBRA</a:t>
            </a:r>
          </a:p>
        </c:rich>
      </c:tx>
      <c:layout>
        <c:manualLayout>
          <c:xMode val="edge"/>
          <c:yMode val="edge"/>
          <c:x val="0.25798238145051661"/>
          <c:y val="8.7108515409083792E-3"/>
        </c:manualLayout>
      </c:layout>
      <c:overlay val="0"/>
    </c:title>
    <c:autoTitleDeleted val="0"/>
    <c:plotArea>
      <c:layout>
        <c:manualLayout>
          <c:layoutTarget val="inner"/>
          <c:xMode val="edge"/>
          <c:yMode val="edge"/>
          <c:x val="5.5973020346733168E-2"/>
          <c:y val="5.3421633554083886E-2"/>
          <c:w val="0.92893923789907373"/>
          <c:h val="0.86622516556291396"/>
        </c:manualLayout>
      </c:layout>
      <c:lineChart>
        <c:grouping val="standard"/>
        <c:varyColors val="0"/>
        <c:ser>
          <c:idx val="6"/>
          <c:order val="0"/>
          <c:spPr>
            <a:ln>
              <a:solidFill>
                <a:schemeClr val="accent1">
                  <a:lumMod val="50000"/>
                </a:schemeClr>
              </a:solidFill>
            </a:ln>
          </c:spPr>
          <c:marker>
            <c:spPr>
              <a:ln>
                <a:solidFill>
                  <a:schemeClr val="accent1">
                    <a:lumMod val="50000"/>
                  </a:schemeClr>
                </a:solidFill>
              </a:ln>
            </c:spPr>
          </c:marker>
          <c:dLbls>
            <c:spPr>
              <a:noFill/>
              <a:ln>
                <a:noFill/>
              </a:ln>
              <a:effectLst/>
            </c:sp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[42]CS!$A$63:$A$77</c:f>
              <c:numCache>
                <c:formatCode>General</c:formatCode>
                <c:ptCount val="15"/>
                <c:pt idx="0">
                  <c:v>43663</c:v>
                </c:pt>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0</c:v>
                </c:pt>
                <c:pt idx="14">
                  <c:v>0</c:v>
                </c:pt>
              </c:numCache>
            </c:numRef>
          </c:cat>
          <c:val>
            <c:numRef>
              <c:f>[42]CS!$D$63:$D$80</c:f>
              <c:numCache>
                <c:formatCode>General</c:formatCode>
                <c:ptCount val="18"/>
                <c:pt idx="0">
                  <c:v>0</c:v>
                </c:pt>
                <c:pt idx="1">
                  <c:v>3.819839120420656E-2</c:v>
                </c:pt>
                <c:pt idx="2">
                  <c:v>5.1567057580761508E-2</c:v>
                </c:pt>
                <c:pt idx="3">
                  <c:v>5.1567057580761508E-2</c:v>
                </c:pt>
                <c:pt idx="4">
                  <c:v>8.5929075172340108E-2</c:v>
                </c:pt>
                <c:pt idx="5">
                  <c:v>0.12294200118843399</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0-6079-43FD-B864-C23BB20BD120}"/>
            </c:ext>
          </c:extLst>
        </c:ser>
        <c:ser>
          <c:idx val="7"/>
          <c:order val="1"/>
          <c:spPr>
            <a:effectLst>
              <a:outerShdw blurRad="50800" dist="50800" dir="5400000" algn="ctr" rotWithShape="0">
                <a:srgbClr val="FF0000"/>
              </a:outerShdw>
            </a:effectLst>
          </c:spPr>
          <c:marker>
            <c:spPr>
              <a:effectLst>
                <a:outerShdw blurRad="50800" dist="50800" dir="5400000" algn="ctr" rotWithShape="0">
                  <a:srgbClr val="FF0000"/>
                </a:outerShdw>
              </a:effectLst>
            </c:spPr>
          </c:marker>
          <c:dLbls>
            <c:spPr>
              <a:noFill/>
              <a:ln>
                <a:noFill/>
              </a:ln>
              <a:effectLst/>
            </c:sp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[42]CS!$A$63:$A$77</c:f>
              <c:numCache>
                <c:formatCode>General</c:formatCode>
                <c:ptCount val="15"/>
                <c:pt idx="0">
                  <c:v>43663</c:v>
                </c:pt>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0</c:v>
                </c:pt>
                <c:pt idx="14">
                  <c:v>0</c:v>
                </c:pt>
              </c:numCache>
            </c:numRef>
          </c:cat>
          <c:val>
            <c:numRef>
              <c:f>[42]CS!$G$63:$G$80</c:f>
              <c:numCache>
                <c:formatCode>General</c:formatCode>
                <c:ptCount val="18"/>
                <c:pt idx="0">
                  <c:v>0</c:v>
                </c:pt>
                <c:pt idx="1">
                  <c:v>1.2612001895178471E-2</c:v>
                </c:pt>
                <c:pt idx="2">
                  <c:v>4.6422236089587288E-2</c:v>
                </c:pt>
                <c:pt idx="3">
                  <c:v>7.9017351537003316E-2</c:v>
                </c:pt>
                <c:pt idx="4">
                  <c:v>0.10037954271031127</c:v>
                </c:pt>
                <c:pt idx="5">
                  <c:v>0.14841798654999783</c:v>
                </c:pt>
                <c:pt idx="6">
                  <c:v>0.19343544571043036</c:v>
                </c:pt>
                <c:pt idx="7">
                  <c:v>0.21109432929743305</c:v>
                </c:pt>
                <c:pt idx="8">
                  <c:v>0.24021998797790367</c:v>
                </c:pt>
                <c:pt idx="9">
                  <c:v>0.29261663641207247</c:v>
                </c:pt>
                <c:pt idx="10">
                  <c:v>0.37614084894664113</c:v>
                </c:pt>
                <c:pt idx="11">
                  <c:v>0.46048949852760362</c:v>
                </c:pt>
                <c:pt idx="12">
                  <c:v>0.60184329356058097</c:v>
                </c:pt>
                <c:pt idx="13">
                  <c:v>0</c:v>
                </c:pt>
                <c:pt idx="14">
                  <c:v>0</c:v>
                </c:pt>
              </c:numCache>
            </c:numRef>
          </c:val>
          <c:smooth val="0"/>
          <c:extLst>
            <c:ext xmlns:c16="http://schemas.microsoft.com/office/drawing/2014/chart" uri="{C3380CC4-5D6E-409C-BE32-E72D297353CC}">
              <c16:uniqueId val="{00000001-6079-43FD-B864-C23BB20BD120}"/>
            </c:ext>
          </c:extLst>
        </c:ser>
        <c:ser>
          <c:idx val="8"/>
          <c:order val="2"/>
          <c:spPr>
            <a:effectLst>
              <a:outerShdw blurRad="50800" dist="50800" dir="5400000" algn="ctr" rotWithShape="0">
                <a:srgbClr val="0070C0"/>
              </a:outerShdw>
            </a:effectLst>
          </c:spPr>
          <c:marker>
            <c:spPr>
              <a:effectLst>
                <a:outerShdw blurRad="50800" dist="50800" dir="5400000" algn="ctr" rotWithShape="0">
                  <a:srgbClr val="0070C0"/>
                </a:outerShdw>
              </a:effectLst>
            </c:spPr>
          </c:marker>
          <c:dLbls>
            <c:dLbl>
              <c:idx val="0"/>
              <c:delete val="1"/>
              <c:extLst>
                <c:ext xmlns:c15="http://schemas.microsoft.com/office/drawing/2012/chart" uri="{CE6537A1-D6FC-4f65-9D91-7224C49458BB}"/>
                <c:ext xmlns:c16="http://schemas.microsoft.com/office/drawing/2014/chart" uri="{C3380CC4-5D6E-409C-BE32-E72D297353CC}">
                  <c16:uniqueId val="{00000002-6079-43FD-B864-C23BB20BD120}"/>
                </c:ext>
              </c:extLst>
            </c:dLbl>
            <c:spPr>
              <a:noFill/>
              <a:ln>
                <a:noFill/>
              </a:ln>
              <a:effectLst/>
            </c:sp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[42]CS!$A$63:$A$77</c:f>
              <c:numCache>
                <c:formatCode>General</c:formatCode>
                <c:ptCount val="15"/>
                <c:pt idx="0">
                  <c:v>43663</c:v>
                </c:pt>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0</c:v>
                </c:pt>
                <c:pt idx="14">
                  <c:v>0</c:v>
                </c:pt>
              </c:numCache>
            </c:numRef>
          </c:cat>
          <c:val>
            <c:numRef>
              <c:f>[42]CS!$J$63:$J$80</c:f>
              <c:numCache>
                <c:formatCode>General</c:formatCode>
                <c:ptCount val="18"/>
                <c:pt idx="0">
                  <c:v>0</c:v>
                </c:pt>
                <c:pt idx="1">
                  <c:v>1.1014247999318752E-2</c:v>
                </c:pt>
                <c:pt idx="2">
                  <c:v>2.4382914375873699E-2</c:v>
                </c:pt>
                <c:pt idx="3">
                  <c:v>5.912078099256133E-2</c:v>
                </c:pt>
                <c:pt idx="4">
                  <c:v>9.3482798584139937E-2</c:v>
                </c:pt>
                <c:pt idx="5">
                  <c:v>0.13049572460023381</c:v>
                </c:pt>
                <c:pt idx="6">
                  <c:v>0.16870914040098239</c:v>
                </c:pt>
                <c:pt idx="7">
                  <c:v>0.17883974557485205</c:v>
                </c:pt>
                <c:pt idx="8">
                  <c:v>0.20327970071032161</c:v>
                </c:pt>
                <c:pt idx="9">
                  <c:v>0.21831061268190452</c:v>
                </c:pt>
                <c:pt idx="10">
                  <c:v>0.21831061268190452</c:v>
                </c:pt>
                <c:pt idx="11">
                  <c:v>0.21831061268190452</c:v>
                </c:pt>
                <c:pt idx="12">
                  <c:v>0.21831061268190452</c:v>
                </c:pt>
                <c:pt idx="13">
                  <c:v>0</c:v>
                </c:pt>
                <c:pt idx="14">
                  <c:v>0</c:v>
                </c:pt>
              </c:numCache>
            </c:numRef>
          </c:val>
          <c:smooth val="0"/>
          <c:extLst>
            <c:ext xmlns:c16="http://schemas.microsoft.com/office/drawing/2014/chart" uri="{C3380CC4-5D6E-409C-BE32-E72D297353CC}">
              <c16:uniqueId val="{00000003-6079-43FD-B864-C23BB20BD120}"/>
            </c:ext>
          </c:extLst>
        </c:ser>
        <c:ser>
          <c:idx val="0"/>
          <c:order val="3"/>
          <c:tx>
            <c:v>GASTO FINANCIERO</c:v>
          </c:tx>
          <c:cat>
            <c:numRef>
              <c:f>[42]CS!$A$63:$A$77</c:f>
              <c:numCache>
                <c:formatCode>General</c:formatCode>
                <c:ptCount val="15"/>
                <c:pt idx="0">
                  <c:v>43663</c:v>
                </c:pt>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0</c:v>
                </c:pt>
                <c:pt idx="14">
                  <c:v>0</c:v>
                </c:pt>
              </c:numCache>
            </c:numRef>
          </c:cat>
          <c:val>
            <c:numRef>
              <c:f>#REF!</c:f>
              <c:numCache>
                <c:formatCode>General</c:formatCode>
                <c:ptCount val="1"/>
                <c:pt idx="0">
                  <c:v>1</c:v>
                </c:pt>
              </c:numCache>
            </c:numRef>
          </c:val>
          <c:smooth val="0"/>
          <c:extLst>
            <c:ext xmlns:c16="http://schemas.microsoft.com/office/drawing/2014/chart" uri="{C3380CC4-5D6E-409C-BE32-E72D297353CC}">
              <c16:uniqueId val="{00000004-6079-43FD-B864-C23BB20BD120}"/>
            </c:ext>
          </c:extLst>
        </c:ser>
        <c:ser>
          <c:idx val="1"/>
          <c:order val="4"/>
          <c:tx>
            <c:v>EJECUCION FISICA</c:v>
          </c:tx>
          <c:val>
            <c:numLit>
              <c:formatCode>General</c:formatCode>
              <c:ptCount val="1"/>
              <c:pt idx="0">
                <c:v>1</c:v>
              </c:pt>
            </c:numLit>
          </c:val>
          <c:smooth val="0"/>
          <c:extLst>
            <c:ext xmlns:c16="http://schemas.microsoft.com/office/drawing/2014/chart" uri="{C3380CC4-5D6E-409C-BE32-E72D297353CC}">
              <c16:uniqueId val="{00000005-6079-43FD-B864-C23BB20BD120}"/>
            </c:ext>
          </c:extLst>
        </c:ser>
        <c:dLbls>
          <c:showLegendKey val="0"/>
          <c:showVal val="0"/>
          <c:showCatName val="0"/>
          <c:showSerName val="0"/>
          <c:showPercent val="0"/>
          <c:showBubbleSize val="0"/>
        </c:dLbls>
        <c:marker val="1"/>
        <c:smooth val="0"/>
        <c:axId val="494072608"/>
        <c:axId val="494067712"/>
      </c:lineChart>
      <c:catAx>
        <c:axId val="494072608"/>
        <c:scaling>
          <c:orientation val="minMax"/>
        </c:scaling>
        <c:delete val="0"/>
        <c:axPos val="b"/>
        <c:title>
          <c:tx>
            <c:rich>
              <a:bodyPr/>
              <a:lstStyle/>
              <a:p>
                <a:pPr>
                  <a:defRPr/>
                </a:pPr>
                <a:r>
                  <a:rPr lang="es-PE"/>
                  <a:t>PLAZO DE EJECUCION (MESES)</a:t>
                </a:r>
              </a:p>
            </c:rich>
          </c:tx>
          <c:layout>
            <c:manualLayout>
              <c:xMode val="edge"/>
              <c:yMode val="edge"/>
              <c:x val="0.45106449232465962"/>
              <c:y val="0.96505494429090399"/>
            </c:manualLayout>
          </c:layout>
          <c:overlay val="0"/>
        </c:title>
        <c:numFmt formatCode="dd/mm/yyyy" sourceLinked="0"/>
        <c:majorTickMark val="cross"/>
        <c:minorTickMark val="none"/>
        <c:tickLblPos val="nextTo"/>
        <c:txPr>
          <a:bodyPr rot="0" vert="horz"/>
          <a:lstStyle/>
          <a:p>
            <a:pPr>
              <a:defRPr/>
            </a:pPr>
            <a:endParaRPr lang="es-PE"/>
          </a:p>
        </c:txPr>
        <c:crossAx val="494067712"/>
        <c:crosses val="autoZero"/>
        <c:auto val="0"/>
        <c:lblAlgn val="ctr"/>
        <c:lblOffset val="100"/>
        <c:tickMarkSkip val="1"/>
        <c:noMultiLvlLbl val="0"/>
      </c:catAx>
      <c:valAx>
        <c:axId val="494067712"/>
        <c:scaling>
          <c:orientation val="minMax"/>
          <c:max val="1"/>
        </c:scaling>
        <c:delete val="0"/>
        <c:axPos val="l"/>
        <c:majorGridlines/>
        <c:title>
          <c:tx>
            <c:rich>
              <a:bodyPr/>
              <a:lstStyle/>
              <a:p>
                <a:pPr>
                  <a:defRPr/>
                </a:pPr>
                <a:r>
                  <a:rPr lang="es-PE"/>
                  <a:t>AVANCE MENSUAL ACUMULADO (%)</a:t>
                </a:r>
              </a:p>
            </c:rich>
          </c:tx>
          <c:layout>
            <c:manualLayout>
              <c:xMode val="edge"/>
              <c:yMode val="edge"/>
              <c:x val="4.7964514219450714E-2"/>
              <c:y val="0.33296733934748263"/>
            </c:manualLayout>
          </c:layout>
          <c:overlay val="0"/>
        </c:title>
        <c:numFmt formatCode="0.0%" sourceLinked="0"/>
        <c:majorTickMark val="out"/>
        <c:minorTickMark val="none"/>
        <c:tickLblPos val="nextTo"/>
        <c:txPr>
          <a:bodyPr rot="0" vert="horz"/>
          <a:lstStyle/>
          <a:p>
            <a:pPr>
              <a:defRPr/>
            </a:pPr>
            <a:endParaRPr lang="es-PE"/>
          </a:p>
        </c:txPr>
        <c:crossAx val="494072608"/>
        <c:crosses val="autoZero"/>
        <c:crossBetween val="midCat"/>
        <c:minorUnit val="2.1017752010891212E-3"/>
      </c:valAx>
    </c:plotArea>
    <c:legend>
      <c:legendPos val="r"/>
      <c:legendEntry>
        <c:idx val="1"/>
        <c:delete val="1"/>
      </c:legendEntry>
      <c:legendEntry>
        <c:idx val="2"/>
        <c:delete val="1"/>
      </c:legendEntry>
      <c:layout>
        <c:manualLayout>
          <c:xMode val="edge"/>
          <c:yMode val="edge"/>
          <c:x val="0.15099880795024218"/>
          <c:y val="8.6129286819280032E-2"/>
          <c:w val="0.22881448090710396"/>
          <c:h val="9.5803514626896805E-2"/>
        </c:manualLayout>
      </c:layout>
      <c:overlay val="0"/>
    </c:legend>
    <c:plotVisOnly val="1"/>
    <c:dispBlanksAs val="gap"/>
    <c:showDLblsOverMax val="0"/>
  </c:chart>
  <c:printSettings>
    <c:headerFooter alignWithMargins="0">
      <c:oddHeader>&amp;A</c:oddHeader>
      <c:oddFooter>Page &amp;P</c:oddFooter>
    </c:headerFooter>
    <c:pageMargins b="3.937007874015748E-2" l="3.937007874015748E-2" r="3.937007874015748E-2" t="3.937007874015748E-2" header="0.51181102362204722" footer="0.51181102362204722"/>
    <c:pageSetup paperSize="9" orientation="landscape"/>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s-PE"/>
              <a:t>CURVA "S" DE</a:t>
            </a:r>
            <a:r>
              <a:rPr lang="es-PE" baseline="0"/>
              <a:t> AVANCE FISICO, REPROGRAMADO vs REAL</a:t>
            </a:r>
            <a:endParaRPr lang="es-PE"/>
          </a:p>
        </c:rich>
      </c:tx>
      <c:layout>
        <c:manualLayout>
          <c:xMode val="edge"/>
          <c:yMode val="edge"/>
          <c:x val="0.25798238145051661"/>
          <c:y val="8.7108515409083792E-3"/>
        </c:manualLayout>
      </c:layout>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s-PE"/>
        </a:p>
      </c:txPr>
    </c:title>
    <c:autoTitleDeleted val="0"/>
    <c:plotArea>
      <c:layout>
        <c:manualLayout>
          <c:layoutTarget val="inner"/>
          <c:xMode val="edge"/>
          <c:yMode val="edge"/>
          <c:x val="5.0563152759507492E-2"/>
          <c:y val="4.2825607064017661E-2"/>
          <c:w val="0.92893923789907373"/>
          <c:h val="0.86622516556291396"/>
        </c:manualLayout>
      </c:layout>
      <c:lineChart>
        <c:grouping val="standard"/>
        <c:varyColors val="0"/>
        <c:ser>
          <c:idx val="8"/>
          <c:order val="0"/>
          <c:tx>
            <c:v>contractual</c:v>
          </c:tx>
          <c:spPr>
            <a:ln w="22225" cap="rnd">
              <a:solidFill>
                <a:schemeClr val="accent3">
                  <a:lumMod val="60000"/>
                </a:schemeClr>
              </a:solidFill>
              <a:round/>
            </a:ln>
            <a:effectLst/>
          </c:spPr>
          <c:marker>
            <c:symbol val="none"/>
          </c:marker>
          <c:dLbls>
            <c:delete val="1"/>
          </c:dLbls>
          <c:cat>
            <c:numRef>
              <c:f>'Curvaa SN (2)'!$B$68:$B$99</c:f>
              <c:numCache>
                <c:formatCode>d\-mmm\-yy</c:formatCode>
                <c:ptCount val="32"/>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44043</c:v>
                </c:pt>
                <c:pt idx="14">
                  <c:v>44074</c:v>
                </c:pt>
                <c:pt idx="15">
                  <c:v>44104</c:v>
                </c:pt>
                <c:pt idx="16">
                  <c:v>44135</c:v>
                </c:pt>
                <c:pt idx="17">
                  <c:v>44165</c:v>
                </c:pt>
                <c:pt idx="18">
                  <c:v>44196</c:v>
                </c:pt>
                <c:pt idx="19">
                  <c:v>44227</c:v>
                </c:pt>
                <c:pt idx="20">
                  <c:v>44255</c:v>
                </c:pt>
                <c:pt idx="21">
                  <c:v>44286</c:v>
                </c:pt>
                <c:pt idx="22">
                  <c:v>44316</c:v>
                </c:pt>
                <c:pt idx="23">
                  <c:v>44346</c:v>
                </c:pt>
                <c:pt idx="24">
                  <c:v>44377</c:v>
                </c:pt>
                <c:pt idx="25">
                  <c:v>44408</c:v>
                </c:pt>
                <c:pt idx="26">
                  <c:v>44439</c:v>
                </c:pt>
                <c:pt idx="27">
                  <c:v>44469</c:v>
                </c:pt>
                <c:pt idx="28">
                  <c:v>44500</c:v>
                </c:pt>
                <c:pt idx="29">
                  <c:v>44530</c:v>
                </c:pt>
                <c:pt idx="30">
                  <c:v>44561</c:v>
                </c:pt>
                <c:pt idx="31">
                  <c:v>44586</c:v>
                </c:pt>
              </c:numCache>
            </c:numRef>
          </c:cat>
          <c:val>
            <c:numRef>
              <c:f>'Curvaa SN (2)'!$E$68:$E$73</c:f>
              <c:numCache>
                <c:formatCode>0.00%</c:formatCode>
                <c:ptCount val="6"/>
              </c:numCache>
            </c:numRef>
          </c:val>
          <c:smooth val="0"/>
          <c:extLst>
            <c:ext xmlns:c16="http://schemas.microsoft.com/office/drawing/2014/chart" uri="{C3380CC4-5D6E-409C-BE32-E72D297353CC}">
              <c16:uniqueId val="{00000000-86C8-4D56-A97A-CB97DEEC47C8}"/>
            </c:ext>
          </c:extLst>
        </c:ser>
        <c:ser>
          <c:idx val="0"/>
          <c:order val="1"/>
          <c:tx>
            <c:v>REPROGRAMADO</c:v>
          </c:tx>
          <c:spPr>
            <a:ln w="22225" cap="rnd">
              <a:solidFill>
                <a:schemeClr val="accent1"/>
              </a:solidFill>
              <a:round/>
            </a:ln>
            <a:effectLst/>
          </c:spPr>
          <c:marker>
            <c:symbol val="none"/>
          </c:marker>
          <c:dLbls>
            <c:dLbl>
              <c:idx val="1"/>
              <c:tx>
                <c:rich>
                  <a:bodyPr/>
                  <a:lstStyle/>
                  <a:p>
                    <a:r>
                      <a:rPr lang="en-US"/>
                      <a:t>1.26 %</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1-86C8-4D56-A97A-CB97DEEC47C8}"/>
                </c:ext>
              </c:extLst>
            </c:dLbl>
            <c:dLbl>
              <c:idx val="4"/>
              <c:tx>
                <c:rich>
                  <a:bodyPr/>
                  <a:lstStyle/>
                  <a:p>
                    <a:r>
                      <a:rPr lang="en-US"/>
                      <a:t>9.34%</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2-86C8-4D56-A97A-CB97DEEC47C8}"/>
                </c:ext>
              </c:extLst>
            </c:dLbl>
            <c:dLbl>
              <c:idx val="8"/>
              <c:tx>
                <c:rich>
                  <a:bodyPr/>
                  <a:lstStyle/>
                  <a:p>
                    <a:r>
                      <a:rPr lang="en-US"/>
                      <a:t>20.33%</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3-86C8-4D56-A97A-CB97DEEC47C8}"/>
                </c:ext>
              </c:extLst>
            </c:dLbl>
            <c:dLbl>
              <c:idx val="9"/>
              <c:tx>
                <c:rich>
                  <a:bodyPr/>
                  <a:lstStyle/>
                  <a:p>
                    <a:r>
                      <a:rPr lang="en-US"/>
                      <a:t>22.21 %</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4-86C8-4D56-A97A-CB97DEEC47C8}"/>
                </c:ext>
              </c:extLst>
            </c:dLbl>
            <c:dLbl>
              <c:idx val="10"/>
              <c:tx>
                <c:rich>
                  <a:bodyPr/>
                  <a:lstStyle/>
                  <a:p>
                    <a:r>
                      <a:rPr lang="en-US"/>
                      <a:t>21.83 %</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5-86C8-4D56-A97A-CB97DEEC47C8}"/>
                </c:ext>
              </c:extLst>
            </c:dLbl>
            <c:dLbl>
              <c:idx val="11"/>
              <c:tx>
                <c:rich>
                  <a:bodyPr/>
                  <a:lstStyle/>
                  <a:p>
                    <a:r>
                      <a:rPr lang="en-US"/>
                      <a:t>21.83 %</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6-86C8-4D56-A97A-CB97DEEC47C8}"/>
                </c:ext>
              </c:extLst>
            </c:dLbl>
            <c:dLbl>
              <c:idx val="12"/>
              <c:tx>
                <c:rich>
                  <a:bodyPr/>
                  <a:lstStyle/>
                  <a:p>
                    <a:r>
                      <a:rPr lang="en-US"/>
                      <a:t>21.83</a:t>
                    </a:r>
                    <a:r>
                      <a:rPr lang="en-US" baseline="0"/>
                      <a:t> </a:t>
                    </a:r>
                    <a:r>
                      <a:rPr lang="en-US"/>
                      <a:t>%</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7-86C8-4D56-A97A-CB97DEEC47C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s-P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numRef>
              <c:f>'Curvaa SN (2)'!$B$68:$B$99</c:f>
              <c:numCache>
                <c:formatCode>d\-mmm\-yy</c:formatCode>
                <c:ptCount val="32"/>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44043</c:v>
                </c:pt>
                <c:pt idx="14">
                  <c:v>44074</c:v>
                </c:pt>
                <c:pt idx="15">
                  <c:v>44104</c:v>
                </c:pt>
                <c:pt idx="16">
                  <c:v>44135</c:v>
                </c:pt>
                <c:pt idx="17">
                  <c:v>44165</c:v>
                </c:pt>
                <c:pt idx="18">
                  <c:v>44196</c:v>
                </c:pt>
                <c:pt idx="19">
                  <c:v>44227</c:v>
                </c:pt>
                <c:pt idx="20">
                  <c:v>44255</c:v>
                </c:pt>
                <c:pt idx="21">
                  <c:v>44286</c:v>
                </c:pt>
                <c:pt idx="22">
                  <c:v>44316</c:v>
                </c:pt>
                <c:pt idx="23">
                  <c:v>44346</c:v>
                </c:pt>
                <c:pt idx="24">
                  <c:v>44377</c:v>
                </c:pt>
                <c:pt idx="25">
                  <c:v>44408</c:v>
                </c:pt>
                <c:pt idx="26">
                  <c:v>44439</c:v>
                </c:pt>
                <c:pt idx="27">
                  <c:v>44469</c:v>
                </c:pt>
                <c:pt idx="28">
                  <c:v>44500</c:v>
                </c:pt>
                <c:pt idx="29">
                  <c:v>44530</c:v>
                </c:pt>
                <c:pt idx="30">
                  <c:v>44561</c:v>
                </c:pt>
                <c:pt idx="31">
                  <c:v>44586</c:v>
                </c:pt>
              </c:numCache>
            </c:numRef>
          </c:cat>
          <c:val>
            <c:numRef>
              <c:f>'Curvaa SN (2)'!$H$68:$H$99</c:f>
              <c:numCache>
                <c:formatCode>0.00%</c:formatCode>
                <c:ptCount val="32"/>
                <c:pt idx="1">
                  <c:v>7.2095222060975022E-3</c:v>
                </c:pt>
                <c:pt idx="2">
                  <c:v>1.5960160047827573E-2</c:v>
                </c:pt>
                <c:pt idx="3">
                  <c:v>3.8698291522118233E-2</c:v>
                </c:pt>
                <c:pt idx="4">
                  <c:v>6.1190406065407377E-2</c:v>
                </c:pt>
                <c:pt idx="5">
                  <c:v>8.5417707891255301E-2</c:v>
                </c:pt>
                <c:pt idx="6">
                  <c:v>0.11043080623421808</c:v>
                </c:pt>
                <c:pt idx="7">
                  <c:v>0.11706192826761572</c:v>
                </c:pt>
                <c:pt idx="8">
                  <c:v>0.133059425180444</c:v>
                </c:pt>
                <c:pt idx="9">
                  <c:v>0.14537362645460017</c:v>
                </c:pt>
                <c:pt idx="10">
                  <c:v>0.14537362645460017</c:v>
                </c:pt>
                <c:pt idx="11">
                  <c:v>0.14537362645460017</c:v>
                </c:pt>
                <c:pt idx="12">
                  <c:v>0.14585400717092978</c:v>
                </c:pt>
                <c:pt idx="13">
                  <c:v>0.17757830181626313</c:v>
                </c:pt>
                <c:pt idx="14">
                  <c:v>0.20473076615038407</c:v>
                </c:pt>
                <c:pt idx="15">
                  <c:v>0.22384913962859859</c:v>
                </c:pt>
                <c:pt idx="16">
                  <c:v>0.24759276325663387</c:v>
                </c:pt>
                <c:pt idx="17">
                  <c:v>0.28704464146116265</c:v>
                </c:pt>
                <c:pt idx="18">
                  <c:v>0.3399368499683687</c:v>
                </c:pt>
                <c:pt idx="19">
                  <c:v>0.35274499374119767</c:v>
                </c:pt>
                <c:pt idx="20">
                  <c:v>0.35274499374119767</c:v>
                </c:pt>
                <c:pt idx="21">
                  <c:v>0.38538822574775522</c:v>
                </c:pt>
                <c:pt idx="22">
                  <c:v>0.42012523395496548</c:v>
                </c:pt>
                <c:pt idx="23">
                  <c:v>0.453164009170065</c:v>
                </c:pt>
                <c:pt idx="24">
                  <c:v>0.48556684696743929</c:v>
                </c:pt>
                <c:pt idx="25">
                  <c:v>0.51744660124482023</c:v>
                </c:pt>
                <c:pt idx="26">
                  <c:v>0.51744660124482023</c:v>
                </c:pt>
                <c:pt idx="27">
                  <c:v>0.51744660124482023</c:v>
                </c:pt>
                <c:pt idx="28">
                  <c:v>0.55248391689904208</c:v>
                </c:pt>
                <c:pt idx="29">
                  <c:v>0.60936951756577407</c:v>
                </c:pt>
                <c:pt idx="30">
                  <c:v>0.67598766276508071</c:v>
                </c:pt>
                <c:pt idx="31">
                  <c:v>1</c:v>
                </c:pt>
              </c:numCache>
            </c:numRef>
          </c:val>
          <c:smooth val="0"/>
          <c:extLst>
            <c:ext xmlns:c16="http://schemas.microsoft.com/office/drawing/2014/chart" uri="{C3380CC4-5D6E-409C-BE32-E72D297353CC}">
              <c16:uniqueId val="{00000008-86C8-4D56-A97A-CB97DEEC47C8}"/>
            </c:ext>
          </c:extLst>
        </c:ser>
        <c:ser>
          <c:idx val="1"/>
          <c:order val="2"/>
          <c:spPr>
            <a:ln w="22225" cap="rnd">
              <a:solidFill>
                <a:schemeClr val="accent2"/>
              </a:solidFill>
              <a:round/>
            </a:ln>
            <a:effectLst/>
          </c:spPr>
          <c:marker>
            <c:symbol val="none"/>
          </c:marker>
          <c:dLbls>
            <c:dLbl>
              <c:idx val="0"/>
              <c:layout>
                <c:manualLayout>
                  <c:x val="-2.7061781627074268E-2"/>
                  <c:y val="-2.208826545688411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6C8-4D56-A97A-CB97DEEC47C8}"/>
                </c:ext>
              </c:extLst>
            </c:dLbl>
            <c:dLbl>
              <c:idx val="4"/>
              <c:tx>
                <c:rich>
                  <a:bodyPr/>
                  <a:lstStyle/>
                  <a:p>
                    <a:r>
                      <a:rPr lang="en-US"/>
                      <a:t>9.34%</a:t>
                    </a:r>
                  </a:p>
                </c:rich>
              </c:tx>
              <c:dLblPos val="b"/>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A-86C8-4D56-A97A-CB97DEEC47C8}"/>
                </c:ext>
              </c:extLst>
            </c:dLbl>
            <c:dLbl>
              <c:idx val="10"/>
              <c:tx>
                <c:rich>
                  <a:bodyPr/>
                  <a:lstStyle/>
                  <a:p>
                    <a:r>
                      <a:rPr lang="en-US"/>
                      <a:t>21.83%</a:t>
                    </a:r>
                  </a:p>
                </c:rich>
              </c:tx>
              <c:dLblPos val="b"/>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B-86C8-4D56-A97A-CB97DEEC47C8}"/>
                </c:ext>
              </c:extLst>
            </c:dLbl>
            <c:dLbl>
              <c:idx val="11"/>
              <c:tx>
                <c:rich>
                  <a:bodyPr/>
                  <a:lstStyle/>
                  <a:p>
                    <a:r>
                      <a:rPr lang="en-US"/>
                      <a:t>21.83</a:t>
                    </a:r>
                    <a:r>
                      <a:rPr lang="en-US" baseline="0"/>
                      <a:t> %</a:t>
                    </a:r>
                    <a:endParaRPr lang="en-US"/>
                  </a:p>
                </c:rich>
              </c:tx>
              <c:dLblPos val="b"/>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C-86C8-4D56-A97A-CB97DEEC47C8}"/>
                </c:ext>
              </c:extLst>
            </c:dLbl>
            <c:dLbl>
              <c:idx val="12"/>
              <c:tx>
                <c:rich>
                  <a:bodyPr/>
                  <a:lstStyle/>
                  <a:p>
                    <a:r>
                      <a:rPr lang="en-US"/>
                      <a:t>21.83 %</a:t>
                    </a:r>
                  </a:p>
                </c:rich>
              </c:tx>
              <c:dLblPos val="b"/>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D-86C8-4D56-A97A-CB97DEEC47C8}"/>
                </c:ext>
              </c:extLst>
            </c:dLbl>
            <c:dLbl>
              <c:idx val="17"/>
              <c:layout>
                <c:manualLayout>
                  <c:x val="-1.782704806110523E-2"/>
                  <c:y val="2.206184491839169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D65-495E-858F-B75CC75DADFB}"/>
                </c:ext>
              </c:extLst>
            </c:dLbl>
            <c:dLbl>
              <c:idx val="20"/>
              <c:layout>
                <c:manualLayout>
                  <c:x val="-1.782704806110523E-2"/>
                  <c:y val="2.735985816342493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D65-495E-858F-B75CC75DADF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s-PE"/>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numRef>
              <c:f>'Curvaa SN (2)'!$B$68:$B$99</c:f>
              <c:numCache>
                <c:formatCode>d\-mmm\-yy</c:formatCode>
                <c:ptCount val="32"/>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44043</c:v>
                </c:pt>
                <c:pt idx="14">
                  <c:v>44074</c:v>
                </c:pt>
                <c:pt idx="15">
                  <c:v>44104</c:v>
                </c:pt>
                <c:pt idx="16">
                  <c:v>44135</c:v>
                </c:pt>
                <c:pt idx="17">
                  <c:v>44165</c:v>
                </c:pt>
                <c:pt idx="18">
                  <c:v>44196</c:v>
                </c:pt>
                <c:pt idx="19">
                  <c:v>44227</c:v>
                </c:pt>
                <c:pt idx="20">
                  <c:v>44255</c:v>
                </c:pt>
                <c:pt idx="21">
                  <c:v>44286</c:v>
                </c:pt>
                <c:pt idx="22">
                  <c:v>44316</c:v>
                </c:pt>
                <c:pt idx="23">
                  <c:v>44346</c:v>
                </c:pt>
                <c:pt idx="24">
                  <c:v>44377</c:v>
                </c:pt>
                <c:pt idx="25">
                  <c:v>44408</c:v>
                </c:pt>
                <c:pt idx="26">
                  <c:v>44439</c:v>
                </c:pt>
                <c:pt idx="27">
                  <c:v>44469</c:v>
                </c:pt>
                <c:pt idx="28">
                  <c:v>44500</c:v>
                </c:pt>
                <c:pt idx="29">
                  <c:v>44530</c:v>
                </c:pt>
                <c:pt idx="30">
                  <c:v>44561</c:v>
                </c:pt>
                <c:pt idx="31">
                  <c:v>44586</c:v>
                </c:pt>
              </c:numCache>
            </c:numRef>
          </c:cat>
          <c:val>
            <c:numRef>
              <c:f>'Curvaa SN (2)'!$K$68:$K$99</c:f>
              <c:numCache>
                <c:formatCode>0.00%</c:formatCode>
                <c:ptCount val="32"/>
                <c:pt idx="1">
                  <c:v>7.2095222060975022E-3</c:v>
                </c:pt>
                <c:pt idx="2">
                  <c:v>1.5960160047827573E-2</c:v>
                </c:pt>
                <c:pt idx="3">
                  <c:v>3.8698291522118233E-2</c:v>
                </c:pt>
                <c:pt idx="4">
                  <c:v>6.1190406065407377E-2</c:v>
                </c:pt>
                <c:pt idx="5">
                  <c:v>8.5417707891255301E-2</c:v>
                </c:pt>
                <c:pt idx="6">
                  <c:v>0.11043080623421808</c:v>
                </c:pt>
                <c:pt idx="7">
                  <c:v>0.11706192826761572</c:v>
                </c:pt>
                <c:pt idx="8">
                  <c:v>0.133059425180444</c:v>
                </c:pt>
                <c:pt idx="9">
                  <c:v>0.14537362645460017</c:v>
                </c:pt>
                <c:pt idx="10">
                  <c:v>0.14537362645460017</c:v>
                </c:pt>
                <c:pt idx="11">
                  <c:v>0.14537362645460017</c:v>
                </c:pt>
                <c:pt idx="12">
                  <c:v>0.14585400717092978</c:v>
                </c:pt>
                <c:pt idx="13">
                  <c:v>0.17757830181626313</c:v>
                </c:pt>
                <c:pt idx="14">
                  <c:v>0.20473076615038407</c:v>
                </c:pt>
                <c:pt idx="15">
                  <c:v>0.22384913962859859</c:v>
                </c:pt>
                <c:pt idx="16">
                  <c:v>0.24759276325663387</c:v>
                </c:pt>
                <c:pt idx="17">
                  <c:v>0.28704464146116265</c:v>
                </c:pt>
                <c:pt idx="18">
                  <c:v>0.3399368499683687</c:v>
                </c:pt>
                <c:pt idx="19">
                  <c:v>0.35274499374119767</c:v>
                </c:pt>
                <c:pt idx="20">
                  <c:v>0.35274499374119767</c:v>
                </c:pt>
                <c:pt idx="21">
                  <c:v>0.38538822574775522</c:v>
                </c:pt>
                <c:pt idx="22">
                  <c:v>0.42012523395496548</c:v>
                </c:pt>
                <c:pt idx="23">
                  <c:v>0.453164009170065</c:v>
                </c:pt>
                <c:pt idx="24">
                  <c:v>0.48556684696743929</c:v>
                </c:pt>
                <c:pt idx="25">
                  <c:v>0.51744660124482023</c:v>
                </c:pt>
                <c:pt idx="26">
                  <c:v>0.51744660124482023</c:v>
                </c:pt>
                <c:pt idx="27">
                  <c:v>0.51744660124482023</c:v>
                </c:pt>
                <c:pt idx="28">
                  <c:v>0.53520996009027555</c:v>
                </c:pt>
                <c:pt idx="29">
                  <c:v>0.55384367133296819</c:v>
                </c:pt>
                <c:pt idx="30">
                  <c:v>0</c:v>
                </c:pt>
                <c:pt idx="31">
                  <c:v>0</c:v>
                </c:pt>
              </c:numCache>
            </c:numRef>
          </c:val>
          <c:smooth val="0"/>
          <c:extLst>
            <c:ext xmlns:c16="http://schemas.microsoft.com/office/drawing/2014/chart" uri="{C3380CC4-5D6E-409C-BE32-E72D297353CC}">
              <c16:uniqueId val="{0000000E-86C8-4D56-A97A-CB97DEEC47C8}"/>
            </c:ext>
          </c:extLst>
        </c:ser>
        <c:dLbls>
          <c:dLblPos val="ctr"/>
          <c:showLegendKey val="0"/>
          <c:showVal val="1"/>
          <c:showCatName val="0"/>
          <c:showSerName val="0"/>
          <c:showPercent val="0"/>
          <c:showBubbleSize val="0"/>
        </c:dLbls>
        <c:smooth val="0"/>
        <c:axId val="494068800"/>
        <c:axId val="494069344"/>
      </c:lineChart>
      <c:catAx>
        <c:axId val="494068800"/>
        <c:scaling>
          <c:orientation val="minMax"/>
        </c:scaling>
        <c:delete val="0"/>
        <c:axPos val="b"/>
        <c:majorGridlines>
          <c:spPr>
            <a:ln w="9525" cap="flat" cmpd="sng" algn="ctr">
              <a:solidFill>
                <a:schemeClr val="dk1">
                  <a:lumMod val="15000"/>
                  <a:lumOff val="85000"/>
                  <a:alpha val="54000"/>
                </a:schemeClr>
              </a:solidFill>
              <a:round/>
            </a:ln>
            <a:effectLst/>
          </c:spPr>
        </c:majorGridlines>
        <c:minorGridlines>
          <c:spPr>
            <a:ln w="9525" cap="flat" cmpd="sng" algn="ctr">
              <a:solidFill>
                <a:schemeClr val="dk1">
                  <a:lumMod val="15000"/>
                  <a:lumOff val="85000"/>
                  <a:alpha val="51000"/>
                </a:schemeClr>
              </a:solidFill>
              <a:round/>
            </a:ln>
            <a:effectLst/>
          </c:spPr>
        </c:minorGridlines>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s-PE"/>
                  <a:t>PLAZO DE EJECUCION (MESES)</a:t>
                </a:r>
              </a:p>
            </c:rich>
          </c:tx>
          <c:layout>
            <c:manualLayout>
              <c:xMode val="edge"/>
              <c:yMode val="edge"/>
              <c:x val="0.13911743500687268"/>
              <c:y val="0.96328893987589304"/>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s-PE"/>
            </a:p>
          </c:txPr>
        </c:title>
        <c:numFmt formatCode="dd/mm/yyyy" sourceLinked="0"/>
        <c:majorTickMark val="none"/>
        <c:minorTickMark val="none"/>
        <c:tickLblPos val="nextTo"/>
        <c:spPr>
          <a:noFill/>
          <a:ln w="9525" cap="flat" cmpd="sng" algn="ctr">
            <a:solidFill>
              <a:schemeClr val="dk1">
                <a:lumMod val="15000"/>
                <a:lumOff val="85000"/>
              </a:schemeClr>
            </a:solidFill>
            <a:round/>
          </a:ln>
          <a:effectLst/>
        </c:spPr>
        <c:txPr>
          <a:bodyPr rot="0" spcFirstLastPara="1" vertOverflow="ellipsis"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s-PE"/>
          </a:p>
        </c:txPr>
        <c:crossAx val="494069344"/>
        <c:crosses val="autoZero"/>
        <c:auto val="0"/>
        <c:lblAlgn val="ctr"/>
        <c:lblOffset val="100"/>
        <c:tickMarkSkip val="1"/>
        <c:noMultiLvlLbl val="0"/>
      </c:catAx>
      <c:valAx>
        <c:axId val="494069344"/>
        <c:scaling>
          <c:orientation val="minMax"/>
          <c:max val="1"/>
        </c:scaling>
        <c:delete val="0"/>
        <c:axPos val="l"/>
        <c:majorGridlines>
          <c:spPr>
            <a:ln w="9525" cap="flat" cmpd="sng" algn="ctr">
              <a:solidFill>
                <a:schemeClr val="dk1">
                  <a:lumMod val="15000"/>
                  <a:lumOff val="85000"/>
                  <a:alpha val="54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s-PE"/>
          </a:p>
        </c:txPr>
        <c:crossAx val="494068800"/>
        <c:crosses val="autoZero"/>
        <c:crossBetween val="midCat"/>
        <c:minorUnit val="2.1017752010891212E-3"/>
      </c:valAx>
      <c:spPr>
        <a:pattFill prst="ltDnDiag">
          <a:fgClr>
            <a:schemeClr val="dk1">
              <a:lumMod val="15000"/>
              <a:lumOff val="85000"/>
            </a:schemeClr>
          </a:fgClr>
          <a:bgClr>
            <a:schemeClr val="lt1"/>
          </a:bgClr>
        </a:pattFill>
        <a:ln>
          <a:noFill/>
        </a:ln>
        <a:effectLst/>
      </c:spPr>
    </c:plotArea>
    <c:legend>
      <c:legendPos val="b"/>
      <c:legendEntry>
        <c:idx val="0"/>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s-PE"/>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s-PE"/>
    </a:p>
  </c:txPr>
  <c:printSettings>
    <c:headerFooter alignWithMargins="0">
      <c:oddHeader>&amp;A</c:oddHeader>
      <c:oddFooter>Page &amp;P</c:oddFooter>
    </c:headerFooter>
    <c:pageMargins b="3.937007874015748E-2" l="3.937007874015748E-2" r="3.937007874015748E-2" t="3.937007874015748E-2" header="0.51181102362204722" footer="0.51181102362204722"/>
    <c:pageSetup paperSize="9" orientation="landscape"/>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5.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6.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7</xdr:col>
      <xdr:colOff>142875</xdr:colOff>
      <xdr:row>26</xdr:row>
      <xdr:rowOff>0</xdr:rowOff>
    </xdr:from>
    <xdr:to>
      <xdr:col>15</xdr:col>
      <xdr:colOff>47625</xdr:colOff>
      <xdr:row>26</xdr:row>
      <xdr:rowOff>0</xdr:rowOff>
    </xdr:to>
    <xdr:sp macro="" textlink="">
      <xdr:nvSpPr>
        <xdr:cNvPr id="2" name="Text Box 1">
          <a:extLst>
            <a:ext uri="{FF2B5EF4-FFF2-40B4-BE49-F238E27FC236}">
              <a16:creationId xmlns:a16="http://schemas.microsoft.com/office/drawing/2014/main" id="{00000000-0008-0000-0800-000002000000}"/>
            </a:ext>
          </a:extLst>
        </xdr:cNvPr>
        <xdr:cNvSpPr txBox="1">
          <a:spLocks noChangeArrowheads="1"/>
        </xdr:cNvSpPr>
      </xdr:nvSpPr>
      <xdr:spPr bwMode="auto">
        <a:xfrm>
          <a:off x="2460625" y="4057650"/>
          <a:ext cx="2298700" cy="0"/>
        </a:xfrm>
        <a:prstGeom prst="rect">
          <a:avLst/>
        </a:prstGeom>
        <a:noFill/>
        <a:ln w="9525">
          <a:noFill/>
          <a:miter lim="800000"/>
          <a:headEnd/>
          <a:tailEnd/>
        </a:ln>
      </xdr:spPr>
      <xdr:txBody>
        <a:bodyPr vertOverflow="clip" wrap="square" lIns="27432" tIns="22860" rIns="27432" bIns="22860" anchor="ctr" upright="1"/>
        <a:lstStyle/>
        <a:p>
          <a:pPr algn="ctr" rtl="0">
            <a:defRPr sz="1000"/>
          </a:pPr>
          <a:r>
            <a:rPr lang="es-ES" sz="800" b="0" i="0" strike="noStrike">
              <a:solidFill>
                <a:srgbClr val="000000"/>
              </a:solidFill>
              <a:latin typeface="Swis721 BT"/>
            </a:rPr>
            <a:t>(Incluye Modificaciones)</a:t>
          </a:r>
        </a:p>
      </xdr:txBody>
    </xdr:sp>
    <xdr:clientData/>
  </xdr:twoCellAnchor>
  <xdr:twoCellAnchor>
    <xdr:from>
      <xdr:col>7</xdr:col>
      <xdr:colOff>133350</xdr:colOff>
      <xdr:row>26</xdr:row>
      <xdr:rowOff>0</xdr:rowOff>
    </xdr:from>
    <xdr:to>
      <xdr:col>15</xdr:col>
      <xdr:colOff>38100</xdr:colOff>
      <xdr:row>26</xdr:row>
      <xdr:rowOff>0</xdr:rowOff>
    </xdr:to>
    <xdr:sp macro="" textlink="">
      <xdr:nvSpPr>
        <xdr:cNvPr id="3" name="Text Box 2">
          <a:extLst>
            <a:ext uri="{FF2B5EF4-FFF2-40B4-BE49-F238E27FC236}">
              <a16:creationId xmlns:a16="http://schemas.microsoft.com/office/drawing/2014/main" id="{00000000-0008-0000-0800-000003000000}"/>
            </a:ext>
          </a:extLst>
        </xdr:cNvPr>
        <xdr:cNvSpPr txBox="1">
          <a:spLocks noChangeArrowheads="1"/>
        </xdr:cNvSpPr>
      </xdr:nvSpPr>
      <xdr:spPr bwMode="auto">
        <a:xfrm>
          <a:off x="2451100" y="4057650"/>
          <a:ext cx="2298700" cy="0"/>
        </a:xfrm>
        <a:prstGeom prst="rect">
          <a:avLst/>
        </a:prstGeom>
        <a:noFill/>
        <a:ln w="9525">
          <a:noFill/>
          <a:miter lim="800000"/>
          <a:headEnd/>
          <a:tailEnd/>
        </a:ln>
      </xdr:spPr>
      <xdr:txBody>
        <a:bodyPr vertOverflow="clip" wrap="square" lIns="27432" tIns="22860" rIns="27432" bIns="22860" anchor="ctr" upright="1"/>
        <a:lstStyle/>
        <a:p>
          <a:pPr algn="ctr" rtl="0">
            <a:defRPr sz="1000"/>
          </a:pPr>
          <a:r>
            <a:rPr lang="es-ES" sz="800" b="0" i="0" strike="noStrike">
              <a:solidFill>
                <a:srgbClr val="000000"/>
              </a:solidFill>
              <a:latin typeface="Swis721 BT"/>
            </a:rPr>
            <a:t>(Incluye Modificaciones)</a:t>
          </a: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1</xdr:col>
      <xdr:colOff>200025</xdr:colOff>
      <xdr:row>13</xdr:row>
      <xdr:rowOff>76200</xdr:rowOff>
    </xdr:from>
    <xdr:ext cx="9241631" cy="7191375"/>
    <xdr:graphicFrame macro="">
      <xdr:nvGraphicFramePr>
        <xdr:cNvPr id="2" name="Chart 1">
          <a:extLst>
            <a:ext uri="{FF2B5EF4-FFF2-40B4-BE49-F238E27FC236}">
              <a16:creationId xmlns:a16="http://schemas.microsoft.com/office/drawing/2014/main" id="{00000000-0008-0000-0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oneCellAnchor>
    <xdr:from>
      <xdr:col>1</xdr:col>
      <xdr:colOff>200025</xdr:colOff>
      <xdr:row>13</xdr:row>
      <xdr:rowOff>76200</xdr:rowOff>
    </xdr:from>
    <xdr:ext cx="9241631" cy="7191375"/>
    <xdr:graphicFrame macro="">
      <xdr:nvGraphicFramePr>
        <xdr:cNvPr id="3" name="Chart 1">
          <a:extLst>
            <a:ext uri="{FF2B5EF4-FFF2-40B4-BE49-F238E27FC236}">
              <a16:creationId xmlns:a16="http://schemas.microsoft.com/office/drawing/2014/main" id="{00000000-0008-0000-0D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9</xdr:col>
          <xdr:colOff>638175</xdr:colOff>
          <xdr:row>0</xdr:row>
          <xdr:rowOff>104775</xdr:rowOff>
        </xdr:from>
        <xdr:to>
          <xdr:col>10</xdr:col>
          <xdr:colOff>838200</xdr:colOff>
          <xdr:row>6</xdr:row>
          <xdr:rowOff>104775</xdr:rowOff>
        </xdr:to>
        <xdr:sp macro="" textlink="">
          <xdr:nvSpPr>
            <xdr:cNvPr id="35841" name="Object 1" hidden="1">
              <a:extLst>
                <a:ext uri="{63B3BB69-23CF-44E3-9099-C40C66FF867C}">
                  <a14:compatExt spid="_x0000_s35841"/>
                </a:ext>
                <a:ext uri="{FF2B5EF4-FFF2-40B4-BE49-F238E27FC236}">
                  <a16:creationId xmlns:a16="http://schemas.microsoft.com/office/drawing/2014/main" id="{00000000-0008-0000-2300-0000018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10</xdr:col>
          <xdr:colOff>0</xdr:colOff>
          <xdr:row>0</xdr:row>
          <xdr:rowOff>104775</xdr:rowOff>
        </xdr:from>
        <xdr:to>
          <xdr:col>10</xdr:col>
          <xdr:colOff>790575</xdr:colOff>
          <xdr:row>6</xdr:row>
          <xdr:rowOff>0</xdr:rowOff>
        </xdr:to>
        <xdr:sp macro="" textlink="">
          <xdr:nvSpPr>
            <xdr:cNvPr id="36865" name="Object 1" hidden="1">
              <a:extLst>
                <a:ext uri="{63B3BB69-23CF-44E3-9099-C40C66FF867C}">
                  <a14:compatExt spid="_x0000_s36865"/>
                </a:ext>
                <a:ext uri="{FF2B5EF4-FFF2-40B4-BE49-F238E27FC236}">
                  <a16:creationId xmlns:a16="http://schemas.microsoft.com/office/drawing/2014/main" id="{00000000-0008-0000-2400-0000019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oneCellAnchor>
    <xdr:from>
      <xdr:col>17</xdr:col>
      <xdr:colOff>57150</xdr:colOff>
      <xdr:row>159</xdr:row>
      <xdr:rowOff>123825</xdr:rowOff>
    </xdr:from>
    <xdr:ext cx="5866667" cy="304762"/>
    <xdr:pic>
      <xdr:nvPicPr>
        <xdr:cNvPr id="2" name="Imagen 1">
          <a:extLst>
            <a:ext uri="{FF2B5EF4-FFF2-40B4-BE49-F238E27FC236}">
              <a16:creationId xmlns:a16="http://schemas.microsoft.com/office/drawing/2014/main" id="{00000000-0008-0000-2500-000002000000}"/>
            </a:ext>
          </a:extLst>
        </xdr:cNvPr>
        <xdr:cNvPicPr>
          <a:picLocks noChangeAspect="1"/>
        </xdr:cNvPicPr>
      </xdr:nvPicPr>
      <xdr:blipFill>
        <a:blip xmlns:r="http://schemas.openxmlformats.org/officeDocument/2006/relationships" r:embed="rId1"/>
        <a:stretch>
          <a:fillRect/>
        </a:stretch>
      </xdr:blipFill>
      <xdr:spPr>
        <a:xfrm>
          <a:off x="13773150" y="30413325"/>
          <a:ext cx="5866667" cy="304762"/>
        </a:xfrm>
        <a:prstGeom prst="rect">
          <a:avLst/>
        </a:prstGeom>
      </xdr:spPr>
    </xdr:pic>
    <xdr:clientData/>
  </xdr:oneCellAnchor>
  <xdr:oneCellAnchor>
    <xdr:from>
      <xdr:col>18</xdr:col>
      <xdr:colOff>57150</xdr:colOff>
      <xdr:row>159</xdr:row>
      <xdr:rowOff>123825</xdr:rowOff>
    </xdr:from>
    <xdr:ext cx="5866667" cy="304762"/>
    <xdr:pic>
      <xdr:nvPicPr>
        <xdr:cNvPr id="3" name="Imagen 2">
          <a:extLst>
            <a:ext uri="{FF2B5EF4-FFF2-40B4-BE49-F238E27FC236}">
              <a16:creationId xmlns:a16="http://schemas.microsoft.com/office/drawing/2014/main" id="{00000000-0008-0000-2500-000003000000}"/>
            </a:ext>
          </a:extLst>
        </xdr:cNvPr>
        <xdr:cNvPicPr>
          <a:picLocks noChangeAspect="1"/>
        </xdr:cNvPicPr>
      </xdr:nvPicPr>
      <xdr:blipFill>
        <a:blip xmlns:r="http://schemas.openxmlformats.org/officeDocument/2006/relationships" r:embed="rId1"/>
        <a:stretch>
          <a:fillRect/>
        </a:stretch>
      </xdr:blipFill>
      <xdr:spPr>
        <a:xfrm>
          <a:off x="18335625" y="19411950"/>
          <a:ext cx="5866667" cy="304762"/>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PC01\Slave\DEP\27pse-OECF-II\SPres-resumen\Pr-21\RpCHI.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Documents%20and%20Settings\saul\Mis%20documentos\Downloads\VALORIZACIONES\DEP\27pse-OECF-II\SPres-resumen\Pr-21\RpCHI.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LINUXFS\pproceso\Dep-2004-Estudios\PSE%20Huancan&#233;\Informe-04-05locl\PARTE1.LP\V2-METR.PRE\DEP\27pse-OECF-II\SPres-resumen\Pr-21\RpCHI.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Anta03\c\Mis%20documentos\Mis%20documentos\Mollepata\Pacobamba\SOCTAeje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Anta03\c\Mis%20documentos\Mis%20documentos\Mollepata\RONALD\ALT-PREC.WQ1"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G:\Documents%20and%20Settings\saul\Mis%20documentos\Downloads\VALORIZACIONES\CGV\GESTION%202002\PPTO-2002\DECRETO%20DE%20URGENCIA\PSE%20SANDIA%20II\DEP\27pse-OECF-II\SPres-resumen\Pr-21\RpCHI.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H:\Users\USER\AppData\Local\Microsoft\Windows\Temporary%20Internet%20Files\Content.IE5\PR6GM1W6\PRACTICA%20PARA%20LIQUIDACION%20DE%20OBRA2.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Pc03\M@XNET%20(D)\DEP\27pse-OECF-II\SPres-resumen\Pr-21\RpCHI.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Kevin/Desktop/COL.SANTA%20ROSA/Expediente%20definitivo%20I.E%20Santa%20Rosa%20SNIP%20167720%20-%201ER%20TOMO%20ACTUALIZADO%20-%20DICIEMBRE/11.%20Metrados/Estructuras/E02.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D:\TRABAJO\SANTA%20ROSA\EXPEDIENTE%20TECNICO%20SANTA%20ROSA\Expediente%20definitivo%20I.E%20Santa%20Rosa%20SNIP%20167720%20-%201ER%20TOMO%20ACTUALIZADO%20-%20DICIEMBRE\11.%20Metrados\Estructuras\E09.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D:\EXPEDIENTE%20COLEGIO%20SANTA%20ROSA\SANTA%20ROSA%20ADM.DIRECTA\11.%20Metrados\Estructuras\adicional%20metrados%20bloque%20E%2005.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Users/Kevin/Desktop/COL.SANTA%20ROSA/Expediente%20definitivo%20I.E%20Santa%20Rosa%20SNIP%20167720%20-%201ER%20TOMO%20ACTUALIZADO%20-%20DICIEMBRE/11.%20Metrados/Estructuras/E10.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D:\Carpeta%20de%20Windows\Desktop\SANTA%20ROSA\EXPEDIENTE%20TECNICO%20SANTA%20ROSA\Expediente%20definitivo%20I.E%20Santa%20Rosa%20SNIP%20167720%20-%201ER%20TOMO%20ACTUALIZADO%20-%20DICIEMBRE\11.%20Metrados\Estructuras\E01.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D:\Users\Admin\Desktop\modelo%20valorizacion\INFORME%20MENSUAL%20ENERO.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1.8%20Proyectos%20CEM%20S.A.C\1.0%20Supervision%20Yuracmayo\17.6%20Informe%20Abril%202011\formato%20para%20fredy.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A:\Mis%20documentos\MABEL\LIMATAMBO\Otros\Anasis%20de%20Sobrecostos\Mis%20documentos\Mis%20documentos\Mollepata\Pacobamba\SOCTAeje0.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A:\ING.MAGOG\AREQUIPA\CONFORMACION%20FRANJAS%20LATERALES\ING.MIRANDA\AYACUCHO\AD074-98-METRA%20V1.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A:\Mis%20documentos\Mis%20documentos\Mollepata\RONALD\ALT-PREC.WQ1"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A:\Mis%20documentos\Mis%20documentos\Mollepata\Pacobamba\SOCTAeje0.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Users/Admin/Desktop/modelo%20valorizacion/INFORME%20MENSUAL%20ENERO.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Pc01\c\ZOF%20-%20ARCHIVOS\LP%20-%20019-%20CONSORCIO%20JP-PGA\ADIC%2006-DED%2004\Presupuesto.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LINUXFS\pproceso\Dep-2004-Estudios\PSE%20Huancan&#233;\Informe-04-05locl\PARTE1.LP\V2-METR.PRE\Jimbe-Pamparomas%20II%20Etapa\PRIMARIA\VOLUMEN%20II\RP_JIMBE2.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G:\EXPED.%20TECNICO%20PISTAS%20Y%20VEREDAS%20AV.%20PERU%20-%20FINAL\Planilla%20Metrados%20por%20Tramos\METRADO%20ESTRIBO%20C&#186;A&#186;.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Jusa\samuel\tabaconas\Vol-ii\PRES-RP-TABA-FEBRERO.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Licitaciones\c\CARRETERA\PUQUIO\Valorizacion\Valorizacion%2011.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Maq14\c\C\MEM\DEP\RP_JIMBE2.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D:\Users\JOHN%20EDISON\Desktop\ESCRITORIO%20LENOVO\OBRA%20DE%20PICHIUCA\INFORMES%20MENSUALES%20DE%20OBRA\INFORMES%20MENSUALES%20-%20FIRME\03.%20INFORME%20PICHIUCA%20JUNIO%202017\01.%20VAL.%20PICHIUCA%20JUNIO%202017.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I:\VALORIZACIONES%202021\3%20MARZO%202021\VALORIZ.%20CONTRACTUAL%2023.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D:\1.3%20%20PROYECTOS%20ANNY\1%20A&#209;O%202021\05%20OBRA%20SANTA%20ROSA\INFORMES%20MENSUALES\12%20DICIEMBRE_2021\FINANCIERO%20DICIEMBRE_PY%20SANTA%20ROSA.xlsx"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Users/PERU2020/Dropbox/Mi%20PC%20(DESKTOP-FHBH26P)/Downloads/FINANCIERO%20OCTUBRE%20OK.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D:\1.3%20%20PROYECTOS%20ANNY\1%20A&#209;O%202021\05%20OBRA%20SANTA%20ROSA\INFORMES%20MENSUALES\12%20DICIEMBRE_2021\FINANCIERO%20DICIEMBRE_MODIFICADO_ULTIMO.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D:\1.3%20%20PROYECTOS%20ANNY\1%20A&#209;O%202021\05%20OBRA%20SANTA%20ROSA\INFORMES%20MENSUALES\12%20DICIEMBRE_2021\METRADOS\METRADOS%20ARQUITECTURA%20PROGRAMADO%20NOVIEMBRE%202021_ultimo.xlsx"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D:\1.3%20%20PROYECTOS%20ANNY\1%20A&#209;O%202021\05%20OBRA%20SANTA%20ROSA\INFORMES%20MENSUALES\12%20DICIEMBRE_2021\METRADOS\ISNTALACIONES%20SANITARIAS.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Users/PERU2020/Dropbox/Mi%20PC%20(DESKTOP-FHBH26P)/Downloads/VALORIZACION%20NOVIEMBRE_METRADO%20_ELECTRICAS.xlsx"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D:\1.3%20%20PROYECTOS%20ANNY\1%20A&#209;O%202021\05%20OBRA%20SANTA%20ROSA\INFORMES%20MENSUALES\12%20DICIEMBRE_2021\METRADOS\valorizacion%20especiales%20SANTA%20ROSA%202021%20NOVIEMBRE.xlsx"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D:\Users\USUARI0\Downloads\3.%20VALORIZACION%20MENSUAL%20N&#176;%2013%20MARZO%202021,%20TRELLES%20(1).xlsx"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D:\EXPEDIENTE%20COLEGIO%20SANTA%20ROSA\VALORIZACIONES\VALORIZACIONES%202021\4%20ABRIL%202021\01.%20VAL.%20SANTA%20ROSA%20ABRIL%202021%20ACTUALIZADO.xlsx"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D:\1.3%20%20PROYECTOS%20ANNY\1%20A&#209;O%202021\05%20OBRA%20SANTA%20ROSA\CRONOGRAMAS\CRONOGRAMA%20VALORIZADO%20OCTUBRE%202021%20GENERAL.xlsx"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Users/PERU2020/Dropbox/Mi%20PC%20(DESKTOP-FHBH26P)/Downloads/VALORIZACION%20NOVIEMBRE%202021_PY%20SANTA%20ROSA_04_12.xlsx"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D:\OBRAS\0BRAS%202019\PROYECTO%20SANTA%20ROSA\INFORMES\INFIRME%20SEPTIEMBRE\INFORMES\INFORME%20N&#176;03%20JULIO\COL.SANTA%20ROSA\01.%20VAL.%20SANTA%20NROSA%20JULIO%20ultimo.xlsx"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D:\1.3%20%20PROYECTOS%20ANNY\1%20A&#209;O%202021\05%20OBRA%20SANTA%20ROSA\CRONOGRAMAS\CRONOGRAMA%20VALORIZADO%20OCTUBRE%202021%20GENERAL_KEVIN.xlsx"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D:\FORMATOS%20DE%20SUPERVISION%20-%201ER%20INFORME\01.%20VAL.%20SANTA%20ROSA%20JUNIO%20(1).xlsx"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D:\Users\JOHN%20EDISON\Desktop\ESCRITORIO%20LENOVO\OBRA%20DE%20PICHIUCA\INFORMES%20MENSUALES%20DE%20OBRA\INFORMES%20MENSUALES%20-%20FIRME\4.0%20INFORME%20MENSUAL%20PICHIUCA%20JULIO%202017\01.%20VAL.%20PICHIUCA%20JULIO%202017.xlsx"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D:\1.3%20%20PROYECTOS%20ANNY\1%20A&#209;O%202021\05%20OBRA%20SANTA%20ROSA\INFORMES%20MENSUALES\12%20DICIEMBRE_2021\METRADOS\VOLORIZACION%20DICIEMNBRE_ELECTRICAS.xlsx"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D:\1.3%20%20PROYECTOS%20ANNY\1%20A&#209;O%202021\05%20OBRA%20SANTA%20ROSA\INFORMES%20MENSUALES\12%20DICIEMBRE_2021\METRADOS\METRADOS%20ARQUITECTURA%20PROGRAMADO%20DICIEMBRE%202021.xlsx"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D:\1.3%20%20PROYECTOS%20ANNY\1%20A&#209;O%202021\05%20OBRA%20SANTA%20ROSA\INFORMES%20MENSUALES\12%20DICIEMBRE_2021\METRADOS\Metrado%20Diciembre%202021_ESTRUCTURAS.xlsx"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D:\Users\JOHN%20EDISON\Desktop\ESCRITORIO%20LENOVO\OBRA%20DE%20PICHIUCA\INFORMES%20MENSUALES%20DE%20OBRA%20-%20PICHIUCA\INFORMES%20MENSUALES%20-%20FIRME\7.0%20INFORME%20MENSUAL%20PICHIUCA%20OCTUBRE%202017\01.%20VAL.%20PICHIUCA%20OCTUBRE%202017.xlsx"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D:\Users\userr\Downloads\JEAN-7\VALORIZACI&#211;N%20OCTUBRE%20LUCUCHANGA\METRADOS\OCTUBRE\ESTRUCTURA%20BLOQUE%2005.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7E1421DD\01.%20VALORIZACION%20CORTE%20JULIO.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DD20BFEE\01.%20GANTT%20Y%20VALORIZADO.xlsx"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D:\OBRAS\0BRAS%202019\PROYECTO%20SANTA%20ROSA\INFORMES\INFIRME%20SEPTIEMBRE\ABEL%202015\08.%20GOBIERNO%20REGIONAL%20APURIMAC\CRONOGRAMA%20VALORIZADO%20PACHAN.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s>
    <sheetDataSet>
      <sheetData sheetId="0" refreshError="1"/>
      <sheetData sheetId="1"/>
      <sheetData sheetId="2"/>
      <sheetData sheetId="3"/>
      <sheetData sheetId="4"/>
      <sheetData sheetId="5"/>
      <sheetData sheetId="6"/>
      <sheetData sheetId="7"/>
      <sheetData sheetId="8"/>
      <sheetData sheetId="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s>
    <sheetDataSet>
      <sheetData sheetId="0" refreshError="1"/>
      <sheetData sheetId="1"/>
      <sheetData sheetId="2"/>
      <sheetData sheetId="3"/>
      <sheetData sheetId="4"/>
      <sheetData sheetId="5"/>
      <sheetData sheetId="6"/>
      <sheetData sheetId="7"/>
      <sheetData sheetId="8"/>
      <sheetData sheetId="9"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 val="__REF"/>
      <sheetName val="E-4 P"/>
      <sheetName val="A"/>
      <sheetName val="ARMADOS"/>
      <sheetName val="BASE"/>
      <sheetName val="Datos"/>
      <sheetName val="Dat"/>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Unit-op-cartel"/>
      <sheetName val="Uni-Arm"/>
      <sheetName val="Unit-ret"/>
      <sheetName val="Unit-conduct"/>
      <sheetName val="Unit-patoral"/>
      <sheetName val="Unit-tierra"/>
      <sheetName val="Unit-acom"/>
      <sheetName val="Unt-prueb"/>
      <sheetName val="Complementario"/>
      <sheetName val="Resumen-tipo &quot;B&quot;"/>
      <sheetName val="Montaje"/>
      <sheetName val="Principal"/>
      <sheetName val="Transporte"/>
      <sheetName val="PLANILLAS FORMATEADAS"/>
      <sheetName val="CONFIGURACIÓN"/>
      <sheetName val="CONTEO DE DATOS"/>
      <sheetName val="RESUMEN DE PARTIDAS"/>
      <sheetName val="DATOS DE CAMPO"/>
      <sheetName val="Hoja1"/>
      <sheetName val="Hoja2"/>
      <sheetName val="Hoja3"/>
      <sheetName val="Mont 02"/>
      <sheetName val="OC 02."/>
    </sheetNames>
    <sheetDataSet>
      <sheetData sheetId="0" refreshError="1"/>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sheetData sheetId="78"/>
      <sheetData sheetId="79" refreshError="1"/>
      <sheetData sheetId="8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RIPA"/>
      <sheetName val="ANTABAMB"/>
      <sheetName val="CHALHUAN"/>
      <sheetName val="CURAHUASI"/>
      <sheetName val="ABANCAY"/>
      <sheetName val="SOCTA2"/>
      <sheetName val="PACO"/>
      <sheetName val="PRECIP"/>
      <sheetName val="FACTORES"/>
      <sheetName val="PUMAORCCO"/>
      <sheetName val="SONDORF"/>
      <sheetName val="RESUMEN"/>
      <sheetName val="APORTES"/>
      <sheetName val="AVAN-FISI-FINAN"/>
      <sheetName val="GASTADMIN"/>
      <sheetName val="EJECPRESUP"/>
      <sheetName val="MATERIAL"/>
      <sheetName val="EQUIPO"/>
      <sheetName val="P-DIREC-INDIREC"/>
      <sheetName val="PERSON"/>
      <sheetName val="PARIPASU"/>
      <sheetName val="COMPARA-INSU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row r="3">
          <cell r="A3" t="str">
            <v xml:space="preserve">CUADRO  DE EMPLEO DE MATERIALES </v>
          </cell>
        </row>
        <row r="4">
          <cell r="A4" t="str">
            <v>PROYECTO   :  IRRIGACION LIMATAMBO</v>
          </cell>
        </row>
        <row r="5">
          <cell r="A5" t="str">
            <v>SISTEMA : LECHERIA</v>
          </cell>
          <cell r="C5" t="str">
            <v>CANAL: PUMAORCCO - HUERTA ALTA</v>
          </cell>
        </row>
        <row r="6">
          <cell r="D6" t="str">
            <v>MOVIMIENTO EN ALMACEN</v>
          </cell>
          <cell r="G6" t="str">
            <v>EGRESOS</v>
          </cell>
          <cell r="K6" t="str">
            <v>EGRESOS POR PARTIDAS MES ACTUAL</v>
          </cell>
        </row>
        <row r="7">
          <cell r="D7" t="str">
            <v>SALDO</v>
          </cell>
          <cell r="E7" t="str">
            <v xml:space="preserve">INGRESOS </v>
          </cell>
          <cell r="F7"/>
          <cell r="G7" t="str">
            <v xml:space="preserve">AL </v>
          </cell>
          <cell r="H7"/>
          <cell r="I7"/>
          <cell r="J7"/>
          <cell r="K7" t="str">
            <v>I</v>
          </cell>
          <cell r="L7" t="str">
            <v>II</v>
          </cell>
          <cell r="M7" t="str">
            <v>III</v>
          </cell>
          <cell r="N7" t="str">
            <v>IV</v>
          </cell>
          <cell r="O7" t="str">
            <v>VI</v>
          </cell>
          <cell r="P7" t="str">
            <v>VII</v>
          </cell>
          <cell r="Q7" t="str">
            <v>VIII</v>
          </cell>
          <cell r="R7" t="str">
            <v>IX</v>
          </cell>
        </row>
        <row r="8">
          <cell r="A8" t="str">
            <v>CODIGO</v>
          </cell>
          <cell r="B8" t="str">
            <v>MATERIALES</v>
          </cell>
          <cell r="C8" t="str">
            <v>UND</v>
          </cell>
          <cell r="D8" t="str">
            <v xml:space="preserve">AL MES </v>
          </cell>
          <cell r="E8" t="str">
            <v>EN  EL</v>
          </cell>
          <cell r="F8" t="str">
            <v>SALDO</v>
          </cell>
          <cell r="G8" t="str">
            <v>MES</v>
          </cell>
          <cell r="H8" t="str">
            <v>MES</v>
          </cell>
          <cell r="I8" t="str">
            <v>ACUM.</v>
          </cell>
          <cell r="J8" t="str">
            <v>MES</v>
          </cell>
          <cell r="K8" t="str">
            <v>OBRAS</v>
          </cell>
          <cell r="L8" t="str">
            <v>CAPTA-</v>
          </cell>
          <cell r="M8" t="str">
            <v>CANAL</v>
          </cell>
          <cell r="N8" t="str">
            <v xml:space="preserve">CANAL </v>
          </cell>
          <cell r="O8" t="str">
            <v>O. ARTE</v>
          </cell>
          <cell r="P8" t="str">
            <v>O.ARTE</v>
          </cell>
          <cell r="Q8" t="str">
            <v>OBRAS DE</v>
          </cell>
          <cell r="R8" t="str">
            <v>TRANSP</v>
          </cell>
        </row>
        <row r="9">
          <cell r="D9" t="str">
            <v>ANTERIOR</v>
          </cell>
          <cell r="E9" t="str">
            <v xml:space="preserve">MES </v>
          </cell>
          <cell r="F9" t="str">
            <v>ACTUAL</v>
          </cell>
          <cell r="G9" t="str">
            <v>ANTERIOR</v>
          </cell>
          <cell r="H9" t="str">
            <v>ACTUAL</v>
          </cell>
          <cell r="I9" t="str">
            <v>TOTAL</v>
          </cell>
          <cell r="J9" t="str">
            <v>ACTUAL</v>
          </cell>
          <cell r="K9" t="str">
            <v>PRELIMI</v>
          </cell>
          <cell r="L9" t="str">
            <v>CIONES</v>
          </cell>
          <cell r="M9" t="str">
            <v>PRINCIP</v>
          </cell>
          <cell r="N9" t="str">
            <v>LATERAL</v>
          </cell>
          <cell r="O9" t="str">
            <v xml:space="preserve"> STANDARD</v>
          </cell>
          <cell r="P9" t="str">
            <v>ESPECIAL</v>
          </cell>
          <cell r="Q9" t="str">
            <v>SOSTENIM</v>
          </cell>
        </row>
        <row r="10">
          <cell r="A10" t="str">
            <v>65.11.22</v>
          </cell>
          <cell r="B10" t="str">
            <v>VESTUARIO</v>
          </cell>
        </row>
        <row r="11">
          <cell r="B11" t="str">
            <v>Botas de jebe caña alta</v>
          </cell>
          <cell r="C11" t="str">
            <v>Pares</v>
          </cell>
          <cell r="D11">
            <v>0</v>
          </cell>
          <cell r="E11">
            <v>50</v>
          </cell>
          <cell r="F11">
            <v>0</v>
          </cell>
          <cell r="G11">
            <v>40</v>
          </cell>
          <cell r="H11">
            <v>50</v>
          </cell>
          <cell r="I11">
            <v>90</v>
          </cell>
          <cell r="J11">
            <v>50</v>
          </cell>
          <cell r="L11">
            <v>8</v>
          </cell>
          <cell r="M11">
            <v>27</v>
          </cell>
          <cell r="O11">
            <v>15</v>
          </cell>
        </row>
        <row r="12">
          <cell r="B12" t="str">
            <v>Cascos de protección</v>
          </cell>
          <cell r="C12" t="str">
            <v>Und.</v>
          </cell>
          <cell r="D12">
            <v>0</v>
          </cell>
          <cell r="E12">
            <v>80</v>
          </cell>
          <cell r="F12">
            <v>17</v>
          </cell>
          <cell r="G12">
            <v>18</v>
          </cell>
          <cell r="H12">
            <v>63</v>
          </cell>
          <cell r="I12">
            <v>81</v>
          </cell>
          <cell r="J12">
            <v>63</v>
          </cell>
          <cell r="L12">
            <v>12</v>
          </cell>
          <cell r="M12">
            <v>33</v>
          </cell>
          <cell r="O12">
            <v>18</v>
          </cell>
        </row>
        <row r="13">
          <cell r="B13" t="str">
            <v>Guantes de jebe</v>
          </cell>
          <cell r="C13" t="str">
            <v>Pares</v>
          </cell>
          <cell r="D13">
            <v>58</v>
          </cell>
          <cell r="F13">
            <v>53</v>
          </cell>
          <cell r="G13">
            <v>32</v>
          </cell>
          <cell r="H13">
            <v>5</v>
          </cell>
          <cell r="I13">
            <v>37</v>
          </cell>
          <cell r="J13">
            <v>5</v>
          </cell>
          <cell r="L13">
            <v>2</v>
          </cell>
          <cell r="O13">
            <v>3</v>
          </cell>
        </row>
        <row r="14">
          <cell r="B14" t="str">
            <v>Guantes de cuero reforzado</v>
          </cell>
          <cell r="C14" t="str">
            <v>Pares</v>
          </cell>
          <cell r="D14">
            <v>16</v>
          </cell>
          <cell r="F14">
            <v>11</v>
          </cell>
          <cell r="G14">
            <v>74</v>
          </cell>
          <cell r="H14">
            <v>5</v>
          </cell>
          <cell r="I14">
            <v>79</v>
          </cell>
          <cell r="J14">
            <v>5</v>
          </cell>
          <cell r="L14">
            <v>1</v>
          </cell>
          <cell r="M14">
            <v>2</v>
          </cell>
          <cell r="O14">
            <v>2</v>
          </cell>
        </row>
        <row r="15">
          <cell r="B15" t="str">
            <v>Poncho impermeable con estuche</v>
          </cell>
          <cell r="C15" t="str">
            <v>Und.</v>
          </cell>
          <cell r="D15">
            <v>0</v>
          </cell>
          <cell r="F15">
            <v>0</v>
          </cell>
          <cell r="G15">
            <v>2</v>
          </cell>
          <cell r="I15">
            <v>2</v>
          </cell>
          <cell r="J15">
            <v>0</v>
          </cell>
        </row>
        <row r="17">
          <cell r="A17" t="str">
            <v>65.11.23</v>
          </cell>
          <cell r="B17" t="str">
            <v>COMBUST. LUBRIC. Y CARB.</v>
          </cell>
        </row>
        <row r="18">
          <cell r="B18" t="str">
            <v>Gasolina de 84 octanos</v>
          </cell>
          <cell r="C18" t="str">
            <v>Gln</v>
          </cell>
          <cell r="D18">
            <v>66.5</v>
          </cell>
          <cell r="E18">
            <v>161</v>
          </cell>
          <cell r="F18">
            <v>20.5</v>
          </cell>
          <cell r="G18">
            <v>1290</v>
          </cell>
          <cell r="H18">
            <v>207</v>
          </cell>
          <cell r="I18">
            <v>1497</v>
          </cell>
          <cell r="J18">
            <v>207</v>
          </cell>
          <cell r="K18">
            <v>10</v>
          </cell>
          <cell r="L18">
            <v>10</v>
          </cell>
          <cell r="M18">
            <v>25</v>
          </cell>
          <cell r="O18">
            <v>15</v>
          </cell>
        </row>
        <row r="19">
          <cell r="B19" t="str">
            <v>Gasolina de 90 octanos</v>
          </cell>
          <cell r="C19" t="str">
            <v>Gln</v>
          </cell>
          <cell r="D19">
            <v>12</v>
          </cell>
          <cell r="E19">
            <v>20</v>
          </cell>
          <cell r="F19">
            <v>18</v>
          </cell>
          <cell r="G19">
            <v>56</v>
          </cell>
          <cell r="H19">
            <v>14</v>
          </cell>
          <cell r="I19">
            <v>70</v>
          </cell>
          <cell r="J19">
            <v>14</v>
          </cell>
          <cell r="M19">
            <v>14</v>
          </cell>
        </row>
        <row r="20">
          <cell r="B20" t="str">
            <v>Petróleo Diesel</v>
          </cell>
          <cell r="C20" t="str">
            <v>Gln</v>
          </cell>
          <cell r="D20">
            <v>379</v>
          </cell>
          <cell r="E20">
            <v>330</v>
          </cell>
          <cell r="F20">
            <v>330</v>
          </cell>
          <cell r="G20">
            <v>3593</v>
          </cell>
          <cell r="H20">
            <v>379</v>
          </cell>
          <cell r="I20">
            <v>3972</v>
          </cell>
          <cell r="J20">
            <v>379</v>
          </cell>
          <cell r="K20">
            <v>93</v>
          </cell>
          <cell r="L20">
            <v>25</v>
          </cell>
          <cell r="M20">
            <v>28</v>
          </cell>
          <cell r="O20">
            <v>85</v>
          </cell>
        </row>
        <row r="21">
          <cell r="B21" t="str">
            <v>Aceite Grado 30 gasolinero</v>
          </cell>
          <cell r="C21" t="str">
            <v>Gln</v>
          </cell>
          <cell r="F21">
            <v>0</v>
          </cell>
          <cell r="G21">
            <v>3</v>
          </cell>
          <cell r="I21">
            <v>3</v>
          </cell>
          <cell r="J21">
            <v>0</v>
          </cell>
        </row>
        <row r="22">
          <cell r="B22" t="str">
            <v>Aceite Grado 40 gasolinero</v>
          </cell>
          <cell r="C22" t="str">
            <v>Gln</v>
          </cell>
          <cell r="D22">
            <v>6.5</v>
          </cell>
          <cell r="F22">
            <v>5</v>
          </cell>
          <cell r="G22">
            <v>8.5</v>
          </cell>
          <cell r="H22">
            <v>1.5</v>
          </cell>
          <cell r="I22">
            <v>10</v>
          </cell>
          <cell r="J22">
            <v>1.5</v>
          </cell>
        </row>
        <row r="23">
          <cell r="B23" t="str">
            <v>Aceite Grado 30 petrolero</v>
          </cell>
          <cell r="C23" t="str">
            <v>Gln</v>
          </cell>
          <cell r="D23">
            <v>15</v>
          </cell>
          <cell r="F23">
            <v>15</v>
          </cell>
          <cell r="I23"/>
          <cell r="J23">
            <v>0</v>
          </cell>
        </row>
        <row r="24">
          <cell r="B24" t="str">
            <v>Aceite Grado 40 petrolero</v>
          </cell>
          <cell r="C24" t="str">
            <v>Gln</v>
          </cell>
          <cell r="D24">
            <v>6</v>
          </cell>
          <cell r="E24">
            <v>5</v>
          </cell>
          <cell r="F24">
            <v>5</v>
          </cell>
          <cell r="G24">
            <v>15</v>
          </cell>
          <cell r="H24">
            <v>6</v>
          </cell>
          <cell r="I24">
            <v>21</v>
          </cell>
          <cell r="J24">
            <v>6</v>
          </cell>
          <cell r="M24">
            <v>2</v>
          </cell>
        </row>
        <row r="25">
          <cell r="B25" t="str">
            <v>Aceite de transmisión Grado 140 (Prest. Sin O/C)</v>
          </cell>
          <cell r="C25" t="str">
            <v>Gln</v>
          </cell>
          <cell r="F25">
            <v>0</v>
          </cell>
          <cell r="G25">
            <v>1</v>
          </cell>
          <cell r="I25">
            <v>1</v>
          </cell>
          <cell r="J25">
            <v>0</v>
          </cell>
        </row>
        <row r="26">
          <cell r="B26" t="str">
            <v>Hidrolina</v>
          </cell>
          <cell r="C26" t="str">
            <v>Gln</v>
          </cell>
          <cell r="D26">
            <v>1.5</v>
          </cell>
          <cell r="F26">
            <v>0</v>
          </cell>
          <cell r="G26">
            <v>14.5</v>
          </cell>
          <cell r="H26">
            <v>1.5</v>
          </cell>
          <cell r="I26">
            <v>16</v>
          </cell>
          <cell r="J26">
            <v>1.5</v>
          </cell>
        </row>
        <row r="28">
          <cell r="A28" t="str">
            <v>65.11.26</v>
          </cell>
          <cell r="B28" t="str">
            <v>PROVISION DE MATERIAL EXPLOSIVO</v>
          </cell>
        </row>
        <row r="29">
          <cell r="B29" t="str">
            <v>Dinamita (semexa) al 65%</v>
          </cell>
          <cell r="C29" t="str">
            <v>Und.</v>
          </cell>
          <cell r="D29">
            <v>935</v>
          </cell>
          <cell r="F29">
            <v>677</v>
          </cell>
          <cell r="G29">
            <v>1288</v>
          </cell>
          <cell r="H29">
            <v>258</v>
          </cell>
          <cell r="I29">
            <v>1546</v>
          </cell>
          <cell r="J29">
            <v>258</v>
          </cell>
          <cell r="M29">
            <v>258</v>
          </cell>
        </row>
        <row r="30">
          <cell r="B30" t="str">
            <v>Fulminante común</v>
          </cell>
          <cell r="C30" t="str">
            <v>Caja</v>
          </cell>
          <cell r="D30">
            <v>3.8</v>
          </cell>
          <cell r="E30">
            <v>1</v>
          </cell>
          <cell r="F30">
            <v>3.4899999999999998</v>
          </cell>
          <cell r="G30">
            <v>4.2</v>
          </cell>
          <cell r="H30">
            <v>1.31</v>
          </cell>
          <cell r="I30">
            <v>5.51</v>
          </cell>
          <cell r="J30">
            <v>1.31</v>
          </cell>
          <cell r="M30">
            <v>1.31</v>
          </cell>
        </row>
        <row r="31">
          <cell r="B31" t="str">
            <v>Mecha o guia de seguridad</v>
          </cell>
          <cell r="C31" t="str">
            <v>m.</v>
          </cell>
          <cell r="D31">
            <v>464</v>
          </cell>
          <cell r="F31">
            <v>388</v>
          </cell>
          <cell r="G31">
            <v>536</v>
          </cell>
          <cell r="H31">
            <v>76</v>
          </cell>
          <cell r="I31">
            <v>612</v>
          </cell>
          <cell r="J31">
            <v>76</v>
          </cell>
          <cell r="M31">
            <v>76</v>
          </cell>
        </row>
        <row r="32">
          <cell r="I32"/>
        </row>
        <row r="33">
          <cell r="A33" t="str">
            <v>65.11.29</v>
          </cell>
          <cell r="B33" t="str">
            <v>MATERIALES  DE  CONSTRUCCION</v>
          </cell>
          <cell r="I33"/>
        </row>
        <row r="34">
          <cell r="B34" t="str">
            <v>Arena</v>
          </cell>
          <cell r="C34" t="str">
            <v>m3.</v>
          </cell>
          <cell r="D34">
            <v>385.1</v>
          </cell>
          <cell r="F34">
            <v>385.1</v>
          </cell>
          <cell r="G34">
            <v>80</v>
          </cell>
          <cell r="I34">
            <v>80</v>
          </cell>
          <cell r="J34">
            <v>0</v>
          </cell>
        </row>
        <row r="35">
          <cell r="B35" t="str">
            <v>Agregado grueso</v>
          </cell>
          <cell r="C35" t="str">
            <v>m3.</v>
          </cell>
          <cell r="D35">
            <v>43</v>
          </cell>
          <cell r="E35">
            <v>48</v>
          </cell>
          <cell r="F35">
            <v>91</v>
          </cell>
          <cell r="G35">
            <v>207</v>
          </cell>
          <cell r="I35">
            <v>207</v>
          </cell>
          <cell r="J35">
            <v>0</v>
          </cell>
        </row>
        <row r="36">
          <cell r="B36" t="str">
            <v>Alambre negro # 8</v>
          </cell>
          <cell r="C36" t="str">
            <v>kg</v>
          </cell>
          <cell r="D36">
            <v>55</v>
          </cell>
          <cell r="F36">
            <v>55</v>
          </cell>
          <cell r="G36">
            <v>45</v>
          </cell>
          <cell r="I36">
            <v>45</v>
          </cell>
          <cell r="J36">
            <v>0</v>
          </cell>
        </row>
        <row r="37">
          <cell r="B37" t="str">
            <v>Alambre negro # 16</v>
          </cell>
          <cell r="C37" t="str">
            <v>kg</v>
          </cell>
          <cell r="D37">
            <v>120.5</v>
          </cell>
          <cell r="F37">
            <v>79</v>
          </cell>
          <cell r="G37">
            <v>79.5</v>
          </cell>
          <cell r="H37">
            <v>41.5</v>
          </cell>
          <cell r="I37">
            <v>121</v>
          </cell>
          <cell r="J37">
            <v>41.5</v>
          </cell>
          <cell r="L37">
            <v>18.5</v>
          </cell>
          <cell r="O37">
            <v>23</v>
          </cell>
        </row>
        <row r="38">
          <cell r="B38" t="str">
            <v>Asfalto liquido RC-250</v>
          </cell>
          <cell r="C38" t="str">
            <v>Gln.</v>
          </cell>
          <cell r="E38">
            <v>550</v>
          </cell>
          <cell r="F38">
            <v>546</v>
          </cell>
          <cell r="H38">
            <v>4</v>
          </cell>
          <cell r="I38">
            <v>4</v>
          </cell>
          <cell r="J38">
            <v>4</v>
          </cell>
          <cell r="L38">
            <v>4</v>
          </cell>
        </row>
        <row r="39">
          <cell r="B39" t="str">
            <v>Barreta octogonal de 1 1/4" x 1.5 m.</v>
          </cell>
          <cell r="C39" t="str">
            <v>Und.</v>
          </cell>
          <cell r="E39">
            <v>10</v>
          </cell>
          <cell r="F39">
            <v>7</v>
          </cell>
          <cell r="G39">
            <v>15</v>
          </cell>
          <cell r="H39">
            <v>3</v>
          </cell>
          <cell r="I39">
            <v>18</v>
          </cell>
          <cell r="J39">
            <v>3</v>
          </cell>
          <cell r="M39">
            <v>3</v>
          </cell>
        </row>
        <row r="40">
          <cell r="B40" t="str">
            <v>Barrenos de perforación de 7/8" x 3'</v>
          </cell>
          <cell r="C40" t="str">
            <v>Und.</v>
          </cell>
          <cell r="D40">
            <v>15</v>
          </cell>
          <cell r="F40">
            <v>15</v>
          </cell>
          <cell r="G40">
            <v>6</v>
          </cell>
          <cell r="I40">
            <v>6</v>
          </cell>
          <cell r="J40">
            <v>0</v>
          </cell>
        </row>
        <row r="41">
          <cell r="B41" t="str">
            <v>Barrenos de perforación de 7/8" x 5'</v>
          </cell>
          <cell r="C41" t="str">
            <v>Und.</v>
          </cell>
          <cell r="D41">
            <v>10</v>
          </cell>
          <cell r="F41">
            <v>10</v>
          </cell>
          <cell r="I41"/>
          <cell r="J41">
            <v>0</v>
          </cell>
        </row>
        <row r="42">
          <cell r="B42" t="str">
            <v>Buguies con llantas neumáticas</v>
          </cell>
          <cell r="C42" t="str">
            <v>Und.</v>
          </cell>
          <cell r="D42">
            <v>23</v>
          </cell>
          <cell r="E42">
            <v>50</v>
          </cell>
          <cell r="F42">
            <v>70</v>
          </cell>
          <cell r="G42">
            <v>41</v>
          </cell>
          <cell r="H42">
            <v>3</v>
          </cell>
          <cell r="I42">
            <v>44</v>
          </cell>
          <cell r="J42">
            <v>3</v>
          </cell>
          <cell r="O42">
            <v>3</v>
          </cell>
        </row>
        <row r="43">
          <cell r="B43" t="str">
            <v>Briqueteras</v>
          </cell>
          <cell r="C43" t="str">
            <v>Und.</v>
          </cell>
          <cell r="F43">
            <v>0</v>
          </cell>
          <cell r="G43">
            <v>3</v>
          </cell>
          <cell r="I43">
            <v>3</v>
          </cell>
          <cell r="J43">
            <v>0</v>
          </cell>
        </row>
        <row r="44">
          <cell r="B44" t="str">
            <v>Calamina de 11 canales por 1.80 metros</v>
          </cell>
          <cell r="C44" t="str">
            <v>Plancha</v>
          </cell>
          <cell r="D44">
            <v>90</v>
          </cell>
          <cell r="F44">
            <v>90</v>
          </cell>
          <cell r="G44">
            <v>680</v>
          </cell>
          <cell r="I44">
            <v>680</v>
          </cell>
          <cell r="J44">
            <v>0</v>
          </cell>
        </row>
        <row r="45">
          <cell r="B45" t="str">
            <v>Cemento Portland tipo 1 P</v>
          </cell>
          <cell r="C45" t="str">
            <v>Bls.</v>
          </cell>
          <cell r="D45">
            <v>324</v>
          </cell>
          <cell r="E45">
            <v>731</v>
          </cell>
          <cell r="F45">
            <v>689</v>
          </cell>
          <cell r="G45">
            <v>961</v>
          </cell>
          <cell r="H45">
            <v>366</v>
          </cell>
          <cell r="I45">
            <v>1327</v>
          </cell>
          <cell r="J45">
            <v>366</v>
          </cell>
          <cell r="L45">
            <v>220</v>
          </cell>
          <cell r="O45">
            <v>146</v>
          </cell>
        </row>
        <row r="46">
          <cell r="B46" t="str">
            <v>Cinta teflon</v>
          </cell>
          <cell r="C46" t="str">
            <v>Und.</v>
          </cell>
          <cell r="D46">
            <v>104</v>
          </cell>
          <cell r="F46">
            <v>104</v>
          </cell>
          <cell r="I46"/>
          <cell r="J46">
            <v>0</v>
          </cell>
        </row>
        <row r="47">
          <cell r="B47" t="str">
            <v>Clavo de 1"</v>
          </cell>
          <cell r="C47" t="str">
            <v>kg</v>
          </cell>
          <cell r="D47">
            <v>32.75</v>
          </cell>
          <cell r="E47">
            <v>36</v>
          </cell>
          <cell r="F47">
            <v>63.75</v>
          </cell>
          <cell r="G47">
            <v>7.75</v>
          </cell>
          <cell r="H47">
            <v>5</v>
          </cell>
          <cell r="I47">
            <v>12.75</v>
          </cell>
          <cell r="J47">
            <v>5</v>
          </cell>
          <cell r="O47">
            <v>5</v>
          </cell>
        </row>
        <row r="48">
          <cell r="B48" t="str">
            <v>Clavo de 2"</v>
          </cell>
          <cell r="C48" t="str">
            <v>kg</v>
          </cell>
          <cell r="D48">
            <v>107.95</v>
          </cell>
          <cell r="F48">
            <v>106.95</v>
          </cell>
          <cell r="G48">
            <v>12.05</v>
          </cell>
          <cell r="H48">
            <v>1</v>
          </cell>
          <cell r="I48">
            <v>13.05</v>
          </cell>
          <cell r="J48">
            <v>1</v>
          </cell>
          <cell r="O48">
            <v>1</v>
          </cell>
        </row>
        <row r="49">
          <cell r="B49" t="str">
            <v>Clavo de 2 1/2"</v>
          </cell>
          <cell r="C49" t="str">
            <v>kg</v>
          </cell>
          <cell r="F49">
            <v>0</v>
          </cell>
          <cell r="I49"/>
        </row>
        <row r="50">
          <cell r="B50" t="str">
            <v>Clavo de 3"</v>
          </cell>
          <cell r="C50" t="str">
            <v>kg</v>
          </cell>
          <cell r="D50">
            <v>97</v>
          </cell>
          <cell r="F50">
            <v>92.5</v>
          </cell>
          <cell r="G50">
            <v>53</v>
          </cell>
          <cell r="H50">
            <v>4.5</v>
          </cell>
          <cell r="I50">
            <v>57.5</v>
          </cell>
          <cell r="J50">
            <v>4.5</v>
          </cell>
          <cell r="L50">
            <v>1.5</v>
          </cell>
          <cell r="O50">
            <v>3</v>
          </cell>
        </row>
        <row r="51">
          <cell r="B51" t="str">
            <v>Clavo de 4"</v>
          </cell>
          <cell r="C51" t="str">
            <v>kg</v>
          </cell>
          <cell r="D51">
            <v>439.5</v>
          </cell>
          <cell r="F51">
            <v>438</v>
          </cell>
          <cell r="G51">
            <v>51.5</v>
          </cell>
          <cell r="H51">
            <v>1.5</v>
          </cell>
          <cell r="I51">
            <v>53</v>
          </cell>
          <cell r="J51">
            <v>1.5</v>
          </cell>
          <cell r="L51">
            <v>1.5</v>
          </cell>
        </row>
        <row r="52">
          <cell r="B52" t="str">
            <v>Codos PVC de Ø 6".</v>
          </cell>
          <cell r="C52" t="str">
            <v>Pza.</v>
          </cell>
          <cell r="D52">
            <v>56</v>
          </cell>
          <cell r="F52">
            <v>56</v>
          </cell>
          <cell r="G52">
            <v>24</v>
          </cell>
          <cell r="I52">
            <v>24</v>
          </cell>
          <cell r="J52">
            <v>0</v>
          </cell>
        </row>
        <row r="53">
          <cell r="B53" t="str">
            <v>Codos PVC de Ø 200 mm.</v>
          </cell>
          <cell r="C53" t="str">
            <v>Pza.</v>
          </cell>
          <cell r="D53">
            <v>2</v>
          </cell>
          <cell r="F53">
            <v>2</v>
          </cell>
          <cell r="G53">
            <v>2</v>
          </cell>
          <cell r="I53">
            <v>2</v>
          </cell>
          <cell r="J53">
            <v>0</v>
          </cell>
        </row>
        <row r="54">
          <cell r="B54" t="str">
            <v>Codos PVC de Ø 250 mm.</v>
          </cell>
          <cell r="C54" t="str">
            <v>Pza.</v>
          </cell>
          <cell r="F54">
            <v>0</v>
          </cell>
          <cell r="G54">
            <v>4</v>
          </cell>
          <cell r="I54">
            <v>4</v>
          </cell>
          <cell r="J54">
            <v>0</v>
          </cell>
        </row>
        <row r="55">
          <cell r="B55" t="str">
            <v>Codos PVC de Ø 315 mm.</v>
          </cell>
          <cell r="C55" t="str">
            <v>Pza.</v>
          </cell>
          <cell r="D55">
            <v>4</v>
          </cell>
          <cell r="F55">
            <v>4</v>
          </cell>
          <cell r="I55"/>
          <cell r="J55">
            <v>0</v>
          </cell>
        </row>
        <row r="56">
          <cell r="B56" t="str">
            <v>Combas de 12 lb.</v>
          </cell>
          <cell r="C56" t="str">
            <v>Und.</v>
          </cell>
          <cell r="D56">
            <v>6</v>
          </cell>
          <cell r="F56">
            <v>6</v>
          </cell>
          <cell r="I56"/>
          <cell r="J56">
            <v>0</v>
          </cell>
        </row>
        <row r="57">
          <cell r="B57" t="str">
            <v>Combas de 20 lb.</v>
          </cell>
          <cell r="C57" t="str">
            <v>Und.</v>
          </cell>
          <cell r="F57">
            <v>0</v>
          </cell>
          <cell r="G57">
            <v>6</v>
          </cell>
          <cell r="I57">
            <v>6</v>
          </cell>
          <cell r="J57">
            <v>0</v>
          </cell>
        </row>
        <row r="96">
          <cell r="B96" t="str">
            <v>Cinta Masking de 1"</v>
          </cell>
          <cell r="C96" t="str">
            <v>Und</v>
          </cell>
          <cell r="F96">
            <v>0</v>
          </cell>
          <cell r="G96">
            <v>4</v>
          </cell>
          <cell r="I96">
            <v>4</v>
          </cell>
          <cell r="J96">
            <v>0</v>
          </cell>
        </row>
        <row r="97">
          <cell r="B97" t="str">
            <v>Cuadernos empastados de 200 hojas</v>
          </cell>
          <cell r="C97" t="str">
            <v>Und</v>
          </cell>
          <cell r="D97">
            <v>6</v>
          </cell>
          <cell r="F97">
            <v>0</v>
          </cell>
          <cell r="G97">
            <v>20</v>
          </cell>
          <cell r="H97">
            <v>6</v>
          </cell>
          <cell r="I97">
            <v>26</v>
          </cell>
          <cell r="J97">
            <v>6</v>
          </cell>
        </row>
        <row r="98">
          <cell r="B98" t="str">
            <v>Diskets de 3.5" HD Sony</v>
          </cell>
          <cell r="C98" t="str">
            <v>Caja</v>
          </cell>
          <cell r="D98">
            <v>4.0999999999999996</v>
          </cell>
          <cell r="F98">
            <v>3.3999999999999995</v>
          </cell>
          <cell r="G98">
            <v>13</v>
          </cell>
          <cell r="H98">
            <v>0.7</v>
          </cell>
          <cell r="I98">
            <v>13.7</v>
          </cell>
          <cell r="J98">
            <v>0.7</v>
          </cell>
        </row>
        <row r="99">
          <cell r="B99" t="str">
            <v>Libretas de topografia</v>
          </cell>
          <cell r="C99" t="str">
            <v>Und</v>
          </cell>
          <cell r="D99">
            <v>12</v>
          </cell>
          <cell r="F99">
            <v>8</v>
          </cell>
          <cell r="G99">
            <v>18</v>
          </cell>
          <cell r="H99">
            <v>4</v>
          </cell>
          <cell r="I99">
            <v>22</v>
          </cell>
          <cell r="J99">
            <v>4</v>
          </cell>
          <cell r="K99">
            <v>4</v>
          </cell>
        </row>
        <row r="100">
          <cell r="B100" t="str">
            <v>Llantas para camioneta 750 x 15</v>
          </cell>
          <cell r="C100" t="str">
            <v>Und</v>
          </cell>
          <cell r="D100">
            <v>5</v>
          </cell>
          <cell r="F100">
            <v>5</v>
          </cell>
          <cell r="G100">
            <v>5</v>
          </cell>
          <cell r="I100">
            <v>5</v>
          </cell>
          <cell r="J100">
            <v>0</v>
          </cell>
        </row>
        <row r="101">
          <cell r="B101" t="str">
            <v>Llantas para retroexcavadora (Afect. Presup.)</v>
          </cell>
          <cell r="C101" t="str">
            <v>Und</v>
          </cell>
          <cell r="F101">
            <v>0</v>
          </cell>
          <cell r="G101">
            <v>1</v>
          </cell>
          <cell r="I101">
            <v>1</v>
          </cell>
          <cell r="J101">
            <v>0</v>
          </cell>
        </row>
        <row r="102">
          <cell r="B102" t="str">
            <v>Llantas Wrangler Good Year LT 275/15</v>
          </cell>
          <cell r="C102" t="str">
            <v>Und</v>
          </cell>
          <cell r="F102">
            <v>0</v>
          </cell>
          <cell r="G102">
            <v>4</v>
          </cell>
          <cell r="I102">
            <v>4</v>
          </cell>
          <cell r="J102">
            <v>0</v>
          </cell>
        </row>
        <row r="103">
          <cell r="B103" t="str">
            <v>Papel fotocopia A-4</v>
          </cell>
          <cell r="C103" t="str">
            <v>millar</v>
          </cell>
          <cell r="D103">
            <v>1</v>
          </cell>
          <cell r="F103">
            <v>0</v>
          </cell>
          <cell r="G103">
            <v>12</v>
          </cell>
          <cell r="H103">
            <v>1</v>
          </cell>
          <cell r="I103">
            <v>13</v>
          </cell>
          <cell r="J103">
            <v>1</v>
          </cell>
        </row>
        <row r="104">
          <cell r="B104" t="str">
            <v>Portaminas</v>
          </cell>
          <cell r="C104" t="str">
            <v>Und</v>
          </cell>
          <cell r="F104">
            <v>0</v>
          </cell>
          <cell r="G104">
            <v>5</v>
          </cell>
          <cell r="I104">
            <v>5</v>
          </cell>
          <cell r="J104">
            <v>0</v>
          </cell>
        </row>
        <row r="105">
          <cell r="B105" t="str">
            <v>Toner para fotocopiadora</v>
          </cell>
          <cell r="C105" t="str">
            <v>Und</v>
          </cell>
          <cell r="D105">
            <v>1</v>
          </cell>
          <cell r="F105">
            <v>1</v>
          </cell>
          <cell r="G105">
            <v>4</v>
          </cell>
          <cell r="I105">
            <v>4</v>
          </cell>
          <cell r="J105">
            <v>0</v>
          </cell>
        </row>
        <row r="106">
          <cell r="B106" t="str">
            <v>Toner para impresora</v>
          </cell>
          <cell r="C106" t="str">
            <v>Und</v>
          </cell>
          <cell r="D106">
            <v>2</v>
          </cell>
          <cell r="F106">
            <v>2</v>
          </cell>
          <cell r="G106">
            <v>3</v>
          </cell>
          <cell r="I106">
            <v>3</v>
          </cell>
          <cell r="J106">
            <v>0</v>
          </cell>
        </row>
        <row r="108">
          <cell r="A108" t="str">
            <v>65.11.51</v>
          </cell>
          <cell r="B108" t="str">
            <v>EQUIPAMIENTO Y BIENES DURADEROS</v>
          </cell>
          <cell r="I108"/>
          <cell r="J108">
            <v>0</v>
          </cell>
        </row>
        <row r="109">
          <cell r="B109" t="str">
            <v>Computadora pentium IV</v>
          </cell>
          <cell r="C109" t="str">
            <v>Equipo</v>
          </cell>
          <cell r="D109">
            <v>0.85</v>
          </cell>
          <cell r="F109">
            <v>0.85</v>
          </cell>
          <cell r="G109">
            <v>0.15</v>
          </cell>
          <cell r="I109">
            <v>0.15</v>
          </cell>
          <cell r="J109">
            <v>0</v>
          </cell>
        </row>
        <row r="110">
          <cell r="B110" t="str">
            <v>Compactadora</v>
          </cell>
          <cell r="C110" t="str">
            <v>Equipo</v>
          </cell>
          <cell r="D110">
            <v>0.93</v>
          </cell>
          <cell r="F110">
            <v>0.93</v>
          </cell>
          <cell r="G110">
            <v>7.0000000000000007E-2</v>
          </cell>
          <cell r="I110">
            <v>7.0000000000000007E-2</v>
          </cell>
          <cell r="J110">
            <v>0</v>
          </cell>
        </row>
        <row r="111">
          <cell r="B111" t="str">
            <v>Compresora Portatil XAS ATLAS COPCO</v>
          </cell>
          <cell r="C111" t="str">
            <v>Equipo</v>
          </cell>
          <cell r="F111">
            <v>0</v>
          </cell>
          <cell r="G111">
            <v>1</v>
          </cell>
          <cell r="I111">
            <v>1</v>
          </cell>
          <cell r="J111">
            <v>0</v>
          </cell>
        </row>
        <row r="112">
          <cell r="B112" t="str">
            <v>Grupo electrógeno COLEMAN 18 HP</v>
          </cell>
          <cell r="C112" t="str">
            <v>Equipo</v>
          </cell>
          <cell r="D112">
            <v>0.85</v>
          </cell>
          <cell r="F112">
            <v>0.85</v>
          </cell>
          <cell r="G112">
            <v>0.15</v>
          </cell>
          <cell r="I112">
            <v>0.15</v>
          </cell>
          <cell r="J112">
            <v>0</v>
          </cell>
        </row>
        <row r="113">
          <cell r="B113" t="str">
            <v>Impresora Epson EPL  5800</v>
          </cell>
          <cell r="C113" t="str">
            <v>Equipo</v>
          </cell>
          <cell r="D113">
            <v>0.85</v>
          </cell>
          <cell r="F113">
            <v>0.85</v>
          </cell>
          <cell r="G113">
            <v>0.15</v>
          </cell>
          <cell r="I113">
            <v>0.15</v>
          </cell>
          <cell r="J113">
            <v>0</v>
          </cell>
        </row>
        <row r="114">
          <cell r="B114" t="str">
            <v>Mezcladora de concreto</v>
          </cell>
          <cell r="C114" t="str">
            <v>Equipo</v>
          </cell>
          <cell r="D114">
            <v>0.96</v>
          </cell>
          <cell r="F114">
            <v>0.96</v>
          </cell>
          <cell r="G114">
            <v>1.04</v>
          </cell>
          <cell r="I114">
            <v>1.04</v>
          </cell>
          <cell r="J114">
            <v>0</v>
          </cell>
        </row>
        <row r="115">
          <cell r="B115" t="str">
            <v>Miras plegables de 4 m. (con ojo de buey)</v>
          </cell>
          <cell r="C115" t="str">
            <v>Equipo</v>
          </cell>
          <cell r="D115">
            <v>0.92</v>
          </cell>
          <cell r="F115">
            <v>0.92</v>
          </cell>
          <cell r="G115">
            <v>1.08</v>
          </cell>
          <cell r="I115">
            <v>1.08</v>
          </cell>
          <cell r="J115">
            <v>0</v>
          </cell>
        </row>
        <row r="116">
          <cell r="B116" t="str">
            <v>Motoperforadora</v>
          </cell>
          <cell r="C116" t="str">
            <v>Equipo</v>
          </cell>
          <cell r="D116">
            <v>0.93</v>
          </cell>
          <cell r="F116">
            <v>0.93</v>
          </cell>
          <cell r="G116">
            <v>7.0000000000000007E-2</v>
          </cell>
          <cell r="I116">
            <v>7.0000000000000007E-2</v>
          </cell>
          <cell r="J116">
            <v>0</v>
          </cell>
        </row>
        <row r="117">
          <cell r="B117" t="str">
            <v xml:space="preserve">Motobomba Ø 2" </v>
          </cell>
          <cell r="C117" t="str">
            <v>Equipo</v>
          </cell>
          <cell r="D117">
            <v>0.94</v>
          </cell>
          <cell r="F117">
            <v>0.94</v>
          </cell>
          <cell r="G117">
            <v>0.06</v>
          </cell>
          <cell r="I117">
            <v>0.06</v>
          </cell>
          <cell r="J117">
            <v>0</v>
          </cell>
        </row>
        <row r="118">
          <cell r="B118" t="str">
            <v>Motosierra de 24"</v>
          </cell>
          <cell r="C118" t="str">
            <v>Equipo</v>
          </cell>
          <cell r="D118">
            <v>0.96</v>
          </cell>
          <cell r="F118">
            <v>0.96</v>
          </cell>
          <cell r="G118">
            <v>0.04</v>
          </cell>
          <cell r="I118">
            <v>0.04</v>
          </cell>
          <cell r="J118">
            <v>0</v>
          </cell>
        </row>
        <row r="119">
          <cell r="B119" t="str">
            <v>Trípode metálico (Nestle Germany)</v>
          </cell>
          <cell r="C119" t="str">
            <v>Equipo</v>
          </cell>
          <cell r="D119">
            <v>0.97</v>
          </cell>
          <cell r="F119">
            <v>0.97</v>
          </cell>
          <cell r="G119">
            <v>1.03</v>
          </cell>
          <cell r="I119">
            <v>1.03</v>
          </cell>
          <cell r="J119">
            <v>0</v>
          </cell>
        </row>
        <row r="120">
          <cell r="B120" t="str">
            <v>Vibradora de Concreto KOMATSU - KOLHER</v>
          </cell>
          <cell r="C120" t="str">
            <v>Equipo</v>
          </cell>
          <cell r="D120">
            <v>1.93</v>
          </cell>
          <cell r="F120">
            <v>1.93</v>
          </cell>
          <cell r="G120">
            <v>7.0000000000000007E-2</v>
          </cell>
          <cell r="I120">
            <v>7.0000000000000007E-2</v>
          </cell>
          <cell r="J120">
            <v>0</v>
          </cell>
        </row>
      </sheetData>
      <sheetData sheetId="17"/>
      <sheetData sheetId="18"/>
      <sheetData sheetId="19"/>
      <sheetData sheetId="20"/>
      <sheetData sheetId="2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T-PREC"/>
      <sheetName val="PRECI"/>
    </sheetNames>
    <sheetDataSet>
      <sheetData sheetId="0" refreshError="1">
        <row r="10">
          <cell r="C10" t="str">
            <v>ABANCAY</v>
          </cell>
          <cell r="D10">
            <v>2398</v>
          </cell>
          <cell r="E10">
            <v>577.5</v>
          </cell>
        </row>
        <row r="11">
          <cell r="C11" t="str">
            <v>ACOMAYO</v>
          </cell>
          <cell r="D11">
            <v>3250</v>
          </cell>
          <cell r="E11">
            <v>861.2</v>
          </cell>
        </row>
        <row r="12">
          <cell r="C12" t="str">
            <v>ANTABAMBA</v>
          </cell>
          <cell r="D12">
            <v>3838</v>
          </cell>
          <cell r="E12">
            <v>851.8</v>
          </cell>
        </row>
        <row r="13">
          <cell r="C13" t="str">
            <v>CHALHUANCA</v>
          </cell>
          <cell r="D13">
            <v>3850</v>
          </cell>
          <cell r="E13">
            <v>715.1</v>
          </cell>
        </row>
        <row r="14">
          <cell r="C14" t="str">
            <v>LIVITACA</v>
          </cell>
          <cell r="D14">
            <v>3741</v>
          </cell>
          <cell r="E14">
            <v>1016.4</v>
          </cell>
        </row>
        <row r="15">
          <cell r="C15" t="str">
            <v>YAURI</v>
          </cell>
          <cell r="D15">
            <v>3915</v>
          </cell>
          <cell r="E15">
            <v>769.4</v>
          </cell>
        </row>
        <row r="16">
          <cell r="C16" t="str">
            <v>LA RAYA</v>
          </cell>
          <cell r="D16">
            <v>4120</v>
          </cell>
          <cell r="E16">
            <v>857.8</v>
          </cell>
        </row>
      </sheetData>
      <sheetData sheetId="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s>
    <sheetDataSet>
      <sheetData sheetId="0" refreshError="1"/>
      <sheetData sheetId="1"/>
      <sheetData sheetId="2"/>
      <sheetData sheetId="3"/>
      <sheetData sheetId="4"/>
      <sheetData sheetId="5"/>
      <sheetData sheetId="6"/>
      <sheetData sheetId="7"/>
      <sheetData sheetId="8"/>
      <sheetData sheetId="9"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BLDINAMICO"/>
      <sheetName val="AC"/>
      <sheetName val="PRESUPUESTO"/>
      <sheetName val="INSUMOS"/>
      <sheetName val="FORMULA POLINOMICA"/>
      <sheetName val="Hoja2"/>
    </sheetNames>
    <sheetDataSet>
      <sheetData sheetId="0" refreshError="1"/>
      <sheetData sheetId="1" refreshError="1">
        <row r="5">
          <cell r="A5" t="str">
            <v>PARTIDA</v>
          </cell>
          <cell r="B5" t="str">
            <v xml:space="preserve">CÓDIGO </v>
          </cell>
          <cell r="C5" t="str">
            <v>INSUMO</v>
          </cell>
          <cell r="D5" t="str">
            <v>UNIDAD</v>
          </cell>
          <cell r="E5" t="str">
            <v>CUADRILLA</v>
          </cell>
          <cell r="F5" t="str">
            <v>CANTIDAD</v>
          </cell>
          <cell r="G5" t="str">
            <v>PRECIO</v>
          </cell>
          <cell r="H5" t="str">
            <v>PARCIAL</v>
          </cell>
          <cell r="I5" t="str">
            <v>SUBTOTAL</v>
          </cell>
          <cell r="J5" t="str">
            <v>IU</v>
          </cell>
          <cell r="K5" t="str">
            <v>METRADO</v>
          </cell>
          <cell r="L5" t="str">
            <v>CT</v>
          </cell>
          <cell r="M5" t="str">
            <v>PT</v>
          </cell>
        </row>
        <row r="6">
          <cell r="A6" t="str">
            <v>01.01.01</v>
          </cell>
          <cell r="B6" t="str">
            <v>CONSTRUCCION DE CAMPAMENTO PROVISIONAL</v>
          </cell>
          <cell r="C6">
            <v>0</v>
          </cell>
          <cell r="D6">
            <v>0</v>
          </cell>
          <cell r="E6">
            <v>0</v>
          </cell>
          <cell r="F6">
            <v>0</v>
          </cell>
          <cell r="G6">
            <v>0</v>
          </cell>
          <cell r="H6" t="str">
            <v xml:space="preserve"> M2</v>
          </cell>
          <cell r="I6">
            <v>4.8478559999999993</v>
          </cell>
          <cell r="K6">
            <v>0</v>
          </cell>
          <cell r="L6">
            <v>0</v>
          </cell>
          <cell r="M6">
            <v>0</v>
          </cell>
        </row>
        <row r="7">
          <cell r="A7" t="str">
            <v>01.01.01</v>
          </cell>
          <cell r="E7" t="str">
            <v>RENDIMIENTO</v>
          </cell>
          <cell r="F7">
            <v>30</v>
          </cell>
          <cell r="G7" t="str">
            <v xml:space="preserve"> M2/día</v>
          </cell>
          <cell r="J7">
            <v>0</v>
          </cell>
        </row>
        <row r="8">
          <cell r="A8" t="str">
            <v>01.01.01</v>
          </cell>
          <cell r="C8" t="str">
            <v>MANO DE OBRA</v>
          </cell>
          <cell r="J8">
            <v>0</v>
          </cell>
        </row>
        <row r="9">
          <cell r="A9" t="str">
            <v>01.01.01</v>
          </cell>
          <cell r="B9" t="str">
            <v>470037</v>
          </cell>
          <cell r="C9" t="str">
            <v>OBRERO  A</v>
          </cell>
          <cell r="D9" t="str">
            <v>HH</v>
          </cell>
          <cell r="E9">
            <v>1</v>
          </cell>
          <cell r="F9">
            <v>0.26666666666666666</v>
          </cell>
          <cell r="G9">
            <v>6.46</v>
          </cell>
          <cell r="H9">
            <v>1.7226666666666666</v>
          </cell>
          <cell r="J9" t="str">
            <v>47</v>
          </cell>
          <cell r="K9">
            <v>30</v>
          </cell>
          <cell r="L9">
            <v>8</v>
          </cell>
          <cell r="M9">
            <v>51.68</v>
          </cell>
        </row>
        <row r="10">
          <cell r="A10" t="str">
            <v>01.01.01</v>
          </cell>
          <cell r="B10" t="str">
            <v>470039</v>
          </cell>
          <cell r="C10" t="str">
            <v>OBRERO  C</v>
          </cell>
          <cell r="D10" t="str">
            <v>HH</v>
          </cell>
          <cell r="E10">
            <v>2</v>
          </cell>
          <cell r="F10">
            <v>0.53333333333333333</v>
          </cell>
          <cell r="G10">
            <v>5.33</v>
          </cell>
          <cell r="H10">
            <v>2.8426666666666667</v>
          </cell>
          <cell r="J10" t="str">
            <v>47</v>
          </cell>
          <cell r="K10">
            <v>30</v>
          </cell>
          <cell r="L10">
            <v>16</v>
          </cell>
          <cell r="M10">
            <v>85.28</v>
          </cell>
        </row>
        <row r="11">
          <cell r="A11" t="str">
            <v>01.01.01</v>
          </cell>
          <cell r="B11" t="str">
            <v>470040</v>
          </cell>
          <cell r="C11" t="str">
            <v>MAESTRO DE OBRA</v>
          </cell>
          <cell r="D11" t="str">
            <v>HH</v>
          </cell>
          <cell r="E11">
            <v>0.1</v>
          </cell>
          <cell r="F11">
            <v>2.6666666666666668E-2</v>
          </cell>
          <cell r="G11">
            <v>7.03</v>
          </cell>
          <cell r="H11">
            <v>0.1874666666666667</v>
          </cell>
          <cell r="I11">
            <v>4.7527999999999997</v>
          </cell>
          <cell r="J11" t="str">
            <v>47</v>
          </cell>
          <cell r="K11">
            <v>30</v>
          </cell>
          <cell r="L11">
            <v>0.8</v>
          </cell>
          <cell r="M11">
            <v>5.62</v>
          </cell>
        </row>
        <row r="12">
          <cell r="A12" t="str">
            <v>01.01.01</v>
          </cell>
          <cell r="J12">
            <v>0</v>
          </cell>
        </row>
        <row r="13">
          <cell r="A13" t="str">
            <v>01.01.01</v>
          </cell>
          <cell r="C13" t="str">
            <v>EQUIPOS</v>
          </cell>
          <cell r="J13">
            <v>0</v>
          </cell>
        </row>
        <row r="14">
          <cell r="A14" t="str">
            <v>01.01.01</v>
          </cell>
          <cell r="B14" t="str">
            <v>370101</v>
          </cell>
          <cell r="C14" t="str">
            <v>HERRAMIENTAS MANUALES</v>
          </cell>
          <cell r="D14" t="str">
            <v>%MO</v>
          </cell>
          <cell r="F14">
            <v>2</v>
          </cell>
          <cell r="G14">
            <v>4.7527999999999997</v>
          </cell>
          <cell r="H14">
            <v>9.5056000000000002E-2</v>
          </cell>
          <cell r="I14">
            <v>9.5056000000000002E-2</v>
          </cell>
          <cell r="J14" t="str">
            <v>37</v>
          </cell>
          <cell r="K14">
            <v>30</v>
          </cell>
          <cell r="L14">
            <v>0</v>
          </cell>
          <cell r="M14">
            <v>2.85</v>
          </cell>
        </row>
        <row r="15">
          <cell r="J15">
            <v>0</v>
          </cell>
        </row>
        <row r="16">
          <cell r="A16" t="str">
            <v>01.01.02</v>
          </cell>
          <cell r="B16" t="str">
            <v>CARTEL DE IDENTIFICACION DE OBRA (1,20X2,40m) (REPINTADO)</v>
          </cell>
          <cell r="C16">
            <v>0</v>
          </cell>
          <cell r="D16">
            <v>0</v>
          </cell>
          <cell r="E16">
            <v>0</v>
          </cell>
          <cell r="F16">
            <v>0</v>
          </cell>
          <cell r="G16">
            <v>0</v>
          </cell>
          <cell r="H16" t="str">
            <v>UND</v>
          </cell>
          <cell r="I16">
            <v>127.90856000000001</v>
          </cell>
          <cell r="K16">
            <v>0</v>
          </cell>
          <cell r="L16">
            <v>0</v>
          </cell>
          <cell r="M16">
            <v>0</v>
          </cell>
        </row>
        <row r="17">
          <cell r="A17" t="str">
            <v>01.01.02</v>
          </cell>
          <cell r="E17" t="str">
            <v>RENDIMIENTO</v>
          </cell>
          <cell r="F17">
            <v>0.5</v>
          </cell>
          <cell r="G17" t="str">
            <v>UND/día</v>
          </cell>
          <cell r="J17">
            <v>0</v>
          </cell>
        </row>
        <row r="18">
          <cell r="A18" t="str">
            <v>01.01.02</v>
          </cell>
          <cell r="C18" t="str">
            <v>MANO DE OBRA</v>
          </cell>
          <cell r="J18">
            <v>0</v>
          </cell>
        </row>
        <row r="19">
          <cell r="A19" t="str">
            <v>01.01.02</v>
          </cell>
          <cell r="B19" t="str">
            <v>470039</v>
          </cell>
          <cell r="C19" t="str">
            <v>OBRERO  C</v>
          </cell>
          <cell r="D19" t="str">
            <v>HH</v>
          </cell>
          <cell r="E19">
            <v>1</v>
          </cell>
          <cell r="F19">
            <v>16</v>
          </cell>
          <cell r="G19">
            <v>5.33</v>
          </cell>
          <cell r="H19">
            <v>85.28</v>
          </cell>
          <cell r="J19" t="str">
            <v>47</v>
          </cell>
          <cell r="K19">
            <v>1</v>
          </cell>
          <cell r="L19">
            <v>16</v>
          </cell>
          <cell r="M19">
            <v>85.28</v>
          </cell>
        </row>
        <row r="20">
          <cell r="A20" t="str">
            <v>01.01.02</v>
          </cell>
          <cell r="B20" t="str">
            <v>470040</v>
          </cell>
          <cell r="C20" t="str">
            <v>MAESTRO DE OBRA</v>
          </cell>
          <cell r="D20" t="str">
            <v>HH</v>
          </cell>
          <cell r="E20">
            <v>0.1</v>
          </cell>
          <cell r="F20">
            <v>1.6</v>
          </cell>
          <cell r="G20">
            <v>7.03</v>
          </cell>
          <cell r="H20">
            <v>11.248000000000001</v>
          </cell>
          <cell r="I20">
            <v>96.528000000000006</v>
          </cell>
          <cell r="J20" t="str">
            <v>47</v>
          </cell>
          <cell r="K20">
            <v>1</v>
          </cell>
          <cell r="L20">
            <v>1.6</v>
          </cell>
          <cell r="M20">
            <v>11.25</v>
          </cell>
        </row>
        <row r="21">
          <cell r="A21" t="str">
            <v>01.01.02</v>
          </cell>
          <cell r="C21" t="str">
            <v>MATERIALES</v>
          </cell>
          <cell r="J21">
            <v>0</v>
          </cell>
        </row>
        <row r="22">
          <cell r="A22" t="str">
            <v>01.01.02</v>
          </cell>
          <cell r="B22" t="str">
            <v>020107</v>
          </cell>
          <cell r="C22" t="str">
            <v>CLAVOS PARA MADERA C/C 5"</v>
          </cell>
          <cell r="D22" t="str">
            <v>KG</v>
          </cell>
          <cell r="F22">
            <v>0.1</v>
          </cell>
          <cell r="G22">
            <v>4.5</v>
          </cell>
          <cell r="H22">
            <v>0.45</v>
          </cell>
          <cell r="J22" t="str">
            <v>02</v>
          </cell>
          <cell r="K22">
            <v>1</v>
          </cell>
          <cell r="L22">
            <v>0.1</v>
          </cell>
          <cell r="M22">
            <v>0.45</v>
          </cell>
        </row>
        <row r="23">
          <cell r="A23" t="str">
            <v>01.01.02</v>
          </cell>
          <cell r="B23" t="str">
            <v>021093</v>
          </cell>
          <cell r="C23" t="str">
            <v>CLAVOS DE ALAMBRE PARA MADERA C/C 2"</v>
          </cell>
          <cell r="D23" t="str">
            <v>KG</v>
          </cell>
          <cell r="F23">
            <v>0.5</v>
          </cell>
          <cell r="G23">
            <v>4</v>
          </cell>
          <cell r="H23">
            <v>2</v>
          </cell>
          <cell r="J23" t="str">
            <v>02</v>
          </cell>
          <cell r="K23">
            <v>1</v>
          </cell>
          <cell r="L23">
            <v>0.5</v>
          </cell>
          <cell r="M23">
            <v>2</v>
          </cell>
        </row>
        <row r="24">
          <cell r="A24" t="str">
            <v>01.01.02</v>
          </cell>
          <cell r="B24" t="str">
            <v>540281</v>
          </cell>
          <cell r="C24" t="str">
            <v>PINTURA ESMALT. SINTT. ECON. AZUÑ 1/4 GLN</v>
          </cell>
          <cell r="D24" t="str">
            <v>UND</v>
          </cell>
          <cell r="F24">
            <v>1</v>
          </cell>
          <cell r="G24">
            <v>18</v>
          </cell>
          <cell r="H24">
            <v>18</v>
          </cell>
          <cell r="J24" t="str">
            <v>54</v>
          </cell>
          <cell r="K24">
            <v>1</v>
          </cell>
          <cell r="L24">
            <v>1</v>
          </cell>
          <cell r="M24">
            <v>18</v>
          </cell>
        </row>
        <row r="25">
          <cell r="A25" t="str">
            <v>01.01.02</v>
          </cell>
          <cell r="B25" t="str">
            <v>540282</v>
          </cell>
          <cell r="C25" t="str">
            <v>PINTURA ESMALT. SINTT. ECON. BLANCO 1/4 GLN</v>
          </cell>
          <cell r="D25" t="str">
            <v>UND</v>
          </cell>
          <cell r="F25">
            <v>0.5</v>
          </cell>
          <cell r="G25">
            <v>18</v>
          </cell>
          <cell r="H25">
            <v>9</v>
          </cell>
          <cell r="I25">
            <v>29.45</v>
          </cell>
          <cell r="J25" t="str">
            <v>54</v>
          </cell>
          <cell r="K25">
            <v>1</v>
          </cell>
          <cell r="L25">
            <v>0.5</v>
          </cell>
          <cell r="M25">
            <v>9</v>
          </cell>
        </row>
        <row r="26">
          <cell r="A26" t="str">
            <v>01.01.02</v>
          </cell>
          <cell r="C26" t="str">
            <v>EQUIPOS</v>
          </cell>
          <cell r="J26">
            <v>0</v>
          </cell>
        </row>
        <row r="27">
          <cell r="A27" t="str">
            <v>01.01.02</v>
          </cell>
          <cell r="B27" t="str">
            <v>370101</v>
          </cell>
          <cell r="C27" t="str">
            <v>HERRAMIENTAS MANUALES</v>
          </cell>
          <cell r="D27" t="str">
            <v>%MO</v>
          </cell>
          <cell r="F27">
            <v>2</v>
          </cell>
          <cell r="G27">
            <v>96.528000000000006</v>
          </cell>
          <cell r="H27">
            <v>1.9305600000000001</v>
          </cell>
          <cell r="I27">
            <v>1.9305600000000001</v>
          </cell>
          <cell r="J27" t="str">
            <v>37</v>
          </cell>
          <cell r="K27">
            <v>1</v>
          </cell>
          <cell r="L27">
            <v>0</v>
          </cell>
          <cell r="M27">
            <v>1.93</v>
          </cell>
        </row>
        <row r="28">
          <cell r="J28">
            <v>0</v>
          </cell>
        </row>
        <row r="29">
          <cell r="A29" t="str">
            <v>01.02.01</v>
          </cell>
          <cell r="B29" t="str">
            <v>AGUA PARA LA RESTAURACION</v>
          </cell>
          <cell r="C29">
            <v>0</v>
          </cell>
          <cell r="D29">
            <v>0</v>
          </cell>
          <cell r="E29">
            <v>0</v>
          </cell>
          <cell r="F29">
            <v>0</v>
          </cell>
          <cell r="G29">
            <v>0</v>
          </cell>
          <cell r="H29" t="str">
            <v>BID</v>
          </cell>
          <cell r="I29">
            <v>1.0856100000000002</v>
          </cell>
          <cell r="J29">
            <v>0</v>
          </cell>
        </row>
        <row r="30">
          <cell r="A30" t="str">
            <v>01.02.01</v>
          </cell>
          <cell r="E30" t="str">
            <v>RENDIMIENTO</v>
          </cell>
          <cell r="F30">
            <v>48</v>
          </cell>
          <cell r="G30" t="str">
            <v>BID/día</v>
          </cell>
          <cell r="J30">
            <v>0</v>
          </cell>
        </row>
        <row r="31">
          <cell r="A31" t="str">
            <v>01.02.01</v>
          </cell>
          <cell r="C31" t="str">
            <v>MANO DE OBRA</v>
          </cell>
          <cell r="J31">
            <v>0</v>
          </cell>
        </row>
        <row r="32">
          <cell r="A32" t="str">
            <v>01.02.01</v>
          </cell>
          <cell r="B32" t="str">
            <v>470039</v>
          </cell>
          <cell r="C32" t="str">
            <v>OBRERO  C</v>
          </cell>
          <cell r="D32" t="str">
            <v>HH</v>
          </cell>
          <cell r="E32">
            <v>1</v>
          </cell>
          <cell r="F32">
            <v>0.16666666666666666</v>
          </cell>
          <cell r="G32">
            <v>5.33</v>
          </cell>
          <cell r="H32">
            <v>0.88833333333333331</v>
          </cell>
          <cell r="J32" t="str">
            <v>47</v>
          </cell>
          <cell r="K32">
            <v>7767</v>
          </cell>
          <cell r="L32">
            <v>1294.5</v>
          </cell>
          <cell r="M32">
            <v>6899.69</v>
          </cell>
        </row>
        <row r="33">
          <cell r="A33" t="str">
            <v>01.02.01</v>
          </cell>
          <cell r="B33" t="str">
            <v>470040</v>
          </cell>
          <cell r="C33" t="str">
            <v>MAESTRO DE OBRA</v>
          </cell>
          <cell r="D33" t="str">
            <v>HH</v>
          </cell>
          <cell r="E33">
            <v>0.1</v>
          </cell>
          <cell r="F33">
            <v>1.6666666666666666E-2</v>
          </cell>
          <cell r="G33">
            <v>7.03</v>
          </cell>
          <cell r="H33">
            <v>0.11716666666666667</v>
          </cell>
          <cell r="I33">
            <v>1.0055000000000001</v>
          </cell>
          <cell r="J33" t="str">
            <v>47</v>
          </cell>
          <cell r="K33">
            <v>7767</v>
          </cell>
          <cell r="L33">
            <v>129.44999999999999</v>
          </cell>
          <cell r="M33">
            <v>910.03</v>
          </cell>
        </row>
        <row r="34">
          <cell r="A34" t="str">
            <v>01.02.01</v>
          </cell>
          <cell r="C34" t="str">
            <v>MATERIALES</v>
          </cell>
          <cell r="J34">
            <v>0</v>
          </cell>
        </row>
        <row r="35">
          <cell r="A35" t="str">
            <v>01.02.01</v>
          </cell>
          <cell r="B35" t="str">
            <v>308801</v>
          </cell>
          <cell r="C35" t="str">
            <v>BIDONES DE PLASTICO P/AGUA 20lts.</v>
          </cell>
          <cell r="D35" t="str">
            <v>PZA</v>
          </cell>
          <cell r="F35">
            <v>1.2E-2</v>
          </cell>
          <cell r="G35">
            <v>5</v>
          </cell>
          <cell r="H35">
            <v>0.06</v>
          </cell>
          <cell r="I35">
            <v>0.06</v>
          </cell>
          <cell r="J35" t="str">
            <v>30</v>
          </cell>
          <cell r="K35">
            <v>7767</v>
          </cell>
          <cell r="L35">
            <v>93.2</v>
          </cell>
          <cell r="M35">
            <v>466.02</v>
          </cell>
        </row>
        <row r="36">
          <cell r="A36" t="str">
            <v>01.02.01</v>
          </cell>
          <cell r="C36" t="str">
            <v>EQUIPOS</v>
          </cell>
          <cell r="J36">
            <v>0</v>
          </cell>
        </row>
        <row r="37">
          <cell r="A37" t="str">
            <v>01.02.01</v>
          </cell>
          <cell r="B37" t="str">
            <v>370101</v>
          </cell>
          <cell r="C37" t="str">
            <v>HERRAMIENTAS MANUALES</v>
          </cell>
          <cell r="D37" t="str">
            <v>%MO</v>
          </cell>
          <cell r="F37">
            <v>2</v>
          </cell>
          <cell r="G37">
            <v>1.0055000000000001</v>
          </cell>
          <cell r="H37">
            <v>2.0110000000000003E-2</v>
          </cell>
          <cell r="I37">
            <v>2.0110000000000003E-2</v>
          </cell>
          <cell r="J37" t="str">
            <v>37</v>
          </cell>
          <cell r="K37">
            <v>7767</v>
          </cell>
          <cell r="L37">
            <v>0</v>
          </cell>
          <cell r="M37">
            <v>156.19</v>
          </cell>
        </row>
        <row r="38">
          <cell r="J38">
            <v>0</v>
          </cell>
        </row>
        <row r="39">
          <cell r="A39" t="str">
            <v>02.01.03.0</v>
          </cell>
          <cell r="B39" t="str">
            <v>ELIMINACION DE BASURA Y ELEMENTOS SUELTOS PESADOS</v>
          </cell>
          <cell r="C39">
            <v>0</v>
          </cell>
          <cell r="D39">
            <v>0</v>
          </cell>
          <cell r="E39">
            <v>0</v>
          </cell>
          <cell r="F39">
            <v>0</v>
          </cell>
          <cell r="G39">
            <v>0</v>
          </cell>
          <cell r="H39" t="str">
            <v>M3</v>
          </cell>
          <cell r="I39">
            <v>21.959600000000002</v>
          </cell>
          <cell r="J39">
            <v>0</v>
          </cell>
        </row>
        <row r="40">
          <cell r="A40" t="str">
            <v>02.01.03.0</v>
          </cell>
          <cell r="E40" t="str">
            <v>RENDIMIENTO</v>
          </cell>
          <cell r="F40">
            <v>2</v>
          </cell>
          <cell r="G40" t="str">
            <v>M3/día</v>
          </cell>
          <cell r="J40">
            <v>0</v>
          </cell>
        </row>
        <row r="41">
          <cell r="A41" t="str">
            <v>02.01.03.0</v>
          </cell>
          <cell r="C41" t="str">
            <v>MANO DE OBRA</v>
          </cell>
          <cell r="J41">
            <v>0</v>
          </cell>
        </row>
        <row r="42">
          <cell r="A42" t="str">
            <v>02.01.03.0</v>
          </cell>
          <cell r="B42" t="str">
            <v>470039</v>
          </cell>
          <cell r="C42" t="str">
            <v>OBRERO  C</v>
          </cell>
          <cell r="D42" t="str">
            <v>HH</v>
          </cell>
          <cell r="E42">
            <v>1</v>
          </cell>
          <cell r="F42">
            <v>4</v>
          </cell>
          <cell r="G42">
            <v>5.33</v>
          </cell>
          <cell r="H42">
            <v>21.32</v>
          </cell>
          <cell r="I42">
            <v>21.32</v>
          </cell>
          <cell r="J42" t="str">
            <v>47</v>
          </cell>
          <cell r="K42">
            <v>5</v>
          </cell>
          <cell r="L42">
            <v>20</v>
          </cell>
          <cell r="M42">
            <v>106.6</v>
          </cell>
        </row>
        <row r="43">
          <cell r="A43" t="str">
            <v>02.01.03.0</v>
          </cell>
          <cell r="C43" t="str">
            <v>EQUIPOS</v>
          </cell>
          <cell r="J43">
            <v>0</v>
          </cell>
        </row>
        <row r="44">
          <cell r="A44" t="str">
            <v>02.01.03.0</v>
          </cell>
          <cell r="B44" t="str">
            <v>370101</v>
          </cell>
          <cell r="C44" t="str">
            <v>HERRAMIENTAS MANUALES</v>
          </cell>
          <cell r="D44" t="str">
            <v>%MO</v>
          </cell>
          <cell r="F44">
            <v>3</v>
          </cell>
          <cell r="G44">
            <v>21.32</v>
          </cell>
          <cell r="H44">
            <v>0.63959999999999995</v>
          </cell>
          <cell r="I44">
            <v>0.63959999999999995</v>
          </cell>
          <cell r="J44" t="str">
            <v>37</v>
          </cell>
          <cell r="K44">
            <v>5</v>
          </cell>
          <cell r="L44">
            <v>0</v>
          </cell>
          <cell r="M44">
            <v>3.2</v>
          </cell>
        </row>
        <row r="45">
          <cell r="J45">
            <v>0</v>
          </cell>
        </row>
        <row r="46">
          <cell r="A46" t="str">
            <v>02.01.03.1</v>
          </cell>
          <cell r="B46" t="str">
            <v>ELIMINACION DE MALEZA Y ARBUSTOS DE FACIL EXTRACCION</v>
          </cell>
          <cell r="C46">
            <v>0</v>
          </cell>
          <cell r="D46">
            <v>0</v>
          </cell>
          <cell r="E46">
            <v>0</v>
          </cell>
          <cell r="F46">
            <v>0</v>
          </cell>
          <cell r="G46">
            <v>0</v>
          </cell>
          <cell r="H46" t="str">
            <v xml:space="preserve"> M2</v>
          </cell>
          <cell r="I46">
            <v>0.820488</v>
          </cell>
          <cell r="J46">
            <v>0</v>
          </cell>
        </row>
        <row r="47">
          <cell r="A47" t="str">
            <v>02.01.03.1</v>
          </cell>
          <cell r="E47" t="str">
            <v>RENDIMIENTO</v>
          </cell>
          <cell r="F47">
            <v>60</v>
          </cell>
          <cell r="G47" t="str">
            <v xml:space="preserve"> M2/día</v>
          </cell>
          <cell r="J47">
            <v>0</v>
          </cell>
        </row>
        <row r="48">
          <cell r="A48" t="str">
            <v>02.01.03.1</v>
          </cell>
          <cell r="C48" t="str">
            <v>MANO DE OBRA</v>
          </cell>
          <cell r="J48">
            <v>0</v>
          </cell>
        </row>
        <row r="49">
          <cell r="A49" t="str">
            <v>02.01.03.1</v>
          </cell>
          <cell r="B49" t="str">
            <v>470039</v>
          </cell>
          <cell r="C49" t="str">
            <v>OBRERO  C</v>
          </cell>
          <cell r="D49" t="str">
            <v>HH</v>
          </cell>
          <cell r="E49">
            <v>1</v>
          </cell>
          <cell r="F49">
            <v>0.13333333333333333</v>
          </cell>
          <cell r="G49">
            <v>5.33</v>
          </cell>
          <cell r="H49">
            <v>0.71066666666666667</v>
          </cell>
          <cell r="J49" t="str">
            <v>47</v>
          </cell>
          <cell r="K49">
            <v>3500</v>
          </cell>
          <cell r="L49">
            <v>466.67</v>
          </cell>
          <cell r="M49">
            <v>2487.33</v>
          </cell>
        </row>
        <row r="50">
          <cell r="A50" t="str">
            <v>02.01.03.1</v>
          </cell>
          <cell r="B50" t="str">
            <v>470040</v>
          </cell>
          <cell r="C50" t="str">
            <v>MAESTRO DE OBRA</v>
          </cell>
          <cell r="D50" t="str">
            <v>HH</v>
          </cell>
          <cell r="E50">
            <v>0.1</v>
          </cell>
          <cell r="F50">
            <v>1.3333333333333334E-2</v>
          </cell>
          <cell r="G50">
            <v>7.03</v>
          </cell>
          <cell r="H50">
            <v>9.3733333333333349E-2</v>
          </cell>
          <cell r="I50">
            <v>0.8044</v>
          </cell>
          <cell r="J50" t="str">
            <v>47</v>
          </cell>
          <cell r="K50">
            <v>3500</v>
          </cell>
          <cell r="L50">
            <v>46.67</v>
          </cell>
          <cell r="M50">
            <v>328.07</v>
          </cell>
        </row>
        <row r="51">
          <cell r="A51" t="str">
            <v>02.01.03.1</v>
          </cell>
          <cell r="J51">
            <v>0</v>
          </cell>
        </row>
        <row r="52">
          <cell r="A52" t="str">
            <v>02.01.03.1</v>
          </cell>
          <cell r="C52" t="str">
            <v>EQUIPOS</v>
          </cell>
          <cell r="J52">
            <v>0</v>
          </cell>
        </row>
        <row r="53">
          <cell r="A53" t="str">
            <v>02.01.03.1</v>
          </cell>
          <cell r="B53" t="str">
            <v>370101</v>
          </cell>
          <cell r="C53" t="str">
            <v>HERRAMIENTAS MANUALES</v>
          </cell>
          <cell r="D53" t="str">
            <v>%MO</v>
          </cell>
          <cell r="F53">
            <v>2</v>
          </cell>
          <cell r="G53">
            <v>0.8044</v>
          </cell>
          <cell r="H53">
            <v>1.6088000000000002E-2</v>
          </cell>
          <cell r="I53">
            <v>1.6088000000000002E-2</v>
          </cell>
          <cell r="J53" t="str">
            <v>37</v>
          </cell>
          <cell r="K53">
            <v>3500</v>
          </cell>
          <cell r="L53">
            <v>0</v>
          </cell>
          <cell r="M53">
            <v>56.31</v>
          </cell>
        </row>
        <row r="54">
          <cell r="J54">
            <v>0</v>
          </cell>
        </row>
        <row r="55">
          <cell r="A55" t="str">
            <v>02.01.03.2</v>
          </cell>
          <cell r="B55" t="str">
            <v>ELIMINACION DE MALEZA EN PARAMENTOS</v>
          </cell>
          <cell r="C55">
            <v>0</v>
          </cell>
          <cell r="D55">
            <v>0</v>
          </cell>
          <cell r="E55">
            <v>0</v>
          </cell>
          <cell r="F55">
            <v>0</v>
          </cell>
          <cell r="G55">
            <v>0</v>
          </cell>
          <cell r="H55" t="str">
            <v xml:space="preserve"> M2</v>
          </cell>
          <cell r="I55">
            <v>1.2307320000000002</v>
          </cell>
          <cell r="J55">
            <v>0</v>
          </cell>
        </row>
        <row r="56">
          <cell r="A56" t="str">
            <v>02.01.03.2</v>
          </cell>
          <cell r="E56" t="str">
            <v>RENDIMIENTO</v>
          </cell>
          <cell r="F56">
            <v>40</v>
          </cell>
          <cell r="G56" t="str">
            <v xml:space="preserve"> M2/día</v>
          </cell>
          <cell r="J56">
            <v>0</v>
          </cell>
        </row>
        <row r="57">
          <cell r="A57" t="str">
            <v>02.01.03.2</v>
          </cell>
          <cell r="C57" t="str">
            <v>MANO DE OBRA</v>
          </cell>
          <cell r="J57">
            <v>0</v>
          </cell>
        </row>
        <row r="58">
          <cell r="A58" t="str">
            <v>02.01.03.2</v>
          </cell>
          <cell r="B58" t="str">
            <v>470039</v>
          </cell>
          <cell r="C58" t="str">
            <v>OBRERO  C</v>
          </cell>
          <cell r="D58" t="str">
            <v>HH</v>
          </cell>
          <cell r="E58">
            <v>1</v>
          </cell>
          <cell r="F58">
            <v>0.2</v>
          </cell>
          <cell r="G58">
            <v>5.33</v>
          </cell>
          <cell r="H58">
            <v>1.0660000000000001</v>
          </cell>
          <cell r="J58" t="str">
            <v>47</v>
          </cell>
          <cell r="K58">
            <v>500</v>
          </cell>
          <cell r="L58">
            <v>100</v>
          </cell>
          <cell r="M58">
            <v>533</v>
          </cell>
        </row>
        <row r="59">
          <cell r="A59" t="str">
            <v>02.01.03.2</v>
          </cell>
          <cell r="B59" t="str">
            <v>470040</v>
          </cell>
          <cell r="C59" t="str">
            <v>MAESTRO DE OBRA</v>
          </cell>
          <cell r="D59" t="str">
            <v>HH</v>
          </cell>
          <cell r="E59">
            <v>0.1</v>
          </cell>
          <cell r="F59">
            <v>2.0000000000000004E-2</v>
          </cell>
          <cell r="G59">
            <v>7.03</v>
          </cell>
          <cell r="H59">
            <v>0.14060000000000003</v>
          </cell>
          <cell r="I59">
            <v>1.2066000000000001</v>
          </cell>
          <cell r="J59" t="str">
            <v>47</v>
          </cell>
          <cell r="K59">
            <v>500</v>
          </cell>
          <cell r="L59">
            <v>10</v>
          </cell>
          <cell r="M59">
            <v>70.3</v>
          </cell>
        </row>
        <row r="60">
          <cell r="A60" t="str">
            <v>02.01.03.2</v>
          </cell>
          <cell r="J60">
            <v>0</v>
          </cell>
        </row>
        <row r="61">
          <cell r="A61" t="str">
            <v>02.01.03.2</v>
          </cell>
          <cell r="C61" t="str">
            <v>EQUIPOS</v>
          </cell>
          <cell r="J61">
            <v>0</v>
          </cell>
        </row>
        <row r="62">
          <cell r="A62" t="str">
            <v>02.01.03.2</v>
          </cell>
          <cell r="B62" t="str">
            <v>370101</v>
          </cell>
          <cell r="C62" t="str">
            <v>HERRAMIENTAS MANUALES</v>
          </cell>
          <cell r="D62" t="str">
            <v>%MO</v>
          </cell>
          <cell r="F62">
            <v>2</v>
          </cell>
          <cell r="G62">
            <v>1.2066000000000001</v>
          </cell>
          <cell r="H62">
            <v>2.4132000000000004E-2</v>
          </cell>
          <cell r="I62">
            <v>2.4132000000000004E-2</v>
          </cell>
          <cell r="J62" t="str">
            <v>37</v>
          </cell>
          <cell r="K62">
            <v>500</v>
          </cell>
          <cell r="L62">
            <v>0</v>
          </cell>
          <cell r="M62">
            <v>12.07</v>
          </cell>
        </row>
        <row r="63">
          <cell r="J63">
            <v>0</v>
          </cell>
        </row>
        <row r="64">
          <cell r="A64" t="str">
            <v>02.01.03.3</v>
          </cell>
          <cell r="B64" t="str">
            <v>ELIMINACION DE RAICES DE MEDIANA PROFUNDIDAD</v>
          </cell>
          <cell r="C64">
            <v>0</v>
          </cell>
          <cell r="D64">
            <v>0</v>
          </cell>
          <cell r="E64">
            <v>0</v>
          </cell>
          <cell r="F64">
            <v>0</v>
          </cell>
          <cell r="G64">
            <v>0</v>
          </cell>
          <cell r="H64" t="str">
            <v>PZA</v>
          </cell>
          <cell r="I64">
            <v>8.980080000000001</v>
          </cell>
          <cell r="J64">
            <v>0</v>
          </cell>
        </row>
        <row r="65">
          <cell r="A65" t="str">
            <v>02.01.03.3</v>
          </cell>
          <cell r="E65" t="str">
            <v>RENDIMIENTO</v>
          </cell>
          <cell r="F65">
            <v>6</v>
          </cell>
          <cell r="G65" t="str">
            <v>PZA/día</v>
          </cell>
          <cell r="J65">
            <v>0</v>
          </cell>
        </row>
        <row r="66">
          <cell r="A66" t="str">
            <v>02.01.03.3</v>
          </cell>
          <cell r="C66" t="str">
            <v>MANO DE OBRA</v>
          </cell>
          <cell r="J66">
            <v>0</v>
          </cell>
        </row>
        <row r="67">
          <cell r="A67" t="str">
            <v>02.01.03.3</v>
          </cell>
          <cell r="B67" t="str">
            <v>470038</v>
          </cell>
          <cell r="C67" t="str">
            <v>OBRERO  B</v>
          </cell>
          <cell r="D67" t="str">
            <v>HH</v>
          </cell>
          <cell r="E67">
            <v>1</v>
          </cell>
          <cell r="F67">
            <v>1.3333333333333333</v>
          </cell>
          <cell r="G67">
            <v>5.9</v>
          </cell>
          <cell r="H67">
            <v>7.8666666666666671</v>
          </cell>
          <cell r="J67" t="str">
            <v>47</v>
          </cell>
          <cell r="K67">
            <v>20</v>
          </cell>
          <cell r="L67">
            <v>26.67</v>
          </cell>
          <cell r="M67">
            <v>157.33000000000001</v>
          </cell>
        </row>
        <row r="68">
          <cell r="A68" t="str">
            <v>02.01.03.3</v>
          </cell>
          <cell r="B68" t="str">
            <v>470040</v>
          </cell>
          <cell r="C68" t="str">
            <v>MAESTRO DE OBRA</v>
          </cell>
          <cell r="D68" t="str">
            <v>HH</v>
          </cell>
          <cell r="E68">
            <v>0.1</v>
          </cell>
          <cell r="F68">
            <v>0.13333333333333333</v>
          </cell>
          <cell r="G68">
            <v>7.03</v>
          </cell>
          <cell r="H68">
            <v>0.93733333333333335</v>
          </cell>
          <cell r="I68">
            <v>8.8040000000000003</v>
          </cell>
          <cell r="J68" t="str">
            <v>47</v>
          </cell>
          <cell r="K68">
            <v>20</v>
          </cell>
          <cell r="L68">
            <v>2.67</v>
          </cell>
          <cell r="M68">
            <v>18.75</v>
          </cell>
        </row>
        <row r="69">
          <cell r="A69" t="str">
            <v>02.01.03.3</v>
          </cell>
          <cell r="J69">
            <v>0</v>
          </cell>
        </row>
        <row r="70">
          <cell r="A70" t="str">
            <v>02.01.03.3</v>
          </cell>
          <cell r="C70" t="str">
            <v>EQUIPOS</v>
          </cell>
          <cell r="J70">
            <v>0</v>
          </cell>
        </row>
        <row r="71">
          <cell r="A71" t="str">
            <v>02.01.03.3</v>
          </cell>
          <cell r="B71" t="str">
            <v>370101</v>
          </cell>
          <cell r="C71" t="str">
            <v>HERRAMIENTAS MANUALES</v>
          </cell>
          <cell r="D71" t="str">
            <v>%MO</v>
          </cell>
          <cell r="F71">
            <v>2</v>
          </cell>
          <cell r="G71">
            <v>8.8040000000000003</v>
          </cell>
          <cell r="H71">
            <v>0.17608000000000001</v>
          </cell>
          <cell r="I71">
            <v>0.17608000000000001</v>
          </cell>
          <cell r="J71" t="str">
            <v>37</v>
          </cell>
          <cell r="K71">
            <v>20</v>
          </cell>
          <cell r="L71">
            <v>0</v>
          </cell>
          <cell r="M71">
            <v>3.52</v>
          </cell>
        </row>
        <row r="72">
          <cell r="J72">
            <v>0</v>
          </cell>
        </row>
        <row r="73">
          <cell r="A73" t="str">
            <v>02.01.03.5</v>
          </cell>
          <cell r="B73" t="str">
            <v>ELIMINACION DE RAICES DE EUCALIPTO</v>
          </cell>
          <cell r="C73">
            <v>0</v>
          </cell>
          <cell r="D73">
            <v>0</v>
          </cell>
          <cell r="E73">
            <v>0</v>
          </cell>
          <cell r="F73">
            <v>0</v>
          </cell>
          <cell r="G73">
            <v>0</v>
          </cell>
          <cell r="H73" t="str">
            <v>PZA</v>
          </cell>
          <cell r="I73">
            <v>47.724599999999995</v>
          </cell>
          <cell r="J73">
            <v>0</v>
          </cell>
        </row>
        <row r="74">
          <cell r="A74" t="str">
            <v>02.01.03.5</v>
          </cell>
          <cell r="E74" t="str">
            <v>RENDIMIENTO</v>
          </cell>
          <cell r="F74">
            <v>2</v>
          </cell>
          <cell r="G74" t="str">
            <v>PZA/día</v>
          </cell>
          <cell r="J74">
            <v>0</v>
          </cell>
        </row>
        <row r="75">
          <cell r="A75" t="str">
            <v>02.01.03.5</v>
          </cell>
          <cell r="C75" t="str">
            <v>MANO DE OBRA</v>
          </cell>
          <cell r="J75">
            <v>0</v>
          </cell>
        </row>
        <row r="76">
          <cell r="A76" t="str">
            <v>02.01.03.5</v>
          </cell>
          <cell r="B76" t="str">
            <v>470039</v>
          </cell>
          <cell r="C76" t="str">
            <v>OBRERO  C</v>
          </cell>
          <cell r="D76" t="str">
            <v>HH</v>
          </cell>
          <cell r="E76">
            <v>2</v>
          </cell>
          <cell r="F76">
            <v>8</v>
          </cell>
          <cell r="G76">
            <v>5.33</v>
          </cell>
          <cell r="H76">
            <v>42.64</v>
          </cell>
          <cell r="J76" t="str">
            <v>47</v>
          </cell>
          <cell r="K76">
            <v>12</v>
          </cell>
          <cell r="L76">
            <v>96</v>
          </cell>
          <cell r="M76">
            <v>511.68</v>
          </cell>
        </row>
        <row r="77">
          <cell r="A77" t="str">
            <v>02.01.03.5</v>
          </cell>
          <cell r="B77" t="str">
            <v>470040</v>
          </cell>
          <cell r="C77" t="str">
            <v>MAESTRO DE OBRA</v>
          </cell>
          <cell r="D77" t="str">
            <v>HH</v>
          </cell>
          <cell r="E77">
            <v>0.1</v>
          </cell>
          <cell r="F77">
            <v>0.4</v>
          </cell>
          <cell r="G77">
            <v>7.03</v>
          </cell>
          <cell r="H77">
            <v>2.8120000000000003</v>
          </cell>
          <cell r="I77">
            <v>45.451999999999998</v>
          </cell>
          <cell r="J77" t="str">
            <v>47</v>
          </cell>
          <cell r="K77">
            <v>12</v>
          </cell>
          <cell r="L77">
            <v>4.8</v>
          </cell>
          <cell r="M77">
            <v>33.74</v>
          </cell>
        </row>
        <row r="78">
          <cell r="A78" t="str">
            <v>02.01.03.5</v>
          </cell>
          <cell r="J78">
            <v>0</v>
          </cell>
        </row>
        <row r="79">
          <cell r="A79" t="str">
            <v>02.01.03.5</v>
          </cell>
          <cell r="C79" t="str">
            <v>EQUIPOS</v>
          </cell>
          <cell r="J79">
            <v>0</v>
          </cell>
        </row>
        <row r="80">
          <cell r="A80" t="str">
            <v>02.01.03.5</v>
          </cell>
          <cell r="B80" t="str">
            <v>370101</v>
          </cell>
          <cell r="C80" t="str">
            <v>HERRAMIENTAS MANUALES</v>
          </cell>
          <cell r="D80" t="str">
            <v>%MO</v>
          </cell>
          <cell r="F80">
            <v>5</v>
          </cell>
          <cell r="G80">
            <v>45.451999999999998</v>
          </cell>
          <cell r="H80">
            <v>2.2726000000000002</v>
          </cell>
          <cell r="I80">
            <v>2.2726000000000002</v>
          </cell>
          <cell r="J80" t="str">
            <v>37</v>
          </cell>
          <cell r="K80">
            <v>12</v>
          </cell>
          <cell r="L80">
            <v>0</v>
          </cell>
          <cell r="M80">
            <v>27.27</v>
          </cell>
        </row>
        <row r="81">
          <cell r="J81">
            <v>0</v>
          </cell>
        </row>
        <row r="82">
          <cell r="A82" t="str">
            <v>02.05.01</v>
          </cell>
          <cell r="B82" t="str">
            <v>APUNTALAMIENTO DE MUROS</v>
          </cell>
          <cell r="C82">
            <v>0</v>
          </cell>
          <cell r="D82">
            <v>0</v>
          </cell>
          <cell r="E82">
            <v>0</v>
          </cell>
          <cell r="F82">
            <v>0</v>
          </cell>
          <cell r="G82">
            <v>0</v>
          </cell>
          <cell r="H82" t="str">
            <v>PZA</v>
          </cell>
          <cell r="I82">
            <v>54.369106666666667</v>
          </cell>
          <cell r="J82">
            <v>0</v>
          </cell>
        </row>
        <row r="83">
          <cell r="A83" t="str">
            <v>02.05.01</v>
          </cell>
          <cell r="E83" t="str">
            <v>RENDIMIENTO</v>
          </cell>
          <cell r="F83">
            <v>3</v>
          </cell>
          <cell r="G83" t="str">
            <v>PZA/día</v>
          </cell>
          <cell r="J83">
            <v>0</v>
          </cell>
        </row>
        <row r="84">
          <cell r="A84" t="str">
            <v>02.05.01</v>
          </cell>
          <cell r="C84" t="str">
            <v>MANO DE OBRA</v>
          </cell>
          <cell r="J84">
            <v>0</v>
          </cell>
        </row>
        <row r="85">
          <cell r="A85" t="str">
            <v>02.05.01</v>
          </cell>
          <cell r="B85" t="str">
            <v>470037</v>
          </cell>
          <cell r="C85" t="str">
            <v>OBRERO  A</v>
          </cell>
          <cell r="D85" t="str">
            <v>HH</v>
          </cell>
          <cell r="E85">
            <v>1</v>
          </cell>
          <cell r="F85">
            <v>2.6666666666666665</v>
          </cell>
          <cell r="G85">
            <v>6.46</v>
          </cell>
          <cell r="H85">
            <v>17.226666666666667</v>
          </cell>
          <cell r="J85" t="str">
            <v>47</v>
          </cell>
          <cell r="K85">
            <v>6</v>
          </cell>
          <cell r="L85">
            <v>16</v>
          </cell>
          <cell r="M85">
            <v>103.36</v>
          </cell>
        </row>
        <row r="86">
          <cell r="A86" t="str">
            <v>02.05.01</v>
          </cell>
          <cell r="B86" t="str">
            <v>470039</v>
          </cell>
          <cell r="C86" t="str">
            <v>OBRERO  C</v>
          </cell>
          <cell r="D86" t="str">
            <v>HH</v>
          </cell>
          <cell r="E86">
            <v>1</v>
          </cell>
          <cell r="F86">
            <v>2.6666666666666665</v>
          </cell>
          <cell r="G86">
            <v>5.33</v>
          </cell>
          <cell r="H86">
            <v>14.213333333333333</v>
          </cell>
          <cell r="J86" t="str">
            <v>47</v>
          </cell>
          <cell r="K86">
            <v>6</v>
          </cell>
          <cell r="L86">
            <v>16</v>
          </cell>
          <cell r="M86">
            <v>85.28</v>
          </cell>
        </row>
        <row r="87">
          <cell r="A87" t="str">
            <v>02.05.01</v>
          </cell>
          <cell r="B87" t="str">
            <v>470040</v>
          </cell>
          <cell r="C87" t="str">
            <v>MAESTRO DE OBRA</v>
          </cell>
          <cell r="D87" t="str">
            <v>HH</v>
          </cell>
          <cell r="E87">
            <v>0.1</v>
          </cell>
          <cell r="F87">
            <v>0.26666666666666666</v>
          </cell>
          <cell r="G87">
            <v>7.03</v>
          </cell>
          <cell r="H87">
            <v>1.8746666666666667</v>
          </cell>
          <cell r="I87">
            <v>33.314666666666668</v>
          </cell>
          <cell r="J87" t="str">
            <v>47</v>
          </cell>
          <cell r="K87">
            <v>6</v>
          </cell>
          <cell r="L87">
            <v>1.6</v>
          </cell>
          <cell r="M87">
            <v>11.25</v>
          </cell>
        </row>
        <row r="88">
          <cell r="A88" t="str">
            <v>02.05.01</v>
          </cell>
          <cell r="C88" t="str">
            <v>MATERIALES</v>
          </cell>
          <cell r="J88">
            <v>0</v>
          </cell>
        </row>
        <row r="89">
          <cell r="A89" t="str">
            <v>02.05.01</v>
          </cell>
          <cell r="B89" t="str">
            <v>020106</v>
          </cell>
          <cell r="C89" t="str">
            <v>CLAVOS PARA MADERA C/C 4"</v>
          </cell>
          <cell r="D89" t="str">
            <v>KG</v>
          </cell>
          <cell r="F89">
            <v>0.15</v>
          </cell>
          <cell r="G89">
            <v>4</v>
          </cell>
          <cell r="H89">
            <v>0.6</v>
          </cell>
          <cell r="J89" t="str">
            <v>02</v>
          </cell>
          <cell r="K89">
            <v>6</v>
          </cell>
          <cell r="L89">
            <v>0.9</v>
          </cell>
          <cell r="M89">
            <v>3.6</v>
          </cell>
        </row>
        <row r="90">
          <cell r="A90" t="str">
            <v>02.05.01</v>
          </cell>
          <cell r="B90" t="str">
            <v>020107</v>
          </cell>
          <cell r="C90" t="str">
            <v>CLAVOS PARA MADERA C/C 5"</v>
          </cell>
          <cell r="D90" t="str">
            <v>KG</v>
          </cell>
          <cell r="F90">
            <v>0.15</v>
          </cell>
          <cell r="G90">
            <v>4.5</v>
          </cell>
          <cell r="H90">
            <v>0.67499999999999993</v>
          </cell>
          <cell r="J90" t="str">
            <v>02</v>
          </cell>
          <cell r="K90">
            <v>6</v>
          </cell>
          <cell r="L90">
            <v>0.9</v>
          </cell>
          <cell r="M90">
            <v>4.05</v>
          </cell>
        </row>
        <row r="91">
          <cell r="A91" t="str">
            <v>02.05.01</v>
          </cell>
          <cell r="B91" t="str">
            <v>020108</v>
          </cell>
          <cell r="C91" t="str">
            <v>CLAVOS PARA MADERA C/C 6"</v>
          </cell>
          <cell r="D91" t="str">
            <v>KG</v>
          </cell>
          <cell r="F91">
            <v>0.12</v>
          </cell>
          <cell r="G91">
            <v>6.5</v>
          </cell>
          <cell r="H91">
            <v>0.78</v>
          </cell>
          <cell r="J91" t="str">
            <v>02</v>
          </cell>
          <cell r="K91">
            <v>6</v>
          </cell>
          <cell r="L91">
            <v>0.72</v>
          </cell>
          <cell r="M91">
            <v>4.68</v>
          </cell>
        </row>
        <row r="92">
          <cell r="A92" t="str">
            <v>02.05.01</v>
          </cell>
          <cell r="B92" t="str">
            <v>440019</v>
          </cell>
          <cell r="C92" t="str">
            <v>MADERA CORRIENTE 1 1/2"X8" X 10"</v>
          </cell>
          <cell r="D92" t="str">
            <v>PZA</v>
          </cell>
          <cell r="F92">
            <v>0.5</v>
          </cell>
          <cell r="G92">
            <v>16</v>
          </cell>
          <cell r="H92">
            <v>8</v>
          </cell>
          <cell r="J92" t="str">
            <v>44</v>
          </cell>
          <cell r="K92">
            <v>6</v>
          </cell>
          <cell r="L92">
            <v>3</v>
          </cell>
          <cell r="M92">
            <v>48</v>
          </cell>
        </row>
        <row r="93">
          <cell r="A93" t="str">
            <v>02.05.01</v>
          </cell>
          <cell r="B93" t="str">
            <v>625202</v>
          </cell>
          <cell r="C93" t="str">
            <v>PALO ROLLIZO DE EUCALIPTO DE 5"X5m</v>
          </cell>
          <cell r="D93" t="str">
            <v>PZA</v>
          </cell>
          <cell r="F93">
            <v>1</v>
          </cell>
          <cell r="G93">
            <v>10</v>
          </cell>
          <cell r="H93">
            <v>10</v>
          </cell>
          <cell r="I93">
            <v>20.055</v>
          </cell>
          <cell r="J93" t="str">
            <v>62</v>
          </cell>
          <cell r="K93">
            <v>6</v>
          </cell>
          <cell r="L93">
            <v>6</v>
          </cell>
          <cell r="M93">
            <v>60</v>
          </cell>
        </row>
        <row r="94">
          <cell r="A94" t="str">
            <v>02.05.01</v>
          </cell>
          <cell r="C94" t="str">
            <v>EQUIPOS</v>
          </cell>
          <cell r="J94">
            <v>0</v>
          </cell>
        </row>
        <row r="95">
          <cell r="A95" t="str">
            <v>02.05.01</v>
          </cell>
          <cell r="B95" t="str">
            <v>370101</v>
          </cell>
          <cell r="C95" t="str">
            <v>HERRAMIENTAS MANUALES</v>
          </cell>
          <cell r="D95" t="str">
            <v>%MO</v>
          </cell>
          <cell r="F95">
            <v>3</v>
          </cell>
          <cell r="G95">
            <v>33.314666666666668</v>
          </cell>
          <cell r="H95">
            <v>0.99944</v>
          </cell>
          <cell r="I95">
            <v>0.99944</v>
          </cell>
          <cell r="J95" t="str">
            <v>37</v>
          </cell>
          <cell r="K95">
            <v>6</v>
          </cell>
          <cell r="L95">
            <v>0</v>
          </cell>
          <cell r="M95">
            <v>6</v>
          </cell>
        </row>
        <row r="96">
          <cell r="J96">
            <v>0</v>
          </cell>
        </row>
        <row r="97">
          <cell r="A97" t="str">
            <v>02.05.04</v>
          </cell>
          <cell r="B97" t="str">
            <v>BALIZAS Y CRUCETAS DE ROLLIZO</v>
          </cell>
          <cell r="C97">
            <v>0</v>
          </cell>
          <cell r="D97">
            <v>0</v>
          </cell>
          <cell r="E97">
            <v>0</v>
          </cell>
          <cell r="F97">
            <v>0</v>
          </cell>
          <cell r="G97">
            <v>0</v>
          </cell>
          <cell r="H97" t="str">
            <v>PZA</v>
          </cell>
          <cell r="I97">
            <v>37.948079999999997</v>
          </cell>
          <cell r="J97">
            <v>0</v>
          </cell>
        </row>
        <row r="98">
          <cell r="A98" t="str">
            <v>02.05.04</v>
          </cell>
          <cell r="E98" t="str">
            <v>RENDIMIENTO</v>
          </cell>
          <cell r="F98">
            <v>6</v>
          </cell>
          <cell r="G98" t="str">
            <v>PZA/día</v>
          </cell>
          <cell r="J98">
            <v>0</v>
          </cell>
        </row>
        <row r="99">
          <cell r="A99" t="str">
            <v>02.05.04</v>
          </cell>
          <cell r="C99" t="str">
            <v>MANO DE OBRA</v>
          </cell>
          <cell r="J99">
            <v>0</v>
          </cell>
        </row>
        <row r="100">
          <cell r="A100" t="str">
            <v>02.05.04</v>
          </cell>
          <cell r="B100" t="str">
            <v>470037</v>
          </cell>
          <cell r="C100" t="str">
            <v>OBRERO  A</v>
          </cell>
          <cell r="D100" t="str">
            <v>HH</v>
          </cell>
          <cell r="E100">
            <v>1</v>
          </cell>
          <cell r="F100">
            <v>1.3333333333333333</v>
          </cell>
          <cell r="G100">
            <v>6.46</v>
          </cell>
          <cell r="H100">
            <v>8.6133333333333333</v>
          </cell>
          <cell r="J100" t="str">
            <v>47</v>
          </cell>
          <cell r="K100">
            <v>50</v>
          </cell>
          <cell r="L100">
            <v>66.67</v>
          </cell>
          <cell r="M100">
            <v>430.67</v>
          </cell>
        </row>
        <row r="101">
          <cell r="A101" t="str">
            <v>02.05.04</v>
          </cell>
          <cell r="B101" t="str">
            <v>470039</v>
          </cell>
          <cell r="C101" t="str">
            <v>OBRERO  C</v>
          </cell>
          <cell r="D101" t="str">
            <v>HH</v>
          </cell>
          <cell r="E101">
            <v>1</v>
          </cell>
          <cell r="F101">
            <v>1.3333333333333333</v>
          </cell>
          <cell r="G101">
            <v>5.33</v>
          </cell>
          <cell r="H101">
            <v>7.1066666666666665</v>
          </cell>
          <cell r="J101" t="str">
            <v>47</v>
          </cell>
          <cell r="K101">
            <v>50</v>
          </cell>
          <cell r="L101">
            <v>66.67</v>
          </cell>
          <cell r="M101">
            <v>355.33</v>
          </cell>
        </row>
        <row r="102">
          <cell r="A102" t="str">
            <v>02.05.04</v>
          </cell>
          <cell r="B102" t="str">
            <v>470040</v>
          </cell>
          <cell r="C102" t="str">
            <v>MAESTRO DE OBRA</v>
          </cell>
          <cell r="D102" t="str">
            <v>HH</v>
          </cell>
          <cell r="E102">
            <v>0.1</v>
          </cell>
          <cell r="F102">
            <v>0.13333333333333333</v>
          </cell>
          <cell r="G102">
            <v>7.03</v>
          </cell>
          <cell r="H102">
            <v>0.93733333333333335</v>
          </cell>
          <cell r="I102">
            <v>16.657333333333334</v>
          </cell>
          <cell r="J102" t="str">
            <v>47</v>
          </cell>
          <cell r="K102">
            <v>50</v>
          </cell>
          <cell r="L102">
            <v>6.67</v>
          </cell>
          <cell r="M102">
            <v>46.87</v>
          </cell>
        </row>
        <row r="103">
          <cell r="A103" t="str">
            <v>02.05.04</v>
          </cell>
          <cell r="C103" t="str">
            <v>MATERIALES</v>
          </cell>
          <cell r="J103">
            <v>0</v>
          </cell>
        </row>
        <row r="104">
          <cell r="A104" t="str">
            <v>02.05.04</v>
          </cell>
          <cell r="B104" t="str">
            <v>020004</v>
          </cell>
          <cell r="C104" t="str">
            <v>ALAMBRE GALVANIZADO #16</v>
          </cell>
          <cell r="D104" t="str">
            <v>KG</v>
          </cell>
          <cell r="F104">
            <v>0.3846</v>
          </cell>
          <cell r="G104">
            <v>6</v>
          </cell>
          <cell r="H104">
            <v>2.3075999999999999</v>
          </cell>
          <cell r="J104" t="str">
            <v>02</v>
          </cell>
          <cell r="K104">
            <v>50</v>
          </cell>
          <cell r="L104">
            <v>19.23</v>
          </cell>
          <cell r="M104">
            <v>115.38</v>
          </cell>
        </row>
        <row r="105">
          <cell r="A105" t="str">
            <v>02.05.04</v>
          </cell>
          <cell r="B105" t="str">
            <v>020106</v>
          </cell>
          <cell r="C105" t="str">
            <v>CLAVOS PARA MADERA C/C 4"</v>
          </cell>
          <cell r="D105" t="str">
            <v>KG</v>
          </cell>
          <cell r="F105">
            <v>0.15</v>
          </cell>
          <cell r="G105">
            <v>4</v>
          </cell>
          <cell r="H105">
            <v>0.6</v>
          </cell>
          <cell r="J105" t="str">
            <v>02</v>
          </cell>
          <cell r="K105">
            <v>50</v>
          </cell>
          <cell r="L105">
            <v>7.5</v>
          </cell>
          <cell r="M105">
            <v>30</v>
          </cell>
        </row>
        <row r="106">
          <cell r="A106" t="str">
            <v>02.05.04</v>
          </cell>
          <cell r="B106" t="str">
            <v>020107</v>
          </cell>
          <cell r="C106" t="str">
            <v>CLAVOS PARA MADERA C/C 5"</v>
          </cell>
          <cell r="D106" t="str">
            <v>KG</v>
          </cell>
          <cell r="F106">
            <v>0.15</v>
          </cell>
          <cell r="G106">
            <v>4.5</v>
          </cell>
          <cell r="H106">
            <v>0.67499999999999993</v>
          </cell>
          <cell r="J106" t="str">
            <v>02</v>
          </cell>
          <cell r="K106">
            <v>50</v>
          </cell>
          <cell r="L106">
            <v>7.5</v>
          </cell>
          <cell r="M106">
            <v>33.75</v>
          </cell>
        </row>
        <row r="107">
          <cell r="A107" t="str">
            <v>02.05.04</v>
          </cell>
          <cell r="B107" t="str">
            <v>020108</v>
          </cell>
          <cell r="C107" t="str">
            <v>CLAVOS PARA MADERA C/C 6"</v>
          </cell>
          <cell r="D107" t="str">
            <v>KG</v>
          </cell>
          <cell r="F107">
            <v>0.2</v>
          </cell>
          <cell r="G107">
            <v>6.5</v>
          </cell>
          <cell r="H107">
            <v>1.3</v>
          </cell>
          <cell r="J107" t="str">
            <v>02</v>
          </cell>
          <cell r="K107">
            <v>50</v>
          </cell>
          <cell r="L107">
            <v>10</v>
          </cell>
          <cell r="M107">
            <v>65</v>
          </cell>
        </row>
        <row r="108">
          <cell r="A108" t="str">
            <v>02.05.04</v>
          </cell>
          <cell r="B108" t="str">
            <v>439902</v>
          </cell>
          <cell r="C108" t="str">
            <v>MADERA CORRIENTE 2"X3"X 10"</v>
          </cell>
          <cell r="D108" t="str">
            <v>PZA</v>
          </cell>
          <cell r="F108">
            <v>1.75</v>
          </cell>
          <cell r="G108">
            <v>6.9</v>
          </cell>
          <cell r="H108">
            <v>12.075000000000001</v>
          </cell>
          <cell r="J108" t="str">
            <v>43</v>
          </cell>
          <cell r="K108">
            <v>50</v>
          </cell>
          <cell r="L108">
            <v>87.5</v>
          </cell>
          <cell r="M108">
            <v>603.75</v>
          </cell>
        </row>
        <row r="109">
          <cell r="A109" t="str">
            <v>02.05.04</v>
          </cell>
          <cell r="B109" t="str">
            <v>436010</v>
          </cell>
          <cell r="C109" t="str">
            <v>PALO ROLLIZO DE EUCALIPTO DE 3"X3,50m</v>
          </cell>
          <cell r="D109" t="str">
            <v>PZA</v>
          </cell>
          <cell r="F109">
            <v>0.5</v>
          </cell>
          <cell r="G109">
            <v>8</v>
          </cell>
          <cell r="H109">
            <v>4</v>
          </cell>
          <cell r="I109">
            <v>20.957599999999999</v>
          </cell>
          <cell r="J109" t="str">
            <v>43</v>
          </cell>
          <cell r="K109">
            <v>50</v>
          </cell>
          <cell r="L109">
            <v>25</v>
          </cell>
          <cell r="M109">
            <v>200</v>
          </cell>
        </row>
        <row r="110">
          <cell r="A110" t="str">
            <v>02.05.04</v>
          </cell>
          <cell r="C110" t="str">
            <v>EQUIPOS</v>
          </cell>
          <cell r="J110">
            <v>0</v>
          </cell>
        </row>
        <row r="111">
          <cell r="A111" t="str">
            <v>02.05.04</v>
          </cell>
          <cell r="B111" t="str">
            <v>370101</v>
          </cell>
          <cell r="C111" t="str">
            <v>HERRAMIENTAS MANUALES</v>
          </cell>
          <cell r="D111" t="str">
            <v>%MO</v>
          </cell>
          <cell r="F111">
            <v>2</v>
          </cell>
          <cell r="G111">
            <v>16.657333333333334</v>
          </cell>
          <cell r="H111">
            <v>0.3331466666666667</v>
          </cell>
          <cell r="I111">
            <v>0.3331466666666667</v>
          </cell>
          <cell r="J111" t="str">
            <v>37</v>
          </cell>
          <cell r="K111">
            <v>50</v>
          </cell>
          <cell r="L111">
            <v>0</v>
          </cell>
          <cell r="M111">
            <v>16.66</v>
          </cell>
        </row>
        <row r="112">
          <cell r="J112">
            <v>0</v>
          </cell>
        </row>
        <row r="113">
          <cell r="A113" t="str">
            <v>02.05.06</v>
          </cell>
          <cell r="B113" t="str">
            <v>TRAZO, NIVELES Y REPLANTEO DURANTE EL PROCESO</v>
          </cell>
          <cell r="C113">
            <v>0</v>
          </cell>
          <cell r="D113">
            <v>0</v>
          </cell>
          <cell r="E113">
            <v>0</v>
          </cell>
          <cell r="F113">
            <v>0</v>
          </cell>
          <cell r="G113">
            <v>0</v>
          </cell>
          <cell r="H113" t="str">
            <v>M2</v>
          </cell>
          <cell r="I113">
            <v>1.6484260000000002</v>
          </cell>
          <cell r="J113">
            <v>0</v>
          </cell>
        </row>
        <row r="114">
          <cell r="A114" t="str">
            <v>02.05.06</v>
          </cell>
          <cell r="E114" t="str">
            <v>RENDIMIENTO</v>
          </cell>
          <cell r="F114">
            <v>80</v>
          </cell>
          <cell r="G114" t="str">
            <v>M2/día</v>
          </cell>
          <cell r="J114">
            <v>0</v>
          </cell>
        </row>
        <row r="115">
          <cell r="A115" t="str">
            <v>02.05.06</v>
          </cell>
          <cell r="C115" t="str">
            <v>MANO DE OBRA</v>
          </cell>
          <cell r="J115">
            <v>0</v>
          </cell>
        </row>
        <row r="116">
          <cell r="A116" t="str">
            <v>02.05.06</v>
          </cell>
          <cell r="B116" t="str">
            <v>470037</v>
          </cell>
          <cell r="C116" t="str">
            <v>OBRERO  A</v>
          </cell>
          <cell r="D116" t="str">
            <v>HH</v>
          </cell>
          <cell r="E116">
            <v>1</v>
          </cell>
          <cell r="F116">
            <v>0.1</v>
          </cell>
          <cell r="G116">
            <v>6.46</v>
          </cell>
          <cell r="H116">
            <v>0.64600000000000002</v>
          </cell>
          <cell r="J116" t="str">
            <v>47</v>
          </cell>
          <cell r="K116">
            <v>250</v>
          </cell>
          <cell r="L116">
            <v>25</v>
          </cell>
          <cell r="M116">
            <v>161.5</v>
          </cell>
        </row>
        <row r="117">
          <cell r="A117" t="str">
            <v>02.05.06</v>
          </cell>
          <cell r="B117" t="str">
            <v>470039</v>
          </cell>
          <cell r="C117" t="str">
            <v>OBRERO  C</v>
          </cell>
          <cell r="D117" t="str">
            <v>HH</v>
          </cell>
          <cell r="E117">
            <v>1</v>
          </cell>
          <cell r="F117">
            <v>0.1</v>
          </cell>
          <cell r="G117">
            <v>5.33</v>
          </cell>
          <cell r="H117">
            <v>0.53300000000000003</v>
          </cell>
          <cell r="J117" t="str">
            <v>47</v>
          </cell>
          <cell r="K117">
            <v>250</v>
          </cell>
          <cell r="L117">
            <v>25</v>
          </cell>
          <cell r="M117">
            <v>133.25</v>
          </cell>
        </row>
        <row r="118">
          <cell r="A118" t="str">
            <v>02.05.06</v>
          </cell>
          <cell r="B118" t="str">
            <v>470040</v>
          </cell>
          <cell r="C118" t="str">
            <v>MAESTRO DE OBRA</v>
          </cell>
          <cell r="D118" t="str">
            <v>HH</v>
          </cell>
          <cell r="E118">
            <v>0.1</v>
          </cell>
          <cell r="F118">
            <v>1.0000000000000002E-2</v>
          </cell>
          <cell r="G118">
            <v>7.03</v>
          </cell>
          <cell r="H118">
            <v>7.0300000000000015E-2</v>
          </cell>
          <cell r="I118">
            <v>1.2493000000000001</v>
          </cell>
          <cell r="J118" t="str">
            <v>47</v>
          </cell>
          <cell r="K118">
            <v>250</v>
          </cell>
          <cell r="L118">
            <v>2.5</v>
          </cell>
          <cell r="M118">
            <v>17.579999999999998</v>
          </cell>
        </row>
        <row r="119">
          <cell r="A119" t="str">
            <v>02.05.06</v>
          </cell>
          <cell r="C119" t="str">
            <v>MATERIALES</v>
          </cell>
          <cell r="J119">
            <v>0</v>
          </cell>
        </row>
        <row r="120">
          <cell r="A120" t="str">
            <v>02.05.06</v>
          </cell>
          <cell r="B120" t="str">
            <v>300202</v>
          </cell>
          <cell r="C120" t="str">
            <v>YESOX 40 Kg.</v>
          </cell>
          <cell r="D120" t="str">
            <v>BOL</v>
          </cell>
          <cell r="F120">
            <v>1.67E-2</v>
          </cell>
          <cell r="G120">
            <v>4.2</v>
          </cell>
          <cell r="H120">
            <v>7.0140000000000008E-2</v>
          </cell>
          <cell r="I120">
            <v>7.0140000000000008E-2</v>
          </cell>
          <cell r="J120" t="str">
            <v>30</v>
          </cell>
          <cell r="K120">
            <v>250</v>
          </cell>
          <cell r="L120">
            <v>4.18</v>
          </cell>
          <cell r="M120">
            <v>17.54</v>
          </cell>
        </row>
        <row r="121">
          <cell r="A121" t="str">
            <v>02.05.06</v>
          </cell>
          <cell r="C121" t="str">
            <v>EQUIPOS</v>
          </cell>
          <cell r="J121">
            <v>0</v>
          </cell>
        </row>
        <row r="122">
          <cell r="A122" t="str">
            <v>02.05.06</v>
          </cell>
          <cell r="B122" t="str">
            <v>370101</v>
          </cell>
          <cell r="C122" t="str">
            <v>HERRAMIENTAS MANUALES</v>
          </cell>
          <cell r="D122" t="str">
            <v>%MO</v>
          </cell>
          <cell r="F122">
            <v>2</v>
          </cell>
          <cell r="G122">
            <v>1.2493000000000001</v>
          </cell>
          <cell r="H122">
            <v>2.4986000000000001E-2</v>
          </cell>
          <cell r="J122" t="str">
            <v>37</v>
          </cell>
          <cell r="K122">
            <v>250</v>
          </cell>
          <cell r="L122">
            <v>0</v>
          </cell>
          <cell r="M122">
            <v>6.25</v>
          </cell>
        </row>
        <row r="123">
          <cell r="A123" t="str">
            <v>02.05.06</v>
          </cell>
          <cell r="B123" t="str">
            <v>370239</v>
          </cell>
          <cell r="C123" t="str">
            <v>WINCHA DE 50 m.</v>
          </cell>
          <cell r="D123" t="str">
            <v>HE</v>
          </cell>
          <cell r="E123">
            <v>0.04</v>
          </cell>
          <cell r="F123">
            <v>4.0000000000000001E-3</v>
          </cell>
          <cell r="G123">
            <v>76</v>
          </cell>
          <cell r="H123">
            <v>0.30399999999999999</v>
          </cell>
          <cell r="I123">
            <v>0.328986</v>
          </cell>
          <cell r="J123" t="str">
            <v>37</v>
          </cell>
          <cell r="K123">
            <v>250</v>
          </cell>
          <cell r="L123">
            <v>1</v>
          </cell>
          <cell r="M123">
            <v>76</v>
          </cell>
        </row>
        <row r="124">
          <cell r="J124">
            <v>0</v>
          </cell>
        </row>
        <row r="125">
          <cell r="A125" t="str">
            <v>02.05.07</v>
          </cell>
          <cell r="B125" t="str">
            <v>RETICULADO Y CODIFICADO (INC. DIBUJO)</v>
          </cell>
          <cell r="C125">
            <v>0</v>
          </cell>
          <cell r="D125">
            <v>0</v>
          </cell>
          <cell r="E125">
            <v>0</v>
          </cell>
          <cell r="F125">
            <v>0</v>
          </cell>
          <cell r="G125">
            <v>0</v>
          </cell>
          <cell r="H125" t="str">
            <v>M2</v>
          </cell>
          <cell r="I125">
            <v>8.3841599999999996</v>
          </cell>
          <cell r="J125">
            <v>0</v>
          </cell>
        </row>
        <row r="126">
          <cell r="A126" t="str">
            <v>02.05.07</v>
          </cell>
          <cell r="E126" t="str">
            <v>RENDIMIENTO</v>
          </cell>
          <cell r="F126">
            <v>18</v>
          </cell>
          <cell r="G126" t="str">
            <v>M2/día</v>
          </cell>
          <cell r="J126">
            <v>0</v>
          </cell>
        </row>
        <row r="127">
          <cell r="A127" t="str">
            <v>02.05.07</v>
          </cell>
          <cell r="C127" t="str">
            <v>MANO DE OBRA</v>
          </cell>
          <cell r="J127">
            <v>0</v>
          </cell>
        </row>
        <row r="128">
          <cell r="A128" t="str">
            <v>02.05.07</v>
          </cell>
          <cell r="B128" t="str">
            <v>470037</v>
          </cell>
          <cell r="C128" t="str">
            <v>OBRERO  A</v>
          </cell>
          <cell r="D128" t="str">
            <v>HH</v>
          </cell>
          <cell r="E128">
            <v>1</v>
          </cell>
          <cell r="F128">
            <v>0.44444444444444442</v>
          </cell>
          <cell r="G128">
            <v>6.46</v>
          </cell>
          <cell r="H128">
            <v>2.8711111111111109</v>
          </cell>
          <cell r="J128" t="str">
            <v>47</v>
          </cell>
          <cell r="K128">
            <v>380</v>
          </cell>
          <cell r="L128">
            <v>168.89</v>
          </cell>
          <cell r="M128">
            <v>1091.02</v>
          </cell>
        </row>
        <row r="129">
          <cell r="A129" t="str">
            <v>02.05.07</v>
          </cell>
          <cell r="B129" t="str">
            <v>470038</v>
          </cell>
          <cell r="C129" t="str">
            <v>OBRERO  B</v>
          </cell>
          <cell r="D129" t="str">
            <v>HH</v>
          </cell>
          <cell r="E129">
            <v>1</v>
          </cell>
          <cell r="F129">
            <v>0.44444444444444442</v>
          </cell>
          <cell r="G129">
            <v>5.9</v>
          </cell>
          <cell r="H129">
            <v>2.6222222222222222</v>
          </cell>
          <cell r="J129" t="str">
            <v>47</v>
          </cell>
          <cell r="K129">
            <v>380</v>
          </cell>
          <cell r="L129">
            <v>168.89</v>
          </cell>
          <cell r="M129">
            <v>996.44</v>
          </cell>
        </row>
        <row r="130">
          <cell r="A130" t="str">
            <v>02.05.07</v>
          </cell>
          <cell r="B130" t="str">
            <v>470039</v>
          </cell>
          <cell r="C130" t="str">
            <v>OBRERO  C</v>
          </cell>
          <cell r="D130" t="str">
            <v>HH</v>
          </cell>
          <cell r="E130">
            <v>1</v>
          </cell>
          <cell r="F130">
            <v>0.44444444444444442</v>
          </cell>
          <cell r="G130">
            <v>5.33</v>
          </cell>
          <cell r="H130">
            <v>2.3688888888888888</v>
          </cell>
          <cell r="J130" t="str">
            <v>47</v>
          </cell>
          <cell r="K130">
            <v>380</v>
          </cell>
          <cell r="L130">
            <v>168.89</v>
          </cell>
          <cell r="M130">
            <v>900.18</v>
          </cell>
        </row>
        <row r="131">
          <cell r="A131" t="str">
            <v>02.05.07</v>
          </cell>
          <cell r="B131" t="str">
            <v>470040</v>
          </cell>
          <cell r="C131" t="str">
            <v>MAESTRO DE OBRA</v>
          </cell>
          <cell r="D131" t="str">
            <v>HH</v>
          </cell>
          <cell r="E131">
            <v>0.1</v>
          </cell>
          <cell r="F131">
            <v>4.4444444444444446E-2</v>
          </cell>
          <cell r="G131">
            <v>7.03</v>
          </cell>
          <cell r="H131">
            <v>0.31244444444444447</v>
          </cell>
          <cell r="I131">
            <v>8.174666666666667</v>
          </cell>
          <cell r="J131" t="str">
            <v>47</v>
          </cell>
          <cell r="K131">
            <v>380</v>
          </cell>
          <cell r="L131">
            <v>16.89</v>
          </cell>
          <cell r="M131">
            <v>118.73</v>
          </cell>
        </row>
        <row r="132">
          <cell r="A132" t="str">
            <v>02.05.07</v>
          </cell>
          <cell r="C132" t="str">
            <v>MATERIALES</v>
          </cell>
          <cell r="J132">
            <v>0</v>
          </cell>
        </row>
        <row r="133">
          <cell r="A133" t="str">
            <v>02.05.07</v>
          </cell>
          <cell r="B133" t="str">
            <v>309907</v>
          </cell>
          <cell r="C133" t="str">
            <v>CORDEL # 16</v>
          </cell>
          <cell r="D133" t="str">
            <v>KG</v>
          </cell>
          <cell r="F133">
            <v>7.0000000000000001E-3</v>
          </cell>
          <cell r="G133">
            <v>3</v>
          </cell>
          <cell r="H133">
            <v>2.1000000000000001E-2</v>
          </cell>
          <cell r="J133" t="str">
            <v>30</v>
          </cell>
          <cell r="K133">
            <v>380</v>
          </cell>
          <cell r="L133">
            <v>2.66</v>
          </cell>
          <cell r="M133">
            <v>7.98</v>
          </cell>
        </row>
        <row r="134">
          <cell r="A134" t="str">
            <v>02.05.07</v>
          </cell>
          <cell r="B134" t="str">
            <v>395002</v>
          </cell>
          <cell r="C134" t="str">
            <v>PAPEL MILIMETRADO</v>
          </cell>
          <cell r="D134" t="str">
            <v>UND</v>
          </cell>
          <cell r="F134">
            <v>7.4999999999999997E-2</v>
          </cell>
          <cell r="G134">
            <v>0.2</v>
          </cell>
          <cell r="H134">
            <v>1.4999999999999999E-2</v>
          </cell>
          <cell r="J134" t="str">
            <v>39</v>
          </cell>
          <cell r="K134">
            <v>380</v>
          </cell>
          <cell r="L134">
            <v>28.5</v>
          </cell>
          <cell r="M134">
            <v>5.7</v>
          </cell>
        </row>
        <row r="135">
          <cell r="A135" t="str">
            <v>02.05.07</v>
          </cell>
          <cell r="B135" t="str">
            <v>550001</v>
          </cell>
          <cell r="C135" t="str">
            <v>PINTURA AL TEMPLE SIMPLE</v>
          </cell>
          <cell r="D135" t="str">
            <v>KG</v>
          </cell>
          <cell r="F135">
            <v>5.0000000000000001E-3</v>
          </cell>
          <cell r="G135">
            <v>2</v>
          </cell>
          <cell r="H135">
            <v>0.01</v>
          </cell>
          <cell r="I135">
            <v>4.6000000000000006E-2</v>
          </cell>
          <cell r="J135" t="str">
            <v>55</v>
          </cell>
          <cell r="K135">
            <v>380</v>
          </cell>
          <cell r="L135">
            <v>1.9</v>
          </cell>
          <cell r="M135">
            <v>3.8</v>
          </cell>
        </row>
        <row r="136">
          <cell r="A136" t="str">
            <v>02.05.07</v>
          </cell>
          <cell r="C136" t="str">
            <v>EQUIPOS</v>
          </cell>
          <cell r="J136">
            <v>0</v>
          </cell>
        </row>
        <row r="137">
          <cell r="A137" t="str">
            <v>02.05.07</v>
          </cell>
          <cell r="B137" t="str">
            <v>370101</v>
          </cell>
          <cell r="C137" t="str">
            <v>HERRAMIENTAS MANUALES</v>
          </cell>
          <cell r="D137" t="str">
            <v>%MO</v>
          </cell>
          <cell r="F137">
            <v>2</v>
          </cell>
          <cell r="G137">
            <v>8.174666666666667</v>
          </cell>
          <cell r="H137">
            <v>0.16349333333333335</v>
          </cell>
          <cell r="I137">
            <v>0.16349333333333335</v>
          </cell>
          <cell r="J137" t="str">
            <v>37</v>
          </cell>
          <cell r="K137">
            <v>380</v>
          </cell>
          <cell r="L137">
            <v>0</v>
          </cell>
          <cell r="M137">
            <v>62.13</v>
          </cell>
        </row>
        <row r="138">
          <cell r="J138">
            <v>0</v>
          </cell>
        </row>
        <row r="139">
          <cell r="A139" t="str">
            <v>02.08.00</v>
          </cell>
          <cell r="B139" t="str">
            <v>RECUPERACION DE ELEMENTOS LITICOS DISEMINADOS</v>
          </cell>
          <cell r="C139">
            <v>0</v>
          </cell>
          <cell r="D139">
            <v>0</v>
          </cell>
          <cell r="E139">
            <v>0</v>
          </cell>
          <cell r="F139">
            <v>0</v>
          </cell>
          <cell r="G139">
            <v>0</v>
          </cell>
          <cell r="H139" t="str">
            <v>M3</v>
          </cell>
          <cell r="I139">
            <v>24.963072</v>
          </cell>
          <cell r="J139">
            <v>0</v>
          </cell>
        </row>
        <row r="140">
          <cell r="A140" t="str">
            <v>02.08.00</v>
          </cell>
          <cell r="E140" t="str">
            <v>RENDIMIENTO</v>
          </cell>
          <cell r="F140">
            <v>2.5</v>
          </cell>
          <cell r="G140" t="str">
            <v>M3/día</v>
          </cell>
          <cell r="J140">
            <v>0</v>
          </cell>
        </row>
        <row r="141">
          <cell r="A141" t="str">
            <v>02.08.00</v>
          </cell>
          <cell r="C141" t="str">
            <v>MANO DE OBRA</v>
          </cell>
          <cell r="J141">
            <v>0</v>
          </cell>
        </row>
        <row r="142">
          <cell r="A142" t="str">
            <v>02.08.00</v>
          </cell>
          <cell r="B142" t="str">
            <v>470037</v>
          </cell>
          <cell r="C142" t="str">
            <v>OBRERO  A</v>
          </cell>
          <cell r="D142" t="str">
            <v>HH</v>
          </cell>
          <cell r="E142">
            <v>0.25</v>
          </cell>
          <cell r="F142">
            <v>0.8</v>
          </cell>
          <cell r="G142">
            <v>6.46</v>
          </cell>
          <cell r="H142">
            <v>5.1680000000000001</v>
          </cell>
          <cell r="J142" t="str">
            <v>47</v>
          </cell>
          <cell r="K142">
            <v>110</v>
          </cell>
          <cell r="L142">
            <v>88</v>
          </cell>
          <cell r="M142">
            <v>568.48</v>
          </cell>
        </row>
        <row r="143">
          <cell r="A143" t="str">
            <v>02.08.00</v>
          </cell>
          <cell r="B143" t="str">
            <v>470039</v>
          </cell>
          <cell r="C143" t="str">
            <v>OBRERO  C</v>
          </cell>
          <cell r="D143" t="str">
            <v>HH</v>
          </cell>
          <cell r="E143">
            <v>1</v>
          </cell>
          <cell r="F143">
            <v>3.2</v>
          </cell>
          <cell r="G143">
            <v>5.33</v>
          </cell>
          <cell r="H143">
            <v>17.056000000000001</v>
          </cell>
          <cell r="J143" t="str">
            <v>47</v>
          </cell>
          <cell r="K143">
            <v>110</v>
          </cell>
          <cell r="L143">
            <v>352</v>
          </cell>
          <cell r="M143">
            <v>1876.16</v>
          </cell>
        </row>
        <row r="144">
          <cell r="A144" t="str">
            <v>02.08.00</v>
          </cell>
          <cell r="B144" t="str">
            <v>470040</v>
          </cell>
          <cell r="C144" t="str">
            <v>MAESTRO DE OBRA</v>
          </cell>
          <cell r="D144" t="str">
            <v>HH</v>
          </cell>
          <cell r="E144">
            <v>0.1</v>
          </cell>
          <cell r="F144">
            <v>0.32000000000000006</v>
          </cell>
          <cell r="G144">
            <v>7.03</v>
          </cell>
          <cell r="H144">
            <v>2.2496000000000005</v>
          </cell>
          <cell r="I144">
            <v>24.473600000000001</v>
          </cell>
          <cell r="J144" t="str">
            <v>47</v>
          </cell>
          <cell r="K144">
            <v>110</v>
          </cell>
          <cell r="L144">
            <v>35.200000000000003</v>
          </cell>
          <cell r="M144">
            <v>247.46</v>
          </cell>
        </row>
        <row r="145">
          <cell r="A145" t="str">
            <v>02.08.00</v>
          </cell>
          <cell r="C145" t="str">
            <v>EQUIPOS</v>
          </cell>
          <cell r="J145">
            <v>0</v>
          </cell>
        </row>
        <row r="146">
          <cell r="A146" t="str">
            <v>02.08.00</v>
          </cell>
          <cell r="B146" t="str">
            <v>370101</v>
          </cell>
          <cell r="C146" t="str">
            <v>HERRAMIENTAS MANUALES</v>
          </cell>
          <cell r="D146" t="str">
            <v>%MO</v>
          </cell>
          <cell r="F146">
            <v>2</v>
          </cell>
          <cell r="G146">
            <v>24.473600000000001</v>
          </cell>
          <cell r="H146">
            <v>0.48947200000000002</v>
          </cell>
          <cell r="I146">
            <v>0.48947200000000002</v>
          </cell>
          <cell r="J146" t="str">
            <v>37</v>
          </cell>
          <cell r="K146">
            <v>110</v>
          </cell>
          <cell r="L146">
            <v>0</v>
          </cell>
          <cell r="M146">
            <v>53.84</v>
          </cell>
        </row>
        <row r="147">
          <cell r="J147">
            <v>0</v>
          </cell>
        </row>
        <row r="148">
          <cell r="A148" t="str">
            <v>02.10.02.1</v>
          </cell>
          <cell r="B148" t="str">
            <v>ACARREO DE MATERIALES EN OBRA (CON PEONES)</v>
          </cell>
          <cell r="C148">
            <v>0</v>
          </cell>
          <cell r="D148">
            <v>0</v>
          </cell>
          <cell r="E148">
            <v>0</v>
          </cell>
          <cell r="F148">
            <v>0</v>
          </cell>
          <cell r="G148">
            <v>0</v>
          </cell>
          <cell r="H148" t="str">
            <v>M3</v>
          </cell>
          <cell r="I148">
            <v>119.80512</v>
          </cell>
          <cell r="J148">
            <v>0</v>
          </cell>
        </row>
        <row r="149">
          <cell r="A149" t="str">
            <v>02.10.02.1</v>
          </cell>
          <cell r="E149" t="str">
            <v>RENDIMIENTO</v>
          </cell>
          <cell r="F149">
            <v>1.5</v>
          </cell>
          <cell r="G149" t="str">
            <v>M3/día</v>
          </cell>
          <cell r="J149">
            <v>0</v>
          </cell>
        </row>
        <row r="150">
          <cell r="A150" t="str">
            <v>02.10.02.1</v>
          </cell>
          <cell r="C150" t="str">
            <v>MANO DE OBRA</v>
          </cell>
          <cell r="J150">
            <v>0</v>
          </cell>
        </row>
        <row r="151">
          <cell r="A151" t="str">
            <v>02.10.02.1</v>
          </cell>
          <cell r="B151" t="str">
            <v>470039</v>
          </cell>
          <cell r="C151" t="str">
            <v>OBRERO  C</v>
          </cell>
          <cell r="D151" t="str">
            <v>HH</v>
          </cell>
          <cell r="E151">
            <v>4</v>
          </cell>
          <cell r="F151">
            <v>21.333333333333332</v>
          </cell>
          <cell r="G151">
            <v>5.33</v>
          </cell>
          <cell r="H151">
            <v>113.70666666666666</v>
          </cell>
          <cell r="J151" t="str">
            <v>47</v>
          </cell>
          <cell r="K151">
            <v>80</v>
          </cell>
          <cell r="L151">
            <v>1706.67</v>
          </cell>
          <cell r="M151">
            <v>9096.5300000000007</v>
          </cell>
        </row>
        <row r="152">
          <cell r="A152" t="str">
            <v>02.10.02.1</v>
          </cell>
          <cell r="B152" t="str">
            <v>470040</v>
          </cell>
          <cell r="C152" t="str">
            <v>MAESTRO DE OBRA</v>
          </cell>
          <cell r="D152" t="str">
            <v>HH</v>
          </cell>
          <cell r="E152">
            <v>0.1</v>
          </cell>
          <cell r="F152">
            <v>0.53333333333333333</v>
          </cell>
          <cell r="G152">
            <v>7.03</v>
          </cell>
          <cell r="H152">
            <v>3.7493333333333334</v>
          </cell>
          <cell r="I152">
            <v>117.456</v>
          </cell>
          <cell r="J152" t="str">
            <v>47</v>
          </cell>
          <cell r="K152">
            <v>80</v>
          </cell>
          <cell r="L152">
            <v>42.67</v>
          </cell>
          <cell r="M152">
            <v>299.95</v>
          </cell>
        </row>
        <row r="153">
          <cell r="A153" t="str">
            <v>02.10.02.1</v>
          </cell>
          <cell r="C153" t="str">
            <v>EQUIPOS</v>
          </cell>
          <cell r="J153">
            <v>0</v>
          </cell>
        </row>
        <row r="154">
          <cell r="A154" t="str">
            <v>02.10.02.1</v>
          </cell>
          <cell r="B154" t="str">
            <v>370101</v>
          </cell>
          <cell r="C154" t="str">
            <v>HERRAMIENTAS MANUALES</v>
          </cell>
          <cell r="D154" t="str">
            <v>%MO</v>
          </cell>
          <cell r="F154">
            <v>2</v>
          </cell>
          <cell r="G154">
            <v>117.456</v>
          </cell>
          <cell r="H154">
            <v>2.3491200000000001</v>
          </cell>
          <cell r="I154">
            <v>2.3491200000000001</v>
          </cell>
          <cell r="J154" t="str">
            <v>37</v>
          </cell>
          <cell r="K154">
            <v>80</v>
          </cell>
          <cell r="L154">
            <v>0</v>
          </cell>
          <cell r="M154">
            <v>187.93</v>
          </cell>
        </row>
        <row r="155">
          <cell r="J155">
            <v>0</v>
          </cell>
        </row>
        <row r="156">
          <cell r="A156" t="str">
            <v>02.10.02.2</v>
          </cell>
          <cell r="B156" t="str">
            <v>TRANSPORTE DE MATERIALES A OBRA (IDA Y VUELTA, CUSCO- ANCAHUASI)</v>
          </cell>
          <cell r="C156">
            <v>0</v>
          </cell>
          <cell r="D156">
            <v>0</v>
          </cell>
          <cell r="E156">
            <v>0</v>
          </cell>
          <cell r="F156">
            <v>0</v>
          </cell>
          <cell r="G156">
            <v>0</v>
          </cell>
          <cell r="H156" t="str">
            <v>M3</v>
          </cell>
          <cell r="I156">
            <v>21.676488000000003</v>
          </cell>
          <cell r="J156">
            <v>0</v>
          </cell>
        </row>
        <row r="157">
          <cell r="A157" t="str">
            <v>02.10.02.2</v>
          </cell>
          <cell r="E157" t="str">
            <v>RENDIMIENTO</v>
          </cell>
          <cell r="F157">
            <v>10</v>
          </cell>
          <cell r="G157" t="str">
            <v>M3/día</v>
          </cell>
          <cell r="J157">
            <v>0</v>
          </cell>
        </row>
        <row r="158">
          <cell r="A158" t="str">
            <v>02.10.02.2</v>
          </cell>
          <cell r="C158" t="str">
            <v>MANO DE OBRA</v>
          </cell>
          <cell r="J158">
            <v>0</v>
          </cell>
        </row>
        <row r="159">
          <cell r="A159" t="str">
            <v>02.10.02.2</v>
          </cell>
          <cell r="B159" t="str">
            <v>470039</v>
          </cell>
          <cell r="C159" t="str">
            <v>OBRERO  C</v>
          </cell>
          <cell r="D159" t="str">
            <v>HH</v>
          </cell>
          <cell r="E159">
            <v>3</v>
          </cell>
          <cell r="F159">
            <v>2.4000000000000004</v>
          </cell>
          <cell r="G159">
            <v>5.33</v>
          </cell>
          <cell r="H159">
            <v>12.792000000000002</v>
          </cell>
          <cell r="J159" t="str">
            <v>47</v>
          </cell>
          <cell r="K159">
            <v>80</v>
          </cell>
          <cell r="L159">
            <v>192</v>
          </cell>
          <cell r="M159">
            <v>1023.36</v>
          </cell>
        </row>
        <row r="160">
          <cell r="A160" t="str">
            <v>02.10.02.2</v>
          </cell>
          <cell r="B160" t="str">
            <v>470040</v>
          </cell>
          <cell r="C160" t="str">
            <v>MAESTRO DE OBRA</v>
          </cell>
          <cell r="D160" t="str">
            <v>HH</v>
          </cell>
          <cell r="E160">
            <v>0.1</v>
          </cell>
          <cell r="F160">
            <v>8.0000000000000016E-2</v>
          </cell>
          <cell r="G160">
            <v>7.03</v>
          </cell>
          <cell r="H160">
            <v>0.56240000000000012</v>
          </cell>
          <cell r="I160">
            <v>13.354400000000002</v>
          </cell>
          <cell r="J160" t="str">
            <v>47</v>
          </cell>
          <cell r="K160">
            <v>80</v>
          </cell>
          <cell r="L160">
            <v>6.4</v>
          </cell>
          <cell r="M160">
            <v>44.99</v>
          </cell>
        </row>
        <row r="161">
          <cell r="A161" t="str">
            <v>02.10.02.2</v>
          </cell>
          <cell r="C161" t="str">
            <v>MATERIALES</v>
          </cell>
          <cell r="J161">
            <v>0</v>
          </cell>
        </row>
        <row r="162">
          <cell r="A162" t="str">
            <v>02.10.02.2</v>
          </cell>
          <cell r="B162" t="str">
            <v>010001</v>
          </cell>
          <cell r="C162" t="str">
            <v>ACEITE PARA MOTOR GRADO 30</v>
          </cell>
          <cell r="D162" t="str">
            <v>GLN</v>
          </cell>
          <cell r="F162">
            <v>2.5000000000000001E-2</v>
          </cell>
          <cell r="G162">
            <v>45</v>
          </cell>
          <cell r="H162">
            <v>1.125</v>
          </cell>
          <cell r="J162" t="str">
            <v>01</v>
          </cell>
          <cell r="K162">
            <v>80</v>
          </cell>
          <cell r="L162">
            <v>2</v>
          </cell>
          <cell r="M162">
            <v>90</v>
          </cell>
        </row>
        <row r="163">
          <cell r="A163" t="str">
            <v>02.10.02.2</v>
          </cell>
          <cell r="B163" t="str">
            <v>530002</v>
          </cell>
          <cell r="C163" t="str">
            <v>PETROLEO DIESEL # 2</v>
          </cell>
          <cell r="D163" t="str">
            <v>GLN</v>
          </cell>
          <cell r="F163">
            <v>0.6</v>
          </cell>
          <cell r="G163">
            <v>11.55</v>
          </cell>
          <cell r="H163">
            <v>6.9300000000000006</v>
          </cell>
          <cell r="I163">
            <v>8.0549999999999997</v>
          </cell>
          <cell r="J163" t="str">
            <v>53</v>
          </cell>
          <cell r="K163">
            <v>80</v>
          </cell>
          <cell r="L163">
            <v>48</v>
          </cell>
          <cell r="M163">
            <v>554.4</v>
          </cell>
        </row>
        <row r="164">
          <cell r="A164" t="str">
            <v>02.10.02.2</v>
          </cell>
          <cell r="C164" t="str">
            <v>EQUIPOS</v>
          </cell>
          <cell r="J164">
            <v>0</v>
          </cell>
        </row>
        <row r="165">
          <cell r="A165" t="str">
            <v>02.10.02.2</v>
          </cell>
          <cell r="B165" t="str">
            <v>370101</v>
          </cell>
          <cell r="C165" t="str">
            <v>HERRAMIENTAS MANUALES</v>
          </cell>
          <cell r="D165" t="str">
            <v>%MO</v>
          </cell>
          <cell r="F165">
            <v>2</v>
          </cell>
          <cell r="G165">
            <v>13.354400000000002</v>
          </cell>
          <cell r="H165">
            <v>0.26708800000000005</v>
          </cell>
          <cell r="I165">
            <v>0.26708800000000005</v>
          </cell>
          <cell r="J165" t="str">
            <v>37</v>
          </cell>
          <cell r="K165">
            <v>80</v>
          </cell>
          <cell r="L165">
            <v>0</v>
          </cell>
          <cell r="M165">
            <v>21.37</v>
          </cell>
        </row>
        <row r="166">
          <cell r="J166">
            <v>0</v>
          </cell>
        </row>
        <row r="167">
          <cell r="A167" t="str">
            <v>02.10.02.3</v>
          </cell>
          <cell r="B167" t="str">
            <v>SELECCIÓN Y ACOPIO DE PIEDRA DE RIO</v>
          </cell>
          <cell r="C167">
            <v>0</v>
          </cell>
          <cell r="D167">
            <v>0</v>
          </cell>
          <cell r="E167">
            <v>0</v>
          </cell>
          <cell r="F167">
            <v>0</v>
          </cell>
          <cell r="G167">
            <v>0</v>
          </cell>
          <cell r="H167" t="str">
            <v>M3</v>
          </cell>
          <cell r="I167">
            <v>32.293529411764709</v>
          </cell>
          <cell r="J167">
            <v>0</v>
          </cell>
        </row>
        <row r="168">
          <cell r="A168" t="str">
            <v>02.10.02.3</v>
          </cell>
          <cell r="E168" t="str">
            <v>RENDIMIENTO</v>
          </cell>
          <cell r="F168">
            <v>6.8</v>
          </cell>
          <cell r="G168" t="str">
            <v>M3/día</v>
          </cell>
          <cell r="J168">
            <v>0</v>
          </cell>
        </row>
        <row r="169">
          <cell r="A169" t="str">
            <v>02.10.02.3</v>
          </cell>
          <cell r="C169" t="str">
            <v>MANO DE OBRA</v>
          </cell>
          <cell r="J169">
            <v>0</v>
          </cell>
        </row>
        <row r="170">
          <cell r="A170" t="str">
            <v>02.10.02.3</v>
          </cell>
          <cell r="B170" t="str">
            <v>470039</v>
          </cell>
          <cell r="C170" t="str">
            <v>OBRERO  C</v>
          </cell>
          <cell r="D170" t="str">
            <v>HH</v>
          </cell>
          <cell r="E170">
            <v>5</v>
          </cell>
          <cell r="F170">
            <v>5.882352941176471</v>
          </cell>
          <cell r="G170">
            <v>5.33</v>
          </cell>
          <cell r="H170">
            <v>31.352941176470591</v>
          </cell>
          <cell r="I170">
            <v>31.352941176470591</v>
          </cell>
          <cell r="J170" t="str">
            <v>47</v>
          </cell>
          <cell r="K170">
            <v>171</v>
          </cell>
          <cell r="L170">
            <v>1005.88</v>
          </cell>
          <cell r="M170">
            <v>5361.35</v>
          </cell>
        </row>
        <row r="171">
          <cell r="A171" t="str">
            <v>02.10.02.3</v>
          </cell>
          <cell r="C171" t="str">
            <v>EQUIPOS</v>
          </cell>
          <cell r="J171">
            <v>0</v>
          </cell>
        </row>
        <row r="172">
          <cell r="A172" t="str">
            <v>02.10.02.3</v>
          </cell>
          <cell r="B172" t="str">
            <v>370101</v>
          </cell>
          <cell r="C172" t="str">
            <v>HERRAMIENTAS MANUALES</v>
          </cell>
          <cell r="D172" t="str">
            <v>%MO</v>
          </cell>
          <cell r="F172">
            <v>3</v>
          </cell>
          <cell r="G172">
            <v>31.352941176470591</v>
          </cell>
          <cell r="H172">
            <v>0.94058823529411772</v>
          </cell>
          <cell r="I172">
            <v>0.94058823529411772</v>
          </cell>
          <cell r="J172" t="str">
            <v>37</v>
          </cell>
          <cell r="K172">
            <v>171</v>
          </cell>
          <cell r="L172">
            <v>0</v>
          </cell>
          <cell r="M172">
            <v>160.84</v>
          </cell>
        </row>
        <row r="173">
          <cell r="J173">
            <v>0</v>
          </cell>
        </row>
        <row r="174">
          <cell r="A174" t="str">
            <v>02.10.02.4</v>
          </cell>
          <cell r="B174" t="str">
            <v>EXTRACCION, ZARANDEO Y ACARREO DE TIERRA EN BUGUIE</v>
          </cell>
          <cell r="C174">
            <v>0</v>
          </cell>
          <cell r="D174">
            <v>0</v>
          </cell>
          <cell r="E174">
            <v>0</v>
          </cell>
          <cell r="F174">
            <v>0</v>
          </cell>
          <cell r="G174">
            <v>0</v>
          </cell>
          <cell r="H174" t="str">
            <v>M3</v>
          </cell>
          <cell r="I174">
            <v>16.570640000000001</v>
          </cell>
          <cell r="J174">
            <v>0</v>
          </cell>
        </row>
        <row r="175">
          <cell r="A175" t="str">
            <v>02.10.02.4</v>
          </cell>
          <cell r="E175" t="str">
            <v>RENDIMIENTO</v>
          </cell>
          <cell r="F175">
            <v>3</v>
          </cell>
          <cell r="G175" t="str">
            <v>M3/día</v>
          </cell>
          <cell r="J175">
            <v>0</v>
          </cell>
        </row>
        <row r="176">
          <cell r="A176" t="str">
            <v>02.10.02.4</v>
          </cell>
          <cell r="C176" t="str">
            <v>MANO DE OBRA</v>
          </cell>
          <cell r="J176">
            <v>0</v>
          </cell>
        </row>
        <row r="177">
          <cell r="A177" t="str">
            <v>02.10.02.4</v>
          </cell>
          <cell r="B177" t="str">
            <v>470039</v>
          </cell>
          <cell r="C177" t="str">
            <v>OBRERO  C</v>
          </cell>
          <cell r="D177" t="str">
            <v>HH</v>
          </cell>
          <cell r="E177">
            <v>1</v>
          </cell>
          <cell r="F177">
            <v>2.6666666666666665</v>
          </cell>
          <cell r="G177">
            <v>5.33</v>
          </cell>
          <cell r="H177">
            <v>14.213333333333333</v>
          </cell>
          <cell r="J177" t="str">
            <v>47</v>
          </cell>
          <cell r="K177">
            <v>260</v>
          </cell>
          <cell r="L177">
            <v>693.33</v>
          </cell>
          <cell r="M177">
            <v>3695.47</v>
          </cell>
        </row>
        <row r="178">
          <cell r="A178" t="str">
            <v>02.10.02.4</v>
          </cell>
          <cell r="B178" t="str">
            <v>470040</v>
          </cell>
          <cell r="C178" t="str">
            <v>MAESTRO DE OBRA</v>
          </cell>
          <cell r="D178" t="str">
            <v>HH</v>
          </cell>
          <cell r="E178">
            <v>0.1</v>
          </cell>
          <cell r="F178">
            <v>0.26666666666666666</v>
          </cell>
          <cell r="G178">
            <v>7.03</v>
          </cell>
          <cell r="H178">
            <v>1.8746666666666667</v>
          </cell>
          <cell r="I178">
            <v>16.088000000000001</v>
          </cell>
          <cell r="J178" t="str">
            <v>47</v>
          </cell>
          <cell r="K178">
            <v>260</v>
          </cell>
          <cell r="L178">
            <v>69.33</v>
          </cell>
          <cell r="M178">
            <v>487.41</v>
          </cell>
        </row>
        <row r="179">
          <cell r="A179" t="str">
            <v>02.10.02.4</v>
          </cell>
          <cell r="C179" t="str">
            <v>EQUIPOS</v>
          </cell>
          <cell r="J179">
            <v>0</v>
          </cell>
        </row>
        <row r="180">
          <cell r="A180" t="str">
            <v>02.10.02.4</v>
          </cell>
          <cell r="B180" t="str">
            <v>370101</v>
          </cell>
          <cell r="C180" t="str">
            <v>HERRAMIENTAS MANUALES</v>
          </cell>
          <cell r="D180" t="str">
            <v>%MO</v>
          </cell>
          <cell r="F180">
            <v>3</v>
          </cell>
          <cell r="G180">
            <v>16.088000000000001</v>
          </cell>
          <cell r="H180">
            <v>0.48264000000000001</v>
          </cell>
          <cell r="I180">
            <v>0.48264000000000001</v>
          </cell>
          <cell r="J180" t="str">
            <v>37</v>
          </cell>
          <cell r="K180">
            <v>260</v>
          </cell>
          <cell r="L180">
            <v>0</v>
          </cell>
          <cell r="M180">
            <v>125.49</v>
          </cell>
        </row>
        <row r="181">
          <cell r="J181">
            <v>0</v>
          </cell>
        </row>
        <row r="182">
          <cell r="A182" t="str">
            <v>03.01.02</v>
          </cell>
          <cell r="B182" t="str">
            <v>NIVELACION Y APISONADO MANUAL (CON PISON DE MANO)</v>
          </cell>
          <cell r="C182">
            <v>0</v>
          </cell>
          <cell r="D182">
            <v>0</v>
          </cell>
          <cell r="E182">
            <v>0</v>
          </cell>
          <cell r="F182">
            <v>0</v>
          </cell>
          <cell r="G182">
            <v>0</v>
          </cell>
          <cell r="H182" t="str">
            <v>M2</v>
          </cell>
          <cell r="I182">
            <v>4.8478559999999993</v>
          </cell>
          <cell r="J182">
            <v>0</v>
          </cell>
        </row>
        <row r="183">
          <cell r="A183" t="str">
            <v>03.01.02</v>
          </cell>
          <cell r="E183" t="str">
            <v>RENDIMIENTO</v>
          </cell>
          <cell r="F183">
            <v>30</v>
          </cell>
          <cell r="G183" t="str">
            <v>M2/día</v>
          </cell>
          <cell r="J183">
            <v>0</v>
          </cell>
        </row>
        <row r="184">
          <cell r="A184" t="str">
            <v>03.01.02</v>
          </cell>
          <cell r="C184" t="str">
            <v>MANO DE OBRA</v>
          </cell>
          <cell r="J184">
            <v>0</v>
          </cell>
        </row>
        <row r="185">
          <cell r="A185" t="str">
            <v>03.01.02</v>
          </cell>
          <cell r="B185" t="str">
            <v>470037</v>
          </cell>
          <cell r="C185" t="str">
            <v>OBRERO  A</v>
          </cell>
          <cell r="D185" t="str">
            <v>HH</v>
          </cell>
          <cell r="E185">
            <v>1</v>
          </cell>
          <cell r="F185">
            <v>0.26666666666666666</v>
          </cell>
          <cell r="G185">
            <v>6.46</v>
          </cell>
          <cell r="H185">
            <v>1.7226666666666666</v>
          </cell>
          <cell r="J185" t="str">
            <v>47</v>
          </cell>
          <cell r="K185">
            <v>300</v>
          </cell>
          <cell r="L185">
            <v>80</v>
          </cell>
          <cell r="M185">
            <v>516.79999999999995</v>
          </cell>
        </row>
        <row r="186">
          <cell r="A186" t="str">
            <v>03.01.02</v>
          </cell>
          <cell r="B186" t="str">
            <v>470039</v>
          </cell>
          <cell r="C186" t="str">
            <v>OBRERO  C</v>
          </cell>
          <cell r="D186" t="str">
            <v>HH</v>
          </cell>
          <cell r="E186">
            <v>2</v>
          </cell>
          <cell r="F186">
            <v>0.53333333333333333</v>
          </cell>
          <cell r="G186">
            <v>5.33</v>
          </cell>
          <cell r="H186">
            <v>2.8426666666666667</v>
          </cell>
          <cell r="J186" t="str">
            <v>47</v>
          </cell>
          <cell r="K186">
            <v>300</v>
          </cell>
          <cell r="L186">
            <v>160</v>
          </cell>
          <cell r="M186">
            <v>852.8</v>
          </cell>
        </row>
        <row r="187">
          <cell r="A187" t="str">
            <v>03.01.02</v>
          </cell>
          <cell r="B187" t="str">
            <v>470040</v>
          </cell>
          <cell r="C187" t="str">
            <v>MAESTRO DE OBRA</v>
          </cell>
          <cell r="D187" t="str">
            <v>HH</v>
          </cell>
          <cell r="E187">
            <v>0.1</v>
          </cell>
          <cell r="F187">
            <v>2.6666666666666668E-2</v>
          </cell>
          <cell r="G187">
            <v>7.03</v>
          </cell>
          <cell r="H187">
            <v>0.1874666666666667</v>
          </cell>
          <cell r="I187">
            <v>4.7527999999999997</v>
          </cell>
          <cell r="J187" t="str">
            <v>47</v>
          </cell>
          <cell r="K187">
            <v>300</v>
          </cell>
          <cell r="L187">
            <v>8</v>
          </cell>
          <cell r="M187">
            <v>56.24</v>
          </cell>
        </row>
        <row r="188">
          <cell r="A188" t="str">
            <v>03.01.02</v>
          </cell>
          <cell r="C188" t="str">
            <v>EQUIPOS</v>
          </cell>
          <cell r="J188">
            <v>0</v>
          </cell>
        </row>
        <row r="189">
          <cell r="A189" t="str">
            <v>03.01.02</v>
          </cell>
          <cell r="B189" t="str">
            <v>370101</v>
          </cell>
          <cell r="C189" t="str">
            <v>HERRAMIENTAS MANUALES</v>
          </cell>
          <cell r="D189" t="str">
            <v>%MO</v>
          </cell>
          <cell r="F189">
            <v>2</v>
          </cell>
          <cell r="G189">
            <v>4.7527999999999997</v>
          </cell>
          <cell r="H189">
            <v>9.5056000000000002E-2</v>
          </cell>
          <cell r="I189">
            <v>9.5056000000000002E-2</v>
          </cell>
          <cell r="J189" t="str">
            <v>37</v>
          </cell>
          <cell r="K189">
            <v>300</v>
          </cell>
          <cell r="L189">
            <v>0</v>
          </cell>
          <cell r="M189">
            <v>28.52</v>
          </cell>
        </row>
        <row r="190">
          <cell r="J190">
            <v>0</v>
          </cell>
        </row>
        <row r="191">
          <cell r="A191" t="str">
            <v>03.01.03</v>
          </cell>
          <cell r="B191" t="str">
            <v>EXPLORACION E INTERPRETACION DE MUROS Y CIMIENTOS</v>
          </cell>
          <cell r="C191">
            <v>0</v>
          </cell>
          <cell r="D191">
            <v>0</v>
          </cell>
          <cell r="E191">
            <v>0</v>
          </cell>
          <cell r="F191">
            <v>0</v>
          </cell>
          <cell r="G191">
            <v>0</v>
          </cell>
          <cell r="H191" t="str">
            <v>M3</v>
          </cell>
          <cell r="I191">
            <v>47.17564800000001</v>
          </cell>
          <cell r="J191">
            <v>0</v>
          </cell>
        </row>
        <row r="192">
          <cell r="A192" t="str">
            <v>03.01.03</v>
          </cell>
          <cell r="E192" t="str">
            <v>RENDIMIENTO</v>
          </cell>
          <cell r="F192">
            <v>5</v>
          </cell>
          <cell r="G192" t="str">
            <v>M3/día</v>
          </cell>
          <cell r="J192">
            <v>0</v>
          </cell>
        </row>
        <row r="193">
          <cell r="A193" t="str">
            <v>03.01.03</v>
          </cell>
          <cell r="C193" t="str">
            <v>MANO DE OBRA</v>
          </cell>
          <cell r="J193">
            <v>0</v>
          </cell>
        </row>
        <row r="194">
          <cell r="A194" t="str">
            <v>03.01.03</v>
          </cell>
          <cell r="B194" t="str">
            <v>470038</v>
          </cell>
          <cell r="C194" t="str">
            <v>OBRERO  B</v>
          </cell>
          <cell r="D194" t="str">
            <v>HH</v>
          </cell>
          <cell r="E194">
            <v>1</v>
          </cell>
          <cell r="F194">
            <v>1.6</v>
          </cell>
          <cell r="G194">
            <v>5.9</v>
          </cell>
          <cell r="H194">
            <v>9.4400000000000013</v>
          </cell>
          <cell r="J194" t="str">
            <v>47</v>
          </cell>
          <cell r="K194">
            <v>190</v>
          </cell>
          <cell r="L194">
            <v>304</v>
          </cell>
          <cell r="M194">
            <v>1793.6</v>
          </cell>
        </row>
        <row r="195">
          <cell r="A195" t="str">
            <v>03.01.03</v>
          </cell>
          <cell r="B195" t="str">
            <v>470039</v>
          </cell>
          <cell r="C195" t="str">
            <v>OBRERO  C</v>
          </cell>
          <cell r="D195" t="str">
            <v>HH</v>
          </cell>
          <cell r="E195">
            <v>4</v>
          </cell>
          <cell r="F195">
            <v>6.4</v>
          </cell>
          <cell r="G195">
            <v>5.33</v>
          </cell>
          <cell r="H195">
            <v>34.112000000000002</v>
          </cell>
          <cell r="J195" t="str">
            <v>47</v>
          </cell>
          <cell r="K195">
            <v>190</v>
          </cell>
          <cell r="L195">
            <v>1216</v>
          </cell>
          <cell r="M195">
            <v>6481.28</v>
          </cell>
        </row>
        <row r="196">
          <cell r="A196" t="str">
            <v>03.01.03</v>
          </cell>
          <cell r="B196" t="str">
            <v>470040</v>
          </cell>
          <cell r="C196" t="str">
            <v>MAESTRO DE OBRA</v>
          </cell>
          <cell r="D196" t="str">
            <v>HH</v>
          </cell>
          <cell r="E196">
            <v>0.2</v>
          </cell>
          <cell r="F196">
            <v>0.32000000000000006</v>
          </cell>
          <cell r="G196">
            <v>7.03</v>
          </cell>
          <cell r="H196">
            <v>2.2496000000000005</v>
          </cell>
          <cell r="I196">
            <v>45.801600000000008</v>
          </cell>
          <cell r="J196" t="str">
            <v>47</v>
          </cell>
          <cell r="K196">
            <v>190</v>
          </cell>
          <cell r="L196">
            <v>60.8</v>
          </cell>
          <cell r="M196">
            <v>427.42</v>
          </cell>
        </row>
        <row r="197">
          <cell r="A197" t="str">
            <v>03.01.03</v>
          </cell>
          <cell r="C197" t="str">
            <v>EQUIPOS</v>
          </cell>
          <cell r="J197">
            <v>0</v>
          </cell>
        </row>
        <row r="198">
          <cell r="A198" t="str">
            <v>03.01.03</v>
          </cell>
          <cell r="B198" t="str">
            <v>370101</v>
          </cell>
          <cell r="C198" t="str">
            <v>HERRAMIENTAS MANUALES</v>
          </cell>
          <cell r="D198" t="str">
            <v>%MO</v>
          </cell>
          <cell r="F198">
            <v>3</v>
          </cell>
          <cell r="G198">
            <v>45.801600000000008</v>
          </cell>
          <cell r="H198">
            <v>1.3740480000000002</v>
          </cell>
          <cell r="I198">
            <v>1.3740480000000002</v>
          </cell>
          <cell r="J198" t="str">
            <v>37</v>
          </cell>
          <cell r="K198">
            <v>190</v>
          </cell>
          <cell r="L198">
            <v>0</v>
          </cell>
          <cell r="M198">
            <v>261.07</v>
          </cell>
        </row>
        <row r="199">
          <cell r="J199">
            <v>0</v>
          </cell>
        </row>
        <row r="200">
          <cell r="A200" t="str">
            <v>03.02.02.2</v>
          </cell>
          <cell r="B200" t="str">
            <v>CLASIFICACION DE MATERIAL CULTURAL</v>
          </cell>
          <cell r="C200">
            <v>0</v>
          </cell>
          <cell r="D200">
            <v>0</v>
          </cell>
          <cell r="E200">
            <v>0</v>
          </cell>
          <cell r="F200">
            <v>0</v>
          </cell>
          <cell r="G200">
            <v>0</v>
          </cell>
          <cell r="H200" t="str">
            <v>BOL</v>
          </cell>
          <cell r="I200">
            <v>13.039016</v>
          </cell>
          <cell r="J200">
            <v>0</v>
          </cell>
        </row>
        <row r="201">
          <cell r="A201" t="str">
            <v>03.02.02.2</v>
          </cell>
          <cell r="E201" t="str">
            <v>RENDIMIENTO</v>
          </cell>
          <cell r="F201">
            <v>5</v>
          </cell>
          <cell r="G201" t="str">
            <v>BOL/día</v>
          </cell>
          <cell r="J201">
            <v>0</v>
          </cell>
        </row>
        <row r="202">
          <cell r="A202" t="str">
            <v>03.02.02.2</v>
          </cell>
          <cell r="C202" t="str">
            <v>MANO DE OBRA</v>
          </cell>
          <cell r="J202">
            <v>0</v>
          </cell>
        </row>
        <row r="203">
          <cell r="A203" t="str">
            <v>03.02.02.2</v>
          </cell>
          <cell r="B203" t="str">
            <v>470037</v>
          </cell>
          <cell r="C203" t="str">
            <v>OBRERO  A</v>
          </cell>
          <cell r="D203" t="str">
            <v>HH</v>
          </cell>
          <cell r="E203">
            <v>1</v>
          </cell>
          <cell r="F203">
            <v>1.6</v>
          </cell>
          <cell r="G203">
            <v>6.46</v>
          </cell>
          <cell r="H203">
            <v>10.336</v>
          </cell>
          <cell r="J203" t="str">
            <v>47</v>
          </cell>
          <cell r="K203">
            <v>60</v>
          </cell>
          <cell r="L203">
            <v>96</v>
          </cell>
          <cell r="M203">
            <v>620.16</v>
          </cell>
        </row>
        <row r="204">
          <cell r="A204" t="str">
            <v>03.02.02.2</v>
          </cell>
          <cell r="B204" t="str">
            <v>470040</v>
          </cell>
          <cell r="C204" t="str">
            <v>MAESTRO DE OBRA</v>
          </cell>
          <cell r="D204" t="str">
            <v>HH</v>
          </cell>
          <cell r="E204">
            <v>0.1</v>
          </cell>
          <cell r="F204">
            <v>0.16000000000000003</v>
          </cell>
          <cell r="G204">
            <v>7.03</v>
          </cell>
          <cell r="H204">
            <v>1.1248000000000002</v>
          </cell>
          <cell r="I204">
            <v>11.460800000000001</v>
          </cell>
          <cell r="J204" t="str">
            <v>47</v>
          </cell>
          <cell r="K204">
            <v>60</v>
          </cell>
          <cell r="L204">
            <v>9.6</v>
          </cell>
          <cell r="M204">
            <v>67.489999999999995</v>
          </cell>
        </row>
        <row r="205">
          <cell r="A205" t="str">
            <v>03.02.02.2</v>
          </cell>
          <cell r="C205" t="str">
            <v>MATERIALES</v>
          </cell>
          <cell r="J205">
            <v>0</v>
          </cell>
        </row>
        <row r="206">
          <cell r="A206" t="str">
            <v>03.02.02.2</v>
          </cell>
          <cell r="B206" t="str">
            <v>135102</v>
          </cell>
          <cell r="C206" t="str">
            <v>PEGAMENTO (COLA BLANCA)</v>
          </cell>
          <cell r="D206" t="str">
            <v>LT</v>
          </cell>
          <cell r="F206">
            <v>8.0000000000000002E-3</v>
          </cell>
          <cell r="G206">
            <v>8</v>
          </cell>
          <cell r="H206">
            <v>6.4000000000000001E-2</v>
          </cell>
          <cell r="J206" t="str">
            <v>13</v>
          </cell>
          <cell r="K206">
            <v>60</v>
          </cell>
          <cell r="L206">
            <v>0.48</v>
          </cell>
          <cell r="M206">
            <v>3.84</v>
          </cell>
        </row>
        <row r="207">
          <cell r="A207" t="str">
            <v>03.02.02.2</v>
          </cell>
          <cell r="B207" t="str">
            <v>307583</v>
          </cell>
          <cell r="C207" t="str">
            <v>TINTA ROTRING (FRSCO DE 22 ML)</v>
          </cell>
          <cell r="D207" t="str">
            <v>UND</v>
          </cell>
          <cell r="F207">
            <v>0.01</v>
          </cell>
          <cell r="G207">
            <v>8</v>
          </cell>
          <cell r="H207">
            <v>0.08</v>
          </cell>
          <cell r="J207" t="str">
            <v>30</v>
          </cell>
          <cell r="K207">
            <v>60</v>
          </cell>
          <cell r="L207">
            <v>0.6</v>
          </cell>
          <cell r="M207">
            <v>4.8</v>
          </cell>
        </row>
        <row r="208">
          <cell r="A208" t="str">
            <v>03.02.02.2</v>
          </cell>
          <cell r="B208" t="str">
            <v>370402</v>
          </cell>
          <cell r="C208" t="str">
            <v>CEPILLO DE DIENTES</v>
          </cell>
          <cell r="D208" t="str">
            <v>UND</v>
          </cell>
          <cell r="F208">
            <v>0.5</v>
          </cell>
          <cell r="G208">
            <v>1.5</v>
          </cell>
          <cell r="H208">
            <v>0.75</v>
          </cell>
          <cell r="J208" t="str">
            <v>37</v>
          </cell>
          <cell r="K208">
            <v>60</v>
          </cell>
          <cell r="L208">
            <v>30</v>
          </cell>
          <cell r="M208">
            <v>45</v>
          </cell>
        </row>
        <row r="209">
          <cell r="A209" t="str">
            <v>03.02.02.2</v>
          </cell>
          <cell r="B209" t="str">
            <v>390952</v>
          </cell>
          <cell r="C209" t="str">
            <v>PLUMILLAS METALICAS</v>
          </cell>
          <cell r="D209" t="str">
            <v>UND</v>
          </cell>
          <cell r="F209">
            <v>0.01</v>
          </cell>
          <cell r="G209">
            <v>3.5</v>
          </cell>
          <cell r="H209">
            <v>3.5000000000000003E-2</v>
          </cell>
          <cell r="I209">
            <v>0.92900000000000005</v>
          </cell>
          <cell r="J209" t="str">
            <v>39</v>
          </cell>
          <cell r="K209">
            <v>60</v>
          </cell>
          <cell r="L209">
            <v>0.6</v>
          </cell>
          <cell r="M209">
            <v>2.1</v>
          </cell>
        </row>
        <row r="210">
          <cell r="A210" t="str">
            <v>03.02.02.2</v>
          </cell>
          <cell r="C210" t="str">
            <v>EQUIPOS</v>
          </cell>
          <cell r="J210">
            <v>0</v>
          </cell>
        </row>
        <row r="211">
          <cell r="A211" t="str">
            <v>03.02.02.2</v>
          </cell>
          <cell r="B211" t="str">
            <v>370101</v>
          </cell>
          <cell r="C211" t="str">
            <v>HERRAMIENTAS MANUALES</v>
          </cell>
          <cell r="D211" t="str">
            <v>%MO</v>
          </cell>
          <cell r="F211">
            <v>2</v>
          </cell>
          <cell r="G211">
            <v>11.460800000000001</v>
          </cell>
          <cell r="H211">
            <v>0.22921600000000003</v>
          </cell>
          <cell r="J211" t="str">
            <v>37</v>
          </cell>
          <cell r="K211">
            <v>60</v>
          </cell>
          <cell r="L211">
            <v>0</v>
          </cell>
          <cell r="M211">
            <v>13.75</v>
          </cell>
        </row>
        <row r="212">
          <cell r="A212" t="str">
            <v>03.02.02.2</v>
          </cell>
          <cell r="B212" t="str">
            <v>375707</v>
          </cell>
          <cell r="C212" t="str">
            <v>GUANTES DE JEBE DE CIRUJANO</v>
          </cell>
          <cell r="D212" t="str">
            <v>PZA</v>
          </cell>
          <cell r="F212">
            <v>0.06</v>
          </cell>
          <cell r="G212">
            <v>7</v>
          </cell>
          <cell r="H212">
            <v>0.42</v>
          </cell>
          <cell r="I212">
            <v>0.64921600000000002</v>
          </cell>
          <cell r="J212" t="str">
            <v>37</v>
          </cell>
          <cell r="K212">
            <v>60</v>
          </cell>
          <cell r="L212">
            <v>3.6</v>
          </cell>
          <cell r="M212">
            <v>25.2</v>
          </cell>
        </row>
        <row r="213">
          <cell r="J213">
            <v>0</v>
          </cell>
        </row>
        <row r="214">
          <cell r="A214" t="str">
            <v>03.02.02.3</v>
          </cell>
          <cell r="B214" t="str">
            <v>ANALISIS DE MATERIAL CULTURAL</v>
          </cell>
          <cell r="C214">
            <v>0</v>
          </cell>
          <cell r="D214">
            <v>0</v>
          </cell>
          <cell r="E214">
            <v>0</v>
          </cell>
          <cell r="F214">
            <v>0</v>
          </cell>
          <cell r="G214">
            <v>0</v>
          </cell>
          <cell r="H214" t="str">
            <v>BLS</v>
          </cell>
          <cell r="I214">
            <v>17.208016000000001</v>
          </cell>
          <cell r="J214">
            <v>0</v>
          </cell>
        </row>
        <row r="215">
          <cell r="A215" t="str">
            <v>03.02.02.3</v>
          </cell>
          <cell r="E215" t="str">
            <v>RENDIMIENTO</v>
          </cell>
          <cell r="F215">
            <v>5</v>
          </cell>
          <cell r="G215" t="str">
            <v>BLS/día</v>
          </cell>
          <cell r="J215">
            <v>0</v>
          </cell>
        </row>
        <row r="216">
          <cell r="A216" t="str">
            <v>03.02.02.3</v>
          </cell>
          <cell r="C216" t="str">
            <v>MANO DE OBRA</v>
          </cell>
          <cell r="J216">
            <v>0</v>
          </cell>
        </row>
        <row r="217">
          <cell r="A217" t="str">
            <v>03.02.02.3</v>
          </cell>
          <cell r="B217" t="str">
            <v>470037</v>
          </cell>
          <cell r="C217" t="str">
            <v>OBRERO  A</v>
          </cell>
          <cell r="D217" t="str">
            <v>HH</v>
          </cell>
          <cell r="E217">
            <v>1</v>
          </cell>
          <cell r="F217">
            <v>1.6</v>
          </cell>
          <cell r="G217">
            <v>6.46</v>
          </cell>
          <cell r="H217">
            <v>10.336</v>
          </cell>
          <cell r="J217" t="str">
            <v>47</v>
          </cell>
          <cell r="K217">
            <v>60</v>
          </cell>
          <cell r="L217">
            <v>96</v>
          </cell>
          <cell r="M217">
            <v>620.16</v>
          </cell>
        </row>
        <row r="218">
          <cell r="A218" t="str">
            <v>03.02.02.3</v>
          </cell>
          <cell r="B218" t="str">
            <v>470040</v>
          </cell>
          <cell r="C218" t="str">
            <v>MAESTRO DE OBRA</v>
          </cell>
          <cell r="D218" t="str">
            <v>HH</v>
          </cell>
          <cell r="E218">
            <v>0.1</v>
          </cell>
          <cell r="F218">
            <v>0.16000000000000003</v>
          </cell>
          <cell r="G218">
            <v>7.03</v>
          </cell>
          <cell r="H218">
            <v>1.1248000000000002</v>
          </cell>
          <cell r="I218">
            <v>11.460800000000001</v>
          </cell>
          <cell r="J218" t="str">
            <v>47</v>
          </cell>
          <cell r="K218">
            <v>60</v>
          </cell>
          <cell r="L218">
            <v>9.6</v>
          </cell>
          <cell r="M218">
            <v>67.489999999999995</v>
          </cell>
        </row>
        <row r="219">
          <cell r="A219" t="str">
            <v>03.02.02.3</v>
          </cell>
          <cell r="C219" t="str">
            <v>MATERIALES</v>
          </cell>
          <cell r="J219">
            <v>0</v>
          </cell>
        </row>
        <row r="220">
          <cell r="A220" t="str">
            <v>03.02.02.3</v>
          </cell>
          <cell r="B220" t="str">
            <v>135102</v>
          </cell>
          <cell r="C220" t="str">
            <v>PEGAMENTO (COLA BLANCA)</v>
          </cell>
          <cell r="D220" t="str">
            <v>LT</v>
          </cell>
          <cell r="F220">
            <v>0.05</v>
          </cell>
          <cell r="G220">
            <v>8</v>
          </cell>
          <cell r="H220">
            <v>0.4</v>
          </cell>
          <cell r="J220" t="str">
            <v>13</v>
          </cell>
          <cell r="K220">
            <v>60</v>
          </cell>
          <cell r="L220">
            <v>3</v>
          </cell>
          <cell r="M220">
            <v>24</v>
          </cell>
        </row>
        <row r="221">
          <cell r="A221" t="str">
            <v>03.02.02.3</v>
          </cell>
          <cell r="B221" t="str">
            <v>307571</v>
          </cell>
          <cell r="C221" t="str">
            <v>CARTULINA</v>
          </cell>
          <cell r="D221" t="str">
            <v>UND</v>
          </cell>
          <cell r="F221">
            <v>2.5000000000000001E-2</v>
          </cell>
          <cell r="G221">
            <v>0.6</v>
          </cell>
          <cell r="H221">
            <v>1.4999999999999999E-2</v>
          </cell>
          <cell r="J221" t="str">
            <v>30</v>
          </cell>
          <cell r="K221">
            <v>60</v>
          </cell>
          <cell r="L221">
            <v>1.5</v>
          </cell>
          <cell r="M221">
            <v>0.9</v>
          </cell>
        </row>
        <row r="222">
          <cell r="A222" t="str">
            <v>03.02.02.3</v>
          </cell>
          <cell r="B222" t="str">
            <v>307583</v>
          </cell>
          <cell r="C222" t="str">
            <v>TINTA ROTRING (FRSCO DE 22 ML)</v>
          </cell>
          <cell r="D222" t="str">
            <v>UND</v>
          </cell>
          <cell r="F222">
            <v>0.1</v>
          </cell>
          <cell r="G222">
            <v>8</v>
          </cell>
          <cell r="H222">
            <v>0.8</v>
          </cell>
          <cell r="J222" t="str">
            <v>30</v>
          </cell>
          <cell r="K222">
            <v>60</v>
          </cell>
          <cell r="L222">
            <v>6</v>
          </cell>
          <cell r="M222">
            <v>48</v>
          </cell>
        </row>
        <row r="223">
          <cell r="A223" t="str">
            <v>03.02.02.3</v>
          </cell>
          <cell r="B223" t="str">
            <v>390952</v>
          </cell>
          <cell r="C223" t="str">
            <v>PLUMILLAS METALICAS</v>
          </cell>
          <cell r="D223" t="str">
            <v>UND</v>
          </cell>
          <cell r="F223">
            <v>0.5</v>
          </cell>
          <cell r="G223">
            <v>3.5</v>
          </cell>
          <cell r="H223">
            <v>1.75</v>
          </cell>
          <cell r="J223" t="str">
            <v>39</v>
          </cell>
          <cell r="K223">
            <v>60</v>
          </cell>
          <cell r="L223">
            <v>30</v>
          </cell>
          <cell r="M223">
            <v>105</v>
          </cell>
        </row>
        <row r="224">
          <cell r="A224" t="str">
            <v>03.02.02.3</v>
          </cell>
          <cell r="B224" t="str">
            <v>395001</v>
          </cell>
          <cell r="C224" t="str">
            <v>PAPEL CANSON</v>
          </cell>
          <cell r="D224" t="str">
            <v>RLL</v>
          </cell>
          <cell r="F224">
            <v>0.03</v>
          </cell>
          <cell r="G224">
            <v>80</v>
          </cell>
          <cell r="H224">
            <v>2.4</v>
          </cell>
          <cell r="J224" t="str">
            <v>39</v>
          </cell>
          <cell r="K224">
            <v>60</v>
          </cell>
          <cell r="L224">
            <v>1.8</v>
          </cell>
          <cell r="M224">
            <v>144</v>
          </cell>
        </row>
        <row r="225">
          <cell r="A225" t="str">
            <v>03.02.02.3</v>
          </cell>
          <cell r="B225" t="str">
            <v>395087</v>
          </cell>
          <cell r="C225" t="str">
            <v>PAPEL BOND A4 (80 Gr.)</v>
          </cell>
          <cell r="D225" t="str">
            <v>MLL</v>
          </cell>
          <cell r="F225">
            <v>8.0000000000000004E-4</v>
          </cell>
          <cell r="G225">
            <v>35</v>
          </cell>
          <cell r="H225">
            <v>2.8000000000000001E-2</v>
          </cell>
          <cell r="J225" t="str">
            <v>39</v>
          </cell>
          <cell r="K225">
            <v>60</v>
          </cell>
          <cell r="L225">
            <v>0.05</v>
          </cell>
          <cell r="M225">
            <v>1.68</v>
          </cell>
        </row>
        <row r="226">
          <cell r="A226" t="str">
            <v>03.02.02.3</v>
          </cell>
          <cell r="B226" t="str">
            <v>545106</v>
          </cell>
          <cell r="C226" t="str">
            <v>LACA TRANSPARENTE X 1/8 GAL</v>
          </cell>
          <cell r="D226" t="str">
            <v>UND</v>
          </cell>
          <cell r="F226">
            <v>2.5000000000000001E-2</v>
          </cell>
          <cell r="G226">
            <v>5</v>
          </cell>
          <cell r="H226">
            <v>0.125</v>
          </cell>
          <cell r="I226">
            <v>5.5179999999999998</v>
          </cell>
          <cell r="J226" t="str">
            <v>54</v>
          </cell>
          <cell r="K226">
            <v>60</v>
          </cell>
          <cell r="L226">
            <v>1.5</v>
          </cell>
          <cell r="M226">
            <v>7.5</v>
          </cell>
        </row>
        <row r="227">
          <cell r="A227" t="str">
            <v>03.02.02.3</v>
          </cell>
          <cell r="C227" t="str">
            <v>EQUIPOS</v>
          </cell>
          <cell r="J227">
            <v>0</v>
          </cell>
        </row>
        <row r="228">
          <cell r="A228" t="str">
            <v>03.02.02.3</v>
          </cell>
          <cell r="B228" t="str">
            <v>370101</v>
          </cell>
          <cell r="C228" t="str">
            <v>HERRAMIENTAS MANUALES</v>
          </cell>
          <cell r="D228" t="str">
            <v>%MO</v>
          </cell>
          <cell r="F228">
            <v>2</v>
          </cell>
          <cell r="G228">
            <v>11.460800000000001</v>
          </cell>
          <cell r="H228">
            <v>0.22921600000000003</v>
          </cell>
          <cell r="I228">
            <v>0.22921600000000003</v>
          </cell>
          <cell r="J228" t="str">
            <v>37</v>
          </cell>
          <cell r="K228">
            <v>60</v>
          </cell>
          <cell r="L228">
            <v>0</v>
          </cell>
          <cell r="M228">
            <v>13.75</v>
          </cell>
        </row>
        <row r="229">
          <cell r="J229">
            <v>0</v>
          </cell>
        </row>
        <row r="230">
          <cell r="A230" t="str">
            <v>03.02.02</v>
          </cell>
          <cell r="B230" t="str">
            <v>EXCAVACION ARQUEOLOGICA</v>
          </cell>
          <cell r="C230">
            <v>0</v>
          </cell>
          <cell r="D230">
            <v>0</v>
          </cell>
          <cell r="E230">
            <v>0</v>
          </cell>
          <cell r="F230">
            <v>0</v>
          </cell>
          <cell r="G230">
            <v>0</v>
          </cell>
          <cell r="H230" t="str">
            <v>M3</v>
          </cell>
          <cell r="I230">
            <v>116.38236666666667</v>
          </cell>
          <cell r="J230">
            <v>0</v>
          </cell>
        </row>
        <row r="231">
          <cell r="A231" t="str">
            <v>03.02.02</v>
          </cell>
          <cell r="E231" t="str">
            <v>RENDIMIENTO</v>
          </cell>
          <cell r="F231">
            <v>0.9</v>
          </cell>
          <cell r="G231" t="str">
            <v>M3/día</v>
          </cell>
          <cell r="J231">
            <v>0</v>
          </cell>
        </row>
        <row r="232">
          <cell r="A232" t="str">
            <v>03.02.02</v>
          </cell>
          <cell r="C232" t="str">
            <v>MANO DE OBRA</v>
          </cell>
          <cell r="J232">
            <v>0</v>
          </cell>
        </row>
        <row r="233">
          <cell r="A233" t="str">
            <v>03.02.02</v>
          </cell>
          <cell r="B233" t="str">
            <v>470037</v>
          </cell>
          <cell r="C233" t="str">
            <v>OBRERO  A</v>
          </cell>
          <cell r="D233" t="str">
            <v>HH</v>
          </cell>
          <cell r="E233">
            <v>1</v>
          </cell>
          <cell r="F233">
            <v>8.8888888888888893</v>
          </cell>
          <cell r="G233">
            <v>6.46</v>
          </cell>
          <cell r="H233">
            <v>57.422222222222224</v>
          </cell>
          <cell r="J233" t="str">
            <v>47</v>
          </cell>
          <cell r="K233">
            <v>85</v>
          </cell>
          <cell r="L233">
            <v>755.56</v>
          </cell>
          <cell r="M233">
            <v>4880.8900000000003</v>
          </cell>
        </row>
        <row r="234">
          <cell r="A234" t="str">
            <v>03.02.02</v>
          </cell>
          <cell r="B234" t="str">
            <v>470039</v>
          </cell>
          <cell r="C234" t="str">
            <v>OBRERO  C</v>
          </cell>
          <cell r="D234" t="str">
            <v>HH</v>
          </cell>
          <cell r="E234">
            <v>1</v>
          </cell>
          <cell r="F234">
            <v>8.8888888888888893</v>
          </cell>
          <cell r="G234">
            <v>5.33</v>
          </cell>
          <cell r="H234">
            <v>47.37777777777778</v>
          </cell>
          <cell r="J234" t="str">
            <v>47</v>
          </cell>
          <cell r="K234">
            <v>85</v>
          </cell>
          <cell r="L234">
            <v>755.56</v>
          </cell>
          <cell r="M234">
            <v>4027.11</v>
          </cell>
        </row>
        <row r="235">
          <cell r="A235" t="str">
            <v>03.02.02</v>
          </cell>
          <cell r="B235" t="str">
            <v>470040</v>
          </cell>
          <cell r="C235" t="str">
            <v>MAESTRO DE OBRA</v>
          </cell>
          <cell r="D235" t="str">
            <v>HH</v>
          </cell>
          <cell r="E235">
            <v>0.1</v>
          </cell>
          <cell r="F235">
            <v>0.88888888888888895</v>
          </cell>
          <cell r="G235">
            <v>7.03</v>
          </cell>
          <cell r="H235">
            <v>6.2488888888888896</v>
          </cell>
          <cell r="I235">
            <v>111.0488888888889</v>
          </cell>
          <cell r="J235" t="str">
            <v>47</v>
          </cell>
          <cell r="K235">
            <v>85</v>
          </cell>
          <cell r="L235">
            <v>75.56</v>
          </cell>
          <cell r="M235">
            <v>531.16</v>
          </cell>
        </row>
        <row r="236">
          <cell r="A236" t="str">
            <v>03.02.02</v>
          </cell>
          <cell r="C236" t="str">
            <v>MATERIALES</v>
          </cell>
          <cell r="J236">
            <v>0</v>
          </cell>
        </row>
        <row r="237">
          <cell r="A237" t="str">
            <v>03.02.02</v>
          </cell>
          <cell r="B237" t="str">
            <v>020110</v>
          </cell>
          <cell r="C237" t="str">
            <v>CLAVOS PARA MADERA C/C 8"</v>
          </cell>
          <cell r="D237" t="str">
            <v>KG</v>
          </cell>
          <cell r="F237">
            <v>0.2</v>
          </cell>
          <cell r="G237">
            <v>6.5</v>
          </cell>
          <cell r="H237">
            <v>1.3</v>
          </cell>
          <cell r="J237" t="str">
            <v>02</v>
          </cell>
          <cell r="K237">
            <v>85</v>
          </cell>
          <cell r="L237">
            <v>17</v>
          </cell>
          <cell r="M237">
            <v>110.5</v>
          </cell>
        </row>
        <row r="238">
          <cell r="A238" t="str">
            <v>03.02.02</v>
          </cell>
          <cell r="B238" t="str">
            <v>309907</v>
          </cell>
          <cell r="C238" t="str">
            <v>CORDEL # 16</v>
          </cell>
          <cell r="D238" t="str">
            <v>KG</v>
          </cell>
          <cell r="F238">
            <v>4.0000000000000001E-3</v>
          </cell>
          <cell r="G238">
            <v>3</v>
          </cell>
          <cell r="H238">
            <v>1.2E-2</v>
          </cell>
          <cell r="J238" t="str">
            <v>30</v>
          </cell>
          <cell r="K238">
            <v>85</v>
          </cell>
          <cell r="L238">
            <v>0.34</v>
          </cell>
          <cell r="M238">
            <v>1.02</v>
          </cell>
        </row>
        <row r="239">
          <cell r="A239" t="str">
            <v>03.02.02</v>
          </cell>
          <cell r="B239" t="str">
            <v>309975</v>
          </cell>
          <cell r="C239" t="str">
            <v>BOLSAS DE POLIETILENO DE 20 X 30 cm. 8PESADO)</v>
          </cell>
          <cell r="D239" t="str">
            <v>CTO</v>
          </cell>
          <cell r="F239">
            <v>6.6699999999999995E-2</v>
          </cell>
          <cell r="G239">
            <v>15</v>
          </cell>
          <cell r="H239">
            <v>1.0004999999999999</v>
          </cell>
          <cell r="J239" t="str">
            <v>30</v>
          </cell>
          <cell r="K239">
            <v>85</v>
          </cell>
          <cell r="L239">
            <v>5.67</v>
          </cell>
          <cell r="M239">
            <v>85.04</v>
          </cell>
        </row>
        <row r="240">
          <cell r="A240" t="str">
            <v>03.02.02</v>
          </cell>
          <cell r="B240" t="str">
            <v>395002</v>
          </cell>
          <cell r="C240" t="str">
            <v>PAPEL MILIMETRADO</v>
          </cell>
          <cell r="D240" t="str">
            <v>UND</v>
          </cell>
          <cell r="F240">
            <v>2</v>
          </cell>
          <cell r="G240">
            <v>0.2</v>
          </cell>
          <cell r="H240">
            <v>0.4</v>
          </cell>
          <cell r="J240" t="str">
            <v>39</v>
          </cell>
          <cell r="K240">
            <v>85</v>
          </cell>
          <cell r="L240">
            <v>170</v>
          </cell>
          <cell r="M240">
            <v>34</v>
          </cell>
        </row>
        <row r="241">
          <cell r="A241" t="str">
            <v>03.02.02</v>
          </cell>
          <cell r="B241" t="str">
            <v>435113</v>
          </cell>
          <cell r="C241" t="str">
            <v>ESTACAS MADERA 2"X2"X1"</v>
          </cell>
          <cell r="D241" t="str">
            <v>PZA</v>
          </cell>
          <cell r="F241">
            <v>0.2</v>
          </cell>
          <cell r="G241">
            <v>2</v>
          </cell>
          <cell r="H241">
            <v>0.4</v>
          </cell>
          <cell r="I241">
            <v>3.1124999999999998</v>
          </cell>
          <cell r="J241" t="str">
            <v>43</v>
          </cell>
          <cell r="K241">
            <v>85</v>
          </cell>
          <cell r="L241">
            <v>17</v>
          </cell>
          <cell r="M241">
            <v>34</v>
          </cell>
        </row>
        <row r="242">
          <cell r="A242" t="str">
            <v>03.02.02</v>
          </cell>
          <cell r="C242" t="str">
            <v>EQUIPOS</v>
          </cell>
          <cell r="J242">
            <v>0</v>
          </cell>
        </row>
        <row r="243">
          <cell r="A243" t="str">
            <v>03.02.02</v>
          </cell>
          <cell r="B243" t="str">
            <v>370101</v>
          </cell>
          <cell r="C243" t="str">
            <v>HERRAMIENTAS MANUALES</v>
          </cell>
          <cell r="D243" t="str">
            <v>%MO</v>
          </cell>
          <cell r="F243">
            <v>2</v>
          </cell>
          <cell r="G243">
            <v>111.0488888888889</v>
          </cell>
          <cell r="H243">
            <v>2.2209777777777782</v>
          </cell>
          <cell r="I243">
            <v>2.2209777777777782</v>
          </cell>
          <cell r="J243" t="str">
            <v>37</v>
          </cell>
          <cell r="K243">
            <v>85</v>
          </cell>
          <cell r="L243">
            <v>0</v>
          </cell>
          <cell r="M243">
            <v>188.78</v>
          </cell>
        </row>
        <row r="244">
          <cell r="J244">
            <v>0</v>
          </cell>
        </row>
        <row r="245">
          <cell r="A245" t="str">
            <v>03.02.03.4</v>
          </cell>
          <cell r="B245" t="str">
            <v>REGISTRO ARQUEOLOGICO</v>
          </cell>
          <cell r="C245">
            <v>0</v>
          </cell>
          <cell r="D245">
            <v>0</v>
          </cell>
          <cell r="E245">
            <v>0</v>
          </cell>
          <cell r="F245">
            <v>0</v>
          </cell>
          <cell r="G245">
            <v>0</v>
          </cell>
          <cell r="H245" t="str">
            <v>M2</v>
          </cell>
          <cell r="I245">
            <v>15.112240000000002</v>
          </cell>
          <cell r="J245">
            <v>0</v>
          </cell>
        </row>
        <row r="246">
          <cell r="A246" t="str">
            <v>03.02.03.4</v>
          </cell>
          <cell r="E246" t="str">
            <v>RENDIMIENTO</v>
          </cell>
          <cell r="F246">
            <v>12</v>
          </cell>
          <cell r="G246" t="str">
            <v>M2/día</v>
          </cell>
          <cell r="J246">
            <v>0</v>
          </cell>
        </row>
        <row r="247">
          <cell r="A247" t="str">
            <v>03.02.03.4</v>
          </cell>
          <cell r="C247" t="str">
            <v>MANO DE OBRA</v>
          </cell>
          <cell r="J247">
            <v>0</v>
          </cell>
        </row>
        <row r="248">
          <cell r="A248" t="str">
            <v>03.02.03.4</v>
          </cell>
          <cell r="B248" t="str">
            <v>470037</v>
          </cell>
          <cell r="C248" t="str">
            <v>OBRERO  A</v>
          </cell>
          <cell r="D248" t="str">
            <v>HH</v>
          </cell>
          <cell r="E248">
            <v>1</v>
          </cell>
          <cell r="F248">
            <v>0.66666666666666663</v>
          </cell>
          <cell r="G248">
            <v>6.46</v>
          </cell>
          <cell r="H248">
            <v>4.3066666666666666</v>
          </cell>
          <cell r="J248" t="str">
            <v>47</v>
          </cell>
          <cell r="K248">
            <v>480</v>
          </cell>
          <cell r="L248">
            <v>320</v>
          </cell>
          <cell r="M248">
            <v>2067.1999999999998</v>
          </cell>
        </row>
        <row r="249">
          <cell r="A249" t="str">
            <v>03.02.03.4</v>
          </cell>
          <cell r="B249" t="str">
            <v>470038</v>
          </cell>
          <cell r="C249" t="str">
            <v>OBRERO  B</v>
          </cell>
          <cell r="D249" t="str">
            <v>HH</v>
          </cell>
          <cell r="E249">
            <v>1</v>
          </cell>
          <cell r="F249">
            <v>0.66666666666666663</v>
          </cell>
          <cell r="G249">
            <v>5.9</v>
          </cell>
          <cell r="H249">
            <v>3.9333333333333336</v>
          </cell>
          <cell r="J249" t="str">
            <v>47</v>
          </cell>
          <cell r="K249">
            <v>480</v>
          </cell>
          <cell r="L249">
            <v>320</v>
          </cell>
          <cell r="M249">
            <v>1888</v>
          </cell>
        </row>
        <row r="250">
          <cell r="A250" t="str">
            <v>03.02.03.4</v>
          </cell>
          <cell r="B250" t="str">
            <v>470039</v>
          </cell>
          <cell r="C250" t="str">
            <v>OBRERO  C</v>
          </cell>
          <cell r="D250" t="str">
            <v>HH</v>
          </cell>
          <cell r="E250">
            <v>1</v>
          </cell>
          <cell r="F250">
            <v>0.66666666666666663</v>
          </cell>
          <cell r="G250">
            <v>5.33</v>
          </cell>
          <cell r="H250">
            <v>3.5533333333333332</v>
          </cell>
          <cell r="J250" t="str">
            <v>47</v>
          </cell>
          <cell r="K250">
            <v>480</v>
          </cell>
          <cell r="L250">
            <v>320</v>
          </cell>
          <cell r="M250">
            <v>1705.6</v>
          </cell>
        </row>
        <row r="251">
          <cell r="A251" t="str">
            <v>03.02.03.4</v>
          </cell>
          <cell r="B251" t="str">
            <v>470040</v>
          </cell>
          <cell r="C251" t="str">
            <v>MAESTRO DE OBRA</v>
          </cell>
          <cell r="D251" t="str">
            <v>HH</v>
          </cell>
          <cell r="E251">
            <v>0.1</v>
          </cell>
          <cell r="F251">
            <v>6.6666666666666666E-2</v>
          </cell>
          <cell r="G251">
            <v>7.03</v>
          </cell>
          <cell r="H251">
            <v>0.46866666666666668</v>
          </cell>
          <cell r="I251">
            <v>12.262</v>
          </cell>
          <cell r="J251" t="str">
            <v>47</v>
          </cell>
          <cell r="K251">
            <v>480</v>
          </cell>
          <cell r="L251">
            <v>32</v>
          </cell>
          <cell r="M251">
            <v>224.96</v>
          </cell>
        </row>
        <row r="252">
          <cell r="A252" t="str">
            <v>03.02.03.4</v>
          </cell>
          <cell r="C252" t="str">
            <v>MATERIALES</v>
          </cell>
          <cell r="J252">
            <v>0</v>
          </cell>
        </row>
        <row r="253">
          <cell r="A253" t="str">
            <v>03.02.03.4</v>
          </cell>
          <cell r="B253" t="str">
            <v>309973</v>
          </cell>
          <cell r="C253" t="str">
            <v>ROLLO PELICULA KODAK COLOR</v>
          </cell>
          <cell r="D253" t="str">
            <v>UND</v>
          </cell>
          <cell r="F253">
            <v>0.1</v>
          </cell>
          <cell r="G253">
            <v>12</v>
          </cell>
          <cell r="H253">
            <v>1.2000000000000002</v>
          </cell>
          <cell r="J253" t="str">
            <v>30</v>
          </cell>
          <cell r="K253">
            <v>480</v>
          </cell>
          <cell r="L253">
            <v>48</v>
          </cell>
          <cell r="M253">
            <v>576</v>
          </cell>
        </row>
        <row r="254">
          <cell r="A254" t="str">
            <v>03.02.03.4</v>
          </cell>
          <cell r="B254" t="str">
            <v>395002</v>
          </cell>
          <cell r="C254" t="str">
            <v>PAPEL MILIMETRADO</v>
          </cell>
          <cell r="D254" t="str">
            <v>UND</v>
          </cell>
          <cell r="F254">
            <v>7.4999999999999997E-2</v>
          </cell>
          <cell r="G254">
            <v>0.2</v>
          </cell>
          <cell r="H254">
            <v>1.4999999999999999E-2</v>
          </cell>
          <cell r="J254" t="str">
            <v>39</v>
          </cell>
          <cell r="K254">
            <v>480</v>
          </cell>
          <cell r="L254">
            <v>36</v>
          </cell>
          <cell r="M254">
            <v>7.2</v>
          </cell>
        </row>
        <row r="255">
          <cell r="A255" t="str">
            <v>03.02.03.4</v>
          </cell>
          <cell r="B255" t="str">
            <v>395071</v>
          </cell>
          <cell r="C255" t="str">
            <v>PORTAMINA 0.5</v>
          </cell>
          <cell r="D255" t="str">
            <v>PZA</v>
          </cell>
          <cell r="F255">
            <v>7.0000000000000007E-2</v>
          </cell>
          <cell r="G255">
            <v>8</v>
          </cell>
          <cell r="H255">
            <v>0.56000000000000005</v>
          </cell>
          <cell r="J255" t="str">
            <v>39</v>
          </cell>
          <cell r="K255">
            <v>480</v>
          </cell>
          <cell r="L255">
            <v>33.6</v>
          </cell>
          <cell r="M255">
            <v>268.8</v>
          </cell>
        </row>
        <row r="256">
          <cell r="A256" t="str">
            <v>03.02.03.4</v>
          </cell>
          <cell r="B256" t="str">
            <v>395001</v>
          </cell>
          <cell r="C256" t="str">
            <v>PAPEL CANSON</v>
          </cell>
          <cell r="D256" t="str">
            <v>RLL</v>
          </cell>
          <cell r="F256">
            <v>6.0000000000000001E-3</v>
          </cell>
          <cell r="G256">
            <v>80</v>
          </cell>
          <cell r="H256">
            <v>0.48</v>
          </cell>
          <cell r="J256" t="str">
            <v>39</v>
          </cell>
          <cell r="K256">
            <v>480</v>
          </cell>
          <cell r="L256">
            <v>2.88</v>
          </cell>
          <cell r="M256">
            <v>230.4</v>
          </cell>
        </row>
        <row r="257">
          <cell r="A257" t="str">
            <v>03.02.03.4</v>
          </cell>
          <cell r="B257" t="str">
            <v>395087</v>
          </cell>
          <cell r="C257" t="str">
            <v>PAPEL BOND A4 (80 Gr.)</v>
          </cell>
          <cell r="D257" t="str">
            <v>MLL</v>
          </cell>
          <cell r="F257">
            <v>0.01</v>
          </cell>
          <cell r="G257">
            <v>35</v>
          </cell>
          <cell r="H257">
            <v>0.35000000000000003</v>
          </cell>
          <cell r="I257">
            <v>2.605</v>
          </cell>
          <cell r="J257" t="str">
            <v>39</v>
          </cell>
          <cell r="K257">
            <v>480</v>
          </cell>
          <cell r="L257">
            <v>4.8</v>
          </cell>
          <cell r="M257">
            <v>168</v>
          </cell>
        </row>
        <row r="258">
          <cell r="A258" t="str">
            <v>03.02.03.4</v>
          </cell>
          <cell r="C258" t="str">
            <v>EQUIPOS</v>
          </cell>
          <cell r="J258">
            <v>0</v>
          </cell>
        </row>
        <row r="259">
          <cell r="A259" t="str">
            <v>03.02.03.4</v>
          </cell>
          <cell r="B259" t="str">
            <v>370101</v>
          </cell>
          <cell r="C259" t="str">
            <v>HERRAMIENTAS MANUALES</v>
          </cell>
          <cell r="D259" t="str">
            <v>%MO</v>
          </cell>
          <cell r="F259">
            <v>2</v>
          </cell>
          <cell r="G259">
            <v>12.262</v>
          </cell>
          <cell r="H259">
            <v>0.24524000000000001</v>
          </cell>
          <cell r="I259">
            <v>0.24524000000000001</v>
          </cell>
          <cell r="J259" t="str">
            <v>37</v>
          </cell>
          <cell r="K259">
            <v>480</v>
          </cell>
          <cell r="L259">
            <v>0</v>
          </cell>
          <cell r="M259">
            <v>117.72</v>
          </cell>
        </row>
        <row r="260">
          <cell r="J260">
            <v>0</v>
          </cell>
        </row>
        <row r="261">
          <cell r="A261" t="str">
            <v>03.04.01</v>
          </cell>
          <cell r="B261" t="str">
            <v>RELLENO CON MATERIAL PROPIO</v>
          </cell>
          <cell r="C261">
            <v>0</v>
          </cell>
          <cell r="D261">
            <v>0</v>
          </cell>
          <cell r="E261">
            <v>0</v>
          </cell>
          <cell r="F261">
            <v>0</v>
          </cell>
          <cell r="G261">
            <v>0</v>
          </cell>
          <cell r="H261" t="str">
            <v>M3</v>
          </cell>
          <cell r="I261">
            <v>12.307320000000001</v>
          </cell>
          <cell r="J261">
            <v>0</v>
          </cell>
        </row>
        <row r="262">
          <cell r="A262" t="str">
            <v>03.04.01</v>
          </cell>
          <cell r="E262" t="str">
            <v>RENDIMIENTO</v>
          </cell>
          <cell r="F262">
            <v>4</v>
          </cell>
          <cell r="G262" t="str">
            <v>M3/día</v>
          </cell>
          <cell r="J262">
            <v>0</v>
          </cell>
        </row>
        <row r="263">
          <cell r="A263" t="str">
            <v>03.04.01</v>
          </cell>
          <cell r="C263" t="str">
            <v>MANO DE OBRA</v>
          </cell>
          <cell r="J263">
            <v>0</v>
          </cell>
        </row>
        <row r="264">
          <cell r="A264" t="str">
            <v>03.04.01</v>
          </cell>
          <cell r="B264" t="str">
            <v>470039</v>
          </cell>
          <cell r="C264" t="str">
            <v>OBRERO  C</v>
          </cell>
          <cell r="D264" t="str">
            <v>HH</v>
          </cell>
          <cell r="E264">
            <v>1</v>
          </cell>
          <cell r="F264">
            <v>2</v>
          </cell>
          <cell r="G264">
            <v>5.33</v>
          </cell>
          <cell r="H264">
            <v>10.66</v>
          </cell>
          <cell r="J264" t="str">
            <v>47</v>
          </cell>
          <cell r="K264">
            <v>100</v>
          </cell>
          <cell r="L264">
            <v>200</v>
          </cell>
          <cell r="M264">
            <v>1066</v>
          </cell>
        </row>
        <row r="265">
          <cell r="A265" t="str">
            <v>03.04.01</v>
          </cell>
          <cell r="B265" t="str">
            <v>470040</v>
          </cell>
          <cell r="C265" t="str">
            <v>MAESTRO DE OBRA</v>
          </cell>
          <cell r="D265" t="str">
            <v>HH</v>
          </cell>
          <cell r="E265">
            <v>0.1</v>
          </cell>
          <cell r="F265">
            <v>0.2</v>
          </cell>
          <cell r="G265">
            <v>7.03</v>
          </cell>
          <cell r="H265">
            <v>1.4060000000000001</v>
          </cell>
          <cell r="I265">
            <v>12.066000000000001</v>
          </cell>
          <cell r="J265" t="str">
            <v>47</v>
          </cell>
          <cell r="K265">
            <v>100</v>
          </cell>
          <cell r="L265">
            <v>20</v>
          </cell>
          <cell r="M265">
            <v>140.6</v>
          </cell>
        </row>
        <row r="266">
          <cell r="A266" t="str">
            <v>03.04.01</v>
          </cell>
          <cell r="C266" t="str">
            <v>EQUIPOS</v>
          </cell>
          <cell r="J266">
            <v>0</v>
          </cell>
        </row>
        <row r="267">
          <cell r="A267" t="str">
            <v>03.04.01</v>
          </cell>
          <cell r="B267" t="str">
            <v>370101</v>
          </cell>
          <cell r="C267" t="str">
            <v>HERRAMIENTAS MANUALES</v>
          </cell>
          <cell r="D267" t="str">
            <v>%MO</v>
          </cell>
          <cell r="F267">
            <v>2</v>
          </cell>
          <cell r="G267">
            <v>12.066000000000001</v>
          </cell>
          <cell r="H267">
            <v>0.24132000000000001</v>
          </cell>
          <cell r="I267">
            <v>0.24132000000000001</v>
          </cell>
          <cell r="J267" t="str">
            <v>37</v>
          </cell>
          <cell r="K267">
            <v>100</v>
          </cell>
          <cell r="L267">
            <v>0</v>
          </cell>
          <cell r="M267">
            <v>24.13</v>
          </cell>
        </row>
        <row r="268">
          <cell r="J268">
            <v>0</v>
          </cell>
        </row>
        <row r="269">
          <cell r="J269">
            <v>0</v>
          </cell>
        </row>
        <row r="270">
          <cell r="A270" t="str">
            <v>03.05.01</v>
          </cell>
          <cell r="B270" t="str">
            <v>ELIMINACION DE MATERIAL EXCEDENTE (EN BOGOGIES A 500m.)</v>
          </cell>
          <cell r="C270">
            <v>0</v>
          </cell>
          <cell r="D270">
            <v>0</v>
          </cell>
          <cell r="E270">
            <v>0</v>
          </cell>
          <cell r="F270">
            <v>0</v>
          </cell>
          <cell r="G270">
            <v>0</v>
          </cell>
          <cell r="H270" t="str">
            <v>M3</v>
          </cell>
          <cell r="I270">
            <v>11.590259999999999</v>
          </cell>
          <cell r="J270">
            <v>0</v>
          </cell>
        </row>
        <row r="271">
          <cell r="A271" t="str">
            <v>03.05.01</v>
          </cell>
          <cell r="E271" t="str">
            <v>RENDIMIENTO</v>
          </cell>
          <cell r="F271">
            <v>8</v>
          </cell>
          <cell r="G271" t="str">
            <v>M3/día</v>
          </cell>
          <cell r="J271">
            <v>0</v>
          </cell>
        </row>
        <row r="272">
          <cell r="A272" t="str">
            <v>03.05.01</v>
          </cell>
          <cell r="C272" t="str">
            <v>MANO DE OBRA</v>
          </cell>
          <cell r="J272">
            <v>0</v>
          </cell>
        </row>
        <row r="273">
          <cell r="A273" t="str">
            <v>03.05.01</v>
          </cell>
          <cell r="B273" t="str">
            <v>470039</v>
          </cell>
          <cell r="C273" t="str">
            <v>OBRERO  C</v>
          </cell>
          <cell r="D273" t="str">
            <v>HH</v>
          </cell>
          <cell r="E273">
            <v>2</v>
          </cell>
          <cell r="F273">
            <v>2</v>
          </cell>
          <cell r="G273">
            <v>5.33</v>
          </cell>
          <cell r="H273">
            <v>10.66</v>
          </cell>
          <cell r="J273" t="str">
            <v>47</v>
          </cell>
          <cell r="K273">
            <v>80</v>
          </cell>
          <cell r="L273">
            <v>160</v>
          </cell>
          <cell r="M273">
            <v>852.8</v>
          </cell>
        </row>
        <row r="274">
          <cell r="A274" t="str">
            <v>03.05.01</v>
          </cell>
          <cell r="B274" t="str">
            <v>470040</v>
          </cell>
          <cell r="C274" t="str">
            <v>MAESTRO DE OBRA</v>
          </cell>
          <cell r="D274" t="str">
            <v>HH</v>
          </cell>
          <cell r="E274">
            <v>0.1</v>
          </cell>
          <cell r="F274">
            <v>0.1</v>
          </cell>
          <cell r="G274">
            <v>7.03</v>
          </cell>
          <cell r="H274">
            <v>0.70300000000000007</v>
          </cell>
          <cell r="I274">
            <v>11.363</v>
          </cell>
          <cell r="J274" t="str">
            <v>47</v>
          </cell>
          <cell r="K274">
            <v>80</v>
          </cell>
          <cell r="L274">
            <v>8</v>
          </cell>
          <cell r="M274">
            <v>56.24</v>
          </cell>
        </row>
        <row r="275">
          <cell r="A275" t="str">
            <v>03.05.01</v>
          </cell>
          <cell r="C275" t="str">
            <v>EQUIPOS</v>
          </cell>
          <cell r="J275">
            <v>0</v>
          </cell>
        </row>
        <row r="276">
          <cell r="A276" t="str">
            <v>03.05.01</v>
          </cell>
          <cell r="B276" t="str">
            <v>370101</v>
          </cell>
          <cell r="C276" t="str">
            <v>HERRAMIENTAS MANUALES</v>
          </cell>
          <cell r="D276" t="str">
            <v>%MO</v>
          </cell>
          <cell r="F276">
            <v>2</v>
          </cell>
          <cell r="G276">
            <v>11.363</v>
          </cell>
          <cell r="H276">
            <v>0.22725999999999999</v>
          </cell>
          <cell r="I276">
            <v>0.22725999999999999</v>
          </cell>
          <cell r="J276" t="str">
            <v>37</v>
          </cell>
          <cell r="K276">
            <v>80</v>
          </cell>
          <cell r="L276">
            <v>0</v>
          </cell>
          <cell r="M276">
            <v>18.18</v>
          </cell>
        </row>
        <row r="277">
          <cell r="J277">
            <v>0</v>
          </cell>
        </row>
        <row r="278">
          <cell r="A278" t="str">
            <v>04.01.00</v>
          </cell>
          <cell r="B278" t="str">
            <v>CALZADURA DE CIMIENTO CON MATERIAL (MORTERO DE CAL Y PIEDRA)</v>
          </cell>
          <cell r="C278">
            <v>0</v>
          </cell>
          <cell r="D278">
            <v>0</v>
          </cell>
          <cell r="E278">
            <v>0</v>
          </cell>
          <cell r="F278">
            <v>0</v>
          </cell>
          <cell r="G278">
            <v>0</v>
          </cell>
          <cell r="H278" t="str">
            <v>M3</v>
          </cell>
          <cell r="I278">
            <v>173.56578666666667</v>
          </cell>
          <cell r="J278">
            <v>0</v>
          </cell>
        </row>
        <row r="279">
          <cell r="A279" t="str">
            <v>04.01.00</v>
          </cell>
          <cell r="E279" t="str">
            <v>RENDIMIENTO</v>
          </cell>
          <cell r="F279">
            <v>1.5</v>
          </cell>
          <cell r="G279" t="str">
            <v>M3/día</v>
          </cell>
          <cell r="J279">
            <v>0</v>
          </cell>
        </row>
        <row r="280">
          <cell r="A280" t="str">
            <v>04.01.00</v>
          </cell>
          <cell r="C280" t="str">
            <v>MANO DE OBRA</v>
          </cell>
          <cell r="J280">
            <v>0</v>
          </cell>
        </row>
        <row r="281">
          <cell r="A281" t="str">
            <v>04.01.00</v>
          </cell>
          <cell r="B281" t="str">
            <v>470037</v>
          </cell>
          <cell r="C281" t="str">
            <v>OBRERO  A</v>
          </cell>
          <cell r="D281" t="str">
            <v>HH</v>
          </cell>
          <cell r="E281">
            <v>1</v>
          </cell>
          <cell r="F281">
            <v>5.333333333333333</v>
          </cell>
          <cell r="G281">
            <v>6.46</v>
          </cell>
          <cell r="H281">
            <v>34.453333333333333</v>
          </cell>
          <cell r="J281" t="str">
            <v>47</v>
          </cell>
          <cell r="K281">
            <v>20</v>
          </cell>
          <cell r="L281">
            <v>106.67</v>
          </cell>
          <cell r="M281">
            <v>689.07</v>
          </cell>
        </row>
        <row r="282">
          <cell r="A282" t="str">
            <v>04.01.00</v>
          </cell>
          <cell r="B282" t="str">
            <v>470038</v>
          </cell>
          <cell r="C282" t="str">
            <v>OBRERO  B</v>
          </cell>
          <cell r="D282" t="str">
            <v>HH</v>
          </cell>
          <cell r="E282">
            <v>1</v>
          </cell>
          <cell r="F282">
            <v>5.333333333333333</v>
          </cell>
          <cell r="G282">
            <v>5.9</v>
          </cell>
          <cell r="H282">
            <v>31.466666666666669</v>
          </cell>
          <cell r="J282" t="str">
            <v>47</v>
          </cell>
          <cell r="K282">
            <v>20</v>
          </cell>
          <cell r="L282">
            <v>106.67</v>
          </cell>
          <cell r="M282">
            <v>629.33000000000004</v>
          </cell>
        </row>
        <row r="283">
          <cell r="A283" t="str">
            <v>04.01.00</v>
          </cell>
          <cell r="B283" t="str">
            <v>470039</v>
          </cell>
          <cell r="C283" t="str">
            <v>OBRERO  C</v>
          </cell>
          <cell r="D283" t="str">
            <v>HH</v>
          </cell>
          <cell r="E283">
            <v>1</v>
          </cell>
          <cell r="F283">
            <v>5.333333333333333</v>
          </cell>
          <cell r="G283">
            <v>5.33</v>
          </cell>
          <cell r="H283">
            <v>28.426666666666666</v>
          </cell>
          <cell r="J283" t="str">
            <v>47</v>
          </cell>
          <cell r="K283">
            <v>20</v>
          </cell>
          <cell r="L283">
            <v>106.67</v>
          </cell>
          <cell r="M283">
            <v>568.53</v>
          </cell>
        </row>
        <row r="284">
          <cell r="A284" t="str">
            <v>04.01.00</v>
          </cell>
          <cell r="B284" t="str">
            <v>470040</v>
          </cell>
          <cell r="C284" t="str">
            <v>MAESTRO DE OBRA</v>
          </cell>
          <cell r="D284" t="str">
            <v>HH</v>
          </cell>
          <cell r="E284">
            <v>0.15</v>
          </cell>
          <cell r="F284">
            <v>0.79999999999999993</v>
          </cell>
          <cell r="G284">
            <v>7.03</v>
          </cell>
          <cell r="H284">
            <v>5.6239999999999997</v>
          </cell>
          <cell r="I284">
            <v>99.970666666666659</v>
          </cell>
          <cell r="J284" t="str">
            <v>47</v>
          </cell>
          <cell r="K284">
            <v>20</v>
          </cell>
          <cell r="L284">
            <v>16</v>
          </cell>
          <cell r="M284">
            <v>112.48</v>
          </cell>
        </row>
        <row r="285">
          <cell r="A285" t="str">
            <v>04.01.00</v>
          </cell>
          <cell r="C285" t="str">
            <v>MATERIALES</v>
          </cell>
          <cell r="J285">
            <v>0</v>
          </cell>
        </row>
        <row r="286">
          <cell r="A286" t="str">
            <v>04.01.00</v>
          </cell>
          <cell r="B286" t="str">
            <v>040110</v>
          </cell>
          <cell r="C286" t="str">
            <v>ARCILLA</v>
          </cell>
          <cell r="D286" t="str">
            <v>M3</v>
          </cell>
          <cell r="F286">
            <v>0.6</v>
          </cell>
          <cell r="G286">
            <v>45</v>
          </cell>
          <cell r="H286">
            <v>27</v>
          </cell>
          <cell r="J286" t="str">
            <v>04</v>
          </cell>
          <cell r="K286">
            <v>20</v>
          </cell>
          <cell r="L286">
            <v>12</v>
          </cell>
          <cell r="M286">
            <v>540</v>
          </cell>
        </row>
        <row r="287">
          <cell r="A287" t="str">
            <v>04.01.00</v>
          </cell>
          <cell r="B287" t="str">
            <v>210000</v>
          </cell>
          <cell r="C287" t="str">
            <v>CEMENTO PORTLAND TIPO 1 (42.5 Kg.)</v>
          </cell>
          <cell r="D287" t="str">
            <v>BOL</v>
          </cell>
          <cell r="F287">
            <v>0.3</v>
          </cell>
          <cell r="G287">
            <v>21</v>
          </cell>
          <cell r="H287">
            <v>6.3</v>
          </cell>
          <cell r="J287" t="str">
            <v>21</v>
          </cell>
          <cell r="K287">
            <v>20</v>
          </cell>
          <cell r="L287">
            <v>6</v>
          </cell>
          <cell r="M287">
            <v>126</v>
          </cell>
        </row>
        <row r="288">
          <cell r="A288" t="str">
            <v>04.01.00</v>
          </cell>
          <cell r="B288" t="str">
            <v>290308</v>
          </cell>
          <cell r="C288" t="str">
            <v>CAL EN BOLSA DE 40 Kg.</v>
          </cell>
          <cell r="D288" t="str">
            <v>BOL</v>
          </cell>
          <cell r="F288">
            <v>1.5</v>
          </cell>
          <cell r="G288">
            <v>10.5</v>
          </cell>
          <cell r="H288">
            <v>15.75</v>
          </cell>
          <cell r="I288">
            <v>49.05</v>
          </cell>
          <cell r="J288" t="str">
            <v>29</v>
          </cell>
          <cell r="K288">
            <v>20</v>
          </cell>
          <cell r="L288">
            <v>30</v>
          </cell>
          <cell r="M288">
            <v>315</v>
          </cell>
        </row>
        <row r="289">
          <cell r="A289" t="str">
            <v>04.01.00</v>
          </cell>
          <cell r="C289" t="str">
            <v>EQUIPOS</v>
          </cell>
          <cell r="J289">
            <v>0</v>
          </cell>
        </row>
        <row r="290">
          <cell r="A290" t="str">
            <v>04.01.00</v>
          </cell>
          <cell r="B290" t="str">
            <v>370101</v>
          </cell>
          <cell r="C290" t="str">
            <v>HERRAMIENTAS MANUALES</v>
          </cell>
          <cell r="D290" t="str">
            <v>%MO</v>
          </cell>
          <cell r="F290">
            <v>3</v>
          </cell>
          <cell r="G290">
            <v>99.970666666666659</v>
          </cell>
          <cell r="H290">
            <v>2.9991199999999996</v>
          </cell>
          <cell r="I290">
            <v>2.9991199999999996</v>
          </cell>
          <cell r="J290" t="str">
            <v>37</v>
          </cell>
          <cell r="K290">
            <v>20</v>
          </cell>
          <cell r="L290">
            <v>0</v>
          </cell>
          <cell r="M290">
            <v>59.98</v>
          </cell>
        </row>
        <row r="291">
          <cell r="A291" t="str">
            <v>04.01.00</v>
          </cell>
          <cell r="C291" t="str">
            <v>INSUMO PARTIDA</v>
          </cell>
          <cell r="J291">
            <v>0</v>
          </cell>
        </row>
        <row r="292">
          <cell r="A292" t="str">
            <v>04.01.00</v>
          </cell>
          <cell r="B292" t="str">
            <v>910109</v>
          </cell>
          <cell r="C292" t="str">
            <v>PREPARADO DE PIEDRA  PARA CALZADURA</v>
          </cell>
          <cell r="D292" t="str">
            <v>M3</v>
          </cell>
          <cell r="F292">
            <v>0.9</v>
          </cell>
          <cell r="G292">
            <v>23.94</v>
          </cell>
          <cell r="H292">
            <v>21.546000000000003</v>
          </cell>
          <cell r="I292">
            <v>21.546000000000003</v>
          </cell>
          <cell r="J292" t="str">
            <v>91</v>
          </cell>
          <cell r="K292">
            <v>20</v>
          </cell>
          <cell r="L292">
            <v>18</v>
          </cell>
          <cell r="M292">
            <v>430.92</v>
          </cell>
        </row>
        <row r="293">
          <cell r="J293">
            <v>0</v>
          </cell>
        </row>
        <row r="294">
          <cell r="A294" t="str">
            <v>08.05.01</v>
          </cell>
          <cell r="B294" t="str">
            <v>CUBERTINA DE PROTECCION EN CABECERA DE MUROS</v>
          </cell>
          <cell r="C294">
            <v>0</v>
          </cell>
          <cell r="D294">
            <v>0</v>
          </cell>
          <cell r="E294">
            <v>0</v>
          </cell>
          <cell r="F294">
            <v>0</v>
          </cell>
          <cell r="G294">
            <v>0</v>
          </cell>
          <cell r="H294" t="str">
            <v>M2</v>
          </cell>
          <cell r="I294">
            <v>13.513664000000002</v>
          </cell>
          <cell r="J294">
            <v>0</v>
          </cell>
        </row>
        <row r="295">
          <cell r="A295" t="str">
            <v>08.05.01</v>
          </cell>
          <cell r="E295" t="str">
            <v>RENDIMIENTO</v>
          </cell>
          <cell r="F295">
            <v>20</v>
          </cell>
          <cell r="G295" t="str">
            <v>M2/día</v>
          </cell>
          <cell r="J295">
            <v>0</v>
          </cell>
        </row>
        <row r="296">
          <cell r="A296" t="str">
            <v>08.05.01</v>
          </cell>
          <cell r="C296" t="str">
            <v>MANO DE OBRA</v>
          </cell>
          <cell r="J296">
            <v>0</v>
          </cell>
        </row>
        <row r="297">
          <cell r="A297" t="str">
            <v>08.05.01</v>
          </cell>
          <cell r="B297" t="str">
            <v>470038</v>
          </cell>
          <cell r="C297" t="str">
            <v>OBRERO  B</v>
          </cell>
          <cell r="D297" t="str">
            <v>HH</v>
          </cell>
          <cell r="E297">
            <v>1</v>
          </cell>
          <cell r="F297">
            <v>0.4</v>
          </cell>
          <cell r="G297">
            <v>5.9</v>
          </cell>
          <cell r="H297">
            <v>2.3600000000000003</v>
          </cell>
          <cell r="J297" t="str">
            <v>47</v>
          </cell>
          <cell r="K297">
            <v>270</v>
          </cell>
          <cell r="L297">
            <v>108</v>
          </cell>
          <cell r="M297">
            <v>637.20000000000005</v>
          </cell>
        </row>
        <row r="298">
          <cell r="A298" t="str">
            <v>08.05.01</v>
          </cell>
          <cell r="B298" t="str">
            <v>470039</v>
          </cell>
          <cell r="C298" t="str">
            <v>OBRERO  C</v>
          </cell>
          <cell r="D298" t="str">
            <v>HH</v>
          </cell>
          <cell r="E298">
            <v>1</v>
          </cell>
          <cell r="F298">
            <v>0.4</v>
          </cell>
          <cell r="G298">
            <v>5.33</v>
          </cell>
          <cell r="H298">
            <v>2.1320000000000001</v>
          </cell>
          <cell r="J298" t="str">
            <v>47</v>
          </cell>
          <cell r="K298">
            <v>270</v>
          </cell>
          <cell r="L298">
            <v>108</v>
          </cell>
          <cell r="M298">
            <v>575.64</v>
          </cell>
        </row>
        <row r="299">
          <cell r="A299" t="str">
            <v>08.05.01</v>
          </cell>
          <cell r="B299" t="str">
            <v>470040</v>
          </cell>
          <cell r="C299" t="str">
            <v>MAESTRO DE OBRA</v>
          </cell>
          <cell r="D299" t="str">
            <v>HH</v>
          </cell>
          <cell r="E299">
            <v>0.1</v>
          </cell>
          <cell r="F299">
            <v>4.0000000000000008E-2</v>
          </cell>
          <cell r="G299">
            <v>7.03</v>
          </cell>
          <cell r="H299">
            <v>0.28120000000000006</v>
          </cell>
          <cell r="I299">
            <v>4.773200000000001</v>
          </cell>
          <cell r="J299" t="str">
            <v>47</v>
          </cell>
          <cell r="K299">
            <v>270</v>
          </cell>
          <cell r="L299">
            <v>10.8</v>
          </cell>
          <cell r="M299">
            <v>75.92</v>
          </cell>
        </row>
        <row r="300">
          <cell r="A300" t="str">
            <v>08.05.01</v>
          </cell>
          <cell r="C300" t="str">
            <v>MATERIALES</v>
          </cell>
          <cell r="J300">
            <v>0</v>
          </cell>
        </row>
        <row r="301">
          <cell r="A301" t="str">
            <v>08.05.01</v>
          </cell>
          <cell r="B301" t="str">
            <v>210000</v>
          </cell>
          <cell r="C301" t="str">
            <v>CEMENTO PORTLAND TIPO 1 (42.5 Kg.)</v>
          </cell>
          <cell r="D301" t="str">
            <v>BOL</v>
          </cell>
          <cell r="F301">
            <v>0.12</v>
          </cell>
          <cell r="G301">
            <v>21</v>
          </cell>
          <cell r="H301">
            <v>2.52</v>
          </cell>
          <cell r="J301" t="str">
            <v>21</v>
          </cell>
          <cell r="K301">
            <v>270</v>
          </cell>
          <cell r="L301">
            <v>32.4</v>
          </cell>
          <cell r="M301">
            <v>680.4</v>
          </cell>
        </row>
        <row r="302">
          <cell r="A302" t="str">
            <v>08.05.01</v>
          </cell>
          <cell r="B302" t="str">
            <v>050104</v>
          </cell>
          <cell r="C302" t="str">
            <v>ARENA GRUESA</v>
          </cell>
          <cell r="D302" t="str">
            <v>M3</v>
          </cell>
          <cell r="F302">
            <v>0.02</v>
          </cell>
          <cell r="G302">
            <v>78</v>
          </cell>
          <cell r="H302">
            <v>1.56</v>
          </cell>
          <cell r="I302">
            <v>4.08</v>
          </cell>
          <cell r="J302" t="str">
            <v>05</v>
          </cell>
          <cell r="K302">
            <v>270</v>
          </cell>
          <cell r="L302">
            <v>5.4</v>
          </cell>
          <cell r="M302">
            <v>421.2</v>
          </cell>
        </row>
        <row r="303">
          <cell r="A303" t="str">
            <v>08.05.01</v>
          </cell>
          <cell r="C303" t="str">
            <v>EQUIPOS</v>
          </cell>
          <cell r="J303">
            <v>0</v>
          </cell>
        </row>
        <row r="304">
          <cell r="A304" t="str">
            <v>08.05.01</v>
          </cell>
          <cell r="B304" t="str">
            <v>370101</v>
          </cell>
          <cell r="C304" t="str">
            <v>HERRAMIENTAS MANUALES</v>
          </cell>
          <cell r="D304" t="str">
            <v>%MO</v>
          </cell>
          <cell r="F304">
            <v>2</v>
          </cell>
          <cell r="G304">
            <v>4.773200000000001</v>
          </cell>
          <cell r="H304">
            <v>9.5464000000000021E-2</v>
          </cell>
          <cell r="I304">
            <v>9.5464000000000021E-2</v>
          </cell>
          <cell r="J304" t="str">
            <v>37</v>
          </cell>
          <cell r="K304">
            <v>270</v>
          </cell>
          <cell r="L304">
            <v>0</v>
          </cell>
          <cell r="M304">
            <v>25.78</v>
          </cell>
        </row>
        <row r="305">
          <cell r="A305" t="str">
            <v>08.05.01</v>
          </cell>
          <cell r="C305" t="str">
            <v>INSUMO PARTIDA</v>
          </cell>
          <cell r="J305">
            <v>0</v>
          </cell>
        </row>
        <row r="306">
          <cell r="A306" t="str">
            <v>08.05.01</v>
          </cell>
          <cell r="B306" t="str">
            <v>920108</v>
          </cell>
          <cell r="C306" t="str">
            <v>MORTERO DE ARCILLA-TIERRA-CAL</v>
          </cell>
          <cell r="D306" t="str">
            <v>M3</v>
          </cell>
          <cell r="F306">
            <v>0.1</v>
          </cell>
          <cell r="G306">
            <v>45.65</v>
          </cell>
          <cell r="H306">
            <v>4.5650000000000004</v>
          </cell>
          <cell r="I306">
            <v>4.5650000000000004</v>
          </cell>
          <cell r="J306" t="str">
            <v>92</v>
          </cell>
          <cell r="K306">
            <v>270</v>
          </cell>
          <cell r="L306">
            <v>27</v>
          </cell>
          <cell r="M306">
            <v>1232.55</v>
          </cell>
        </row>
        <row r="307">
          <cell r="J307">
            <v>0</v>
          </cell>
        </row>
        <row r="308">
          <cell r="A308" t="str">
            <v>09.13.01.1</v>
          </cell>
          <cell r="B308" t="str">
            <v>DESARMADO DE MURO (NO INC. RETICULADO)</v>
          </cell>
          <cell r="C308">
            <v>0</v>
          </cell>
          <cell r="D308">
            <v>0</v>
          </cell>
          <cell r="E308">
            <v>0</v>
          </cell>
          <cell r="F308">
            <v>0</v>
          </cell>
          <cell r="G308">
            <v>0</v>
          </cell>
          <cell r="H308" t="str">
            <v>M3</v>
          </cell>
          <cell r="I308">
            <v>18.760859999999997</v>
          </cell>
          <cell r="J308">
            <v>0</v>
          </cell>
        </row>
        <row r="309">
          <cell r="A309" t="str">
            <v>09.13.01.1</v>
          </cell>
          <cell r="E309" t="str">
            <v>RENDIMIENTO</v>
          </cell>
          <cell r="F309">
            <v>8</v>
          </cell>
          <cell r="G309" t="str">
            <v>M3/día</v>
          </cell>
          <cell r="J309">
            <v>0</v>
          </cell>
        </row>
        <row r="310">
          <cell r="A310" t="str">
            <v>09.13.01.1</v>
          </cell>
          <cell r="C310" t="str">
            <v>MANO DE OBRA</v>
          </cell>
          <cell r="J310">
            <v>0</v>
          </cell>
        </row>
        <row r="311">
          <cell r="A311" t="str">
            <v>09.13.01.1</v>
          </cell>
          <cell r="B311" t="str">
            <v>470037</v>
          </cell>
          <cell r="C311" t="str">
            <v>OBRERO  A</v>
          </cell>
          <cell r="D311" t="str">
            <v>HH</v>
          </cell>
          <cell r="E311">
            <v>1</v>
          </cell>
          <cell r="F311">
            <v>1</v>
          </cell>
          <cell r="G311">
            <v>6.46</v>
          </cell>
          <cell r="H311">
            <v>6.46</v>
          </cell>
          <cell r="J311" t="str">
            <v>47</v>
          </cell>
          <cell r="K311">
            <v>240</v>
          </cell>
          <cell r="L311">
            <v>240</v>
          </cell>
          <cell r="M311">
            <v>1550.4</v>
          </cell>
        </row>
        <row r="312">
          <cell r="A312" t="str">
            <v>09.13.01.1</v>
          </cell>
          <cell r="B312" t="str">
            <v>470038</v>
          </cell>
          <cell r="C312" t="str">
            <v>OBRERO  B</v>
          </cell>
          <cell r="D312" t="str">
            <v>HH</v>
          </cell>
          <cell r="E312">
            <v>1</v>
          </cell>
          <cell r="F312">
            <v>1</v>
          </cell>
          <cell r="G312">
            <v>5.9</v>
          </cell>
          <cell r="H312">
            <v>5.9</v>
          </cell>
          <cell r="J312" t="str">
            <v>47</v>
          </cell>
          <cell r="K312">
            <v>240</v>
          </cell>
          <cell r="L312">
            <v>240</v>
          </cell>
          <cell r="M312">
            <v>1416</v>
          </cell>
        </row>
        <row r="313">
          <cell r="A313" t="str">
            <v>09.13.01.1</v>
          </cell>
          <cell r="B313" t="str">
            <v>470039</v>
          </cell>
          <cell r="C313" t="str">
            <v>OBRERO  C</v>
          </cell>
          <cell r="D313" t="str">
            <v>HH</v>
          </cell>
          <cell r="E313">
            <v>1</v>
          </cell>
          <cell r="F313">
            <v>1</v>
          </cell>
          <cell r="G313">
            <v>5.33</v>
          </cell>
          <cell r="H313">
            <v>5.33</v>
          </cell>
          <cell r="J313" t="str">
            <v>47</v>
          </cell>
          <cell r="K313">
            <v>240</v>
          </cell>
          <cell r="L313">
            <v>240</v>
          </cell>
          <cell r="M313">
            <v>1279.2</v>
          </cell>
        </row>
        <row r="314">
          <cell r="A314" t="str">
            <v>09.13.01.1</v>
          </cell>
          <cell r="B314" t="str">
            <v>470040</v>
          </cell>
          <cell r="C314" t="str">
            <v>MAESTRO DE OBRA</v>
          </cell>
          <cell r="D314" t="str">
            <v>HH</v>
          </cell>
          <cell r="E314">
            <v>0.1</v>
          </cell>
          <cell r="F314">
            <v>0.1</v>
          </cell>
          <cell r="G314">
            <v>7.03</v>
          </cell>
          <cell r="H314">
            <v>0.70300000000000007</v>
          </cell>
          <cell r="I314">
            <v>18.392999999999997</v>
          </cell>
          <cell r="J314" t="str">
            <v>47</v>
          </cell>
          <cell r="K314">
            <v>240</v>
          </cell>
          <cell r="L314">
            <v>24</v>
          </cell>
          <cell r="M314">
            <v>168.72</v>
          </cell>
        </row>
        <row r="315">
          <cell r="A315" t="str">
            <v>09.13.01.1</v>
          </cell>
          <cell r="C315" t="str">
            <v>EQUIPOS</v>
          </cell>
          <cell r="J315">
            <v>0</v>
          </cell>
        </row>
        <row r="316">
          <cell r="A316" t="str">
            <v>09.13.01.1</v>
          </cell>
          <cell r="B316" t="str">
            <v>370101</v>
          </cell>
          <cell r="C316" t="str">
            <v>HERRAMIENTAS MANUALES</v>
          </cell>
          <cell r="D316" t="str">
            <v>%MO</v>
          </cell>
          <cell r="F316">
            <v>2</v>
          </cell>
          <cell r="G316">
            <v>18.392999999999997</v>
          </cell>
          <cell r="H316">
            <v>0.36785999999999996</v>
          </cell>
          <cell r="I316">
            <v>0.36785999999999996</v>
          </cell>
          <cell r="J316" t="str">
            <v>37</v>
          </cell>
          <cell r="K316">
            <v>240</v>
          </cell>
          <cell r="L316">
            <v>0</v>
          </cell>
          <cell r="M316">
            <v>88.29</v>
          </cell>
        </row>
        <row r="317">
          <cell r="J317">
            <v>0</v>
          </cell>
        </row>
        <row r="318">
          <cell r="A318" t="str">
            <v>09.13.01.2</v>
          </cell>
          <cell r="B318" t="str">
            <v>RECOMPOSICION DE MURO DE APAREJO CONCERTADO</v>
          </cell>
          <cell r="C318">
            <v>0</v>
          </cell>
          <cell r="D318">
            <v>0</v>
          </cell>
          <cell r="E318">
            <v>0</v>
          </cell>
          <cell r="F318">
            <v>0</v>
          </cell>
          <cell r="G318">
            <v>0</v>
          </cell>
          <cell r="H318" t="str">
            <v>M3</v>
          </cell>
          <cell r="I318">
            <v>107.49929999999998</v>
          </cell>
          <cell r="J318">
            <v>0</v>
          </cell>
        </row>
        <row r="319">
          <cell r="A319" t="str">
            <v>09.13.01.2</v>
          </cell>
          <cell r="E319" t="str">
            <v>RENDIMIENTO</v>
          </cell>
          <cell r="F319">
            <v>1.6</v>
          </cell>
          <cell r="G319" t="str">
            <v>M3/día</v>
          </cell>
          <cell r="J319">
            <v>0</v>
          </cell>
        </row>
        <row r="320">
          <cell r="A320" t="str">
            <v>09.13.01.2</v>
          </cell>
          <cell r="C320" t="str">
            <v>MANO DE OBRA</v>
          </cell>
          <cell r="J320">
            <v>0</v>
          </cell>
        </row>
        <row r="321">
          <cell r="A321" t="str">
            <v>09.13.01.2</v>
          </cell>
          <cell r="B321" t="str">
            <v>470037</v>
          </cell>
          <cell r="C321" t="str">
            <v>OBRERO  A</v>
          </cell>
          <cell r="D321" t="str">
            <v>HH</v>
          </cell>
          <cell r="E321">
            <v>1</v>
          </cell>
          <cell r="F321">
            <v>5</v>
          </cell>
          <cell r="G321">
            <v>6.46</v>
          </cell>
          <cell r="H321">
            <v>32.299999999999997</v>
          </cell>
          <cell r="J321" t="str">
            <v>47</v>
          </cell>
          <cell r="K321">
            <v>240</v>
          </cell>
          <cell r="L321">
            <v>1200</v>
          </cell>
          <cell r="M321">
            <v>7752</v>
          </cell>
        </row>
        <row r="322">
          <cell r="A322" t="str">
            <v>09.13.01.2</v>
          </cell>
          <cell r="B322" t="str">
            <v>470038</v>
          </cell>
          <cell r="C322" t="str">
            <v>OBRERO  B</v>
          </cell>
          <cell r="D322" t="str">
            <v>HH</v>
          </cell>
          <cell r="E322">
            <v>1</v>
          </cell>
          <cell r="F322">
            <v>5</v>
          </cell>
          <cell r="G322">
            <v>5.9</v>
          </cell>
          <cell r="H322">
            <v>29.5</v>
          </cell>
          <cell r="J322" t="str">
            <v>47</v>
          </cell>
          <cell r="K322">
            <v>240</v>
          </cell>
          <cell r="L322">
            <v>1200</v>
          </cell>
          <cell r="M322">
            <v>7080</v>
          </cell>
        </row>
        <row r="323">
          <cell r="A323" t="str">
            <v>09.13.01.2</v>
          </cell>
          <cell r="B323" t="str">
            <v>470039</v>
          </cell>
          <cell r="C323" t="str">
            <v>OBRERO  C</v>
          </cell>
          <cell r="D323" t="str">
            <v>HH</v>
          </cell>
          <cell r="E323">
            <v>1</v>
          </cell>
          <cell r="F323">
            <v>5</v>
          </cell>
          <cell r="G323">
            <v>5.33</v>
          </cell>
          <cell r="H323">
            <v>26.65</v>
          </cell>
          <cell r="J323" t="str">
            <v>47</v>
          </cell>
          <cell r="K323">
            <v>240</v>
          </cell>
          <cell r="L323">
            <v>1200</v>
          </cell>
          <cell r="M323">
            <v>6396</v>
          </cell>
        </row>
        <row r="324">
          <cell r="A324" t="str">
            <v>09.13.01.2</v>
          </cell>
          <cell r="B324" t="str">
            <v>470040</v>
          </cell>
          <cell r="C324" t="str">
            <v>MAESTRO DE OBRA</v>
          </cell>
          <cell r="D324" t="str">
            <v>HH</v>
          </cell>
          <cell r="E324">
            <v>0.1</v>
          </cell>
          <cell r="F324">
            <v>0.5</v>
          </cell>
          <cell r="G324">
            <v>7.03</v>
          </cell>
          <cell r="H324">
            <v>3.5150000000000001</v>
          </cell>
          <cell r="I324">
            <v>91.964999999999989</v>
          </cell>
          <cell r="J324" t="str">
            <v>47</v>
          </cell>
          <cell r="K324">
            <v>240</v>
          </cell>
          <cell r="L324">
            <v>120</v>
          </cell>
          <cell r="M324">
            <v>843.6</v>
          </cell>
        </row>
        <row r="325">
          <cell r="A325" t="str">
            <v>09.13.01.2</v>
          </cell>
          <cell r="C325" t="str">
            <v>EQUIPOS</v>
          </cell>
          <cell r="J325">
            <v>0</v>
          </cell>
        </row>
        <row r="326">
          <cell r="A326" t="str">
            <v>09.13.01.2</v>
          </cell>
          <cell r="B326" t="str">
            <v>370101</v>
          </cell>
          <cell r="C326" t="str">
            <v>HERRAMIENTAS MANUALES</v>
          </cell>
          <cell r="D326" t="str">
            <v>%MO</v>
          </cell>
          <cell r="F326">
            <v>2</v>
          </cell>
          <cell r="G326">
            <v>91.964999999999989</v>
          </cell>
          <cell r="H326">
            <v>1.8392999999999997</v>
          </cell>
          <cell r="I326">
            <v>1.8392999999999997</v>
          </cell>
          <cell r="J326" t="str">
            <v>37</v>
          </cell>
          <cell r="K326">
            <v>240</v>
          </cell>
          <cell r="L326">
            <v>0</v>
          </cell>
          <cell r="M326">
            <v>441.43</v>
          </cell>
        </row>
        <row r="327">
          <cell r="A327" t="str">
            <v>09.13.01.2</v>
          </cell>
          <cell r="C327" t="str">
            <v>INSUMO PARTIDA</v>
          </cell>
          <cell r="J327">
            <v>0</v>
          </cell>
        </row>
        <row r="328">
          <cell r="A328" t="str">
            <v>09.13.01.2</v>
          </cell>
          <cell r="B328" t="str">
            <v>920108</v>
          </cell>
          <cell r="C328" t="str">
            <v>MORTERO DE ARCILLA-TIERRA-CAL</v>
          </cell>
          <cell r="D328" t="str">
            <v>M3</v>
          </cell>
          <cell r="F328">
            <v>0.3</v>
          </cell>
          <cell r="G328">
            <v>45.65</v>
          </cell>
          <cell r="H328">
            <v>13.694999999999999</v>
          </cell>
          <cell r="I328">
            <v>13.694999999999999</v>
          </cell>
          <cell r="J328" t="str">
            <v>92</v>
          </cell>
          <cell r="K328">
            <v>240</v>
          </cell>
          <cell r="L328">
            <v>72</v>
          </cell>
          <cell r="M328">
            <v>3286.8</v>
          </cell>
        </row>
        <row r="329">
          <cell r="J329">
            <v>0</v>
          </cell>
        </row>
        <row r="330">
          <cell r="A330" t="str">
            <v>09.13.01.3</v>
          </cell>
          <cell r="B330" t="str">
            <v>RESTITUCION DE MUROS DE APAREJO CONCERTADO (MATERIAL  PROPIO)</v>
          </cell>
          <cell r="C330">
            <v>0</v>
          </cell>
          <cell r="D330">
            <v>0</v>
          </cell>
          <cell r="E330">
            <v>0</v>
          </cell>
          <cell r="F330">
            <v>0</v>
          </cell>
          <cell r="G330">
            <v>0</v>
          </cell>
          <cell r="H330" t="str">
            <v>M3</v>
          </cell>
          <cell r="I330">
            <v>192.1376181818182</v>
          </cell>
          <cell r="J330">
            <v>0</v>
          </cell>
        </row>
        <row r="331">
          <cell r="A331" t="str">
            <v>09.13.01.3</v>
          </cell>
          <cell r="E331" t="str">
            <v>RENDIMIENTO</v>
          </cell>
          <cell r="F331">
            <v>1.1000000000000001</v>
          </cell>
          <cell r="G331" t="str">
            <v>M3/día</v>
          </cell>
          <cell r="J331">
            <v>0</v>
          </cell>
        </row>
        <row r="332">
          <cell r="A332" t="str">
            <v>09.13.01.3</v>
          </cell>
          <cell r="C332" t="str">
            <v>MANO DE OBRA</v>
          </cell>
          <cell r="J332">
            <v>0</v>
          </cell>
        </row>
        <row r="333">
          <cell r="A333" t="str">
            <v>09.13.01.3</v>
          </cell>
          <cell r="B333" t="str">
            <v>470037</v>
          </cell>
          <cell r="C333" t="str">
            <v>OBRERO  A</v>
          </cell>
          <cell r="D333" t="str">
            <v>HH</v>
          </cell>
          <cell r="E333">
            <v>1</v>
          </cell>
          <cell r="F333">
            <v>7.2727272727272725</v>
          </cell>
          <cell r="G333">
            <v>6.46</v>
          </cell>
          <cell r="H333">
            <v>46.981818181818177</v>
          </cell>
          <cell r="J333" t="str">
            <v>47</v>
          </cell>
          <cell r="K333">
            <v>260</v>
          </cell>
          <cell r="L333">
            <v>1890.91</v>
          </cell>
          <cell r="M333">
            <v>12215.27</v>
          </cell>
        </row>
        <row r="334">
          <cell r="A334" t="str">
            <v>09.13.01.3</v>
          </cell>
          <cell r="B334" t="str">
            <v>470038</v>
          </cell>
          <cell r="C334" t="str">
            <v>OBRERO  B</v>
          </cell>
          <cell r="D334" t="str">
            <v>HH</v>
          </cell>
          <cell r="E334">
            <v>1</v>
          </cell>
          <cell r="F334">
            <v>7.2727272727272725</v>
          </cell>
          <cell r="G334">
            <v>5.9</v>
          </cell>
          <cell r="H334">
            <v>42.909090909090914</v>
          </cell>
          <cell r="J334" t="str">
            <v>47</v>
          </cell>
          <cell r="K334">
            <v>260</v>
          </cell>
          <cell r="L334">
            <v>1890.91</v>
          </cell>
          <cell r="M334">
            <v>11156.36</v>
          </cell>
        </row>
        <row r="335">
          <cell r="A335" t="str">
            <v>09.13.01.3</v>
          </cell>
          <cell r="B335" t="str">
            <v>470039</v>
          </cell>
          <cell r="C335" t="str">
            <v>OBRERO  C</v>
          </cell>
          <cell r="D335" t="str">
            <v>HH</v>
          </cell>
          <cell r="E335">
            <v>1</v>
          </cell>
          <cell r="F335">
            <v>7.2727272727272725</v>
          </cell>
          <cell r="G335">
            <v>5.33</v>
          </cell>
          <cell r="H335">
            <v>38.763636363636365</v>
          </cell>
          <cell r="J335" t="str">
            <v>47</v>
          </cell>
          <cell r="K335">
            <v>260</v>
          </cell>
          <cell r="L335">
            <v>1890.91</v>
          </cell>
          <cell r="M335">
            <v>10078.549999999999</v>
          </cell>
        </row>
        <row r="336">
          <cell r="A336" t="str">
            <v>09.13.01.3</v>
          </cell>
          <cell r="B336" t="str">
            <v>470040</v>
          </cell>
          <cell r="C336" t="str">
            <v>MAESTRO DE OBRA</v>
          </cell>
          <cell r="D336" t="str">
            <v>HH</v>
          </cell>
          <cell r="E336">
            <v>0.1</v>
          </cell>
          <cell r="F336">
            <v>0.72727272727272729</v>
          </cell>
          <cell r="G336">
            <v>7.03</v>
          </cell>
          <cell r="H336">
            <v>5.1127272727272732</v>
          </cell>
          <cell r="I336">
            <v>133.76727272727274</v>
          </cell>
          <cell r="J336" t="str">
            <v>47</v>
          </cell>
          <cell r="K336">
            <v>260</v>
          </cell>
          <cell r="L336">
            <v>189.09</v>
          </cell>
          <cell r="M336">
            <v>1329.31</v>
          </cell>
        </row>
        <row r="337">
          <cell r="A337" t="str">
            <v>09.13.01.3</v>
          </cell>
          <cell r="C337" t="str">
            <v>MATERIALES</v>
          </cell>
          <cell r="J337">
            <v>0</v>
          </cell>
        </row>
        <row r="338">
          <cell r="A338" t="str">
            <v>09.13.01.3</v>
          </cell>
          <cell r="B338" t="str">
            <v>050009</v>
          </cell>
          <cell r="C338" t="str">
            <v>PIEDRA GRANDE TAMAÑO MIN. 10"</v>
          </cell>
          <cell r="D338" t="str">
            <v>M3</v>
          </cell>
          <cell r="F338">
            <v>1.05</v>
          </cell>
          <cell r="G338">
            <v>40</v>
          </cell>
          <cell r="H338">
            <v>42</v>
          </cell>
          <cell r="I338">
            <v>42</v>
          </cell>
          <cell r="J338" t="str">
            <v>05</v>
          </cell>
          <cell r="K338">
            <v>260</v>
          </cell>
          <cell r="L338">
            <v>273</v>
          </cell>
          <cell r="M338">
            <v>10920</v>
          </cell>
        </row>
        <row r="339">
          <cell r="A339" t="str">
            <v>09.13.01.3</v>
          </cell>
          <cell r="C339" t="str">
            <v>EQUIPOS</v>
          </cell>
          <cell r="J339">
            <v>0</v>
          </cell>
        </row>
        <row r="340">
          <cell r="A340" t="str">
            <v>09.13.01.3</v>
          </cell>
          <cell r="B340" t="str">
            <v>370101</v>
          </cell>
          <cell r="C340" t="str">
            <v>HERRAMIENTAS MANUALES</v>
          </cell>
          <cell r="D340" t="str">
            <v>%MO</v>
          </cell>
          <cell r="F340">
            <v>2</v>
          </cell>
          <cell r="G340">
            <v>133.76727272727274</v>
          </cell>
          <cell r="H340">
            <v>2.6753454545454547</v>
          </cell>
          <cell r="I340">
            <v>2.6753454545454547</v>
          </cell>
          <cell r="J340" t="str">
            <v>37</v>
          </cell>
          <cell r="K340">
            <v>260</v>
          </cell>
          <cell r="L340">
            <v>0</v>
          </cell>
          <cell r="M340">
            <v>695.59</v>
          </cell>
        </row>
        <row r="341">
          <cell r="A341" t="str">
            <v>09.13.01.3</v>
          </cell>
          <cell r="C341" t="str">
            <v>INSUMO PARTIDA</v>
          </cell>
          <cell r="J341">
            <v>0</v>
          </cell>
        </row>
        <row r="342">
          <cell r="A342" t="str">
            <v>09.13.01.3</v>
          </cell>
          <cell r="B342" t="str">
            <v>920108</v>
          </cell>
          <cell r="C342" t="str">
            <v>MORTERO DE ARCILLA-TIERRA-CAL</v>
          </cell>
          <cell r="D342" t="str">
            <v>M3</v>
          </cell>
          <cell r="F342">
            <v>0.3</v>
          </cell>
          <cell r="G342">
            <v>45.65</v>
          </cell>
          <cell r="H342">
            <v>13.694999999999999</v>
          </cell>
          <cell r="I342">
            <v>13.694999999999999</v>
          </cell>
          <cell r="J342" t="str">
            <v>92</v>
          </cell>
          <cell r="K342">
            <v>260</v>
          </cell>
          <cell r="L342">
            <v>78</v>
          </cell>
          <cell r="M342">
            <v>3560.7</v>
          </cell>
        </row>
        <row r="343">
          <cell r="J343">
            <v>0</v>
          </cell>
        </row>
        <row r="344">
          <cell r="A344" t="str">
            <v>09.13.02.2</v>
          </cell>
          <cell r="B344" t="str">
            <v>CONSOLIDACION DE MUROS DE APAREJO CONCERTADO</v>
          </cell>
          <cell r="C344">
            <v>0</v>
          </cell>
          <cell r="D344">
            <v>0</v>
          </cell>
          <cell r="E344">
            <v>0</v>
          </cell>
          <cell r="F344">
            <v>0</v>
          </cell>
          <cell r="G344">
            <v>0</v>
          </cell>
          <cell r="H344" t="str">
            <v>M2</v>
          </cell>
          <cell r="I344">
            <v>24.542979999999996</v>
          </cell>
          <cell r="J344">
            <v>0</v>
          </cell>
        </row>
        <row r="345">
          <cell r="A345" t="str">
            <v>09.13.02.2</v>
          </cell>
          <cell r="E345" t="str">
            <v>RENDIMIENTO</v>
          </cell>
          <cell r="F345">
            <v>7</v>
          </cell>
          <cell r="G345" t="str">
            <v>M2/día</v>
          </cell>
          <cell r="J345">
            <v>0</v>
          </cell>
        </row>
        <row r="346">
          <cell r="A346" t="str">
            <v>09.13.02.2</v>
          </cell>
          <cell r="C346" t="str">
            <v>MANO DE OBRA</v>
          </cell>
          <cell r="J346">
            <v>0</v>
          </cell>
        </row>
        <row r="347">
          <cell r="A347" t="str">
            <v>09.13.02.2</v>
          </cell>
          <cell r="B347" t="str">
            <v>470037</v>
          </cell>
          <cell r="C347" t="str">
            <v>OBRERO  A</v>
          </cell>
          <cell r="D347" t="str">
            <v>HH</v>
          </cell>
          <cell r="E347">
            <v>1</v>
          </cell>
          <cell r="F347">
            <v>1.1428571428571428</v>
          </cell>
          <cell r="G347">
            <v>6.46</v>
          </cell>
          <cell r="H347">
            <v>7.3828571428571426</v>
          </cell>
          <cell r="J347" t="str">
            <v>47</v>
          </cell>
          <cell r="K347">
            <v>110</v>
          </cell>
          <cell r="L347">
            <v>125.71</v>
          </cell>
          <cell r="M347">
            <v>812.11</v>
          </cell>
        </row>
        <row r="348">
          <cell r="A348" t="str">
            <v>09.13.02.2</v>
          </cell>
          <cell r="B348" t="str">
            <v>470038</v>
          </cell>
          <cell r="C348" t="str">
            <v>OBRERO  B</v>
          </cell>
          <cell r="D348" t="str">
            <v>HH</v>
          </cell>
          <cell r="E348">
            <v>1</v>
          </cell>
          <cell r="F348">
            <v>1.1428571428571428</v>
          </cell>
          <cell r="G348">
            <v>5.9</v>
          </cell>
          <cell r="H348">
            <v>6.7428571428571429</v>
          </cell>
          <cell r="J348" t="str">
            <v>47</v>
          </cell>
          <cell r="K348">
            <v>110</v>
          </cell>
          <cell r="L348">
            <v>125.71</v>
          </cell>
          <cell r="M348">
            <v>741.71</v>
          </cell>
        </row>
        <row r="349">
          <cell r="A349" t="str">
            <v>09.13.02.2</v>
          </cell>
          <cell r="B349" t="str">
            <v>470039</v>
          </cell>
          <cell r="C349" t="str">
            <v>OBRERO  C</v>
          </cell>
          <cell r="D349" t="str">
            <v>HH</v>
          </cell>
          <cell r="E349">
            <v>1</v>
          </cell>
          <cell r="F349">
            <v>1.1428571428571428</v>
          </cell>
          <cell r="G349">
            <v>5.33</v>
          </cell>
          <cell r="H349">
            <v>6.0914285714285707</v>
          </cell>
          <cell r="J349" t="str">
            <v>47</v>
          </cell>
          <cell r="K349">
            <v>110</v>
          </cell>
          <cell r="L349">
            <v>125.71</v>
          </cell>
          <cell r="M349">
            <v>670.06</v>
          </cell>
        </row>
        <row r="350">
          <cell r="A350" t="str">
            <v>09.13.02.2</v>
          </cell>
          <cell r="B350" t="str">
            <v>470040</v>
          </cell>
          <cell r="C350" t="str">
            <v>MAESTRO DE OBRA</v>
          </cell>
          <cell r="D350" t="str">
            <v>HH</v>
          </cell>
          <cell r="E350">
            <v>0.2</v>
          </cell>
          <cell r="F350">
            <v>0.22857142857142856</v>
          </cell>
          <cell r="G350">
            <v>7.03</v>
          </cell>
          <cell r="H350">
            <v>1.6068571428571428</v>
          </cell>
          <cell r="I350">
            <v>21.823999999999998</v>
          </cell>
          <cell r="J350" t="str">
            <v>47</v>
          </cell>
          <cell r="K350">
            <v>110</v>
          </cell>
          <cell r="L350">
            <v>25.14</v>
          </cell>
          <cell r="M350">
            <v>176.75</v>
          </cell>
        </row>
        <row r="351">
          <cell r="A351" t="str">
            <v>09.13.02.2</v>
          </cell>
          <cell r="C351" t="str">
            <v>EQUIPOS</v>
          </cell>
          <cell r="J351">
            <v>0</v>
          </cell>
        </row>
        <row r="352">
          <cell r="A352" t="str">
            <v>09.13.02.2</v>
          </cell>
          <cell r="B352" t="str">
            <v>370101</v>
          </cell>
          <cell r="C352" t="str">
            <v>HERRAMIENTAS MANUALES</v>
          </cell>
          <cell r="D352" t="str">
            <v>%MO</v>
          </cell>
          <cell r="F352">
            <v>2</v>
          </cell>
          <cell r="G352">
            <v>21.823999999999998</v>
          </cell>
          <cell r="H352">
            <v>0.43647999999999998</v>
          </cell>
          <cell r="I352">
            <v>0.43647999999999998</v>
          </cell>
          <cell r="J352" t="str">
            <v>37</v>
          </cell>
          <cell r="K352">
            <v>110</v>
          </cell>
          <cell r="L352">
            <v>0</v>
          </cell>
          <cell r="M352">
            <v>48.01</v>
          </cell>
        </row>
        <row r="353">
          <cell r="A353" t="str">
            <v>09.13.02.2</v>
          </cell>
          <cell r="C353" t="str">
            <v>INSUMO PARTIDA</v>
          </cell>
          <cell r="J353">
            <v>0</v>
          </cell>
        </row>
        <row r="354">
          <cell r="A354" t="str">
            <v>09.13.02.2</v>
          </cell>
          <cell r="B354" t="str">
            <v>920108</v>
          </cell>
          <cell r="C354" t="str">
            <v>MORTERO DE ARCILLA-TIERRA-CAL</v>
          </cell>
          <cell r="D354" t="str">
            <v>M3</v>
          </cell>
          <cell r="F354">
            <v>0.05</v>
          </cell>
          <cell r="G354">
            <v>45.65</v>
          </cell>
          <cell r="H354">
            <v>2.2825000000000002</v>
          </cell>
          <cell r="I354">
            <v>2.2825000000000002</v>
          </cell>
          <cell r="J354" t="str">
            <v>92</v>
          </cell>
          <cell r="K354">
            <v>110</v>
          </cell>
          <cell r="L354">
            <v>5.5</v>
          </cell>
          <cell r="M354">
            <v>251.08</v>
          </cell>
        </row>
        <row r="355">
          <cell r="J355">
            <v>0</v>
          </cell>
        </row>
        <row r="356">
          <cell r="A356" t="str">
            <v>09.13.10.5</v>
          </cell>
          <cell r="B356" t="str">
            <v>RESTITUCION DE ESCALINATAS DE PIEDRAS</v>
          </cell>
          <cell r="C356">
            <v>0</v>
          </cell>
          <cell r="D356">
            <v>0</v>
          </cell>
          <cell r="E356">
            <v>0</v>
          </cell>
          <cell r="F356">
            <v>0</v>
          </cell>
          <cell r="G356">
            <v>0</v>
          </cell>
          <cell r="H356" t="str">
            <v>M3</v>
          </cell>
          <cell r="I356">
            <v>150.42929090909092</v>
          </cell>
          <cell r="J356">
            <v>0</v>
          </cell>
        </row>
        <row r="357">
          <cell r="A357" t="str">
            <v>09.13.10.5</v>
          </cell>
          <cell r="E357" t="str">
            <v>RENDIMIENTO</v>
          </cell>
          <cell r="F357">
            <v>1.1000000000000001</v>
          </cell>
          <cell r="G357" t="str">
            <v>M3/día</v>
          </cell>
          <cell r="J357">
            <v>0</v>
          </cell>
        </row>
        <row r="358">
          <cell r="A358" t="str">
            <v>09.13.10.5</v>
          </cell>
          <cell r="C358" t="str">
            <v>MANO DE OBRA</v>
          </cell>
          <cell r="J358">
            <v>0</v>
          </cell>
        </row>
        <row r="359">
          <cell r="A359" t="str">
            <v>09.13.10.5</v>
          </cell>
          <cell r="B359" t="str">
            <v>470037</v>
          </cell>
          <cell r="C359" t="str">
            <v>OBRERO  A</v>
          </cell>
          <cell r="D359" t="str">
            <v>HH</v>
          </cell>
          <cell r="E359">
            <v>1</v>
          </cell>
          <cell r="F359">
            <v>7.2727272727272725</v>
          </cell>
          <cell r="G359">
            <v>6.46</v>
          </cell>
          <cell r="H359">
            <v>46.981818181818177</v>
          </cell>
          <cell r="J359" t="str">
            <v>47</v>
          </cell>
          <cell r="K359">
            <v>10</v>
          </cell>
          <cell r="L359">
            <v>72.73</v>
          </cell>
          <cell r="M359">
            <v>469.82</v>
          </cell>
        </row>
        <row r="360">
          <cell r="A360" t="str">
            <v>09.13.10.5</v>
          </cell>
          <cell r="B360" t="str">
            <v>470038</v>
          </cell>
          <cell r="C360" t="str">
            <v>OBRERO  B</v>
          </cell>
          <cell r="D360" t="str">
            <v>HH</v>
          </cell>
          <cell r="E360">
            <v>1</v>
          </cell>
          <cell r="F360">
            <v>7.2727272727272725</v>
          </cell>
          <cell r="G360">
            <v>5.9</v>
          </cell>
          <cell r="H360">
            <v>42.909090909090914</v>
          </cell>
          <cell r="J360" t="str">
            <v>47</v>
          </cell>
          <cell r="K360">
            <v>10</v>
          </cell>
          <cell r="L360">
            <v>72.73</v>
          </cell>
          <cell r="M360">
            <v>429.09</v>
          </cell>
        </row>
        <row r="361">
          <cell r="A361" t="str">
            <v>09.13.10.5</v>
          </cell>
          <cell r="B361" t="str">
            <v>470039</v>
          </cell>
          <cell r="C361" t="str">
            <v>OBRERO  C</v>
          </cell>
          <cell r="D361" t="str">
            <v>HH</v>
          </cell>
          <cell r="E361">
            <v>1</v>
          </cell>
          <cell r="F361">
            <v>7.2727272727272725</v>
          </cell>
          <cell r="G361">
            <v>5.33</v>
          </cell>
          <cell r="H361">
            <v>38.763636363636365</v>
          </cell>
          <cell r="J361" t="str">
            <v>47</v>
          </cell>
          <cell r="K361">
            <v>10</v>
          </cell>
          <cell r="L361">
            <v>72.73</v>
          </cell>
          <cell r="M361">
            <v>387.64</v>
          </cell>
        </row>
        <row r="362">
          <cell r="A362" t="str">
            <v>09.13.10.5</v>
          </cell>
          <cell r="B362" t="str">
            <v>470040</v>
          </cell>
          <cell r="C362" t="str">
            <v>MAESTRO DE OBRA</v>
          </cell>
          <cell r="D362" t="str">
            <v>HH</v>
          </cell>
          <cell r="E362">
            <v>0.1</v>
          </cell>
          <cell r="F362">
            <v>0.72727272727272729</v>
          </cell>
          <cell r="G362">
            <v>7.03</v>
          </cell>
          <cell r="H362">
            <v>5.1127272727272732</v>
          </cell>
          <cell r="I362">
            <v>133.76727272727274</v>
          </cell>
          <cell r="J362" t="str">
            <v>47</v>
          </cell>
          <cell r="K362">
            <v>10</v>
          </cell>
          <cell r="L362">
            <v>7.27</v>
          </cell>
          <cell r="M362">
            <v>51.13</v>
          </cell>
        </row>
        <row r="363">
          <cell r="A363" t="str">
            <v>09.13.10.5</v>
          </cell>
          <cell r="C363" t="str">
            <v>MATERIALES</v>
          </cell>
          <cell r="J363">
            <v>0</v>
          </cell>
        </row>
        <row r="364">
          <cell r="A364" t="str">
            <v>09.13.10.5</v>
          </cell>
          <cell r="B364" t="str">
            <v>050031</v>
          </cell>
          <cell r="C364" t="str">
            <v>PIEDRA ANDESITA GRANDE TAMAÑO MIN. 10"</v>
          </cell>
          <cell r="D364" t="str">
            <v>M3</v>
          </cell>
          <cell r="F364">
            <v>0.05</v>
          </cell>
          <cell r="G364">
            <v>35</v>
          </cell>
          <cell r="H364">
            <v>1.75</v>
          </cell>
          <cell r="I364">
            <v>1.75</v>
          </cell>
          <cell r="J364" t="str">
            <v>05</v>
          </cell>
          <cell r="K364">
            <v>10</v>
          </cell>
          <cell r="L364">
            <v>0.5</v>
          </cell>
          <cell r="M364">
            <v>17.5</v>
          </cell>
        </row>
        <row r="365">
          <cell r="A365" t="str">
            <v>09.13.10.5</v>
          </cell>
          <cell r="C365" t="str">
            <v>EQUIPOS</v>
          </cell>
          <cell r="J365">
            <v>0</v>
          </cell>
        </row>
        <row r="366">
          <cell r="A366" t="str">
            <v>09.13.10.5</v>
          </cell>
          <cell r="B366" t="str">
            <v>370101</v>
          </cell>
          <cell r="C366" t="str">
            <v>HERRAMIENTAS MANUALES</v>
          </cell>
          <cell r="D366" t="str">
            <v>%MO</v>
          </cell>
          <cell r="F366">
            <v>3</v>
          </cell>
          <cell r="G366">
            <v>133.76727272727274</v>
          </cell>
          <cell r="H366">
            <v>4.0130181818181825</v>
          </cell>
          <cell r="I366">
            <v>4.0130181818181825</v>
          </cell>
          <cell r="J366" t="str">
            <v>37</v>
          </cell>
          <cell r="K366">
            <v>10</v>
          </cell>
          <cell r="L366">
            <v>0</v>
          </cell>
          <cell r="M366">
            <v>40.130000000000003</v>
          </cell>
        </row>
        <row r="367">
          <cell r="A367" t="str">
            <v>09.13.10.5</v>
          </cell>
          <cell r="C367" t="str">
            <v>INSUMO PARTIDA</v>
          </cell>
          <cell r="J367">
            <v>0</v>
          </cell>
        </row>
        <row r="368">
          <cell r="A368" t="str">
            <v>09.13.10.5</v>
          </cell>
          <cell r="B368" t="str">
            <v>920101</v>
          </cell>
          <cell r="C368" t="str">
            <v>MORTERO DE ARCILLA-TIERRA-CAL-CEMENTO</v>
          </cell>
          <cell r="D368" t="str">
            <v>M3</v>
          </cell>
          <cell r="F368">
            <v>0.15</v>
          </cell>
          <cell r="G368">
            <v>72.66</v>
          </cell>
          <cell r="H368">
            <v>10.898999999999999</v>
          </cell>
          <cell r="I368">
            <v>10.898999999999999</v>
          </cell>
          <cell r="J368" t="str">
            <v>92</v>
          </cell>
          <cell r="K368">
            <v>10</v>
          </cell>
          <cell r="L368">
            <v>1.5</v>
          </cell>
          <cell r="M368">
            <v>108.99</v>
          </cell>
        </row>
        <row r="369">
          <cell r="J369">
            <v>0</v>
          </cell>
        </row>
        <row r="370">
          <cell r="A370" t="str">
            <v>09.13.10.6</v>
          </cell>
          <cell r="B370" t="str">
            <v>RECOMPOSICION DE ESCALINATAS DE PIEDRAS</v>
          </cell>
          <cell r="C370">
            <v>0</v>
          </cell>
          <cell r="D370">
            <v>0</v>
          </cell>
          <cell r="E370">
            <v>0</v>
          </cell>
          <cell r="F370">
            <v>0</v>
          </cell>
          <cell r="G370">
            <v>0</v>
          </cell>
          <cell r="H370" t="str">
            <v>M3</v>
          </cell>
          <cell r="I370">
            <v>160.41542222222222</v>
          </cell>
          <cell r="J370">
            <v>0</v>
          </cell>
        </row>
        <row r="371">
          <cell r="A371" t="str">
            <v>09.13.10.6</v>
          </cell>
          <cell r="E371" t="str">
            <v>RENDIMIENTO</v>
          </cell>
          <cell r="F371">
            <v>1.8</v>
          </cell>
          <cell r="G371" t="str">
            <v>M3/día</v>
          </cell>
          <cell r="J371">
            <v>0</v>
          </cell>
        </row>
        <row r="372">
          <cell r="A372" t="str">
            <v>09.13.10.6</v>
          </cell>
          <cell r="C372" t="str">
            <v>MANO DE OBRA</v>
          </cell>
          <cell r="J372">
            <v>0</v>
          </cell>
        </row>
        <row r="373">
          <cell r="A373" t="str">
            <v>09.13.10.6</v>
          </cell>
          <cell r="B373" t="str">
            <v>470037</v>
          </cell>
          <cell r="C373" t="str">
            <v>OBRERO  A</v>
          </cell>
          <cell r="D373" t="str">
            <v>HH</v>
          </cell>
          <cell r="E373">
            <v>1</v>
          </cell>
          <cell r="F373">
            <v>4.4444444444444446</v>
          </cell>
          <cell r="G373">
            <v>6.46</v>
          </cell>
          <cell r="H373">
            <v>28.711111111111112</v>
          </cell>
          <cell r="J373" t="str">
            <v>47</v>
          </cell>
          <cell r="K373">
            <v>15</v>
          </cell>
          <cell r="L373">
            <v>66.67</v>
          </cell>
          <cell r="M373">
            <v>430.67</v>
          </cell>
        </row>
        <row r="374">
          <cell r="A374" t="str">
            <v>09.13.10.6</v>
          </cell>
          <cell r="B374" t="str">
            <v>470038</v>
          </cell>
          <cell r="C374" t="str">
            <v>OBRERO  B</v>
          </cell>
          <cell r="D374" t="str">
            <v>HH</v>
          </cell>
          <cell r="E374">
            <v>1</v>
          </cell>
          <cell r="F374">
            <v>4.4444444444444446</v>
          </cell>
          <cell r="G374">
            <v>5.9</v>
          </cell>
          <cell r="H374">
            <v>26.222222222222225</v>
          </cell>
          <cell r="J374" t="str">
            <v>47</v>
          </cell>
          <cell r="K374">
            <v>15</v>
          </cell>
          <cell r="L374">
            <v>66.67</v>
          </cell>
          <cell r="M374">
            <v>393.33</v>
          </cell>
        </row>
        <row r="375">
          <cell r="A375" t="str">
            <v>09.13.10.6</v>
          </cell>
          <cell r="B375" t="str">
            <v>470039</v>
          </cell>
          <cell r="C375" t="str">
            <v>OBRERO  C</v>
          </cell>
          <cell r="D375" t="str">
            <v>HH</v>
          </cell>
          <cell r="E375">
            <v>1</v>
          </cell>
          <cell r="F375">
            <v>4.4444444444444446</v>
          </cell>
          <cell r="G375">
            <v>5.33</v>
          </cell>
          <cell r="H375">
            <v>23.68888888888889</v>
          </cell>
          <cell r="J375" t="str">
            <v>47</v>
          </cell>
          <cell r="K375">
            <v>15</v>
          </cell>
          <cell r="L375">
            <v>66.67</v>
          </cell>
          <cell r="M375">
            <v>355.33</v>
          </cell>
        </row>
        <row r="376">
          <cell r="A376" t="str">
            <v>09.13.10.6</v>
          </cell>
          <cell r="B376" t="str">
            <v>470040</v>
          </cell>
          <cell r="C376" t="str">
            <v>MAESTRO DE OBRA</v>
          </cell>
          <cell r="D376" t="str">
            <v>HH</v>
          </cell>
          <cell r="E376">
            <v>0.3</v>
          </cell>
          <cell r="F376">
            <v>1.3333333333333333</v>
          </cell>
          <cell r="G376">
            <v>7.03</v>
          </cell>
          <cell r="H376">
            <v>9.3733333333333331</v>
          </cell>
          <cell r="I376">
            <v>87.995555555555569</v>
          </cell>
          <cell r="J376" t="str">
            <v>47</v>
          </cell>
          <cell r="K376">
            <v>15</v>
          </cell>
          <cell r="L376">
            <v>20</v>
          </cell>
          <cell r="M376">
            <v>140.6</v>
          </cell>
        </row>
        <row r="377">
          <cell r="A377" t="str">
            <v>09.13.10.6</v>
          </cell>
          <cell r="C377" t="str">
            <v>EQUIPOS</v>
          </cell>
          <cell r="J377">
            <v>0</v>
          </cell>
        </row>
        <row r="378">
          <cell r="A378" t="str">
            <v>09.13.10.6</v>
          </cell>
          <cell r="B378" t="str">
            <v>370101</v>
          </cell>
          <cell r="C378" t="str">
            <v>HERRAMIENTAS MANUALES</v>
          </cell>
          <cell r="D378" t="str">
            <v>%MO</v>
          </cell>
          <cell r="F378">
            <v>3</v>
          </cell>
          <cell r="G378">
            <v>87.995555555555569</v>
          </cell>
          <cell r="H378">
            <v>2.6398666666666668</v>
          </cell>
          <cell r="I378">
            <v>2.6398666666666668</v>
          </cell>
          <cell r="J378" t="str">
            <v>37</v>
          </cell>
          <cell r="K378">
            <v>15</v>
          </cell>
          <cell r="L378">
            <v>0</v>
          </cell>
          <cell r="M378">
            <v>39.6</v>
          </cell>
        </row>
        <row r="379">
          <cell r="A379" t="str">
            <v>09.13.10.6</v>
          </cell>
          <cell r="C379" t="str">
            <v>INSUMO PARTIDA</v>
          </cell>
          <cell r="J379">
            <v>0</v>
          </cell>
        </row>
        <row r="380">
          <cell r="A380" t="str">
            <v>09.13.10.6</v>
          </cell>
          <cell r="B380" t="str">
            <v>920102</v>
          </cell>
          <cell r="C380" t="str">
            <v>MORTERO DE CAL-ARENA-CEMENTO</v>
          </cell>
          <cell r="D380" t="str">
            <v>M3</v>
          </cell>
          <cell r="F380">
            <v>0.3</v>
          </cell>
          <cell r="G380">
            <v>232.6</v>
          </cell>
          <cell r="H380">
            <v>69.78</v>
          </cell>
          <cell r="I380">
            <v>69.78</v>
          </cell>
          <cell r="J380" t="str">
            <v>92</v>
          </cell>
          <cell r="K380">
            <v>15</v>
          </cell>
          <cell r="L380">
            <v>4.5</v>
          </cell>
          <cell r="M380">
            <v>1046.7</v>
          </cell>
        </row>
        <row r="381">
          <cell r="J381">
            <v>0</v>
          </cell>
        </row>
        <row r="382">
          <cell r="A382" t="str">
            <v>10.01.01</v>
          </cell>
          <cell r="B382" t="str">
            <v>EMBOQUILLADO CON MORTERO DE CAL, ARCILLA (REALIZADO EN 3 ETAPAS)</v>
          </cell>
          <cell r="C382">
            <v>0</v>
          </cell>
          <cell r="D382">
            <v>0</v>
          </cell>
          <cell r="E382">
            <v>0</v>
          </cell>
          <cell r="F382">
            <v>0</v>
          </cell>
          <cell r="G382">
            <v>0</v>
          </cell>
          <cell r="H382" t="str">
            <v>M2</v>
          </cell>
          <cell r="I382">
            <v>16.276728000000002</v>
          </cell>
          <cell r="J382">
            <v>0</v>
          </cell>
        </row>
        <row r="383">
          <cell r="A383" t="str">
            <v>10.01.01</v>
          </cell>
          <cell r="E383" t="str">
            <v>RENDIMIENTO</v>
          </cell>
          <cell r="F383">
            <v>10</v>
          </cell>
          <cell r="G383" t="str">
            <v>M2/día</v>
          </cell>
          <cell r="J383">
            <v>0</v>
          </cell>
        </row>
        <row r="384">
          <cell r="A384" t="str">
            <v>10.01.01</v>
          </cell>
          <cell r="C384" t="str">
            <v>MANO DE OBRA</v>
          </cell>
          <cell r="J384">
            <v>0</v>
          </cell>
        </row>
        <row r="385">
          <cell r="A385" t="str">
            <v>10.01.01</v>
          </cell>
          <cell r="B385" t="str">
            <v>470038</v>
          </cell>
          <cell r="C385" t="str">
            <v>OBRERO  B</v>
          </cell>
          <cell r="D385" t="str">
            <v>HH</v>
          </cell>
          <cell r="E385">
            <v>1</v>
          </cell>
          <cell r="F385">
            <v>0.8</v>
          </cell>
          <cell r="G385">
            <v>5.9</v>
          </cell>
          <cell r="H385">
            <v>4.7200000000000006</v>
          </cell>
          <cell r="J385" t="str">
            <v>47</v>
          </cell>
          <cell r="K385">
            <v>410</v>
          </cell>
          <cell r="L385">
            <v>328</v>
          </cell>
          <cell r="M385">
            <v>1935.2</v>
          </cell>
        </row>
        <row r="386">
          <cell r="A386" t="str">
            <v>10.01.01</v>
          </cell>
          <cell r="B386" t="str">
            <v>470039</v>
          </cell>
          <cell r="C386" t="str">
            <v>OBRERO  C</v>
          </cell>
          <cell r="D386" t="str">
            <v>HH</v>
          </cell>
          <cell r="E386">
            <v>1</v>
          </cell>
          <cell r="F386">
            <v>0.8</v>
          </cell>
          <cell r="G386">
            <v>5.33</v>
          </cell>
          <cell r="H386">
            <v>4.2640000000000002</v>
          </cell>
          <cell r="J386" t="str">
            <v>47</v>
          </cell>
          <cell r="K386">
            <v>410</v>
          </cell>
          <cell r="L386">
            <v>328</v>
          </cell>
          <cell r="M386">
            <v>1748.24</v>
          </cell>
        </row>
        <row r="387">
          <cell r="A387" t="str">
            <v>10.01.01</v>
          </cell>
          <cell r="B387" t="str">
            <v>470040</v>
          </cell>
          <cell r="C387" t="str">
            <v>MAESTRO DE OBRA</v>
          </cell>
          <cell r="D387" t="str">
            <v>HH</v>
          </cell>
          <cell r="E387">
            <v>0.1</v>
          </cell>
          <cell r="F387">
            <v>8.0000000000000016E-2</v>
          </cell>
          <cell r="G387">
            <v>7.03</v>
          </cell>
          <cell r="H387">
            <v>0.56240000000000012</v>
          </cell>
          <cell r="I387">
            <v>9.546400000000002</v>
          </cell>
          <cell r="J387" t="str">
            <v>47</v>
          </cell>
          <cell r="K387">
            <v>410</v>
          </cell>
          <cell r="L387">
            <v>32.799999999999997</v>
          </cell>
          <cell r="M387">
            <v>230.58</v>
          </cell>
        </row>
        <row r="388">
          <cell r="A388" t="str">
            <v>10.01.01</v>
          </cell>
          <cell r="C388" t="str">
            <v>EQUIPOS</v>
          </cell>
          <cell r="J388">
            <v>0</v>
          </cell>
        </row>
        <row r="389">
          <cell r="A389" t="str">
            <v>10.01.01</v>
          </cell>
          <cell r="B389" t="str">
            <v>370101</v>
          </cell>
          <cell r="C389" t="str">
            <v>HERRAMIENTAS MANUALES</v>
          </cell>
          <cell r="D389" t="str">
            <v>%MO</v>
          </cell>
          <cell r="F389">
            <v>2</v>
          </cell>
          <cell r="G389">
            <v>9.546400000000002</v>
          </cell>
          <cell r="H389">
            <v>0.19092800000000004</v>
          </cell>
          <cell r="I389">
            <v>0.19092800000000004</v>
          </cell>
          <cell r="J389" t="str">
            <v>37</v>
          </cell>
          <cell r="K389">
            <v>410</v>
          </cell>
          <cell r="L389">
            <v>0</v>
          </cell>
          <cell r="M389">
            <v>78.28</v>
          </cell>
        </row>
        <row r="390">
          <cell r="A390" t="str">
            <v>10.01.01</v>
          </cell>
          <cell r="C390" t="str">
            <v>INSUMO PARTIDA</v>
          </cell>
          <cell r="J390">
            <v>0</v>
          </cell>
        </row>
        <row r="391">
          <cell r="A391" t="str">
            <v>10.01.01</v>
          </cell>
          <cell r="B391" t="str">
            <v>920101</v>
          </cell>
          <cell r="C391" t="str">
            <v>MORTERO DE ARCILLA-TIERRA-CAL-CEMENTO</v>
          </cell>
          <cell r="D391" t="str">
            <v>M3</v>
          </cell>
          <cell r="F391">
            <v>0.09</v>
          </cell>
          <cell r="G391">
            <v>72.66</v>
          </cell>
          <cell r="H391">
            <v>6.5393999999999997</v>
          </cell>
          <cell r="I391">
            <v>6.5393999999999997</v>
          </cell>
          <cell r="J391" t="str">
            <v>92</v>
          </cell>
          <cell r="K391">
            <v>410</v>
          </cell>
          <cell r="L391">
            <v>36.9</v>
          </cell>
          <cell r="M391">
            <v>2681.15</v>
          </cell>
        </row>
        <row r="392">
          <cell r="J392">
            <v>0</v>
          </cell>
        </row>
        <row r="393">
          <cell r="A393" t="str">
            <v>12.20.01</v>
          </cell>
          <cell r="B393" t="str">
            <v>TRATAMIENTO DE PISOS CON CASCAJO</v>
          </cell>
          <cell r="C393">
            <v>0</v>
          </cell>
          <cell r="D393">
            <v>0</v>
          </cell>
          <cell r="E393">
            <v>0</v>
          </cell>
          <cell r="F393">
            <v>0</v>
          </cell>
          <cell r="G393">
            <v>0</v>
          </cell>
          <cell r="H393" t="str">
            <v>M2</v>
          </cell>
          <cell r="I393">
            <v>10.616344000000002</v>
          </cell>
          <cell r="J393">
            <v>0</v>
          </cell>
        </row>
        <row r="394">
          <cell r="A394" t="str">
            <v>12.20.01</v>
          </cell>
          <cell r="E394" t="str">
            <v>RENDIMIENTO</v>
          </cell>
          <cell r="F394">
            <v>20</v>
          </cell>
          <cell r="G394" t="str">
            <v>M2/día</v>
          </cell>
          <cell r="J394">
            <v>0</v>
          </cell>
        </row>
        <row r="395">
          <cell r="A395" t="str">
            <v>12.20.01</v>
          </cell>
          <cell r="C395" t="str">
            <v>MANO DE OBRA</v>
          </cell>
          <cell r="J395">
            <v>0</v>
          </cell>
        </row>
        <row r="396">
          <cell r="A396" t="str">
            <v>12.20.01</v>
          </cell>
          <cell r="B396" t="str">
            <v>470037</v>
          </cell>
          <cell r="C396" t="str">
            <v>OBRERO  A</v>
          </cell>
          <cell r="D396" t="str">
            <v>HH</v>
          </cell>
          <cell r="E396">
            <v>1</v>
          </cell>
          <cell r="F396">
            <v>0.4</v>
          </cell>
          <cell r="G396">
            <v>6.46</v>
          </cell>
          <cell r="H396">
            <v>2.5840000000000001</v>
          </cell>
          <cell r="J396" t="str">
            <v>47</v>
          </cell>
          <cell r="K396">
            <v>140</v>
          </cell>
          <cell r="L396">
            <v>56</v>
          </cell>
          <cell r="M396">
            <v>361.76</v>
          </cell>
        </row>
        <row r="397">
          <cell r="A397" t="str">
            <v>12.20.01</v>
          </cell>
          <cell r="B397" t="str">
            <v>470038</v>
          </cell>
          <cell r="C397" t="str">
            <v>OBRERO  B</v>
          </cell>
          <cell r="D397" t="str">
            <v>HH</v>
          </cell>
          <cell r="E397">
            <v>1</v>
          </cell>
          <cell r="F397">
            <v>0.4</v>
          </cell>
          <cell r="G397">
            <v>5.9</v>
          </cell>
          <cell r="H397">
            <v>2.3600000000000003</v>
          </cell>
          <cell r="J397" t="str">
            <v>47</v>
          </cell>
          <cell r="K397">
            <v>140</v>
          </cell>
          <cell r="L397">
            <v>56</v>
          </cell>
          <cell r="M397">
            <v>330.4</v>
          </cell>
        </row>
        <row r="398">
          <cell r="A398" t="str">
            <v>12.20.01</v>
          </cell>
          <cell r="B398" t="str">
            <v>470039</v>
          </cell>
          <cell r="C398" t="str">
            <v>OBRERO  C</v>
          </cell>
          <cell r="D398" t="str">
            <v>HH</v>
          </cell>
          <cell r="E398">
            <v>1</v>
          </cell>
          <cell r="F398">
            <v>0.4</v>
          </cell>
          <cell r="G398">
            <v>5.33</v>
          </cell>
          <cell r="H398">
            <v>2.1320000000000001</v>
          </cell>
          <cell r="J398" t="str">
            <v>47</v>
          </cell>
          <cell r="K398">
            <v>140</v>
          </cell>
          <cell r="L398">
            <v>56</v>
          </cell>
          <cell r="M398">
            <v>298.48</v>
          </cell>
        </row>
        <row r="399">
          <cell r="A399" t="str">
            <v>12.20.01</v>
          </cell>
          <cell r="B399" t="str">
            <v>470040</v>
          </cell>
          <cell r="C399" t="str">
            <v>MAESTRO DE OBRA</v>
          </cell>
          <cell r="D399" t="str">
            <v>HH</v>
          </cell>
          <cell r="E399">
            <v>0.1</v>
          </cell>
          <cell r="F399">
            <v>4.0000000000000008E-2</v>
          </cell>
          <cell r="G399">
            <v>7.03</v>
          </cell>
          <cell r="H399">
            <v>0.28120000000000006</v>
          </cell>
          <cell r="I399">
            <v>7.3572000000000006</v>
          </cell>
          <cell r="J399" t="str">
            <v>47</v>
          </cell>
          <cell r="K399">
            <v>140</v>
          </cell>
          <cell r="L399">
            <v>5.6</v>
          </cell>
          <cell r="M399">
            <v>39.369999999999997</v>
          </cell>
        </row>
        <row r="400">
          <cell r="A400" t="str">
            <v>12.20.01</v>
          </cell>
          <cell r="C400" t="str">
            <v>MATERIALES</v>
          </cell>
          <cell r="J400">
            <v>0</v>
          </cell>
        </row>
        <row r="401">
          <cell r="A401" t="str">
            <v>12.20.01</v>
          </cell>
          <cell r="B401" t="str">
            <v>880101</v>
          </cell>
          <cell r="C401" t="str">
            <v>EXTRACCION DE CASCAJO DEL LUGAR</v>
          </cell>
          <cell r="D401" t="str">
            <v>M3</v>
          </cell>
          <cell r="F401">
            <v>0.1</v>
          </cell>
          <cell r="G401">
            <v>31.12</v>
          </cell>
          <cell r="H401">
            <v>3.1120000000000001</v>
          </cell>
          <cell r="I401">
            <v>3.1120000000000001</v>
          </cell>
          <cell r="J401" t="str">
            <v>88</v>
          </cell>
          <cell r="K401">
            <v>140</v>
          </cell>
          <cell r="L401">
            <v>14</v>
          </cell>
          <cell r="M401">
            <v>435.68</v>
          </cell>
        </row>
        <row r="402">
          <cell r="A402" t="str">
            <v>12.20.01</v>
          </cell>
          <cell r="C402" t="str">
            <v>EQUIPOS</v>
          </cell>
          <cell r="J402">
            <v>0</v>
          </cell>
        </row>
        <row r="403">
          <cell r="A403" t="str">
            <v>12.20.01</v>
          </cell>
          <cell r="B403" t="str">
            <v>370101</v>
          </cell>
          <cell r="C403" t="str">
            <v>HERRAMIENTAS MANUALES</v>
          </cell>
          <cell r="D403" t="str">
            <v>%MO</v>
          </cell>
          <cell r="F403">
            <v>2</v>
          </cell>
          <cell r="G403">
            <v>7.3572000000000006</v>
          </cell>
          <cell r="H403">
            <v>0.14714400000000002</v>
          </cell>
          <cell r="I403">
            <v>0.14714400000000002</v>
          </cell>
          <cell r="J403" t="str">
            <v>37</v>
          </cell>
          <cell r="K403">
            <v>140</v>
          </cell>
          <cell r="L403">
            <v>0</v>
          </cell>
          <cell r="M403">
            <v>20.6</v>
          </cell>
        </row>
        <row r="404">
          <cell r="J404">
            <v>0</v>
          </cell>
        </row>
        <row r="405">
          <cell r="A405" t="str">
            <v>23.02.00</v>
          </cell>
          <cell r="B405" t="str">
            <v>LIMPIEZA DE RETICULAS Y CODIFICADOS</v>
          </cell>
          <cell r="C405">
            <v>0</v>
          </cell>
          <cell r="D405">
            <v>0</v>
          </cell>
          <cell r="E405">
            <v>0</v>
          </cell>
          <cell r="F405">
            <v>0</v>
          </cell>
          <cell r="G405">
            <v>0</v>
          </cell>
          <cell r="H405" t="str">
            <v>M2</v>
          </cell>
          <cell r="I405">
            <v>2.8752320000000005</v>
          </cell>
          <cell r="J405">
            <v>0</v>
          </cell>
        </row>
        <row r="406">
          <cell r="A406" t="str">
            <v>23.02.00</v>
          </cell>
          <cell r="E406" t="str">
            <v>RENDIMIENTO</v>
          </cell>
          <cell r="F406">
            <v>20</v>
          </cell>
          <cell r="G406" t="str">
            <v>M2/día</v>
          </cell>
          <cell r="J406">
            <v>0</v>
          </cell>
        </row>
        <row r="407">
          <cell r="A407" t="str">
            <v>23.02.00</v>
          </cell>
          <cell r="C407" t="str">
            <v>MANO DE OBRA</v>
          </cell>
          <cell r="J407">
            <v>0</v>
          </cell>
        </row>
        <row r="408">
          <cell r="A408" t="str">
            <v>23.02.00</v>
          </cell>
          <cell r="B408" t="str">
            <v>470039</v>
          </cell>
          <cell r="C408" t="str">
            <v>OBRERO  C</v>
          </cell>
          <cell r="D408" t="str">
            <v>HH</v>
          </cell>
          <cell r="E408">
            <v>1</v>
          </cell>
          <cell r="F408">
            <v>0.4</v>
          </cell>
          <cell r="G408">
            <v>5.33</v>
          </cell>
          <cell r="H408">
            <v>2.1320000000000001</v>
          </cell>
          <cell r="J408" t="str">
            <v>47</v>
          </cell>
          <cell r="K408">
            <v>380</v>
          </cell>
          <cell r="L408">
            <v>152</v>
          </cell>
          <cell r="M408">
            <v>810.16</v>
          </cell>
        </row>
        <row r="409">
          <cell r="A409" t="str">
            <v>23.02.00</v>
          </cell>
          <cell r="B409" t="str">
            <v>470040</v>
          </cell>
          <cell r="C409" t="str">
            <v>MAESTRO DE OBRA</v>
          </cell>
          <cell r="D409" t="str">
            <v>HH</v>
          </cell>
          <cell r="E409">
            <v>0.2</v>
          </cell>
          <cell r="F409">
            <v>8.0000000000000016E-2</v>
          </cell>
          <cell r="G409">
            <v>7.03</v>
          </cell>
          <cell r="H409">
            <v>0.56240000000000012</v>
          </cell>
          <cell r="I409">
            <v>2.6944000000000004</v>
          </cell>
          <cell r="J409" t="str">
            <v>47</v>
          </cell>
          <cell r="K409">
            <v>380</v>
          </cell>
          <cell r="L409">
            <v>30.4</v>
          </cell>
          <cell r="M409">
            <v>213.71</v>
          </cell>
        </row>
        <row r="410">
          <cell r="A410" t="str">
            <v>23.02.00</v>
          </cell>
          <cell r="C410" t="str">
            <v>EQUIPOS</v>
          </cell>
          <cell r="J410">
            <v>0</v>
          </cell>
        </row>
        <row r="411">
          <cell r="A411" t="str">
            <v>23.02.00</v>
          </cell>
          <cell r="B411" t="str">
            <v>370101</v>
          </cell>
          <cell r="C411" t="str">
            <v>HERRAMIENTAS MANUALES</v>
          </cell>
          <cell r="D411" t="str">
            <v>%MO</v>
          </cell>
          <cell r="F411">
            <v>3</v>
          </cell>
          <cell r="G411">
            <v>2.6944000000000004</v>
          </cell>
          <cell r="H411">
            <v>8.0832000000000001E-2</v>
          </cell>
          <cell r="J411" t="str">
            <v>37</v>
          </cell>
          <cell r="K411">
            <v>380</v>
          </cell>
          <cell r="L411">
            <v>0</v>
          </cell>
          <cell r="M411">
            <v>30.72</v>
          </cell>
        </row>
        <row r="412">
          <cell r="A412" t="str">
            <v>23.02.00</v>
          </cell>
          <cell r="B412" t="str">
            <v>305310</v>
          </cell>
          <cell r="C412" t="str">
            <v>ESCOBILLA PLASTICA DE LAVAR ROPA</v>
          </cell>
          <cell r="D412" t="str">
            <v>PZA</v>
          </cell>
          <cell r="F412">
            <v>0.05</v>
          </cell>
          <cell r="G412">
            <v>2</v>
          </cell>
          <cell r="H412">
            <v>0.1</v>
          </cell>
          <cell r="I412">
            <v>0.18083199999999999</v>
          </cell>
          <cell r="J412" t="str">
            <v>30</v>
          </cell>
          <cell r="K412">
            <v>380</v>
          </cell>
          <cell r="L412">
            <v>19</v>
          </cell>
          <cell r="M412">
            <v>38</v>
          </cell>
        </row>
        <row r="413">
          <cell r="J413">
            <v>0</v>
          </cell>
        </row>
        <row r="414">
          <cell r="A414" t="str">
            <v>23.02.01</v>
          </cell>
          <cell r="B414" t="str">
            <v>LIMPIEZA PERMANENTE DE OBRA</v>
          </cell>
          <cell r="C414">
            <v>0</v>
          </cell>
          <cell r="D414">
            <v>0</v>
          </cell>
          <cell r="E414">
            <v>0</v>
          </cell>
          <cell r="F414">
            <v>0</v>
          </cell>
          <cell r="G414">
            <v>0</v>
          </cell>
          <cell r="H414" t="str">
            <v>M2</v>
          </cell>
          <cell r="I414">
            <v>1.8344986666666665</v>
          </cell>
          <cell r="J414">
            <v>0</v>
          </cell>
        </row>
        <row r="415">
          <cell r="A415" t="str">
            <v>23.02.01</v>
          </cell>
          <cell r="E415" t="str">
            <v>RENDIMIENTO</v>
          </cell>
          <cell r="F415">
            <v>30</v>
          </cell>
          <cell r="G415" t="str">
            <v>M2/día</v>
          </cell>
          <cell r="J415">
            <v>0</v>
          </cell>
        </row>
        <row r="416">
          <cell r="A416" t="str">
            <v>23.02.01</v>
          </cell>
          <cell r="C416" t="str">
            <v>MANO DE OBRA</v>
          </cell>
          <cell r="J416">
            <v>0</v>
          </cell>
        </row>
        <row r="417">
          <cell r="A417" t="str">
            <v>23.02.01</v>
          </cell>
          <cell r="B417" t="str">
            <v>470100</v>
          </cell>
          <cell r="C417" t="str">
            <v>ALMACENERO (OBRERO A)</v>
          </cell>
          <cell r="D417" t="str">
            <v>HH</v>
          </cell>
          <cell r="E417">
            <v>0.1</v>
          </cell>
          <cell r="F417">
            <v>2.6666666666666668E-2</v>
          </cell>
          <cell r="G417">
            <v>6.46</v>
          </cell>
          <cell r="H417">
            <v>0.17226666666666668</v>
          </cell>
          <cell r="J417" t="str">
            <v>47</v>
          </cell>
          <cell r="K417">
            <v>6000</v>
          </cell>
          <cell r="L417">
            <v>160</v>
          </cell>
          <cell r="M417">
            <v>1033.5999999999999</v>
          </cell>
        </row>
        <row r="418">
          <cell r="A418" t="str">
            <v>23.02.01</v>
          </cell>
          <cell r="B418" t="str">
            <v>470039</v>
          </cell>
          <cell r="C418" t="str">
            <v>OBRERO  C</v>
          </cell>
          <cell r="D418" t="str">
            <v>HH</v>
          </cell>
          <cell r="E418">
            <v>1</v>
          </cell>
          <cell r="F418">
            <v>0.26666666666666666</v>
          </cell>
          <cell r="G418">
            <v>5.33</v>
          </cell>
          <cell r="H418">
            <v>1.4213333333333333</v>
          </cell>
          <cell r="J418" t="str">
            <v>47</v>
          </cell>
          <cell r="K418">
            <v>6000</v>
          </cell>
          <cell r="L418">
            <v>1600</v>
          </cell>
          <cell r="M418">
            <v>8528</v>
          </cell>
        </row>
        <row r="419">
          <cell r="A419" t="str">
            <v>23.02.01</v>
          </cell>
          <cell r="B419" t="str">
            <v>470040</v>
          </cell>
          <cell r="C419" t="str">
            <v>MAESTRO DE OBRA</v>
          </cell>
          <cell r="D419" t="str">
            <v>HH</v>
          </cell>
          <cell r="E419">
            <v>0.1</v>
          </cell>
          <cell r="F419">
            <v>2.6666666666666668E-2</v>
          </cell>
          <cell r="G419">
            <v>7.03</v>
          </cell>
          <cell r="H419">
            <v>0.1874666666666667</v>
          </cell>
          <cell r="I419">
            <v>1.7810666666666666</v>
          </cell>
          <cell r="J419" t="str">
            <v>47</v>
          </cell>
          <cell r="K419">
            <v>6000</v>
          </cell>
          <cell r="L419">
            <v>160</v>
          </cell>
          <cell r="M419">
            <v>1124.8</v>
          </cell>
        </row>
        <row r="420">
          <cell r="A420" t="str">
            <v>23.02.01</v>
          </cell>
          <cell r="C420" t="str">
            <v>EQUIPOS</v>
          </cell>
          <cell r="J420">
            <v>0</v>
          </cell>
        </row>
        <row r="421">
          <cell r="A421" t="str">
            <v>23.02.01</v>
          </cell>
          <cell r="B421" t="str">
            <v>370101</v>
          </cell>
          <cell r="C421" t="str">
            <v>HERRAMIENTAS MANUALES</v>
          </cell>
          <cell r="D421" t="str">
            <v>%MO</v>
          </cell>
          <cell r="F421">
            <v>3</v>
          </cell>
          <cell r="G421">
            <v>1.7810666666666666</v>
          </cell>
          <cell r="H421">
            <v>5.3431999999999993E-2</v>
          </cell>
          <cell r="I421">
            <v>5.3431999999999993E-2</v>
          </cell>
          <cell r="J421" t="str">
            <v>37</v>
          </cell>
          <cell r="K421">
            <v>6000</v>
          </cell>
          <cell r="L421">
            <v>0</v>
          </cell>
          <cell r="M421">
            <v>320.58999999999997</v>
          </cell>
        </row>
        <row r="422">
          <cell r="A422">
            <v>0</v>
          </cell>
          <cell r="J422">
            <v>0</v>
          </cell>
        </row>
        <row r="423">
          <cell r="A423" t="str">
            <v>23.03.00</v>
          </cell>
          <cell r="B423" t="str">
            <v>LIMPIEZA FINAL DE OBRA</v>
          </cell>
          <cell r="C423">
            <v>0</v>
          </cell>
          <cell r="D423">
            <v>0</v>
          </cell>
          <cell r="E423">
            <v>0</v>
          </cell>
          <cell r="F423">
            <v>0</v>
          </cell>
          <cell r="G423">
            <v>0</v>
          </cell>
          <cell r="H423" t="str">
            <v>M2</v>
          </cell>
          <cell r="I423">
            <v>0.61536600000000008</v>
          </cell>
          <cell r="J423">
            <v>0</v>
          </cell>
        </row>
        <row r="424">
          <cell r="A424" t="str">
            <v>23.03.00</v>
          </cell>
          <cell r="E424" t="str">
            <v>RENDIMIENTO</v>
          </cell>
          <cell r="F424">
            <v>80</v>
          </cell>
          <cell r="G424" t="str">
            <v>M2/día</v>
          </cell>
          <cell r="J424">
            <v>0</v>
          </cell>
        </row>
        <row r="425">
          <cell r="A425" t="str">
            <v>23.03.00</v>
          </cell>
          <cell r="C425" t="str">
            <v>MANO DE OBRA</v>
          </cell>
          <cell r="J425">
            <v>0</v>
          </cell>
        </row>
        <row r="426">
          <cell r="A426" t="str">
            <v>23.03.00</v>
          </cell>
          <cell r="B426" t="str">
            <v>470039</v>
          </cell>
          <cell r="C426" t="str">
            <v>OBRERO  C</v>
          </cell>
          <cell r="D426" t="str">
            <v>HH</v>
          </cell>
          <cell r="E426">
            <v>1</v>
          </cell>
          <cell r="F426">
            <v>0.1</v>
          </cell>
          <cell r="G426">
            <v>5.33</v>
          </cell>
          <cell r="H426">
            <v>0.53300000000000003</v>
          </cell>
          <cell r="J426" t="str">
            <v>47</v>
          </cell>
          <cell r="K426">
            <v>2000</v>
          </cell>
          <cell r="L426">
            <v>200</v>
          </cell>
          <cell r="M426">
            <v>1066</v>
          </cell>
        </row>
        <row r="427">
          <cell r="A427" t="str">
            <v>23.03.00</v>
          </cell>
          <cell r="B427" t="str">
            <v>470040</v>
          </cell>
          <cell r="C427" t="str">
            <v>MAESTRO DE OBRA</v>
          </cell>
          <cell r="D427" t="str">
            <v>HH</v>
          </cell>
          <cell r="E427">
            <v>0.1</v>
          </cell>
          <cell r="F427">
            <v>1.0000000000000002E-2</v>
          </cell>
          <cell r="G427">
            <v>7.03</v>
          </cell>
          <cell r="H427">
            <v>7.0300000000000015E-2</v>
          </cell>
          <cell r="I427">
            <v>0.60330000000000006</v>
          </cell>
          <cell r="J427" t="str">
            <v>47</v>
          </cell>
          <cell r="K427">
            <v>2000</v>
          </cell>
          <cell r="L427">
            <v>20</v>
          </cell>
          <cell r="M427">
            <v>140.6</v>
          </cell>
        </row>
        <row r="428">
          <cell r="A428" t="str">
            <v>23.03.00</v>
          </cell>
          <cell r="C428" t="str">
            <v>EQUIPOS</v>
          </cell>
          <cell r="J428">
            <v>0</v>
          </cell>
        </row>
        <row r="429">
          <cell r="A429" t="str">
            <v>23.03.00</v>
          </cell>
          <cell r="B429" t="str">
            <v>370101</v>
          </cell>
          <cell r="C429" t="str">
            <v>HERRAMIENTAS MANUALES</v>
          </cell>
          <cell r="D429" t="str">
            <v>%MO</v>
          </cell>
          <cell r="F429">
            <v>2</v>
          </cell>
          <cell r="G429">
            <v>0.60330000000000006</v>
          </cell>
          <cell r="H429">
            <v>1.2066000000000002E-2</v>
          </cell>
          <cell r="I429">
            <v>1.2066000000000002E-2</v>
          </cell>
          <cell r="J429" t="str">
            <v>37</v>
          </cell>
          <cell r="K429">
            <v>2000</v>
          </cell>
          <cell r="L429">
            <v>0</v>
          </cell>
          <cell r="M429">
            <v>24.13</v>
          </cell>
        </row>
      </sheetData>
      <sheetData sheetId="2" refreshError="1"/>
      <sheetData sheetId="3" refreshError="1"/>
      <sheetData sheetId="4" refreshError="1"/>
      <sheetData sheetId="5"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s>
    <sheetDataSet>
      <sheetData sheetId="0" refreshError="1"/>
      <sheetData sheetId="1"/>
      <sheetData sheetId="2"/>
      <sheetData sheetId="3"/>
      <sheetData sheetId="4"/>
      <sheetData sheetId="5"/>
      <sheetData sheetId="6"/>
      <sheetData sheetId="7"/>
      <sheetData sheetId="8"/>
      <sheetData sheetId="9"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OE.2 ES-COB"/>
      <sheetName val="Viga Conexion"/>
      <sheetName val="Columnas "/>
      <sheetName val="Placas"/>
      <sheetName val="Vigas "/>
      <sheetName val="Losa 30cm"/>
      <sheetName val="Losa 17cm"/>
      <sheetName val="Losas Techo"/>
      <sheetName val="DATOS"/>
      <sheetName val="NTM"/>
      <sheetName val="OE.2 ES-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Viga Conexion"/>
      <sheetName val="Columnas "/>
      <sheetName val="Placas"/>
      <sheetName val="Vigas "/>
      <sheetName val="Losa 25cm"/>
      <sheetName val="DATOS"/>
      <sheetName val="NTM"/>
      <sheetName val="OE.2 ES-M"/>
      <sheetName val="OE.2 ES-COB"/>
    </sheetNames>
    <sheetDataSet>
      <sheetData sheetId="0"/>
      <sheetData sheetId="1"/>
      <sheetData sheetId="2">
        <row r="16">
          <cell r="K16">
            <v>3892.2297600000006</v>
          </cell>
        </row>
      </sheetData>
      <sheetData sheetId="3"/>
      <sheetData sheetId="4"/>
      <sheetData sheetId="5"/>
      <sheetData sheetId="6"/>
      <sheetData sheetId="7"/>
      <sheetData sheetId="8">
        <row r="2">
          <cell r="B2" t="str">
            <v>6 mm.</v>
          </cell>
        </row>
        <row r="3">
          <cell r="B3" t="str">
            <v>8 mm.</v>
          </cell>
        </row>
        <row r="4">
          <cell r="B4" t="str">
            <v>3/8"</v>
          </cell>
        </row>
        <row r="5">
          <cell r="B5" t="str">
            <v>12 mm.</v>
          </cell>
          <cell r="F5" t="str">
            <v>3/8"</v>
          </cell>
        </row>
        <row r="6">
          <cell r="B6" t="str">
            <v>1/2"</v>
          </cell>
          <cell r="F6" t="str">
            <v>1/2"</v>
          </cell>
        </row>
        <row r="7">
          <cell r="B7" t="str">
            <v>5/8"</v>
          </cell>
          <cell r="F7" t="str">
            <v>5/8"</v>
          </cell>
        </row>
        <row r="8">
          <cell r="B8" t="str">
            <v>3/4"</v>
          </cell>
          <cell r="F8" t="str">
            <v>3/4"</v>
          </cell>
        </row>
        <row r="9">
          <cell r="B9" t="str">
            <v>1"</v>
          </cell>
          <cell r="F9" t="str">
            <v>1"</v>
          </cell>
        </row>
        <row r="10">
          <cell r="B10" t="str">
            <v>1 3/8"</v>
          </cell>
        </row>
      </sheetData>
      <sheetData sheetId="9">
        <row r="2">
          <cell r="A2" t="str">
            <v>OE.01</v>
          </cell>
        </row>
      </sheetData>
      <sheetData sheetId="10" refreshError="1"/>
      <sheetData sheetId="1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TRADO DE DEDUCTIVO"/>
      <sheetName val="PARTIDA NUEVA "/>
      <sheetName val="MAYOR METRADO"/>
      <sheetName val="RESUMEN"/>
      <sheetName val="OE.2 ES-MT-CºSº"/>
      <sheetName val="OE.2 ES-CºAº"/>
      <sheetName val="OE.2 ES-M"/>
      <sheetName val="OE.2 ES-COB"/>
      <sheetName val="Viga Conexion"/>
      <sheetName val="Columnas "/>
      <sheetName val="Placas"/>
      <sheetName val="Vigas "/>
      <sheetName val="Losa 40cm "/>
      <sheetName val="Losa 30cm"/>
      <sheetName val="Losa 25cm"/>
      <sheetName val="Losa 17cm"/>
      <sheetName val="Losa Incli."/>
      <sheetName val="DATOS"/>
      <sheetName val="NTM"/>
    </sheetNames>
    <sheetDataSet>
      <sheetData sheetId="0"/>
      <sheetData sheetId="1"/>
      <sheetData sheetId="2">
        <row r="8">
          <cell r="K8">
            <v>300.15895</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2">
          <cell r="B2" t="str">
            <v>6 mm.</v>
          </cell>
          <cell r="P2" t="str">
            <v>m</v>
          </cell>
        </row>
        <row r="3">
          <cell r="B3" t="str">
            <v>8 mm.</v>
          </cell>
          <cell r="P3" t="str">
            <v>m²</v>
          </cell>
        </row>
        <row r="4">
          <cell r="B4" t="str">
            <v>3/8"</v>
          </cell>
          <cell r="P4" t="str">
            <v>m³</v>
          </cell>
        </row>
        <row r="5">
          <cell r="B5" t="str">
            <v>12 mm.</v>
          </cell>
          <cell r="F5" t="str">
            <v>3/8"</v>
          </cell>
          <cell r="P5" t="str">
            <v>und</v>
          </cell>
        </row>
        <row r="6">
          <cell r="B6" t="str">
            <v>1/2"</v>
          </cell>
          <cell r="F6" t="str">
            <v>1/2"</v>
          </cell>
          <cell r="P6" t="str">
            <v>pza</v>
          </cell>
        </row>
        <row r="7">
          <cell r="B7" t="str">
            <v>5/8"</v>
          </cell>
          <cell r="F7" t="str">
            <v>5/8"</v>
          </cell>
          <cell r="P7" t="str">
            <v>mes</v>
          </cell>
        </row>
        <row r="8">
          <cell r="B8" t="str">
            <v>3/4"</v>
          </cell>
          <cell r="F8" t="str">
            <v>3/4"</v>
          </cell>
          <cell r="P8" t="str">
            <v>kg</v>
          </cell>
        </row>
        <row r="9">
          <cell r="B9" t="str">
            <v>1"</v>
          </cell>
          <cell r="F9" t="str">
            <v>1"</v>
          </cell>
          <cell r="P9" t="str">
            <v>glb</v>
          </cell>
        </row>
        <row r="10">
          <cell r="B10" t="str">
            <v>1 3/8"</v>
          </cell>
        </row>
      </sheetData>
      <sheetData sheetId="18">
        <row r="2">
          <cell r="A2" t="str">
            <v>OE.01</v>
          </cell>
        </row>
        <row r="3">
          <cell r="A3" t="str">
            <v>OE.01.01</v>
          </cell>
        </row>
        <row r="4">
          <cell r="A4" t="str">
            <v>OE.01.01.01</v>
          </cell>
        </row>
        <row r="5">
          <cell r="A5" t="str">
            <v>OE.01.02</v>
          </cell>
        </row>
        <row r="6">
          <cell r="A6" t="str">
            <v>OE.01.02.01</v>
          </cell>
        </row>
        <row r="7">
          <cell r="A7" t="str">
            <v>OE.01.02.02</v>
          </cell>
        </row>
        <row r="8">
          <cell r="A8" t="str">
            <v>OE.01.02.03</v>
          </cell>
        </row>
        <row r="9">
          <cell r="A9" t="str">
            <v>OE.01.02.04</v>
          </cell>
        </row>
        <row r="10">
          <cell r="A10" t="str">
            <v>OE.01.03</v>
          </cell>
        </row>
        <row r="11">
          <cell r="A11" t="str">
            <v>OE.01.03.01</v>
          </cell>
        </row>
        <row r="12">
          <cell r="A12" t="str">
            <v>OE.01.03.02</v>
          </cell>
        </row>
        <row r="13">
          <cell r="A13" t="str">
            <v>OE.01.04</v>
          </cell>
        </row>
        <row r="14">
          <cell r="A14" t="str">
            <v>OE.01.04.01</v>
          </cell>
        </row>
        <row r="15">
          <cell r="A15" t="str">
            <v>OE.01.04.02</v>
          </cell>
        </row>
        <row r="16">
          <cell r="A16" t="str">
            <v>OE.01.04.03</v>
          </cell>
        </row>
        <row r="17">
          <cell r="A17" t="str">
            <v>OE.01.04.04</v>
          </cell>
        </row>
        <row r="18">
          <cell r="A18" t="str">
            <v>OE.01.04.05</v>
          </cell>
        </row>
        <row r="19">
          <cell r="A19" t="str">
            <v>OE.01.04.06</v>
          </cell>
        </row>
        <row r="20">
          <cell r="A20" t="str">
            <v>OE.01.04.07</v>
          </cell>
        </row>
        <row r="21">
          <cell r="A21" t="str">
            <v>OE.01.04.08</v>
          </cell>
        </row>
        <row r="22">
          <cell r="A22" t="str">
            <v>OE.01.04.09</v>
          </cell>
        </row>
        <row r="23">
          <cell r="A23" t="str">
            <v>OE.01.04.10</v>
          </cell>
        </row>
        <row r="24">
          <cell r="A24" t="str">
            <v>OE.01.04.11</v>
          </cell>
        </row>
        <row r="25">
          <cell r="A25" t="str">
            <v>OE.01.04.12</v>
          </cell>
        </row>
        <row r="26">
          <cell r="A26" t="str">
            <v>OE.02</v>
          </cell>
        </row>
        <row r="27">
          <cell r="A27" t="str">
            <v>OE.02.01</v>
          </cell>
        </row>
        <row r="28">
          <cell r="A28" t="str">
            <v>OE.02.01.01</v>
          </cell>
        </row>
        <row r="29">
          <cell r="A29" t="str">
            <v>OE.02.01.02</v>
          </cell>
        </row>
        <row r="30">
          <cell r="A30" t="str">
            <v>OE.02.01.03</v>
          </cell>
        </row>
        <row r="31">
          <cell r="A31" t="str">
            <v>OE.02.01.04</v>
          </cell>
        </row>
        <row r="32">
          <cell r="A32" t="str">
            <v>OE.02.01.05</v>
          </cell>
        </row>
        <row r="33">
          <cell r="A33" t="str">
            <v>OE.02.01.06</v>
          </cell>
        </row>
        <row r="34">
          <cell r="A34" t="str">
            <v>OE.02.02</v>
          </cell>
        </row>
        <row r="35">
          <cell r="A35" t="str">
            <v>OE.02.02.01</v>
          </cell>
        </row>
        <row r="36">
          <cell r="A36" t="str">
            <v>OE.02.02.01.01</v>
          </cell>
        </row>
        <row r="37">
          <cell r="A37" t="str">
            <v>OE.02.02.02</v>
          </cell>
        </row>
        <row r="38">
          <cell r="A38" t="str">
            <v>OE.02.02.02.01</v>
          </cell>
        </row>
        <row r="39">
          <cell r="A39" t="str">
            <v>OE.02.02.03</v>
          </cell>
        </row>
        <row r="40">
          <cell r="A40" t="str">
            <v>OE.02.02.03.01</v>
          </cell>
        </row>
        <row r="41">
          <cell r="A41" t="str">
            <v>OE.02.02.04</v>
          </cell>
        </row>
        <row r="42">
          <cell r="A42" t="str">
            <v>OE.02.02.04.01</v>
          </cell>
        </row>
        <row r="43">
          <cell r="A43" t="str">
            <v>OE.02.02.04.02</v>
          </cell>
        </row>
        <row r="44">
          <cell r="A44" t="str">
            <v>OE.02.02.05</v>
          </cell>
        </row>
        <row r="45">
          <cell r="A45" t="str">
            <v>OE.02.02.05.01</v>
          </cell>
        </row>
        <row r="46">
          <cell r="A46" t="str">
            <v>OE.02.02.05.02</v>
          </cell>
        </row>
        <row r="47">
          <cell r="A47" t="str">
            <v>OE.02.02.05.03</v>
          </cell>
        </row>
        <row r="48">
          <cell r="A48" t="str">
            <v>OE.02.02.05.04</v>
          </cell>
        </row>
        <row r="49">
          <cell r="A49" t="str">
            <v>OE.02.02.05.05</v>
          </cell>
        </row>
        <row r="50">
          <cell r="A50" t="str">
            <v>OE.02.02.06</v>
          </cell>
        </row>
        <row r="51">
          <cell r="A51" t="str">
            <v>OE.02.02.06.01</v>
          </cell>
        </row>
        <row r="52">
          <cell r="A52" t="str">
            <v>OE.02.02.06.02</v>
          </cell>
        </row>
        <row r="53">
          <cell r="A53" t="str">
            <v>OE.02.03</v>
          </cell>
        </row>
        <row r="54">
          <cell r="A54" t="str">
            <v>OE.02.03.01</v>
          </cell>
        </row>
        <row r="55">
          <cell r="A55" t="str">
            <v>OE.02.03.01.01</v>
          </cell>
        </row>
        <row r="56">
          <cell r="A56" t="str">
            <v>OE.02.03.01.02</v>
          </cell>
        </row>
        <row r="57">
          <cell r="A57" t="str">
            <v>OE.02.03.02</v>
          </cell>
        </row>
        <row r="58">
          <cell r="A58" t="str">
            <v>OE.02.03.02.01</v>
          </cell>
        </row>
        <row r="59">
          <cell r="A59" t="str">
            <v>OE.02.03.02.02</v>
          </cell>
        </row>
        <row r="60">
          <cell r="A60" t="str">
            <v>OE.02.03.02.03</v>
          </cell>
        </row>
        <row r="61">
          <cell r="A61" t="str">
            <v>OE.02.03.03</v>
          </cell>
        </row>
        <row r="62">
          <cell r="A62" t="str">
            <v>OE.02.03.03.01</v>
          </cell>
        </row>
        <row r="63">
          <cell r="A63" t="str">
            <v>OE.02.03.03.02</v>
          </cell>
        </row>
        <row r="64">
          <cell r="A64" t="str">
            <v>OE.02.03.03.03</v>
          </cell>
        </row>
        <row r="65">
          <cell r="A65" t="str">
            <v>OE.02.03.04</v>
          </cell>
        </row>
        <row r="66">
          <cell r="A66" t="str">
            <v>OE.02.03.04.01</v>
          </cell>
        </row>
        <row r="67">
          <cell r="A67" t="str">
            <v>OE.02.03.04.02</v>
          </cell>
        </row>
        <row r="68">
          <cell r="A68" t="str">
            <v>OE.02.03.04.03</v>
          </cell>
        </row>
        <row r="69">
          <cell r="A69" t="str">
            <v>OE.02.03.05</v>
          </cell>
        </row>
        <row r="70">
          <cell r="A70" t="str">
            <v>OE.02.03.05.01</v>
          </cell>
        </row>
        <row r="71">
          <cell r="A71" t="str">
            <v>OE.02.03.05.02</v>
          </cell>
        </row>
        <row r="72">
          <cell r="A72" t="str">
            <v>OE.02.03.05.03</v>
          </cell>
        </row>
        <row r="73">
          <cell r="A73" t="str">
            <v>OE.02.03.06</v>
          </cell>
        </row>
        <row r="74">
          <cell r="A74" t="str">
            <v>OE.02.03.06.01</v>
          </cell>
        </row>
        <row r="75">
          <cell r="A75" t="str">
            <v>OE.02.03.06.02</v>
          </cell>
        </row>
        <row r="76">
          <cell r="A76" t="str">
            <v>OE.02.03.06.03</v>
          </cell>
        </row>
        <row r="77">
          <cell r="A77" t="str">
            <v>OE.02.03.07</v>
          </cell>
        </row>
        <row r="78">
          <cell r="A78" t="str">
            <v>OE.02.03.07.01</v>
          </cell>
        </row>
        <row r="79">
          <cell r="A79" t="str">
            <v>OE.02.03.07.02</v>
          </cell>
        </row>
        <row r="80">
          <cell r="A80" t="str">
            <v>OE.02.03.07.03</v>
          </cell>
        </row>
        <row r="81">
          <cell r="A81" t="str">
            <v>OE.02.03.08</v>
          </cell>
        </row>
        <row r="82">
          <cell r="A82" t="str">
            <v>OE.02.03.08.01</v>
          </cell>
        </row>
        <row r="83">
          <cell r="A83" t="str">
            <v>OE.02.03.08.02</v>
          </cell>
        </row>
        <row r="84">
          <cell r="A84" t="str">
            <v>OE.02.03.08.03</v>
          </cell>
        </row>
        <row r="85">
          <cell r="A85" t="str">
            <v>OE.02.03.09</v>
          </cell>
        </row>
        <row r="86">
          <cell r="A86" t="str">
            <v>OE.02.03.09.01</v>
          </cell>
        </row>
        <row r="87">
          <cell r="A87" t="str">
            <v>OE.02.03.09.02</v>
          </cell>
        </row>
        <row r="88">
          <cell r="A88" t="str">
            <v>OE.02.03.09.03</v>
          </cell>
        </row>
        <row r="89">
          <cell r="A89" t="str">
            <v>OE.02.03.10</v>
          </cell>
        </row>
        <row r="90">
          <cell r="A90" t="str">
            <v>OE.02.03.10.01</v>
          </cell>
        </row>
        <row r="91">
          <cell r="A91" t="str">
            <v>OE.02.03.10.02</v>
          </cell>
        </row>
        <row r="92">
          <cell r="A92" t="str">
            <v>OE.02.03.10.03</v>
          </cell>
        </row>
        <row r="93">
          <cell r="A93" t="str">
            <v>OE.02.03.10.04</v>
          </cell>
        </row>
        <row r="94">
          <cell r="A94" t="str">
            <v>OE.02.03.11</v>
          </cell>
        </row>
        <row r="95">
          <cell r="A95" t="str">
            <v>OE.02.03.11.01</v>
          </cell>
        </row>
        <row r="96">
          <cell r="A96" t="str">
            <v>OE.02.03.11.02</v>
          </cell>
        </row>
        <row r="97">
          <cell r="A97" t="str">
            <v>OE.02.03.11.03</v>
          </cell>
        </row>
        <row r="98">
          <cell r="A98" t="str">
            <v>OE.02.03.11.04</v>
          </cell>
        </row>
        <row r="99">
          <cell r="A99" t="str">
            <v>OE.02.03.12</v>
          </cell>
        </row>
        <row r="100">
          <cell r="A100" t="str">
            <v>OE.02.03.12.01</v>
          </cell>
        </row>
        <row r="101">
          <cell r="A101" t="str">
            <v>OE.02.03.12.02</v>
          </cell>
        </row>
        <row r="102">
          <cell r="A102" t="str">
            <v>OE.02.03.12.03</v>
          </cell>
        </row>
        <row r="103">
          <cell r="A103" t="str">
            <v>OE.02.03.12.04</v>
          </cell>
        </row>
        <row r="104">
          <cell r="A104" t="str">
            <v>OE.02.03.13</v>
          </cell>
        </row>
        <row r="105">
          <cell r="A105" t="str">
            <v>OE.02.03.13.01</v>
          </cell>
        </row>
        <row r="106">
          <cell r="A106" t="str">
            <v>OE.02.03.13.02</v>
          </cell>
        </row>
        <row r="107">
          <cell r="A107" t="str">
            <v>OE.02.03.13.03</v>
          </cell>
        </row>
        <row r="108">
          <cell r="A108" t="str">
            <v>OE.02.03.13.04</v>
          </cell>
        </row>
        <row r="109">
          <cell r="A109" t="str">
            <v>OE.02.03.14</v>
          </cell>
        </row>
        <row r="110">
          <cell r="A110" t="str">
            <v>OE.02.03.14.01</v>
          </cell>
        </row>
        <row r="111">
          <cell r="A111" t="str">
            <v>OE.02.03.14.02</v>
          </cell>
        </row>
        <row r="112">
          <cell r="A112" t="str">
            <v>OE.02.03.14.03</v>
          </cell>
        </row>
        <row r="113">
          <cell r="A113" t="str">
            <v>OE.02.03.14.04</v>
          </cell>
        </row>
        <row r="114">
          <cell r="A114" t="str">
            <v>OE.02.03.15</v>
          </cell>
        </row>
        <row r="115">
          <cell r="A115" t="str">
            <v>OE.02.03.15.01</v>
          </cell>
        </row>
        <row r="116">
          <cell r="A116" t="str">
            <v>OE.02.03.15.02</v>
          </cell>
        </row>
        <row r="117">
          <cell r="A117" t="str">
            <v>OE.02.03.15.03</v>
          </cell>
        </row>
        <row r="118">
          <cell r="A118" t="str">
            <v>OE.02.03.15.04</v>
          </cell>
        </row>
        <row r="119">
          <cell r="A119" t="str">
            <v>OE.02.03.16</v>
          </cell>
        </row>
        <row r="120">
          <cell r="A120" t="str">
            <v>OE.02.03.16.01</v>
          </cell>
        </row>
        <row r="121">
          <cell r="A121" t="str">
            <v>OE.02.03.16.02</v>
          </cell>
        </row>
        <row r="122">
          <cell r="A122" t="str">
            <v>OE.02.03.16.03</v>
          </cell>
        </row>
        <row r="123">
          <cell r="A123" t="str">
            <v>OE.02.03.17</v>
          </cell>
        </row>
        <row r="124">
          <cell r="A124" t="str">
            <v>OE.02.03.17.01</v>
          </cell>
        </row>
        <row r="125">
          <cell r="A125" t="str">
            <v>OE.02.03.17.02</v>
          </cell>
        </row>
        <row r="126">
          <cell r="A126" t="str">
            <v>OE.02.03.17.03</v>
          </cell>
        </row>
        <row r="127">
          <cell r="A127" t="str">
            <v>OE.02.03.18</v>
          </cell>
        </row>
        <row r="128">
          <cell r="A128" t="str">
            <v>OE.02.03.18.01</v>
          </cell>
        </row>
        <row r="129">
          <cell r="A129" t="str">
            <v>OE.02.03.18.02</v>
          </cell>
        </row>
        <row r="130">
          <cell r="A130" t="str">
            <v>OE.02.03.18.03</v>
          </cell>
        </row>
        <row r="131">
          <cell r="A131" t="str">
            <v>OE.02.03.19</v>
          </cell>
        </row>
        <row r="132">
          <cell r="A132" t="str">
            <v>OE.02.03.19.01</v>
          </cell>
        </row>
        <row r="133">
          <cell r="A133" t="str">
            <v>OE.02.03.19.02</v>
          </cell>
        </row>
        <row r="134">
          <cell r="A134" t="str">
            <v>OE.02.03.19.03</v>
          </cell>
        </row>
        <row r="135">
          <cell r="A135" t="str">
            <v>OE.02.03.20</v>
          </cell>
        </row>
        <row r="136">
          <cell r="A136" t="str">
            <v>OE.02.03.20.01</v>
          </cell>
        </row>
        <row r="137">
          <cell r="A137" t="str">
            <v>OE.02.03.20.02</v>
          </cell>
        </row>
        <row r="138">
          <cell r="A138" t="str">
            <v>OE.02.03.20.03</v>
          </cell>
        </row>
        <row r="139">
          <cell r="A139" t="str">
            <v>OE.02.03.20.04</v>
          </cell>
        </row>
        <row r="140">
          <cell r="A140" t="str">
            <v>OE.02.03.20.05</v>
          </cell>
        </row>
        <row r="141">
          <cell r="A141" t="str">
            <v>OE.02.03.21</v>
          </cell>
        </row>
        <row r="142">
          <cell r="A142" t="str">
            <v>OE.02.03.21.01</v>
          </cell>
        </row>
        <row r="143">
          <cell r="A143" t="str">
            <v>OE.02.03.21.01.01</v>
          </cell>
        </row>
        <row r="144">
          <cell r="A144" t="str">
            <v>OE.02.03.21.01.02</v>
          </cell>
        </row>
        <row r="145">
          <cell r="A145" t="str">
            <v>OE.02.03.21.01.03</v>
          </cell>
        </row>
        <row r="146">
          <cell r="A146" t="str">
            <v>OE.02.03.21.01.04</v>
          </cell>
        </row>
        <row r="147">
          <cell r="A147" t="str">
            <v>OE.02.03.21.02</v>
          </cell>
        </row>
        <row r="148">
          <cell r="A148" t="str">
            <v>OE.02.03.21.02.01</v>
          </cell>
        </row>
        <row r="149">
          <cell r="A149" t="str">
            <v>OE.02.03.21.02.02</v>
          </cell>
        </row>
        <row r="150">
          <cell r="A150" t="str">
            <v>OE.02.03.21.02.03</v>
          </cell>
        </row>
        <row r="151">
          <cell r="A151" t="str">
            <v>OE.02.03.21.03</v>
          </cell>
        </row>
        <row r="152">
          <cell r="A152" t="str">
            <v>OE.02.03.21.03.01</v>
          </cell>
        </row>
        <row r="153">
          <cell r="A153" t="str">
            <v>OE.02.03.21.03.02</v>
          </cell>
        </row>
        <row r="154">
          <cell r="A154" t="str">
            <v>OE.02.03.21.03.03</v>
          </cell>
        </row>
        <row r="155">
          <cell r="A155" t="str">
            <v>OE.02.03.22</v>
          </cell>
        </row>
        <row r="156">
          <cell r="A156" t="str">
            <v>OE.02.03.22.01</v>
          </cell>
        </row>
        <row r="157">
          <cell r="A157" t="str">
            <v>OE.02.03.22.01.01</v>
          </cell>
        </row>
        <row r="158">
          <cell r="A158" t="str">
            <v>OE.02.03.22.01.02</v>
          </cell>
        </row>
        <row r="159">
          <cell r="A159" t="str">
            <v>OE.02.03.22.01.03</v>
          </cell>
        </row>
        <row r="160">
          <cell r="A160" t="str">
            <v>OE.02.03.22.01.04</v>
          </cell>
        </row>
        <row r="161">
          <cell r="A161" t="str">
            <v>OE.02.03.22.02</v>
          </cell>
        </row>
        <row r="162">
          <cell r="A162" t="str">
            <v>OE.02.03.22.02.01</v>
          </cell>
        </row>
        <row r="163">
          <cell r="A163" t="str">
            <v>OE.02.03.22.02.02</v>
          </cell>
        </row>
        <row r="164">
          <cell r="A164" t="str">
            <v>OE.02.03.22.02.03</v>
          </cell>
        </row>
        <row r="165">
          <cell r="A165" t="str">
            <v>OE.02.03.22.03</v>
          </cell>
        </row>
        <row r="166">
          <cell r="A166" t="str">
            <v>OE.02.03.22.03.01</v>
          </cell>
        </row>
        <row r="167">
          <cell r="A167" t="str">
            <v>OE.02.03.22.03.02</v>
          </cell>
        </row>
        <row r="168">
          <cell r="A168" t="str">
            <v>OE.02.03.22.03.03</v>
          </cell>
        </row>
        <row r="169">
          <cell r="A169" t="str">
            <v>OE.02.03.23</v>
          </cell>
        </row>
        <row r="170">
          <cell r="A170" t="str">
            <v>OE.02.03.23.01</v>
          </cell>
        </row>
        <row r="171">
          <cell r="A171" t="str">
            <v>OE.02.04</v>
          </cell>
        </row>
        <row r="172">
          <cell r="A172" t="str">
            <v>OE.02.04.01</v>
          </cell>
        </row>
        <row r="173">
          <cell r="A173" t="str">
            <v>OE.02.04.01.01</v>
          </cell>
        </row>
        <row r="174">
          <cell r="A174" t="str">
            <v>OE.02.04.01.02</v>
          </cell>
        </row>
        <row r="175">
          <cell r="A175" t="str">
            <v>OE.02.04.01.03</v>
          </cell>
        </row>
        <row r="176">
          <cell r="A176" t="str">
            <v>OE.02.04.01.04</v>
          </cell>
        </row>
        <row r="177">
          <cell r="A177" t="str">
            <v>OE.02.04.02</v>
          </cell>
        </row>
        <row r="178">
          <cell r="A178" t="str">
            <v>OE.02.04.02.01</v>
          </cell>
        </row>
        <row r="179">
          <cell r="A179" t="str">
            <v>OE.02.04.02.02</v>
          </cell>
        </row>
        <row r="180">
          <cell r="A180" t="str">
            <v>OE.02.04.02.03</v>
          </cell>
        </row>
        <row r="181">
          <cell r="A181" t="str">
            <v>OE.02.04.02.04</v>
          </cell>
        </row>
        <row r="182">
          <cell r="A182" t="str">
            <v>OE.02.04.02.05</v>
          </cell>
        </row>
        <row r="183">
          <cell r="A183" t="str">
            <v>OE.02.04.02.06</v>
          </cell>
        </row>
        <row r="184">
          <cell r="A184" t="str">
            <v>OE.02.04.03</v>
          </cell>
        </row>
        <row r="185">
          <cell r="A185" t="str">
            <v>OE.02.04.03.01</v>
          </cell>
        </row>
        <row r="186">
          <cell r="A186" t="str">
            <v>OE.02.04.03.02</v>
          </cell>
        </row>
        <row r="187">
          <cell r="A187" t="str">
            <v>OE.02.04.03.03</v>
          </cell>
        </row>
        <row r="188">
          <cell r="A188" t="str">
            <v>OE.02.04.03.04</v>
          </cell>
        </row>
        <row r="189">
          <cell r="A189" t="str">
            <v>OE.02.04.03.05</v>
          </cell>
        </row>
        <row r="190">
          <cell r="A190" t="str">
            <v>OE.02.04.03.06</v>
          </cell>
        </row>
        <row r="191">
          <cell r="A191" t="str">
            <v>OE.02.04.03.07</v>
          </cell>
        </row>
        <row r="192">
          <cell r="A192" t="str">
            <v>OE.02.04.03.08</v>
          </cell>
        </row>
        <row r="193">
          <cell r="A193" t="str">
            <v>OE.02.04.04</v>
          </cell>
        </row>
        <row r="194">
          <cell r="A194" t="str">
            <v>OE.02.04.04.01</v>
          </cell>
        </row>
        <row r="195">
          <cell r="A195" t="str">
            <v>OE.02.04.04.02</v>
          </cell>
        </row>
        <row r="196">
          <cell r="A196" t="str">
            <v>OE.02.04.04.03</v>
          </cell>
        </row>
        <row r="197">
          <cell r="A197" t="str">
            <v>OE.02.04.04.04</v>
          </cell>
        </row>
        <row r="198">
          <cell r="A198" t="str">
            <v>OE.02.04.04.05</v>
          </cell>
        </row>
        <row r="199">
          <cell r="A199" t="str">
            <v>OE.02.04.04.06</v>
          </cell>
        </row>
        <row r="200">
          <cell r="A200" t="str">
            <v>OE.02.04.04.07</v>
          </cell>
        </row>
        <row r="201">
          <cell r="A201" t="str">
            <v>OE.02.04.04.08</v>
          </cell>
        </row>
        <row r="202">
          <cell r="A202" t="str">
            <v>OE.02.04.05</v>
          </cell>
        </row>
        <row r="203">
          <cell r="A203" t="str">
            <v>OE.02.04.05.01</v>
          </cell>
        </row>
        <row r="204">
          <cell r="A204" t="str">
            <v>OE.02.04.05.02</v>
          </cell>
        </row>
        <row r="205">
          <cell r="A205" t="str">
            <v>OE.02.04.05.03</v>
          </cell>
        </row>
        <row r="206">
          <cell r="A206" t="str">
            <v>OE.02.05</v>
          </cell>
        </row>
        <row r="207">
          <cell r="A207" t="str">
            <v>OE.02.05.01</v>
          </cell>
        </row>
        <row r="208">
          <cell r="A208" t="str">
            <v>OE.02.05.02</v>
          </cell>
        </row>
        <row r="209">
          <cell r="A209" t="str">
            <v>OE.02.05.03</v>
          </cell>
        </row>
        <row r="210">
          <cell r="A210" t="str">
            <v>OE.02.05.04</v>
          </cell>
        </row>
        <row r="211">
          <cell r="A211" t="str">
            <v>OE.02.05.05</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OE.2 ES-COB"/>
      <sheetName val="Viga Conexion"/>
      <sheetName val="Columnas "/>
      <sheetName val="Placas"/>
      <sheetName val="Vigas "/>
      <sheetName val="Losa 30cm"/>
      <sheetName val="Losa 20cm"/>
      <sheetName val="Losa 17cm"/>
      <sheetName val="Losa Incli."/>
      <sheetName val="DATOS"/>
      <sheetName val="NTM"/>
      <sheetName val="OE.2 ES-M"/>
    </sheetNames>
    <sheetDataSet>
      <sheetData sheetId="0">
        <row r="22">
          <cell r="I22">
            <v>0</v>
          </cell>
        </row>
      </sheetData>
      <sheetData sheetId="1"/>
      <sheetData sheetId="2"/>
      <sheetData sheetId="3"/>
      <sheetData sheetId="4"/>
      <sheetData sheetId="5"/>
      <sheetData sheetId="6"/>
      <sheetData sheetId="7"/>
      <sheetData sheetId="8"/>
      <sheetData sheetId="9"/>
      <sheetData sheetId="10"/>
      <sheetData sheetId="11"/>
      <sheetData sheetId="12">
        <row r="2">
          <cell r="P2" t="str">
            <v>m</v>
          </cell>
        </row>
        <row r="3">
          <cell r="P3" t="str">
            <v>m²</v>
          </cell>
        </row>
        <row r="4">
          <cell r="P4" t="str">
            <v>m³</v>
          </cell>
        </row>
        <row r="5">
          <cell r="P5" t="str">
            <v>und</v>
          </cell>
        </row>
        <row r="6">
          <cell r="P6" t="str">
            <v>pza</v>
          </cell>
        </row>
        <row r="7">
          <cell r="P7" t="str">
            <v>mes</v>
          </cell>
        </row>
        <row r="8">
          <cell r="P8" t="str">
            <v>kg</v>
          </cell>
        </row>
        <row r="9">
          <cell r="P9" t="str">
            <v>glb</v>
          </cell>
        </row>
      </sheetData>
      <sheetData sheetId="13">
        <row r="2">
          <cell r="A2" t="str">
            <v>OE.01</v>
          </cell>
        </row>
        <row r="3">
          <cell r="A3" t="str">
            <v>OE.01.01</v>
          </cell>
        </row>
        <row r="4">
          <cell r="A4" t="str">
            <v>OE.01.01.01</v>
          </cell>
        </row>
        <row r="5">
          <cell r="A5" t="str">
            <v>OE.01.02</v>
          </cell>
        </row>
        <row r="6">
          <cell r="A6" t="str">
            <v>OE.01.02.01</v>
          </cell>
        </row>
        <row r="7">
          <cell r="A7" t="str">
            <v>OE.01.02.02</v>
          </cell>
        </row>
        <row r="8">
          <cell r="A8" t="str">
            <v>OE.01.02.03</v>
          </cell>
        </row>
        <row r="9">
          <cell r="A9" t="str">
            <v>OE.01.02.04</v>
          </cell>
        </row>
        <row r="10">
          <cell r="A10" t="str">
            <v>OE.01.03</v>
          </cell>
        </row>
        <row r="11">
          <cell r="A11" t="str">
            <v>OE.01.03.01</v>
          </cell>
        </row>
        <row r="12">
          <cell r="A12" t="str">
            <v>OE.01.03.02</v>
          </cell>
        </row>
        <row r="13">
          <cell r="A13" t="str">
            <v>OE.01.04</v>
          </cell>
        </row>
        <row r="14">
          <cell r="A14" t="str">
            <v>OE.01.04.01</v>
          </cell>
        </row>
        <row r="15">
          <cell r="A15" t="str">
            <v>OE.01.04.02</v>
          </cell>
        </row>
        <row r="16">
          <cell r="A16" t="str">
            <v>OE.01.04.03</v>
          </cell>
        </row>
        <row r="17">
          <cell r="A17" t="str">
            <v>OE.01.04.04</v>
          </cell>
        </row>
        <row r="18">
          <cell r="A18" t="str">
            <v>OE.01.04.05</v>
          </cell>
        </row>
        <row r="19">
          <cell r="A19" t="str">
            <v>OE.01.04.06</v>
          </cell>
        </row>
        <row r="20">
          <cell r="A20" t="str">
            <v>OE.01.04.07</v>
          </cell>
        </row>
        <row r="21">
          <cell r="A21" t="str">
            <v>OE.01.04.08</v>
          </cell>
        </row>
        <row r="22">
          <cell r="A22" t="str">
            <v>OE.01.04.09</v>
          </cell>
        </row>
        <row r="23">
          <cell r="A23" t="str">
            <v>OE.01.04.10</v>
          </cell>
        </row>
        <row r="24">
          <cell r="A24" t="str">
            <v>OE.01.04.11</v>
          </cell>
        </row>
        <row r="25">
          <cell r="A25" t="str">
            <v>OE.01.04.12</v>
          </cell>
        </row>
        <row r="26">
          <cell r="A26" t="str">
            <v>OE.02</v>
          </cell>
        </row>
        <row r="27">
          <cell r="A27" t="str">
            <v>OE.02.01</v>
          </cell>
        </row>
        <row r="28">
          <cell r="A28" t="str">
            <v>OE.02.01.01</v>
          </cell>
        </row>
        <row r="29">
          <cell r="A29" t="str">
            <v>OE.02.01.02</v>
          </cell>
        </row>
        <row r="30">
          <cell r="A30" t="str">
            <v>OE.02.01.03</v>
          </cell>
        </row>
        <row r="31">
          <cell r="A31" t="str">
            <v>OE.02.01.04</v>
          </cell>
        </row>
        <row r="32">
          <cell r="A32" t="str">
            <v>OE.02.01.05</v>
          </cell>
        </row>
        <row r="33">
          <cell r="A33" t="str">
            <v>OE.02.01.06</v>
          </cell>
        </row>
        <row r="34">
          <cell r="A34" t="str">
            <v>OE.02.02</v>
          </cell>
        </row>
        <row r="35">
          <cell r="A35" t="str">
            <v>OE.02.02.01</v>
          </cell>
        </row>
        <row r="36">
          <cell r="A36" t="str">
            <v>OE.02.02.01.01</v>
          </cell>
        </row>
        <row r="37">
          <cell r="A37" t="str">
            <v>OE.02.02.02</v>
          </cell>
        </row>
        <row r="38">
          <cell r="A38" t="str">
            <v>OE.02.02.02.01</v>
          </cell>
        </row>
        <row r="39">
          <cell r="A39" t="str">
            <v>OE.02.02.03</v>
          </cell>
        </row>
        <row r="40">
          <cell r="A40" t="str">
            <v>OE.02.02.03.01</v>
          </cell>
        </row>
        <row r="41">
          <cell r="A41" t="str">
            <v>OE.02.02.04</v>
          </cell>
        </row>
        <row r="42">
          <cell r="A42" t="str">
            <v>OE.02.02.04.01</v>
          </cell>
        </row>
        <row r="43">
          <cell r="A43" t="str">
            <v>OE.02.02.04.02</v>
          </cell>
        </row>
        <row r="44">
          <cell r="A44" t="str">
            <v>OE.02.02.05</v>
          </cell>
        </row>
        <row r="45">
          <cell r="A45" t="str">
            <v>OE.02.02.05.01</v>
          </cell>
        </row>
        <row r="46">
          <cell r="A46" t="str">
            <v>OE.02.02.05.02</v>
          </cell>
        </row>
        <row r="47">
          <cell r="A47" t="str">
            <v>OE.02.02.05.03</v>
          </cell>
        </row>
        <row r="48">
          <cell r="A48" t="str">
            <v>OE.02.02.05.04</v>
          </cell>
        </row>
        <row r="49">
          <cell r="A49" t="str">
            <v>OE.02.02.05.05</v>
          </cell>
        </row>
        <row r="50">
          <cell r="A50" t="str">
            <v>OE.02.02.06</v>
          </cell>
        </row>
        <row r="51">
          <cell r="A51" t="str">
            <v>OE.02.02.06.01</v>
          </cell>
        </row>
        <row r="52">
          <cell r="A52" t="str">
            <v>OE.02.02.06.02</v>
          </cell>
        </row>
        <row r="53">
          <cell r="A53" t="str">
            <v>OE.02.03</v>
          </cell>
        </row>
        <row r="54">
          <cell r="A54" t="str">
            <v>OE.02.03.01</v>
          </cell>
        </row>
        <row r="55">
          <cell r="A55" t="str">
            <v>OE.02.03.01.01</v>
          </cell>
        </row>
        <row r="56">
          <cell r="A56" t="str">
            <v>OE.02.03.01.02</v>
          </cell>
        </row>
        <row r="57">
          <cell r="A57" t="str">
            <v>OE.02.03.02</v>
          </cell>
        </row>
        <row r="58">
          <cell r="A58" t="str">
            <v>OE.02.03.02.01</v>
          </cell>
        </row>
        <row r="59">
          <cell r="A59" t="str">
            <v>OE.02.03.02.02</v>
          </cell>
        </row>
        <row r="60">
          <cell r="A60" t="str">
            <v>OE.02.03.02.03</v>
          </cell>
        </row>
        <row r="61">
          <cell r="A61" t="str">
            <v>OE.02.03.03</v>
          </cell>
        </row>
        <row r="62">
          <cell r="A62" t="str">
            <v>OE.02.03.03.01</v>
          </cell>
        </row>
        <row r="63">
          <cell r="A63" t="str">
            <v>OE.02.03.03.02</v>
          </cell>
        </row>
        <row r="64">
          <cell r="A64" t="str">
            <v>OE.02.03.03.03</v>
          </cell>
        </row>
        <row r="65">
          <cell r="A65" t="str">
            <v>OE.02.03.04</v>
          </cell>
        </row>
        <row r="66">
          <cell r="A66" t="str">
            <v>OE.02.03.04.01</v>
          </cell>
        </row>
        <row r="67">
          <cell r="A67" t="str">
            <v>OE.02.03.04.02</v>
          </cell>
        </row>
        <row r="68">
          <cell r="A68" t="str">
            <v>OE.02.03.04.03</v>
          </cell>
        </row>
        <row r="69">
          <cell r="A69" t="str">
            <v>OE.02.03.05</v>
          </cell>
        </row>
        <row r="70">
          <cell r="A70" t="str">
            <v>OE.02.03.05.01</v>
          </cell>
        </row>
        <row r="71">
          <cell r="A71" t="str">
            <v>OE.02.03.05.02</v>
          </cell>
        </row>
        <row r="72">
          <cell r="A72" t="str">
            <v>OE.02.03.05.03</v>
          </cell>
        </row>
        <row r="73">
          <cell r="A73" t="str">
            <v>OE.02.03.06</v>
          </cell>
        </row>
        <row r="74">
          <cell r="A74" t="str">
            <v>OE.02.03.06.01</v>
          </cell>
        </row>
        <row r="75">
          <cell r="A75" t="str">
            <v>OE.02.03.06.02</v>
          </cell>
        </row>
        <row r="76">
          <cell r="A76" t="str">
            <v>OE.02.03.06.03</v>
          </cell>
        </row>
        <row r="77">
          <cell r="A77" t="str">
            <v>OE.02.03.07</v>
          </cell>
        </row>
        <row r="78">
          <cell r="A78" t="str">
            <v>OE.02.03.07.01</v>
          </cell>
        </row>
        <row r="79">
          <cell r="A79" t="str">
            <v>OE.02.03.07.02</v>
          </cell>
        </row>
        <row r="80">
          <cell r="A80" t="str">
            <v>OE.02.03.07.03</v>
          </cell>
        </row>
        <row r="81">
          <cell r="A81" t="str">
            <v>OE.02.03.08</v>
          </cell>
        </row>
        <row r="82">
          <cell r="A82" t="str">
            <v>OE.02.03.08.01</v>
          </cell>
        </row>
        <row r="83">
          <cell r="A83" t="str">
            <v>OE.02.03.08.02</v>
          </cell>
        </row>
        <row r="84">
          <cell r="A84" t="str">
            <v>OE.02.03.08.03</v>
          </cell>
        </row>
        <row r="85">
          <cell r="A85" t="str">
            <v>OE.02.03.09</v>
          </cell>
        </row>
        <row r="86">
          <cell r="A86" t="str">
            <v>OE.02.03.09.01</v>
          </cell>
        </row>
        <row r="87">
          <cell r="A87" t="str">
            <v>OE.02.03.09.02</v>
          </cell>
        </row>
        <row r="88">
          <cell r="A88" t="str">
            <v>OE.02.03.09.03</v>
          </cell>
        </row>
        <row r="89">
          <cell r="A89" t="str">
            <v>OE.02.03.10</v>
          </cell>
        </row>
        <row r="90">
          <cell r="A90" t="str">
            <v>OE.02.03.10.01</v>
          </cell>
        </row>
        <row r="91">
          <cell r="A91" t="str">
            <v>OE.02.03.10.02</v>
          </cell>
        </row>
        <row r="92">
          <cell r="A92" t="str">
            <v>OE.02.03.10.03</v>
          </cell>
        </row>
        <row r="93">
          <cell r="A93" t="str">
            <v>OE.02.03.10.04</v>
          </cell>
        </row>
        <row r="94">
          <cell r="A94" t="str">
            <v>OE.02.03.11</v>
          </cell>
        </row>
        <row r="95">
          <cell r="A95" t="str">
            <v>OE.02.03.11.01</v>
          </cell>
        </row>
        <row r="96">
          <cell r="A96" t="str">
            <v>OE.02.03.11.02</v>
          </cell>
        </row>
        <row r="97">
          <cell r="A97" t="str">
            <v>OE.02.03.11.03</v>
          </cell>
        </row>
        <row r="98">
          <cell r="A98" t="str">
            <v>OE.02.03.11.04</v>
          </cell>
        </row>
        <row r="99">
          <cell r="A99" t="str">
            <v>OE.02.03.12</v>
          </cell>
        </row>
        <row r="100">
          <cell r="A100" t="str">
            <v>OE.02.03.12.01</v>
          </cell>
        </row>
        <row r="101">
          <cell r="A101" t="str">
            <v>OE.02.03.12.02</v>
          </cell>
        </row>
        <row r="102">
          <cell r="A102" t="str">
            <v>OE.02.03.12.03</v>
          </cell>
        </row>
        <row r="103">
          <cell r="A103" t="str">
            <v>OE.02.03.12.04</v>
          </cell>
        </row>
        <row r="104">
          <cell r="A104" t="str">
            <v>OE.02.03.13</v>
          </cell>
        </row>
        <row r="105">
          <cell r="A105" t="str">
            <v>OE.02.03.13.01</v>
          </cell>
        </row>
        <row r="106">
          <cell r="A106" t="str">
            <v>OE.02.03.13.02</v>
          </cell>
        </row>
        <row r="107">
          <cell r="A107" t="str">
            <v>OE.02.03.13.03</v>
          </cell>
        </row>
        <row r="108">
          <cell r="A108" t="str">
            <v>OE.02.03.13.04</v>
          </cell>
        </row>
        <row r="109">
          <cell r="A109" t="str">
            <v>OE.02.03.14</v>
          </cell>
        </row>
        <row r="110">
          <cell r="A110" t="str">
            <v>OE.02.03.14.01</v>
          </cell>
        </row>
        <row r="111">
          <cell r="A111" t="str">
            <v>OE.02.03.14.02</v>
          </cell>
        </row>
        <row r="112">
          <cell r="A112" t="str">
            <v>OE.02.03.14.03</v>
          </cell>
        </row>
        <row r="113">
          <cell r="A113" t="str">
            <v>OE.02.03.14.04</v>
          </cell>
        </row>
        <row r="114">
          <cell r="A114" t="str">
            <v>OE.02.03.15</v>
          </cell>
        </row>
        <row r="115">
          <cell r="A115" t="str">
            <v>OE.02.03.15.01</v>
          </cell>
        </row>
        <row r="116">
          <cell r="A116" t="str">
            <v>OE.02.03.15.02</v>
          </cell>
        </row>
        <row r="117">
          <cell r="A117" t="str">
            <v>OE.02.03.15.03</v>
          </cell>
        </row>
        <row r="118">
          <cell r="A118" t="str">
            <v>OE.02.03.15.04</v>
          </cell>
        </row>
        <row r="119">
          <cell r="A119" t="str">
            <v>OE.02.03.16</v>
          </cell>
        </row>
        <row r="120">
          <cell r="A120" t="str">
            <v>OE.02.03.16.01</v>
          </cell>
        </row>
        <row r="121">
          <cell r="A121" t="str">
            <v>OE.02.03.16.02</v>
          </cell>
        </row>
        <row r="122">
          <cell r="A122" t="str">
            <v>OE.02.03.16.03</v>
          </cell>
        </row>
        <row r="123">
          <cell r="A123" t="str">
            <v>OE.02.03.17</v>
          </cell>
        </row>
        <row r="124">
          <cell r="A124" t="str">
            <v>OE.02.03.17.01</v>
          </cell>
        </row>
        <row r="125">
          <cell r="A125" t="str">
            <v>OE.02.03.17.02</v>
          </cell>
        </row>
        <row r="126">
          <cell r="A126" t="str">
            <v>OE.02.03.17.03</v>
          </cell>
        </row>
        <row r="127">
          <cell r="A127" t="str">
            <v>OE.02.03.18</v>
          </cell>
        </row>
        <row r="128">
          <cell r="A128" t="str">
            <v>OE.02.03.18.01</v>
          </cell>
        </row>
        <row r="129">
          <cell r="A129" t="str">
            <v>OE.02.03.18.02</v>
          </cell>
        </row>
        <row r="130">
          <cell r="A130" t="str">
            <v>OE.02.03.18.03</v>
          </cell>
        </row>
        <row r="131">
          <cell r="A131" t="str">
            <v>OE.02.03.19</v>
          </cell>
        </row>
        <row r="132">
          <cell r="A132" t="str">
            <v>OE.02.03.19.01</v>
          </cell>
        </row>
        <row r="133">
          <cell r="A133" t="str">
            <v>OE.02.03.19.02</v>
          </cell>
        </row>
        <row r="134">
          <cell r="A134" t="str">
            <v>OE.02.03.19.03</v>
          </cell>
        </row>
        <row r="135">
          <cell r="A135" t="str">
            <v>OE.02.03.20</v>
          </cell>
        </row>
        <row r="136">
          <cell r="A136" t="str">
            <v>OE.02.03.20.01</v>
          </cell>
        </row>
        <row r="137">
          <cell r="A137" t="str">
            <v>OE.02.03.20.02</v>
          </cell>
        </row>
        <row r="138">
          <cell r="A138" t="str">
            <v>OE.02.03.20.03</v>
          </cell>
        </row>
        <row r="139">
          <cell r="A139" t="str">
            <v>OE.02.03.20.04</v>
          </cell>
        </row>
        <row r="140">
          <cell r="A140" t="str">
            <v>OE.02.03.20.05</v>
          </cell>
        </row>
        <row r="141">
          <cell r="A141" t="str">
            <v>OE.02.03.21</v>
          </cell>
        </row>
        <row r="142">
          <cell r="A142" t="str">
            <v>OE.02.03.21.01</v>
          </cell>
        </row>
        <row r="143">
          <cell r="A143" t="str">
            <v>OE.02.03.21.01.01</v>
          </cell>
        </row>
        <row r="144">
          <cell r="A144" t="str">
            <v>OE.02.03.21.01.02</v>
          </cell>
        </row>
        <row r="145">
          <cell r="A145" t="str">
            <v>OE.02.03.21.01.03</v>
          </cell>
        </row>
        <row r="146">
          <cell r="A146" t="str">
            <v>OE.02.03.21.01.04</v>
          </cell>
        </row>
        <row r="147">
          <cell r="A147" t="str">
            <v>OE.02.03.21.02</v>
          </cell>
        </row>
        <row r="148">
          <cell r="A148" t="str">
            <v>OE.02.03.21.02.01</v>
          </cell>
        </row>
        <row r="149">
          <cell r="A149" t="str">
            <v>OE.02.03.21.02.02</v>
          </cell>
        </row>
        <row r="150">
          <cell r="A150" t="str">
            <v>OE.02.03.21.02.03</v>
          </cell>
        </row>
        <row r="151">
          <cell r="A151" t="str">
            <v>OE.02.03.22</v>
          </cell>
        </row>
        <row r="152">
          <cell r="A152" t="str">
            <v>OE.02.03.22.01</v>
          </cell>
        </row>
        <row r="153">
          <cell r="A153" t="str">
            <v>OE.02.03.22.01.01</v>
          </cell>
        </row>
        <row r="154">
          <cell r="A154" t="str">
            <v>OE.02.03.22.01.02</v>
          </cell>
        </row>
        <row r="155">
          <cell r="A155" t="str">
            <v>OE.02.03.22.01.03</v>
          </cell>
        </row>
        <row r="156">
          <cell r="A156" t="str">
            <v>OE.02.03.22.01.04</v>
          </cell>
        </row>
        <row r="157">
          <cell r="A157" t="str">
            <v>OE.02.03.22.02</v>
          </cell>
        </row>
        <row r="158">
          <cell r="A158" t="str">
            <v>OE.02.03.22.02.01</v>
          </cell>
        </row>
        <row r="159">
          <cell r="A159" t="str">
            <v>OE.02.03.22.02.02</v>
          </cell>
        </row>
        <row r="160">
          <cell r="A160" t="str">
            <v>OE.02.03.22.02.03</v>
          </cell>
        </row>
        <row r="161">
          <cell r="A161" t="str">
            <v>OE.02.03.23</v>
          </cell>
        </row>
        <row r="162">
          <cell r="A162" t="str">
            <v>OE.02.03.23.01</v>
          </cell>
        </row>
        <row r="163">
          <cell r="A163" t="str">
            <v>OE.02.04</v>
          </cell>
        </row>
        <row r="164">
          <cell r="A164" t="str">
            <v>OE.02.04.01</v>
          </cell>
        </row>
        <row r="165">
          <cell r="A165" t="str">
            <v>OE.02.04.01.01</v>
          </cell>
        </row>
        <row r="166">
          <cell r="A166" t="str">
            <v>OE.02.04.01.02</v>
          </cell>
        </row>
        <row r="167">
          <cell r="A167" t="str">
            <v>OE.02.04.01.03</v>
          </cell>
        </row>
        <row r="168">
          <cell r="A168" t="str">
            <v>OE.02.04.01.04</v>
          </cell>
        </row>
        <row r="169">
          <cell r="A169" t="str">
            <v>OE.02.04.02</v>
          </cell>
        </row>
        <row r="170">
          <cell r="A170" t="str">
            <v>OE.02.04.02.01</v>
          </cell>
        </row>
        <row r="171">
          <cell r="A171" t="str">
            <v>OE.02.04.02.02</v>
          </cell>
        </row>
        <row r="172">
          <cell r="A172" t="str">
            <v>OE.02.04.02.03</v>
          </cell>
        </row>
        <row r="173">
          <cell r="A173" t="str">
            <v>OE.02.04.02.04</v>
          </cell>
        </row>
        <row r="174">
          <cell r="A174" t="str">
            <v>OE.02.04.02.05</v>
          </cell>
        </row>
        <row r="175">
          <cell r="A175" t="str">
            <v>OE.02.04.02.06</v>
          </cell>
        </row>
        <row r="176">
          <cell r="A176" t="str">
            <v>OE.02.04.03</v>
          </cell>
        </row>
        <row r="177">
          <cell r="A177" t="str">
            <v>OE.02.04.03.01</v>
          </cell>
        </row>
        <row r="178">
          <cell r="A178" t="str">
            <v>OE.02.04.03.02</v>
          </cell>
        </row>
        <row r="179">
          <cell r="A179" t="str">
            <v>OE.02.04.03.03</v>
          </cell>
        </row>
        <row r="180">
          <cell r="A180" t="str">
            <v>OE.02.04.03.04</v>
          </cell>
        </row>
        <row r="181">
          <cell r="A181" t="str">
            <v>OE.02.04.03.05</v>
          </cell>
        </row>
        <row r="182">
          <cell r="A182" t="str">
            <v>OE.02.04.03.06</v>
          </cell>
        </row>
        <row r="183">
          <cell r="A183" t="str">
            <v>OE.02.04.03.07</v>
          </cell>
        </row>
        <row r="184">
          <cell r="A184" t="str">
            <v>OE.02.04.03.08</v>
          </cell>
        </row>
        <row r="185">
          <cell r="A185" t="str">
            <v>OE.02.04.04</v>
          </cell>
        </row>
        <row r="186">
          <cell r="A186" t="str">
            <v>OE.02.04.04.01</v>
          </cell>
        </row>
        <row r="187">
          <cell r="A187" t="str">
            <v>OE.02.04.04.02</v>
          </cell>
        </row>
        <row r="188">
          <cell r="A188" t="str">
            <v>OE.02.04.04.03</v>
          </cell>
        </row>
        <row r="189">
          <cell r="A189" t="str">
            <v>OE.02.04.04.04</v>
          </cell>
        </row>
        <row r="190">
          <cell r="A190" t="str">
            <v>OE.02.04.04.05</v>
          </cell>
        </row>
        <row r="191">
          <cell r="A191" t="str">
            <v>OE.02.04.04.06</v>
          </cell>
        </row>
        <row r="192">
          <cell r="A192" t="str">
            <v>OE.02.04.04.07</v>
          </cell>
        </row>
        <row r="193">
          <cell r="A193" t="str">
            <v>OE.02.04.04.08</v>
          </cell>
        </row>
        <row r="194">
          <cell r="A194" t="str">
            <v>OE.02.04.05</v>
          </cell>
        </row>
        <row r="195">
          <cell r="A195" t="str">
            <v>OE.02.04.05.01</v>
          </cell>
        </row>
        <row r="196">
          <cell r="A196" t="str">
            <v>OE.02.04.05.02</v>
          </cell>
        </row>
        <row r="197">
          <cell r="A197" t="str">
            <v>OE.02.04.05.03</v>
          </cell>
        </row>
        <row r="198">
          <cell r="A198" t="str">
            <v>OE.02.05</v>
          </cell>
        </row>
        <row r="199">
          <cell r="A199" t="str">
            <v>OE.02.05.01</v>
          </cell>
        </row>
        <row r="200">
          <cell r="A200" t="str">
            <v>OE.02.05.02</v>
          </cell>
        </row>
        <row r="201">
          <cell r="A201" t="str">
            <v>OE.02.05.03</v>
          </cell>
        </row>
        <row r="202">
          <cell r="A202" t="str">
            <v>OE.02.05.04</v>
          </cell>
        </row>
        <row r="203">
          <cell r="A203" t="str">
            <v>OE.02.05.05</v>
          </cell>
        </row>
      </sheetData>
      <sheetData sheetId="14"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OE.2 ES-COB"/>
      <sheetName val="Viga Conexion"/>
      <sheetName val="Columnas "/>
      <sheetName val="Placas"/>
      <sheetName val="Vigas "/>
      <sheetName val="Losa 30cm"/>
      <sheetName val="Losa 17cm"/>
      <sheetName val="Losa Incli."/>
      <sheetName val="DATOS"/>
      <sheetName val="NTM"/>
      <sheetName val="Hoja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
      <sheetName val="R OP"/>
      <sheetName val="E"/>
      <sheetName val="R E"/>
      <sheetName val="A"/>
      <sheetName val="R A"/>
      <sheetName val="IS"/>
      <sheetName val="R IS"/>
      <sheetName val="IE"/>
      <sheetName val="R IE"/>
      <sheetName val="AD"/>
      <sheetName val="RAD"/>
      <sheetName val="(FF-01) "/>
      <sheetName val="(FF-02)"/>
      <sheetName val="(FF-03)"/>
      <sheetName val="R VAL"/>
      <sheetName val="CURVA S"/>
      <sheetName val="RESUMEN  CRONOGRAMA FINANCIERO"/>
      <sheetName val="FF-15"/>
    </sheetNames>
    <sheetDataSet>
      <sheetData sheetId="0"/>
      <sheetData sheetId="1"/>
      <sheetData sheetId="2"/>
      <sheetData sheetId="3"/>
      <sheetData sheetId="4"/>
      <sheetData sheetId="5"/>
      <sheetData sheetId="6"/>
      <sheetData sheetId="7"/>
      <sheetData sheetId="8"/>
      <sheetData sheetId="9">
        <row r="17">
          <cell r="C17" t="str">
            <v>22</v>
          </cell>
        </row>
      </sheetData>
      <sheetData sheetId="10"/>
      <sheetData sheetId="11"/>
      <sheetData sheetId="12"/>
      <sheetData sheetId="13"/>
      <sheetData sheetId="14">
        <row r="20">
          <cell r="A20" t="str">
            <v>01</v>
          </cell>
          <cell r="B20" t="str">
            <v>OBRAS PROVISIONALES, TRABAJOS PRELIMINARES, SEGURIDAD Y SALUD</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row>
        <row r="21">
          <cell r="A21" t="str">
            <v>01.01</v>
          </cell>
          <cell r="B21" t="str">
            <v>OBRAS PROVISIONALES Y TRABAJOS PRELIMINARES</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row>
        <row r="22">
          <cell r="A22" t="str">
            <v>01.01.01</v>
          </cell>
          <cell r="B22" t="str">
            <v>CONSTRUCCIONES PROVISIONALES</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row>
        <row r="23">
          <cell r="A23" t="str">
            <v>01.01.01.01</v>
          </cell>
          <cell r="B23" t="str">
            <v>CONSTRUCCION OFICINAS TÉCNICAS Y ALMACÉN</v>
          </cell>
          <cell r="C23" t="str">
            <v>m2</v>
          </cell>
          <cell r="D23">
            <v>75</v>
          </cell>
          <cell r="E23">
            <v>127.86</v>
          </cell>
          <cell r="F23">
            <v>9589.5</v>
          </cell>
          <cell r="G23">
            <v>75</v>
          </cell>
          <cell r="H23">
            <v>9589.5</v>
          </cell>
          <cell r="I23">
            <v>1</v>
          </cell>
          <cell r="J23">
            <v>0</v>
          </cell>
          <cell r="K23">
            <v>0</v>
          </cell>
          <cell r="L23" t="str">
            <v>0.00%</v>
          </cell>
          <cell r="M23">
            <v>75</v>
          </cell>
          <cell r="N23">
            <v>9589.5</v>
          </cell>
          <cell r="O23">
            <v>1</v>
          </cell>
          <cell r="P23">
            <v>0</v>
          </cell>
          <cell r="Q23">
            <v>0</v>
          </cell>
          <cell r="R23" t="str">
            <v>0.00%</v>
          </cell>
        </row>
        <row r="24">
          <cell r="A24" t="str">
            <v>01.01.01.02</v>
          </cell>
          <cell r="B24" t="str">
            <v>CASETA DE GUARDIANIA</v>
          </cell>
          <cell r="C24" t="str">
            <v>m2</v>
          </cell>
          <cell r="D24">
            <v>10</v>
          </cell>
          <cell r="E24">
            <v>127.86</v>
          </cell>
          <cell r="F24">
            <v>1278.5999999999999</v>
          </cell>
          <cell r="G24">
            <v>10</v>
          </cell>
          <cell r="H24">
            <v>1278.5999999999999</v>
          </cell>
          <cell r="I24">
            <v>1</v>
          </cell>
          <cell r="J24">
            <v>0</v>
          </cell>
          <cell r="K24">
            <v>0</v>
          </cell>
          <cell r="L24" t="str">
            <v>0.00%</v>
          </cell>
          <cell r="M24">
            <v>10</v>
          </cell>
          <cell r="N24">
            <v>1278.5999999999999</v>
          </cell>
          <cell r="O24">
            <v>1</v>
          </cell>
          <cell r="P24">
            <v>0</v>
          </cell>
          <cell r="Q24">
            <v>0</v>
          </cell>
          <cell r="R24" t="str">
            <v>0.00%</v>
          </cell>
        </row>
        <row r="25">
          <cell r="A25" t="str">
            <v>01.01.01.03</v>
          </cell>
          <cell r="B25" t="str">
            <v>SERVICIOS HIGIENICOS - VESTIDOR</v>
          </cell>
          <cell r="C25" t="str">
            <v>GLB</v>
          </cell>
          <cell r="D25">
            <v>1</v>
          </cell>
          <cell r="E25">
            <v>1416</v>
          </cell>
          <cell r="F25">
            <v>1416</v>
          </cell>
          <cell r="G25">
            <v>1</v>
          </cell>
          <cell r="H25">
            <v>1416</v>
          </cell>
          <cell r="I25">
            <v>1</v>
          </cell>
          <cell r="J25">
            <v>0</v>
          </cell>
          <cell r="K25">
            <v>0</v>
          </cell>
          <cell r="L25" t="str">
            <v>0.00%</v>
          </cell>
          <cell r="M25">
            <v>1</v>
          </cell>
          <cell r="N25">
            <v>1416</v>
          </cell>
          <cell r="O25">
            <v>1</v>
          </cell>
          <cell r="P25">
            <v>0</v>
          </cell>
          <cell r="Q25">
            <v>0</v>
          </cell>
          <cell r="R25" t="str">
            <v>0.00%</v>
          </cell>
        </row>
        <row r="26">
          <cell r="A26" t="str">
            <v>01.01.01.04</v>
          </cell>
          <cell r="B26" t="str">
            <v>CERCO PROVISIONAL CON ARPILLERA Y ROLLIZOS DE EUCALIPTO</v>
          </cell>
          <cell r="C26" t="str">
            <v>m</v>
          </cell>
          <cell r="D26">
            <v>174.71</v>
          </cell>
          <cell r="E26">
            <v>19.41</v>
          </cell>
          <cell r="F26">
            <v>3391.1211000000003</v>
          </cell>
          <cell r="G26">
            <v>174.71</v>
          </cell>
          <cell r="H26">
            <v>3391.1211000000003</v>
          </cell>
          <cell r="I26">
            <v>1</v>
          </cell>
          <cell r="J26">
            <v>0</v>
          </cell>
          <cell r="K26">
            <v>0</v>
          </cell>
          <cell r="L26" t="str">
            <v>0.00%</v>
          </cell>
          <cell r="M26">
            <v>174.71</v>
          </cell>
          <cell r="N26">
            <v>3391.1211000000003</v>
          </cell>
          <cell r="O26">
            <v>1</v>
          </cell>
          <cell r="P26">
            <v>0</v>
          </cell>
          <cell r="Q26">
            <v>0</v>
          </cell>
          <cell r="R26" t="str">
            <v>0.00%</v>
          </cell>
        </row>
        <row r="27">
          <cell r="A27" t="str">
            <v>01.01.01.05</v>
          </cell>
          <cell r="B27" t="str">
            <v>CARTEL DE IDENTIFICACION DE LA OBRA DE 5.40M X 4.20M.</v>
          </cell>
          <cell r="C27" t="str">
            <v>und</v>
          </cell>
          <cell r="D27">
            <v>1</v>
          </cell>
          <cell r="E27">
            <v>1416</v>
          </cell>
          <cell r="F27">
            <v>1416</v>
          </cell>
          <cell r="G27">
            <v>1</v>
          </cell>
          <cell r="H27">
            <v>1416</v>
          </cell>
          <cell r="I27">
            <v>1</v>
          </cell>
          <cell r="J27">
            <v>0</v>
          </cell>
          <cell r="K27">
            <v>0</v>
          </cell>
          <cell r="L27" t="str">
            <v>0.00%</v>
          </cell>
          <cell r="M27">
            <v>1</v>
          </cell>
          <cell r="N27">
            <v>1416</v>
          </cell>
          <cell r="O27">
            <v>1</v>
          </cell>
          <cell r="P27">
            <v>0</v>
          </cell>
          <cell r="Q27">
            <v>0</v>
          </cell>
          <cell r="R27" t="str">
            <v>0.00%</v>
          </cell>
        </row>
        <row r="28">
          <cell r="A28" t="str">
            <v>01.01.02</v>
          </cell>
          <cell r="B28" t="str">
            <v>INSTALACIONES PROVISIONALES</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row>
        <row r="29">
          <cell r="A29" t="str">
            <v>01.01.02.01</v>
          </cell>
          <cell r="B29" t="str">
            <v>INSTALACION PROVISIONAL DE AGUA</v>
          </cell>
          <cell r="C29" t="str">
            <v>GLB</v>
          </cell>
          <cell r="D29">
            <v>1</v>
          </cell>
          <cell r="E29">
            <v>1847.53</v>
          </cell>
          <cell r="F29">
            <v>1847.53</v>
          </cell>
          <cell r="G29">
            <v>1</v>
          </cell>
          <cell r="H29">
            <v>1847.53</v>
          </cell>
          <cell r="I29">
            <v>1</v>
          </cell>
          <cell r="J29">
            <v>0</v>
          </cell>
          <cell r="K29">
            <v>0</v>
          </cell>
          <cell r="L29" t="str">
            <v>0.00%</v>
          </cell>
          <cell r="M29">
            <v>1</v>
          </cell>
          <cell r="N29">
            <v>1847.53</v>
          </cell>
          <cell r="O29">
            <v>1</v>
          </cell>
          <cell r="P29">
            <v>0</v>
          </cell>
          <cell r="Q29">
            <v>0</v>
          </cell>
          <cell r="R29" t="str">
            <v>0.00%</v>
          </cell>
        </row>
        <row r="30">
          <cell r="A30" t="str">
            <v>01.01.02.02</v>
          </cell>
          <cell r="B30" t="str">
            <v>INSTALACION PROVISIONAL DE DESAGUE PARA LA CONSTRUCION</v>
          </cell>
          <cell r="C30" t="str">
            <v>GLB</v>
          </cell>
          <cell r="D30">
            <v>1</v>
          </cell>
          <cell r="E30">
            <v>1847.53</v>
          </cell>
          <cell r="F30">
            <v>1847.53</v>
          </cell>
          <cell r="G30">
            <v>1</v>
          </cell>
          <cell r="H30">
            <v>1847.53</v>
          </cell>
          <cell r="I30">
            <v>1</v>
          </cell>
          <cell r="J30">
            <v>0</v>
          </cell>
          <cell r="K30">
            <v>0</v>
          </cell>
          <cell r="L30" t="str">
            <v>0.00%</v>
          </cell>
          <cell r="M30">
            <v>1</v>
          </cell>
          <cell r="N30">
            <v>1847.53</v>
          </cell>
          <cell r="O30">
            <v>1</v>
          </cell>
          <cell r="P30">
            <v>0</v>
          </cell>
          <cell r="Q30">
            <v>0</v>
          </cell>
          <cell r="R30" t="str">
            <v>0.00%</v>
          </cell>
        </row>
        <row r="31">
          <cell r="A31" t="str">
            <v>01.01.02.03</v>
          </cell>
          <cell r="B31" t="str">
            <v>INSTALACION PROVISIONAL DE ELECTRICIDAD</v>
          </cell>
          <cell r="C31" t="str">
            <v>GLB</v>
          </cell>
          <cell r="D31">
            <v>1</v>
          </cell>
          <cell r="E31">
            <v>1847.53</v>
          </cell>
          <cell r="F31">
            <v>1847.53</v>
          </cell>
          <cell r="G31">
            <v>1</v>
          </cell>
          <cell r="H31">
            <v>1847.53</v>
          </cell>
          <cell r="I31">
            <v>1</v>
          </cell>
          <cell r="J31">
            <v>0</v>
          </cell>
          <cell r="K31">
            <v>0</v>
          </cell>
          <cell r="L31" t="str">
            <v>0.00%</v>
          </cell>
          <cell r="M31">
            <v>1</v>
          </cell>
          <cell r="N31">
            <v>1847.53</v>
          </cell>
          <cell r="O31">
            <v>1</v>
          </cell>
          <cell r="P31">
            <v>0</v>
          </cell>
          <cell r="Q31">
            <v>0</v>
          </cell>
          <cell r="R31" t="str">
            <v>0.00%</v>
          </cell>
        </row>
        <row r="32">
          <cell r="A32" t="str">
            <v>01.01.03</v>
          </cell>
          <cell r="B32" t="str">
            <v>MOVILIZACION DE MAQUINARIA</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row>
        <row r="33">
          <cell r="A33" t="str">
            <v>01.01.03.01</v>
          </cell>
          <cell r="B33" t="str">
            <v>MOVILIZACION  Y DESMOVILIZACION DE EQUIPO</v>
          </cell>
          <cell r="C33" t="str">
            <v>GLB</v>
          </cell>
          <cell r="D33">
            <v>1</v>
          </cell>
          <cell r="E33">
            <v>2580</v>
          </cell>
          <cell r="F33">
            <v>2580</v>
          </cell>
          <cell r="G33">
            <v>0.5</v>
          </cell>
          <cell r="H33">
            <v>1290</v>
          </cell>
          <cell r="I33">
            <v>0.5</v>
          </cell>
          <cell r="J33">
            <v>0</v>
          </cell>
          <cell r="K33">
            <v>0</v>
          </cell>
          <cell r="L33" t="str">
            <v>0.00%</v>
          </cell>
          <cell r="M33">
            <v>0.5</v>
          </cell>
          <cell r="N33">
            <v>1290</v>
          </cell>
          <cell r="O33">
            <v>0.5</v>
          </cell>
          <cell r="P33">
            <v>0.5</v>
          </cell>
          <cell r="Q33">
            <v>1290</v>
          </cell>
          <cell r="R33">
            <v>0.5</v>
          </cell>
        </row>
        <row r="34">
          <cell r="A34" t="str">
            <v>01.01.04</v>
          </cell>
          <cell r="B34" t="str">
            <v>TRABAJOS PRELIMINARES</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row>
        <row r="35">
          <cell r="A35" t="str">
            <v>01.01.04.01</v>
          </cell>
          <cell r="B35" t="str">
            <v>LIMPIEZA DE TERRENO MANUAL</v>
          </cell>
          <cell r="C35" t="str">
            <v>m2</v>
          </cell>
          <cell r="D35">
            <v>1850.48</v>
          </cell>
          <cell r="E35">
            <v>1.0900000000000001</v>
          </cell>
          <cell r="F35">
            <v>2017.0232000000001</v>
          </cell>
          <cell r="G35">
            <v>1850.48</v>
          </cell>
          <cell r="H35">
            <v>2017.0232000000001</v>
          </cell>
          <cell r="I35">
            <v>1</v>
          </cell>
          <cell r="J35">
            <v>0</v>
          </cell>
          <cell r="K35">
            <v>0</v>
          </cell>
          <cell r="L35" t="str">
            <v>0.00%</v>
          </cell>
          <cell r="M35">
            <v>1850.48</v>
          </cell>
          <cell r="N35">
            <v>2017.0232000000001</v>
          </cell>
          <cell r="O35">
            <v>1</v>
          </cell>
          <cell r="P35">
            <v>0</v>
          </cell>
          <cell r="Q35">
            <v>0</v>
          </cell>
          <cell r="R35" t="str">
            <v>0.00%</v>
          </cell>
        </row>
        <row r="36">
          <cell r="A36" t="str">
            <v>01.01.05</v>
          </cell>
          <cell r="B36" t="str">
            <v>DESMONTAJE</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row>
        <row r="37">
          <cell r="A37" t="str">
            <v>01.01.05.01</v>
          </cell>
          <cell r="B37" t="str">
            <v>DESMONTAJE DE COBERTURA DE CALAMINA</v>
          </cell>
          <cell r="C37" t="str">
            <v>m2</v>
          </cell>
          <cell r="D37">
            <v>332.82</v>
          </cell>
          <cell r="E37">
            <v>11.4</v>
          </cell>
          <cell r="F37">
            <v>3794.1480000000001</v>
          </cell>
          <cell r="G37">
            <v>332.82</v>
          </cell>
          <cell r="H37">
            <v>3794.1480000000001</v>
          </cell>
          <cell r="I37">
            <v>1</v>
          </cell>
          <cell r="J37">
            <v>0</v>
          </cell>
          <cell r="K37">
            <v>0</v>
          </cell>
          <cell r="L37" t="str">
            <v>0.00%</v>
          </cell>
          <cell r="M37">
            <v>332.82</v>
          </cell>
          <cell r="N37">
            <v>3794.1480000000001</v>
          </cell>
          <cell r="O37">
            <v>1</v>
          </cell>
          <cell r="P37">
            <v>0</v>
          </cell>
          <cell r="Q37">
            <v>0</v>
          </cell>
          <cell r="R37" t="str">
            <v>0.00%</v>
          </cell>
        </row>
        <row r="38">
          <cell r="A38" t="str">
            <v>01.01.05.02</v>
          </cell>
          <cell r="B38" t="str">
            <v>DESMONTAJE DE TIJERALES DE MADERA</v>
          </cell>
          <cell r="C38" t="str">
            <v>und</v>
          </cell>
          <cell r="D38">
            <v>58</v>
          </cell>
          <cell r="E38">
            <v>22.8</v>
          </cell>
          <cell r="F38">
            <v>1322.4</v>
          </cell>
          <cell r="G38">
            <v>58</v>
          </cell>
          <cell r="H38">
            <v>1322.4</v>
          </cell>
          <cell r="I38">
            <v>1</v>
          </cell>
          <cell r="J38">
            <v>0</v>
          </cell>
          <cell r="K38">
            <v>0</v>
          </cell>
          <cell r="L38" t="str">
            <v>0.00%</v>
          </cell>
          <cell r="M38">
            <v>58</v>
          </cell>
          <cell r="N38">
            <v>1322.4</v>
          </cell>
          <cell r="O38">
            <v>1</v>
          </cell>
          <cell r="P38">
            <v>0</v>
          </cell>
          <cell r="Q38">
            <v>0</v>
          </cell>
          <cell r="R38" t="str">
            <v>0.00%</v>
          </cell>
        </row>
        <row r="39">
          <cell r="A39" t="str">
            <v>01.01.05.03</v>
          </cell>
          <cell r="B39" t="str">
            <v>DESMONTAJE DE CORREAS DE MADERA</v>
          </cell>
          <cell r="C39" t="str">
            <v>m</v>
          </cell>
          <cell r="D39">
            <v>1156.4000000000001</v>
          </cell>
          <cell r="E39">
            <v>1.9</v>
          </cell>
          <cell r="F39">
            <v>2197.16</v>
          </cell>
          <cell r="G39">
            <v>1156.4000000000001</v>
          </cell>
          <cell r="H39">
            <v>2197.16</v>
          </cell>
          <cell r="I39">
            <v>1</v>
          </cell>
          <cell r="J39">
            <v>0</v>
          </cell>
          <cell r="K39">
            <v>0</v>
          </cell>
          <cell r="L39" t="str">
            <v>0.00%</v>
          </cell>
          <cell r="M39">
            <v>1156.4000000000001</v>
          </cell>
          <cell r="N39">
            <v>2197.16</v>
          </cell>
          <cell r="O39">
            <v>1</v>
          </cell>
          <cell r="P39">
            <v>0</v>
          </cell>
          <cell r="Q39">
            <v>0</v>
          </cell>
          <cell r="R39" t="str">
            <v>0.00%</v>
          </cell>
        </row>
        <row r="40">
          <cell r="A40" t="str">
            <v>01.01.05.04</v>
          </cell>
          <cell r="B40" t="str">
            <v>DESMONTAJE DE PUERTAS</v>
          </cell>
          <cell r="C40" t="str">
            <v>und</v>
          </cell>
          <cell r="D40">
            <v>53</v>
          </cell>
          <cell r="E40">
            <v>38.020499999999998</v>
          </cell>
          <cell r="F40">
            <v>2015.0864999999999</v>
          </cell>
          <cell r="G40">
            <v>53</v>
          </cell>
          <cell r="H40">
            <v>2015.0864999999999</v>
          </cell>
          <cell r="I40">
            <v>1</v>
          </cell>
          <cell r="J40">
            <v>0</v>
          </cell>
          <cell r="K40">
            <v>0</v>
          </cell>
          <cell r="L40" t="str">
            <v>0.00%</v>
          </cell>
          <cell r="M40">
            <v>53</v>
          </cell>
          <cell r="N40">
            <v>2015.0864999999999</v>
          </cell>
          <cell r="O40">
            <v>1</v>
          </cell>
          <cell r="P40">
            <v>0</v>
          </cell>
          <cell r="Q40">
            <v>0</v>
          </cell>
          <cell r="R40" t="str">
            <v>0.00%</v>
          </cell>
        </row>
        <row r="41">
          <cell r="A41" t="str">
            <v>01.01.05.05</v>
          </cell>
          <cell r="B41" t="str">
            <v>DESMONTAJE DE VENTANAS METALICAS</v>
          </cell>
          <cell r="C41" t="str">
            <v>und</v>
          </cell>
          <cell r="D41">
            <v>29</v>
          </cell>
          <cell r="E41">
            <v>22.8</v>
          </cell>
          <cell r="F41">
            <v>661.2</v>
          </cell>
          <cell r="G41">
            <v>29</v>
          </cell>
          <cell r="H41">
            <v>661.2</v>
          </cell>
          <cell r="I41">
            <v>1</v>
          </cell>
          <cell r="J41">
            <v>0</v>
          </cell>
          <cell r="K41">
            <v>0</v>
          </cell>
          <cell r="L41" t="str">
            <v>0.00%</v>
          </cell>
          <cell r="M41">
            <v>29</v>
          </cell>
          <cell r="N41">
            <v>661.2</v>
          </cell>
          <cell r="O41">
            <v>1</v>
          </cell>
          <cell r="P41">
            <v>0</v>
          </cell>
          <cell r="Q41">
            <v>0</v>
          </cell>
          <cell r="R41" t="str">
            <v>0.00%</v>
          </cell>
        </row>
        <row r="42">
          <cell r="A42" t="str">
            <v>01.01.05.06</v>
          </cell>
          <cell r="B42" t="str">
            <v>DESMONTAJE DE VENTANAS DE MADERA</v>
          </cell>
          <cell r="C42" t="str">
            <v>und</v>
          </cell>
          <cell r="D42">
            <v>20</v>
          </cell>
          <cell r="E42">
            <v>5.71</v>
          </cell>
          <cell r="F42">
            <v>114.2</v>
          </cell>
          <cell r="G42">
            <v>20</v>
          </cell>
          <cell r="H42">
            <v>114.2</v>
          </cell>
          <cell r="I42">
            <v>1</v>
          </cell>
          <cell r="J42">
            <v>0</v>
          </cell>
          <cell r="K42">
            <v>0</v>
          </cell>
          <cell r="L42" t="str">
            <v>0.00%</v>
          </cell>
          <cell r="M42">
            <v>20</v>
          </cell>
          <cell r="N42">
            <v>114.2</v>
          </cell>
          <cell r="O42">
            <v>1</v>
          </cell>
          <cell r="P42">
            <v>0</v>
          </cell>
          <cell r="Q42">
            <v>0</v>
          </cell>
          <cell r="R42" t="str">
            <v>0.00%</v>
          </cell>
        </row>
        <row r="43">
          <cell r="A43" t="str">
            <v>01.01.05.07</v>
          </cell>
          <cell r="B43" t="str">
            <v>DESMONTAJE DE APARATOS SANITARIOS</v>
          </cell>
          <cell r="C43" t="str">
            <v>und</v>
          </cell>
          <cell r="D43">
            <v>29</v>
          </cell>
          <cell r="E43">
            <v>38.020000000000003</v>
          </cell>
          <cell r="F43">
            <v>1102.5800000000002</v>
          </cell>
          <cell r="G43">
            <v>29</v>
          </cell>
          <cell r="H43">
            <v>1102.5800000000002</v>
          </cell>
          <cell r="I43">
            <v>1</v>
          </cell>
          <cell r="J43">
            <v>0</v>
          </cell>
          <cell r="K43">
            <v>0</v>
          </cell>
          <cell r="L43" t="str">
            <v>0.00%</v>
          </cell>
          <cell r="M43">
            <v>29</v>
          </cell>
          <cell r="N43">
            <v>1102.5800000000002</v>
          </cell>
          <cell r="O43">
            <v>1</v>
          </cell>
          <cell r="P43">
            <v>0</v>
          </cell>
          <cell r="Q43">
            <v>0</v>
          </cell>
          <cell r="R43" t="str">
            <v>0.00%</v>
          </cell>
        </row>
        <row r="44">
          <cell r="A44" t="str">
            <v>01.01.05.08</v>
          </cell>
          <cell r="B44" t="str">
            <v>DESMONTAJE DE DIVISIONES METALICAS</v>
          </cell>
          <cell r="C44" t="str">
            <v>und</v>
          </cell>
          <cell r="D44">
            <v>6</v>
          </cell>
          <cell r="E44">
            <v>28.51</v>
          </cell>
          <cell r="F44">
            <v>171.06</v>
          </cell>
          <cell r="G44">
            <v>6</v>
          </cell>
          <cell r="H44">
            <v>171.06</v>
          </cell>
          <cell r="I44">
            <v>1</v>
          </cell>
          <cell r="J44">
            <v>0</v>
          </cell>
          <cell r="K44">
            <v>0</v>
          </cell>
          <cell r="L44" t="str">
            <v>0.00%</v>
          </cell>
          <cell r="M44">
            <v>6</v>
          </cell>
          <cell r="N44">
            <v>171.06</v>
          </cell>
          <cell r="O44">
            <v>1</v>
          </cell>
          <cell r="P44">
            <v>0</v>
          </cell>
          <cell r="Q44">
            <v>0</v>
          </cell>
          <cell r="R44" t="str">
            <v>0.00%</v>
          </cell>
        </row>
        <row r="45">
          <cell r="A45" t="str">
            <v>01.01.05.09</v>
          </cell>
          <cell r="B45" t="str">
            <v>DESMONTAJE DE MALLA RASCHEL</v>
          </cell>
          <cell r="C45" t="str">
            <v>m2</v>
          </cell>
          <cell r="D45">
            <v>283.95999999999998</v>
          </cell>
          <cell r="E45">
            <v>0.92</v>
          </cell>
          <cell r="F45">
            <v>261.2432</v>
          </cell>
          <cell r="G45">
            <v>283.95999999999998</v>
          </cell>
          <cell r="H45">
            <v>261.2432</v>
          </cell>
          <cell r="I45">
            <v>1</v>
          </cell>
          <cell r="J45">
            <v>0</v>
          </cell>
          <cell r="K45">
            <v>0</v>
          </cell>
          <cell r="L45" t="str">
            <v>0.00%</v>
          </cell>
          <cell r="M45">
            <v>283.95999999999998</v>
          </cell>
          <cell r="N45">
            <v>261.2432</v>
          </cell>
          <cell r="O45">
            <v>1</v>
          </cell>
          <cell r="P45">
            <v>0</v>
          </cell>
          <cell r="Q45">
            <v>0</v>
          </cell>
          <cell r="R45" t="str">
            <v>0.00%</v>
          </cell>
        </row>
        <row r="46">
          <cell r="A46" t="str">
            <v>01.01.05.10</v>
          </cell>
          <cell r="B46" t="str">
            <v>RETIRO DE ARBOLES</v>
          </cell>
          <cell r="C46" t="str">
            <v>und</v>
          </cell>
          <cell r="D46">
            <v>9</v>
          </cell>
          <cell r="E46">
            <v>11.4</v>
          </cell>
          <cell r="F46">
            <v>102.60000000000001</v>
          </cell>
          <cell r="G46">
            <v>9</v>
          </cell>
          <cell r="H46">
            <v>102.60000000000001</v>
          </cell>
          <cell r="I46">
            <v>1</v>
          </cell>
          <cell r="J46">
            <v>0</v>
          </cell>
          <cell r="K46">
            <v>0</v>
          </cell>
          <cell r="L46" t="str">
            <v>0.00%</v>
          </cell>
          <cell r="M46">
            <v>9</v>
          </cell>
          <cell r="N46">
            <v>102.60000000000001</v>
          </cell>
          <cell r="O46">
            <v>1</v>
          </cell>
          <cell r="P46">
            <v>0</v>
          </cell>
          <cell r="Q46">
            <v>0</v>
          </cell>
          <cell r="R46" t="str">
            <v>0.00%</v>
          </cell>
        </row>
        <row r="47">
          <cell r="A47" t="str">
            <v>01.01.06</v>
          </cell>
          <cell r="B47" t="str">
            <v>DEMOLICIONES</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row>
        <row r="48">
          <cell r="A48" t="str">
            <v>01.01.06.01</v>
          </cell>
          <cell r="B48" t="str">
            <v>DEMOLICION DE VIGAS</v>
          </cell>
          <cell r="C48" t="str">
            <v>m</v>
          </cell>
          <cell r="D48">
            <v>150.86000000000001</v>
          </cell>
          <cell r="E48">
            <v>28.51</v>
          </cell>
          <cell r="F48">
            <v>4301.0186000000003</v>
          </cell>
          <cell r="G48">
            <v>150.86000000000001</v>
          </cell>
          <cell r="H48">
            <v>4301.0186000000003</v>
          </cell>
          <cell r="I48">
            <v>1</v>
          </cell>
          <cell r="J48">
            <v>0</v>
          </cell>
          <cell r="K48">
            <v>0</v>
          </cell>
          <cell r="L48" t="str">
            <v>0.00%</v>
          </cell>
          <cell r="M48">
            <v>150.86000000000001</v>
          </cell>
          <cell r="N48">
            <v>4301.0186000000003</v>
          </cell>
          <cell r="O48">
            <v>1</v>
          </cell>
          <cell r="P48">
            <v>0</v>
          </cell>
          <cell r="Q48">
            <v>0</v>
          </cell>
          <cell r="R48" t="str">
            <v>0.00%</v>
          </cell>
        </row>
        <row r="49">
          <cell r="A49" t="str">
            <v>01.01.06.02</v>
          </cell>
          <cell r="B49" t="str">
            <v>DEMOLICION DE COLUMNA</v>
          </cell>
          <cell r="C49" t="str">
            <v>und</v>
          </cell>
          <cell r="D49">
            <v>48</v>
          </cell>
          <cell r="E49">
            <v>114.04</v>
          </cell>
          <cell r="F49">
            <v>5473.92</v>
          </cell>
          <cell r="G49">
            <v>48</v>
          </cell>
          <cell r="H49">
            <v>5473.92</v>
          </cell>
          <cell r="I49">
            <v>1</v>
          </cell>
          <cell r="J49">
            <v>0</v>
          </cell>
          <cell r="K49">
            <v>0</v>
          </cell>
          <cell r="L49" t="str">
            <v>0.00%</v>
          </cell>
          <cell r="M49">
            <v>48</v>
          </cell>
          <cell r="N49">
            <v>5473.92</v>
          </cell>
          <cell r="O49">
            <v>1</v>
          </cell>
          <cell r="P49">
            <v>0</v>
          </cell>
          <cell r="Q49">
            <v>0</v>
          </cell>
          <cell r="R49" t="str">
            <v>0.00%</v>
          </cell>
        </row>
        <row r="50">
          <cell r="A50" t="str">
            <v>01.01.06.03</v>
          </cell>
          <cell r="B50" t="str">
            <v xml:space="preserve">DEMOLICION DE LOSA ALIGERADA </v>
          </cell>
          <cell r="C50" t="str">
            <v>m2</v>
          </cell>
          <cell r="D50">
            <v>221.08</v>
          </cell>
          <cell r="E50">
            <v>11.4</v>
          </cell>
          <cell r="F50">
            <v>2520.3120000000004</v>
          </cell>
          <cell r="G50">
            <v>221.08</v>
          </cell>
          <cell r="H50">
            <v>2520.3120000000004</v>
          </cell>
          <cell r="I50">
            <v>1</v>
          </cell>
          <cell r="J50">
            <v>0</v>
          </cell>
          <cell r="K50">
            <v>0</v>
          </cell>
          <cell r="L50" t="str">
            <v>0.00%</v>
          </cell>
          <cell r="M50">
            <v>221.08</v>
          </cell>
          <cell r="N50">
            <v>2520.3120000000004</v>
          </cell>
          <cell r="O50">
            <v>1</v>
          </cell>
          <cell r="P50">
            <v>0</v>
          </cell>
          <cell r="Q50">
            <v>0</v>
          </cell>
          <cell r="R50" t="str">
            <v>0.00%</v>
          </cell>
        </row>
        <row r="51">
          <cell r="A51" t="str">
            <v>01.01.06.04</v>
          </cell>
          <cell r="B51" t="str">
            <v>DEMOLICION DE CIELO RASO DE YESO</v>
          </cell>
          <cell r="C51" t="str">
            <v>m2</v>
          </cell>
          <cell r="D51">
            <v>327.66000000000003</v>
          </cell>
          <cell r="E51">
            <v>0.64</v>
          </cell>
          <cell r="F51">
            <v>209.70240000000001</v>
          </cell>
          <cell r="G51">
            <v>327.66000000000003</v>
          </cell>
          <cell r="H51">
            <v>209.70240000000001</v>
          </cell>
          <cell r="I51">
            <v>1</v>
          </cell>
          <cell r="J51">
            <v>0</v>
          </cell>
          <cell r="K51">
            <v>0</v>
          </cell>
          <cell r="L51" t="str">
            <v>0.00%</v>
          </cell>
          <cell r="M51">
            <v>327.66000000000003</v>
          </cell>
          <cell r="N51">
            <v>209.70240000000001</v>
          </cell>
          <cell r="O51">
            <v>1</v>
          </cell>
          <cell r="P51">
            <v>0</v>
          </cell>
          <cell r="Q51">
            <v>0</v>
          </cell>
          <cell r="R51" t="str">
            <v>0.00%</v>
          </cell>
        </row>
        <row r="52">
          <cell r="A52" t="str">
            <v>01.01.06.05</v>
          </cell>
          <cell r="B52" t="str">
            <v>DEMOLICION DE GRADERIAS Y RAMPAS DE CONCRETO</v>
          </cell>
          <cell r="C52" t="str">
            <v>m2</v>
          </cell>
          <cell r="D52">
            <v>104.86</v>
          </cell>
          <cell r="E52">
            <v>10.199999999999999</v>
          </cell>
          <cell r="F52">
            <v>1069.5719999999999</v>
          </cell>
          <cell r="G52">
            <v>104.86</v>
          </cell>
          <cell r="H52">
            <v>1069.5719999999999</v>
          </cell>
          <cell r="I52">
            <v>1</v>
          </cell>
          <cell r="J52">
            <v>0</v>
          </cell>
          <cell r="K52">
            <v>0</v>
          </cell>
          <cell r="L52" t="str">
            <v>0.00%</v>
          </cell>
          <cell r="M52">
            <v>104.86</v>
          </cell>
          <cell r="N52">
            <v>1069.5719999999999</v>
          </cell>
          <cell r="O52">
            <v>1</v>
          </cell>
          <cell r="P52">
            <v>0</v>
          </cell>
          <cell r="Q52">
            <v>0</v>
          </cell>
          <cell r="R52" t="str">
            <v>0.00%</v>
          </cell>
        </row>
        <row r="53">
          <cell r="A53" t="str">
            <v>01.01.06.06</v>
          </cell>
          <cell r="B53" t="str">
            <v>DEMOLICION DE MURO DE BLOQUETA</v>
          </cell>
          <cell r="C53" t="str">
            <v>m2</v>
          </cell>
          <cell r="D53">
            <v>832.29</v>
          </cell>
          <cell r="E53">
            <v>11.4</v>
          </cell>
          <cell r="F53">
            <v>9488.1059999999998</v>
          </cell>
          <cell r="G53">
            <v>832.29</v>
          </cell>
          <cell r="H53">
            <v>9488.1059999999998</v>
          </cell>
          <cell r="I53">
            <v>1</v>
          </cell>
          <cell r="J53">
            <v>0</v>
          </cell>
          <cell r="K53">
            <v>0</v>
          </cell>
          <cell r="L53" t="str">
            <v>0.00%</v>
          </cell>
          <cell r="M53">
            <v>832.29</v>
          </cell>
          <cell r="N53">
            <v>9488.1059999999998</v>
          </cell>
          <cell r="O53">
            <v>1</v>
          </cell>
          <cell r="P53">
            <v>0</v>
          </cell>
          <cell r="Q53">
            <v>0</v>
          </cell>
          <cell r="R53" t="str">
            <v>0.00%</v>
          </cell>
        </row>
        <row r="54">
          <cell r="A54" t="str">
            <v>01.01.06.07</v>
          </cell>
          <cell r="B54" t="str">
            <v>DEMOLICION DE MURO DE ADOBE</v>
          </cell>
          <cell r="C54" t="str">
            <v>m2</v>
          </cell>
          <cell r="D54">
            <v>653.28</v>
          </cell>
          <cell r="E54">
            <v>11.4</v>
          </cell>
          <cell r="F54">
            <v>7447.3919999999998</v>
          </cell>
          <cell r="G54">
            <v>653.28</v>
          </cell>
          <cell r="H54">
            <v>7447.3919999999998</v>
          </cell>
          <cell r="I54">
            <v>1</v>
          </cell>
          <cell r="J54">
            <v>0</v>
          </cell>
          <cell r="K54">
            <v>0</v>
          </cell>
          <cell r="L54" t="str">
            <v>0.00%</v>
          </cell>
          <cell r="M54">
            <v>653.28</v>
          </cell>
          <cell r="N54">
            <v>7447.3919999999998</v>
          </cell>
          <cell r="O54">
            <v>1</v>
          </cell>
          <cell r="P54">
            <v>0</v>
          </cell>
          <cell r="Q54">
            <v>0</v>
          </cell>
          <cell r="R54" t="str">
            <v>0.00%</v>
          </cell>
        </row>
        <row r="55">
          <cell r="A55" t="str">
            <v>01.01.06.08</v>
          </cell>
          <cell r="B55" t="str">
            <v>DEMOLICION DE MUROS DE CONTENCION</v>
          </cell>
          <cell r="C55" t="str">
            <v>m3</v>
          </cell>
          <cell r="D55">
            <v>108.22</v>
          </cell>
          <cell r="E55">
            <v>144.46</v>
          </cell>
          <cell r="F55">
            <v>15633.461200000002</v>
          </cell>
          <cell r="G55">
            <v>108.22</v>
          </cell>
          <cell r="H55">
            <v>15633.461200000002</v>
          </cell>
          <cell r="I55">
            <v>1</v>
          </cell>
          <cell r="J55">
            <v>0</v>
          </cell>
          <cell r="K55">
            <v>0</v>
          </cell>
          <cell r="L55" t="str">
            <v>0.00%</v>
          </cell>
          <cell r="M55">
            <v>108.22</v>
          </cell>
          <cell r="N55">
            <v>15633.461200000002</v>
          </cell>
          <cell r="O55">
            <v>1</v>
          </cell>
          <cell r="P55">
            <v>0</v>
          </cell>
          <cell r="Q55">
            <v>0</v>
          </cell>
          <cell r="R55" t="str">
            <v>0.00%</v>
          </cell>
        </row>
        <row r="56">
          <cell r="A56" t="str">
            <v>01.01.06.09</v>
          </cell>
          <cell r="B56" t="str">
            <v>DEMOLICION DE CIMIENTOS Y SOBRECIMIENTOS</v>
          </cell>
          <cell r="C56" t="str">
            <v>m3</v>
          </cell>
          <cell r="D56">
            <v>36.03</v>
          </cell>
          <cell r="E56">
            <v>78.31</v>
          </cell>
          <cell r="F56">
            <v>2821.5093000000002</v>
          </cell>
          <cell r="G56">
            <v>36.03</v>
          </cell>
          <cell r="H56">
            <v>2821.5093000000002</v>
          </cell>
          <cell r="I56">
            <v>1</v>
          </cell>
          <cell r="J56">
            <v>0</v>
          </cell>
          <cell r="K56">
            <v>0</v>
          </cell>
          <cell r="L56" t="str">
            <v>0.00%</v>
          </cell>
          <cell r="M56">
            <v>36.03</v>
          </cell>
          <cell r="N56">
            <v>2821.5093000000002</v>
          </cell>
          <cell r="O56">
            <v>1</v>
          </cell>
          <cell r="P56">
            <v>0</v>
          </cell>
          <cell r="Q56">
            <v>0</v>
          </cell>
          <cell r="R56" t="str">
            <v>0.00%</v>
          </cell>
        </row>
        <row r="57">
          <cell r="A57" t="str">
            <v>01.01.06.10</v>
          </cell>
          <cell r="B57" t="str">
            <v>DEMOLICION DE PISO EXISTENTE</v>
          </cell>
          <cell r="C57" t="str">
            <v>m2</v>
          </cell>
          <cell r="D57">
            <v>547.66</v>
          </cell>
          <cell r="E57">
            <v>10.199999999999999</v>
          </cell>
          <cell r="F57">
            <v>5586.1319999999996</v>
          </cell>
          <cell r="G57">
            <v>547.66</v>
          </cell>
          <cell r="H57">
            <v>5586.1319999999996</v>
          </cell>
          <cell r="I57">
            <v>1</v>
          </cell>
          <cell r="J57">
            <v>0</v>
          </cell>
          <cell r="K57">
            <v>0</v>
          </cell>
          <cell r="L57" t="str">
            <v>0.00%</v>
          </cell>
          <cell r="M57">
            <v>547.66</v>
          </cell>
          <cell r="N57">
            <v>5586.1319999999996</v>
          </cell>
          <cell r="O57">
            <v>1</v>
          </cell>
          <cell r="P57">
            <v>0</v>
          </cell>
          <cell r="Q57">
            <v>0</v>
          </cell>
          <cell r="R57" t="str">
            <v>0.00%</v>
          </cell>
        </row>
        <row r="58">
          <cell r="A58" t="str">
            <v>01.01.06.11</v>
          </cell>
          <cell r="B58" t="str">
            <v>DEMOLICION DE VEREDAS DE CONCRETO</v>
          </cell>
          <cell r="C58" t="str">
            <v>m2</v>
          </cell>
          <cell r="D58">
            <v>289.92</v>
          </cell>
          <cell r="E58">
            <v>10.199999999999999</v>
          </cell>
          <cell r="F58">
            <v>2957.1839999999997</v>
          </cell>
          <cell r="G58">
            <v>238.48000000000002</v>
          </cell>
          <cell r="H58">
            <v>2432.4960000000001</v>
          </cell>
          <cell r="I58">
            <v>0.82257174392935994</v>
          </cell>
          <cell r="J58">
            <v>51.439900000000002</v>
          </cell>
          <cell r="K58">
            <v>524.68697999999995</v>
          </cell>
          <cell r="L58">
            <v>0.17742791114790288</v>
          </cell>
          <cell r="M58">
            <v>289.91990000000004</v>
          </cell>
          <cell r="N58">
            <v>2957.18298</v>
          </cell>
          <cell r="O58">
            <v>0.99999965507726285</v>
          </cell>
          <cell r="P58">
            <v>9.9999999974897946E-5</v>
          </cell>
          <cell r="Q58">
            <v>1.0199999996984843E-3</v>
          </cell>
          <cell r="R58">
            <v>3.4492273720488289E-7</v>
          </cell>
        </row>
        <row r="59">
          <cell r="A59" t="str">
            <v>01.01.06.12</v>
          </cell>
          <cell r="B59" t="str">
            <v>DEMOLICION LOSA DEPORTIVA</v>
          </cell>
          <cell r="C59" t="str">
            <v>m2</v>
          </cell>
          <cell r="D59">
            <v>280.08999999999997</v>
          </cell>
          <cell r="E59">
            <v>10.199999999999999</v>
          </cell>
          <cell r="F59">
            <v>2856.9179999999997</v>
          </cell>
          <cell r="G59">
            <v>0</v>
          </cell>
          <cell r="H59">
            <v>0</v>
          </cell>
          <cell r="I59" t="str">
            <v>0.00%</v>
          </cell>
          <cell r="J59">
            <v>0</v>
          </cell>
          <cell r="K59">
            <v>0</v>
          </cell>
          <cell r="L59" t="str">
            <v>0.00%</v>
          </cell>
          <cell r="M59">
            <v>0</v>
          </cell>
          <cell r="N59">
            <v>0</v>
          </cell>
          <cell r="O59" t="str">
            <v>0.00%</v>
          </cell>
          <cell r="P59">
            <v>280.08999999999997</v>
          </cell>
          <cell r="Q59">
            <v>2856.9179999999997</v>
          </cell>
          <cell r="R59">
            <v>1</v>
          </cell>
        </row>
        <row r="60">
          <cell r="A60" t="str">
            <v>01.01.06.13</v>
          </cell>
          <cell r="B60" t="str">
            <v xml:space="preserve">DEMOLICION DE LAVADEROS Y URINARIOS </v>
          </cell>
          <cell r="C60" t="str">
            <v>m</v>
          </cell>
          <cell r="D60">
            <v>18.739999999999998</v>
          </cell>
          <cell r="E60">
            <v>9.51</v>
          </cell>
          <cell r="F60">
            <v>178.21739999999997</v>
          </cell>
          <cell r="G60">
            <v>18.739999999999998</v>
          </cell>
          <cell r="H60">
            <v>178.21739999999997</v>
          </cell>
          <cell r="I60">
            <v>1</v>
          </cell>
          <cell r="J60">
            <v>0</v>
          </cell>
          <cell r="K60">
            <v>0</v>
          </cell>
          <cell r="L60" t="str">
            <v>0.00%</v>
          </cell>
          <cell r="M60">
            <v>18.739999999999998</v>
          </cell>
          <cell r="N60">
            <v>178.21739999999997</v>
          </cell>
          <cell r="O60">
            <v>1</v>
          </cell>
          <cell r="P60">
            <v>0</v>
          </cell>
          <cell r="Q60">
            <v>0</v>
          </cell>
          <cell r="R60" t="str">
            <v>0.00%</v>
          </cell>
        </row>
        <row r="61">
          <cell r="A61" t="str">
            <v>01.01.06.14</v>
          </cell>
          <cell r="B61" t="str">
            <v>ELIMINACION DE DESMONTE PROVENIENTE DE DEMOLICION</v>
          </cell>
          <cell r="C61" t="str">
            <v>m3</v>
          </cell>
          <cell r="D61">
            <v>853.07</v>
          </cell>
          <cell r="E61">
            <v>30.5</v>
          </cell>
          <cell r="F61">
            <v>26018.635000000002</v>
          </cell>
          <cell r="G61">
            <v>853.07</v>
          </cell>
          <cell r="H61">
            <v>26018.635000000002</v>
          </cell>
          <cell r="I61">
            <v>1</v>
          </cell>
          <cell r="J61">
            <v>0</v>
          </cell>
          <cell r="K61">
            <v>0</v>
          </cell>
          <cell r="L61" t="str">
            <v>0.00%</v>
          </cell>
          <cell r="M61">
            <v>853.07</v>
          </cell>
          <cell r="N61">
            <v>26018.635000000002</v>
          </cell>
          <cell r="O61">
            <v>1</v>
          </cell>
          <cell r="P61">
            <v>0</v>
          </cell>
          <cell r="Q61">
            <v>0</v>
          </cell>
          <cell r="R61" t="str">
            <v>0.00%</v>
          </cell>
        </row>
        <row r="62">
          <cell r="A62" t="str">
            <v>01.01.07</v>
          </cell>
          <cell r="B62" t="str">
            <v>MOVIMIENTO DE TIERRAS</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row>
        <row r="63">
          <cell r="A63" t="str">
            <v>01.01.07.01</v>
          </cell>
          <cell r="B63" t="str">
            <v>EXPLANACION DE PLATAFORMA</v>
          </cell>
          <cell r="C63">
            <v>0</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row>
        <row r="64">
          <cell r="A64" t="str">
            <v>01.01.07.01.01</v>
          </cell>
          <cell r="B64" t="str">
            <v>CORTE DE MATERIAL SUELTO CON MAQUINARIA</v>
          </cell>
          <cell r="C64" t="str">
            <v>m3</v>
          </cell>
          <cell r="D64">
            <v>1188.48</v>
          </cell>
          <cell r="E64">
            <v>5.54</v>
          </cell>
          <cell r="F64">
            <v>6584.1792000000005</v>
          </cell>
          <cell r="G64">
            <v>1188.48</v>
          </cell>
          <cell r="H64">
            <v>6584.1792000000005</v>
          </cell>
          <cell r="I64">
            <v>1</v>
          </cell>
          <cell r="J64">
            <v>0</v>
          </cell>
          <cell r="K64">
            <v>0</v>
          </cell>
          <cell r="L64" t="str">
            <v>0.00%</v>
          </cell>
          <cell r="M64">
            <v>1188.48</v>
          </cell>
          <cell r="N64">
            <v>6584.1792000000005</v>
          </cell>
          <cell r="O64">
            <v>1</v>
          </cell>
          <cell r="P64">
            <v>0</v>
          </cell>
          <cell r="Q64">
            <v>0</v>
          </cell>
          <cell r="R64" t="str">
            <v>0.00%</v>
          </cell>
        </row>
        <row r="65">
          <cell r="A65" t="str">
            <v>01.01.07.01.02</v>
          </cell>
          <cell r="B65" t="str">
            <v>RELLENO COMPACTADO CON MATERIAL PROPIO</v>
          </cell>
          <cell r="C65" t="str">
            <v>m3</v>
          </cell>
          <cell r="D65">
            <v>125.3</v>
          </cell>
          <cell r="E65">
            <v>24.89</v>
          </cell>
          <cell r="F65">
            <v>3118.7170000000001</v>
          </cell>
          <cell r="G65">
            <v>0</v>
          </cell>
          <cell r="H65">
            <v>0</v>
          </cell>
          <cell r="I65" t="str">
            <v>0.00%</v>
          </cell>
          <cell r="J65">
            <v>125.3</v>
          </cell>
          <cell r="K65">
            <v>3118.7170000000001</v>
          </cell>
          <cell r="L65">
            <v>1</v>
          </cell>
          <cell r="M65">
            <v>125.3</v>
          </cell>
          <cell r="N65">
            <v>3118.7170000000001</v>
          </cell>
          <cell r="O65">
            <v>1</v>
          </cell>
          <cell r="P65">
            <v>0</v>
          </cell>
          <cell r="Q65">
            <v>0</v>
          </cell>
          <cell r="R65" t="str">
            <v>0.00%</v>
          </cell>
        </row>
        <row r="66">
          <cell r="A66" t="str">
            <v>01.01.07.01.03</v>
          </cell>
          <cell r="B66" t="str">
            <v>ELIMINACION DE MATERIAL PROVENIENTE DE EXCAVACION</v>
          </cell>
          <cell r="C66" t="str">
            <v>m3</v>
          </cell>
          <cell r="D66">
            <v>1063.18</v>
          </cell>
          <cell r="E66">
            <v>23.36</v>
          </cell>
          <cell r="F66">
            <v>24835.8848</v>
          </cell>
          <cell r="G66">
            <v>1063.18</v>
          </cell>
          <cell r="H66">
            <v>24835.8848</v>
          </cell>
          <cell r="I66">
            <v>1</v>
          </cell>
          <cell r="J66">
            <v>0</v>
          </cell>
          <cell r="K66">
            <v>0</v>
          </cell>
          <cell r="L66" t="str">
            <v>0.00%</v>
          </cell>
          <cell r="M66">
            <v>1063.18</v>
          </cell>
          <cell r="N66">
            <v>24835.8848</v>
          </cell>
          <cell r="O66">
            <v>1</v>
          </cell>
          <cell r="P66">
            <v>0</v>
          </cell>
          <cell r="Q66">
            <v>0</v>
          </cell>
          <cell r="R66" t="str">
            <v>0.00%</v>
          </cell>
        </row>
        <row r="67">
          <cell r="A67" t="str">
            <v>01.01.08</v>
          </cell>
          <cell r="B67" t="str">
            <v>TRAZOS, NIVELES Y REPLANTEO</v>
          </cell>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row>
        <row r="68">
          <cell r="A68" t="str">
            <v>01.01.08.01</v>
          </cell>
          <cell r="B68" t="str">
            <v>TRAZO, NIVELES Y REPLANTEO PRELIMINAR</v>
          </cell>
          <cell r="C68" t="str">
            <v>m2</v>
          </cell>
          <cell r="D68">
            <v>1850.48</v>
          </cell>
          <cell r="E68">
            <v>2.93</v>
          </cell>
          <cell r="F68">
            <v>5421.9064000000008</v>
          </cell>
          <cell r="G68">
            <v>1850.48</v>
          </cell>
          <cell r="H68">
            <v>5421.9064000000008</v>
          </cell>
          <cell r="I68">
            <v>1</v>
          </cell>
          <cell r="J68">
            <v>0</v>
          </cell>
          <cell r="K68">
            <v>0</v>
          </cell>
          <cell r="L68" t="str">
            <v>0.00%</v>
          </cell>
          <cell r="M68">
            <v>1850.48</v>
          </cell>
          <cell r="N68">
            <v>5421.9064000000008</v>
          </cell>
          <cell r="O68">
            <v>1</v>
          </cell>
          <cell r="P68">
            <v>0</v>
          </cell>
          <cell r="Q68">
            <v>0</v>
          </cell>
          <cell r="R68" t="str">
            <v>0.00%</v>
          </cell>
        </row>
        <row r="69">
          <cell r="A69" t="str">
            <v>01.02</v>
          </cell>
          <cell r="B69" t="str">
            <v>SEGURIDAD Y SALUD GENERALIDADES</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row>
        <row r="70">
          <cell r="A70" t="str">
            <v>01.02.01</v>
          </cell>
          <cell r="B70" t="str">
            <v>ELABORACION, IMPLEMENTACION Y ADMINISTRACION DEL PLAN SEGURIDAD Y SALUD EN EL TRABAJO</v>
          </cell>
          <cell r="C70" t="str">
            <v>.</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row>
        <row r="71">
          <cell r="A71" t="str">
            <v>01.02.01.01</v>
          </cell>
          <cell r="B71" t="str">
            <v>EQUIPOS DE PROTECCIÓN INDIVIDUAL</v>
          </cell>
          <cell r="C71" t="str">
            <v>GLB</v>
          </cell>
          <cell r="D71">
            <v>1</v>
          </cell>
          <cell r="E71">
            <v>13160</v>
          </cell>
          <cell r="F71">
            <v>13160</v>
          </cell>
          <cell r="G71">
            <v>0.875</v>
          </cell>
          <cell r="H71">
            <v>11515</v>
          </cell>
          <cell r="I71">
            <v>0.875</v>
          </cell>
          <cell r="J71">
            <v>0.125</v>
          </cell>
          <cell r="K71">
            <v>1645</v>
          </cell>
          <cell r="L71">
            <v>0.125</v>
          </cell>
          <cell r="M71">
            <v>1</v>
          </cell>
          <cell r="N71">
            <v>13160</v>
          </cell>
          <cell r="O71">
            <v>1</v>
          </cell>
          <cell r="P71">
            <v>0</v>
          </cell>
          <cell r="Q71">
            <v>0</v>
          </cell>
          <cell r="R71" t="str">
            <v>0.00%</v>
          </cell>
        </row>
        <row r="72">
          <cell r="A72" t="str">
            <v>01.02.01.02</v>
          </cell>
          <cell r="B72" t="str">
            <v>EQUIPOS DE PROTECCIÓN COLECTIVA</v>
          </cell>
          <cell r="C72" t="str">
            <v>GLB</v>
          </cell>
          <cell r="D72">
            <v>1</v>
          </cell>
          <cell r="E72">
            <v>3450</v>
          </cell>
          <cell r="F72">
            <v>3450</v>
          </cell>
          <cell r="G72">
            <v>0.875</v>
          </cell>
          <cell r="H72">
            <v>3018.75</v>
          </cell>
          <cell r="I72">
            <v>0.875</v>
          </cell>
          <cell r="J72">
            <v>0.125</v>
          </cell>
          <cell r="K72">
            <v>431.25</v>
          </cell>
          <cell r="L72">
            <v>0.125</v>
          </cell>
          <cell r="M72">
            <v>1</v>
          </cell>
          <cell r="N72">
            <v>3450</v>
          </cell>
          <cell r="O72">
            <v>1</v>
          </cell>
          <cell r="P72">
            <v>0</v>
          </cell>
          <cell r="Q72">
            <v>0</v>
          </cell>
          <cell r="R72" t="str">
            <v>0.00%</v>
          </cell>
        </row>
        <row r="73">
          <cell r="A73" t="str">
            <v>01.02.01.03</v>
          </cell>
          <cell r="B73" t="str">
            <v>SEÑALIZACIÓN TEMPORAL DE SEGURIDAD</v>
          </cell>
          <cell r="C73" t="str">
            <v>GLB</v>
          </cell>
          <cell r="D73">
            <v>1</v>
          </cell>
          <cell r="E73">
            <v>2730</v>
          </cell>
          <cell r="F73">
            <v>2730</v>
          </cell>
          <cell r="G73">
            <v>0.875</v>
          </cell>
          <cell r="H73">
            <v>2388.75</v>
          </cell>
          <cell r="I73">
            <v>0.875</v>
          </cell>
          <cell r="J73">
            <v>0.125</v>
          </cell>
          <cell r="K73">
            <v>341.25</v>
          </cell>
          <cell r="L73">
            <v>0.125</v>
          </cell>
          <cell r="M73">
            <v>1</v>
          </cell>
          <cell r="N73">
            <v>2730</v>
          </cell>
          <cell r="O73">
            <v>1</v>
          </cell>
          <cell r="P73">
            <v>0</v>
          </cell>
          <cell r="Q73">
            <v>0</v>
          </cell>
          <cell r="R73" t="str">
            <v>0.00%</v>
          </cell>
        </row>
        <row r="74">
          <cell r="A74" t="str">
            <v>01.02.01.04</v>
          </cell>
          <cell r="B74" t="str">
            <v>CAPACITACIÓN EN SEGURIDAD Y SALUD</v>
          </cell>
          <cell r="C74" t="str">
            <v>GLB</v>
          </cell>
          <cell r="D74">
            <v>1</v>
          </cell>
          <cell r="E74">
            <v>6480</v>
          </cell>
          <cell r="F74">
            <v>6480</v>
          </cell>
          <cell r="G74">
            <v>0.875</v>
          </cell>
          <cell r="H74">
            <v>5670</v>
          </cell>
          <cell r="I74">
            <v>0.875</v>
          </cell>
          <cell r="J74">
            <v>0.125</v>
          </cell>
          <cell r="K74">
            <v>810</v>
          </cell>
          <cell r="L74">
            <v>0.125</v>
          </cell>
          <cell r="M74">
            <v>1</v>
          </cell>
          <cell r="N74">
            <v>6480</v>
          </cell>
          <cell r="O74">
            <v>1</v>
          </cell>
          <cell r="P74">
            <v>0</v>
          </cell>
          <cell r="Q74">
            <v>0</v>
          </cell>
          <cell r="R74" t="str">
            <v>0.00%</v>
          </cell>
        </row>
        <row r="75">
          <cell r="A75" t="str">
            <v>01.02.01.05</v>
          </cell>
          <cell r="B75" t="str">
            <v>RECURSOS PARA RESPUESTAS ANTE EMERGENCIAS EN SEGURIDAD Y SALUD DURANTE EL TRABAJO</v>
          </cell>
          <cell r="C75" t="str">
            <v>GLB</v>
          </cell>
          <cell r="D75">
            <v>1</v>
          </cell>
          <cell r="E75">
            <v>6450</v>
          </cell>
          <cell r="F75">
            <v>6450</v>
          </cell>
          <cell r="G75">
            <v>0.875</v>
          </cell>
          <cell r="H75">
            <v>5643.75</v>
          </cell>
          <cell r="I75">
            <v>0.875</v>
          </cell>
          <cell r="J75">
            <v>0.125</v>
          </cell>
          <cell r="K75">
            <v>806.25</v>
          </cell>
          <cell r="L75">
            <v>0.125</v>
          </cell>
          <cell r="M75">
            <v>1</v>
          </cell>
          <cell r="N75">
            <v>6450</v>
          </cell>
          <cell r="O75">
            <v>1</v>
          </cell>
          <cell r="P75">
            <v>0</v>
          </cell>
          <cell r="Q75">
            <v>0</v>
          </cell>
          <cell r="R75" t="str">
            <v>0.00%</v>
          </cell>
        </row>
        <row r="76">
          <cell r="A76">
            <v>0</v>
          </cell>
          <cell r="B76">
            <v>0</v>
          </cell>
          <cell r="C76">
            <v>0</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row>
        <row r="77">
          <cell r="A77">
            <v>0</v>
          </cell>
          <cell r="B77" t="str">
            <v>COSTO OBRAS PROVISIONALES</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row>
        <row r="78">
          <cell r="A78">
            <v>0</v>
          </cell>
          <cell r="B78">
            <v>0</v>
          </cell>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row>
        <row r="79">
          <cell r="A79">
            <v>0</v>
          </cell>
          <cell r="B79" t="str">
            <v>COSTO DIRECTO</v>
          </cell>
          <cell r="C79">
            <v>0</v>
          </cell>
          <cell r="D79">
            <v>0</v>
          </cell>
          <cell r="E79">
            <v>0</v>
          </cell>
          <cell r="F79">
            <v>197765.27930000002</v>
          </cell>
          <cell r="G79">
            <v>0</v>
          </cell>
          <cell r="H79">
            <v>185941.20629999999</v>
          </cell>
          <cell r="I79">
            <v>0.94021158293380958</v>
          </cell>
          <cell r="J79">
            <v>0</v>
          </cell>
          <cell r="K79">
            <v>7677.15398</v>
          </cell>
          <cell r="L79">
            <v>3.8819523867757097E-2</v>
          </cell>
          <cell r="M79">
            <v>0</v>
          </cell>
          <cell r="N79">
            <v>193618.36027999999</v>
          </cell>
          <cell r="O79">
            <v>0.97903110680156669</v>
          </cell>
          <cell r="P79">
            <v>0</v>
          </cell>
          <cell r="Q79">
            <v>4146.9190199999994</v>
          </cell>
          <cell r="R79">
            <v>2.0968893198433133E-2</v>
          </cell>
        </row>
        <row r="80">
          <cell r="A80">
            <v>0</v>
          </cell>
          <cell r="B80" t="str">
            <v xml:space="preserve">GASTOS GENERALES   </v>
          </cell>
          <cell r="C80">
            <v>0</v>
          </cell>
          <cell r="D80">
            <v>0.1087</v>
          </cell>
          <cell r="E80">
            <v>0</v>
          </cell>
          <cell r="F80">
            <v>21497.085859910003</v>
          </cell>
          <cell r="G80">
            <v>0</v>
          </cell>
          <cell r="H80">
            <v>20211.809124809999</v>
          </cell>
          <cell r="I80">
            <v>0.94021158293380958</v>
          </cell>
          <cell r="J80">
            <v>0</v>
          </cell>
          <cell r="K80">
            <v>834.50663762600004</v>
          </cell>
          <cell r="L80">
            <v>3.8819523867757104E-2</v>
          </cell>
          <cell r="M80">
            <v>0</v>
          </cell>
          <cell r="N80">
            <v>21046.315762435999</v>
          </cell>
          <cell r="O80">
            <v>0.97903110680156669</v>
          </cell>
          <cell r="P80">
            <v>0</v>
          </cell>
          <cell r="Q80">
            <v>450.77009747399995</v>
          </cell>
          <cell r="R80">
            <v>2.0968893198433133E-2</v>
          </cell>
        </row>
        <row r="81">
          <cell r="A81">
            <v>0</v>
          </cell>
          <cell r="B81" t="str">
            <v xml:space="preserve">GASTOS DE SUPERVISION    </v>
          </cell>
          <cell r="C81">
            <v>0</v>
          </cell>
          <cell r="D81">
            <v>4.4999999999999998E-2</v>
          </cell>
          <cell r="E81">
            <v>0</v>
          </cell>
          <cell r="F81">
            <v>8899.4375685000014</v>
          </cell>
          <cell r="G81">
            <v>0</v>
          </cell>
          <cell r="H81">
            <v>8367.3542834999989</v>
          </cell>
          <cell r="I81">
            <v>0.94021158293380946</v>
          </cell>
          <cell r="J81">
            <v>0</v>
          </cell>
          <cell r="K81">
            <v>345.47192910000001</v>
          </cell>
          <cell r="L81">
            <v>3.8819523867757097E-2</v>
          </cell>
          <cell r="M81">
            <v>0</v>
          </cell>
          <cell r="N81">
            <v>8712.8262125999991</v>
          </cell>
          <cell r="O81">
            <v>0.97903110680156658</v>
          </cell>
          <cell r="P81">
            <v>0</v>
          </cell>
          <cell r="Q81">
            <v>186.61135589999998</v>
          </cell>
          <cell r="R81">
            <v>2.0968893198433133E-2</v>
          </cell>
        </row>
        <row r="82">
          <cell r="A82">
            <v>0</v>
          </cell>
          <cell r="B82">
            <v>0</v>
          </cell>
          <cell r="C82">
            <v>0</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row>
        <row r="83">
          <cell r="A83">
            <v>0</v>
          </cell>
          <cell r="B83" t="str">
            <v>SUB TOTAL</v>
          </cell>
          <cell r="C83">
            <v>0</v>
          </cell>
          <cell r="D83">
            <v>0</v>
          </cell>
          <cell r="E83">
            <v>0</v>
          </cell>
          <cell r="F83">
            <v>228161.80272841002</v>
          </cell>
          <cell r="G83">
            <v>0</v>
          </cell>
          <cell r="H83">
            <v>214520.36970831</v>
          </cell>
          <cell r="I83">
            <v>0.94021158293380969</v>
          </cell>
          <cell r="J83">
            <v>0</v>
          </cell>
          <cell r="K83">
            <v>8857.1325467259994</v>
          </cell>
          <cell r="L83">
            <v>3.8819523867757097E-2</v>
          </cell>
          <cell r="M83">
            <v>0</v>
          </cell>
          <cell r="N83">
            <v>223377.50225503597</v>
          </cell>
          <cell r="O83">
            <v>0.97903110680156669</v>
          </cell>
          <cell r="P83">
            <v>0</v>
          </cell>
          <cell r="Q83">
            <v>4784.300473373999</v>
          </cell>
          <cell r="R83">
            <v>2.0968893198433133E-2</v>
          </cell>
        </row>
        <row r="84">
          <cell r="A84">
            <v>0</v>
          </cell>
          <cell r="B84">
            <v>0</v>
          </cell>
          <cell r="C84">
            <v>0</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row>
        <row r="85">
          <cell r="A85">
            <v>0</v>
          </cell>
          <cell r="B85" t="str">
            <v>SUB PRESUPUESTO 002 ESTRUCTURAS</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row>
        <row r="86">
          <cell r="A86" t="str">
            <v>02</v>
          </cell>
          <cell r="B86" t="str">
            <v>BLOQUE - 1</v>
          </cell>
          <cell r="C86">
            <v>0</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row>
        <row r="87">
          <cell r="A87" t="str">
            <v>02.01</v>
          </cell>
          <cell r="B87" t="str">
            <v>TRABAJOS PRELIMINARES</v>
          </cell>
          <cell r="C87">
            <v>0</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row>
        <row r="88">
          <cell r="A88" t="str">
            <v>02.01.01</v>
          </cell>
          <cell r="B88" t="str">
            <v>LIMPIEZA DE TERRENO MANUAL</v>
          </cell>
          <cell r="C88" t="str">
            <v>m2</v>
          </cell>
          <cell r="D88">
            <v>231.19</v>
          </cell>
          <cell r="E88">
            <v>1.0900000000000001</v>
          </cell>
          <cell r="F88">
            <v>251.99710000000002</v>
          </cell>
          <cell r="G88">
            <v>231.19</v>
          </cell>
          <cell r="H88">
            <v>251.99710000000002</v>
          </cell>
          <cell r="I88">
            <v>1</v>
          </cell>
          <cell r="J88">
            <v>0</v>
          </cell>
          <cell r="K88">
            <v>0</v>
          </cell>
          <cell r="L88" t="str">
            <v>0.00%</v>
          </cell>
          <cell r="M88">
            <v>231.19</v>
          </cell>
          <cell r="N88">
            <v>251.99710000000002</v>
          </cell>
          <cell r="O88">
            <v>1</v>
          </cell>
          <cell r="P88">
            <v>0</v>
          </cell>
          <cell r="Q88">
            <v>0</v>
          </cell>
          <cell r="R88" t="str">
            <v>0.00%</v>
          </cell>
        </row>
        <row r="89">
          <cell r="A89" t="str">
            <v>02.01.02</v>
          </cell>
          <cell r="B89" t="str">
            <v>TRAZO DURANTE LA EJECUCION DE LA OBRA</v>
          </cell>
          <cell r="C89" t="str">
            <v>m2</v>
          </cell>
          <cell r="D89">
            <v>231.19</v>
          </cell>
          <cell r="E89">
            <v>3.49</v>
          </cell>
          <cell r="F89">
            <v>806.85310000000004</v>
          </cell>
          <cell r="G89">
            <v>231.19</v>
          </cell>
          <cell r="H89">
            <v>806.85310000000004</v>
          </cell>
          <cell r="I89">
            <v>1</v>
          </cell>
          <cell r="J89">
            <v>0</v>
          </cell>
          <cell r="K89">
            <v>0</v>
          </cell>
          <cell r="L89" t="str">
            <v>0.00%</v>
          </cell>
          <cell r="M89">
            <v>231.19</v>
          </cell>
          <cell r="N89">
            <v>806.85310000000004</v>
          </cell>
          <cell r="O89">
            <v>1</v>
          </cell>
          <cell r="P89">
            <v>0</v>
          </cell>
          <cell r="Q89">
            <v>0</v>
          </cell>
          <cell r="R89" t="str">
            <v>0.00%</v>
          </cell>
        </row>
        <row r="90">
          <cell r="A90" t="str">
            <v>02.02</v>
          </cell>
          <cell r="B90" t="str">
            <v>MOVIMIENTO DE TIERRAS</v>
          </cell>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row>
        <row r="91">
          <cell r="A91" t="str">
            <v>02.02.01</v>
          </cell>
          <cell r="B91" t="str">
            <v xml:space="preserve">EXCAVACION PARA CIMIENTOS-ZAPATAS </v>
          </cell>
          <cell r="C91" t="str">
            <v>m3</v>
          </cell>
          <cell r="D91">
            <v>161.1</v>
          </cell>
          <cell r="E91">
            <v>44.73</v>
          </cell>
          <cell r="F91">
            <v>7206.0029999999988</v>
          </cell>
          <cell r="G91">
            <v>161.1</v>
          </cell>
          <cell r="H91">
            <v>7206.0029999999988</v>
          </cell>
          <cell r="I91">
            <v>1</v>
          </cell>
          <cell r="J91">
            <v>0</v>
          </cell>
          <cell r="K91">
            <v>0</v>
          </cell>
          <cell r="L91" t="str">
            <v>0.00%</v>
          </cell>
          <cell r="M91">
            <v>161.1</v>
          </cell>
          <cell r="N91">
            <v>7206.0029999999988</v>
          </cell>
          <cell r="O91">
            <v>1</v>
          </cell>
          <cell r="P91">
            <v>0</v>
          </cell>
          <cell r="Q91">
            <v>0</v>
          </cell>
          <cell r="R91" t="str">
            <v>0.00%</v>
          </cell>
        </row>
        <row r="92">
          <cell r="A92" t="str">
            <v>02.02.02</v>
          </cell>
          <cell r="B92" t="str">
            <v>RELLENO COMPACTADO CON MATERIAL PROPIO EN CAPAS DE 0.20m.</v>
          </cell>
          <cell r="C92" t="str">
            <v>m3</v>
          </cell>
          <cell r="D92">
            <v>64.650000000000006</v>
          </cell>
          <cell r="E92">
            <v>53.95</v>
          </cell>
          <cell r="F92">
            <v>3487.8675000000003</v>
          </cell>
          <cell r="G92">
            <v>64.650000000000006</v>
          </cell>
          <cell r="H92">
            <v>3487.8675000000003</v>
          </cell>
          <cell r="I92">
            <v>1</v>
          </cell>
          <cell r="J92">
            <v>0</v>
          </cell>
          <cell r="K92">
            <v>0</v>
          </cell>
          <cell r="L92" t="str">
            <v>0.00%</v>
          </cell>
          <cell r="M92">
            <v>64.650000000000006</v>
          </cell>
          <cell r="N92">
            <v>3487.8675000000003</v>
          </cell>
          <cell r="O92">
            <v>1</v>
          </cell>
          <cell r="P92">
            <v>0</v>
          </cell>
          <cell r="Q92">
            <v>0</v>
          </cell>
          <cell r="R92" t="str">
            <v>0.00%</v>
          </cell>
        </row>
        <row r="93">
          <cell r="A93" t="str">
            <v>02.02.03</v>
          </cell>
          <cell r="B93" t="str">
            <v>ACARREO INTERNO, MATERIAL PROCEDENTE DE EXCAVACIONES  Y OTROS</v>
          </cell>
          <cell r="C93" t="str">
            <v>m3</v>
          </cell>
          <cell r="D93">
            <v>125.39</v>
          </cell>
          <cell r="E93">
            <v>19</v>
          </cell>
          <cell r="F93">
            <v>2382.41</v>
          </cell>
          <cell r="G93">
            <v>125.39</v>
          </cell>
          <cell r="H93">
            <v>2382.41</v>
          </cell>
          <cell r="I93">
            <v>1</v>
          </cell>
          <cell r="J93">
            <v>0</v>
          </cell>
          <cell r="K93">
            <v>0</v>
          </cell>
          <cell r="L93" t="str">
            <v>0.00%</v>
          </cell>
          <cell r="M93">
            <v>125.39</v>
          </cell>
          <cell r="N93">
            <v>2382.41</v>
          </cell>
          <cell r="O93">
            <v>1</v>
          </cell>
          <cell r="P93">
            <v>0</v>
          </cell>
          <cell r="Q93">
            <v>0</v>
          </cell>
          <cell r="R93" t="str">
            <v>0.00%</v>
          </cell>
        </row>
        <row r="94">
          <cell r="A94" t="str">
            <v>02.02.04</v>
          </cell>
          <cell r="B94" t="str">
            <v>ELIMINACION DE MATERIAL EXCEDENTE CON EQUIPO</v>
          </cell>
          <cell r="C94" t="str">
            <v>m3</v>
          </cell>
          <cell r="D94">
            <v>125.39</v>
          </cell>
          <cell r="E94">
            <v>14.64</v>
          </cell>
          <cell r="F94">
            <v>1835.7096000000001</v>
          </cell>
          <cell r="G94">
            <v>125.39</v>
          </cell>
          <cell r="H94">
            <v>1835.7096000000001</v>
          </cell>
          <cell r="I94">
            <v>1</v>
          </cell>
          <cell r="J94">
            <v>0</v>
          </cell>
          <cell r="K94">
            <v>0</v>
          </cell>
          <cell r="L94" t="str">
            <v>0.00%</v>
          </cell>
          <cell r="M94">
            <v>125.39</v>
          </cell>
          <cell r="N94">
            <v>1835.7096000000001</v>
          </cell>
          <cell r="O94">
            <v>1</v>
          </cell>
          <cell r="P94">
            <v>0</v>
          </cell>
          <cell r="Q94">
            <v>0</v>
          </cell>
          <cell r="R94" t="str">
            <v>0.00%</v>
          </cell>
        </row>
        <row r="95">
          <cell r="A95" t="str">
            <v>02.02.05</v>
          </cell>
          <cell r="B95" t="str">
            <v xml:space="preserve">AFIRMADO e=20 cm </v>
          </cell>
          <cell r="C95" t="str">
            <v>m3</v>
          </cell>
          <cell r="D95">
            <v>41.08</v>
          </cell>
          <cell r="E95">
            <v>82.36</v>
          </cell>
          <cell r="F95">
            <v>3383.3487999999998</v>
          </cell>
          <cell r="G95">
            <v>41.08</v>
          </cell>
          <cell r="H95">
            <v>3383.3487999999998</v>
          </cell>
          <cell r="I95">
            <v>1</v>
          </cell>
          <cell r="J95">
            <v>0</v>
          </cell>
          <cell r="K95">
            <v>0</v>
          </cell>
          <cell r="L95" t="str">
            <v>0.00%</v>
          </cell>
          <cell r="M95">
            <v>41.08</v>
          </cell>
          <cell r="N95">
            <v>3383.3487999999998</v>
          </cell>
          <cell r="O95">
            <v>1</v>
          </cell>
          <cell r="P95">
            <v>0</v>
          </cell>
          <cell r="Q95">
            <v>0</v>
          </cell>
          <cell r="R95" t="str">
            <v>0.00%</v>
          </cell>
        </row>
        <row r="96">
          <cell r="A96" t="str">
            <v>02.02.06</v>
          </cell>
          <cell r="B96" t="str">
            <v xml:space="preserve">NIVELACION Y COMPACTACION PARA FALSO PISOS, VEREDAS Y PATIOS </v>
          </cell>
          <cell r="C96" t="str">
            <v>m2</v>
          </cell>
          <cell r="D96">
            <v>211.45</v>
          </cell>
          <cell r="E96">
            <v>9.3800000000000008</v>
          </cell>
          <cell r="F96">
            <v>1983.4010000000001</v>
          </cell>
          <cell r="G96">
            <v>211.45</v>
          </cell>
          <cell r="H96">
            <v>1983.4010000000001</v>
          </cell>
          <cell r="I96">
            <v>1</v>
          </cell>
          <cell r="J96">
            <v>0</v>
          </cell>
          <cell r="K96">
            <v>0</v>
          </cell>
          <cell r="L96" t="str">
            <v>0.00%</v>
          </cell>
          <cell r="M96">
            <v>211.45</v>
          </cell>
          <cell r="N96">
            <v>1983.4010000000001</v>
          </cell>
          <cell r="O96">
            <v>1</v>
          </cell>
          <cell r="P96">
            <v>0</v>
          </cell>
          <cell r="Q96">
            <v>0</v>
          </cell>
          <cell r="R96" t="str">
            <v>0.00%</v>
          </cell>
        </row>
        <row r="97">
          <cell r="A97" t="str">
            <v>02.03</v>
          </cell>
          <cell r="B97" t="str">
            <v>CONCRETO SIMPLE</v>
          </cell>
          <cell r="C97">
            <v>0</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row>
        <row r="98">
          <cell r="A98" t="str">
            <v>02.03.01</v>
          </cell>
          <cell r="B98" t="str">
            <v>SOLADOS</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row>
        <row r="99">
          <cell r="A99" t="str">
            <v>02.03.01.01</v>
          </cell>
          <cell r="B99" t="str">
            <v>SOLADO E= 2" MEZCLA 1:12 CEMENTO-HORMIGON</v>
          </cell>
          <cell r="C99" t="str">
            <v>m2</v>
          </cell>
          <cell r="D99">
            <v>75.2</v>
          </cell>
          <cell r="E99">
            <v>29.02</v>
          </cell>
          <cell r="F99">
            <v>2182.3040000000001</v>
          </cell>
          <cell r="G99">
            <v>75.2</v>
          </cell>
          <cell r="H99">
            <v>2182.3040000000001</v>
          </cell>
          <cell r="I99">
            <v>1</v>
          </cell>
          <cell r="J99">
            <v>0</v>
          </cell>
          <cell r="K99">
            <v>0</v>
          </cell>
          <cell r="L99" t="str">
            <v>0.00%</v>
          </cell>
          <cell r="M99">
            <v>75.2</v>
          </cell>
          <cell r="N99">
            <v>2182.3040000000001</v>
          </cell>
          <cell r="O99">
            <v>1</v>
          </cell>
          <cell r="P99">
            <v>0</v>
          </cell>
          <cell r="Q99">
            <v>0</v>
          </cell>
          <cell r="R99" t="str">
            <v>0.00%</v>
          </cell>
        </row>
        <row r="100">
          <cell r="A100" t="str">
            <v>02.03.02</v>
          </cell>
          <cell r="B100" t="str">
            <v>CIMIENTOS CORRIDOS</v>
          </cell>
          <cell r="C100">
            <v>0</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row>
        <row r="101">
          <cell r="A101" t="str">
            <v>02.03.02.01</v>
          </cell>
          <cell r="B101" t="str">
            <v>CIMIENTOS CORRIDOS MEZCLA 1:10 CEMENTO-HORMIGON 30% PIEDRA</v>
          </cell>
          <cell r="C101" t="str">
            <v>m3</v>
          </cell>
          <cell r="D101">
            <v>43.23</v>
          </cell>
          <cell r="E101">
            <v>248.48</v>
          </cell>
          <cell r="F101">
            <v>10741.790399999998</v>
          </cell>
          <cell r="G101">
            <v>43.23</v>
          </cell>
          <cell r="H101">
            <v>10741.790399999998</v>
          </cell>
          <cell r="I101">
            <v>1</v>
          </cell>
          <cell r="J101">
            <v>0</v>
          </cell>
          <cell r="K101">
            <v>0</v>
          </cell>
          <cell r="L101" t="str">
            <v>0.00%</v>
          </cell>
          <cell r="M101">
            <v>43.23</v>
          </cell>
          <cell r="N101">
            <v>10741.790399999998</v>
          </cell>
          <cell r="O101">
            <v>1</v>
          </cell>
          <cell r="P101">
            <v>0</v>
          </cell>
          <cell r="Q101">
            <v>0</v>
          </cell>
          <cell r="R101" t="str">
            <v>0.00%</v>
          </cell>
        </row>
        <row r="102">
          <cell r="A102" t="str">
            <v>02.03.03</v>
          </cell>
          <cell r="B102" t="str">
            <v>SOBRECIMIENTOS</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row>
        <row r="103">
          <cell r="A103" t="str">
            <v>02.03.03.01</v>
          </cell>
          <cell r="B103" t="str">
            <v>CONCRETO 1:8+25% P.M. PARA SOBRECIMIENTOS</v>
          </cell>
          <cell r="C103" t="str">
            <v>m3</v>
          </cell>
          <cell r="D103">
            <v>6.44</v>
          </cell>
          <cell r="E103">
            <v>312.47000000000003</v>
          </cell>
          <cell r="F103">
            <v>2012.3068000000003</v>
          </cell>
          <cell r="G103">
            <v>6.44</v>
          </cell>
          <cell r="H103">
            <v>2012.3068000000003</v>
          </cell>
          <cell r="I103">
            <v>1</v>
          </cell>
          <cell r="J103">
            <v>0</v>
          </cell>
          <cell r="K103">
            <v>0</v>
          </cell>
          <cell r="L103" t="str">
            <v>0.00%</v>
          </cell>
          <cell r="M103">
            <v>6.44</v>
          </cell>
          <cell r="N103">
            <v>2012.3068000000003</v>
          </cell>
          <cell r="O103">
            <v>1</v>
          </cell>
          <cell r="P103">
            <v>0</v>
          </cell>
          <cell r="Q103">
            <v>0</v>
          </cell>
          <cell r="R103" t="str">
            <v>0.00%</v>
          </cell>
        </row>
        <row r="104">
          <cell r="A104" t="str">
            <v>02.03.03.02</v>
          </cell>
          <cell r="B104" t="str">
            <v>ENCOFRADO Y DESENCOFRADO NORMAL PARA SOBRECIMIENTOS HASTA 0.60M.</v>
          </cell>
          <cell r="C104" t="str">
            <v>m2</v>
          </cell>
          <cell r="D104">
            <v>45.96</v>
          </cell>
          <cell r="E104">
            <v>44.43</v>
          </cell>
          <cell r="F104">
            <v>2042.0028</v>
          </cell>
          <cell r="G104">
            <v>45.96</v>
          </cell>
          <cell r="H104">
            <v>2042.0028</v>
          </cell>
          <cell r="I104">
            <v>1</v>
          </cell>
          <cell r="J104">
            <v>0</v>
          </cell>
          <cell r="K104">
            <v>0</v>
          </cell>
          <cell r="L104" t="str">
            <v>0.00%</v>
          </cell>
          <cell r="M104">
            <v>45.96</v>
          </cell>
          <cell r="N104">
            <v>2042.0028</v>
          </cell>
          <cell r="O104">
            <v>1</v>
          </cell>
          <cell r="P104">
            <v>0</v>
          </cell>
          <cell r="Q104">
            <v>0</v>
          </cell>
          <cell r="R104" t="str">
            <v>0.00%</v>
          </cell>
        </row>
        <row r="105">
          <cell r="A105" t="str">
            <v>02.04</v>
          </cell>
          <cell r="B105" t="str">
            <v>CONCRETO ARMADO</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row>
        <row r="106">
          <cell r="A106" t="str">
            <v>02.04.01</v>
          </cell>
          <cell r="B106" t="str">
            <v>ZAPATAS</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row>
        <row r="107">
          <cell r="A107" t="str">
            <v>02.04.01.01</v>
          </cell>
          <cell r="B107" t="str">
            <v>ACERO F'Y=4200 KG/CM2 GRADO 60 EN ZAPATAS</v>
          </cell>
          <cell r="C107" t="str">
            <v>kg</v>
          </cell>
          <cell r="D107">
            <v>940.23</v>
          </cell>
          <cell r="E107">
            <v>4.3</v>
          </cell>
          <cell r="F107">
            <v>4042.989</v>
          </cell>
          <cell r="G107">
            <v>940.23</v>
          </cell>
          <cell r="H107">
            <v>4042.989</v>
          </cell>
          <cell r="I107">
            <v>1</v>
          </cell>
          <cell r="J107">
            <v>0</v>
          </cell>
          <cell r="K107">
            <v>0</v>
          </cell>
          <cell r="L107" t="str">
            <v>0.00%</v>
          </cell>
          <cell r="M107">
            <v>940.23</v>
          </cell>
          <cell r="N107">
            <v>4042.989</v>
          </cell>
          <cell r="O107">
            <v>1</v>
          </cell>
          <cell r="P107">
            <v>0</v>
          </cell>
          <cell r="Q107">
            <v>0</v>
          </cell>
          <cell r="R107" t="str">
            <v>0.00%</v>
          </cell>
        </row>
        <row r="108">
          <cell r="A108" t="str">
            <v>02.04.01.02</v>
          </cell>
          <cell r="B108" t="str">
            <v>CONCRETO PARA ZAPATAS F'C=210 KG/CM2</v>
          </cell>
          <cell r="C108" t="str">
            <v>m3</v>
          </cell>
          <cell r="D108">
            <v>30.96</v>
          </cell>
          <cell r="E108">
            <v>427.63</v>
          </cell>
          <cell r="F108">
            <v>13239.424800000001</v>
          </cell>
          <cell r="G108">
            <v>30.96</v>
          </cell>
          <cell r="H108">
            <v>13239.424800000001</v>
          </cell>
          <cell r="I108">
            <v>1</v>
          </cell>
          <cell r="J108">
            <v>0</v>
          </cell>
          <cell r="K108">
            <v>0</v>
          </cell>
          <cell r="L108" t="str">
            <v>0.00%</v>
          </cell>
          <cell r="M108">
            <v>30.96</v>
          </cell>
          <cell r="N108">
            <v>13239.424800000001</v>
          </cell>
          <cell r="O108">
            <v>1</v>
          </cell>
          <cell r="P108">
            <v>0</v>
          </cell>
          <cell r="Q108">
            <v>0</v>
          </cell>
          <cell r="R108" t="str">
            <v>0.00%</v>
          </cell>
        </row>
        <row r="109">
          <cell r="A109" t="str">
            <v>02.04.02</v>
          </cell>
          <cell r="B109" t="str">
            <v>VIGAS DE CIMENTACION</v>
          </cell>
          <cell r="C109">
            <v>0</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row>
        <row r="110">
          <cell r="A110" t="str">
            <v>02.04.02.01</v>
          </cell>
          <cell r="B110" t="str">
            <v>CONCRETO F'C= 210 KG/CM2 EN VIGAS DE CIMENTACIÓN</v>
          </cell>
          <cell r="C110" t="str">
            <v>m3</v>
          </cell>
          <cell r="D110">
            <v>10.64</v>
          </cell>
          <cell r="E110">
            <v>451</v>
          </cell>
          <cell r="F110">
            <v>4798.6400000000003</v>
          </cell>
          <cell r="G110">
            <v>10.64</v>
          </cell>
          <cell r="H110">
            <v>4798.6400000000003</v>
          </cell>
          <cell r="I110">
            <v>1</v>
          </cell>
          <cell r="J110">
            <v>0</v>
          </cell>
          <cell r="K110">
            <v>0</v>
          </cell>
          <cell r="L110" t="str">
            <v>0.00%</v>
          </cell>
          <cell r="M110">
            <v>10.64</v>
          </cell>
          <cell r="N110">
            <v>4798.6400000000003</v>
          </cell>
          <cell r="O110">
            <v>1</v>
          </cell>
          <cell r="P110">
            <v>0</v>
          </cell>
          <cell r="Q110">
            <v>0</v>
          </cell>
          <cell r="R110" t="str">
            <v>0.00%</v>
          </cell>
        </row>
        <row r="111">
          <cell r="A111" t="str">
            <v>02.04.02.02</v>
          </cell>
          <cell r="B111" t="str">
            <v>ACERO F'Y=4200 KG/CM2 GRADO 60 EN VIGAS DE CIMENTACIÓN</v>
          </cell>
          <cell r="C111" t="str">
            <v>kg</v>
          </cell>
          <cell r="D111">
            <v>1120.1400000000001</v>
          </cell>
          <cell r="E111">
            <v>4.45</v>
          </cell>
          <cell r="F111">
            <v>4984.6230000000005</v>
          </cell>
          <cell r="G111">
            <v>1120.1399999999999</v>
          </cell>
          <cell r="H111">
            <v>4984.6229999999996</v>
          </cell>
          <cell r="I111">
            <v>0.99999999999999978</v>
          </cell>
          <cell r="J111">
            <v>0</v>
          </cell>
          <cell r="K111">
            <v>0</v>
          </cell>
          <cell r="L111" t="str">
            <v>0.00%</v>
          </cell>
          <cell r="M111">
            <v>1120.1399999999999</v>
          </cell>
          <cell r="N111">
            <v>4984.6229999999996</v>
          </cell>
          <cell r="O111">
            <v>0.99999999999999978</v>
          </cell>
          <cell r="P111">
            <v>2.2737367544323206E-13</v>
          </cell>
          <cell r="Q111">
            <v>9.0949470177292824E-13</v>
          </cell>
          <cell r="R111">
            <v>1.824600780787089E-16</v>
          </cell>
        </row>
        <row r="112">
          <cell r="A112" t="str">
            <v>02.04.02.03</v>
          </cell>
          <cell r="B112" t="str">
            <v>ENCOFRADO Y DESENCOFRADO DE VIGAS DE CIMENTACIÓN</v>
          </cell>
          <cell r="C112" t="str">
            <v>m2</v>
          </cell>
          <cell r="D112">
            <v>85.14</v>
          </cell>
          <cell r="E112">
            <v>44.69</v>
          </cell>
          <cell r="F112">
            <v>3804.9065999999998</v>
          </cell>
          <cell r="G112">
            <v>85.14</v>
          </cell>
          <cell r="H112">
            <v>3804.9065999999998</v>
          </cell>
          <cell r="I112">
            <v>1</v>
          </cell>
          <cell r="J112">
            <v>0</v>
          </cell>
          <cell r="K112">
            <v>0</v>
          </cell>
          <cell r="L112" t="str">
            <v>0.00%</v>
          </cell>
          <cell r="M112">
            <v>85.14</v>
          </cell>
          <cell r="N112">
            <v>3804.9065999999998</v>
          </cell>
          <cell r="O112">
            <v>1</v>
          </cell>
          <cell r="P112">
            <v>0</v>
          </cell>
          <cell r="Q112">
            <v>0</v>
          </cell>
          <cell r="R112" t="str">
            <v>0.00%</v>
          </cell>
        </row>
        <row r="113">
          <cell r="A113" t="str">
            <v>02.04.03</v>
          </cell>
          <cell r="B113" t="str">
            <v>COLUMNAS</v>
          </cell>
          <cell r="C113">
            <v>0</v>
          </cell>
          <cell r="D113">
            <v>0</v>
          </cell>
          <cell r="E113">
            <v>0</v>
          </cell>
          <cell r="F113">
            <v>0</v>
          </cell>
          <cell r="G113">
            <v>0</v>
          </cell>
          <cell r="H113">
            <v>0</v>
          </cell>
          <cell r="I113">
            <v>0</v>
          </cell>
          <cell r="J113">
            <v>0</v>
          </cell>
          <cell r="K113">
            <v>0</v>
          </cell>
          <cell r="L113">
            <v>0</v>
          </cell>
          <cell r="M113">
            <v>0</v>
          </cell>
          <cell r="N113">
            <v>0</v>
          </cell>
          <cell r="O113">
            <v>0</v>
          </cell>
          <cell r="P113">
            <v>0</v>
          </cell>
          <cell r="Q113">
            <v>0</v>
          </cell>
          <cell r="R113">
            <v>0</v>
          </cell>
        </row>
        <row r="114">
          <cell r="A114" t="str">
            <v>02.04.03.01</v>
          </cell>
          <cell r="B114" t="str">
            <v>CONCRETO EN COLUMNAS F'C=210 KG/CM2</v>
          </cell>
          <cell r="C114" t="str">
            <v>m3</v>
          </cell>
          <cell r="D114">
            <v>28.02</v>
          </cell>
          <cell r="E114">
            <v>521.12</v>
          </cell>
          <cell r="F114">
            <v>14601.7824</v>
          </cell>
          <cell r="G114">
            <v>28.02</v>
          </cell>
          <cell r="H114">
            <v>14601.7824</v>
          </cell>
          <cell r="I114">
            <v>1</v>
          </cell>
          <cell r="J114">
            <v>0</v>
          </cell>
          <cell r="K114">
            <v>0</v>
          </cell>
          <cell r="L114" t="str">
            <v>0.00%</v>
          </cell>
          <cell r="M114">
            <v>28.02</v>
          </cell>
          <cell r="N114">
            <v>14601.7824</v>
          </cell>
          <cell r="O114">
            <v>1</v>
          </cell>
          <cell r="P114">
            <v>0</v>
          </cell>
          <cell r="Q114">
            <v>0</v>
          </cell>
          <cell r="R114" t="str">
            <v>0.00%</v>
          </cell>
        </row>
        <row r="115">
          <cell r="A115" t="str">
            <v>02.04.03.02</v>
          </cell>
          <cell r="B115" t="str">
            <v>ACERO F'Y=4200 KG/CM2 GRADO 60 EN COLUMNAS</v>
          </cell>
          <cell r="C115" t="str">
            <v>kg</v>
          </cell>
          <cell r="D115">
            <v>3821.42</v>
          </cell>
          <cell r="E115">
            <v>4.5</v>
          </cell>
          <cell r="F115">
            <v>17196.39</v>
          </cell>
          <cell r="G115">
            <v>3821.42</v>
          </cell>
          <cell r="H115">
            <v>17196.39</v>
          </cell>
          <cell r="I115">
            <v>1</v>
          </cell>
          <cell r="J115">
            <v>0</v>
          </cell>
          <cell r="K115">
            <v>0</v>
          </cell>
          <cell r="L115" t="str">
            <v>0.00%</v>
          </cell>
          <cell r="M115">
            <v>3821.42</v>
          </cell>
          <cell r="N115">
            <v>17196.39</v>
          </cell>
          <cell r="O115">
            <v>1</v>
          </cell>
          <cell r="P115">
            <v>0</v>
          </cell>
          <cell r="Q115">
            <v>0</v>
          </cell>
          <cell r="R115" t="str">
            <v>0.00%</v>
          </cell>
        </row>
        <row r="116">
          <cell r="A116" t="str">
            <v>02.04.03.03</v>
          </cell>
          <cell r="B116" t="str">
            <v>ENCOFRADO Y DESENCOFRADO NORMAL EN COLUMNAS</v>
          </cell>
          <cell r="C116" t="str">
            <v>m2</v>
          </cell>
          <cell r="D116">
            <v>307.99</v>
          </cell>
          <cell r="E116">
            <v>49.71</v>
          </cell>
          <cell r="F116">
            <v>15310.182900000002</v>
          </cell>
          <cell r="G116">
            <v>307.99</v>
          </cell>
          <cell r="H116">
            <v>15310.182900000002</v>
          </cell>
          <cell r="I116">
            <v>1</v>
          </cell>
          <cell r="J116">
            <v>0</v>
          </cell>
          <cell r="K116">
            <v>0</v>
          </cell>
          <cell r="L116" t="str">
            <v>0.00%</v>
          </cell>
          <cell r="M116">
            <v>307.99</v>
          </cell>
          <cell r="N116">
            <v>15310.182900000002</v>
          </cell>
          <cell r="O116">
            <v>1</v>
          </cell>
          <cell r="P116">
            <v>0</v>
          </cell>
          <cell r="Q116">
            <v>0</v>
          </cell>
          <cell r="R116" t="str">
            <v>0.00%</v>
          </cell>
        </row>
        <row r="117">
          <cell r="A117" t="str">
            <v>02.04.04</v>
          </cell>
          <cell r="B117" t="str">
            <v>COLUMNETAS</v>
          </cell>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row>
        <row r="118">
          <cell r="A118" t="str">
            <v>02.04.04.01</v>
          </cell>
          <cell r="B118" t="str">
            <v>CONCRETO EN COLUMNETAS F'C=210 KG/CM2</v>
          </cell>
          <cell r="C118" t="str">
            <v>m3</v>
          </cell>
          <cell r="D118">
            <v>8.4</v>
          </cell>
          <cell r="E118">
            <v>521.12</v>
          </cell>
          <cell r="F118">
            <v>4377.4080000000004</v>
          </cell>
          <cell r="G118">
            <v>3.6599999999999997</v>
          </cell>
          <cell r="H118">
            <v>1907.2991999999999</v>
          </cell>
          <cell r="I118">
            <v>0.43571428571428567</v>
          </cell>
          <cell r="J118">
            <v>4.7399990000000001</v>
          </cell>
          <cell r="K118">
            <v>2470.1082788799999</v>
          </cell>
          <cell r="L118">
            <v>0.56428559523809518</v>
          </cell>
          <cell r="M118">
            <v>8.3999989999999993</v>
          </cell>
          <cell r="N118">
            <v>4377.4074788799999</v>
          </cell>
          <cell r="O118">
            <v>0.99999988095238079</v>
          </cell>
          <cell r="P118">
            <v>1.0000000010279564E-6</v>
          </cell>
          <cell r="Q118">
            <v>5.2112000048509799E-4</v>
          </cell>
          <cell r="R118">
            <v>1.1904761915843758E-7</v>
          </cell>
        </row>
        <row r="119">
          <cell r="A119" t="str">
            <v>02.04.04.02</v>
          </cell>
          <cell r="B119" t="str">
            <v>ACERO F'Y=4200 KG/CM2 GRADO 60 EN COLUMNETAS</v>
          </cell>
          <cell r="C119" t="str">
            <v>kg</v>
          </cell>
          <cell r="D119">
            <v>1391.91</v>
          </cell>
          <cell r="E119">
            <v>4.4400000000000004</v>
          </cell>
          <cell r="F119">
            <v>6180.0804000000007</v>
          </cell>
          <cell r="G119">
            <v>1391.91</v>
          </cell>
          <cell r="H119">
            <v>6180.0804000000007</v>
          </cell>
          <cell r="I119">
            <v>1</v>
          </cell>
          <cell r="J119">
            <v>0</v>
          </cell>
          <cell r="K119">
            <v>0</v>
          </cell>
          <cell r="L119" t="str">
            <v>0.00%</v>
          </cell>
          <cell r="M119">
            <v>1391.91</v>
          </cell>
          <cell r="N119">
            <v>6180.0804000000007</v>
          </cell>
          <cell r="O119">
            <v>1</v>
          </cell>
          <cell r="P119">
            <v>0</v>
          </cell>
          <cell r="Q119">
            <v>0</v>
          </cell>
          <cell r="R119" t="str">
            <v>0.00%</v>
          </cell>
        </row>
        <row r="120">
          <cell r="A120" t="str">
            <v>02.04.04.03</v>
          </cell>
          <cell r="B120" t="str">
            <v>ENCOFRADO Y DESNCOFRADO NORMAL  EN COLUMNETAS</v>
          </cell>
          <cell r="C120" t="str">
            <v>m2</v>
          </cell>
          <cell r="D120">
            <v>67.23</v>
          </cell>
          <cell r="E120">
            <v>49.71</v>
          </cell>
          <cell r="F120">
            <v>3342.0033000000003</v>
          </cell>
          <cell r="G120">
            <v>29.279999999999998</v>
          </cell>
          <cell r="H120">
            <v>1455.5087999999998</v>
          </cell>
          <cell r="I120">
            <v>0.43551985720660413</v>
          </cell>
          <cell r="J120">
            <v>37.949999999999996</v>
          </cell>
          <cell r="K120">
            <v>1886.4944999999998</v>
          </cell>
          <cell r="L120">
            <v>0.56448014279339565</v>
          </cell>
          <cell r="M120">
            <v>67.22999999999999</v>
          </cell>
          <cell r="N120">
            <v>3342.0032999999994</v>
          </cell>
          <cell r="O120">
            <v>0.99999999999999978</v>
          </cell>
          <cell r="P120">
            <v>1.4210854715202004E-14</v>
          </cell>
          <cell r="Q120">
            <v>9.0949470177292824E-13</v>
          </cell>
          <cell r="R120">
            <v>2.7214057561610669E-16</v>
          </cell>
        </row>
        <row r="121">
          <cell r="A121" t="str">
            <v>02.04.05</v>
          </cell>
          <cell r="B121" t="str">
            <v>VIGAS</v>
          </cell>
          <cell r="C121">
            <v>0</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row>
        <row r="122">
          <cell r="A122" t="str">
            <v>02.04.05.01</v>
          </cell>
          <cell r="B122" t="str">
            <v>CONCRETO EN VIGAS F'C=210 KG/CM2</v>
          </cell>
          <cell r="C122" t="str">
            <v>m3</v>
          </cell>
          <cell r="D122">
            <v>30.6</v>
          </cell>
          <cell r="E122">
            <v>486.07</v>
          </cell>
          <cell r="F122">
            <v>14873.742</v>
          </cell>
          <cell r="G122">
            <v>30.6</v>
          </cell>
          <cell r="H122">
            <v>14873.742</v>
          </cell>
          <cell r="I122">
            <v>1</v>
          </cell>
          <cell r="J122">
            <v>0</v>
          </cell>
          <cell r="K122">
            <v>0</v>
          </cell>
          <cell r="L122" t="str">
            <v>0.00%</v>
          </cell>
          <cell r="M122">
            <v>30.6</v>
          </cell>
          <cell r="N122">
            <v>14873.742</v>
          </cell>
          <cell r="O122">
            <v>1</v>
          </cell>
          <cell r="P122">
            <v>0</v>
          </cell>
          <cell r="Q122">
            <v>0</v>
          </cell>
          <cell r="R122" t="str">
            <v>0.00%</v>
          </cell>
        </row>
        <row r="123">
          <cell r="A123" t="str">
            <v>02.04.05.02</v>
          </cell>
          <cell r="B123" t="str">
            <v>ACERO F'Y=4200 KG/CM2 GRADO 60 EN VIGAS</v>
          </cell>
          <cell r="C123" t="str">
            <v>kg</v>
          </cell>
          <cell r="D123">
            <v>4084.63</v>
          </cell>
          <cell r="E123">
            <v>4.5</v>
          </cell>
          <cell r="F123">
            <v>18380.834999999999</v>
          </cell>
          <cell r="G123">
            <v>4084.63</v>
          </cell>
          <cell r="H123">
            <v>18380.834999999999</v>
          </cell>
          <cell r="I123">
            <v>1</v>
          </cell>
          <cell r="J123">
            <v>0</v>
          </cell>
          <cell r="K123">
            <v>0</v>
          </cell>
          <cell r="L123" t="str">
            <v>0.00%</v>
          </cell>
          <cell r="M123">
            <v>4084.63</v>
          </cell>
          <cell r="N123">
            <v>18380.834999999999</v>
          </cell>
          <cell r="O123">
            <v>1</v>
          </cell>
          <cell r="P123">
            <v>0</v>
          </cell>
          <cell r="Q123">
            <v>0</v>
          </cell>
          <cell r="R123" t="str">
            <v>0.00%</v>
          </cell>
        </row>
        <row r="124">
          <cell r="A124" t="str">
            <v>02.04.05.03</v>
          </cell>
          <cell r="B124" t="str">
            <v>ENCOFRADO Y DESNCOFRADO NORMAL EN VIGAS</v>
          </cell>
          <cell r="C124" t="str">
            <v>m2</v>
          </cell>
          <cell r="D124">
            <v>220.41</v>
          </cell>
          <cell r="E124">
            <v>54.02</v>
          </cell>
          <cell r="F124">
            <v>11906.548200000001</v>
          </cell>
          <cell r="G124">
            <v>220.41</v>
          </cell>
          <cell r="H124">
            <v>11906.548200000001</v>
          </cell>
          <cell r="I124">
            <v>1</v>
          </cell>
          <cell r="J124">
            <v>0</v>
          </cell>
          <cell r="K124">
            <v>0</v>
          </cell>
          <cell r="L124" t="str">
            <v>0.00%</v>
          </cell>
          <cell r="M124">
            <v>220.41</v>
          </cell>
          <cell r="N124">
            <v>11906.548200000001</v>
          </cell>
          <cell r="O124">
            <v>1</v>
          </cell>
          <cell r="P124">
            <v>0</v>
          </cell>
          <cell r="Q124">
            <v>0</v>
          </cell>
          <cell r="R124" t="str">
            <v>0.00%</v>
          </cell>
        </row>
        <row r="125">
          <cell r="A125" t="str">
            <v>02.04.06</v>
          </cell>
          <cell r="B125" t="str">
            <v>VIGUETAS DE VANOS</v>
          </cell>
          <cell r="C125">
            <v>0</v>
          </cell>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row>
        <row r="126">
          <cell r="A126" t="str">
            <v>02.04.06.01</v>
          </cell>
          <cell r="B126" t="str">
            <v>CONCRETO EN VIGUETAS DE VANO F'C=175 KG/CM2</v>
          </cell>
          <cell r="C126" t="str">
            <v>m3</v>
          </cell>
          <cell r="D126">
            <v>5.35</v>
          </cell>
          <cell r="E126">
            <v>271.35000000000002</v>
          </cell>
          <cell r="F126">
            <v>1451.7225000000001</v>
          </cell>
          <cell r="G126">
            <v>1.9432500000000001</v>
          </cell>
          <cell r="H126">
            <v>527.30088750000004</v>
          </cell>
          <cell r="I126">
            <v>0.36322429906542059</v>
          </cell>
          <cell r="J126">
            <v>3.4067400000000001</v>
          </cell>
          <cell r="K126">
            <v>924.41889900000012</v>
          </cell>
          <cell r="L126">
            <v>0.63677383177570102</v>
          </cell>
          <cell r="M126">
            <v>5.34999</v>
          </cell>
          <cell r="N126">
            <v>1451.7197865000003</v>
          </cell>
          <cell r="O126">
            <v>0.99999813084112166</v>
          </cell>
          <cell r="P126">
            <v>9.9999999996214228E-6</v>
          </cell>
          <cell r="Q126">
            <v>2.7134999997997511E-3</v>
          </cell>
          <cell r="R126">
            <v>1.8691588783667339E-6</v>
          </cell>
        </row>
        <row r="127">
          <cell r="A127" t="str">
            <v>02.04.06.02</v>
          </cell>
          <cell r="B127" t="str">
            <v>ACERO GRADO 60 EN VIGUETAS DE VANO</v>
          </cell>
          <cell r="C127" t="str">
            <v>kg</v>
          </cell>
          <cell r="D127">
            <v>173.64</v>
          </cell>
          <cell r="E127">
            <v>4.5</v>
          </cell>
          <cell r="F127">
            <v>781.37999999999988</v>
          </cell>
          <cell r="G127">
            <v>92.762000000000015</v>
          </cell>
          <cell r="H127">
            <v>417.42900000000009</v>
          </cell>
          <cell r="I127">
            <v>0.53422022575443462</v>
          </cell>
          <cell r="J127">
            <v>80.876999999999995</v>
          </cell>
          <cell r="K127">
            <v>363.94649999999996</v>
          </cell>
          <cell r="L127">
            <v>0.46577401520387007</v>
          </cell>
          <cell r="M127">
            <v>173.63900000000001</v>
          </cell>
          <cell r="N127">
            <v>781.3755000000001</v>
          </cell>
          <cell r="O127">
            <v>0.9999942409583048</v>
          </cell>
          <cell r="P127">
            <v>9.9999999997635314E-4</v>
          </cell>
          <cell r="Q127">
            <v>4.4999999997799023E-3</v>
          </cell>
          <cell r="R127">
            <v>5.7590416951801982E-6</v>
          </cell>
        </row>
        <row r="128">
          <cell r="A128" t="str">
            <v>02.04.06.03</v>
          </cell>
          <cell r="B128" t="str">
            <v>ENCOFRADO Y DESENCOFRADO EN VIGUETAS DE VANO</v>
          </cell>
          <cell r="C128" t="str">
            <v>m2</v>
          </cell>
          <cell r="D128">
            <v>66.03</v>
          </cell>
          <cell r="E128">
            <v>41.63</v>
          </cell>
          <cell r="F128">
            <v>2748.8289000000004</v>
          </cell>
          <cell r="G128">
            <v>28.500999999999998</v>
          </cell>
          <cell r="H128">
            <v>1186.4966299999999</v>
          </cell>
          <cell r="I128">
            <v>0.43163713463577152</v>
          </cell>
          <cell r="J128">
            <v>37.529000000000003</v>
          </cell>
          <cell r="K128">
            <v>1562.3322700000003</v>
          </cell>
          <cell r="L128">
            <v>0.56836286536422842</v>
          </cell>
          <cell r="M128">
            <v>66.03</v>
          </cell>
          <cell r="N128">
            <v>2748.8289000000004</v>
          </cell>
          <cell r="O128">
            <v>1</v>
          </cell>
          <cell r="P128">
            <v>0</v>
          </cell>
          <cell r="Q128">
            <v>0</v>
          </cell>
          <cell r="R128" t="str">
            <v>0.00%</v>
          </cell>
        </row>
        <row r="129">
          <cell r="A129" t="str">
            <v>02.04.07</v>
          </cell>
          <cell r="B129" t="str">
            <v>LOSAS ALIGERADAS</v>
          </cell>
          <cell r="C129">
            <v>0</v>
          </cell>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row>
        <row r="130">
          <cell r="A130" t="str">
            <v>02.04.07.01</v>
          </cell>
          <cell r="B130" t="str">
            <v>CONCRETO EN LOSAS ALIGERADAS F'C=210 KG/CM2</v>
          </cell>
          <cell r="C130" t="str">
            <v>m3</v>
          </cell>
          <cell r="D130">
            <v>32.42</v>
          </cell>
          <cell r="E130">
            <v>487.24</v>
          </cell>
          <cell r="F130">
            <v>15796.320800000001</v>
          </cell>
          <cell r="G130">
            <v>32.42</v>
          </cell>
          <cell r="H130">
            <v>15796.320800000001</v>
          </cell>
          <cell r="I130">
            <v>1</v>
          </cell>
          <cell r="J130">
            <v>0</v>
          </cell>
          <cell r="K130">
            <v>0</v>
          </cell>
          <cell r="L130" t="str">
            <v>0.00%</v>
          </cell>
          <cell r="M130">
            <v>32.42</v>
          </cell>
          <cell r="N130">
            <v>15796.320800000001</v>
          </cell>
          <cell r="O130">
            <v>1</v>
          </cell>
          <cell r="P130">
            <v>0</v>
          </cell>
          <cell r="Q130">
            <v>0</v>
          </cell>
          <cell r="R130" t="str">
            <v>0.00%</v>
          </cell>
        </row>
        <row r="131">
          <cell r="A131" t="str">
            <v>02.04.07.02</v>
          </cell>
          <cell r="B131" t="str">
            <v>ACERO F'Y=4200 KG/CM2 GRADO 60 EN LOSAS ALIGERADAS</v>
          </cell>
          <cell r="C131" t="str">
            <v>kg</v>
          </cell>
          <cell r="D131">
            <v>2873.11</v>
          </cell>
          <cell r="E131">
            <v>4.5</v>
          </cell>
          <cell r="F131">
            <v>12928.995000000001</v>
          </cell>
          <cell r="G131">
            <v>2873.11</v>
          </cell>
          <cell r="H131">
            <v>12928.995000000001</v>
          </cell>
          <cell r="I131">
            <v>1</v>
          </cell>
          <cell r="J131">
            <v>0</v>
          </cell>
          <cell r="K131">
            <v>0</v>
          </cell>
          <cell r="L131" t="str">
            <v>0.00%</v>
          </cell>
          <cell r="M131">
            <v>2873.11</v>
          </cell>
          <cell r="N131">
            <v>12928.995000000001</v>
          </cell>
          <cell r="O131">
            <v>1</v>
          </cell>
          <cell r="P131">
            <v>0</v>
          </cell>
          <cell r="Q131">
            <v>0</v>
          </cell>
          <cell r="R131" t="str">
            <v>0.00%</v>
          </cell>
        </row>
        <row r="132">
          <cell r="A132" t="str">
            <v>02.04.07.03</v>
          </cell>
          <cell r="B132" t="str">
            <v>ENCOFRADO Y DESENCOFRADO NORMAL EN LOSAS ALIGERADAS</v>
          </cell>
          <cell r="C132" t="str">
            <v>m2</v>
          </cell>
          <cell r="D132">
            <v>370.59</v>
          </cell>
          <cell r="E132">
            <v>29.08</v>
          </cell>
          <cell r="F132">
            <v>10776.757199999998</v>
          </cell>
          <cell r="G132">
            <v>370.5899</v>
          </cell>
          <cell r="H132">
            <v>10776.754292</v>
          </cell>
          <cell r="I132">
            <v>0.9999997301600152</v>
          </cell>
          <cell r="J132">
            <v>0</v>
          </cell>
          <cell r="K132">
            <v>0</v>
          </cell>
          <cell r="L132" t="str">
            <v>0.00%</v>
          </cell>
          <cell r="M132">
            <v>370.5899</v>
          </cell>
          <cell r="N132">
            <v>10776.754292</v>
          </cell>
          <cell r="O132">
            <v>0.9999997301600152</v>
          </cell>
          <cell r="P132">
            <v>9.9999999974897946E-5</v>
          </cell>
          <cell r="Q132">
            <v>2.9079999985697214E-3</v>
          </cell>
          <cell r="R132">
            <v>2.6983998475624206E-7</v>
          </cell>
        </row>
        <row r="133">
          <cell r="A133" t="str">
            <v>02.04.07.04</v>
          </cell>
          <cell r="B133" t="str">
            <v>LADRILLO DE ARCILLA HUECO 15X30X30 PARA TECHO</v>
          </cell>
          <cell r="C133" t="str">
            <v>und</v>
          </cell>
          <cell r="D133">
            <v>3087.03</v>
          </cell>
          <cell r="E133">
            <v>4.66</v>
          </cell>
          <cell r="F133">
            <v>14385.559800000001</v>
          </cell>
          <cell r="G133">
            <v>3087.0299999999997</v>
          </cell>
          <cell r="H133">
            <v>14385.559799999999</v>
          </cell>
          <cell r="I133">
            <v>0.99999999999999989</v>
          </cell>
          <cell r="J133">
            <v>0</v>
          </cell>
          <cell r="K133">
            <v>0</v>
          </cell>
          <cell r="L133" t="str">
            <v>0.00%</v>
          </cell>
          <cell r="M133">
            <v>3087.0299999999997</v>
          </cell>
          <cell r="N133">
            <v>14385.559799999999</v>
          </cell>
          <cell r="O133">
            <v>0.99999999999999989</v>
          </cell>
          <cell r="P133">
            <v>4.5474735088646412E-13</v>
          </cell>
          <cell r="Q133">
            <v>1.8189894035458565E-12</v>
          </cell>
          <cell r="R133">
            <v>1.2644550708036099E-16</v>
          </cell>
        </row>
        <row r="134">
          <cell r="A134" t="str">
            <v>02.04.08</v>
          </cell>
          <cell r="B134" t="str">
            <v>CUNETA DE  EVACUACION PLUVIAL EN TECHO</v>
          </cell>
          <cell r="C134">
            <v>0</v>
          </cell>
          <cell r="D134">
            <v>0</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row>
        <row r="135">
          <cell r="A135" t="str">
            <v>02.04.08.01</v>
          </cell>
          <cell r="B135" t="str">
            <v>CONCRETO EN CUNETA F'C= 210 KG/CM2</v>
          </cell>
          <cell r="C135" t="str">
            <v>m3</v>
          </cell>
          <cell r="D135">
            <v>2.09</v>
          </cell>
          <cell r="E135">
            <v>482.39</v>
          </cell>
          <cell r="F135">
            <v>1008.1950999999999</v>
          </cell>
          <cell r="G135">
            <v>2.09</v>
          </cell>
          <cell r="H135">
            <v>1008.1950999999999</v>
          </cell>
          <cell r="I135">
            <v>1</v>
          </cell>
          <cell r="J135">
            <v>0</v>
          </cell>
          <cell r="K135">
            <v>0</v>
          </cell>
          <cell r="L135" t="str">
            <v>0.00%</v>
          </cell>
          <cell r="M135">
            <v>2.09</v>
          </cell>
          <cell r="N135">
            <v>1008.1950999999999</v>
          </cell>
          <cell r="O135">
            <v>1</v>
          </cell>
          <cell r="P135">
            <v>0</v>
          </cell>
          <cell r="Q135">
            <v>0</v>
          </cell>
          <cell r="R135" t="str">
            <v>0.00%</v>
          </cell>
        </row>
        <row r="136">
          <cell r="A136" t="str">
            <v>02.04.08.02</v>
          </cell>
          <cell r="B136" t="str">
            <v>ACERO F'Y=4200 KG/CM2 GRADO 60 EN CUNETA</v>
          </cell>
          <cell r="C136" t="str">
            <v>kg</v>
          </cell>
          <cell r="D136">
            <v>297.77999999999997</v>
          </cell>
          <cell r="E136">
            <v>4.4400000000000004</v>
          </cell>
          <cell r="F136">
            <v>1322.1432</v>
          </cell>
          <cell r="G136">
            <v>297.77999999999997</v>
          </cell>
          <cell r="H136">
            <v>1322.1432</v>
          </cell>
          <cell r="I136">
            <v>1</v>
          </cell>
          <cell r="J136">
            <v>0</v>
          </cell>
          <cell r="K136">
            <v>0</v>
          </cell>
          <cell r="L136" t="str">
            <v>0.00%</v>
          </cell>
          <cell r="M136">
            <v>297.77999999999997</v>
          </cell>
          <cell r="N136">
            <v>1322.1432</v>
          </cell>
          <cell r="O136">
            <v>1</v>
          </cell>
          <cell r="P136">
            <v>0</v>
          </cell>
          <cell r="Q136">
            <v>0</v>
          </cell>
          <cell r="R136" t="str">
            <v>0.00%</v>
          </cell>
        </row>
        <row r="137">
          <cell r="A137" t="str">
            <v>02.04.08.03</v>
          </cell>
          <cell r="B137" t="str">
            <v>ENCOFRADO Y DESENCOFRADO NORMAL EN CUNETAS</v>
          </cell>
          <cell r="C137" t="str">
            <v>m2</v>
          </cell>
          <cell r="D137">
            <v>41.89</v>
          </cell>
          <cell r="E137">
            <v>44.85</v>
          </cell>
          <cell r="F137">
            <v>1878.7665000000002</v>
          </cell>
          <cell r="G137">
            <v>41.89</v>
          </cell>
          <cell r="H137">
            <v>1878.7665000000002</v>
          </cell>
          <cell r="I137">
            <v>1</v>
          </cell>
          <cell r="J137">
            <v>0</v>
          </cell>
          <cell r="K137">
            <v>0</v>
          </cell>
          <cell r="L137" t="str">
            <v>0.00%</v>
          </cell>
          <cell r="M137">
            <v>41.89</v>
          </cell>
          <cell r="N137">
            <v>1878.7665000000002</v>
          </cell>
          <cell r="O137">
            <v>1</v>
          </cell>
          <cell r="P137">
            <v>0</v>
          </cell>
          <cell r="Q137">
            <v>0</v>
          </cell>
          <cell r="R137" t="str">
            <v>0.00%</v>
          </cell>
        </row>
        <row r="138">
          <cell r="A138" t="str">
            <v>02.04.09</v>
          </cell>
          <cell r="B138" t="str">
            <v>MARCO DE VENTANA DE CONCRETO</v>
          </cell>
          <cell r="C138">
            <v>0</v>
          </cell>
          <cell r="D138">
            <v>0</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row>
        <row r="139">
          <cell r="A139" t="str">
            <v>02.04.09.01</v>
          </cell>
          <cell r="B139" t="str">
            <v>CONCRETO F'C= 175 KG/CM2 EN MARCO DE VENTANA</v>
          </cell>
          <cell r="C139" t="str">
            <v>m3</v>
          </cell>
          <cell r="D139">
            <v>1.07</v>
          </cell>
          <cell r="E139">
            <v>462.25</v>
          </cell>
          <cell r="F139">
            <v>494.60750000000002</v>
          </cell>
          <cell r="G139">
            <v>0</v>
          </cell>
          <cell r="H139">
            <v>0</v>
          </cell>
          <cell r="I139" t="str">
            <v>0.00%</v>
          </cell>
          <cell r="J139">
            <v>0.192</v>
          </cell>
          <cell r="K139">
            <v>88.751999999999995</v>
          </cell>
          <cell r="L139">
            <v>0.17943925233644858</v>
          </cell>
          <cell r="M139">
            <v>0.192</v>
          </cell>
          <cell r="N139">
            <v>88.751999999999995</v>
          </cell>
          <cell r="O139">
            <v>0.17943925233644858</v>
          </cell>
          <cell r="P139">
            <v>0.87800000000000011</v>
          </cell>
          <cell r="Q139">
            <v>405.85550000000001</v>
          </cell>
          <cell r="R139">
            <v>0.82056074766355136</v>
          </cell>
        </row>
        <row r="140">
          <cell r="A140" t="str">
            <v>02.04.09.02</v>
          </cell>
          <cell r="B140" t="str">
            <v>ACERO F'Y=4200 KG/CM2 GRADO 60 EN MARCO DE VENTANA</v>
          </cell>
          <cell r="C140" t="str">
            <v>kg</v>
          </cell>
          <cell r="D140">
            <v>207.36</v>
          </cell>
          <cell r="E140">
            <v>4.4400000000000004</v>
          </cell>
          <cell r="F140">
            <v>920.67840000000012</v>
          </cell>
          <cell r="G140">
            <v>153.36000000000001</v>
          </cell>
          <cell r="H140">
            <v>680.91840000000013</v>
          </cell>
          <cell r="I140">
            <v>0.73958333333333337</v>
          </cell>
          <cell r="J140">
            <v>54</v>
          </cell>
          <cell r="K140">
            <v>239.76000000000002</v>
          </cell>
          <cell r="L140">
            <v>0.26041666666666663</v>
          </cell>
          <cell r="M140">
            <v>207.36</v>
          </cell>
          <cell r="N140">
            <v>920.67840000000012</v>
          </cell>
          <cell r="O140">
            <v>1</v>
          </cell>
          <cell r="P140">
            <v>0</v>
          </cell>
          <cell r="Q140">
            <v>0</v>
          </cell>
          <cell r="R140" t="str">
            <v>0.00%</v>
          </cell>
        </row>
        <row r="141">
          <cell r="A141" t="str">
            <v>02.04.09.03</v>
          </cell>
          <cell r="B141" t="str">
            <v>ENCOFRADO Y DESENCOFRADO EN MARCO DE VENTANA</v>
          </cell>
          <cell r="C141" t="str">
            <v>m2</v>
          </cell>
          <cell r="D141">
            <v>10.72</v>
          </cell>
          <cell r="E141">
            <v>28.78</v>
          </cell>
          <cell r="F141">
            <v>308.52160000000003</v>
          </cell>
          <cell r="G141">
            <v>0</v>
          </cell>
          <cell r="H141">
            <v>0</v>
          </cell>
          <cell r="I141" t="str">
            <v>0.00%</v>
          </cell>
          <cell r="J141">
            <v>1.92</v>
          </cell>
          <cell r="K141">
            <v>55.257600000000004</v>
          </cell>
          <cell r="L141">
            <v>0.17910447761194029</v>
          </cell>
          <cell r="M141">
            <v>1.92</v>
          </cell>
          <cell r="N141">
            <v>55.257600000000004</v>
          </cell>
          <cell r="O141">
            <v>0.17910447761194029</v>
          </cell>
          <cell r="P141">
            <v>8.8000000000000007</v>
          </cell>
          <cell r="Q141">
            <v>253.26400000000004</v>
          </cell>
          <cell r="R141">
            <v>0.82089552238805974</v>
          </cell>
        </row>
        <row r="142">
          <cell r="A142" t="str">
            <v>02.05</v>
          </cell>
          <cell r="B142" t="str">
            <v>JUNTAS DE CONSTRUCCION</v>
          </cell>
          <cell r="C142">
            <v>0</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row>
        <row r="143">
          <cell r="A143" t="str">
            <v>02.05.01</v>
          </cell>
          <cell r="B143" t="str">
            <v>JUNTAS DE TEKNOPOR DE  1"</v>
          </cell>
          <cell r="C143" t="str">
            <v>m</v>
          </cell>
          <cell r="D143">
            <v>11.7</v>
          </cell>
          <cell r="E143">
            <v>9.0500000000000007</v>
          </cell>
          <cell r="F143">
            <v>105.88500000000001</v>
          </cell>
          <cell r="G143">
            <v>0</v>
          </cell>
          <cell r="H143">
            <v>0</v>
          </cell>
          <cell r="I143" t="str">
            <v>0.00%</v>
          </cell>
          <cell r="J143">
            <v>11.7</v>
          </cell>
          <cell r="K143">
            <v>105.88500000000001</v>
          </cell>
          <cell r="L143">
            <v>1</v>
          </cell>
          <cell r="M143">
            <v>11.7</v>
          </cell>
          <cell r="N143">
            <v>105.88500000000001</v>
          </cell>
          <cell r="O143">
            <v>1</v>
          </cell>
          <cell r="P143">
            <v>0</v>
          </cell>
          <cell r="Q143">
            <v>0</v>
          </cell>
          <cell r="R143" t="str">
            <v>0.00%</v>
          </cell>
        </row>
        <row r="144">
          <cell r="A144" t="str">
            <v>02.06</v>
          </cell>
          <cell r="B144" t="str">
            <v>PRUEBAS</v>
          </cell>
          <cell r="C144">
            <v>0</v>
          </cell>
          <cell r="D144">
            <v>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row>
        <row r="145">
          <cell r="A145" t="str">
            <v>02.06.01</v>
          </cell>
          <cell r="B145" t="str">
            <v>PRUEBA DE CALIDAD DEL CONCRETO (PRUEBA A LA COMPRESION)</v>
          </cell>
          <cell r="C145" t="str">
            <v>und</v>
          </cell>
          <cell r="D145">
            <v>2</v>
          </cell>
          <cell r="E145">
            <v>40</v>
          </cell>
          <cell r="F145">
            <v>80</v>
          </cell>
          <cell r="G145">
            <v>2</v>
          </cell>
          <cell r="H145">
            <v>80</v>
          </cell>
          <cell r="I145">
            <v>1</v>
          </cell>
          <cell r="J145">
            <v>0</v>
          </cell>
          <cell r="K145">
            <v>0</v>
          </cell>
          <cell r="L145" t="str">
            <v>0.00%</v>
          </cell>
          <cell r="M145">
            <v>2</v>
          </cell>
          <cell r="N145">
            <v>80</v>
          </cell>
          <cell r="O145">
            <v>1</v>
          </cell>
          <cell r="P145">
            <v>0</v>
          </cell>
          <cell r="Q145">
            <v>0</v>
          </cell>
          <cell r="R145" t="str">
            <v>0.00%</v>
          </cell>
        </row>
        <row r="146">
          <cell r="A146" t="str">
            <v>03</v>
          </cell>
          <cell r="B146" t="str">
            <v xml:space="preserve">BLOQUE - 2 </v>
          </cell>
          <cell r="C146">
            <v>0</v>
          </cell>
          <cell r="D146">
            <v>0</v>
          </cell>
          <cell r="E146">
            <v>0</v>
          </cell>
          <cell r="F146">
            <v>0</v>
          </cell>
          <cell r="G146">
            <v>0</v>
          </cell>
          <cell r="H146">
            <v>0</v>
          </cell>
          <cell r="I146">
            <v>0</v>
          </cell>
          <cell r="J146">
            <v>0</v>
          </cell>
          <cell r="K146">
            <v>0</v>
          </cell>
          <cell r="L146">
            <v>0</v>
          </cell>
          <cell r="M146">
            <v>0</v>
          </cell>
          <cell r="N146">
            <v>0</v>
          </cell>
          <cell r="O146">
            <v>0</v>
          </cell>
          <cell r="P146">
            <v>0</v>
          </cell>
          <cell r="Q146">
            <v>0</v>
          </cell>
          <cell r="R146">
            <v>0</v>
          </cell>
        </row>
        <row r="147">
          <cell r="A147" t="str">
            <v>03.01</v>
          </cell>
          <cell r="B147" t="str">
            <v>TRABAJOS PRELIMINARES</v>
          </cell>
          <cell r="C147">
            <v>0</v>
          </cell>
          <cell r="D147">
            <v>0</v>
          </cell>
          <cell r="E147">
            <v>0</v>
          </cell>
          <cell r="F147">
            <v>0</v>
          </cell>
          <cell r="G147">
            <v>0</v>
          </cell>
          <cell r="H147">
            <v>0</v>
          </cell>
          <cell r="I147">
            <v>0</v>
          </cell>
          <cell r="J147">
            <v>0</v>
          </cell>
          <cell r="K147">
            <v>0</v>
          </cell>
          <cell r="L147">
            <v>0</v>
          </cell>
          <cell r="M147">
            <v>0</v>
          </cell>
          <cell r="N147">
            <v>0</v>
          </cell>
          <cell r="O147">
            <v>0</v>
          </cell>
          <cell r="P147">
            <v>0</v>
          </cell>
          <cell r="Q147">
            <v>0</v>
          </cell>
          <cell r="R147">
            <v>0</v>
          </cell>
        </row>
        <row r="148">
          <cell r="A148" t="str">
            <v>03.01.01</v>
          </cell>
          <cell r="B148" t="str">
            <v>LIMPIEZA DE TERRENO MANUAL</v>
          </cell>
          <cell r="C148" t="str">
            <v>m2</v>
          </cell>
          <cell r="D148">
            <v>320.7</v>
          </cell>
          <cell r="E148">
            <v>1.0900000000000001</v>
          </cell>
          <cell r="F148">
            <v>349.56299999999999</v>
          </cell>
          <cell r="G148">
            <v>320.7</v>
          </cell>
          <cell r="H148">
            <v>349.56299999999999</v>
          </cell>
          <cell r="I148">
            <v>1</v>
          </cell>
          <cell r="J148">
            <v>0</v>
          </cell>
          <cell r="K148">
            <v>0</v>
          </cell>
          <cell r="L148" t="str">
            <v>0.00%</v>
          </cell>
          <cell r="M148">
            <v>320.7</v>
          </cell>
          <cell r="N148">
            <v>349.56299999999999</v>
          </cell>
          <cell r="O148">
            <v>1</v>
          </cell>
          <cell r="P148">
            <v>0</v>
          </cell>
          <cell r="Q148">
            <v>0</v>
          </cell>
          <cell r="R148" t="str">
            <v>0.00%</v>
          </cell>
        </row>
        <row r="149">
          <cell r="A149" t="str">
            <v>03.01.02</v>
          </cell>
          <cell r="B149" t="str">
            <v>TRAZO DURANTE LA EJECUCION DE LA OBRA</v>
          </cell>
          <cell r="C149" t="str">
            <v>m2</v>
          </cell>
          <cell r="D149">
            <v>320.7</v>
          </cell>
          <cell r="E149">
            <v>3.49</v>
          </cell>
          <cell r="F149">
            <v>1119.2429999999999</v>
          </cell>
          <cell r="G149">
            <v>320.7</v>
          </cell>
          <cell r="H149">
            <v>1119.2429999999999</v>
          </cell>
          <cell r="I149">
            <v>1</v>
          </cell>
          <cell r="J149">
            <v>0</v>
          </cell>
          <cell r="K149">
            <v>0</v>
          </cell>
          <cell r="L149" t="str">
            <v>0.00%</v>
          </cell>
          <cell r="M149">
            <v>320.7</v>
          </cell>
          <cell r="N149">
            <v>1119.2429999999999</v>
          </cell>
          <cell r="O149">
            <v>1</v>
          </cell>
          <cell r="P149">
            <v>0</v>
          </cell>
          <cell r="Q149">
            <v>0</v>
          </cell>
          <cell r="R149" t="str">
            <v>0.00%</v>
          </cell>
        </row>
        <row r="150">
          <cell r="A150" t="str">
            <v>03.02</v>
          </cell>
          <cell r="B150" t="str">
            <v>MOVIMIENTO DE TIERRAS</v>
          </cell>
          <cell r="C150">
            <v>0</v>
          </cell>
          <cell r="D150">
            <v>0</v>
          </cell>
          <cell r="E150">
            <v>0</v>
          </cell>
          <cell r="F150">
            <v>0</v>
          </cell>
          <cell r="G150">
            <v>0</v>
          </cell>
          <cell r="H150">
            <v>0</v>
          </cell>
          <cell r="I150">
            <v>0</v>
          </cell>
          <cell r="J150">
            <v>0</v>
          </cell>
          <cell r="K150">
            <v>0</v>
          </cell>
          <cell r="L150">
            <v>0</v>
          </cell>
          <cell r="M150">
            <v>0</v>
          </cell>
          <cell r="N150">
            <v>0</v>
          </cell>
          <cell r="O150">
            <v>0</v>
          </cell>
          <cell r="P150">
            <v>0</v>
          </cell>
          <cell r="Q150">
            <v>0</v>
          </cell>
          <cell r="R150">
            <v>0</v>
          </cell>
        </row>
        <row r="151">
          <cell r="A151" t="str">
            <v>03.02.01</v>
          </cell>
          <cell r="B151" t="str">
            <v xml:space="preserve">EXCAVACION PARA CIMIENTOS-ZAPATAS </v>
          </cell>
          <cell r="C151" t="str">
            <v>m3</v>
          </cell>
          <cell r="D151">
            <v>210.85</v>
          </cell>
          <cell r="E151">
            <v>44.73</v>
          </cell>
          <cell r="F151">
            <v>9431.3204999999998</v>
          </cell>
          <cell r="G151">
            <v>210.85</v>
          </cell>
          <cell r="H151">
            <v>9431.3204999999998</v>
          </cell>
          <cell r="I151">
            <v>1</v>
          </cell>
          <cell r="J151">
            <v>0</v>
          </cell>
          <cell r="K151">
            <v>0</v>
          </cell>
          <cell r="L151" t="str">
            <v>0.00%</v>
          </cell>
          <cell r="M151">
            <v>210.85</v>
          </cell>
          <cell r="N151">
            <v>9431.3204999999998</v>
          </cell>
          <cell r="O151">
            <v>1</v>
          </cell>
          <cell r="P151">
            <v>0</v>
          </cell>
          <cell r="Q151">
            <v>0</v>
          </cell>
          <cell r="R151" t="str">
            <v>0.00%</v>
          </cell>
        </row>
        <row r="152">
          <cell r="A152" t="str">
            <v>03.02.02</v>
          </cell>
          <cell r="B152" t="str">
            <v>RELLENO COMPACTADO CON MATERIAL PROPIO EN CAPAS DE 0.20m.</v>
          </cell>
          <cell r="C152" t="str">
            <v>m3</v>
          </cell>
          <cell r="D152">
            <v>112.69</v>
          </cell>
          <cell r="E152">
            <v>53.95</v>
          </cell>
          <cell r="F152">
            <v>6079.6255000000001</v>
          </cell>
          <cell r="G152">
            <v>112.69</v>
          </cell>
          <cell r="H152">
            <v>6079.6255000000001</v>
          </cell>
          <cell r="I152">
            <v>1</v>
          </cell>
          <cell r="J152">
            <v>0</v>
          </cell>
          <cell r="K152">
            <v>0</v>
          </cell>
          <cell r="L152" t="str">
            <v>0.00%</v>
          </cell>
          <cell r="M152">
            <v>112.69</v>
          </cell>
          <cell r="N152">
            <v>6079.6255000000001</v>
          </cell>
          <cell r="O152">
            <v>1</v>
          </cell>
          <cell r="P152">
            <v>0</v>
          </cell>
          <cell r="Q152">
            <v>0</v>
          </cell>
          <cell r="R152" t="str">
            <v>0.00%</v>
          </cell>
        </row>
        <row r="153">
          <cell r="A153" t="str">
            <v>03.02.03</v>
          </cell>
          <cell r="B153" t="str">
            <v>ACARREO INTERNO, MATERIAL PROCEDENTE DE EXCAVACIONES  Y OTROS</v>
          </cell>
          <cell r="C153" t="str">
            <v>m3</v>
          </cell>
          <cell r="D153">
            <v>127.61</v>
          </cell>
          <cell r="E153">
            <v>19</v>
          </cell>
          <cell r="F153">
            <v>2424.59</v>
          </cell>
          <cell r="G153">
            <v>127.61</v>
          </cell>
          <cell r="H153">
            <v>2424.59</v>
          </cell>
          <cell r="I153">
            <v>1</v>
          </cell>
          <cell r="J153">
            <v>0</v>
          </cell>
          <cell r="K153">
            <v>0</v>
          </cell>
          <cell r="L153" t="str">
            <v>0.00%</v>
          </cell>
          <cell r="M153">
            <v>127.61</v>
          </cell>
          <cell r="N153">
            <v>2424.59</v>
          </cell>
          <cell r="O153">
            <v>1</v>
          </cell>
          <cell r="P153">
            <v>0</v>
          </cell>
          <cell r="Q153">
            <v>0</v>
          </cell>
          <cell r="R153" t="str">
            <v>0.00%</v>
          </cell>
        </row>
        <row r="154">
          <cell r="A154" t="str">
            <v>03.02.04</v>
          </cell>
          <cell r="B154" t="str">
            <v>ELIMINACION DE MATERIAL EXCEDENTE CON EQUIPO</v>
          </cell>
          <cell r="C154" t="str">
            <v>m3</v>
          </cell>
          <cell r="D154">
            <v>127.61</v>
          </cell>
          <cell r="E154">
            <v>14.64</v>
          </cell>
          <cell r="F154">
            <v>1868.2104000000002</v>
          </cell>
          <cell r="G154">
            <v>127.61</v>
          </cell>
          <cell r="H154">
            <v>1868.2104000000002</v>
          </cell>
          <cell r="I154">
            <v>1</v>
          </cell>
          <cell r="J154">
            <v>0</v>
          </cell>
          <cell r="K154">
            <v>0</v>
          </cell>
          <cell r="L154" t="str">
            <v>0.00%</v>
          </cell>
          <cell r="M154">
            <v>127.61</v>
          </cell>
          <cell r="N154">
            <v>1868.2104000000002</v>
          </cell>
          <cell r="O154">
            <v>1</v>
          </cell>
          <cell r="P154">
            <v>0</v>
          </cell>
          <cell r="Q154">
            <v>0</v>
          </cell>
          <cell r="R154" t="str">
            <v>0.00%</v>
          </cell>
        </row>
        <row r="155">
          <cell r="A155" t="str">
            <v>03.02.05</v>
          </cell>
          <cell r="B155" t="str">
            <v xml:space="preserve">AFIRMADO e=20 cm </v>
          </cell>
          <cell r="C155" t="str">
            <v>m3</v>
          </cell>
          <cell r="D155">
            <v>56.33</v>
          </cell>
          <cell r="E155">
            <v>82.36</v>
          </cell>
          <cell r="F155">
            <v>4639.3387999999995</v>
          </cell>
          <cell r="G155">
            <v>56.33</v>
          </cell>
          <cell r="H155">
            <v>4639.3387999999995</v>
          </cell>
          <cell r="I155">
            <v>1</v>
          </cell>
          <cell r="J155">
            <v>0</v>
          </cell>
          <cell r="K155">
            <v>0</v>
          </cell>
          <cell r="L155" t="str">
            <v>0.00%</v>
          </cell>
          <cell r="M155">
            <v>56.33</v>
          </cell>
          <cell r="N155">
            <v>4639.3387999999995</v>
          </cell>
          <cell r="O155">
            <v>1</v>
          </cell>
          <cell r="P155">
            <v>0</v>
          </cell>
          <cell r="Q155">
            <v>0</v>
          </cell>
          <cell r="R155" t="str">
            <v>0.00%</v>
          </cell>
        </row>
        <row r="156">
          <cell r="A156" t="str">
            <v>03.02.06</v>
          </cell>
          <cell r="B156" t="str">
            <v xml:space="preserve">NIVELACION Y COMPACTACION PARA FALSO PISOS, VEREDAS Y PATIOS </v>
          </cell>
          <cell r="C156" t="str">
            <v>m2</v>
          </cell>
          <cell r="D156">
            <v>296.08999999999997</v>
          </cell>
          <cell r="E156">
            <v>9.3800000000000008</v>
          </cell>
          <cell r="F156">
            <v>2777.3242</v>
          </cell>
          <cell r="G156">
            <v>296.08999999999997</v>
          </cell>
          <cell r="H156">
            <v>2777.3242</v>
          </cell>
          <cell r="I156">
            <v>1</v>
          </cell>
          <cell r="J156">
            <v>0</v>
          </cell>
          <cell r="K156">
            <v>0</v>
          </cell>
          <cell r="L156" t="str">
            <v>0.00%</v>
          </cell>
          <cell r="M156">
            <v>296.08999999999997</v>
          </cell>
          <cell r="N156">
            <v>2777.3242</v>
          </cell>
          <cell r="O156">
            <v>1</v>
          </cell>
          <cell r="P156">
            <v>0</v>
          </cell>
          <cell r="Q156">
            <v>0</v>
          </cell>
          <cell r="R156" t="str">
            <v>0.00%</v>
          </cell>
        </row>
        <row r="157">
          <cell r="A157" t="str">
            <v>03.03</v>
          </cell>
          <cell r="B157" t="str">
            <v>CONCRETO SIMPLE</v>
          </cell>
          <cell r="C157">
            <v>0</v>
          </cell>
          <cell r="D157">
            <v>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row>
        <row r="158">
          <cell r="A158" t="str">
            <v>03.03.01</v>
          </cell>
          <cell r="B158" t="str">
            <v>SOLADOS</v>
          </cell>
          <cell r="C158">
            <v>0</v>
          </cell>
          <cell r="D158">
            <v>0</v>
          </cell>
          <cell r="E158">
            <v>0</v>
          </cell>
          <cell r="F158">
            <v>0</v>
          </cell>
          <cell r="G158">
            <v>0</v>
          </cell>
          <cell r="H158">
            <v>0</v>
          </cell>
          <cell r="I158">
            <v>0</v>
          </cell>
          <cell r="J158">
            <v>0</v>
          </cell>
          <cell r="K158">
            <v>0</v>
          </cell>
          <cell r="L158">
            <v>0</v>
          </cell>
          <cell r="M158">
            <v>0</v>
          </cell>
          <cell r="N158">
            <v>0</v>
          </cell>
          <cell r="O158">
            <v>0</v>
          </cell>
          <cell r="P158">
            <v>0</v>
          </cell>
          <cell r="Q158">
            <v>0</v>
          </cell>
          <cell r="R158">
            <v>0</v>
          </cell>
        </row>
        <row r="159">
          <cell r="A159" t="str">
            <v>03.03.01.01</v>
          </cell>
          <cell r="B159" t="str">
            <v>SOLADO E= 2" MEZCLA 1:12 CEMENTO-HORMIGON</v>
          </cell>
          <cell r="C159" t="str">
            <v>m2</v>
          </cell>
          <cell r="D159">
            <v>99.71</v>
          </cell>
          <cell r="E159">
            <v>29.02</v>
          </cell>
          <cell r="F159">
            <v>2893.5841999999998</v>
          </cell>
          <cell r="G159">
            <v>99.71</v>
          </cell>
          <cell r="H159">
            <v>2893.5841999999998</v>
          </cell>
          <cell r="I159">
            <v>1</v>
          </cell>
          <cell r="J159">
            <v>0</v>
          </cell>
          <cell r="K159">
            <v>0</v>
          </cell>
          <cell r="L159" t="str">
            <v>0.00%</v>
          </cell>
          <cell r="M159">
            <v>99.71</v>
          </cell>
          <cell r="N159">
            <v>2893.5841999999998</v>
          </cell>
          <cell r="O159">
            <v>1</v>
          </cell>
          <cell r="P159">
            <v>0</v>
          </cell>
          <cell r="Q159">
            <v>0</v>
          </cell>
          <cell r="R159" t="str">
            <v>0.00%</v>
          </cell>
        </row>
        <row r="160">
          <cell r="A160" t="str">
            <v>03.03.02</v>
          </cell>
          <cell r="B160" t="str">
            <v>CIMIENTOS CORRIDOS</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0</v>
          </cell>
          <cell r="R160">
            <v>0</v>
          </cell>
        </row>
        <row r="161">
          <cell r="A161" t="str">
            <v>03.03.02.01</v>
          </cell>
          <cell r="B161" t="str">
            <v>CIMIENTOS CORRIDOS MEZCLA 1:10 CEMENTO-HORMIGON 30% PIEDRA</v>
          </cell>
          <cell r="C161" t="str">
            <v>m3</v>
          </cell>
          <cell r="D161">
            <v>56.14</v>
          </cell>
          <cell r="E161">
            <v>248.48</v>
          </cell>
          <cell r="F161">
            <v>13949.6672</v>
          </cell>
          <cell r="G161">
            <v>52.17</v>
          </cell>
          <cell r="H161">
            <v>12963.2016</v>
          </cell>
          <cell r="I161">
            <v>0.92928393302458145</v>
          </cell>
          <cell r="J161">
            <v>0</v>
          </cell>
          <cell r="K161">
            <v>0</v>
          </cell>
          <cell r="L161" t="str">
            <v>0.00%</v>
          </cell>
          <cell r="M161">
            <v>52.17</v>
          </cell>
          <cell r="N161">
            <v>12963.2016</v>
          </cell>
          <cell r="O161">
            <v>0.92928393302458145</v>
          </cell>
          <cell r="P161">
            <v>3.9699999999999989</v>
          </cell>
          <cell r="Q161">
            <v>986.46559999999954</v>
          </cell>
          <cell r="R161">
            <v>7.0716066975418559E-2</v>
          </cell>
        </row>
        <row r="162">
          <cell r="A162" t="str">
            <v>03.03.03</v>
          </cell>
          <cell r="B162" t="str">
            <v>SOBRECIMIENTOS</v>
          </cell>
          <cell r="C162">
            <v>0</v>
          </cell>
          <cell r="D162">
            <v>0</v>
          </cell>
          <cell r="E162">
            <v>0</v>
          </cell>
          <cell r="F162">
            <v>0</v>
          </cell>
          <cell r="G162">
            <v>0</v>
          </cell>
          <cell r="H162">
            <v>0</v>
          </cell>
          <cell r="I162">
            <v>0</v>
          </cell>
          <cell r="J162">
            <v>0</v>
          </cell>
          <cell r="K162">
            <v>0</v>
          </cell>
          <cell r="L162">
            <v>0</v>
          </cell>
          <cell r="M162">
            <v>0</v>
          </cell>
          <cell r="N162">
            <v>0</v>
          </cell>
          <cell r="O162">
            <v>0</v>
          </cell>
          <cell r="P162">
            <v>0</v>
          </cell>
          <cell r="Q162">
            <v>0</v>
          </cell>
          <cell r="R162">
            <v>0</v>
          </cell>
        </row>
        <row r="163">
          <cell r="A163" t="str">
            <v>03.03.03.01</v>
          </cell>
          <cell r="B163" t="str">
            <v>CONCRETO 1:8+25% P.M. PARA SOBRECIMIENTOS</v>
          </cell>
          <cell r="C163" t="str">
            <v>m3</v>
          </cell>
          <cell r="D163">
            <v>6.83</v>
          </cell>
          <cell r="E163">
            <v>312.47000000000003</v>
          </cell>
          <cell r="F163">
            <v>2134.1701000000003</v>
          </cell>
          <cell r="G163">
            <v>6.83</v>
          </cell>
          <cell r="H163">
            <v>2134.1701000000003</v>
          </cell>
          <cell r="I163">
            <v>1</v>
          </cell>
          <cell r="J163">
            <v>0</v>
          </cell>
          <cell r="K163">
            <v>0</v>
          </cell>
          <cell r="L163" t="str">
            <v>0.00%</v>
          </cell>
          <cell r="M163">
            <v>6.83</v>
          </cell>
          <cell r="N163">
            <v>2134.1701000000003</v>
          </cell>
          <cell r="O163">
            <v>1</v>
          </cell>
          <cell r="P163">
            <v>0</v>
          </cell>
          <cell r="Q163">
            <v>0</v>
          </cell>
          <cell r="R163" t="str">
            <v>0.00%</v>
          </cell>
        </row>
        <row r="164">
          <cell r="A164" t="str">
            <v>03.03.03.02</v>
          </cell>
          <cell r="B164" t="str">
            <v>ENCOFRADO Y DESENCOFRADO NORMAL PARA SOBRECIMIENTOS HASTA 0.60M.</v>
          </cell>
          <cell r="C164" t="str">
            <v>m2</v>
          </cell>
          <cell r="D164">
            <v>60.2</v>
          </cell>
          <cell r="E164">
            <v>44.43</v>
          </cell>
          <cell r="F164">
            <v>2674.6860000000001</v>
          </cell>
          <cell r="G164">
            <v>60.2</v>
          </cell>
          <cell r="H164">
            <v>2674.6860000000001</v>
          </cell>
          <cell r="I164">
            <v>1</v>
          </cell>
          <cell r="J164">
            <v>0</v>
          </cell>
          <cell r="K164">
            <v>0</v>
          </cell>
          <cell r="L164" t="str">
            <v>0.00%</v>
          </cell>
          <cell r="M164">
            <v>60.2</v>
          </cell>
          <cell r="N164">
            <v>2674.6860000000001</v>
          </cell>
          <cell r="O164">
            <v>1</v>
          </cell>
          <cell r="P164">
            <v>0</v>
          </cell>
          <cell r="Q164">
            <v>0</v>
          </cell>
          <cell r="R164" t="str">
            <v>0.00%</v>
          </cell>
        </row>
        <row r="165">
          <cell r="A165" t="str">
            <v>03.04</v>
          </cell>
          <cell r="B165" t="str">
            <v>CONCRETO ARMADO</v>
          </cell>
          <cell r="C165">
            <v>0</v>
          </cell>
          <cell r="D165">
            <v>0</v>
          </cell>
          <cell r="E165">
            <v>0</v>
          </cell>
          <cell r="F165">
            <v>0</v>
          </cell>
          <cell r="G165">
            <v>0</v>
          </cell>
          <cell r="H165">
            <v>0</v>
          </cell>
          <cell r="I165">
            <v>0</v>
          </cell>
          <cell r="J165">
            <v>0</v>
          </cell>
          <cell r="K165">
            <v>0</v>
          </cell>
          <cell r="L165">
            <v>0</v>
          </cell>
          <cell r="M165">
            <v>0</v>
          </cell>
          <cell r="N165">
            <v>0</v>
          </cell>
          <cell r="O165">
            <v>0</v>
          </cell>
          <cell r="P165">
            <v>0</v>
          </cell>
          <cell r="Q165">
            <v>0</v>
          </cell>
          <cell r="R165">
            <v>0</v>
          </cell>
        </row>
        <row r="166">
          <cell r="A166" t="str">
            <v>03.04.01</v>
          </cell>
          <cell r="B166" t="str">
            <v>ZAPATAS</v>
          </cell>
          <cell r="C166">
            <v>0</v>
          </cell>
          <cell r="D166">
            <v>0</v>
          </cell>
          <cell r="E166">
            <v>0</v>
          </cell>
          <cell r="F166">
            <v>0</v>
          </cell>
          <cell r="G166">
            <v>0</v>
          </cell>
          <cell r="H166">
            <v>0</v>
          </cell>
          <cell r="I166">
            <v>0</v>
          </cell>
          <cell r="J166">
            <v>0</v>
          </cell>
          <cell r="K166">
            <v>0</v>
          </cell>
          <cell r="L166">
            <v>0</v>
          </cell>
          <cell r="M166">
            <v>0</v>
          </cell>
          <cell r="N166">
            <v>0</v>
          </cell>
          <cell r="O166">
            <v>0</v>
          </cell>
          <cell r="P166">
            <v>0</v>
          </cell>
          <cell r="Q166">
            <v>0</v>
          </cell>
          <cell r="R166">
            <v>0</v>
          </cell>
        </row>
        <row r="167">
          <cell r="A167" t="str">
            <v>03.04.01.01</v>
          </cell>
          <cell r="B167" t="str">
            <v>CONCRETO PARA ZAPATAS F'C=210 KG/CM2</v>
          </cell>
          <cell r="C167" t="str">
            <v>m3</v>
          </cell>
          <cell r="D167">
            <v>40.86</v>
          </cell>
          <cell r="E167">
            <v>427.63</v>
          </cell>
          <cell r="F167">
            <v>17472.961800000001</v>
          </cell>
          <cell r="G167">
            <v>40.86</v>
          </cell>
          <cell r="H167">
            <v>17472.961800000001</v>
          </cell>
          <cell r="I167">
            <v>1</v>
          </cell>
          <cell r="J167">
            <v>0</v>
          </cell>
          <cell r="K167">
            <v>0</v>
          </cell>
          <cell r="L167" t="str">
            <v>0.00%</v>
          </cell>
          <cell r="M167">
            <v>40.86</v>
          </cell>
          <cell r="N167">
            <v>17472.961800000001</v>
          </cell>
          <cell r="O167">
            <v>1</v>
          </cell>
          <cell r="P167">
            <v>0</v>
          </cell>
          <cell r="Q167">
            <v>0</v>
          </cell>
          <cell r="R167" t="str">
            <v>0.00%</v>
          </cell>
        </row>
        <row r="168">
          <cell r="A168" t="str">
            <v>03.04.01.02</v>
          </cell>
          <cell r="B168" t="str">
            <v>ACERO F'Y=4200 KG/CM2 GRADO 60 EN ZAPATAS</v>
          </cell>
          <cell r="C168" t="str">
            <v>kg</v>
          </cell>
          <cell r="D168">
            <v>1252.71</v>
          </cell>
          <cell r="E168">
            <v>4.3</v>
          </cell>
          <cell r="F168">
            <v>5386.6530000000002</v>
          </cell>
          <cell r="G168">
            <v>1252.71</v>
          </cell>
          <cell r="H168">
            <v>5386.6530000000002</v>
          </cell>
          <cell r="I168">
            <v>1</v>
          </cell>
          <cell r="J168">
            <v>0</v>
          </cell>
          <cell r="K168">
            <v>0</v>
          </cell>
          <cell r="L168" t="str">
            <v>0.00%</v>
          </cell>
          <cell r="M168">
            <v>1252.71</v>
          </cell>
          <cell r="N168">
            <v>5386.6530000000002</v>
          </cell>
          <cell r="O168">
            <v>1</v>
          </cell>
          <cell r="P168">
            <v>0</v>
          </cell>
          <cell r="Q168">
            <v>0</v>
          </cell>
          <cell r="R168" t="str">
            <v>0.00%</v>
          </cell>
        </row>
        <row r="169">
          <cell r="A169" t="str">
            <v>03.04.02</v>
          </cell>
          <cell r="B169" t="str">
            <v>VIGAS DE CIMENTACION</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0</v>
          </cell>
          <cell r="R169">
            <v>0</v>
          </cell>
        </row>
        <row r="170">
          <cell r="A170" t="str">
            <v>03.04.02.01</v>
          </cell>
          <cell r="B170" t="str">
            <v>CONCRETO F'C= 210 KG/CM2 EN VIGAS DE CIMENTACIÓN</v>
          </cell>
          <cell r="C170" t="str">
            <v>m3</v>
          </cell>
          <cell r="D170">
            <v>14.09</v>
          </cell>
          <cell r="E170">
            <v>451</v>
          </cell>
          <cell r="F170">
            <v>6354.59</v>
          </cell>
          <cell r="G170">
            <v>14.09</v>
          </cell>
          <cell r="H170">
            <v>6354.59</v>
          </cell>
          <cell r="I170">
            <v>1</v>
          </cell>
          <cell r="J170">
            <v>0</v>
          </cell>
          <cell r="K170">
            <v>0</v>
          </cell>
          <cell r="L170" t="str">
            <v>0.00%</v>
          </cell>
          <cell r="M170">
            <v>14.09</v>
          </cell>
          <cell r="N170">
            <v>6354.59</v>
          </cell>
          <cell r="O170">
            <v>1</v>
          </cell>
          <cell r="P170">
            <v>0</v>
          </cell>
          <cell r="Q170">
            <v>0</v>
          </cell>
          <cell r="R170" t="str">
            <v>0.00%</v>
          </cell>
        </row>
        <row r="171">
          <cell r="A171" t="str">
            <v>03.04.02.02</v>
          </cell>
          <cell r="B171" t="str">
            <v>ACERO F'Y=4200 KG/CM2 GRADO 60 EN VIGAS DE CIMENTACIÓN</v>
          </cell>
          <cell r="C171" t="str">
            <v>kg</v>
          </cell>
          <cell r="D171">
            <v>1450.39</v>
          </cell>
          <cell r="E171">
            <v>4.45</v>
          </cell>
          <cell r="F171">
            <v>6454.2355000000007</v>
          </cell>
          <cell r="G171">
            <v>1450.3899999999999</v>
          </cell>
          <cell r="H171">
            <v>6454.2354999999998</v>
          </cell>
          <cell r="I171">
            <v>0.99999999999999989</v>
          </cell>
          <cell r="J171">
            <v>0</v>
          </cell>
          <cell r="K171">
            <v>0</v>
          </cell>
          <cell r="L171" t="str">
            <v>0.00%</v>
          </cell>
          <cell r="M171">
            <v>1450.3899999999999</v>
          </cell>
          <cell r="N171">
            <v>6454.2354999999998</v>
          </cell>
          <cell r="O171">
            <v>0.99999999999999989</v>
          </cell>
          <cell r="P171">
            <v>2.2737367544323206E-13</v>
          </cell>
          <cell r="Q171">
            <v>9.0949470177292824E-13</v>
          </cell>
          <cell r="R171">
            <v>1.4091439672025108E-16</v>
          </cell>
        </row>
        <row r="172">
          <cell r="A172" t="str">
            <v>03.04.02.03</v>
          </cell>
          <cell r="B172" t="str">
            <v>ENCOFRADO Y DESENCOFRADO DE VIGAS DE CIMENTACIÓN</v>
          </cell>
          <cell r="C172" t="str">
            <v>m2</v>
          </cell>
          <cell r="D172">
            <v>112.73</v>
          </cell>
          <cell r="E172">
            <v>44.69</v>
          </cell>
          <cell r="F172">
            <v>5037.9036999999998</v>
          </cell>
          <cell r="G172">
            <v>112.73</v>
          </cell>
          <cell r="H172">
            <v>5037.9036999999998</v>
          </cell>
          <cell r="I172">
            <v>1</v>
          </cell>
          <cell r="J172">
            <v>0</v>
          </cell>
          <cell r="K172">
            <v>0</v>
          </cell>
          <cell r="L172" t="str">
            <v>0.00%</v>
          </cell>
          <cell r="M172">
            <v>112.73</v>
          </cell>
          <cell r="N172">
            <v>5037.9036999999998</v>
          </cell>
          <cell r="O172">
            <v>1</v>
          </cell>
          <cell r="P172">
            <v>0</v>
          </cell>
          <cell r="Q172">
            <v>0</v>
          </cell>
          <cell r="R172" t="str">
            <v>0.00%</v>
          </cell>
        </row>
        <row r="173">
          <cell r="A173" t="str">
            <v>03.04.03</v>
          </cell>
          <cell r="B173" t="str">
            <v>COLUMNAS</v>
          </cell>
          <cell r="C173">
            <v>0</v>
          </cell>
          <cell r="D173">
            <v>0</v>
          </cell>
          <cell r="E173">
            <v>0</v>
          </cell>
          <cell r="F173">
            <v>0</v>
          </cell>
          <cell r="G173">
            <v>0</v>
          </cell>
          <cell r="H173">
            <v>0</v>
          </cell>
          <cell r="I173">
            <v>0</v>
          </cell>
          <cell r="J173">
            <v>0</v>
          </cell>
          <cell r="K173">
            <v>0</v>
          </cell>
          <cell r="L173">
            <v>0</v>
          </cell>
          <cell r="M173">
            <v>0</v>
          </cell>
          <cell r="N173">
            <v>0</v>
          </cell>
          <cell r="O173">
            <v>0</v>
          </cell>
          <cell r="P173">
            <v>0</v>
          </cell>
          <cell r="Q173">
            <v>0</v>
          </cell>
          <cell r="R173">
            <v>0</v>
          </cell>
        </row>
        <row r="174">
          <cell r="A174" t="str">
            <v>03.04.03.01</v>
          </cell>
          <cell r="B174" t="str">
            <v>CONCRETO EN COLUMNAS F'C=210 KG/CM2</v>
          </cell>
          <cell r="C174" t="str">
            <v>m3</v>
          </cell>
          <cell r="D174">
            <v>37.6</v>
          </cell>
          <cell r="E174">
            <v>521.12</v>
          </cell>
          <cell r="F174">
            <v>19594.112000000001</v>
          </cell>
          <cell r="G174">
            <v>37.6</v>
          </cell>
          <cell r="H174">
            <v>19594.112000000001</v>
          </cell>
          <cell r="I174">
            <v>1</v>
          </cell>
          <cell r="J174">
            <v>0</v>
          </cell>
          <cell r="K174">
            <v>0</v>
          </cell>
          <cell r="L174" t="str">
            <v>0.00%</v>
          </cell>
          <cell r="M174">
            <v>37.6</v>
          </cell>
          <cell r="N174">
            <v>19594.112000000001</v>
          </cell>
          <cell r="O174">
            <v>1</v>
          </cell>
          <cell r="P174">
            <v>0</v>
          </cell>
          <cell r="Q174">
            <v>0</v>
          </cell>
          <cell r="R174" t="str">
            <v>0.00%</v>
          </cell>
        </row>
        <row r="175">
          <cell r="A175" t="str">
            <v>03.04.03.02</v>
          </cell>
          <cell r="B175" t="str">
            <v>ACERO F'Y=4200 KG/CM2 GRADO 60 EN COLUMNAS</v>
          </cell>
          <cell r="C175" t="str">
            <v>kg</v>
          </cell>
          <cell r="D175">
            <v>3769.95</v>
          </cell>
          <cell r="E175">
            <v>4.5</v>
          </cell>
          <cell r="F175">
            <v>16964.774999999998</v>
          </cell>
          <cell r="G175">
            <v>3769.95</v>
          </cell>
          <cell r="H175">
            <v>16964.774999999998</v>
          </cell>
          <cell r="I175">
            <v>1</v>
          </cell>
          <cell r="J175">
            <v>0</v>
          </cell>
          <cell r="K175">
            <v>0</v>
          </cell>
          <cell r="L175" t="str">
            <v>0.00%</v>
          </cell>
          <cell r="M175">
            <v>3769.95</v>
          </cell>
          <cell r="N175">
            <v>16964.774999999998</v>
          </cell>
          <cell r="O175">
            <v>1</v>
          </cell>
          <cell r="P175">
            <v>0</v>
          </cell>
          <cell r="Q175">
            <v>0</v>
          </cell>
          <cell r="R175" t="str">
            <v>0.00%</v>
          </cell>
        </row>
        <row r="176">
          <cell r="A176" t="str">
            <v>03.04.03.03</v>
          </cell>
          <cell r="B176" t="str">
            <v>ENCOFRADO Y DESENCOFRADO NORMAL EN COLUMNAS</v>
          </cell>
          <cell r="C176" t="str">
            <v>m2</v>
          </cell>
          <cell r="D176">
            <v>411.41</v>
          </cell>
          <cell r="E176">
            <v>49.71</v>
          </cell>
          <cell r="F176">
            <v>20451.1911</v>
          </cell>
          <cell r="G176">
            <v>411.40999999999997</v>
          </cell>
          <cell r="H176">
            <v>20451.1911</v>
          </cell>
          <cell r="I176">
            <v>1</v>
          </cell>
          <cell r="J176">
            <v>0</v>
          </cell>
          <cell r="K176">
            <v>0</v>
          </cell>
          <cell r="L176" t="str">
            <v>0.00%</v>
          </cell>
          <cell r="M176">
            <v>411.40999999999997</v>
          </cell>
          <cell r="N176">
            <v>20451.1911</v>
          </cell>
          <cell r="O176">
            <v>1</v>
          </cell>
          <cell r="P176">
            <v>5.6843418860808015E-14</v>
          </cell>
          <cell r="Q176">
            <v>0</v>
          </cell>
          <cell r="R176" t="str">
            <v>0.00%</v>
          </cell>
        </row>
        <row r="177">
          <cell r="A177" t="str">
            <v>03.04.04</v>
          </cell>
          <cell r="B177" t="str">
            <v>COLUMNETAS</v>
          </cell>
          <cell r="C177">
            <v>0</v>
          </cell>
          <cell r="D177">
            <v>0</v>
          </cell>
          <cell r="E177">
            <v>0</v>
          </cell>
          <cell r="F177">
            <v>0</v>
          </cell>
          <cell r="G177">
            <v>0</v>
          </cell>
          <cell r="H177">
            <v>0</v>
          </cell>
          <cell r="I177">
            <v>0</v>
          </cell>
          <cell r="J177">
            <v>0</v>
          </cell>
          <cell r="K177">
            <v>0</v>
          </cell>
          <cell r="L177">
            <v>0</v>
          </cell>
          <cell r="M177">
            <v>0</v>
          </cell>
          <cell r="N177">
            <v>0</v>
          </cell>
          <cell r="O177">
            <v>0</v>
          </cell>
          <cell r="P177">
            <v>0</v>
          </cell>
          <cell r="Q177">
            <v>0</v>
          </cell>
          <cell r="R177">
            <v>0</v>
          </cell>
        </row>
        <row r="178">
          <cell r="A178" t="str">
            <v>03.04.04.01</v>
          </cell>
          <cell r="B178" t="str">
            <v>CONCRETO EN COLUMNETAS F'C=210 KG/CM2</v>
          </cell>
          <cell r="C178" t="str">
            <v>m3</v>
          </cell>
          <cell r="D178">
            <v>10.65</v>
          </cell>
          <cell r="E178">
            <v>521.12</v>
          </cell>
          <cell r="F178">
            <v>5549.9279999999999</v>
          </cell>
          <cell r="G178">
            <v>5.3099999999999987</v>
          </cell>
          <cell r="H178">
            <v>2767.1471999999994</v>
          </cell>
          <cell r="I178">
            <v>0.49859154929577454</v>
          </cell>
          <cell r="J178">
            <v>5.3399910000000004</v>
          </cell>
          <cell r="K178">
            <v>2782.7761099200002</v>
          </cell>
          <cell r="L178">
            <v>0.50140760563380282</v>
          </cell>
          <cell r="M178">
            <v>10.649991</v>
          </cell>
          <cell r="N178">
            <v>5549.9233099199992</v>
          </cell>
          <cell r="O178">
            <v>0.99999915492957736</v>
          </cell>
          <cell r="P178">
            <v>9.0000000003698233E-6</v>
          </cell>
          <cell r="Q178">
            <v>4.6900800007279031E-3</v>
          </cell>
          <cell r="R178">
            <v>8.4507042266636667E-7</v>
          </cell>
        </row>
        <row r="179">
          <cell r="A179" t="str">
            <v>03.04.04.02</v>
          </cell>
          <cell r="B179" t="str">
            <v>ACERO F'Y=4200 KG/CM2 GRADO 60 EN COLUMNETAS</v>
          </cell>
          <cell r="C179" t="str">
            <v>kg</v>
          </cell>
          <cell r="D179">
            <v>2123.3200000000002</v>
          </cell>
          <cell r="E179">
            <v>4.4400000000000004</v>
          </cell>
          <cell r="F179">
            <v>9427.5408000000007</v>
          </cell>
          <cell r="G179">
            <v>1595.9719999999998</v>
          </cell>
          <cell r="H179">
            <v>7086.1156799999999</v>
          </cell>
          <cell r="I179">
            <v>0.75163988470885212</v>
          </cell>
          <cell r="J179">
            <v>527.34699999999998</v>
          </cell>
          <cell r="K179">
            <v>2341.4206800000002</v>
          </cell>
          <cell r="L179">
            <v>0.24835964433057664</v>
          </cell>
          <cell r="M179">
            <v>2123.3189999999995</v>
          </cell>
          <cell r="N179">
            <v>9427.5363600000001</v>
          </cell>
          <cell r="O179">
            <v>0.99999952903942879</v>
          </cell>
          <cell r="P179">
            <v>1.0000000006584742E-3</v>
          </cell>
          <cell r="Q179">
            <v>4.4400000006135087E-3</v>
          </cell>
          <cell r="R179">
            <v>4.7096057124605691E-7</v>
          </cell>
        </row>
        <row r="180">
          <cell r="A180" t="str">
            <v>03.04.04.03</v>
          </cell>
          <cell r="B180" t="str">
            <v>ENCOFRADO Y DESNCOFRADO NORMAL  EN COLUMNETAS</v>
          </cell>
          <cell r="C180" t="str">
            <v>m2</v>
          </cell>
          <cell r="D180">
            <v>85.17</v>
          </cell>
          <cell r="E180">
            <v>49.71</v>
          </cell>
          <cell r="F180">
            <v>4233.8006999999998</v>
          </cell>
          <cell r="G180">
            <v>42.47999999999999</v>
          </cell>
          <cell r="H180">
            <v>2111.6807999999996</v>
          </cell>
          <cell r="I180">
            <v>0.49876717153927436</v>
          </cell>
          <cell r="J180">
            <v>42.69</v>
          </cell>
          <cell r="K180">
            <v>2122.1199000000001</v>
          </cell>
          <cell r="L180">
            <v>0.5012328284607257</v>
          </cell>
          <cell r="M180">
            <v>85.169999999999987</v>
          </cell>
          <cell r="N180">
            <v>4233.8006999999998</v>
          </cell>
          <cell r="O180">
            <v>1</v>
          </cell>
          <cell r="P180">
            <v>1.4210854715202004E-14</v>
          </cell>
          <cell r="Q180">
            <v>0</v>
          </cell>
          <cell r="R180" t="str">
            <v>0.00%</v>
          </cell>
        </row>
        <row r="181">
          <cell r="A181" t="str">
            <v>03.04.05</v>
          </cell>
          <cell r="B181" t="str">
            <v>VIGAS</v>
          </cell>
          <cell r="C181">
            <v>0</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row>
        <row r="182">
          <cell r="A182" t="str">
            <v>03.04.05.01</v>
          </cell>
          <cell r="B182" t="str">
            <v>CONCRETO EN VIGAS F'C=210 KG/CM2</v>
          </cell>
          <cell r="C182" t="str">
            <v>m3</v>
          </cell>
          <cell r="D182">
            <v>41.25</v>
          </cell>
          <cell r="E182">
            <v>486.07</v>
          </cell>
          <cell r="F182">
            <v>20050.387500000001</v>
          </cell>
          <cell r="G182">
            <v>41.25</v>
          </cell>
          <cell r="H182">
            <v>20050.387500000001</v>
          </cell>
          <cell r="I182">
            <v>1</v>
          </cell>
          <cell r="J182">
            <v>0</v>
          </cell>
          <cell r="K182">
            <v>0</v>
          </cell>
          <cell r="L182" t="str">
            <v>0.00%</v>
          </cell>
          <cell r="M182">
            <v>41.25</v>
          </cell>
          <cell r="N182">
            <v>20050.387500000001</v>
          </cell>
          <cell r="O182">
            <v>1</v>
          </cell>
          <cell r="P182">
            <v>0</v>
          </cell>
          <cell r="Q182">
            <v>0</v>
          </cell>
          <cell r="R182" t="str">
            <v>0.00%</v>
          </cell>
        </row>
        <row r="183">
          <cell r="A183" t="str">
            <v>03.04.05.02</v>
          </cell>
          <cell r="B183" t="str">
            <v>ACERO F'Y=4200 KG/CM2 GRADO 60 EN VIGAS</v>
          </cell>
          <cell r="C183" t="str">
            <v>kg</v>
          </cell>
          <cell r="D183">
            <v>5804.51</v>
          </cell>
          <cell r="E183">
            <v>4.5</v>
          </cell>
          <cell r="F183">
            <v>26120.295000000002</v>
          </cell>
          <cell r="G183">
            <v>5804.51</v>
          </cell>
          <cell r="H183">
            <v>26120.295000000002</v>
          </cell>
          <cell r="I183">
            <v>1</v>
          </cell>
          <cell r="J183">
            <v>0</v>
          </cell>
          <cell r="K183">
            <v>0</v>
          </cell>
          <cell r="L183" t="str">
            <v>0.00%</v>
          </cell>
          <cell r="M183">
            <v>5804.51</v>
          </cell>
          <cell r="N183">
            <v>26120.295000000002</v>
          </cell>
          <cell r="O183">
            <v>1</v>
          </cell>
          <cell r="P183">
            <v>0</v>
          </cell>
          <cell r="Q183">
            <v>0</v>
          </cell>
          <cell r="R183" t="str">
            <v>0.00%</v>
          </cell>
        </row>
        <row r="184">
          <cell r="A184" t="str">
            <v>03.04.05.03</v>
          </cell>
          <cell r="B184" t="str">
            <v>ENCOFRADO Y DESNCOFRADO NORMAL EN VIGAS</v>
          </cell>
          <cell r="C184" t="str">
            <v>m2</v>
          </cell>
          <cell r="D184">
            <v>355.14</v>
          </cell>
          <cell r="E184">
            <v>54.02</v>
          </cell>
          <cell r="F184">
            <v>19184.662800000002</v>
          </cell>
          <cell r="G184">
            <v>355.14</v>
          </cell>
          <cell r="H184">
            <v>19184.662800000002</v>
          </cell>
          <cell r="I184">
            <v>1</v>
          </cell>
          <cell r="J184">
            <v>0</v>
          </cell>
          <cell r="K184">
            <v>0</v>
          </cell>
          <cell r="L184" t="str">
            <v>0.00%</v>
          </cell>
          <cell r="M184">
            <v>355.14</v>
          </cell>
          <cell r="N184">
            <v>19184.662800000002</v>
          </cell>
          <cell r="O184">
            <v>1</v>
          </cell>
          <cell r="P184">
            <v>0</v>
          </cell>
          <cell r="Q184">
            <v>0</v>
          </cell>
          <cell r="R184" t="str">
            <v>0.00%</v>
          </cell>
        </row>
        <row r="185">
          <cell r="A185" t="str">
            <v>03.04.06</v>
          </cell>
          <cell r="B185" t="str">
            <v>VIGUETAS DE VANOS</v>
          </cell>
          <cell r="C185">
            <v>0</v>
          </cell>
          <cell r="D185">
            <v>0</v>
          </cell>
          <cell r="E185">
            <v>0</v>
          </cell>
          <cell r="F185">
            <v>0</v>
          </cell>
          <cell r="G185">
            <v>0</v>
          </cell>
          <cell r="H185">
            <v>0</v>
          </cell>
          <cell r="I185">
            <v>0</v>
          </cell>
          <cell r="J185">
            <v>0</v>
          </cell>
          <cell r="K185">
            <v>0</v>
          </cell>
          <cell r="L185">
            <v>0</v>
          </cell>
          <cell r="M185">
            <v>0</v>
          </cell>
          <cell r="N185">
            <v>0</v>
          </cell>
          <cell r="O185">
            <v>0</v>
          </cell>
          <cell r="P185">
            <v>0</v>
          </cell>
          <cell r="Q185">
            <v>0</v>
          </cell>
          <cell r="R185">
            <v>0</v>
          </cell>
        </row>
        <row r="186">
          <cell r="A186" t="str">
            <v>03.04.06.01</v>
          </cell>
          <cell r="B186" t="str">
            <v>CONCRETO EN VIGUETAS DE VANO F'C=175 KG/CM2</v>
          </cell>
          <cell r="C186" t="str">
            <v>m3</v>
          </cell>
          <cell r="D186">
            <v>6.18</v>
          </cell>
          <cell r="E186">
            <v>271.35000000000002</v>
          </cell>
          <cell r="F186">
            <v>1676.943</v>
          </cell>
          <cell r="G186">
            <v>3.1477499999999998</v>
          </cell>
          <cell r="H186">
            <v>854.14196249999998</v>
          </cell>
          <cell r="I186">
            <v>0.50934466019417479</v>
          </cell>
          <cell r="J186">
            <v>3.0322499999999999</v>
          </cell>
          <cell r="K186">
            <v>822.80103750000001</v>
          </cell>
          <cell r="L186">
            <v>0.49065533980582526</v>
          </cell>
          <cell r="M186">
            <v>6.18</v>
          </cell>
          <cell r="N186">
            <v>1676.943</v>
          </cell>
          <cell r="O186">
            <v>1</v>
          </cell>
          <cell r="P186">
            <v>0</v>
          </cell>
          <cell r="Q186">
            <v>0</v>
          </cell>
          <cell r="R186" t="str">
            <v>0.00%</v>
          </cell>
        </row>
        <row r="187">
          <cell r="A187" t="str">
            <v>03.04.06.02</v>
          </cell>
          <cell r="B187" t="str">
            <v>ACERO GRADO 60 EN VIGUETAS DE VANO</v>
          </cell>
          <cell r="C187" t="str">
            <v>kg</v>
          </cell>
          <cell r="D187">
            <v>499.46</v>
          </cell>
          <cell r="E187">
            <v>4.5</v>
          </cell>
          <cell r="F187">
            <v>2247.5699999999997</v>
          </cell>
          <cell r="G187">
            <v>253.59359999999998</v>
          </cell>
          <cell r="H187">
            <v>1141.1712</v>
          </cell>
          <cell r="I187">
            <v>0.50773555439875073</v>
          </cell>
          <cell r="J187">
            <v>245.86600000000001</v>
          </cell>
          <cell r="K187">
            <v>1106.3970000000002</v>
          </cell>
          <cell r="L187">
            <v>0.49226364473631534</v>
          </cell>
          <cell r="M187">
            <v>499.45960000000002</v>
          </cell>
          <cell r="N187">
            <v>2247.5682000000002</v>
          </cell>
          <cell r="O187">
            <v>0.99999919913506607</v>
          </cell>
          <cell r="P187">
            <v>3.999999999564352E-4</v>
          </cell>
          <cell r="Q187">
            <v>1.799999999548163E-3</v>
          </cell>
          <cell r="R187">
            <v>8.0086493392782569E-7</v>
          </cell>
        </row>
        <row r="188">
          <cell r="A188" t="str">
            <v>03.04.06.03</v>
          </cell>
          <cell r="B188" t="str">
            <v>ENCOFRADO Y DESENCOFRADO EN VIGUETAS DE VANO</v>
          </cell>
          <cell r="C188" t="str">
            <v>m2</v>
          </cell>
          <cell r="D188">
            <v>90.65</v>
          </cell>
          <cell r="E188">
            <v>41.63</v>
          </cell>
          <cell r="F188">
            <v>3773.7595000000006</v>
          </cell>
          <cell r="G188">
            <v>46.167000000000016</v>
          </cell>
          <cell r="H188">
            <v>1921.9322100000009</v>
          </cell>
          <cell r="I188">
            <v>0.50928847214561512</v>
          </cell>
          <cell r="J188">
            <v>44.482900000000001</v>
          </cell>
          <cell r="K188">
            <v>1851.8231270000001</v>
          </cell>
          <cell r="L188">
            <v>0.49071042471042464</v>
          </cell>
          <cell r="M188">
            <v>90.649900000000017</v>
          </cell>
          <cell r="N188">
            <v>3773.755337000001</v>
          </cell>
          <cell r="O188">
            <v>0.99999889685603982</v>
          </cell>
          <cell r="P188">
            <v>9.9999999989108801E-5</v>
          </cell>
          <cell r="Q188">
            <v>4.162999999607564E-3</v>
          </cell>
          <cell r="R188">
            <v>1.1031439601828264E-6</v>
          </cell>
        </row>
        <row r="189">
          <cell r="A189" t="str">
            <v>03.04.07</v>
          </cell>
          <cell r="B189" t="str">
            <v>LOSAS ALIGERADAS</v>
          </cell>
          <cell r="C189">
            <v>0</v>
          </cell>
          <cell r="D189">
            <v>0</v>
          </cell>
          <cell r="E189">
            <v>0</v>
          </cell>
          <cell r="F189">
            <v>0</v>
          </cell>
          <cell r="G189">
            <v>0</v>
          </cell>
          <cell r="H189">
            <v>0</v>
          </cell>
          <cell r="I189">
            <v>0</v>
          </cell>
          <cell r="J189">
            <v>0</v>
          </cell>
          <cell r="K189">
            <v>0</v>
          </cell>
          <cell r="L189">
            <v>0</v>
          </cell>
          <cell r="M189">
            <v>0</v>
          </cell>
          <cell r="N189">
            <v>0</v>
          </cell>
          <cell r="O189">
            <v>0</v>
          </cell>
          <cell r="P189">
            <v>0</v>
          </cell>
          <cell r="Q189">
            <v>0</v>
          </cell>
          <cell r="R189">
            <v>0</v>
          </cell>
        </row>
        <row r="190">
          <cell r="A190" t="str">
            <v>03.04.07.01</v>
          </cell>
          <cell r="B190" t="str">
            <v>CONCRETO EN LOSAS ALIGERADAS F'C=210 KG/CM2</v>
          </cell>
          <cell r="C190" t="str">
            <v>m3</v>
          </cell>
          <cell r="D190">
            <v>45.98</v>
          </cell>
          <cell r="E190">
            <v>487.24</v>
          </cell>
          <cell r="F190">
            <v>22403.2952</v>
          </cell>
          <cell r="G190">
            <v>45.98</v>
          </cell>
          <cell r="H190">
            <v>22403.2952</v>
          </cell>
          <cell r="I190">
            <v>1</v>
          </cell>
          <cell r="J190">
            <v>0</v>
          </cell>
          <cell r="K190">
            <v>0</v>
          </cell>
          <cell r="L190" t="str">
            <v>0.00%</v>
          </cell>
          <cell r="M190">
            <v>45.98</v>
          </cell>
          <cell r="N190">
            <v>22403.2952</v>
          </cell>
          <cell r="O190">
            <v>1</v>
          </cell>
          <cell r="P190">
            <v>0</v>
          </cell>
          <cell r="Q190">
            <v>0</v>
          </cell>
          <cell r="R190" t="str">
            <v>0.00%</v>
          </cell>
        </row>
        <row r="191">
          <cell r="A191" t="str">
            <v>03.04.07.02</v>
          </cell>
          <cell r="B191" t="str">
            <v>ACERO F'Y=4200 KG/CM2 GRADO 60 EN LOSAS ALIGERADAS</v>
          </cell>
          <cell r="C191" t="str">
            <v>kg</v>
          </cell>
          <cell r="D191">
            <v>3959.1</v>
          </cell>
          <cell r="E191">
            <v>4.5</v>
          </cell>
          <cell r="F191">
            <v>17815.95</v>
          </cell>
          <cell r="G191">
            <v>3959.0982000000004</v>
          </cell>
          <cell r="H191">
            <v>17815.941900000002</v>
          </cell>
          <cell r="I191">
            <v>0.99999954535121627</v>
          </cell>
          <cell r="J191">
            <v>0</v>
          </cell>
          <cell r="K191">
            <v>0</v>
          </cell>
          <cell r="L191" t="str">
            <v>0.00%</v>
          </cell>
          <cell r="M191">
            <v>3959.0982000000004</v>
          </cell>
          <cell r="N191">
            <v>17815.941900000002</v>
          </cell>
          <cell r="O191">
            <v>0.99999954535121627</v>
          </cell>
          <cell r="P191">
            <v>1.799999999548163E-3</v>
          </cell>
          <cell r="Q191">
            <v>8.099999999103602E-3</v>
          </cell>
          <cell r="R191">
            <v>4.5464878376418893E-7</v>
          </cell>
        </row>
        <row r="192">
          <cell r="A192" t="str">
            <v>03.04.07.03</v>
          </cell>
          <cell r="B192" t="str">
            <v>ENCOFRADO Y DESENCOFRADO NORMAL EN LOSAS ALIGERADAS</v>
          </cell>
          <cell r="C192" t="str">
            <v>m2</v>
          </cell>
          <cell r="D192">
            <v>515.38</v>
          </cell>
          <cell r="E192">
            <v>29.08</v>
          </cell>
          <cell r="F192">
            <v>14987.250399999999</v>
          </cell>
          <cell r="G192">
            <v>515.38</v>
          </cell>
          <cell r="H192">
            <v>14987.250399999999</v>
          </cell>
          <cell r="I192">
            <v>1</v>
          </cell>
          <cell r="J192">
            <v>0</v>
          </cell>
          <cell r="K192">
            <v>0</v>
          </cell>
          <cell r="L192" t="str">
            <v>0.00%</v>
          </cell>
          <cell r="M192">
            <v>515.38</v>
          </cell>
          <cell r="N192">
            <v>14987.250399999999</v>
          </cell>
          <cell r="O192">
            <v>1</v>
          </cell>
          <cell r="P192">
            <v>0</v>
          </cell>
          <cell r="Q192">
            <v>0</v>
          </cell>
          <cell r="R192" t="str">
            <v>0.00%</v>
          </cell>
        </row>
        <row r="193">
          <cell r="A193" t="str">
            <v>03.04.07.04</v>
          </cell>
          <cell r="B193" t="str">
            <v>LADRILLO DE ARCILLA HUECO 15X30X30 PARA TECHO</v>
          </cell>
          <cell r="C193" t="str">
            <v>und</v>
          </cell>
          <cell r="D193">
            <v>4293.1099999999997</v>
          </cell>
          <cell r="E193">
            <v>4.66</v>
          </cell>
          <cell r="F193">
            <v>20005.892599999999</v>
          </cell>
          <cell r="G193">
            <v>4293.1090000000004</v>
          </cell>
          <cell r="H193">
            <v>20005.887940000004</v>
          </cell>
          <cell r="I193">
            <v>0.99999976706862881</v>
          </cell>
          <cell r="J193">
            <v>0</v>
          </cell>
          <cell r="K193">
            <v>0</v>
          </cell>
          <cell r="L193" t="str">
            <v>0.00%</v>
          </cell>
          <cell r="M193">
            <v>4293.1090000000004</v>
          </cell>
          <cell r="N193">
            <v>20005.887940000004</v>
          </cell>
          <cell r="O193">
            <v>0.99999976706862881</v>
          </cell>
          <cell r="P193">
            <v>9.9999999929423211E-4</v>
          </cell>
          <cell r="Q193">
            <v>4.6599999950558413E-3</v>
          </cell>
          <cell r="R193">
            <v>2.3293137118290047E-7</v>
          </cell>
        </row>
        <row r="194">
          <cell r="A194" t="str">
            <v>03.04.08</v>
          </cell>
          <cell r="B194" t="str">
            <v>ESCALERAS</v>
          </cell>
          <cell r="C194">
            <v>0</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row>
        <row r="195">
          <cell r="A195" t="str">
            <v>03.04.08.01</v>
          </cell>
          <cell r="B195" t="str">
            <v>CONCRETO EN ESCALERAS F'C=210 KG/CM2</v>
          </cell>
          <cell r="C195" t="str">
            <v>m3</v>
          </cell>
          <cell r="D195">
            <v>5.88</v>
          </cell>
          <cell r="E195">
            <v>453.78</v>
          </cell>
          <cell r="F195">
            <v>2668.2264</v>
          </cell>
          <cell r="G195">
            <v>0</v>
          </cell>
          <cell r="H195">
            <v>0</v>
          </cell>
          <cell r="I195" t="str">
            <v>0.00%</v>
          </cell>
          <cell r="J195">
            <v>0</v>
          </cell>
          <cell r="K195">
            <v>0</v>
          </cell>
          <cell r="L195" t="str">
            <v>0.00%</v>
          </cell>
          <cell r="M195">
            <v>0</v>
          </cell>
          <cell r="N195">
            <v>0</v>
          </cell>
          <cell r="O195" t="str">
            <v>0.00%</v>
          </cell>
          <cell r="P195">
            <v>5.88</v>
          </cell>
          <cell r="Q195">
            <v>2668.2264</v>
          </cell>
          <cell r="R195">
            <v>1</v>
          </cell>
        </row>
        <row r="196">
          <cell r="A196" t="str">
            <v>03.04.08.02</v>
          </cell>
          <cell r="B196" t="str">
            <v>ACERO F'Y=4200 KG/CM2 GRADO 60 EN ESCALERAS</v>
          </cell>
          <cell r="C196" t="str">
            <v>kg</v>
          </cell>
          <cell r="D196">
            <v>297.62</v>
          </cell>
          <cell r="E196">
            <v>4.4400000000000004</v>
          </cell>
          <cell r="F196">
            <v>1321.4328</v>
          </cell>
          <cell r="G196">
            <v>0</v>
          </cell>
          <cell r="H196">
            <v>0</v>
          </cell>
          <cell r="I196" t="str">
            <v>0.00%</v>
          </cell>
          <cell r="J196">
            <v>0</v>
          </cell>
          <cell r="K196">
            <v>0</v>
          </cell>
          <cell r="L196" t="str">
            <v>0.00%</v>
          </cell>
          <cell r="M196">
            <v>0</v>
          </cell>
          <cell r="N196">
            <v>0</v>
          </cell>
          <cell r="O196" t="str">
            <v>0.00%</v>
          </cell>
          <cell r="P196">
            <v>297.62</v>
          </cell>
          <cell r="Q196">
            <v>1321.4328</v>
          </cell>
          <cell r="R196">
            <v>1</v>
          </cell>
        </row>
        <row r="197">
          <cell r="A197" t="str">
            <v>03.04.08.03</v>
          </cell>
          <cell r="B197" t="str">
            <v>ENCOFRADO Y DESENCOFRADO NORMAL EN ESCALERAS</v>
          </cell>
          <cell r="C197" t="str">
            <v>m2</v>
          </cell>
          <cell r="D197">
            <v>11.2</v>
          </cell>
          <cell r="E197">
            <v>35.26</v>
          </cell>
          <cell r="F197">
            <v>394.91199999999998</v>
          </cell>
          <cell r="G197">
            <v>0</v>
          </cell>
          <cell r="H197">
            <v>0</v>
          </cell>
          <cell r="I197" t="str">
            <v>0.00%</v>
          </cell>
          <cell r="J197">
            <v>0</v>
          </cell>
          <cell r="K197">
            <v>0</v>
          </cell>
          <cell r="L197" t="str">
            <v>0.00%</v>
          </cell>
          <cell r="M197">
            <v>0</v>
          </cell>
          <cell r="N197">
            <v>0</v>
          </cell>
          <cell r="O197" t="str">
            <v>0.00%</v>
          </cell>
          <cell r="P197">
            <v>11.2</v>
          </cell>
          <cell r="Q197">
            <v>394.91199999999998</v>
          </cell>
          <cell r="R197">
            <v>1</v>
          </cell>
        </row>
        <row r="198">
          <cell r="A198" t="str">
            <v>03.04.09</v>
          </cell>
          <cell r="B198" t="str">
            <v>CUNETA DE  EVACUACION PLUVIAL EN TECHO</v>
          </cell>
          <cell r="C198">
            <v>0</v>
          </cell>
          <cell r="D198">
            <v>0</v>
          </cell>
          <cell r="E198">
            <v>0</v>
          </cell>
          <cell r="F198">
            <v>0</v>
          </cell>
          <cell r="G198">
            <v>0</v>
          </cell>
          <cell r="H198">
            <v>0</v>
          </cell>
          <cell r="I198">
            <v>0</v>
          </cell>
          <cell r="J198">
            <v>0</v>
          </cell>
          <cell r="K198">
            <v>0</v>
          </cell>
          <cell r="L198">
            <v>0</v>
          </cell>
          <cell r="M198">
            <v>0</v>
          </cell>
          <cell r="N198">
            <v>0</v>
          </cell>
          <cell r="O198">
            <v>0</v>
          </cell>
          <cell r="P198">
            <v>0</v>
          </cell>
          <cell r="Q198">
            <v>0</v>
          </cell>
          <cell r="R198">
            <v>0</v>
          </cell>
        </row>
        <row r="199">
          <cell r="A199" t="str">
            <v>03.04.09.01</v>
          </cell>
          <cell r="B199" t="str">
            <v>CONCRETO EN CUNETA F'C= 210 KG/CM2</v>
          </cell>
          <cell r="C199" t="str">
            <v>m3</v>
          </cell>
          <cell r="D199">
            <v>2.91</v>
          </cell>
          <cell r="E199">
            <v>482.39</v>
          </cell>
          <cell r="F199">
            <v>1403.7549000000001</v>
          </cell>
          <cell r="G199">
            <v>1.45</v>
          </cell>
          <cell r="H199">
            <v>699.46549999999991</v>
          </cell>
          <cell r="I199">
            <v>0.49828178694158065</v>
          </cell>
          <cell r="J199">
            <v>1.4527300000000001</v>
          </cell>
          <cell r="K199">
            <v>700.78242469999998</v>
          </cell>
          <cell r="L199">
            <v>0.49921993127147762</v>
          </cell>
          <cell r="M199">
            <v>2.90273</v>
          </cell>
          <cell r="N199">
            <v>1400.2479246999999</v>
          </cell>
          <cell r="O199">
            <v>0.99750171821305822</v>
          </cell>
          <cell r="P199">
            <v>7.2700000000001097E-3</v>
          </cell>
          <cell r="Q199">
            <v>3.5069753000002493</v>
          </cell>
          <cell r="R199">
            <v>2.4982817869417581E-3</v>
          </cell>
        </row>
        <row r="200">
          <cell r="A200" t="str">
            <v>03.04.09.02</v>
          </cell>
          <cell r="B200" t="str">
            <v>ACERO F'Y=4200 KG/CM2 GRADO 60 EN CUNETA</v>
          </cell>
          <cell r="C200" t="str">
            <v>kg</v>
          </cell>
          <cell r="D200">
            <v>406.6</v>
          </cell>
          <cell r="E200">
            <v>4.4400000000000004</v>
          </cell>
          <cell r="F200">
            <v>1805.3040000000003</v>
          </cell>
          <cell r="G200">
            <v>311.47899999999998</v>
          </cell>
          <cell r="H200">
            <v>1382.96676</v>
          </cell>
          <cell r="I200">
            <v>0.7660575504181012</v>
          </cell>
          <cell r="J200">
            <v>95.121600000000001</v>
          </cell>
          <cell r="K200">
            <v>422.33499999999998</v>
          </cell>
          <cell r="L200">
            <v>0.23394120879364358</v>
          </cell>
          <cell r="M200">
            <v>406.60059999999999</v>
          </cell>
          <cell r="N200">
            <v>1805.3017600000001</v>
          </cell>
          <cell r="O200">
            <v>0.99999875921174486</v>
          </cell>
          <cell r="P200">
            <v>-5.9999999996307452E-4</v>
          </cell>
          <cell r="Q200">
            <v>2.2400000002562592E-3</v>
          </cell>
          <cell r="R200">
            <v>1.2407882551948363E-6</v>
          </cell>
        </row>
        <row r="201">
          <cell r="A201" t="str">
            <v>03.04.09.03</v>
          </cell>
          <cell r="B201" t="str">
            <v>ENCOFRADO Y DESENCOFRADO NORMAL EN CUNETAS</v>
          </cell>
          <cell r="C201" t="str">
            <v>m2</v>
          </cell>
          <cell r="D201">
            <v>58.11</v>
          </cell>
          <cell r="E201">
            <v>44.85</v>
          </cell>
          <cell r="F201">
            <v>2606.2335000000003</v>
          </cell>
          <cell r="G201">
            <v>29.05</v>
          </cell>
          <cell r="H201">
            <v>1302.8925000000002</v>
          </cell>
          <cell r="I201">
            <v>0.49991395628979524</v>
          </cell>
          <cell r="J201">
            <v>29.054600000000001</v>
          </cell>
          <cell r="K201">
            <v>1303.09881</v>
          </cell>
          <cell r="L201">
            <v>0.49999311650318357</v>
          </cell>
          <cell r="M201">
            <v>58.104600000000005</v>
          </cell>
          <cell r="N201">
            <v>2605.9913100000003</v>
          </cell>
          <cell r="O201">
            <v>0.99990707279297886</v>
          </cell>
          <cell r="P201">
            <v>5.3999999999945203E-3</v>
          </cell>
          <cell r="Q201">
            <v>0.24218999999993684</v>
          </cell>
          <cell r="R201">
            <v>9.2927207021142511E-5</v>
          </cell>
        </row>
        <row r="202">
          <cell r="A202" t="str">
            <v>03.04.10</v>
          </cell>
          <cell r="B202" t="str">
            <v>MARCO DE VENTANA DE CONCRETO</v>
          </cell>
          <cell r="C202">
            <v>0</v>
          </cell>
          <cell r="D202">
            <v>0</v>
          </cell>
          <cell r="E202">
            <v>0</v>
          </cell>
          <cell r="F202">
            <v>0</v>
          </cell>
          <cell r="G202">
            <v>0</v>
          </cell>
          <cell r="H202">
            <v>0</v>
          </cell>
          <cell r="I202">
            <v>0</v>
          </cell>
          <cell r="J202">
            <v>0</v>
          </cell>
          <cell r="K202">
            <v>0</v>
          </cell>
          <cell r="L202">
            <v>0</v>
          </cell>
          <cell r="M202">
            <v>0</v>
          </cell>
          <cell r="N202">
            <v>0</v>
          </cell>
          <cell r="O202">
            <v>0</v>
          </cell>
          <cell r="P202">
            <v>0</v>
          </cell>
          <cell r="Q202">
            <v>0</v>
          </cell>
          <cell r="R202">
            <v>0</v>
          </cell>
        </row>
        <row r="203">
          <cell r="A203" t="str">
            <v>03.04.10.01</v>
          </cell>
          <cell r="B203" t="str">
            <v>CONCRETO F'C= 175 KG/CM2 EN MARCO DE VENTANA</v>
          </cell>
          <cell r="C203" t="str">
            <v>m3</v>
          </cell>
          <cell r="D203">
            <v>3.02</v>
          </cell>
          <cell r="E203">
            <v>462.25</v>
          </cell>
          <cell r="F203">
            <v>1395.9950000000001</v>
          </cell>
          <cell r="G203">
            <v>0</v>
          </cell>
          <cell r="H203">
            <v>0</v>
          </cell>
          <cell r="I203" t="str">
            <v>0.00%</v>
          </cell>
          <cell r="J203">
            <v>0.38400000000000001</v>
          </cell>
          <cell r="K203">
            <v>177.50399999999999</v>
          </cell>
          <cell r="L203">
            <v>0.12715231788079467</v>
          </cell>
          <cell r="M203">
            <v>0.38400000000000001</v>
          </cell>
          <cell r="N203">
            <v>177.50399999999999</v>
          </cell>
          <cell r="O203">
            <v>0.12715231788079467</v>
          </cell>
          <cell r="P203">
            <v>2.6360000000000001</v>
          </cell>
          <cell r="Q203">
            <v>1218.4910000000002</v>
          </cell>
          <cell r="R203">
            <v>0.87284768211920538</v>
          </cell>
        </row>
        <row r="204">
          <cell r="A204" t="str">
            <v>03.04.10.02</v>
          </cell>
          <cell r="B204" t="str">
            <v>ACERO F'Y=4200 KG/CM2 GRADO 60 EN MARCO DE VENTANA</v>
          </cell>
          <cell r="C204" t="str">
            <v>kg</v>
          </cell>
          <cell r="D204">
            <v>587.52</v>
          </cell>
          <cell r="E204">
            <v>4.4400000000000004</v>
          </cell>
          <cell r="F204">
            <v>2608.5888</v>
          </cell>
          <cell r="G204">
            <v>401.4</v>
          </cell>
          <cell r="H204">
            <v>1782.2160000000001</v>
          </cell>
          <cell r="I204">
            <v>0.68321078431372551</v>
          </cell>
          <cell r="J204">
            <v>186.12</v>
          </cell>
          <cell r="K204">
            <v>826.37</v>
          </cell>
          <cell r="L204">
            <v>0.31678814230897562</v>
          </cell>
          <cell r="M204">
            <v>587.52</v>
          </cell>
          <cell r="N204">
            <v>2608.5860000000002</v>
          </cell>
          <cell r="O204">
            <v>0.99999892662270118</v>
          </cell>
          <cell r="P204">
            <v>0</v>
          </cell>
          <cell r="Q204">
            <v>2.7999999997518898E-3</v>
          </cell>
          <cell r="R204">
            <v>1.0733772987723822E-6</v>
          </cell>
        </row>
        <row r="205">
          <cell r="A205" t="str">
            <v>03.04.10.03</v>
          </cell>
          <cell r="B205" t="str">
            <v>ENCOFRADO Y DESENCOFRADO EN MARCO DE VENTANA</v>
          </cell>
          <cell r="C205" t="str">
            <v>m2</v>
          </cell>
          <cell r="D205">
            <v>30.240500000000001</v>
          </cell>
          <cell r="E205">
            <v>28.78</v>
          </cell>
          <cell r="F205">
            <v>870.32159000000001</v>
          </cell>
          <cell r="G205">
            <v>0</v>
          </cell>
          <cell r="H205">
            <v>0</v>
          </cell>
          <cell r="I205" t="str">
            <v>0.00%</v>
          </cell>
          <cell r="J205">
            <v>3.84</v>
          </cell>
          <cell r="K205">
            <v>110.51520000000001</v>
          </cell>
          <cell r="L205">
            <v>0.1269820274135679</v>
          </cell>
          <cell r="M205">
            <v>3.84</v>
          </cell>
          <cell r="N205">
            <v>110.51520000000001</v>
          </cell>
          <cell r="O205">
            <v>0.1269820274135679</v>
          </cell>
          <cell r="P205">
            <v>26.400500000000001</v>
          </cell>
          <cell r="Q205">
            <v>759.80638999999996</v>
          </cell>
          <cell r="R205">
            <v>0.8730179725864321</v>
          </cell>
        </row>
        <row r="206">
          <cell r="A206" t="str">
            <v>03.05</v>
          </cell>
          <cell r="B206" t="str">
            <v>JUNTAS DE CONSTRUCCION</v>
          </cell>
          <cell r="C206">
            <v>0</v>
          </cell>
          <cell r="D206">
            <v>0</v>
          </cell>
          <cell r="E206">
            <v>0</v>
          </cell>
          <cell r="F206">
            <v>0</v>
          </cell>
          <cell r="G206">
            <v>0</v>
          </cell>
          <cell r="H206">
            <v>0</v>
          </cell>
          <cell r="I206">
            <v>0</v>
          </cell>
          <cell r="J206">
            <v>0</v>
          </cell>
          <cell r="K206">
            <v>0</v>
          </cell>
          <cell r="L206">
            <v>0</v>
          </cell>
          <cell r="M206">
            <v>0</v>
          </cell>
          <cell r="N206">
            <v>0</v>
          </cell>
          <cell r="O206">
            <v>0</v>
          </cell>
          <cell r="P206">
            <v>0</v>
          </cell>
          <cell r="Q206">
            <v>0</v>
          </cell>
          <cell r="R206">
            <v>0</v>
          </cell>
        </row>
        <row r="207">
          <cell r="A207" t="str">
            <v>03.05.01</v>
          </cell>
          <cell r="B207" t="str">
            <v>JUNTAS DE TEKNOPOR DE  1"</v>
          </cell>
          <cell r="C207" t="str">
            <v>m</v>
          </cell>
          <cell r="D207">
            <v>17</v>
          </cell>
          <cell r="E207">
            <v>9.0500000000000007</v>
          </cell>
          <cell r="F207">
            <v>153.85000000000002</v>
          </cell>
          <cell r="G207">
            <v>0</v>
          </cell>
          <cell r="H207">
            <v>0</v>
          </cell>
          <cell r="I207" t="str">
            <v>0.00%</v>
          </cell>
          <cell r="J207">
            <v>17</v>
          </cell>
          <cell r="K207">
            <v>153.85000000000002</v>
          </cell>
          <cell r="L207">
            <v>1</v>
          </cell>
          <cell r="M207">
            <v>17</v>
          </cell>
          <cell r="N207">
            <v>153.85000000000002</v>
          </cell>
          <cell r="O207">
            <v>1</v>
          </cell>
          <cell r="P207">
            <v>0</v>
          </cell>
          <cell r="Q207">
            <v>0</v>
          </cell>
          <cell r="R207" t="str">
            <v>0.00%</v>
          </cell>
        </row>
        <row r="208">
          <cell r="A208" t="str">
            <v>03.06</v>
          </cell>
          <cell r="B208" t="str">
            <v>PRUEBAS</v>
          </cell>
          <cell r="C208">
            <v>0</v>
          </cell>
          <cell r="D208">
            <v>0</v>
          </cell>
          <cell r="E208">
            <v>0</v>
          </cell>
          <cell r="F208">
            <v>0</v>
          </cell>
          <cell r="G208">
            <v>0</v>
          </cell>
          <cell r="H208">
            <v>0</v>
          </cell>
          <cell r="I208">
            <v>0</v>
          </cell>
          <cell r="J208">
            <v>0</v>
          </cell>
          <cell r="K208">
            <v>0</v>
          </cell>
          <cell r="L208">
            <v>0</v>
          </cell>
          <cell r="M208">
            <v>0</v>
          </cell>
          <cell r="N208">
            <v>0</v>
          </cell>
          <cell r="O208">
            <v>0</v>
          </cell>
          <cell r="P208">
            <v>0</v>
          </cell>
          <cell r="Q208">
            <v>0</v>
          </cell>
          <cell r="R208">
            <v>0</v>
          </cell>
        </row>
        <row r="209">
          <cell r="A209" t="str">
            <v>03.06.01</v>
          </cell>
          <cell r="B209" t="str">
            <v>PRUEBA DE CALIDAD DEL CONCRETO (PRUEBA A LA COMPRESION)</v>
          </cell>
          <cell r="C209" t="str">
            <v>und</v>
          </cell>
          <cell r="D209">
            <v>2</v>
          </cell>
          <cell r="E209">
            <v>40</v>
          </cell>
          <cell r="F209">
            <v>80</v>
          </cell>
          <cell r="G209">
            <v>2</v>
          </cell>
          <cell r="H209">
            <v>80</v>
          </cell>
          <cell r="I209">
            <v>1</v>
          </cell>
          <cell r="J209">
            <v>0</v>
          </cell>
          <cell r="K209">
            <v>0</v>
          </cell>
          <cell r="L209" t="str">
            <v>0.00%</v>
          </cell>
          <cell r="M209">
            <v>2</v>
          </cell>
          <cell r="N209">
            <v>80</v>
          </cell>
          <cell r="O209">
            <v>1</v>
          </cell>
          <cell r="P209">
            <v>0</v>
          </cell>
          <cell r="Q209">
            <v>0</v>
          </cell>
          <cell r="R209" t="str">
            <v>0.00%</v>
          </cell>
        </row>
        <row r="210">
          <cell r="A210" t="str">
            <v>04</v>
          </cell>
          <cell r="B210" t="str">
            <v>BLOQUE - 3</v>
          </cell>
          <cell r="C210">
            <v>0</v>
          </cell>
          <cell r="D210">
            <v>0</v>
          </cell>
          <cell r="E210">
            <v>0</v>
          </cell>
          <cell r="F210">
            <v>0</v>
          </cell>
          <cell r="G210">
            <v>0</v>
          </cell>
          <cell r="H210">
            <v>0</v>
          </cell>
          <cell r="I210">
            <v>0</v>
          </cell>
          <cell r="J210">
            <v>0</v>
          </cell>
          <cell r="K210">
            <v>0</v>
          </cell>
          <cell r="L210">
            <v>0</v>
          </cell>
          <cell r="M210">
            <v>0</v>
          </cell>
          <cell r="N210">
            <v>0</v>
          </cell>
          <cell r="O210">
            <v>0</v>
          </cell>
          <cell r="P210">
            <v>0</v>
          </cell>
          <cell r="Q210">
            <v>0</v>
          </cell>
          <cell r="R210">
            <v>0</v>
          </cell>
        </row>
        <row r="211">
          <cell r="A211" t="str">
            <v>04.01</v>
          </cell>
          <cell r="B211" t="str">
            <v>TRABAJOS PRELIMINARES</v>
          </cell>
          <cell r="C211">
            <v>0</v>
          </cell>
          <cell r="D211">
            <v>0</v>
          </cell>
          <cell r="E211">
            <v>0</v>
          </cell>
          <cell r="F211">
            <v>0</v>
          </cell>
          <cell r="G211">
            <v>0</v>
          </cell>
          <cell r="H211">
            <v>0</v>
          </cell>
          <cell r="I211">
            <v>0</v>
          </cell>
          <cell r="J211">
            <v>0</v>
          </cell>
          <cell r="K211">
            <v>0</v>
          </cell>
          <cell r="L211">
            <v>0</v>
          </cell>
          <cell r="M211">
            <v>0</v>
          </cell>
          <cell r="N211">
            <v>0</v>
          </cell>
          <cell r="O211">
            <v>0</v>
          </cell>
          <cell r="P211">
            <v>0</v>
          </cell>
          <cell r="Q211">
            <v>0</v>
          </cell>
          <cell r="R211">
            <v>0</v>
          </cell>
        </row>
        <row r="212">
          <cell r="A212" t="str">
            <v>04.01.01</v>
          </cell>
          <cell r="B212" t="str">
            <v>LIMPIEZA DE TERRENO MANUAL</v>
          </cell>
          <cell r="C212" t="str">
            <v>m2</v>
          </cell>
          <cell r="D212">
            <v>147.26</v>
          </cell>
          <cell r="E212">
            <v>1.0900000000000001</v>
          </cell>
          <cell r="F212">
            <v>160.51339999999999</v>
          </cell>
          <cell r="G212">
            <v>147.26</v>
          </cell>
          <cell r="H212">
            <v>160.51339999999999</v>
          </cell>
          <cell r="I212">
            <v>1</v>
          </cell>
          <cell r="J212">
            <v>0</v>
          </cell>
          <cell r="K212">
            <v>0</v>
          </cell>
          <cell r="L212" t="str">
            <v>0.00%</v>
          </cell>
          <cell r="M212">
            <v>147.26</v>
          </cell>
          <cell r="N212">
            <v>160.51339999999999</v>
          </cell>
          <cell r="O212">
            <v>1</v>
          </cell>
          <cell r="P212">
            <v>0</v>
          </cell>
          <cell r="Q212">
            <v>0</v>
          </cell>
          <cell r="R212" t="str">
            <v>0.00%</v>
          </cell>
        </row>
        <row r="213">
          <cell r="A213" t="str">
            <v>04.01.02</v>
          </cell>
          <cell r="B213" t="str">
            <v>TRAZO DURANTE LA EJECUCION DE LA OBRA</v>
          </cell>
          <cell r="C213" t="str">
            <v>m2</v>
          </cell>
          <cell r="D213">
            <v>147.26</v>
          </cell>
          <cell r="E213">
            <v>3.49</v>
          </cell>
          <cell r="F213">
            <v>513.93740000000003</v>
          </cell>
          <cell r="G213">
            <v>147.26</v>
          </cell>
          <cell r="H213">
            <v>513.93740000000003</v>
          </cell>
          <cell r="I213">
            <v>1</v>
          </cell>
          <cell r="J213">
            <v>0</v>
          </cell>
          <cell r="K213">
            <v>0</v>
          </cell>
          <cell r="L213" t="str">
            <v>0.00%</v>
          </cell>
          <cell r="M213">
            <v>147.26</v>
          </cell>
          <cell r="N213">
            <v>513.93740000000003</v>
          </cell>
          <cell r="O213">
            <v>1</v>
          </cell>
          <cell r="P213">
            <v>0</v>
          </cell>
          <cell r="Q213">
            <v>0</v>
          </cell>
          <cell r="R213" t="str">
            <v>0.00%</v>
          </cell>
        </row>
        <row r="214">
          <cell r="A214" t="str">
            <v>04.02</v>
          </cell>
          <cell r="B214" t="str">
            <v>MOVIMIENTO DE TIERRAS</v>
          </cell>
          <cell r="C214">
            <v>0</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row>
        <row r="215">
          <cell r="A215" t="str">
            <v>04.02.01</v>
          </cell>
          <cell r="B215" t="str">
            <v xml:space="preserve">EXCAVACION PARA CIMIENTOS-ZAPATAS </v>
          </cell>
          <cell r="C215" t="str">
            <v>m3</v>
          </cell>
          <cell r="D215">
            <v>132.08000000000001</v>
          </cell>
          <cell r="E215">
            <v>44.73</v>
          </cell>
          <cell r="F215">
            <v>5907.9384</v>
          </cell>
          <cell r="G215">
            <v>132.08000000000001</v>
          </cell>
          <cell r="H215">
            <v>5907.9384</v>
          </cell>
          <cell r="I215">
            <v>1</v>
          </cell>
          <cell r="J215">
            <v>0</v>
          </cell>
          <cell r="K215">
            <v>0</v>
          </cell>
          <cell r="L215" t="str">
            <v>0.00%</v>
          </cell>
          <cell r="M215">
            <v>132.08000000000001</v>
          </cell>
          <cell r="N215">
            <v>5907.9384</v>
          </cell>
          <cell r="O215">
            <v>1</v>
          </cell>
          <cell r="P215">
            <v>0</v>
          </cell>
          <cell r="Q215">
            <v>0</v>
          </cell>
          <cell r="R215" t="str">
            <v>0.00%</v>
          </cell>
        </row>
        <row r="216">
          <cell r="A216" t="str">
            <v>04.02.02</v>
          </cell>
          <cell r="B216" t="str">
            <v>RELLENO COMPACTADO CON MATERIAL PROPIO EN CAPAS DE 0.20m.</v>
          </cell>
          <cell r="C216" t="str">
            <v>m3</v>
          </cell>
          <cell r="D216">
            <v>41.06</v>
          </cell>
          <cell r="E216">
            <v>53.95</v>
          </cell>
          <cell r="F216">
            <v>2215.1870000000004</v>
          </cell>
          <cell r="G216">
            <v>41.059999999999995</v>
          </cell>
          <cell r="H216">
            <v>2215.1869999999999</v>
          </cell>
          <cell r="I216">
            <v>0.99999999999999978</v>
          </cell>
          <cell r="J216">
            <v>0</v>
          </cell>
          <cell r="K216">
            <v>0</v>
          </cell>
          <cell r="L216" t="str">
            <v>0.00%</v>
          </cell>
          <cell r="M216">
            <v>41.059999999999995</v>
          </cell>
          <cell r="N216">
            <v>2215.1869999999999</v>
          </cell>
          <cell r="O216">
            <v>0.99999999999999978</v>
          </cell>
          <cell r="P216">
            <v>7.1054273576010019E-15</v>
          </cell>
          <cell r="Q216">
            <v>4.5474735088646412E-13</v>
          </cell>
          <cell r="R216">
            <v>2.0528621325714896E-16</v>
          </cell>
        </row>
        <row r="217">
          <cell r="A217" t="str">
            <v>04.02.03</v>
          </cell>
          <cell r="B217" t="str">
            <v>ACARREO INTERNO, MATERIAL PROCEDENTE DE EXCAVACIONES  Y OTROS</v>
          </cell>
          <cell r="C217" t="str">
            <v>m3</v>
          </cell>
          <cell r="D217">
            <v>118.32</v>
          </cell>
          <cell r="E217">
            <v>19</v>
          </cell>
          <cell r="F217">
            <v>2248.08</v>
          </cell>
          <cell r="G217">
            <v>118.32</v>
          </cell>
          <cell r="H217">
            <v>2248.08</v>
          </cell>
          <cell r="I217">
            <v>1</v>
          </cell>
          <cell r="J217">
            <v>0</v>
          </cell>
          <cell r="K217">
            <v>0</v>
          </cell>
          <cell r="L217" t="str">
            <v>0.00%</v>
          </cell>
          <cell r="M217">
            <v>118.32</v>
          </cell>
          <cell r="N217">
            <v>2248.08</v>
          </cell>
          <cell r="O217">
            <v>1</v>
          </cell>
          <cell r="P217">
            <v>0</v>
          </cell>
          <cell r="Q217">
            <v>0</v>
          </cell>
          <cell r="R217" t="str">
            <v>0.00%</v>
          </cell>
        </row>
        <row r="218">
          <cell r="A218" t="str">
            <v>04.02.04</v>
          </cell>
          <cell r="B218" t="str">
            <v>ELIMINACION DE MATERIAL EXCEDENTE CON EQUIPO</v>
          </cell>
          <cell r="C218" t="str">
            <v>m3</v>
          </cell>
          <cell r="D218">
            <v>118.32</v>
          </cell>
          <cell r="E218">
            <v>14.64</v>
          </cell>
          <cell r="F218">
            <v>1732.2048</v>
          </cell>
          <cell r="G218">
            <v>118.32</v>
          </cell>
          <cell r="H218">
            <v>1732.2048</v>
          </cell>
          <cell r="I218">
            <v>1</v>
          </cell>
          <cell r="J218">
            <v>0</v>
          </cell>
          <cell r="K218">
            <v>0</v>
          </cell>
          <cell r="L218" t="str">
            <v>0.00%</v>
          </cell>
          <cell r="M218">
            <v>118.32</v>
          </cell>
          <cell r="N218">
            <v>1732.2048</v>
          </cell>
          <cell r="O218">
            <v>1</v>
          </cell>
          <cell r="P218">
            <v>0</v>
          </cell>
          <cell r="Q218">
            <v>0</v>
          </cell>
          <cell r="R218" t="str">
            <v>0.00%</v>
          </cell>
        </row>
        <row r="219">
          <cell r="A219" t="str">
            <v>04.02.05</v>
          </cell>
          <cell r="B219" t="str">
            <v xml:space="preserve">AFIRMADO e=20 cm </v>
          </cell>
          <cell r="C219" t="str">
            <v>m3</v>
          </cell>
          <cell r="D219">
            <v>20.7</v>
          </cell>
          <cell r="E219">
            <v>82.36</v>
          </cell>
          <cell r="F219">
            <v>1704.8519999999999</v>
          </cell>
          <cell r="G219">
            <v>20.7</v>
          </cell>
          <cell r="H219">
            <v>1704.8519999999999</v>
          </cell>
          <cell r="I219">
            <v>1</v>
          </cell>
          <cell r="J219">
            <v>0</v>
          </cell>
          <cell r="K219">
            <v>0</v>
          </cell>
          <cell r="L219" t="str">
            <v>0.00%</v>
          </cell>
          <cell r="M219">
            <v>20.7</v>
          </cell>
          <cell r="N219">
            <v>1704.8519999999999</v>
          </cell>
          <cell r="O219">
            <v>1</v>
          </cell>
          <cell r="P219">
            <v>0</v>
          </cell>
          <cell r="Q219">
            <v>0</v>
          </cell>
          <cell r="R219" t="str">
            <v>0.00%</v>
          </cell>
        </row>
        <row r="220">
          <cell r="A220" t="str">
            <v>04.02.06</v>
          </cell>
          <cell r="B220" t="str">
            <v xml:space="preserve">NIVELACION Y COMPACTACION PARA FALSO PISOS, VEREDAS Y PATIOS </v>
          </cell>
          <cell r="C220" t="str">
            <v>m2</v>
          </cell>
          <cell r="D220">
            <v>103.51</v>
          </cell>
          <cell r="E220">
            <v>9.3800000000000008</v>
          </cell>
          <cell r="F220">
            <v>970.92380000000014</v>
          </cell>
          <cell r="G220">
            <v>103.51</v>
          </cell>
          <cell r="H220">
            <v>970.92380000000014</v>
          </cell>
          <cell r="I220">
            <v>1</v>
          </cell>
          <cell r="J220">
            <v>0</v>
          </cell>
          <cell r="K220">
            <v>0</v>
          </cell>
          <cell r="L220" t="str">
            <v>0.00%</v>
          </cell>
          <cell r="M220">
            <v>103.51</v>
          </cell>
          <cell r="N220">
            <v>970.92380000000014</v>
          </cell>
          <cell r="O220">
            <v>1</v>
          </cell>
          <cell r="P220">
            <v>0</v>
          </cell>
          <cell r="Q220">
            <v>0</v>
          </cell>
          <cell r="R220" t="str">
            <v>0.00%</v>
          </cell>
        </row>
        <row r="221">
          <cell r="A221" t="str">
            <v>04.03</v>
          </cell>
          <cell r="B221" t="str">
            <v>CONCRETO SIMPLE</v>
          </cell>
          <cell r="C221">
            <v>0</v>
          </cell>
          <cell r="D221">
            <v>0</v>
          </cell>
          <cell r="E221">
            <v>0</v>
          </cell>
          <cell r="F221">
            <v>0</v>
          </cell>
          <cell r="G221">
            <v>0</v>
          </cell>
          <cell r="H221">
            <v>0</v>
          </cell>
          <cell r="I221">
            <v>0</v>
          </cell>
          <cell r="J221">
            <v>0</v>
          </cell>
          <cell r="K221">
            <v>0</v>
          </cell>
          <cell r="L221">
            <v>0</v>
          </cell>
          <cell r="M221">
            <v>0</v>
          </cell>
          <cell r="N221">
            <v>0</v>
          </cell>
          <cell r="O221">
            <v>0</v>
          </cell>
          <cell r="P221">
            <v>0</v>
          </cell>
          <cell r="Q221">
            <v>0</v>
          </cell>
          <cell r="R221">
            <v>0</v>
          </cell>
        </row>
        <row r="222">
          <cell r="A222" t="str">
            <v>04.03.01</v>
          </cell>
          <cell r="B222" t="str">
            <v>SOLADOS</v>
          </cell>
          <cell r="C222">
            <v>0</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row>
        <row r="223">
          <cell r="A223" t="str">
            <v>04.03.01.01</v>
          </cell>
          <cell r="B223" t="str">
            <v>SOLADO E= 2" MEZCLA 1:12 CEMENTO-HORMIGON</v>
          </cell>
          <cell r="C223" t="str">
            <v>m2</v>
          </cell>
          <cell r="D223">
            <v>63.465000000000003</v>
          </cell>
          <cell r="E223">
            <v>29.02</v>
          </cell>
          <cell r="F223">
            <v>1841.7543000000001</v>
          </cell>
          <cell r="G223">
            <v>63.464999999999996</v>
          </cell>
          <cell r="H223">
            <v>1841.7542999999998</v>
          </cell>
          <cell r="I223">
            <v>0.99999999999999989</v>
          </cell>
          <cell r="J223">
            <v>0</v>
          </cell>
          <cell r="K223">
            <v>0</v>
          </cell>
          <cell r="L223" t="str">
            <v>0.00%</v>
          </cell>
          <cell r="M223">
            <v>63.464999999999996</v>
          </cell>
          <cell r="N223">
            <v>1841.7542999999998</v>
          </cell>
          <cell r="O223">
            <v>0.99999999999999989</v>
          </cell>
          <cell r="P223">
            <v>7.1054273576010019E-15</v>
          </cell>
          <cell r="Q223">
            <v>2.2737367544323206E-13</v>
          </cell>
          <cell r="R223">
            <v>1.2345494480085213E-16</v>
          </cell>
        </row>
        <row r="224">
          <cell r="A224" t="str">
            <v>04.03.02</v>
          </cell>
          <cell r="B224" t="str">
            <v>CIMIENTOS CORRIDOS</v>
          </cell>
          <cell r="C224">
            <v>0</v>
          </cell>
          <cell r="D224">
            <v>0</v>
          </cell>
          <cell r="E224">
            <v>0</v>
          </cell>
          <cell r="F224">
            <v>0</v>
          </cell>
          <cell r="G224">
            <v>0</v>
          </cell>
          <cell r="H224">
            <v>0</v>
          </cell>
          <cell r="I224">
            <v>0</v>
          </cell>
          <cell r="J224">
            <v>0</v>
          </cell>
          <cell r="K224">
            <v>0</v>
          </cell>
          <cell r="L224">
            <v>0</v>
          </cell>
          <cell r="M224">
            <v>0</v>
          </cell>
          <cell r="N224">
            <v>0</v>
          </cell>
          <cell r="O224">
            <v>0</v>
          </cell>
          <cell r="P224">
            <v>0</v>
          </cell>
          <cell r="Q224">
            <v>0</v>
          </cell>
          <cell r="R224">
            <v>0</v>
          </cell>
        </row>
        <row r="225">
          <cell r="A225" t="str">
            <v>04.03.02.01</v>
          </cell>
          <cell r="B225" t="str">
            <v>CIMIENTOS CORRIDOS MEZCLA 1:10 CEMENTO-HORMIGON 30% PIEDRA</v>
          </cell>
          <cell r="C225" t="str">
            <v>m3</v>
          </cell>
          <cell r="D225">
            <v>34.189</v>
          </cell>
          <cell r="E225">
            <v>248.48</v>
          </cell>
          <cell r="F225">
            <v>8495.2827199999992</v>
          </cell>
          <cell r="G225">
            <v>20.51</v>
          </cell>
          <cell r="H225">
            <v>5096.3248000000003</v>
          </cell>
          <cell r="I225">
            <v>0.59990055280938326</v>
          </cell>
          <cell r="J225">
            <v>0</v>
          </cell>
          <cell r="K225">
            <v>0</v>
          </cell>
          <cell r="L225" t="str">
            <v>0.00%</v>
          </cell>
          <cell r="M225">
            <v>20.51</v>
          </cell>
          <cell r="N225">
            <v>5096.3248000000003</v>
          </cell>
          <cell r="O225">
            <v>0.59990055280938326</v>
          </cell>
          <cell r="P225">
            <v>13.678999999999998</v>
          </cell>
          <cell r="Q225">
            <v>3398.9579199999989</v>
          </cell>
          <cell r="R225">
            <v>0.4000994471906168</v>
          </cell>
        </row>
        <row r="226">
          <cell r="A226" t="str">
            <v>04.03.03</v>
          </cell>
          <cell r="B226" t="str">
            <v>SOBRECIMIENTOS</v>
          </cell>
          <cell r="C226">
            <v>0</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row>
        <row r="227">
          <cell r="A227" t="str">
            <v>04.03.03.01</v>
          </cell>
          <cell r="B227" t="str">
            <v>CONCRETO 1:8+25% P.M. PARA SOBRECIMIENTOS</v>
          </cell>
          <cell r="C227" t="str">
            <v>m3</v>
          </cell>
          <cell r="D227">
            <v>4.3099999999999996</v>
          </cell>
          <cell r="E227">
            <v>312.47000000000003</v>
          </cell>
          <cell r="F227">
            <v>1346.7456999999999</v>
          </cell>
          <cell r="G227">
            <v>4.3099999999999996</v>
          </cell>
          <cell r="H227">
            <v>1346.7456999999999</v>
          </cell>
          <cell r="I227">
            <v>1</v>
          </cell>
          <cell r="J227">
            <v>0</v>
          </cell>
          <cell r="K227">
            <v>0</v>
          </cell>
          <cell r="L227" t="str">
            <v>0.00%</v>
          </cell>
          <cell r="M227">
            <v>4.3099999999999996</v>
          </cell>
          <cell r="N227">
            <v>1346.7456999999999</v>
          </cell>
          <cell r="O227">
            <v>1</v>
          </cell>
          <cell r="P227">
            <v>0</v>
          </cell>
          <cell r="Q227">
            <v>0</v>
          </cell>
          <cell r="R227" t="str">
            <v>0.00%</v>
          </cell>
        </row>
        <row r="228">
          <cell r="A228" t="str">
            <v>04.03.03.02</v>
          </cell>
          <cell r="B228" t="str">
            <v>ENCOFRADO Y DESENCOFRADO NORMAL PARA SOBRECIMIENTOS HASTA 0.60M.</v>
          </cell>
          <cell r="C228" t="str">
            <v>m2</v>
          </cell>
          <cell r="D228">
            <v>42.6</v>
          </cell>
          <cell r="E228">
            <v>44.43</v>
          </cell>
          <cell r="F228">
            <v>1892.7180000000001</v>
          </cell>
          <cell r="G228">
            <v>42.6</v>
          </cell>
          <cell r="H228">
            <v>1892.7180000000001</v>
          </cell>
          <cell r="I228">
            <v>1</v>
          </cell>
          <cell r="J228">
            <v>0</v>
          </cell>
          <cell r="K228">
            <v>0</v>
          </cell>
          <cell r="L228" t="str">
            <v>0.00%</v>
          </cell>
          <cell r="M228">
            <v>42.6</v>
          </cell>
          <cell r="N228">
            <v>1892.7180000000001</v>
          </cell>
          <cell r="O228">
            <v>1</v>
          </cell>
          <cell r="P228">
            <v>0</v>
          </cell>
          <cell r="Q228">
            <v>0</v>
          </cell>
          <cell r="R228" t="str">
            <v>0.00%</v>
          </cell>
        </row>
        <row r="229">
          <cell r="A229" t="str">
            <v>04.04</v>
          </cell>
          <cell r="B229" t="str">
            <v>CONCRETO ARMADO</v>
          </cell>
          <cell r="C229">
            <v>0</v>
          </cell>
          <cell r="D229">
            <v>0</v>
          </cell>
          <cell r="E229">
            <v>0</v>
          </cell>
          <cell r="F229">
            <v>0</v>
          </cell>
          <cell r="G229">
            <v>0</v>
          </cell>
          <cell r="H229">
            <v>0</v>
          </cell>
          <cell r="I229">
            <v>0</v>
          </cell>
          <cell r="J229">
            <v>0</v>
          </cell>
          <cell r="K229">
            <v>0</v>
          </cell>
          <cell r="L229">
            <v>0</v>
          </cell>
          <cell r="M229">
            <v>0</v>
          </cell>
          <cell r="N229">
            <v>0</v>
          </cell>
          <cell r="O229">
            <v>0</v>
          </cell>
          <cell r="P229">
            <v>0</v>
          </cell>
          <cell r="Q229">
            <v>0</v>
          </cell>
          <cell r="R229">
            <v>0</v>
          </cell>
        </row>
        <row r="230">
          <cell r="A230" t="str">
            <v>04.04.01</v>
          </cell>
          <cell r="B230" t="str">
            <v>ZAPATAS</v>
          </cell>
          <cell r="C230">
            <v>0</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row>
        <row r="231">
          <cell r="A231" t="str">
            <v>04.04.01.01</v>
          </cell>
          <cell r="B231" t="str">
            <v>CONCRETO PARA ZAPATAS F'C=210 KG/CM2</v>
          </cell>
          <cell r="C231" t="str">
            <v>m3</v>
          </cell>
          <cell r="D231">
            <v>26.6</v>
          </cell>
          <cell r="E231">
            <v>427.63</v>
          </cell>
          <cell r="F231">
            <v>11374.958000000001</v>
          </cell>
          <cell r="G231">
            <v>26.6</v>
          </cell>
          <cell r="H231">
            <v>11374.958000000001</v>
          </cell>
          <cell r="I231">
            <v>1</v>
          </cell>
          <cell r="J231">
            <v>0</v>
          </cell>
          <cell r="K231">
            <v>0</v>
          </cell>
          <cell r="L231" t="str">
            <v>0.00%</v>
          </cell>
          <cell r="M231">
            <v>26.6</v>
          </cell>
          <cell r="N231">
            <v>11374.958000000001</v>
          </cell>
          <cell r="O231">
            <v>1</v>
          </cell>
          <cell r="P231">
            <v>0</v>
          </cell>
          <cell r="Q231">
            <v>0</v>
          </cell>
          <cell r="R231" t="str">
            <v>0.00%</v>
          </cell>
        </row>
        <row r="232">
          <cell r="A232" t="str">
            <v>04.04.01.02</v>
          </cell>
          <cell r="B232" t="str">
            <v>ACERO F'Y=4200 KG/CM2 GRADO 60 EN ZAPATAS</v>
          </cell>
          <cell r="C232" t="str">
            <v>kg</v>
          </cell>
          <cell r="D232">
            <v>606.38499999999999</v>
          </cell>
          <cell r="E232">
            <v>4.3</v>
          </cell>
          <cell r="F232">
            <v>2607.4555</v>
          </cell>
          <cell r="G232">
            <v>606.38499999999999</v>
          </cell>
          <cell r="H232">
            <v>2607.4555</v>
          </cell>
          <cell r="I232">
            <v>1</v>
          </cell>
          <cell r="J232">
            <v>0</v>
          </cell>
          <cell r="K232">
            <v>0</v>
          </cell>
          <cell r="L232" t="str">
            <v>0.00%</v>
          </cell>
          <cell r="M232">
            <v>606.38499999999999</v>
          </cell>
          <cell r="N232">
            <v>2607.4555</v>
          </cell>
          <cell r="O232">
            <v>1</v>
          </cell>
          <cell r="P232">
            <v>0</v>
          </cell>
          <cell r="Q232">
            <v>0</v>
          </cell>
          <cell r="R232" t="str">
            <v>0.00%</v>
          </cell>
        </row>
        <row r="233">
          <cell r="A233" t="str">
            <v>04.04.02</v>
          </cell>
          <cell r="B233" t="str">
            <v>VIGAS DE CIMENTACION</v>
          </cell>
          <cell r="C233">
            <v>0</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row>
        <row r="234">
          <cell r="A234" t="str">
            <v>04.04.02.01</v>
          </cell>
          <cell r="B234" t="str">
            <v>CONCRETO F'C= 210 KG/CM2 EN VIGAS DE CIMENTACIÓN</v>
          </cell>
          <cell r="C234" t="str">
            <v>m3</v>
          </cell>
          <cell r="D234">
            <v>11.24</v>
          </cell>
          <cell r="E234">
            <v>451</v>
          </cell>
          <cell r="F234">
            <v>5069.24</v>
          </cell>
          <cell r="G234">
            <v>11.24</v>
          </cell>
          <cell r="H234">
            <v>5069.24</v>
          </cell>
          <cell r="I234">
            <v>1</v>
          </cell>
          <cell r="J234">
            <v>0</v>
          </cell>
          <cell r="K234">
            <v>0</v>
          </cell>
          <cell r="L234" t="str">
            <v>0.00%</v>
          </cell>
          <cell r="M234">
            <v>11.24</v>
          </cell>
          <cell r="N234">
            <v>5069.24</v>
          </cell>
          <cell r="O234">
            <v>1</v>
          </cell>
          <cell r="P234">
            <v>0</v>
          </cell>
          <cell r="Q234">
            <v>0</v>
          </cell>
          <cell r="R234" t="str">
            <v>0.00%</v>
          </cell>
        </row>
        <row r="235">
          <cell r="A235" t="str">
            <v>04.04.02.02</v>
          </cell>
          <cell r="B235" t="str">
            <v>ACERO F'Y=4200 KG/CM2 GRADO 60 EN VIGAS DE CIMENTACIÓN</v>
          </cell>
          <cell r="C235" t="str">
            <v>kg</v>
          </cell>
          <cell r="D235">
            <v>948.46</v>
          </cell>
          <cell r="E235">
            <v>4.45</v>
          </cell>
          <cell r="F235">
            <v>4220.6469999999999</v>
          </cell>
          <cell r="G235">
            <v>948.45900000000006</v>
          </cell>
          <cell r="H235">
            <v>4220.6425500000005</v>
          </cell>
          <cell r="I235">
            <v>0.99999894565927938</v>
          </cell>
          <cell r="J235">
            <v>0</v>
          </cell>
          <cell r="K235">
            <v>0</v>
          </cell>
          <cell r="L235" t="str">
            <v>0.00%</v>
          </cell>
          <cell r="M235">
            <v>948.45900000000006</v>
          </cell>
          <cell r="N235">
            <v>4220.6425500000005</v>
          </cell>
          <cell r="O235">
            <v>0.99999894565927938</v>
          </cell>
          <cell r="P235">
            <v>9.9999999997635314E-4</v>
          </cell>
          <cell r="Q235">
            <v>4.4499999994513928E-3</v>
          </cell>
          <cell r="R235">
            <v>1.0543407206173349E-6</v>
          </cell>
        </row>
        <row r="236">
          <cell r="A236" t="str">
            <v>04.04.02.03</v>
          </cell>
          <cell r="B236" t="str">
            <v>ENCOFRADO Y DESENCOFRADO DE VIGAS DE CIMENTACIÓN</v>
          </cell>
          <cell r="C236" t="str">
            <v>m2</v>
          </cell>
          <cell r="D236">
            <v>76.209999999999994</v>
          </cell>
          <cell r="E236">
            <v>44.69</v>
          </cell>
          <cell r="F236">
            <v>3405.8248999999996</v>
          </cell>
          <cell r="G236">
            <v>76.209999999999994</v>
          </cell>
          <cell r="H236">
            <v>3405.8248999999996</v>
          </cell>
          <cell r="I236">
            <v>1</v>
          </cell>
          <cell r="J236">
            <v>0</v>
          </cell>
          <cell r="K236">
            <v>0</v>
          </cell>
          <cell r="L236" t="str">
            <v>0.00%</v>
          </cell>
          <cell r="M236">
            <v>76.209999999999994</v>
          </cell>
          <cell r="N236">
            <v>3405.8248999999996</v>
          </cell>
          <cell r="O236">
            <v>1</v>
          </cell>
          <cell r="P236">
            <v>0</v>
          </cell>
          <cell r="Q236">
            <v>0</v>
          </cell>
          <cell r="R236" t="str">
            <v>0.00%</v>
          </cell>
        </row>
        <row r="237">
          <cell r="A237" t="str">
            <v>04.04.03</v>
          </cell>
          <cell r="B237" t="str">
            <v>COLUMNAS</v>
          </cell>
          <cell r="C237">
            <v>0</v>
          </cell>
          <cell r="D237">
            <v>0</v>
          </cell>
          <cell r="E237">
            <v>0</v>
          </cell>
          <cell r="F237">
            <v>0</v>
          </cell>
          <cell r="G237">
            <v>0</v>
          </cell>
          <cell r="H237">
            <v>0</v>
          </cell>
          <cell r="I237">
            <v>0</v>
          </cell>
          <cell r="J237">
            <v>0</v>
          </cell>
          <cell r="K237">
            <v>0</v>
          </cell>
          <cell r="L237">
            <v>0</v>
          </cell>
          <cell r="M237">
            <v>0</v>
          </cell>
          <cell r="N237">
            <v>0</v>
          </cell>
          <cell r="O237">
            <v>0</v>
          </cell>
          <cell r="P237">
            <v>0</v>
          </cell>
          <cell r="Q237">
            <v>0</v>
          </cell>
          <cell r="R237">
            <v>0</v>
          </cell>
        </row>
        <row r="238">
          <cell r="A238" t="str">
            <v>04.04.03.01</v>
          </cell>
          <cell r="B238" t="str">
            <v>CONCRETO EN COLUMNAS F'C=210 KG/CM2</v>
          </cell>
          <cell r="C238" t="str">
            <v>m3</v>
          </cell>
          <cell r="D238">
            <v>18.600000000000001</v>
          </cell>
          <cell r="E238">
            <v>521.12</v>
          </cell>
          <cell r="F238">
            <v>9692.8320000000003</v>
          </cell>
          <cell r="G238">
            <v>18.600000000000001</v>
          </cell>
          <cell r="H238">
            <v>9692.8320000000003</v>
          </cell>
          <cell r="I238">
            <v>1</v>
          </cell>
          <cell r="J238">
            <v>0</v>
          </cell>
          <cell r="K238">
            <v>0</v>
          </cell>
          <cell r="L238" t="str">
            <v>0.00%</v>
          </cell>
          <cell r="M238">
            <v>18.600000000000001</v>
          </cell>
          <cell r="N238">
            <v>9692.8320000000003</v>
          </cell>
          <cell r="O238">
            <v>1</v>
          </cell>
          <cell r="P238">
            <v>0</v>
          </cell>
          <cell r="Q238">
            <v>0</v>
          </cell>
          <cell r="R238" t="str">
            <v>0.00%</v>
          </cell>
        </row>
        <row r="239">
          <cell r="A239" t="str">
            <v>04.04.03.02</v>
          </cell>
          <cell r="B239" t="str">
            <v>ACERO F'Y=4200 KG/CM2 GRADO 60 EN COLUMNAS</v>
          </cell>
          <cell r="C239" t="str">
            <v>kg</v>
          </cell>
          <cell r="D239">
            <v>2114.42</v>
          </cell>
          <cell r="E239">
            <v>4.5</v>
          </cell>
          <cell r="F239">
            <v>9514.89</v>
          </cell>
          <cell r="G239">
            <v>2114.42</v>
          </cell>
          <cell r="H239">
            <v>9514.89</v>
          </cell>
          <cell r="I239">
            <v>1</v>
          </cell>
          <cell r="J239">
            <v>0</v>
          </cell>
          <cell r="K239">
            <v>0</v>
          </cell>
          <cell r="L239" t="str">
            <v>0.00%</v>
          </cell>
          <cell r="M239">
            <v>2114.42</v>
          </cell>
          <cell r="N239">
            <v>9514.89</v>
          </cell>
          <cell r="O239">
            <v>1</v>
          </cell>
          <cell r="P239">
            <v>0</v>
          </cell>
          <cell r="Q239">
            <v>0</v>
          </cell>
          <cell r="R239" t="str">
            <v>0.00%</v>
          </cell>
        </row>
        <row r="240">
          <cell r="A240" t="str">
            <v>04.04.03.03</v>
          </cell>
          <cell r="B240" t="str">
            <v>ENCOFRADO Y DESENCOFRADO NORMAL EN COLUMNAS</v>
          </cell>
          <cell r="C240" t="str">
            <v>m2</v>
          </cell>
          <cell r="D240">
            <v>216.23500000000001</v>
          </cell>
          <cell r="E240">
            <v>49.71</v>
          </cell>
          <cell r="F240">
            <v>10749.041850000001</v>
          </cell>
          <cell r="G240">
            <v>216.23500000000001</v>
          </cell>
          <cell r="H240">
            <v>10749.041850000001</v>
          </cell>
          <cell r="I240">
            <v>1</v>
          </cell>
          <cell r="J240">
            <v>0</v>
          </cell>
          <cell r="K240">
            <v>0</v>
          </cell>
          <cell r="L240" t="str">
            <v>0.00%</v>
          </cell>
          <cell r="M240">
            <v>216.23500000000001</v>
          </cell>
          <cell r="N240">
            <v>10749.041850000001</v>
          </cell>
          <cell r="O240">
            <v>1</v>
          </cell>
          <cell r="P240">
            <v>0</v>
          </cell>
          <cell r="Q240">
            <v>0</v>
          </cell>
          <cell r="R240" t="str">
            <v>0.00%</v>
          </cell>
        </row>
        <row r="241">
          <cell r="A241" t="str">
            <v>04.04.04</v>
          </cell>
          <cell r="B241" t="str">
            <v>COLUMNETAS</v>
          </cell>
          <cell r="C241">
            <v>0</v>
          </cell>
          <cell r="D241">
            <v>0</v>
          </cell>
          <cell r="E241">
            <v>0</v>
          </cell>
          <cell r="F241">
            <v>0</v>
          </cell>
          <cell r="G241">
            <v>0</v>
          </cell>
          <cell r="H241">
            <v>0</v>
          </cell>
          <cell r="I241">
            <v>0</v>
          </cell>
          <cell r="J241">
            <v>0</v>
          </cell>
          <cell r="K241">
            <v>0</v>
          </cell>
          <cell r="L241">
            <v>0</v>
          </cell>
          <cell r="M241">
            <v>0</v>
          </cell>
          <cell r="N241">
            <v>0</v>
          </cell>
          <cell r="O241">
            <v>0</v>
          </cell>
          <cell r="P241">
            <v>0</v>
          </cell>
          <cell r="Q241">
            <v>0</v>
          </cell>
          <cell r="R241">
            <v>0</v>
          </cell>
        </row>
        <row r="242">
          <cell r="A242" t="str">
            <v>04.04.04.01</v>
          </cell>
          <cell r="B242" t="str">
            <v>CONCRETO EN COLUMNETAS F'C=210 KG/CM2</v>
          </cell>
          <cell r="C242" t="str">
            <v>m3</v>
          </cell>
          <cell r="D242">
            <v>10.32</v>
          </cell>
          <cell r="E242">
            <v>521.12</v>
          </cell>
          <cell r="F242">
            <v>5377.9584000000004</v>
          </cell>
          <cell r="G242">
            <v>0</v>
          </cell>
          <cell r="H242">
            <v>0</v>
          </cell>
          <cell r="I242" t="str">
            <v>0.00%</v>
          </cell>
          <cell r="J242">
            <v>10.319998999999999</v>
          </cell>
          <cell r="K242">
            <v>5377.95787888</v>
          </cell>
          <cell r="L242">
            <v>0.99999990310077513</v>
          </cell>
          <cell r="M242">
            <v>10.319998999999999</v>
          </cell>
          <cell r="N242">
            <v>5377.95787888</v>
          </cell>
          <cell r="O242">
            <v>0.99999990310077513</v>
          </cell>
          <cell r="P242">
            <v>1.0000000010279564E-6</v>
          </cell>
          <cell r="Q242">
            <v>5.2112000048509799E-4</v>
          </cell>
          <cell r="R242">
            <v>9.6899224896402691E-8</v>
          </cell>
        </row>
        <row r="243">
          <cell r="A243" t="str">
            <v>04.04.04.02</v>
          </cell>
          <cell r="B243" t="str">
            <v>ACERO F'Y=4200 KG/CM2 GRADO 60 EN COLUMNETAS</v>
          </cell>
          <cell r="C243" t="str">
            <v>kg</v>
          </cell>
          <cell r="D243">
            <v>1628.77</v>
          </cell>
          <cell r="E243">
            <v>4.4400000000000004</v>
          </cell>
          <cell r="F243">
            <v>7231.738800000001</v>
          </cell>
          <cell r="G243">
            <v>1628.7694000000001</v>
          </cell>
          <cell r="H243">
            <v>7231.7361360000014</v>
          </cell>
          <cell r="I243">
            <v>0.99999963162386341</v>
          </cell>
          <cell r="J243">
            <v>0</v>
          </cell>
          <cell r="K243">
            <v>0</v>
          </cell>
          <cell r="L243" t="str">
            <v>0.00%</v>
          </cell>
          <cell r="M243">
            <v>1628.7694000000001</v>
          </cell>
          <cell r="N243">
            <v>7231.7361360000014</v>
          </cell>
          <cell r="O243">
            <v>0.99999963162386341</v>
          </cell>
          <cell r="P243">
            <v>5.9999999984938768E-4</v>
          </cell>
          <cell r="Q243">
            <v>2.6639999996405095E-3</v>
          </cell>
          <cell r="R243">
            <v>3.6837613654416131E-7</v>
          </cell>
        </row>
        <row r="244">
          <cell r="A244" t="str">
            <v>04.04.04.03</v>
          </cell>
          <cell r="B244" t="str">
            <v>ENCOFRADO Y DESNCOFRADO NORMAL  EN COLUMNETAS</v>
          </cell>
          <cell r="C244" t="str">
            <v>m2</v>
          </cell>
          <cell r="D244">
            <v>112.47</v>
          </cell>
          <cell r="E244">
            <v>49.71</v>
          </cell>
          <cell r="F244">
            <v>5590.8837000000003</v>
          </cell>
          <cell r="G244">
            <v>0</v>
          </cell>
          <cell r="H244">
            <v>0</v>
          </cell>
          <cell r="I244" t="str">
            <v>0.00%</v>
          </cell>
          <cell r="J244">
            <v>112.46999999999998</v>
          </cell>
          <cell r="K244">
            <v>5590.8836999999994</v>
          </cell>
          <cell r="L244">
            <v>0.99999999999999989</v>
          </cell>
          <cell r="M244">
            <v>112.46999999999998</v>
          </cell>
          <cell r="N244">
            <v>5590.8836999999994</v>
          </cell>
          <cell r="O244">
            <v>0.99999999999999989</v>
          </cell>
          <cell r="P244">
            <v>1.4210854715202004E-14</v>
          </cell>
          <cell r="Q244">
            <v>9.0949470177292824E-13</v>
          </cell>
          <cell r="R244">
            <v>1.6267458787828624E-16</v>
          </cell>
        </row>
        <row r="245">
          <cell r="A245" t="str">
            <v>04.04.05</v>
          </cell>
          <cell r="B245" t="str">
            <v>VIGAS</v>
          </cell>
          <cell r="C245">
            <v>0</v>
          </cell>
          <cell r="D245">
            <v>0</v>
          </cell>
          <cell r="E245">
            <v>0</v>
          </cell>
          <cell r="F245">
            <v>0</v>
          </cell>
          <cell r="G245">
            <v>0</v>
          </cell>
          <cell r="H245">
            <v>0</v>
          </cell>
          <cell r="I245">
            <v>0</v>
          </cell>
          <cell r="J245">
            <v>0</v>
          </cell>
          <cell r="K245">
            <v>0</v>
          </cell>
          <cell r="L245">
            <v>0</v>
          </cell>
          <cell r="M245">
            <v>0</v>
          </cell>
          <cell r="N245">
            <v>0</v>
          </cell>
          <cell r="O245">
            <v>0</v>
          </cell>
          <cell r="P245">
            <v>0</v>
          </cell>
          <cell r="Q245">
            <v>0</v>
          </cell>
          <cell r="R245">
            <v>0</v>
          </cell>
        </row>
        <row r="246">
          <cell r="A246" t="str">
            <v>04.04.05.01</v>
          </cell>
          <cell r="B246" t="str">
            <v>CONCRETO EN VIGAS F'C=210 KG/CM2</v>
          </cell>
          <cell r="C246" t="str">
            <v>m3</v>
          </cell>
          <cell r="D246">
            <v>34.567</v>
          </cell>
          <cell r="E246">
            <v>486.07</v>
          </cell>
          <cell r="F246">
            <v>16801.981690000001</v>
          </cell>
          <cell r="G246">
            <v>34.567</v>
          </cell>
          <cell r="H246">
            <v>16801.981690000001</v>
          </cell>
          <cell r="I246">
            <v>1</v>
          </cell>
          <cell r="J246">
            <v>0</v>
          </cell>
          <cell r="K246">
            <v>0</v>
          </cell>
          <cell r="L246" t="str">
            <v>0.00%</v>
          </cell>
          <cell r="M246">
            <v>34.567</v>
          </cell>
          <cell r="N246">
            <v>16801.981690000001</v>
          </cell>
          <cell r="O246">
            <v>1</v>
          </cell>
          <cell r="P246">
            <v>0</v>
          </cell>
          <cell r="Q246">
            <v>0</v>
          </cell>
          <cell r="R246" t="str">
            <v>0.00%</v>
          </cell>
        </row>
        <row r="247">
          <cell r="A247" t="str">
            <v>04.04.05.02</v>
          </cell>
          <cell r="B247" t="str">
            <v>ACERO F'Y=4200 KG/CM2 GRADO 60 EN VIGAS</v>
          </cell>
          <cell r="C247" t="str">
            <v>kg</v>
          </cell>
          <cell r="D247">
            <v>3192.4</v>
          </cell>
          <cell r="E247">
            <v>4.5</v>
          </cell>
          <cell r="F247">
            <v>14365.800000000001</v>
          </cell>
          <cell r="G247">
            <v>3192.4</v>
          </cell>
          <cell r="H247">
            <v>14365.800000000001</v>
          </cell>
          <cell r="I247">
            <v>1</v>
          </cell>
          <cell r="J247">
            <v>0</v>
          </cell>
          <cell r="K247">
            <v>0</v>
          </cell>
          <cell r="L247" t="str">
            <v>0.00%</v>
          </cell>
          <cell r="M247">
            <v>3192.4</v>
          </cell>
          <cell r="N247">
            <v>14365.800000000001</v>
          </cell>
          <cell r="O247">
            <v>1</v>
          </cell>
          <cell r="P247">
            <v>0</v>
          </cell>
          <cell r="Q247">
            <v>0</v>
          </cell>
          <cell r="R247" t="str">
            <v>0.00%</v>
          </cell>
        </row>
        <row r="248">
          <cell r="A248" t="str">
            <v>04.04.05.03</v>
          </cell>
          <cell r="B248" t="str">
            <v>ENCOFRADO Y DESNCOFRADO NORMAL EN VIGAS</v>
          </cell>
          <cell r="C248" t="str">
            <v>m2</v>
          </cell>
          <cell r="D248">
            <v>164</v>
          </cell>
          <cell r="E248">
            <v>54.02</v>
          </cell>
          <cell r="F248">
            <v>8859.2800000000007</v>
          </cell>
          <cell r="G248">
            <v>164</v>
          </cell>
          <cell r="H248">
            <v>8859.2800000000007</v>
          </cell>
          <cell r="I248">
            <v>1</v>
          </cell>
          <cell r="J248">
            <v>0</v>
          </cell>
          <cell r="K248">
            <v>0</v>
          </cell>
          <cell r="L248" t="str">
            <v>0.00%</v>
          </cell>
          <cell r="M248">
            <v>164</v>
          </cell>
          <cell r="N248">
            <v>8859.2800000000007</v>
          </cell>
          <cell r="O248">
            <v>1</v>
          </cell>
          <cell r="P248">
            <v>0</v>
          </cell>
          <cell r="Q248">
            <v>0</v>
          </cell>
          <cell r="R248" t="str">
            <v>0.00%</v>
          </cell>
        </row>
        <row r="249">
          <cell r="A249" t="str">
            <v>04.04.06</v>
          </cell>
          <cell r="B249" t="str">
            <v>VIGUETAS DE VANOS</v>
          </cell>
          <cell r="C249">
            <v>0</v>
          </cell>
          <cell r="D249">
            <v>0</v>
          </cell>
          <cell r="E249">
            <v>0</v>
          </cell>
          <cell r="F249">
            <v>0</v>
          </cell>
          <cell r="G249">
            <v>0</v>
          </cell>
          <cell r="H249">
            <v>0</v>
          </cell>
          <cell r="I249">
            <v>0</v>
          </cell>
          <cell r="J249">
            <v>0</v>
          </cell>
          <cell r="K249">
            <v>0</v>
          </cell>
          <cell r="L249">
            <v>0</v>
          </cell>
          <cell r="M249">
            <v>0</v>
          </cell>
          <cell r="N249">
            <v>0</v>
          </cell>
          <cell r="O249">
            <v>0</v>
          </cell>
          <cell r="P249">
            <v>0</v>
          </cell>
          <cell r="Q249">
            <v>0</v>
          </cell>
          <cell r="R249">
            <v>0</v>
          </cell>
        </row>
        <row r="250">
          <cell r="A250" t="str">
            <v>04.04.06.01</v>
          </cell>
          <cell r="B250" t="str">
            <v>CONCRETO EN VIGUETAS DE VANO F'C=175 KG/CM2</v>
          </cell>
          <cell r="C250" t="str">
            <v>m3</v>
          </cell>
          <cell r="D250">
            <v>2.556</v>
          </cell>
          <cell r="E250">
            <v>271.35000000000002</v>
          </cell>
          <cell r="F250">
            <v>693.57060000000013</v>
          </cell>
          <cell r="G250">
            <v>0</v>
          </cell>
          <cell r="H250">
            <v>0</v>
          </cell>
          <cell r="I250" t="str">
            <v>0.00%</v>
          </cell>
          <cell r="J250">
            <v>2.556</v>
          </cell>
          <cell r="K250">
            <v>693.57060000000013</v>
          </cell>
          <cell r="L250">
            <v>1</v>
          </cell>
          <cell r="M250">
            <v>2.556</v>
          </cell>
          <cell r="N250">
            <v>693.57060000000013</v>
          </cell>
          <cell r="O250">
            <v>1</v>
          </cell>
          <cell r="P250">
            <v>0</v>
          </cell>
          <cell r="Q250">
            <v>0</v>
          </cell>
          <cell r="R250" t="str">
            <v>0.00%</v>
          </cell>
        </row>
        <row r="251">
          <cell r="A251" t="str">
            <v>04.04.06.02</v>
          </cell>
          <cell r="B251" t="str">
            <v>ACERO GRADO 60 EN VIGUETAS DE VANO</v>
          </cell>
          <cell r="C251" t="str">
            <v>kg</v>
          </cell>
          <cell r="D251">
            <v>217.13</v>
          </cell>
          <cell r="E251">
            <v>4.5</v>
          </cell>
          <cell r="F251">
            <v>977.08500000000004</v>
          </cell>
          <cell r="G251">
            <v>0</v>
          </cell>
          <cell r="H251">
            <v>0</v>
          </cell>
          <cell r="I251" t="str">
            <v>0.00%</v>
          </cell>
          <cell r="J251">
            <v>217.13</v>
          </cell>
          <cell r="K251">
            <v>977.08500000000004</v>
          </cell>
          <cell r="L251">
            <v>1</v>
          </cell>
          <cell r="M251">
            <v>217.13</v>
          </cell>
          <cell r="N251">
            <v>977.08500000000004</v>
          </cell>
          <cell r="O251">
            <v>1</v>
          </cell>
          <cell r="P251">
            <v>0</v>
          </cell>
          <cell r="Q251">
            <v>0</v>
          </cell>
          <cell r="R251" t="str">
            <v>0.00%</v>
          </cell>
        </row>
        <row r="252">
          <cell r="A252" t="str">
            <v>04.04.06.03</v>
          </cell>
          <cell r="B252" t="str">
            <v>ENCOFRADO Y DESENCOFRADO EN VIGUETAS DE VANO</v>
          </cell>
          <cell r="C252" t="str">
            <v>m2</v>
          </cell>
          <cell r="D252">
            <v>37.520000000000003</v>
          </cell>
          <cell r="E252">
            <v>41.63</v>
          </cell>
          <cell r="F252">
            <v>1561.9576000000002</v>
          </cell>
          <cell r="G252">
            <v>0</v>
          </cell>
          <cell r="H252">
            <v>0</v>
          </cell>
          <cell r="I252" t="str">
            <v>0.00%</v>
          </cell>
          <cell r="J252">
            <v>37.520000000000003</v>
          </cell>
          <cell r="K252">
            <v>1561.9576000000002</v>
          </cell>
          <cell r="L252">
            <v>1</v>
          </cell>
          <cell r="M252">
            <v>37.520000000000003</v>
          </cell>
          <cell r="N252">
            <v>1561.9576000000002</v>
          </cell>
          <cell r="O252">
            <v>1</v>
          </cell>
          <cell r="P252">
            <v>0</v>
          </cell>
          <cell r="Q252">
            <v>0</v>
          </cell>
          <cell r="R252" t="str">
            <v>0.00%</v>
          </cell>
        </row>
        <row r="253">
          <cell r="A253" t="str">
            <v>04.04.07</v>
          </cell>
          <cell r="B253" t="str">
            <v>LOSAS ALIGERADAS</v>
          </cell>
          <cell r="C253">
            <v>0</v>
          </cell>
          <cell r="D253">
            <v>0</v>
          </cell>
          <cell r="E253">
            <v>0</v>
          </cell>
          <cell r="F253">
            <v>0</v>
          </cell>
          <cell r="G253">
            <v>0</v>
          </cell>
          <cell r="H253">
            <v>0</v>
          </cell>
          <cell r="I253">
            <v>0</v>
          </cell>
          <cell r="J253">
            <v>0</v>
          </cell>
          <cell r="K253">
            <v>0</v>
          </cell>
          <cell r="L253">
            <v>0</v>
          </cell>
          <cell r="M253">
            <v>0</v>
          </cell>
          <cell r="N253">
            <v>0</v>
          </cell>
          <cell r="O253">
            <v>0</v>
          </cell>
          <cell r="P253">
            <v>0</v>
          </cell>
          <cell r="Q253">
            <v>0</v>
          </cell>
          <cell r="R253">
            <v>0</v>
          </cell>
        </row>
        <row r="254">
          <cell r="A254" t="str">
            <v>04.04.07.01</v>
          </cell>
          <cell r="B254" t="str">
            <v>CONCRETO EN LOSAS ALIGERADAS F'C=210 KG/CM2</v>
          </cell>
          <cell r="C254" t="str">
            <v>m3</v>
          </cell>
          <cell r="D254">
            <v>19.475000000000001</v>
          </cell>
          <cell r="E254">
            <v>487.24</v>
          </cell>
          <cell r="F254">
            <v>9488.9990000000016</v>
          </cell>
          <cell r="G254">
            <v>19.475000000000001</v>
          </cell>
          <cell r="H254">
            <v>9488.9990000000016</v>
          </cell>
          <cell r="I254">
            <v>1</v>
          </cell>
          <cell r="J254">
            <v>0</v>
          </cell>
          <cell r="K254">
            <v>0</v>
          </cell>
          <cell r="L254" t="str">
            <v>0.00%</v>
          </cell>
          <cell r="M254">
            <v>19.475000000000001</v>
          </cell>
          <cell r="N254">
            <v>9488.9990000000016</v>
          </cell>
          <cell r="O254">
            <v>1</v>
          </cell>
          <cell r="P254">
            <v>0</v>
          </cell>
          <cell r="Q254">
            <v>0</v>
          </cell>
          <cell r="R254" t="str">
            <v>0.00%</v>
          </cell>
        </row>
        <row r="255">
          <cell r="A255" t="str">
            <v>04.04.07.02</v>
          </cell>
          <cell r="B255" t="str">
            <v>ACERO F'Y=4200 KG/CM2 GRADO 60 EN LOSAS ALIGERADAS</v>
          </cell>
          <cell r="C255" t="str">
            <v>kg</v>
          </cell>
          <cell r="D255">
            <v>1856.57</v>
          </cell>
          <cell r="E255">
            <v>4.5</v>
          </cell>
          <cell r="F255">
            <v>8354.5650000000005</v>
          </cell>
          <cell r="G255">
            <v>1856.57</v>
          </cell>
          <cell r="H255">
            <v>8354.5650000000005</v>
          </cell>
          <cell r="I255">
            <v>1</v>
          </cell>
          <cell r="J255">
            <v>0</v>
          </cell>
          <cell r="K255">
            <v>0</v>
          </cell>
          <cell r="L255" t="str">
            <v>0.00%</v>
          </cell>
          <cell r="M255">
            <v>1856.57</v>
          </cell>
          <cell r="N255">
            <v>8354.5650000000005</v>
          </cell>
          <cell r="O255">
            <v>1</v>
          </cell>
          <cell r="P255">
            <v>0</v>
          </cell>
          <cell r="Q255">
            <v>0</v>
          </cell>
          <cell r="R255" t="str">
            <v>0.00%</v>
          </cell>
        </row>
        <row r="256">
          <cell r="A256" t="str">
            <v>04.04.07.03</v>
          </cell>
          <cell r="B256" t="str">
            <v>ENCOFRADO Y DESENCOFRADO NORMAL EN LOSAS ALIGERADAS</v>
          </cell>
          <cell r="C256" t="str">
            <v>m2</v>
          </cell>
          <cell r="D256">
            <v>250.27</v>
          </cell>
          <cell r="E256">
            <v>29.08</v>
          </cell>
          <cell r="F256">
            <v>7277.8516</v>
          </cell>
          <cell r="G256">
            <v>250.26999999999998</v>
          </cell>
          <cell r="H256">
            <v>7277.8515999999991</v>
          </cell>
          <cell r="I256">
            <v>0.99999999999999989</v>
          </cell>
          <cell r="J256">
            <v>0</v>
          </cell>
          <cell r="K256">
            <v>0</v>
          </cell>
          <cell r="L256" t="str">
            <v>0.00%</v>
          </cell>
          <cell r="M256">
            <v>250.26999999999998</v>
          </cell>
          <cell r="N256">
            <v>7277.8515999999991</v>
          </cell>
          <cell r="O256">
            <v>0.99999999999999989</v>
          </cell>
          <cell r="P256">
            <v>2.8421709430404007E-14</v>
          </cell>
          <cell r="Q256">
            <v>9.0949470177292824E-13</v>
          </cell>
          <cell r="R256">
            <v>1.2496747003922534E-16</v>
          </cell>
        </row>
        <row r="257">
          <cell r="A257" t="str">
            <v>04.04.07.04</v>
          </cell>
          <cell r="B257" t="str">
            <v>LADRILLO DE ARCILLA HUECO 15X30X30 PARA TECHO</v>
          </cell>
          <cell r="C257" t="str">
            <v>und</v>
          </cell>
          <cell r="D257">
            <v>2084.75</v>
          </cell>
          <cell r="E257">
            <v>4.66</v>
          </cell>
          <cell r="F257">
            <v>9714.9349999999995</v>
          </cell>
          <cell r="G257">
            <v>2084.75</v>
          </cell>
          <cell r="H257">
            <v>9714.9349999999995</v>
          </cell>
          <cell r="I257">
            <v>1</v>
          </cell>
          <cell r="J257">
            <v>0</v>
          </cell>
          <cell r="K257">
            <v>0</v>
          </cell>
          <cell r="L257" t="str">
            <v>0.00%</v>
          </cell>
          <cell r="M257">
            <v>2084.75</v>
          </cell>
          <cell r="N257">
            <v>9714.9349999999995</v>
          </cell>
          <cell r="O257">
            <v>1</v>
          </cell>
          <cell r="P257">
            <v>0</v>
          </cell>
          <cell r="Q257">
            <v>0</v>
          </cell>
          <cell r="R257" t="str">
            <v>0.00%</v>
          </cell>
        </row>
        <row r="258">
          <cell r="A258" t="str">
            <v>04.04.08</v>
          </cell>
          <cell r="B258" t="str">
            <v>PLACAS</v>
          </cell>
          <cell r="C258">
            <v>0</v>
          </cell>
          <cell r="D258">
            <v>0</v>
          </cell>
          <cell r="E258">
            <v>0</v>
          </cell>
          <cell r="F258">
            <v>0</v>
          </cell>
          <cell r="G258">
            <v>0</v>
          </cell>
          <cell r="H258">
            <v>0</v>
          </cell>
          <cell r="I258">
            <v>0</v>
          </cell>
          <cell r="J258">
            <v>0</v>
          </cell>
          <cell r="K258">
            <v>0</v>
          </cell>
          <cell r="L258">
            <v>0</v>
          </cell>
          <cell r="M258">
            <v>0</v>
          </cell>
          <cell r="N258">
            <v>0</v>
          </cell>
          <cell r="O258">
            <v>0</v>
          </cell>
          <cell r="P258">
            <v>0</v>
          </cell>
          <cell r="Q258">
            <v>0</v>
          </cell>
          <cell r="R258">
            <v>0</v>
          </cell>
        </row>
        <row r="259">
          <cell r="A259" t="str">
            <v>04.04.08.01</v>
          </cell>
          <cell r="B259" t="str">
            <v>CONCRETO EN PLACAS F'C= 210 KG/CM2</v>
          </cell>
          <cell r="C259" t="str">
            <v>m3</v>
          </cell>
          <cell r="D259">
            <v>11.266999999999999</v>
          </cell>
          <cell r="E259">
            <v>547.66</v>
          </cell>
          <cell r="F259">
            <v>6170.4852199999996</v>
          </cell>
          <cell r="G259">
            <v>11.266999999999999</v>
          </cell>
          <cell r="H259">
            <v>6170.4852199999996</v>
          </cell>
          <cell r="I259">
            <v>1</v>
          </cell>
          <cell r="J259">
            <v>0</v>
          </cell>
          <cell r="K259">
            <v>0</v>
          </cell>
          <cell r="L259" t="str">
            <v>0.00%</v>
          </cell>
          <cell r="M259">
            <v>11.266999999999999</v>
          </cell>
          <cell r="N259">
            <v>6170.4852199999996</v>
          </cell>
          <cell r="O259">
            <v>1</v>
          </cell>
          <cell r="P259">
            <v>0</v>
          </cell>
          <cell r="Q259">
            <v>0</v>
          </cell>
          <cell r="R259" t="str">
            <v>0.00%</v>
          </cell>
        </row>
        <row r="260">
          <cell r="A260" t="str">
            <v>04.04.08.02</v>
          </cell>
          <cell r="B260" t="str">
            <v>ACERO F'Y=4200 KG/CM2 EN PLACAS</v>
          </cell>
          <cell r="C260" t="str">
            <v>kg</v>
          </cell>
          <cell r="D260">
            <v>1415.02</v>
          </cell>
          <cell r="E260">
            <v>4.04</v>
          </cell>
          <cell r="F260">
            <v>5716.6808000000001</v>
          </cell>
          <cell r="G260">
            <v>1415.02</v>
          </cell>
          <cell r="H260">
            <v>5716.6808000000001</v>
          </cell>
          <cell r="I260">
            <v>1</v>
          </cell>
          <cell r="J260">
            <v>0</v>
          </cell>
          <cell r="K260">
            <v>0</v>
          </cell>
          <cell r="L260" t="str">
            <v>0.00%</v>
          </cell>
          <cell r="M260">
            <v>1415.02</v>
          </cell>
          <cell r="N260">
            <v>5716.6808000000001</v>
          </cell>
          <cell r="O260">
            <v>1</v>
          </cell>
          <cell r="P260">
            <v>0</v>
          </cell>
          <cell r="Q260">
            <v>0</v>
          </cell>
          <cell r="R260" t="str">
            <v>0.00%</v>
          </cell>
        </row>
        <row r="261">
          <cell r="A261" t="str">
            <v>04.04.08.03</v>
          </cell>
          <cell r="B261" t="str">
            <v>ENCOFRADO Y DESENCOF EN PLACAS</v>
          </cell>
          <cell r="C261" t="str">
            <v>m2</v>
          </cell>
          <cell r="D261">
            <v>88.93</v>
          </cell>
          <cell r="E261">
            <v>38.049999999999997</v>
          </cell>
          <cell r="F261">
            <v>3383.7865000000002</v>
          </cell>
          <cell r="G261">
            <v>88.93</v>
          </cell>
          <cell r="H261">
            <v>3383.7865000000002</v>
          </cell>
          <cell r="I261">
            <v>1</v>
          </cell>
          <cell r="J261">
            <v>0</v>
          </cell>
          <cell r="K261">
            <v>0</v>
          </cell>
          <cell r="L261" t="str">
            <v>0.00%</v>
          </cell>
          <cell r="M261">
            <v>88.93</v>
          </cell>
          <cell r="N261">
            <v>3383.7865000000002</v>
          </cell>
          <cell r="O261">
            <v>1</v>
          </cell>
          <cell r="P261">
            <v>0</v>
          </cell>
          <cell r="Q261">
            <v>0</v>
          </cell>
          <cell r="R261" t="str">
            <v>0.00%</v>
          </cell>
        </row>
        <row r="262">
          <cell r="A262" t="str">
            <v>04.04.09</v>
          </cell>
          <cell r="B262" t="str">
            <v>CUNETA DE  EVACUACION PLUVIAL EN TECHO</v>
          </cell>
          <cell r="C262">
            <v>0</v>
          </cell>
          <cell r="D262">
            <v>0</v>
          </cell>
          <cell r="E262">
            <v>0</v>
          </cell>
          <cell r="F262">
            <v>0</v>
          </cell>
          <cell r="G262">
            <v>0</v>
          </cell>
          <cell r="H262">
            <v>0</v>
          </cell>
          <cell r="I262">
            <v>0</v>
          </cell>
          <cell r="J262">
            <v>0</v>
          </cell>
          <cell r="K262">
            <v>0</v>
          </cell>
          <cell r="L262">
            <v>0</v>
          </cell>
          <cell r="M262">
            <v>0</v>
          </cell>
          <cell r="N262">
            <v>0</v>
          </cell>
          <cell r="O262">
            <v>0</v>
          </cell>
          <cell r="P262">
            <v>0</v>
          </cell>
          <cell r="Q262">
            <v>0</v>
          </cell>
          <cell r="R262">
            <v>0</v>
          </cell>
        </row>
        <row r="263">
          <cell r="A263" t="str">
            <v>04.04.09.01</v>
          </cell>
          <cell r="B263" t="str">
            <v>CONCRETO EN CUNETA F'C= 210 KG/CM2</v>
          </cell>
          <cell r="C263" t="str">
            <v>m3</v>
          </cell>
          <cell r="D263">
            <v>2.1850000000000001</v>
          </cell>
          <cell r="E263">
            <v>482.39</v>
          </cell>
          <cell r="F263">
            <v>1054.02215</v>
          </cell>
          <cell r="G263">
            <v>0</v>
          </cell>
          <cell r="H263">
            <v>0</v>
          </cell>
          <cell r="I263" t="str">
            <v>0.00%</v>
          </cell>
          <cell r="J263">
            <v>2.1850000000000001</v>
          </cell>
          <cell r="K263">
            <v>1054.02215</v>
          </cell>
          <cell r="L263">
            <v>1</v>
          </cell>
          <cell r="M263">
            <v>2.1850000000000001</v>
          </cell>
          <cell r="N263">
            <v>1054.02215</v>
          </cell>
          <cell r="O263">
            <v>1</v>
          </cell>
          <cell r="P263">
            <v>0</v>
          </cell>
          <cell r="Q263">
            <v>0</v>
          </cell>
          <cell r="R263" t="str">
            <v>0.00%</v>
          </cell>
        </row>
        <row r="264">
          <cell r="A264" t="str">
            <v>04.04.09.02</v>
          </cell>
          <cell r="B264" t="str">
            <v>ACERO F'Y=4200 KG/CM2 GRADO 60 EN CUNETA</v>
          </cell>
          <cell r="C264" t="str">
            <v>kg</v>
          </cell>
          <cell r="D264">
            <v>195.33500000000001</v>
          </cell>
          <cell r="E264">
            <v>4.4400000000000004</v>
          </cell>
          <cell r="F264">
            <v>867.28740000000016</v>
          </cell>
          <cell r="G264">
            <v>0</v>
          </cell>
          <cell r="H264">
            <v>0</v>
          </cell>
          <cell r="I264" t="str">
            <v>0.00%</v>
          </cell>
          <cell r="J264">
            <v>195.33500000000001</v>
          </cell>
          <cell r="K264">
            <v>867.28740000000016</v>
          </cell>
          <cell r="L264">
            <v>1</v>
          </cell>
          <cell r="M264">
            <v>195.33500000000001</v>
          </cell>
          <cell r="N264">
            <v>867.28740000000016</v>
          </cell>
          <cell r="O264">
            <v>1</v>
          </cell>
          <cell r="P264">
            <v>0</v>
          </cell>
          <cell r="Q264">
            <v>0</v>
          </cell>
          <cell r="R264" t="str">
            <v>0.00%</v>
          </cell>
        </row>
        <row r="265">
          <cell r="A265" t="str">
            <v>04.04.09.03</v>
          </cell>
          <cell r="B265" t="str">
            <v>ENCOFRADO Y DESENCOFRADO NORMAL EN CUNETAS</v>
          </cell>
          <cell r="C265" t="str">
            <v>m2</v>
          </cell>
          <cell r="D265">
            <v>43.8</v>
          </cell>
          <cell r="E265">
            <v>44.85</v>
          </cell>
          <cell r="F265">
            <v>1964.4299999999998</v>
          </cell>
          <cell r="G265">
            <v>0</v>
          </cell>
          <cell r="H265">
            <v>0</v>
          </cell>
          <cell r="I265" t="str">
            <v>0.00%</v>
          </cell>
          <cell r="J265">
            <v>43.8</v>
          </cell>
          <cell r="K265">
            <v>1964.4299999999998</v>
          </cell>
          <cell r="L265">
            <v>1</v>
          </cell>
          <cell r="M265">
            <v>43.8</v>
          </cell>
          <cell r="N265">
            <v>1964.4299999999998</v>
          </cell>
          <cell r="O265">
            <v>1</v>
          </cell>
          <cell r="P265">
            <v>0</v>
          </cell>
          <cell r="Q265">
            <v>0</v>
          </cell>
          <cell r="R265" t="str">
            <v>0.00%</v>
          </cell>
        </row>
        <row r="266">
          <cell r="A266" t="str">
            <v>04.04.10</v>
          </cell>
          <cell r="B266" t="str">
            <v>MESA DE CONCRETO</v>
          </cell>
          <cell r="C266">
            <v>0</v>
          </cell>
          <cell r="D266">
            <v>0</v>
          </cell>
          <cell r="E266">
            <v>0</v>
          </cell>
          <cell r="F266">
            <v>0</v>
          </cell>
          <cell r="G266">
            <v>0</v>
          </cell>
          <cell r="H266">
            <v>0</v>
          </cell>
          <cell r="I266">
            <v>0</v>
          </cell>
          <cell r="J266">
            <v>0</v>
          </cell>
          <cell r="K266">
            <v>0</v>
          </cell>
          <cell r="L266">
            <v>0</v>
          </cell>
          <cell r="M266">
            <v>0</v>
          </cell>
          <cell r="N266">
            <v>0</v>
          </cell>
          <cell r="O266">
            <v>0</v>
          </cell>
          <cell r="P266">
            <v>0</v>
          </cell>
          <cell r="Q266">
            <v>0</v>
          </cell>
          <cell r="R266">
            <v>0</v>
          </cell>
        </row>
        <row r="267">
          <cell r="A267" t="str">
            <v>04.04.10.01</v>
          </cell>
          <cell r="B267" t="str">
            <v>CONCRETO F'C= 175 KG/CM2 EN MESA DE CONCRETO</v>
          </cell>
          <cell r="C267" t="str">
            <v>m3</v>
          </cell>
          <cell r="D267">
            <v>0.86</v>
          </cell>
          <cell r="E267">
            <v>462.25</v>
          </cell>
          <cell r="F267">
            <v>397.53499999999997</v>
          </cell>
          <cell r="G267">
            <v>0</v>
          </cell>
          <cell r="H267">
            <v>0</v>
          </cell>
          <cell r="I267" t="str">
            <v>0.00%</v>
          </cell>
          <cell r="J267">
            <v>0</v>
          </cell>
          <cell r="K267">
            <v>0</v>
          </cell>
          <cell r="L267" t="str">
            <v>0.00%</v>
          </cell>
          <cell r="M267">
            <v>0</v>
          </cell>
          <cell r="N267">
            <v>0</v>
          </cell>
          <cell r="O267" t="str">
            <v>0.00%</v>
          </cell>
          <cell r="P267">
            <v>0.86</v>
          </cell>
          <cell r="Q267">
            <v>397.53499999999997</v>
          </cell>
          <cell r="R267">
            <v>1</v>
          </cell>
        </row>
        <row r="268">
          <cell r="A268" t="str">
            <v>04.04.10.02</v>
          </cell>
          <cell r="B268" t="str">
            <v>ACERO F'Y=4200 KG/CM2 GRADO 60 EN MESA DE CONCRETO</v>
          </cell>
          <cell r="C268" t="str">
            <v>kg</v>
          </cell>
          <cell r="D268">
            <v>46.09</v>
          </cell>
          <cell r="E268">
            <v>4.4400000000000004</v>
          </cell>
          <cell r="F268">
            <v>204.63960000000003</v>
          </cell>
          <cell r="G268">
            <v>0</v>
          </cell>
          <cell r="H268">
            <v>0</v>
          </cell>
          <cell r="I268" t="str">
            <v>0.00%</v>
          </cell>
          <cell r="J268">
            <v>0</v>
          </cell>
          <cell r="K268">
            <v>0</v>
          </cell>
          <cell r="L268" t="str">
            <v>0.00%</v>
          </cell>
          <cell r="M268">
            <v>0</v>
          </cell>
          <cell r="N268">
            <v>0</v>
          </cell>
          <cell r="O268" t="str">
            <v>0.00%</v>
          </cell>
          <cell r="P268">
            <v>46.09</v>
          </cell>
          <cell r="Q268">
            <v>204.63960000000003</v>
          </cell>
          <cell r="R268">
            <v>1</v>
          </cell>
        </row>
        <row r="269">
          <cell r="A269" t="str">
            <v>04.04.10.03</v>
          </cell>
          <cell r="B269" t="str">
            <v>ENCOFRADO Y DESENCOFRADO EN MESA DE CONCRETO</v>
          </cell>
          <cell r="C269" t="str">
            <v>m2</v>
          </cell>
          <cell r="D269">
            <v>17.23</v>
          </cell>
          <cell r="E269">
            <v>32.28</v>
          </cell>
          <cell r="F269">
            <v>556.18439999999998</v>
          </cell>
          <cell r="G269">
            <v>0</v>
          </cell>
          <cell r="H269">
            <v>0</v>
          </cell>
          <cell r="I269" t="str">
            <v>0.00%</v>
          </cell>
          <cell r="J269">
            <v>0</v>
          </cell>
          <cell r="K269">
            <v>0</v>
          </cell>
          <cell r="L269" t="str">
            <v>0.00%</v>
          </cell>
          <cell r="M269">
            <v>0</v>
          </cell>
          <cell r="N269">
            <v>0</v>
          </cell>
          <cell r="O269" t="str">
            <v>0.00%</v>
          </cell>
          <cell r="P269">
            <v>17.23</v>
          </cell>
          <cell r="Q269">
            <v>556.18439999999998</v>
          </cell>
          <cell r="R269">
            <v>1</v>
          </cell>
        </row>
        <row r="270">
          <cell r="A270" t="str">
            <v>04.04.11</v>
          </cell>
          <cell r="B270" t="str">
            <v>MARCO DE VENTANA DE CONCRETO</v>
          </cell>
          <cell r="C270">
            <v>0</v>
          </cell>
          <cell r="D270">
            <v>0</v>
          </cell>
          <cell r="E270">
            <v>0</v>
          </cell>
          <cell r="F270">
            <v>0</v>
          </cell>
          <cell r="G270">
            <v>0</v>
          </cell>
          <cell r="H270">
            <v>0</v>
          </cell>
          <cell r="I270">
            <v>0</v>
          </cell>
          <cell r="J270">
            <v>0</v>
          </cell>
          <cell r="K270">
            <v>0</v>
          </cell>
          <cell r="L270">
            <v>0</v>
          </cell>
          <cell r="M270">
            <v>0</v>
          </cell>
          <cell r="N270">
            <v>0</v>
          </cell>
          <cell r="O270">
            <v>0</v>
          </cell>
          <cell r="P270">
            <v>0</v>
          </cell>
          <cell r="Q270">
            <v>0</v>
          </cell>
          <cell r="R270">
            <v>0</v>
          </cell>
        </row>
        <row r="271">
          <cell r="A271" t="str">
            <v>04.04.11.01</v>
          </cell>
          <cell r="B271" t="str">
            <v>CONCRETO F'C= 175 KG/CM2 EN MARCO DE VENTANA</v>
          </cell>
          <cell r="C271" t="str">
            <v>m3</v>
          </cell>
          <cell r="D271">
            <v>3.52</v>
          </cell>
          <cell r="E271">
            <v>462.25</v>
          </cell>
          <cell r="F271">
            <v>1627.1200000000001</v>
          </cell>
          <cell r="G271">
            <v>0</v>
          </cell>
          <cell r="H271">
            <v>0</v>
          </cell>
          <cell r="I271" t="str">
            <v>0.00%</v>
          </cell>
          <cell r="J271">
            <v>0.82400000000000007</v>
          </cell>
          <cell r="K271">
            <v>380.89400000000001</v>
          </cell>
          <cell r="L271">
            <v>0.23409090909090907</v>
          </cell>
          <cell r="M271">
            <v>0.82400000000000007</v>
          </cell>
          <cell r="N271">
            <v>380.89400000000001</v>
          </cell>
          <cell r="O271">
            <v>0.23409090909090907</v>
          </cell>
          <cell r="P271">
            <v>2.6959999999999997</v>
          </cell>
          <cell r="Q271">
            <v>1246.2260000000001</v>
          </cell>
          <cell r="R271">
            <v>0.76590909090909087</v>
          </cell>
        </row>
        <row r="272">
          <cell r="A272" t="str">
            <v>04.04.11.02</v>
          </cell>
          <cell r="B272" t="str">
            <v>ACERO F'Y=4200 KG/CM2 GRADO 60 EN MARCO DE VENTANA</v>
          </cell>
          <cell r="C272" t="str">
            <v>kg</v>
          </cell>
          <cell r="D272">
            <v>501.12</v>
          </cell>
          <cell r="E272">
            <v>4.4400000000000004</v>
          </cell>
          <cell r="F272">
            <v>2224.9728</v>
          </cell>
          <cell r="G272">
            <v>0</v>
          </cell>
          <cell r="H272">
            <v>0</v>
          </cell>
          <cell r="I272" t="str">
            <v>0.00%</v>
          </cell>
          <cell r="J272">
            <v>501.12</v>
          </cell>
          <cell r="K272">
            <v>2224.9728</v>
          </cell>
          <cell r="L272">
            <v>1</v>
          </cell>
          <cell r="M272">
            <v>501.12</v>
          </cell>
          <cell r="N272">
            <v>2224.9728</v>
          </cell>
          <cell r="O272">
            <v>1</v>
          </cell>
          <cell r="P272">
            <v>0</v>
          </cell>
          <cell r="Q272">
            <v>0</v>
          </cell>
          <cell r="R272" t="str">
            <v>0.00%</v>
          </cell>
        </row>
        <row r="273">
          <cell r="A273" t="str">
            <v>04.04.11.03</v>
          </cell>
          <cell r="B273" t="str">
            <v>ENCOFRADO Y DESENCOFRADO EN MARCO DE VENTANA</v>
          </cell>
          <cell r="C273" t="str">
            <v>m2</v>
          </cell>
          <cell r="D273">
            <v>35.200000000000003</v>
          </cell>
          <cell r="E273">
            <v>28.78</v>
          </cell>
          <cell r="F273">
            <v>1013.0560000000002</v>
          </cell>
          <cell r="G273">
            <v>0</v>
          </cell>
          <cell r="H273">
            <v>0</v>
          </cell>
          <cell r="I273" t="str">
            <v>0.00%</v>
          </cell>
          <cell r="J273">
            <v>8.24</v>
          </cell>
          <cell r="K273">
            <v>237.14720000000003</v>
          </cell>
          <cell r="L273">
            <v>0.23409090909090907</v>
          </cell>
          <cell r="M273">
            <v>8.24</v>
          </cell>
          <cell r="N273">
            <v>237.14720000000003</v>
          </cell>
          <cell r="O273">
            <v>0.23409090909090907</v>
          </cell>
          <cell r="P273">
            <v>26.96</v>
          </cell>
          <cell r="Q273">
            <v>775.90880000000016</v>
          </cell>
          <cell r="R273">
            <v>0.76590909090909098</v>
          </cell>
        </row>
        <row r="274">
          <cell r="A274" t="str">
            <v>04.05</v>
          </cell>
          <cell r="B274" t="str">
            <v>JUNTAS DE CONSTRUCCION</v>
          </cell>
          <cell r="C274">
            <v>0</v>
          </cell>
          <cell r="D274">
            <v>0</v>
          </cell>
          <cell r="E274">
            <v>0</v>
          </cell>
          <cell r="F274">
            <v>0</v>
          </cell>
          <cell r="G274">
            <v>0</v>
          </cell>
          <cell r="H274">
            <v>0</v>
          </cell>
          <cell r="I274">
            <v>0</v>
          </cell>
          <cell r="J274">
            <v>0</v>
          </cell>
          <cell r="K274">
            <v>0</v>
          </cell>
          <cell r="L274">
            <v>0</v>
          </cell>
          <cell r="M274">
            <v>0</v>
          </cell>
          <cell r="N274">
            <v>0</v>
          </cell>
          <cell r="O274">
            <v>0</v>
          </cell>
          <cell r="P274">
            <v>0</v>
          </cell>
          <cell r="Q274">
            <v>0</v>
          </cell>
          <cell r="R274">
            <v>0</v>
          </cell>
        </row>
        <row r="275">
          <cell r="A275" t="str">
            <v>04.05.01</v>
          </cell>
          <cell r="B275" t="str">
            <v>JUNTAS DE TEKNOPOR DE  1"</v>
          </cell>
          <cell r="C275" t="str">
            <v>m</v>
          </cell>
          <cell r="D275">
            <v>11.7</v>
          </cell>
          <cell r="E275">
            <v>9.0500000000000007</v>
          </cell>
          <cell r="F275">
            <v>105.88500000000001</v>
          </cell>
          <cell r="G275">
            <v>0</v>
          </cell>
          <cell r="H275">
            <v>0</v>
          </cell>
          <cell r="I275" t="str">
            <v>0.00%</v>
          </cell>
          <cell r="J275">
            <v>11.7</v>
          </cell>
          <cell r="K275">
            <v>105.88500000000001</v>
          </cell>
          <cell r="L275">
            <v>1</v>
          </cell>
          <cell r="M275">
            <v>11.7</v>
          </cell>
          <cell r="N275">
            <v>105.88500000000001</v>
          </cell>
          <cell r="O275">
            <v>1</v>
          </cell>
          <cell r="P275">
            <v>0</v>
          </cell>
          <cell r="Q275">
            <v>0</v>
          </cell>
          <cell r="R275" t="str">
            <v>0.00%</v>
          </cell>
        </row>
        <row r="276">
          <cell r="A276" t="str">
            <v>04.06</v>
          </cell>
          <cell r="B276" t="str">
            <v>PRUEBAS</v>
          </cell>
          <cell r="C276">
            <v>0</v>
          </cell>
          <cell r="D276">
            <v>0</v>
          </cell>
          <cell r="E276">
            <v>0</v>
          </cell>
          <cell r="F276">
            <v>0</v>
          </cell>
          <cell r="G276">
            <v>0</v>
          </cell>
          <cell r="H276">
            <v>0</v>
          </cell>
          <cell r="I276">
            <v>0</v>
          </cell>
          <cell r="J276">
            <v>0</v>
          </cell>
          <cell r="K276">
            <v>0</v>
          </cell>
          <cell r="L276">
            <v>0</v>
          </cell>
          <cell r="M276">
            <v>0</v>
          </cell>
          <cell r="N276">
            <v>0</v>
          </cell>
          <cell r="O276">
            <v>0</v>
          </cell>
          <cell r="P276">
            <v>0</v>
          </cell>
          <cell r="Q276">
            <v>0</v>
          </cell>
          <cell r="R276">
            <v>0</v>
          </cell>
        </row>
        <row r="277">
          <cell r="A277" t="str">
            <v>04.06.01</v>
          </cell>
          <cell r="B277" t="str">
            <v>PRUEBA DE CALIDAD DEL CONCRETO (PRUEBA A LA COMPRESION)</v>
          </cell>
          <cell r="C277" t="str">
            <v>und</v>
          </cell>
          <cell r="D277">
            <v>2</v>
          </cell>
          <cell r="E277">
            <v>40</v>
          </cell>
          <cell r="F277">
            <v>80</v>
          </cell>
          <cell r="G277">
            <v>0</v>
          </cell>
          <cell r="H277">
            <v>0</v>
          </cell>
          <cell r="I277" t="str">
            <v>0.00%</v>
          </cell>
          <cell r="J277">
            <v>2</v>
          </cell>
          <cell r="K277">
            <v>80</v>
          </cell>
          <cell r="L277">
            <v>1</v>
          </cell>
          <cell r="M277">
            <v>2</v>
          </cell>
          <cell r="N277">
            <v>80</v>
          </cell>
          <cell r="O277">
            <v>1</v>
          </cell>
          <cell r="P277">
            <v>0</v>
          </cell>
          <cell r="Q277">
            <v>0</v>
          </cell>
          <cell r="R277" t="str">
            <v>0.00%</v>
          </cell>
        </row>
        <row r="278">
          <cell r="A278" t="str">
            <v>05</v>
          </cell>
          <cell r="B278" t="str">
            <v>BLOQUE - 4</v>
          </cell>
          <cell r="C278">
            <v>0</v>
          </cell>
          <cell r="D278">
            <v>0</v>
          </cell>
          <cell r="E278">
            <v>0</v>
          </cell>
          <cell r="F278">
            <v>0</v>
          </cell>
          <cell r="G278">
            <v>0</v>
          </cell>
          <cell r="H278">
            <v>0</v>
          </cell>
          <cell r="I278">
            <v>0</v>
          </cell>
          <cell r="J278">
            <v>0</v>
          </cell>
          <cell r="K278">
            <v>0</v>
          </cell>
          <cell r="L278">
            <v>0</v>
          </cell>
          <cell r="M278">
            <v>0</v>
          </cell>
          <cell r="N278">
            <v>0</v>
          </cell>
          <cell r="O278">
            <v>0</v>
          </cell>
          <cell r="P278">
            <v>0</v>
          </cell>
          <cell r="Q278">
            <v>0</v>
          </cell>
          <cell r="R278">
            <v>0</v>
          </cell>
        </row>
        <row r="279">
          <cell r="A279" t="str">
            <v>05.01</v>
          </cell>
          <cell r="B279" t="str">
            <v>TRABAJOS PRELIMINARES</v>
          </cell>
          <cell r="C279">
            <v>0</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row>
        <row r="280">
          <cell r="A280" t="str">
            <v>05.01.01</v>
          </cell>
          <cell r="B280" t="str">
            <v>LIMPIEZA DE TERRENO MANUAL</v>
          </cell>
          <cell r="C280" t="str">
            <v>m2</v>
          </cell>
          <cell r="D280">
            <v>87.68</v>
          </cell>
          <cell r="E280">
            <v>1.0900000000000001</v>
          </cell>
          <cell r="F280">
            <v>95.571200000000019</v>
          </cell>
          <cell r="G280">
            <v>87.68</v>
          </cell>
          <cell r="H280">
            <v>95.571200000000019</v>
          </cell>
          <cell r="I280">
            <v>1</v>
          </cell>
          <cell r="J280">
            <v>0</v>
          </cell>
          <cell r="K280">
            <v>0</v>
          </cell>
          <cell r="L280" t="str">
            <v>0.00%</v>
          </cell>
          <cell r="M280">
            <v>87.68</v>
          </cell>
          <cell r="N280">
            <v>95.571200000000019</v>
          </cell>
          <cell r="O280">
            <v>1</v>
          </cell>
          <cell r="P280">
            <v>0</v>
          </cell>
          <cell r="Q280">
            <v>0</v>
          </cell>
          <cell r="R280" t="str">
            <v>0.00%</v>
          </cell>
        </row>
        <row r="281">
          <cell r="A281" t="str">
            <v>05.01.02</v>
          </cell>
          <cell r="B281" t="str">
            <v>TRAZO DURANTE LA EJECUCION DE LA OBRA</v>
          </cell>
          <cell r="C281" t="str">
            <v>m2</v>
          </cell>
          <cell r="D281">
            <v>87.68</v>
          </cell>
          <cell r="E281">
            <v>3.49</v>
          </cell>
          <cell r="F281">
            <v>306.00320000000005</v>
          </cell>
          <cell r="G281">
            <v>87.68</v>
          </cell>
          <cell r="H281">
            <v>306.00320000000005</v>
          </cell>
          <cell r="I281">
            <v>1</v>
          </cell>
          <cell r="J281">
            <v>0</v>
          </cell>
          <cell r="K281">
            <v>0</v>
          </cell>
          <cell r="L281" t="str">
            <v>0.00%</v>
          </cell>
          <cell r="M281">
            <v>87.68</v>
          </cell>
          <cell r="N281">
            <v>306.00320000000005</v>
          </cell>
          <cell r="O281">
            <v>1</v>
          </cell>
          <cell r="P281">
            <v>0</v>
          </cell>
          <cell r="Q281">
            <v>0</v>
          </cell>
          <cell r="R281" t="str">
            <v>0.00%</v>
          </cell>
        </row>
        <row r="282">
          <cell r="A282" t="str">
            <v>05.02</v>
          </cell>
          <cell r="B282" t="str">
            <v>MOVIMIENTO DE TIERRAS</v>
          </cell>
          <cell r="C282">
            <v>0</v>
          </cell>
          <cell r="D282">
            <v>0</v>
          </cell>
          <cell r="E282">
            <v>0</v>
          </cell>
          <cell r="F282">
            <v>0</v>
          </cell>
          <cell r="G282">
            <v>0</v>
          </cell>
          <cell r="H282">
            <v>0</v>
          </cell>
          <cell r="I282">
            <v>0</v>
          </cell>
          <cell r="J282">
            <v>0</v>
          </cell>
          <cell r="K282">
            <v>0</v>
          </cell>
          <cell r="L282">
            <v>0</v>
          </cell>
          <cell r="M282">
            <v>0</v>
          </cell>
          <cell r="N282">
            <v>0</v>
          </cell>
          <cell r="O282">
            <v>0</v>
          </cell>
          <cell r="P282">
            <v>0</v>
          </cell>
          <cell r="Q282">
            <v>0</v>
          </cell>
          <cell r="R282">
            <v>0</v>
          </cell>
        </row>
        <row r="283">
          <cell r="A283" t="str">
            <v>05.02.01</v>
          </cell>
          <cell r="B283" t="str">
            <v xml:space="preserve">EXCAVACION PARA CIMIENTOS-ZAPATAS </v>
          </cell>
          <cell r="C283" t="str">
            <v>m3</v>
          </cell>
          <cell r="D283">
            <v>73.11</v>
          </cell>
          <cell r="E283">
            <v>44.73</v>
          </cell>
          <cell r="F283">
            <v>3270.2102999999997</v>
          </cell>
          <cell r="G283">
            <v>73.11</v>
          </cell>
          <cell r="H283">
            <v>3270.2102999999997</v>
          </cell>
          <cell r="I283">
            <v>1</v>
          </cell>
          <cell r="J283">
            <v>0</v>
          </cell>
          <cell r="K283">
            <v>0</v>
          </cell>
          <cell r="L283" t="str">
            <v>0.00%</v>
          </cell>
          <cell r="M283">
            <v>73.11</v>
          </cell>
          <cell r="N283">
            <v>3270.2102999999997</v>
          </cell>
          <cell r="O283">
            <v>1</v>
          </cell>
          <cell r="P283">
            <v>0</v>
          </cell>
          <cell r="Q283">
            <v>0</v>
          </cell>
          <cell r="R283" t="str">
            <v>0.00%</v>
          </cell>
        </row>
        <row r="284">
          <cell r="A284" t="str">
            <v>05.02.02</v>
          </cell>
          <cell r="B284" t="str">
            <v>RELLENO COMPACTADO CON MATERIAL PROPIO EN CAPAS DE 0.20m.</v>
          </cell>
          <cell r="C284" t="str">
            <v>m3</v>
          </cell>
          <cell r="D284">
            <v>26.43</v>
          </cell>
          <cell r="E284">
            <v>53.95</v>
          </cell>
          <cell r="F284">
            <v>1425.8985</v>
          </cell>
          <cell r="G284">
            <v>26.43</v>
          </cell>
          <cell r="H284">
            <v>1425.8985</v>
          </cell>
          <cell r="I284">
            <v>1</v>
          </cell>
          <cell r="J284">
            <v>0</v>
          </cell>
          <cell r="K284">
            <v>0</v>
          </cell>
          <cell r="L284" t="str">
            <v>0.00%</v>
          </cell>
          <cell r="M284">
            <v>26.43</v>
          </cell>
          <cell r="N284">
            <v>1425.8985</v>
          </cell>
          <cell r="O284">
            <v>1</v>
          </cell>
          <cell r="P284">
            <v>0</v>
          </cell>
          <cell r="Q284">
            <v>0</v>
          </cell>
          <cell r="R284" t="str">
            <v>0.00%</v>
          </cell>
        </row>
        <row r="285">
          <cell r="A285" t="str">
            <v>05.02.03</v>
          </cell>
          <cell r="B285" t="str">
            <v>ACARREO INTERNO, MATERIAL PROCEDENTE DE EXCAVACIONES  Y OTROS</v>
          </cell>
          <cell r="C285" t="str">
            <v>m3</v>
          </cell>
          <cell r="D285">
            <v>60.68</v>
          </cell>
          <cell r="E285">
            <v>19</v>
          </cell>
          <cell r="F285">
            <v>1152.92</v>
          </cell>
          <cell r="G285">
            <v>60.68</v>
          </cell>
          <cell r="H285">
            <v>1152.92</v>
          </cell>
          <cell r="I285">
            <v>1</v>
          </cell>
          <cell r="J285">
            <v>0</v>
          </cell>
          <cell r="K285">
            <v>0</v>
          </cell>
          <cell r="L285" t="str">
            <v>0.00%</v>
          </cell>
          <cell r="M285">
            <v>60.68</v>
          </cell>
          <cell r="N285">
            <v>1152.92</v>
          </cell>
          <cell r="O285">
            <v>1</v>
          </cell>
          <cell r="P285">
            <v>0</v>
          </cell>
          <cell r="Q285">
            <v>0</v>
          </cell>
          <cell r="R285" t="str">
            <v>0.00%</v>
          </cell>
        </row>
        <row r="286">
          <cell r="A286" t="str">
            <v>05.02.04</v>
          </cell>
          <cell r="B286" t="str">
            <v>ELIMINACION DE MATERIAL EXCEDENTE CON EQUIPO</v>
          </cell>
          <cell r="C286" t="str">
            <v>m3</v>
          </cell>
          <cell r="D286">
            <v>60.68</v>
          </cell>
          <cell r="E286">
            <v>14.64</v>
          </cell>
          <cell r="F286">
            <v>888.35520000000008</v>
          </cell>
          <cell r="G286">
            <v>60.68</v>
          </cell>
          <cell r="H286">
            <v>888.35520000000008</v>
          </cell>
          <cell r="I286">
            <v>1</v>
          </cell>
          <cell r="J286">
            <v>0</v>
          </cell>
          <cell r="K286">
            <v>0</v>
          </cell>
          <cell r="L286" t="str">
            <v>0.00%</v>
          </cell>
          <cell r="M286">
            <v>60.68</v>
          </cell>
          <cell r="N286">
            <v>888.35520000000008</v>
          </cell>
          <cell r="O286">
            <v>1</v>
          </cell>
          <cell r="P286">
            <v>0</v>
          </cell>
          <cell r="Q286">
            <v>0</v>
          </cell>
          <cell r="R286" t="str">
            <v>0.00%</v>
          </cell>
        </row>
        <row r="287">
          <cell r="A287" t="str">
            <v>05.02.05</v>
          </cell>
          <cell r="B287" t="str">
            <v xml:space="preserve">AFIRMADO e=20 cm </v>
          </cell>
          <cell r="C287" t="str">
            <v>m3</v>
          </cell>
          <cell r="D287">
            <v>14.54</v>
          </cell>
          <cell r="E287">
            <v>82.36</v>
          </cell>
          <cell r="F287">
            <v>1197.5144</v>
          </cell>
          <cell r="G287">
            <v>14.54</v>
          </cell>
          <cell r="H287">
            <v>1197.5144</v>
          </cell>
          <cell r="I287">
            <v>1</v>
          </cell>
          <cell r="J287">
            <v>0</v>
          </cell>
          <cell r="K287">
            <v>0</v>
          </cell>
          <cell r="L287" t="str">
            <v>0.00%</v>
          </cell>
          <cell r="M287">
            <v>14.54</v>
          </cell>
          <cell r="N287">
            <v>1197.5144</v>
          </cell>
          <cell r="O287">
            <v>1</v>
          </cell>
          <cell r="P287">
            <v>0</v>
          </cell>
          <cell r="Q287">
            <v>0</v>
          </cell>
          <cell r="R287" t="str">
            <v>0.00%</v>
          </cell>
        </row>
        <row r="288">
          <cell r="A288" t="str">
            <v>05.02.06</v>
          </cell>
          <cell r="B288" t="str">
            <v xml:space="preserve">NIVELACION Y COMPACTACION PARA FALSO PISOS, VEREDAS Y PATIOS </v>
          </cell>
          <cell r="C288" t="str">
            <v>m2</v>
          </cell>
          <cell r="D288">
            <v>72.69</v>
          </cell>
          <cell r="E288">
            <v>9.3800000000000008</v>
          </cell>
          <cell r="F288">
            <v>681.83220000000006</v>
          </cell>
          <cell r="G288">
            <v>0</v>
          </cell>
          <cell r="H288">
            <v>0</v>
          </cell>
          <cell r="I288" t="str">
            <v>0.00%</v>
          </cell>
          <cell r="J288">
            <v>72.69</v>
          </cell>
          <cell r="K288">
            <v>681.83220000000006</v>
          </cell>
          <cell r="L288">
            <v>1</v>
          </cell>
          <cell r="M288">
            <v>72.69</v>
          </cell>
          <cell r="N288">
            <v>681.83220000000006</v>
          </cell>
          <cell r="O288">
            <v>1</v>
          </cell>
          <cell r="P288">
            <v>0</v>
          </cell>
          <cell r="Q288">
            <v>0</v>
          </cell>
          <cell r="R288" t="str">
            <v>0.00%</v>
          </cell>
        </row>
        <row r="289">
          <cell r="A289" t="str">
            <v>05.03</v>
          </cell>
          <cell r="B289" t="str">
            <v>CONCRETO SIMPLE</v>
          </cell>
          <cell r="C289">
            <v>0</v>
          </cell>
          <cell r="D289">
            <v>0</v>
          </cell>
          <cell r="E289">
            <v>0</v>
          </cell>
          <cell r="F289">
            <v>0</v>
          </cell>
          <cell r="G289">
            <v>0</v>
          </cell>
          <cell r="H289">
            <v>0</v>
          </cell>
          <cell r="I289">
            <v>0</v>
          </cell>
          <cell r="J289">
            <v>0</v>
          </cell>
          <cell r="K289">
            <v>0</v>
          </cell>
          <cell r="L289">
            <v>0</v>
          </cell>
          <cell r="M289">
            <v>0</v>
          </cell>
          <cell r="N289">
            <v>0</v>
          </cell>
          <cell r="O289">
            <v>0</v>
          </cell>
          <cell r="P289">
            <v>0</v>
          </cell>
          <cell r="Q289">
            <v>0</v>
          </cell>
          <cell r="R289">
            <v>0</v>
          </cell>
        </row>
        <row r="290">
          <cell r="A290" t="str">
            <v>05.03.01</v>
          </cell>
          <cell r="B290" t="str">
            <v>SOLADOS</v>
          </cell>
          <cell r="C290">
            <v>0</v>
          </cell>
          <cell r="D290">
            <v>0</v>
          </cell>
          <cell r="E290">
            <v>0</v>
          </cell>
          <cell r="F290">
            <v>0</v>
          </cell>
          <cell r="G290">
            <v>0</v>
          </cell>
          <cell r="H290">
            <v>0</v>
          </cell>
          <cell r="I290">
            <v>0</v>
          </cell>
          <cell r="J290">
            <v>0</v>
          </cell>
          <cell r="K290">
            <v>0</v>
          </cell>
          <cell r="L290">
            <v>0</v>
          </cell>
          <cell r="M290">
            <v>0</v>
          </cell>
          <cell r="N290">
            <v>0</v>
          </cell>
          <cell r="O290">
            <v>0</v>
          </cell>
          <cell r="P290">
            <v>0</v>
          </cell>
          <cell r="Q290">
            <v>0</v>
          </cell>
          <cell r="R290">
            <v>0</v>
          </cell>
        </row>
        <row r="291">
          <cell r="A291" t="str">
            <v>05.03.01.01</v>
          </cell>
          <cell r="B291" t="str">
            <v>SOLADO E= 2" MEZCLA 1:12 CEMENTO-HORMIGON</v>
          </cell>
          <cell r="C291" t="str">
            <v>m2</v>
          </cell>
          <cell r="D291">
            <v>36.28</v>
          </cell>
          <cell r="E291">
            <v>29.02</v>
          </cell>
          <cell r="F291">
            <v>1052.8456000000001</v>
          </cell>
          <cell r="G291">
            <v>36.28</v>
          </cell>
          <cell r="H291">
            <v>1052.8456000000001</v>
          </cell>
          <cell r="I291">
            <v>1</v>
          </cell>
          <cell r="J291">
            <v>0</v>
          </cell>
          <cell r="K291">
            <v>0</v>
          </cell>
          <cell r="L291" t="str">
            <v>0.00%</v>
          </cell>
          <cell r="M291">
            <v>36.28</v>
          </cell>
          <cell r="N291">
            <v>1052.8456000000001</v>
          </cell>
          <cell r="O291">
            <v>1</v>
          </cell>
          <cell r="P291">
            <v>0</v>
          </cell>
          <cell r="Q291">
            <v>0</v>
          </cell>
          <cell r="R291" t="str">
            <v>0.00%</v>
          </cell>
        </row>
        <row r="292">
          <cell r="A292" t="str">
            <v>05.03.02</v>
          </cell>
          <cell r="B292" t="str">
            <v>CIMIENTOS CORRIDOS</v>
          </cell>
          <cell r="C292">
            <v>0</v>
          </cell>
          <cell r="D292">
            <v>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row>
        <row r="293">
          <cell r="A293" t="str">
            <v>05.03.02.01</v>
          </cell>
          <cell r="B293" t="str">
            <v>CIMIENTOS CORRIDOS MEZCLA 1:10 CEMENTO-HORMIGON 30% PIEDRA</v>
          </cell>
          <cell r="C293" t="str">
            <v>m3</v>
          </cell>
          <cell r="D293">
            <v>8.73</v>
          </cell>
          <cell r="E293">
            <v>248.48</v>
          </cell>
          <cell r="F293">
            <v>2169.2303999999999</v>
          </cell>
          <cell r="G293">
            <v>6.05</v>
          </cell>
          <cell r="H293">
            <v>1503.3039999999999</v>
          </cell>
          <cell r="I293">
            <v>0.69301260022909505</v>
          </cell>
          <cell r="J293">
            <v>0</v>
          </cell>
          <cell r="K293">
            <v>0</v>
          </cell>
          <cell r="L293" t="str">
            <v>0.00%</v>
          </cell>
          <cell r="M293">
            <v>6.05</v>
          </cell>
          <cell r="N293">
            <v>1503.3039999999999</v>
          </cell>
          <cell r="O293">
            <v>0.69301260022909505</v>
          </cell>
          <cell r="P293">
            <v>2.6800000000000006</v>
          </cell>
          <cell r="Q293">
            <v>665.92640000000006</v>
          </cell>
          <cell r="R293">
            <v>0.30698739977090495</v>
          </cell>
        </row>
        <row r="294">
          <cell r="A294" t="str">
            <v>05.03.03</v>
          </cell>
          <cell r="B294" t="str">
            <v>SOBRECIMIENTOS</v>
          </cell>
          <cell r="C294">
            <v>0</v>
          </cell>
          <cell r="D294">
            <v>0</v>
          </cell>
          <cell r="E294">
            <v>0</v>
          </cell>
          <cell r="F294">
            <v>0</v>
          </cell>
          <cell r="G294">
            <v>0</v>
          </cell>
          <cell r="H294">
            <v>0</v>
          </cell>
          <cell r="I294">
            <v>0</v>
          </cell>
          <cell r="J294">
            <v>0</v>
          </cell>
          <cell r="K294">
            <v>0</v>
          </cell>
          <cell r="L294">
            <v>0</v>
          </cell>
          <cell r="M294">
            <v>0</v>
          </cell>
          <cell r="N294">
            <v>0</v>
          </cell>
          <cell r="O294">
            <v>0</v>
          </cell>
          <cell r="P294">
            <v>0</v>
          </cell>
          <cell r="Q294">
            <v>0</v>
          </cell>
          <cell r="R294">
            <v>0</v>
          </cell>
        </row>
        <row r="295">
          <cell r="A295" t="str">
            <v>05.03.03.01</v>
          </cell>
          <cell r="B295" t="str">
            <v>CONCRETO 1:8+25% P.M. PARA SOBRECIMIENTOS</v>
          </cell>
          <cell r="C295" t="str">
            <v>m3</v>
          </cell>
          <cell r="D295">
            <v>1.83</v>
          </cell>
          <cell r="E295">
            <v>312.47000000000003</v>
          </cell>
          <cell r="F295">
            <v>571.82010000000002</v>
          </cell>
          <cell r="G295">
            <v>0</v>
          </cell>
          <cell r="H295">
            <v>0</v>
          </cell>
          <cell r="I295" t="str">
            <v>0.00%</v>
          </cell>
          <cell r="J295">
            <v>0</v>
          </cell>
          <cell r="K295">
            <v>0</v>
          </cell>
          <cell r="L295" t="str">
            <v>0.00%</v>
          </cell>
          <cell r="M295">
            <v>0</v>
          </cell>
          <cell r="N295">
            <v>0</v>
          </cell>
          <cell r="O295" t="str">
            <v>0.00%</v>
          </cell>
          <cell r="P295">
            <v>1.83</v>
          </cell>
          <cell r="Q295">
            <v>571.82010000000002</v>
          </cell>
          <cell r="R295">
            <v>1</v>
          </cell>
        </row>
        <row r="296">
          <cell r="A296" t="str">
            <v>05.03.03.02</v>
          </cell>
          <cell r="B296" t="str">
            <v>ENCOFRADO Y DESENCOFRADO NORMAL PARA SOBRECIMIENTOS HASTA 0.60M.</v>
          </cell>
          <cell r="C296" t="str">
            <v>m2</v>
          </cell>
          <cell r="D296">
            <v>14.61</v>
          </cell>
          <cell r="E296">
            <v>44.43</v>
          </cell>
          <cell r="F296">
            <v>649.1223</v>
          </cell>
          <cell r="G296">
            <v>0</v>
          </cell>
          <cell r="H296">
            <v>0</v>
          </cell>
          <cell r="I296" t="str">
            <v>0.00%</v>
          </cell>
          <cell r="J296">
            <v>0</v>
          </cell>
          <cell r="K296">
            <v>0</v>
          </cell>
          <cell r="L296" t="str">
            <v>0.00%</v>
          </cell>
          <cell r="M296">
            <v>0</v>
          </cell>
          <cell r="N296">
            <v>0</v>
          </cell>
          <cell r="O296" t="str">
            <v>0.00%</v>
          </cell>
          <cell r="P296">
            <v>14.61</v>
          </cell>
          <cell r="Q296">
            <v>649.1223</v>
          </cell>
          <cell r="R296">
            <v>1</v>
          </cell>
        </row>
        <row r="297">
          <cell r="A297" t="str">
            <v>05.04</v>
          </cell>
          <cell r="B297" t="str">
            <v>CONCRETO ARMADO</v>
          </cell>
          <cell r="C297">
            <v>0</v>
          </cell>
          <cell r="D297">
            <v>0</v>
          </cell>
          <cell r="E297">
            <v>0</v>
          </cell>
          <cell r="F297">
            <v>0</v>
          </cell>
          <cell r="G297">
            <v>0</v>
          </cell>
          <cell r="H297">
            <v>0</v>
          </cell>
          <cell r="I297">
            <v>0</v>
          </cell>
          <cell r="J297">
            <v>0</v>
          </cell>
          <cell r="K297">
            <v>0</v>
          </cell>
          <cell r="L297">
            <v>0</v>
          </cell>
          <cell r="M297">
            <v>0</v>
          </cell>
          <cell r="N297">
            <v>0</v>
          </cell>
          <cell r="O297">
            <v>0</v>
          </cell>
          <cell r="P297">
            <v>0</v>
          </cell>
          <cell r="Q297">
            <v>0</v>
          </cell>
          <cell r="R297">
            <v>0</v>
          </cell>
        </row>
        <row r="298">
          <cell r="A298" t="str">
            <v>05.04.01</v>
          </cell>
          <cell r="B298" t="str">
            <v>ZAPATAS</v>
          </cell>
          <cell r="C298">
            <v>0</v>
          </cell>
          <cell r="D298">
            <v>0</v>
          </cell>
          <cell r="E298">
            <v>0</v>
          </cell>
          <cell r="F298">
            <v>0</v>
          </cell>
          <cell r="G298">
            <v>0</v>
          </cell>
          <cell r="H298">
            <v>0</v>
          </cell>
          <cell r="I298">
            <v>0</v>
          </cell>
          <cell r="J298">
            <v>0</v>
          </cell>
          <cell r="K298">
            <v>0</v>
          </cell>
          <cell r="L298">
            <v>0</v>
          </cell>
          <cell r="M298">
            <v>0</v>
          </cell>
          <cell r="N298">
            <v>0</v>
          </cell>
          <cell r="O298">
            <v>0</v>
          </cell>
          <cell r="P298">
            <v>0</v>
          </cell>
          <cell r="Q298">
            <v>0</v>
          </cell>
          <cell r="R298">
            <v>0</v>
          </cell>
        </row>
        <row r="299">
          <cell r="A299" t="str">
            <v>05.04.01.01</v>
          </cell>
          <cell r="B299" t="str">
            <v>CONCRETO PARA ZAPATAS F'C=210 KG/CM2</v>
          </cell>
          <cell r="C299" t="str">
            <v>m3</v>
          </cell>
          <cell r="D299">
            <v>130.88</v>
          </cell>
          <cell r="E299">
            <v>427.63</v>
          </cell>
          <cell r="F299">
            <v>55968.214399999997</v>
          </cell>
          <cell r="G299">
            <v>130.88</v>
          </cell>
          <cell r="H299">
            <v>55968.214399999997</v>
          </cell>
          <cell r="I299">
            <v>1</v>
          </cell>
          <cell r="J299">
            <v>0</v>
          </cell>
          <cell r="K299">
            <v>0</v>
          </cell>
          <cell r="L299" t="str">
            <v>0.00%</v>
          </cell>
          <cell r="M299">
            <v>130.88</v>
          </cell>
          <cell r="N299">
            <v>55968.214399999997</v>
          </cell>
          <cell r="O299">
            <v>1</v>
          </cell>
          <cell r="P299">
            <v>0</v>
          </cell>
          <cell r="Q299">
            <v>0</v>
          </cell>
          <cell r="R299" t="str">
            <v>0.00%</v>
          </cell>
        </row>
        <row r="300">
          <cell r="A300" t="str">
            <v>05.04.01.02</v>
          </cell>
          <cell r="B300" t="str">
            <v>ACERO F'Y=4200 KG/CM2 GRADO 60 EN ZAPATAS</v>
          </cell>
          <cell r="C300" t="str">
            <v>kg</v>
          </cell>
          <cell r="D300">
            <v>398.66</v>
          </cell>
          <cell r="E300">
            <v>4.3</v>
          </cell>
          <cell r="F300">
            <v>1714.2380000000001</v>
          </cell>
          <cell r="G300">
            <v>398.65999999999997</v>
          </cell>
          <cell r="H300">
            <v>1714.2379999999998</v>
          </cell>
          <cell r="I300">
            <v>0.99999999999999989</v>
          </cell>
          <cell r="J300">
            <v>0</v>
          </cell>
          <cell r="K300">
            <v>0</v>
          </cell>
          <cell r="L300" t="str">
            <v>0.00%</v>
          </cell>
          <cell r="M300">
            <v>398.65999999999997</v>
          </cell>
          <cell r="N300">
            <v>1714.2379999999998</v>
          </cell>
          <cell r="O300">
            <v>0.99999999999999989</v>
          </cell>
          <cell r="P300">
            <v>5.6843418860808015E-14</v>
          </cell>
          <cell r="Q300">
            <v>2.2737367544323206E-13</v>
          </cell>
          <cell r="R300">
            <v>1.3263833577556446E-16</v>
          </cell>
        </row>
        <row r="301">
          <cell r="A301" t="str">
            <v>05.04.02</v>
          </cell>
          <cell r="B301" t="str">
            <v>VIGAS DE CIMENTACION</v>
          </cell>
          <cell r="C301">
            <v>0</v>
          </cell>
          <cell r="D301">
            <v>0</v>
          </cell>
          <cell r="E301">
            <v>0</v>
          </cell>
          <cell r="F301">
            <v>0</v>
          </cell>
          <cell r="G301">
            <v>0</v>
          </cell>
          <cell r="H301">
            <v>0</v>
          </cell>
          <cell r="I301">
            <v>0</v>
          </cell>
          <cell r="J301">
            <v>0</v>
          </cell>
          <cell r="K301">
            <v>0</v>
          </cell>
          <cell r="L301">
            <v>0</v>
          </cell>
          <cell r="M301">
            <v>0</v>
          </cell>
          <cell r="N301">
            <v>0</v>
          </cell>
          <cell r="O301">
            <v>0</v>
          </cell>
          <cell r="P301">
            <v>0</v>
          </cell>
          <cell r="Q301">
            <v>0</v>
          </cell>
          <cell r="R301">
            <v>0</v>
          </cell>
        </row>
        <row r="302">
          <cell r="A302" t="str">
            <v>05.04.02.01</v>
          </cell>
          <cell r="B302" t="str">
            <v>CONCRETO F'C= 210 KG/CM2 EN VIGAS DE CIMENTACIÓN</v>
          </cell>
          <cell r="C302" t="str">
            <v>m3</v>
          </cell>
          <cell r="D302">
            <v>6.7</v>
          </cell>
          <cell r="E302">
            <v>451</v>
          </cell>
          <cell r="F302">
            <v>3021.7000000000003</v>
          </cell>
          <cell r="G302">
            <v>6.7</v>
          </cell>
          <cell r="H302">
            <v>3021.7000000000003</v>
          </cell>
          <cell r="I302">
            <v>1</v>
          </cell>
          <cell r="J302">
            <v>0</v>
          </cell>
          <cell r="K302">
            <v>0</v>
          </cell>
          <cell r="L302" t="str">
            <v>0.00%</v>
          </cell>
          <cell r="M302">
            <v>6.7</v>
          </cell>
          <cell r="N302">
            <v>3021.7000000000003</v>
          </cell>
          <cell r="O302">
            <v>1</v>
          </cell>
          <cell r="P302">
            <v>0</v>
          </cell>
          <cell r="Q302">
            <v>0</v>
          </cell>
          <cell r="R302" t="str">
            <v>0.00%</v>
          </cell>
        </row>
        <row r="303">
          <cell r="A303" t="str">
            <v>05.04.02.02</v>
          </cell>
          <cell r="B303" t="str">
            <v>ACERO F'Y=4200 KG/CM2 GRADO 60 EN VIGAS DE CIMENTACIÓN</v>
          </cell>
          <cell r="C303" t="str">
            <v>kg</v>
          </cell>
          <cell r="D303">
            <v>712.35</v>
          </cell>
          <cell r="E303">
            <v>4.45</v>
          </cell>
          <cell r="F303">
            <v>3169.9575000000004</v>
          </cell>
          <cell r="G303">
            <v>712.35</v>
          </cell>
          <cell r="H303">
            <v>3169.9575000000004</v>
          </cell>
          <cell r="I303">
            <v>1</v>
          </cell>
          <cell r="J303">
            <v>0</v>
          </cell>
          <cell r="K303">
            <v>0</v>
          </cell>
          <cell r="L303" t="str">
            <v>0.00%</v>
          </cell>
          <cell r="M303">
            <v>712.35</v>
          </cell>
          <cell r="N303">
            <v>3169.9575000000004</v>
          </cell>
          <cell r="O303">
            <v>1</v>
          </cell>
          <cell r="P303">
            <v>0</v>
          </cell>
          <cell r="Q303">
            <v>0</v>
          </cell>
          <cell r="R303" t="str">
            <v>0.00%</v>
          </cell>
        </row>
        <row r="304">
          <cell r="A304" t="str">
            <v>05.04.02.03</v>
          </cell>
          <cell r="B304" t="str">
            <v>ENCOFRADO Y DESENCOFRADO DE VIGAS DE CIMENTACIÓN</v>
          </cell>
          <cell r="C304" t="str">
            <v>m2</v>
          </cell>
          <cell r="D304">
            <v>48.12</v>
          </cell>
          <cell r="E304">
            <v>44.69</v>
          </cell>
          <cell r="F304">
            <v>2150.4827999999998</v>
          </cell>
          <cell r="G304">
            <v>48.12</v>
          </cell>
          <cell r="H304">
            <v>2150.4827999999998</v>
          </cell>
          <cell r="I304">
            <v>1</v>
          </cell>
          <cell r="J304">
            <v>0</v>
          </cell>
          <cell r="K304">
            <v>0</v>
          </cell>
          <cell r="L304" t="str">
            <v>0.00%</v>
          </cell>
          <cell r="M304">
            <v>48.12</v>
          </cell>
          <cell r="N304">
            <v>2150.4827999999998</v>
          </cell>
          <cell r="O304">
            <v>1</v>
          </cell>
          <cell r="P304">
            <v>0</v>
          </cell>
          <cell r="Q304">
            <v>0</v>
          </cell>
          <cell r="R304" t="str">
            <v>0.00%</v>
          </cell>
        </row>
        <row r="305">
          <cell r="A305" t="str">
            <v>05.04.03</v>
          </cell>
          <cell r="B305" t="str">
            <v>COLUMNAS</v>
          </cell>
          <cell r="C305">
            <v>0</v>
          </cell>
          <cell r="D305">
            <v>0</v>
          </cell>
          <cell r="E305">
            <v>0</v>
          </cell>
          <cell r="F305">
            <v>0</v>
          </cell>
          <cell r="G305">
            <v>0</v>
          </cell>
          <cell r="H305">
            <v>0</v>
          </cell>
          <cell r="I305">
            <v>0</v>
          </cell>
          <cell r="J305">
            <v>0</v>
          </cell>
          <cell r="K305">
            <v>0</v>
          </cell>
          <cell r="L305">
            <v>0</v>
          </cell>
          <cell r="M305">
            <v>0</v>
          </cell>
          <cell r="N305">
            <v>0</v>
          </cell>
          <cell r="O305">
            <v>0</v>
          </cell>
          <cell r="P305">
            <v>0</v>
          </cell>
          <cell r="Q305">
            <v>0</v>
          </cell>
          <cell r="R305">
            <v>0</v>
          </cell>
        </row>
        <row r="306">
          <cell r="A306" t="str">
            <v>05.04.03.01</v>
          </cell>
          <cell r="B306" t="str">
            <v>CONCRETO EN COLUMNAS F'C=210 KG/CM2</v>
          </cell>
          <cell r="C306" t="str">
            <v>m3</v>
          </cell>
          <cell r="D306">
            <v>15.87</v>
          </cell>
          <cell r="E306">
            <v>521.12</v>
          </cell>
          <cell r="F306">
            <v>8270.1743999999999</v>
          </cell>
          <cell r="G306">
            <v>15.65</v>
          </cell>
          <cell r="H306">
            <v>8155.5280000000002</v>
          </cell>
          <cell r="I306">
            <v>0.98613736609955893</v>
          </cell>
          <cell r="J306">
            <v>0.22</v>
          </cell>
          <cell r="K306">
            <v>114.6464</v>
          </cell>
          <cell r="L306">
            <v>1.3862633900441084E-2</v>
          </cell>
          <cell r="M306">
            <v>15.870000000000001</v>
          </cell>
          <cell r="N306">
            <v>8270.1743999999999</v>
          </cell>
          <cell r="O306">
            <v>1</v>
          </cell>
          <cell r="P306">
            <v>-1.7763568394002505E-15</v>
          </cell>
          <cell r="Q306">
            <v>0</v>
          </cell>
          <cell r="R306" t="str">
            <v>0.00%</v>
          </cell>
        </row>
        <row r="307">
          <cell r="A307" t="str">
            <v>05.04.03.02</v>
          </cell>
          <cell r="B307" t="str">
            <v>ACERO F'Y=4200 KG/CM2 GRADO 60 EN COLUMNAS</v>
          </cell>
          <cell r="C307" t="str">
            <v>kg</v>
          </cell>
          <cell r="D307">
            <v>3165.48</v>
          </cell>
          <cell r="E307">
            <v>4.5</v>
          </cell>
          <cell r="F307">
            <v>14244.66</v>
          </cell>
          <cell r="G307">
            <v>3165.48</v>
          </cell>
          <cell r="H307">
            <v>14244.66</v>
          </cell>
          <cell r="I307">
            <v>1</v>
          </cell>
          <cell r="J307">
            <v>0</v>
          </cell>
          <cell r="K307">
            <v>0</v>
          </cell>
          <cell r="L307" t="str">
            <v>0.00%</v>
          </cell>
          <cell r="M307">
            <v>3165.48</v>
          </cell>
          <cell r="N307">
            <v>14244.66</v>
          </cell>
          <cell r="O307">
            <v>1</v>
          </cell>
          <cell r="P307">
            <v>0</v>
          </cell>
          <cell r="Q307">
            <v>0</v>
          </cell>
          <cell r="R307" t="str">
            <v>0.00%</v>
          </cell>
        </row>
        <row r="308">
          <cell r="A308" t="str">
            <v>05.04.03.03</v>
          </cell>
          <cell r="B308" t="str">
            <v>ENCOFRADO Y DESENCOFRADO NORMAL EN COLUMNAS</v>
          </cell>
          <cell r="C308" t="str">
            <v>m2</v>
          </cell>
          <cell r="D308">
            <v>164.87</v>
          </cell>
          <cell r="E308">
            <v>49.71</v>
          </cell>
          <cell r="F308">
            <v>8195.6877000000004</v>
          </cell>
          <cell r="G308">
            <v>161.91999999999999</v>
          </cell>
          <cell r="H308">
            <v>8049.0431999999992</v>
          </cell>
          <cell r="I308">
            <v>0.98210711469642731</v>
          </cell>
          <cell r="J308">
            <v>2.95</v>
          </cell>
          <cell r="K308">
            <v>146.64450000000002</v>
          </cell>
          <cell r="L308">
            <v>1.7892885303572515E-2</v>
          </cell>
          <cell r="M308">
            <v>164.86999999999998</v>
          </cell>
          <cell r="N308">
            <v>8195.6876999999986</v>
          </cell>
          <cell r="O308">
            <v>0.99999999999999978</v>
          </cell>
          <cell r="P308">
            <v>2.8421709430404007E-14</v>
          </cell>
          <cell r="Q308">
            <v>1.8189894035458565E-12</v>
          </cell>
          <cell r="R308">
            <v>2.2194469459174933E-16</v>
          </cell>
        </row>
        <row r="309">
          <cell r="A309" t="str">
            <v>05.04.04</v>
          </cell>
          <cell r="B309" t="str">
            <v>COLUMNETAS</v>
          </cell>
          <cell r="C309">
            <v>0</v>
          </cell>
          <cell r="D309">
            <v>0</v>
          </cell>
          <cell r="E309">
            <v>0</v>
          </cell>
          <cell r="F309">
            <v>0</v>
          </cell>
          <cell r="G309">
            <v>0</v>
          </cell>
          <cell r="H309">
            <v>0</v>
          </cell>
          <cell r="I309">
            <v>0</v>
          </cell>
          <cell r="J309">
            <v>0</v>
          </cell>
          <cell r="K309">
            <v>0</v>
          </cell>
          <cell r="L309">
            <v>0</v>
          </cell>
          <cell r="M309">
            <v>0</v>
          </cell>
          <cell r="N309">
            <v>0</v>
          </cell>
          <cell r="O309">
            <v>0</v>
          </cell>
          <cell r="P309">
            <v>0</v>
          </cell>
          <cell r="Q309">
            <v>0</v>
          </cell>
          <cell r="R309">
            <v>0</v>
          </cell>
        </row>
        <row r="310">
          <cell r="A310" t="str">
            <v>05.04.04.01</v>
          </cell>
          <cell r="B310" t="str">
            <v>CONCRETO EN COLUMNETAS F'C=210 KG/CM2</v>
          </cell>
          <cell r="C310" t="str">
            <v>m3</v>
          </cell>
          <cell r="D310">
            <v>3.31</v>
          </cell>
          <cell r="E310">
            <v>521.12</v>
          </cell>
          <cell r="F310">
            <v>1724.9072000000001</v>
          </cell>
          <cell r="G310">
            <v>0</v>
          </cell>
          <cell r="H310">
            <v>0</v>
          </cell>
          <cell r="I310" t="str">
            <v>0.00%</v>
          </cell>
          <cell r="J310">
            <v>0</v>
          </cell>
          <cell r="K310">
            <v>0</v>
          </cell>
          <cell r="L310" t="str">
            <v>0.00%</v>
          </cell>
          <cell r="M310">
            <v>0</v>
          </cell>
          <cell r="N310">
            <v>0</v>
          </cell>
          <cell r="O310" t="str">
            <v>0.00%</v>
          </cell>
          <cell r="P310">
            <v>3.31</v>
          </cell>
          <cell r="Q310">
            <v>1724.9072000000001</v>
          </cell>
          <cell r="R310">
            <v>1</v>
          </cell>
        </row>
        <row r="311">
          <cell r="A311" t="str">
            <v>05.04.04.02</v>
          </cell>
          <cell r="B311" t="str">
            <v>ACERO F'Y=4200 KG/CM2 GRADO 60 EN COLUMNETAS</v>
          </cell>
          <cell r="C311" t="str">
            <v>kg</v>
          </cell>
          <cell r="D311">
            <v>539.55999999999995</v>
          </cell>
          <cell r="E311">
            <v>4.4400000000000004</v>
          </cell>
          <cell r="F311">
            <v>2395.6464000000001</v>
          </cell>
          <cell r="G311">
            <v>274.01920000000001</v>
          </cell>
          <cell r="H311">
            <v>1216.6452480000003</v>
          </cell>
          <cell r="I311">
            <v>0.50785677218474323</v>
          </cell>
          <cell r="J311">
            <v>0</v>
          </cell>
          <cell r="K311">
            <v>0</v>
          </cell>
          <cell r="L311" t="str">
            <v>0.00%</v>
          </cell>
          <cell r="M311">
            <v>274.01920000000001</v>
          </cell>
          <cell r="N311">
            <v>1216.6452480000003</v>
          </cell>
          <cell r="O311">
            <v>0.50785677218474323</v>
          </cell>
          <cell r="P311">
            <v>265.54079999999993</v>
          </cell>
          <cell r="Q311">
            <v>1179.0011519999998</v>
          </cell>
          <cell r="R311">
            <v>0.49214322781525677</v>
          </cell>
        </row>
        <row r="312">
          <cell r="A312" t="str">
            <v>05.04.04.03</v>
          </cell>
          <cell r="B312" t="str">
            <v>ENCOFRADO Y DESNCOFRADO NORMAL  EN COLUMNETAS</v>
          </cell>
          <cell r="C312" t="str">
            <v>m2</v>
          </cell>
          <cell r="D312">
            <v>31.76</v>
          </cell>
          <cell r="E312">
            <v>49.71</v>
          </cell>
          <cell r="F312">
            <v>1578.7896000000001</v>
          </cell>
          <cell r="G312">
            <v>0</v>
          </cell>
          <cell r="H312">
            <v>0</v>
          </cell>
          <cell r="I312" t="str">
            <v>0.00%</v>
          </cell>
          <cell r="J312">
            <v>0</v>
          </cell>
          <cell r="K312">
            <v>0</v>
          </cell>
          <cell r="L312" t="str">
            <v>0.00%</v>
          </cell>
          <cell r="M312">
            <v>0</v>
          </cell>
          <cell r="N312">
            <v>0</v>
          </cell>
          <cell r="O312" t="str">
            <v>0.00%</v>
          </cell>
          <cell r="P312">
            <v>31.76</v>
          </cell>
          <cell r="Q312">
            <v>1578.7896000000001</v>
          </cell>
          <cell r="R312">
            <v>1</v>
          </cell>
        </row>
        <row r="313">
          <cell r="A313" t="str">
            <v>05.04.05</v>
          </cell>
          <cell r="B313" t="str">
            <v>VIGAS</v>
          </cell>
          <cell r="C313">
            <v>0</v>
          </cell>
          <cell r="D313">
            <v>0</v>
          </cell>
          <cell r="E313">
            <v>0</v>
          </cell>
          <cell r="F313">
            <v>0</v>
          </cell>
          <cell r="G313">
            <v>0</v>
          </cell>
          <cell r="H313">
            <v>0</v>
          </cell>
          <cell r="I313">
            <v>0</v>
          </cell>
          <cell r="J313">
            <v>0</v>
          </cell>
          <cell r="K313">
            <v>0</v>
          </cell>
          <cell r="L313">
            <v>0</v>
          </cell>
          <cell r="M313">
            <v>0</v>
          </cell>
          <cell r="N313">
            <v>0</v>
          </cell>
          <cell r="O313">
            <v>0</v>
          </cell>
          <cell r="P313">
            <v>0</v>
          </cell>
          <cell r="Q313">
            <v>0</v>
          </cell>
          <cell r="R313">
            <v>0</v>
          </cell>
        </row>
        <row r="314">
          <cell r="A314" t="str">
            <v>05.04.05.01</v>
          </cell>
          <cell r="B314" t="str">
            <v>CONCRETO EN VIGAS F'C=210 KG/CM2</v>
          </cell>
          <cell r="C314" t="str">
            <v>m3</v>
          </cell>
          <cell r="D314">
            <v>15.51</v>
          </cell>
          <cell r="E314">
            <v>486.07</v>
          </cell>
          <cell r="F314">
            <v>7538.9457000000002</v>
          </cell>
          <cell r="G314">
            <v>6.5911</v>
          </cell>
          <cell r="H314">
            <v>3203.7359769999998</v>
          </cell>
          <cell r="I314">
            <v>0.42495809155383618</v>
          </cell>
          <cell r="J314">
            <v>8.9189000000000007</v>
          </cell>
          <cell r="K314">
            <v>4335.2097229999999</v>
          </cell>
          <cell r="L314">
            <v>0.57504190844616376</v>
          </cell>
          <cell r="M314">
            <v>15.510000000000002</v>
          </cell>
          <cell r="N314">
            <v>7538.9457000000002</v>
          </cell>
          <cell r="O314">
            <v>1</v>
          </cell>
          <cell r="P314">
            <v>-1.7763568394002505E-15</v>
          </cell>
          <cell r="Q314">
            <v>0</v>
          </cell>
          <cell r="R314" t="str">
            <v>0.00%</v>
          </cell>
        </row>
        <row r="315">
          <cell r="A315" t="str">
            <v>05.04.05.02</v>
          </cell>
          <cell r="B315" t="str">
            <v>ACERO F'Y=4200 KG/CM2 GRADO 60 EN VIGAS</v>
          </cell>
          <cell r="C315" t="str">
            <v>kg</v>
          </cell>
          <cell r="D315">
            <v>2398.13</v>
          </cell>
          <cell r="E315">
            <v>4.5</v>
          </cell>
          <cell r="F315">
            <v>10791.585000000001</v>
          </cell>
          <cell r="G315">
            <v>964.0354000000001</v>
          </cell>
          <cell r="H315">
            <v>4338.1593000000003</v>
          </cell>
          <cell r="I315">
            <v>0.40199463748837633</v>
          </cell>
          <cell r="J315">
            <v>1434.09</v>
          </cell>
          <cell r="K315">
            <v>6453.4049999999997</v>
          </cell>
          <cell r="L315">
            <v>0.59800344435038966</v>
          </cell>
          <cell r="M315">
            <v>2398.1253999999999</v>
          </cell>
          <cell r="N315">
            <v>10791.5643</v>
          </cell>
          <cell r="O315">
            <v>0.99999808183876593</v>
          </cell>
          <cell r="P315">
            <v>4.6000000002095476E-3</v>
          </cell>
          <cell r="Q315">
            <v>2.0700000000942964E-2</v>
          </cell>
          <cell r="R315">
            <v>1.9181612340488411E-6</v>
          </cell>
        </row>
        <row r="316">
          <cell r="A316" t="str">
            <v>05.04.05.03</v>
          </cell>
          <cell r="B316" t="str">
            <v>ENCOFRADO Y DESNCOFRADO NORMAL EN VIGAS</v>
          </cell>
          <cell r="C316" t="str">
            <v>m2</v>
          </cell>
          <cell r="D316">
            <v>100.49</v>
          </cell>
          <cell r="E316">
            <v>54.02</v>
          </cell>
          <cell r="F316">
            <v>5428.4697999999999</v>
          </cell>
          <cell r="G316">
            <v>71.216500000000039</v>
          </cell>
          <cell r="H316">
            <v>3847.1153300000024</v>
          </cell>
          <cell r="I316">
            <v>0.70869240720469739</v>
          </cell>
          <cell r="J316">
            <v>29.273420000000002</v>
          </cell>
          <cell r="K316">
            <v>1581.3501484000001</v>
          </cell>
          <cell r="L316">
            <v>0.2913067966961887</v>
          </cell>
          <cell r="M316">
            <v>100.48992000000004</v>
          </cell>
          <cell r="N316">
            <v>5428.4654784000022</v>
          </cell>
          <cell r="O316">
            <v>0.99999920390088615</v>
          </cell>
          <cell r="P316">
            <v>7.9999999954338818E-5</v>
          </cell>
          <cell r="Q316">
            <v>4.3215999976382591E-3</v>
          </cell>
          <cell r="R316">
            <v>7.9609911390466967E-7</v>
          </cell>
        </row>
        <row r="317">
          <cell r="A317" t="str">
            <v>05.04.06</v>
          </cell>
          <cell r="B317" t="str">
            <v>VIGUETAS DE VANOS</v>
          </cell>
          <cell r="C317">
            <v>0</v>
          </cell>
          <cell r="D317">
            <v>0</v>
          </cell>
          <cell r="E317">
            <v>0</v>
          </cell>
          <cell r="F317">
            <v>0</v>
          </cell>
          <cell r="G317">
            <v>0</v>
          </cell>
          <cell r="H317">
            <v>0</v>
          </cell>
          <cell r="I317">
            <v>0</v>
          </cell>
          <cell r="J317">
            <v>0</v>
          </cell>
          <cell r="K317">
            <v>0</v>
          </cell>
          <cell r="L317">
            <v>0</v>
          </cell>
          <cell r="M317">
            <v>0</v>
          </cell>
          <cell r="N317">
            <v>0</v>
          </cell>
          <cell r="O317">
            <v>0</v>
          </cell>
          <cell r="P317">
            <v>0</v>
          </cell>
          <cell r="Q317">
            <v>0</v>
          </cell>
          <cell r="R317">
            <v>0</v>
          </cell>
        </row>
        <row r="318">
          <cell r="A318" t="str">
            <v>05.04.06.01</v>
          </cell>
          <cell r="B318" t="str">
            <v>CONCRETO EN VIGUETAS DE VANO F'C=175 KG/CM2</v>
          </cell>
          <cell r="C318" t="str">
            <v>m3</v>
          </cell>
          <cell r="D318">
            <v>2.4</v>
          </cell>
          <cell r="E318">
            <v>271.35000000000002</v>
          </cell>
          <cell r="F318">
            <v>651.24</v>
          </cell>
          <cell r="G318">
            <v>0</v>
          </cell>
          <cell r="H318">
            <v>0</v>
          </cell>
          <cell r="I318" t="str">
            <v>0.00%</v>
          </cell>
          <cell r="J318">
            <v>0</v>
          </cell>
          <cell r="K318">
            <v>0</v>
          </cell>
          <cell r="L318" t="str">
            <v>0.00%</v>
          </cell>
          <cell r="M318">
            <v>0</v>
          </cell>
          <cell r="N318">
            <v>0</v>
          </cell>
          <cell r="O318" t="str">
            <v>0.00%</v>
          </cell>
          <cell r="P318">
            <v>2.4</v>
          </cell>
          <cell r="Q318">
            <v>651.24</v>
          </cell>
          <cell r="R318">
            <v>1</v>
          </cell>
        </row>
        <row r="319">
          <cell r="A319" t="str">
            <v>05.04.06.02</v>
          </cell>
          <cell r="B319" t="str">
            <v>ACERO GRADO 60 EN VIGUETAS DE VANO</v>
          </cell>
          <cell r="C319" t="str">
            <v>kg</v>
          </cell>
          <cell r="D319">
            <v>194.18</v>
          </cell>
          <cell r="E319">
            <v>4.5</v>
          </cell>
          <cell r="F319">
            <v>873.81000000000006</v>
          </cell>
          <cell r="G319">
            <v>0</v>
          </cell>
          <cell r="H319">
            <v>0</v>
          </cell>
          <cell r="I319" t="str">
            <v>0.00%</v>
          </cell>
          <cell r="J319">
            <v>0</v>
          </cell>
          <cell r="K319">
            <v>0</v>
          </cell>
          <cell r="L319" t="str">
            <v>0.00%</v>
          </cell>
          <cell r="M319">
            <v>0</v>
          </cell>
          <cell r="N319">
            <v>0</v>
          </cell>
          <cell r="O319" t="str">
            <v>0.00%</v>
          </cell>
          <cell r="P319">
            <v>194.18</v>
          </cell>
          <cell r="Q319">
            <v>873.81000000000006</v>
          </cell>
          <cell r="R319">
            <v>1</v>
          </cell>
        </row>
        <row r="320">
          <cell r="A320" t="str">
            <v>05.04.06.03</v>
          </cell>
          <cell r="B320" t="str">
            <v>ENCOFRADO Y DESENCOFRADO EN VIGUETAS DE VANO</v>
          </cell>
          <cell r="C320" t="str">
            <v>m2</v>
          </cell>
          <cell r="D320">
            <v>35.159999999999997</v>
          </cell>
          <cell r="E320">
            <v>41.63</v>
          </cell>
          <cell r="F320">
            <v>1463.7107999999998</v>
          </cell>
          <cell r="G320">
            <v>0</v>
          </cell>
          <cell r="H320">
            <v>0</v>
          </cell>
          <cell r="I320" t="str">
            <v>0.00%</v>
          </cell>
          <cell r="J320">
            <v>0</v>
          </cell>
          <cell r="K320">
            <v>0</v>
          </cell>
          <cell r="L320" t="str">
            <v>0.00%</v>
          </cell>
          <cell r="M320">
            <v>0</v>
          </cell>
          <cell r="N320">
            <v>0</v>
          </cell>
          <cell r="O320" t="str">
            <v>0.00%</v>
          </cell>
          <cell r="P320">
            <v>35.159999999999997</v>
          </cell>
          <cell r="Q320">
            <v>1463.7107999999998</v>
          </cell>
          <cell r="R320">
            <v>1</v>
          </cell>
        </row>
        <row r="321">
          <cell r="A321" t="str">
            <v>05.04.07</v>
          </cell>
          <cell r="B321" t="str">
            <v>LOSAS ALIGERADAS</v>
          </cell>
          <cell r="C321">
            <v>0</v>
          </cell>
          <cell r="D321">
            <v>0</v>
          </cell>
          <cell r="E321">
            <v>0</v>
          </cell>
          <cell r="F321">
            <v>0</v>
          </cell>
          <cell r="G321">
            <v>0</v>
          </cell>
          <cell r="H321">
            <v>0</v>
          </cell>
          <cell r="I321">
            <v>0</v>
          </cell>
          <cell r="J321">
            <v>0</v>
          </cell>
          <cell r="K321">
            <v>0</v>
          </cell>
          <cell r="L321">
            <v>0</v>
          </cell>
          <cell r="M321">
            <v>0</v>
          </cell>
          <cell r="N321">
            <v>0</v>
          </cell>
          <cell r="O321">
            <v>0</v>
          </cell>
          <cell r="P321">
            <v>0</v>
          </cell>
          <cell r="Q321">
            <v>0</v>
          </cell>
          <cell r="R321">
            <v>0</v>
          </cell>
        </row>
        <row r="322">
          <cell r="A322" t="str">
            <v>05.04.07.01</v>
          </cell>
          <cell r="B322" t="str">
            <v>CONCRETO EN LOSAS ALIGERADAS F'C=210 KG/CM2</v>
          </cell>
          <cell r="C322" t="str">
            <v>m3</v>
          </cell>
          <cell r="D322">
            <v>16.05</v>
          </cell>
          <cell r="E322">
            <v>487.24</v>
          </cell>
          <cell r="F322">
            <v>7820.2020000000002</v>
          </cell>
          <cell r="G322">
            <v>6.8556749999999997</v>
          </cell>
          <cell r="H322">
            <v>3340.3590869999998</v>
          </cell>
          <cell r="I322">
            <v>0.42714485981308409</v>
          </cell>
          <cell r="J322">
            <v>9.1943199999999994</v>
          </cell>
          <cell r="K322">
            <v>4479.8404768</v>
          </cell>
          <cell r="L322">
            <v>0.57285482866043613</v>
          </cell>
          <cell r="M322">
            <v>16.049994999999999</v>
          </cell>
          <cell r="N322">
            <v>7820.1995637999999</v>
          </cell>
          <cell r="O322">
            <v>0.99999968847352017</v>
          </cell>
          <cell r="P322">
            <v>5.0000000015870683E-6</v>
          </cell>
          <cell r="Q322">
            <v>2.4362000003748108E-3</v>
          </cell>
          <cell r="R322">
            <v>3.1152647979870736E-7</v>
          </cell>
        </row>
        <row r="323">
          <cell r="A323" t="str">
            <v>05.04.07.02</v>
          </cell>
          <cell r="B323" t="str">
            <v>ACERO F'Y=4200 KG/CM2 GRADO 60 EN LOSAS ALIGERADAS</v>
          </cell>
          <cell r="C323" t="str">
            <v>kg</v>
          </cell>
          <cell r="D323">
            <v>1141.21</v>
          </cell>
          <cell r="E323">
            <v>4.5</v>
          </cell>
          <cell r="F323">
            <v>5135.4449999999997</v>
          </cell>
          <cell r="G323">
            <v>532.48059999999998</v>
          </cell>
          <cell r="H323">
            <v>2396.1626999999999</v>
          </cell>
          <cell r="I323">
            <v>0.46659300216436939</v>
          </cell>
          <cell r="J323">
            <v>608.72900000000004</v>
          </cell>
          <cell r="K323">
            <v>2739.2805000000003</v>
          </cell>
          <cell r="L323">
            <v>0.53340664733046517</v>
          </cell>
          <cell r="M323">
            <v>1141.2096000000001</v>
          </cell>
          <cell r="N323">
            <v>5135.4431999999997</v>
          </cell>
          <cell r="O323">
            <v>0.99999964949483444</v>
          </cell>
          <cell r="P323">
            <v>3.9999999989959178E-4</v>
          </cell>
          <cell r="Q323">
            <v>1.8000000000029104E-3</v>
          </cell>
          <cell r="R323">
            <v>3.5050516557044431E-7</v>
          </cell>
        </row>
        <row r="324">
          <cell r="A324" t="str">
            <v>05.04.07.03</v>
          </cell>
          <cell r="B324" t="str">
            <v>ENCOFRADO Y DESENCOFRADO NORMAL EN LOSAS ALIGERADAS</v>
          </cell>
          <cell r="C324" t="str">
            <v>m2</v>
          </cell>
          <cell r="D324">
            <v>163.34</v>
          </cell>
          <cell r="E324">
            <v>29.08</v>
          </cell>
          <cell r="F324">
            <v>4749.9272000000001</v>
          </cell>
          <cell r="G324">
            <v>78.508499999999998</v>
          </cell>
          <cell r="H324">
            <v>2283.0271799999996</v>
          </cell>
          <cell r="I324">
            <v>0.48064466756458912</v>
          </cell>
          <cell r="J324">
            <v>84.831500000000005</v>
          </cell>
          <cell r="K324">
            <v>2466.90002</v>
          </cell>
          <cell r="L324">
            <v>0.51935533243541077</v>
          </cell>
          <cell r="M324">
            <v>163.34</v>
          </cell>
          <cell r="N324">
            <v>4749.9272000000001</v>
          </cell>
          <cell r="O324">
            <v>1</v>
          </cell>
          <cell r="P324">
            <v>0</v>
          </cell>
          <cell r="Q324">
            <v>0</v>
          </cell>
          <cell r="R324" t="str">
            <v>0.00%</v>
          </cell>
        </row>
        <row r="325">
          <cell r="A325" t="str">
            <v>05.04.07.04</v>
          </cell>
          <cell r="B325" t="str">
            <v>LADRILLO DE ARCILLA HUECO 15X30X30 PARA TECHO</v>
          </cell>
          <cell r="C325" t="str">
            <v>und</v>
          </cell>
          <cell r="D325">
            <v>1360.63</v>
          </cell>
          <cell r="E325">
            <v>4.66</v>
          </cell>
          <cell r="F325">
            <v>6340.5358000000006</v>
          </cell>
          <cell r="G325">
            <v>653.97580500000004</v>
          </cell>
          <cell r="H325">
            <v>3047.5272513000004</v>
          </cell>
          <cell r="I325">
            <v>0.48064191220243568</v>
          </cell>
          <cell r="J325">
            <v>706.65350000000001</v>
          </cell>
          <cell r="K325">
            <v>3293.00531</v>
          </cell>
          <cell r="L325">
            <v>0.51935757700476981</v>
          </cell>
          <cell r="M325">
            <v>1360.6293049999999</v>
          </cell>
          <cell r="N325">
            <v>6340.5325613000005</v>
          </cell>
          <cell r="O325">
            <v>0.99999948920720549</v>
          </cell>
          <cell r="P325">
            <v>6.9500000017796992E-4</v>
          </cell>
          <cell r="Q325">
            <v>3.238700000110839E-3</v>
          </cell>
          <cell r="R325">
            <v>5.1079279453178683E-7</v>
          </cell>
        </row>
        <row r="326">
          <cell r="A326" t="str">
            <v>05.04.08</v>
          </cell>
          <cell r="B326" t="str">
            <v>ESCALERAS</v>
          </cell>
          <cell r="C326">
            <v>0</v>
          </cell>
          <cell r="D326">
            <v>0</v>
          </cell>
          <cell r="E326">
            <v>0</v>
          </cell>
          <cell r="F326">
            <v>0</v>
          </cell>
          <cell r="G326">
            <v>0</v>
          </cell>
          <cell r="H326">
            <v>0</v>
          </cell>
          <cell r="I326">
            <v>0</v>
          </cell>
          <cell r="J326">
            <v>0</v>
          </cell>
          <cell r="K326">
            <v>0</v>
          </cell>
          <cell r="L326">
            <v>0</v>
          </cell>
          <cell r="M326">
            <v>0</v>
          </cell>
          <cell r="N326">
            <v>0</v>
          </cell>
          <cell r="O326">
            <v>0</v>
          </cell>
          <cell r="P326">
            <v>0</v>
          </cell>
          <cell r="Q326">
            <v>0</v>
          </cell>
          <cell r="R326">
            <v>0</v>
          </cell>
        </row>
        <row r="327">
          <cell r="A327" t="str">
            <v>05.04.08.01</v>
          </cell>
          <cell r="B327" t="str">
            <v>CONCRETO EN ESCALERAS F'C=210 KG/CM2</v>
          </cell>
          <cell r="C327" t="str">
            <v>m3</v>
          </cell>
          <cell r="D327">
            <v>6.72</v>
          </cell>
          <cell r="E327">
            <v>453.78</v>
          </cell>
          <cell r="F327">
            <v>3049.4015999999997</v>
          </cell>
          <cell r="G327">
            <v>0</v>
          </cell>
          <cell r="H327">
            <v>0</v>
          </cell>
          <cell r="I327" t="str">
            <v>0.00%</v>
          </cell>
          <cell r="J327">
            <v>0</v>
          </cell>
          <cell r="K327">
            <v>0</v>
          </cell>
          <cell r="L327" t="str">
            <v>0.00%</v>
          </cell>
          <cell r="M327">
            <v>0</v>
          </cell>
          <cell r="N327">
            <v>0</v>
          </cell>
          <cell r="O327" t="str">
            <v>0.00%</v>
          </cell>
          <cell r="P327">
            <v>6.72</v>
          </cell>
          <cell r="Q327">
            <v>3049.4015999999997</v>
          </cell>
          <cell r="R327">
            <v>1</v>
          </cell>
        </row>
        <row r="328">
          <cell r="A328" t="str">
            <v>05.04.08.02</v>
          </cell>
          <cell r="B328" t="str">
            <v>ACERO F'Y=4200 KG/CM2 GRADO 60 EN ESCALERAS</v>
          </cell>
          <cell r="C328" t="str">
            <v>kg</v>
          </cell>
          <cell r="D328">
            <v>430.79</v>
          </cell>
          <cell r="E328">
            <v>4.4400000000000004</v>
          </cell>
          <cell r="F328">
            <v>1912.7076000000002</v>
          </cell>
          <cell r="G328">
            <v>0</v>
          </cell>
          <cell r="H328">
            <v>0</v>
          </cell>
          <cell r="I328" t="str">
            <v>0.00%</v>
          </cell>
          <cell r="J328">
            <v>0</v>
          </cell>
          <cell r="K328">
            <v>0</v>
          </cell>
          <cell r="L328" t="str">
            <v>0.00%</v>
          </cell>
          <cell r="M328">
            <v>0</v>
          </cell>
          <cell r="N328">
            <v>0</v>
          </cell>
          <cell r="O328" t="str">
            <v>0.00%</v>
          </cell>
          <cell r="P328">
            <v>430.79</v>
          </cell>
          <cell r="Q328">
            <v>1912.7076000000002</v>
          </cell>
          <cell r="R328">
            <v>1</v>
          </cell>
        </row>
        <row r="329">
          <cell r="A329" t="str">
            <v>05.04.08.03</v>
          </cell>
          <cell r="B329" t="str">
            <v>ENCOFRADO Y DESENCOFRADO NORMAL EN ESCALERAS</v>
          </cell>
          <cell r="C329" t="str">
            <v>m2</v>
          </cell>
          <cell r="D329">
            <v>12.8</v>
          </cell>
          <cell r="E329">
            <v>35.26</v>
          </cell>
          <cell r="F329">
            <v>451.32799999999997</v>
          </cell>
          <cell r="G329">
            <v>0</v>
          </cell>
          <cell r="H329">
            <v>0</v>
          </cell>
          <cell r="I329" t="str">
            <v>0.00%</v>
          </cell>
          <cell r="J329">
            <v>0</v>
          </cell>
          <cell r="K329">
            <v>0</v>
          </cell>
          <cell r="L329" t="str">
            <v>0.00%</v>
          </cell>
          <cell r="M329">
            <v>0</v>
          </cell>
          <cell r="N329">
            <v>0</v>
          </cell>
          <cell r="O329" t="str">
            <v>0.00%</v>
          </cell>
          <cell r="P329">
            <v>12.8</v>
          </cell>
          <cell r="Q329">
            <v>451.32799999999997</v>
          </cell>
          <cell r="R329">
            <v>1</v>
          </cell>
        </row>
        <row r="330">
          <cell r="A330" t="str">
            <v>05.04.09</v>
          </cell>
          <cell r="B330" t="str">
            <v>PLACAS</v>
          </cell>
          <cell r="C330">
            <v>0</v>
          </cell>
          <cell r="D330">
            <v>0</v>
          </cell>
          <cell r="E330">
            <v>0</v>
          </cell>
          <cell r="F330">
            <v>0</v>
          </cell>
          <cell r="G330">
            <v>0</v>
          </cell>
          <cell r="H330">
            <v>0</v>
          </cell>
          <cell r="I330">
            <v>0</v>
          </cell>
          <cell r="J330">
            <v>0</v>
          </cell>
          <cell r="K330">
            <v>0</v>
          </cell>
          <cell r="L330">
            <v>0</v>
          </cell>
          <cell r="M330">
            <v>0</v>
          </cell>
          <cell r="N330">
            <v>0</v>
          </cell>
          <cell r="O330">
            <v>0</v>
          </cell>
          <cell r="P330">
            <v>0</v>
          </cell>
          <cell r="Q330">
            <v>0</v>
          </cell>
          <cell r="R330">
            <v>0</v>
          </cell>
        </row>
        <row r="331">
          <cell r="A331" t="str">
            <v>05.04.09.01</v>
          </cell>
          <cell r="B331" t="str">
            <v>CONCRETO EN PLACAS F'C= 210 KG/CM2</v>
          </cell>
          <cell r="C331" t="str">
            <v>m3</v>
          </cell>
          <cell r="D331">
            <v>15.81</v>
          </cell>
          <cell r="E331">
            <v>547.66</v>
          </cell>
          <cell r="F331">
            <v>8658.5046000000002</v>
          </cell>
          <cell r="G331">
            <v>15.611000000000001</v>
          </cell>
          <cell r="H331">
            <v>8549.5202599999993</v>
          </cell>
          <cell r="I331">
            <v>0.98741302972802014</v>
          </cell>
          <cell r="J331">
            <v>0</v>
          </cell>
          <cell r="K331">
            <v>0</v>
          </cell>
          <cell r="L331" t="str">
            <v>0.00%</v>
          </cell>
          <cell r="M331">
            <v>15.611000000000001</v>
          </cell>
          <cell r="N331">
            <v>8549.5202599999993</v>
          </cell>
          <cell r="O331">
            <v>0.98741302972802014</v>
          </cell>
          <cell r="P331">
            <v>0.19899999999999984</v>
          </cell>
          <cell r="Q331">
            <v>108.98434000000088</v>
          </cell>
          <cell r="R331">
            <v>1.2586970271979862E-2</v>
          </cell>
        </row>
        <row r="332">
          <cell r="A332" t="str">
            <v>05.04.09.02</v>
          </cell>
          <cell r="B332" t="str">
            <v>ACERO F'Y=4200 KG/CM2 EN PLACAS</v>
          </cell>
          <cell r="C332" t="str">
            <v>kg</v>
          </cell>
          <cell r="D332">
            <v>1898.36</v>
          </cell>
          <cell r="E332">
            <v>4.04</v>
          </cell>
          <cell r="F332">
            <v>7669.3743999999997</v>
          </cell>
          <cell r="G332">
            <v>1898.36</v>
          </cell>
          <cell r="H332">
            <v>7669.3743999999997</v>
          </cell>
          <cell r="I332">
            <v>1</v>
          </cell>
          <cell r="J332">
            <v>0</v>
          </cell>
          <cell r="K332">
            <v>0</v>
          </cell>
          <cell r="L332" t="str">
            <v>0.00%</v>
          </cell>
          <cell r="M332">
            <v>1898.36</v>
          </cell>
          <cell r="N332">
            <v>7669.3743999999997</v>
          </cell>
          <cell r="O332">
            <v>1</v>
          </cell>
          <cell r="P332">
            <v>0</v>
          </cell>
          <cell r="Q332">
            <v>0</v>
          </cell>
          <cell r="R332" t="str">
            <v>0.00%</v>
          </cell>
        </row>
        <row r="333">
          <cell r="A333" t="str">
            <v>05.04.09.03</v>
          </cell>
          <cell r="B333" t="str">
            <v>ENCOFRADO Y DESENCOF EN PLACAS</v>
          </cell>
          <cell r="C333" t="str">
            <v>m2</v>
          </cell>
          <cell r="D333">
            <v>109.51</v>
          </cell>
          <cell r="E333">
            <v>38.049999999999997</v>
          </cell>
          <cell r="F333">
            <v>4166.8554999999997</v>
          </cell>
          <cell r="G333">
            <v>109.51</v>
          </cell>
          <cell r="H333">
            <v>4166.8554999999997</v>
          </cell>
          <cell r="I333">
            <v>1</v>
          </cell>
          <cell r="J333">
            <v>0</v>
          </cell>
          <cell r="K333">
            <v>0</v>
          </cell>
          <cell r="L333" t="str">
            <v>0.00%</v>
          </cell>
          <cell r="M333">
            <v>109.51</v>
          </cell>
          <cell r="N333">
            <v>4166.8554999999997</v>
          </cell>
          <cell r="O333">
            <v>1</v>
          </cell>
          <cell r="P333">
            <v>0</v>
          </cell>
          <cell r="Q333">
            <v>0</v>
          </cell>
          <cell r="R333" t="str">
            <v>0.00%</v>
          </cell>
        </row>
        <row r="334">
          <cell r="A334" t="str">
            <v>05.04.10</v>
          </cell>
          <cell r="B334" t="str">
            <v>CUNETA DE  EVACUACION PLUVIAL EN TECHO</v>
          </cell>
          <cell r="C334">
            <v>0</v>
          </cell>
          <cell r="D334">
            <v>0</v>
          </cell>
          <cell r="E334">
            <v>0</v>
          </cell>
          <cell r="F334">
            <v>0</v>
          </cell>
          <cell r="G334">
            <v>0</v>
          </cell>
          <cell r="H334">
            <v>0</v>
          </cell>
          <cell r="I334">
            <v>0</v>
          </cell>
          <cell r="J334">
            <v>0</v>
          </cell>
          <cell r="K334">
            <v>0</v>
          </cell>
          <cell r="L334">
            <v>0</v>
          </cell>
          <cell r="M334">
            <v>0</v>
          </cell>
          <cell r="N334">
            <v>0</v>
          </cell>
          <cell r="O334">
            <v>0</v>
          </cell>
          <cell r="P334">
            <v>0</v>
          </cell>
          <cell r="Q334">
            <v>0</v>
          </cell>
          <cell r="R334">
            <v>0</v>
          </cell>
        </row>
        <row r="335">
          <cell r="A335" t="str">
            <v>05.04.10.01</v>
          </cell>
          <cell r="B335" t="str">
            <v>CONCRETO EN CUNETA F'C= 210 KG/CM2</v>
          </cell>
          <cell r="C335" t="str">
            <v>m3</v>
          </cell>
          <cell r="D335">
            <v>1.63</v>
          </cell>
          <cell r="E335">
            <v>482.39</v>
          </cell>
          <cell r="F335">
            <v>786.2956999999999</v>
          </cell>
          <cell r="G335">
            <v>0</v>
          </cell>
          <cell r="H335">
            <v>0</v>
          </cell>
          <cell r="I335" t="str">
            <v>0.00%</v>
          </cell>
          <cell r="J335">
            <v>1.63</v>
          </cell>
          <cell r="K335">
            <v>786.2956999999999</v>
          </cell>
          <cell r="L335">
            <v>1</v>
          </cell>
          <cell r="M335">
            <v>1.63</v>
          </cell>
          <cell r="N335">
            <v>786.2956999999999</v>
          </cell>
          <cell r="O335">
            <v>1</v>
          </cell>
          <cell r="P335">
            <v>0</v>
          </cell>
          <cell r="Q335">
            <v>0</v>
          </cell>
          <cell r="R335" t="str">
            <v>0.00%</v>
          </cell>
        </row>
        <row r="336">
          <cell r="A336" t="str">
            <v>05.04.10.02</v>
          </cell>
          <cell r="B336" t="str">
            <v>ACERO F'Y=4200 KG/CM2 GRADO 60 EN CUNETA</v>
          </cell>
          <cell r="C336" t="str">
            <v>kg</v>
          </cell>
          <cell r="D336">
            <v>138.55000000000001</v>
          </cell>
          <cell r="E336">
            <v>4.4400000000000004</v>
          </cell>
          <cell r="F336">
            <v>615.16200000000015</v>
          </cell>
          <cell r="G336">
            <v>0</v>
          </cell>
          <cell r="H336">
            <v>0</v>
          </cell>
          <cell r="I336" t="str">
            <v>0.00%</v>
          </cell>
          <cell r="J336">
            <v>138.55000000000001</v>
          </cell>
          <cell r="K336">
            <v>615.16200000000015</v>
          </cell>
          <cell r="L336">
            <v>1</v>
          </cell>
          <cell r="M336">
            <v>138.55000000000001</v>
          </cell>
          <cell r="N336">
            <v>615.16200000000015</v>
          </cell>
          <cell r="O336">
            <v>1</v>
          </cell>
          <cell r="P336">
            <v>0</v>
          </cell>
          <cell r="Q336">
            <v>0</v>
          </cell>
          <cell r="R336" t="str">
            <v>0.00%</v>
          </cell>
        </row>
        <row r="337">
          <cell r="A337" t="str">
            <v>05.04.10.03</v>
          </cell>
          <cell r="B337" t="str">
            <v>ENCOFRADO Y DESENCOFRADO NORMAL EN CUNETAS</v>
          </cell>
          <cell r="C337" t="str">
            <v>m2</v>
          </cell>
          <cell r="D337">
            <v>32.54</v>
          </cell>
          <cell r="E337">
            <v>44.85</v>
          </cell>
          <cell r="F337">
            <v>1459.4190000000001</v>
          </cell>
          <cell r="G337">
            <v>0</v>
          </cell>
          <cell r="H337">
            <v>0</v>
          </cell>
          <cell r="I337" t="str">
            <v>0.00%</v>
          </cell>
          <cell r="J337">
            <v>32.54</v>
          </cell>
          <cell r="K337">
            <v>1459.4190000000001</v>
          </cell>
          <cell r="L337">
            <v>1</v>
          </cell>
          <cell r="M337">
            <v>32.54</v>
          </cell>
          <cell r="N337">
            <v>1459.4190000000001</v>
          </cell>
          <cell r="O337">
            <v>1</v>
          </cell>
          <cell r="P337">
            <v>0</v>
          </cell>
          <cell r="Q337">
            <v>0</v>
          </cell>
          <cell r="R337" t="str">
            <v>0.00%</v>
          </cell>
        </row>
        <row r="338">
          <cell r="A338" t="str">
            <v>05.04.11</v>
          </cell>
          <cell r="B338" t="str">
            <v>MARCO DE VENTANA DE CONCRETO</v>
          </cell>
          <cell r="C338">
            <v>0</v>
          </cell>
          <cell r="D338">
            <v>0</v>
          </cell>
          <cell r="E338">
            <v>0</v>
          </cell>
          <cell r="F338">
            <v>0</v>
          </cell>
          <cell r="G338">
            <v>0</v>
          </cell>
          <cell r="H338">
            <v>0</v>
          </cell>
          <cell r="I338">
            <v>0</v>
          </cell>
          <cell r="J338">
            <v>0</v>
          </cell>
          <cell r="K338">
            <v>0</v>
          </cell>
          <cell r="L338">
            <v>0</v>
          </cell>
          <cell r="M338">
            <v>0</v>
          </cell>
          <cell r="N338">
            <v>0</v>
          </cell>
          <cell r="O338">
            <v>0</v>
          </cell>
          <cell r="P338">
            <v>0</v>
          </cell>
          <cell r="Q338">
            <v>0</v>
          </cell>
          <cell r="R338">
            <v>0</v>
          </cell>
        </row>
        <row r="339">
          <cell r="A339" t="str">
            <v>05.04.11.01</v>
          </cell>
          <cell r="B339" t="str">
            <v>CONCRETO F'C= 175 KG/CM2 EN MARCO DE VENTANA</v>
          </cell>
          <cell r="C339" t="str">
            <v>m3</v>
          </cell>
          <cell r="D339">
            <v>0.36</v>
          </cell>
          <cell r="E339">
            <v>462.25</v>
          </cell>
          <cell r="F339">
            <v>166.41</v>
          </cell>
          <cell r="G339">
            <v>0</v>
          </cell>
          <cell r="H339">
            <v>0</v>
          </cell>
          <cell r="I339" t="str">
            <v>0.00%</v>
          </cell>
          <cell r="J339">
            <v>0</v>
          </cell>
          <cell r="K339">
            <v>0</v>
          </cell>
          <cell r="L339" t="str">
            <v>0.00%</v>
          </cell>
          <cell r="M339">
            <v>0</v>
          </cell>
          <cell r="N339">
            <v>0</v>
          </cell>
          <cell r="O339" t="str">
            <v>0.00%</v>
          </cell>
          <cell r="P339">
            <v>0.36</v>
          </cell>
          <cell r="Q339">
            <v>166.41</v>
          </cell>
          <cell r="R339">
            <v>1</v>
          </cell>
        </row>
        <row r="340">
          <cell r="A340" t="str">
            <v>05.04.11.02</v>
          </cell>
          <cell r="B340" t="str">
            <v>ACERO F'Y=4200 KG/CM2 GRADO 60 EN MARCO DE VENTANA</v>
          </cell>
          <cell r="C340" t="str">
            <v>kg</v>
          </cell>
          <cell r="D340">
            <v>86.4</v>
          </cell>
          <cell r="E340">
            <v>4.4400000000000004</v>
          </cell>
          <cell r="F340">
            <v>383.61600000000004</v>
          </cell>
          <cell r="G340">
            <v>43.2</v>
          </cell>
          <cell r="H340">
            <v>191.80800000000002</v>
          </cell>
          <cell r="I340">
            <v>0.5</v>
          </cell>
          <cell r="J340">
            <v>0</v>
          </cell>
          <cell r="K340">
            <v>0</v>
          </cell>
          <cell r="L340" t="str">
            <v>0.00%</v>
          </cell>
          <cell r="M340">
            <v>43.2</v>
          </cell>
          <cell r="N340">
            <v>191.80800000000002</v>
          </cell>
          <cell r="O340">
            <v>0.5</v>
          </cell>
          <cell r="P340">
            <v>43.2</v>
          </cell>
          <cell r="Q340">
            <v>191.80800000000002</v>
          </cell>
          <cell r="R340">
            <v>0.5</v>
          </cell>
        </row>
        <row r="341">
          <cell r="A341" t="str">
            <v>05.04.11.03</v>
          </cell>
          <cell r="B341" t="str">
            <v>ENCOFRADO Y DESENCOFRADO EN MARCO DE VENTANA</v>
          </cell>
          <cell r="C341" t="str">
            <v>m2</v>
          </cell>
          <cell r="D341">
            <v>3.6</v>
          </cell>
          <cell r="E341">
            <v>28.78</v>
          </cell>
          <cell r="F341">
            <v>103.608</v>
          </cell>
          <cell r="G341">
            <v>0</v>
          </cell>
          <cell r="H341">
            <v>0</v>
          </cell>
          <cell r="I341" t="str">
            <v>0.00%</v>
          </cell>
          <cell r="J341">
            <v>0</v>
          </cell>
          <cell r="K341">
            <v>0</v>
          </cell>
          <cell r="L341" t="str">
            <v>0.00%</v>
          </cell>
          <cell r="M341">
            <v>0</v>
          </cell>
          <cell r="N341">
            <v>0</v>
          </cell>
          <cell r="O341" t="str">
            <v>0.00%</v>
          </cell>
          <cell r="P341">
            <v>3.6</v>
          </cell>
          <cell r="Q341">
            <v>103.608</v>
          </cell>
          <cell r="R341">
            <v>1</v>
          </cell>
        </row>
        <row r="342">
          <cell r="A342" t="str">
            <v>05.05</v>
          </cell>
          <cell r="B342" t="str">
            <v>JUNTAS DE CONSTRUCCION</v>
          </cell>
          <cell r="C342">
            <v>0</v>
          </cell>
          <cell r="D342">
            <v>0</v>
          </cell>
          <cell r="E342">
            <v>0</v>
          </cell>
          <cell r="F342">
            <v>0</v>
          </cell>
          <cell r="G342">
            <v>0</v>
          </cell>
          <cell r="H342">
            <v>0</v>
          </cell>
          <cell r="I342">
            <v>0</v>
          </cell>
          <cell r="J342">
            <v>0</v>
          </cell>
          <cell r="K342">
            <v>0</v>
          </cell>
          <cell r="L342">
            <v>0</v>
          </cell>
          <cell r="M342">
            <v>0</v>
          </cell>
          <cell r="N342">
            <v>0</v>
          </cell>
          <cell r="O342">
            <v>0</v>
          </cell>
          <cell r="P342">
            <v>0</v>
          </cell>
          <cell r="Q342">
            <v>0</v>
          </cell>
          <cell r="R342">
            <v>0</v>
          </cell>
        </row>
        <row r="343">
          <cell r="A343" t="str">
            <v>05.05.01</v>
          </cell>
          <cell r="B343" t="str">
            <v>JUNTAS DE TEKNOPOR DE  1"</v>
          </cell>
          <cell r="C343" t="str">
            <v>m</v>
          </cell>
          <cell r="D343">
            <v>6.25</v>
          </cell>
          <cell r="E343">
            <v>9.0500000000000007</v>
          </cell>
          <cell r="F343">
            <v>56.562500000000007</v>
          </cell>
          <cell r="G343">
            <v>0</v>
          </cell>
          <cell r="H343">
            <v>0</v>
          </cell>
          <cell r="I343" t="str">
            <v>0.00%</v>
          </cell>
          <cell r="J343">
            <v>0</v>
          </cell>
          <cell r="K343">
            <v>0</v>
          </cell>
          <cell r="L343" t="str">
            <v>0.00%</v>
          </cell>
          <cell r="M343">
            <v>0</v>
          </cell>
          <cell r="N343">
            <v>0</v>
          </cell>
          <cell r="O343" t="str">
            <v>0.00%</v>
          </cell>
          <cell r="P343">
            <v>6.25</v>
          </cell>
          <cell r="Q343">
            <v>56.562500000000007</v>
          </cell>
          <cell r="R343">
            <v>1</v>
          </cell>
        </row>
        <row r="344">
          <cell r="A344" t="str">
            <v>05.06</v>
          </cell>
          <cell r="B344" t="str">
            <v>PRUEBAS</v>
          </cell>
          <cell r="C344">
            <v>0</v>
          </cell>
          <cell r="D344">
            <v>0</v>
          </cell>
          <cell r="E344">
            <v>0</v>
          </cell>
          <cell r="F344">
            <v>0</v>
          </cell>
          <cell r="G344">
            <v>0</v>
          </cell>
          <cell r="H344">
            <v>0</v>
          </cell>
          <cell r="I344">
            <v>0</v>
          </cell>
          <cell r="J344">
            <v>0</v>
          </cell>
          <cell r="K344">
            <v>0</v>
          </cell>
          <cell r="L344">
            <v>0</v>
          </cell>
          <cell r="M344">
            <v>0</v>
          </cell>
          <cell r="N344">
            <v>0</v>
          </cell>
          <cell r="O344">
            <v>0</v>
          </cell>
          <cell r="P344">
            <v>0</v>
          </cell>
          <cell r="Q344">
            <v>0</v>
          </cell>
          <cell r="R344">
            <v>0</v>
          </cell>
        </row>
        <row r="345">
          <cell r="A345" t="str">
            <v>05.06.01</v>
          </cell>
          <cell r="B345" t="str">
            <v>PRUEBA DE CALIDAD DEL CONCRETO (PRUEBA A LA COMPRESION)</v>
          </cell>
          <cell r="C345" t="str">
            <v>und</v>
          </cell>
          <cell r="D345">
            <v>2</v>
          </cell>
          <cell r="E345">
            <v>40</v>
          </cell>
          <cell r="F345">
            <v>80</v>
          </cell>
          <cell r="G345">
            <v>0</v>
          </cell>
          <cell r="H345">
            <v>0</v>
          </cell>
          <cell r="I345" t="str">
            <v>0.00%</v>
          </cell>
          <cell r="J345">
            <v>0</v>
          </cell>
          <cell r="K345">
            <v>0</v>
          </cell>
          <cell r="L345" t="str">
            <v>0.00%</v>
          </cell>
          <cell r="M345">
            <v>0</v>
          </cell>
          <cell r="N345">
            <v>0</v>
          </cell>
          <cell r="O345" t="str">
            <v>0.00%</v>
          </cell>
          <cell r="P345">
            <v>2</v>
          </cell>
          <cell r="Q345">
            <v>80</v>
          </cell>
          <cell r="R345">
            <v>1</v>
          </cell>
        </row>
        <row r="346">
          <cell r="A346" t="str">
            <v>06</v>
          </cell>
          <cell r="B346" t="str">
            <v>BLOQUE - 5</v>
          </cell>
          <cell r="C346">
            <v>0</v>
          </cell>
          <cell r="D346">
            <v>0</v>
          </cell>
          <cell r="E346">
            <v>0</v>
          </cell>
          <cell r="F346">
            <v>0</v>
          </cell>
          <cell r="G346">
            <v>0</v>
          </cell>
          <cell r="H346">
            <v>0</v>
          </cell>
          <cell r="I346">
            <v>0</v>
          </cell>
          <cell r="J346">
            <v>0</v>
          </cell>
          <cell r="K346">
            <v>0</v>
          </cell>
          <cell r="L346">
            <v>0</v>
          </cell>
          <cell r="M346">
            <v>0</v>
          </cell>
          <cell r="N346">
            <v>0</v>
          </cell>
          <cell r="O346">
            <v>0</v>
          </cell>
          <cell r="P346">
            <v>0</v>
          </cell>
          <cell r="Q346">
            <v>0</v>
          </cell>
          <cell r="R346">
            <v>0</v>
          </cell>
        </row>
        <row r="347">
          <cell r="A347" t="str">
            <v>06.01</v>
          </cell>
          <cell r="B347" t="str">
            <v>TRABAJOS PRELIMINARES</v>
          </cell>
          <cell r="C347">
            <v>0</v>
          </cell>
          <cell r="D347">
            <v>0</v>
          </cell>
          <cell r="E347">
            <v>0</v>
          </cell>
          <cell r="F347">
            <v>0</v>
          </cell>
          <cell r="G347">
            <v>0</v>
          </cell>
          <cell r="H347">
            <v>0</v>
          </cell>
          <cell r="I347">
            <v>0</v>
          </cell>
          <cell r="J347">
            <v>0</v>
          </cell>
          <cell r="K347">
            <v>0</v>
          </cell>
          <cell r="L347">
            <v>0</v>
          </cell>
          <cell r="M347">
            <v>0</v>
          </cell>
          <cell r="N347">
            <v>0</v>
          </cell>
          <cell r="O347">
            <v>0</v>
          </cell>
          <cell r="P347">
            <v>0</v>
          </cell>
          <cell r="Q347">
            <v>0</v>
          </cell>
          <cell r="R347">
            <v>0</v>
          </cell>
        </row>
        <row r="348">
          <cell r="A348" t="str">
            <v>06.01.01</v>
          </cell>
          <cell r="B348" t="str">
            <v>LIMPIEZA DE TERRENO MANUAL</v>
          </cell>
          <cell r="C348" t="str">
            <v>m2</v>
          </cell>
          <cell r="D348">
            <v>180.89</v>
          </cell>
          <cell r="E348">
            <v>1.0900000000000001</v>
          </cell>
          <cell r="F348">
            <v>197.17009999999999</v>
          </cell>
          <cell r="G348">
            <v>180.89</v>
          </cell>
          <cell r="H348">
            <v>197.17009999999999</v>
          </cell>
          <cell r="I348">
            <v>1</v>
          </cell>
          <cell r="J348">
            <v>0</v>
          </cell>
          <cell r="K348">
            <v>0</v>
          </cell>
          <cell r="L348" t="str">
            <v>0.00%</v>
          </cell>
          <cell r="M348">
            <v>180.89</v>
          </cell>
          <cell r="N348">
            <v>197.17009999999999</v>
          </cell>
          <cell r="O348">
            <v>1</v>
          </cell>
          <cell r="P348">
            <v>0</v>
          </cell>
          <cell r="Q348">
            <v>0</v>
          </cell>
          <cell r="R348" t="str">
            <v>0.00%</v>
          </cell>
        </row>
        <row r="349">
          <cell r="A349" t="str">
            <v>06.01.02</v>
          </cell>
          <cell r="B349" t="str">
            <v>TRAZO DURANTE LA EJECUCION DE LA OBRA</v>
          </cell>
          <cell r="C349" t="str">
            <v>m2</v>
          </cell>
          <cell r="D349">
            <v>180.89</v>
          </cell>
          <cell r="E349">
            <v>3.49</v>
          </cell>
          <cell r="F349">
            <v>631.30610000000001</v>
          </cell>
          <cell r="G349">
            <v>180.89</v>
          </cell>
          <cell r="H349">
            <v>631.30610000000001</v>
          </cell>
          <cell r="I349">
            <v>1</v>
          </cell>
          <cell r="J349">
            <v>0</v>
          </cell>
          <cell r="K349">
            <v>0</v>
          </cell>
          <cell r="L349" t="str">
            <v>0.00%</v>
          </cell>
          <cell r="M349">
            <v>180.89</v>
          </cell>
          <cell r="N349">
            <v>631.30610000000001</v>
          </cell>
          <cell r="O349">
            <v>1</v>
          </cell>
          <cell r="P349">
            <v>0</v>
          </cell>
          <cell r="Q349">
            <v>0</v>
          </cell>
          <cell r="R349" t="str">
            <v>0.00%</v>
          </cell>
        </row>
        <row r="350">
          <cell r="A350" t="str">
            <v>06.02</v>
          </cell>
          <cell r="B350" t="str">
            <v>MOVIMIENTO DE TIERRAS</v>
          </cell>
          <cell r="C350">
            <v>0</v>
          </cell>
          <cell r="D350">
            <v>0</v>
          </cell>
          <cell r="E350">
            <v>0</v>
          </cell>
          <cell r="F350">
            <v>0</v>
          </cell>
          <cell r="G350">
            <v>0</v>
          </cell>
          <cell r="H350">
            <v>0</v>
          </cell>
          <cell r="I350">
            <v>0</v>
          </cell>
          <cell r="J350">
            <v>0</v>
          </cell>
          <cell r="K350">
            <v>0</v>
          </cell>
          <cell r="L350">
            <v>0</v>
          </cell>
          <cell r="M350">
            <v>0</v>
          </cell>
          <cell r="N350">
            <v>0</v>
          </cell>
          <cell r="O350">
            <v>0</v>
          </cell>
          <cell r="P350">
            <v>0</v>
          </cell>
          <cell r="Q350">
            <v>0</v>
          </cell>
          <cell r="R350">
            <v>0</v>
          </cell>
        </row>
        <row r="351">
          <cell r="A351" t="str">
            <v>06.02.01</v>
          </cell>
          <cell r="B351" t="str">
            <v xml:space="preserve">EXCAVACION PARA CIMIENTOS-ZAPATAS </v>
          </cell>
          <cell r="C351" t="str">
            <v>m3</v>
          </cell>
          <cell r="D351">
            <v>108.54</v>
          </cell>
          <cell r="E351">
            <v>44.73</v>
          </cell>
          <cell r="F351">
            <v>4854.9942000000001</v>
          </cell>
          <cell r="G351">
            <v>108.54</v>
          </cell>
          <cell r="H351">
            <v>4854.9942000000001</v>
          </cell>
          <cell r="I351">
            <v>1</v>
          </cell>
          <cell r="J351">
            <v>0</v>
          </cell>
          <cell r="K351">
            <v>0</v>
          </cell>
          <cell r="L351" t="str">
            <v>0.00%</v>
          </cell>
          <cell r="M351">
            <v>108.54</v>
          </cell>
          <cell r="N351">
            <v>4854.9942000000001</v>
          </cell>
          <cell r="O351">
            <v>1</v>
          </cell>
          <cell r="P351">
            <v>0</v>
          </cell>
          <cell r="Q351">
            <v>0</v>
          </cell>
          <cell r="R351" t="str">
            <v>0.00%</v>
          </cell>
        </row>
        <row r="352">
          <cell r="A352" t="str">
            <v>06.02.02</v>
          </cell>
          <cell r="B352" t="str">
            <v>RELLENO COMPACTADO CON MATERIAL PROPIO EN CAPAS DE 0.20m.</v>
          </cell>
          <cell r="C352" t="str">
            <v>m3</v>
          </cell>
          <cell r="D352">
            <v>54.12</v>
          </cell>
          <cell r="E352">
            <v>53.95</v>
          </cell>
          <cell r="F352">
            <v>2919.7739999999999</v>
          </cell>
          <cell r="G352">
            <v>0</v>
          </cell>
          <cell r="H352">
            <v>0</v>
          </cell>
          <cell r="I352" t="str">
            <v>0.00%</v>
          </cell>
          <cell r="J352">
            <v>0</v>
          </cell>
          <cell r="K352">
            <v>0</v>
          </cell>
          <cell r="L352" t="str">
            <v>0.00%</v>
          </cell>
          <cell r="M352">
            <v>0</v>
          </cell>
          <cell r="N352">
            <v>0</v>
          </cell>
          <cell r="O352" t="str">
            <v>0.00%</v>
          </cell>
          <cell r="P352">
            <v>54.12</v>
          </cell>
          <cell r="Q352">
            <v>2919.7739999999999</v>
          </cell>
          <cell r="R352">
            <v>1</v>
          </cell>
        </row>
        <row r="353">
          <cell r="A353" t="str">
            <v>06.02.03</v>
          </cell>
          <cell r="B353" t="str">
            <v>ACARREO INTERNO, MATERIAL PROCEDENTE DE EXCAVACIONES  Y OTROS</v>
          </cell>
          <cell r="C353" t="str">
            <v>m3</v>
          </cell>
          <cell r="D353">
            <v>70.739999999999995</v>
          </cell>
          <cell r="E353">
            <v>19</v>
          </cell>
          <cell r="F353">
            <v>1344.06</v>
          </cell>
          <cell r="G353">
            <v>70.739999999999995</v>
          </cell>
          <cell r="H353">
            <v>1344.06</v>
          </cell>
          <cell r="I353">
            <v>1</v>
          </cell>
          <cell r="J353">
            <v>0</v>
          </cell>
          <cell r="K353">
            <v>0</v>
          </cell>
          <cell r="L353" t="str">
            <v>0.00%</v>
          </cell>
          <cell r="M353">
            <v>70.739999999999995</v>
          </cell>
          <cell r="N353">
            <v>1344.06</v>
          </cell>
          <cell r="O353">
            <v>1</v>
          </cell>
          <cell r="P353">
            <v>0</v>
          </cell>
          <cell r="Q353">
            <v>0</v>
          </cell>
          <cell r="R353" t="str">
            <v>0.00%</v>
          </cell>
        </row>
        <row r="354">
          <cell r="A354" t="str">
            <v>06.02.04</v>
          </cell>
          <cell r="B354" t="str">
            <v>ELIMINACION DE MATERIAL EXCEDENTE CON EQUIPO</v>
          </cell>
          <cell r="C354" t="str">
            <v>m3</v>
          </cell>
          <cell r="D354">
            <v>70.739999999999995</v>
          </cell>
          <cell r="E354">
            <v>14.64</v>
          </cell>
          <cell r="F354">
            <v>1035.6335999999999</v>
          </cell>
          <cell r="G354">
            <v>70.739999999999995</v>
          </cell>
          <cell r="H354">
            <v>1035.6335999999999</v>
          </cell>
          <cell r="I354">
            <v>1</v>
          </cell>
          <cell r="J354">
            <v>0</v>
          </cell>
          <cell r="K354">
            <v>0</v>
          </cell>
          <cell r="L354" t="str">
            <v>0.00%</v>
          </cell>
          <cell r="M354">
            <v>70.739999999999995</v>
          </cell>
          <cell r="N354">
            <v>1035.6335999999999</v>
          </cell>
          <cell r="O354">
            <v>1</v>
          </cell>
          <cell r="P354">
            <v>0</v>
          </cell>
          <cell r="Q354">
            <v>0</v>
          </cell>
          <cell r="R354" t="str">
            <v>0.00%</v>
          </cell>
        </row>
        <row r="355">
          <cell r="A355" t="str">
            <v>06.02.05</v>
          </cell>
          <cell r="B355" t="str">
            <v xml:space="preserve">AFIRMADO e=20 cm </v>
          </cell>
          <cell r="C355" t="str">
            <v>m3</v>
          </cell>
          <cell r="D355">
            <v>26.66</v>
          </cell>
          <cell r="E355">
            <v>82.36</v>
          </cell>
          <cell r="F355">
            <v>2195.7175999999999</v>
          </cell>
          <cell r="G355">
            <v>0</v>
          </cell>
          <cell r="H355">
            <v>0</v>
          </cell>
          <cell r="I355" t="str">
            <v>0.00%</v>
          </cell>
          <cell r="J355">
            <v>0</v>
          </cell>
          <cell r="K355">
            <v>0</v>
          </cell>
          <cell r="L355" t="str">
            <v>0.00%</v>
          </cell>
          <cell r="M355">
            <v>0</v>
          </cell>
          <cell r="N355">
            <v>0</v>
          </cell>
          <cell r="O355" t="str">
            <v>0.00%</v>
          </cell>
          <cell r="P355">
            <v>26.66</v>
          </cell>
          <cell r="Q355">
            <v>2195.7175999999999</v>
          </cell>
          <cell r="R355">
            <v>1</v>
          </cell>
        </row>
        <row r="356">
          <cell r="A356" t="str">
            <v>06.02.06</v>
          </cell>
          <cell r="B356" t="str">
            <v xml:space="preserve">NIVELACION Y COMPACTACION PARA FALSO PISOS, VEREDAS Y PATIOS </v>
          </cell>
          <cell r="C356" t="str">
            <v>m2</v>
          </cell>
          <cell r="D356">
            <v>133.31</v>
          </cell>
          <cell r="E356">
            <v>9.3800000000000008</v>
          </cell>
          <cell r="F356">
            <v>1250.4478000000001</v>
          </cell>
          <cell r="G356">
            <v>0</v>
          </cell>
          <cell r="H356">
            <v>0</v>
          </cell>
          <cell r="I356" t="str">
            <v>0.00%</v>
          </cell>
          <cell r="J356">
            <v>0</v>
          </cell>
          <cell r="K356">
            <v>0</v>
          </cell>
          <cell r="L356" t="str">
            <v>0.00%</v>
          </cell>
          <cell r="M356">
            <v>0</v>
          </cell>
          <cell r="N356">
            <v>0</v>
          </cell>
          <cell r="O356" t="str">
            <v>0.00%</v>
          </cell>
          <cell r="P356">
            <v>133.31</v>
          </cell>
          <cell r="Q356">
            <v>1250.4478000000001</v>
          </cell>
          <cell r="R356">
            <v>1</v>
          </cell>
        </row>
        <row r="357">
          <cell r="A357" t="str">
            <v>06.03</v>
          </cell>
          <cell r="B357" t="str">
            <v>CONCRETO SIMPLE</v>
          </cell>
          <cell r="C357">
            <v>0</v>
          </cell>
          <cell r="D357">
            <v>0</v>
          </cell>
          <cell r="E357">
            <v>0</v>
          </cell>
          <cell r="F357">
            <v>0</v>
          </cell>
          <cell r="G357">
            <v>0</v>
          </cell>
          <cell r="H357">
            <v>0</v>
          </cell>
          <cell r="I357">
            <v>0</v>
          </cell>
          <cell r="J357">
            <v>0</v>
          </cell>
          <cell r="K357">
            <v>0</v>
          </cell>
          <cell r="L357">
            <v>0</v>
          </cell>
          <cell r="M357">
            <v>0</v>
          </cell>
          <cell r="N357">
            <v>0</v>
          </cell>
          <cell r="O357">
            <v>0</v>
          </cell>
          <cell r="P357">
            <v>0</v>
          </cell>
          <cell r="Q357">
            <v>0</v>
          </cell>
          <cell r="R357">
            <v>0</v>
          </cell>
        </row>
        <row r="358">
          <cell r="A358" t="str">
            <v>06.03.01</v>
          </cell>
          <cell r="B358" t="str">
            <v>SOLADOS</v>
          </cell>
          <cell r="C358">
            <v>0</v>
          </cell>
          <cell r="D358">
            <v>0</v>
          </cell>
          <cell r="E358">
            <v>0</v>
          </cell>
          <cell r="F358">
            <v>0</v>
          </cell>
          <cell r="G358">
            <v>0</v>
          </cell>
          <cell r="H358">
            <v>0</v>
          </cell>
          <cell r="I358">
            <v>0</v>
          </cell>
          <cell r="J358">
            <v>0</v>
          </cell>
          <cell r="K358">
            <v>0</v>
          </cell>
          <cell r="L358">
            <v>0</v>
          </cell>
          <cell r="M358">
            <v>0</v>
          </cell>
          <cell r="N358">
            <v>0</v>
          </cell>
          <cell r="O358">
            <v>0</v>
          </cell>
          <cell r="P358">
            <v>0</v>
          </cell>
          <cell r="Q358">
            <v>0</v>
          </cell>
          <cell r="R358">
            <v>0</v>
          </cell>
        </row>
        <row r="359">
          <cell r="A359" t="str">
            <v>06.03.01.01</v>
          </cell>
          <cell r="B359" t="str">
            <v>SOLADO E= 2" MEZCLA 1:12 CEMENTO-HORMIGON</v>
          </cell>
          <cell r="C359" t="str">
            <v>m2</v>
          </cell>
          <cell r="D359">
            <v>50.87</v>
          </cell>
          <cell r="E359">
            <v>29.02</v>
          </cell>
          <cell r="F359">
            <v>1476.2474</v>
          </cell>
          <cell r="G359">
            <v>50.87</v>
          </cell>
          <cell r="H359">
            <v>1476.2474</v>
          </cell>
          <cell r="I359">
            <v>1</v>
          </cell>
          <cell r="J359">
            <v>0</v>
          </cell>
          <cell r="K359">
            <v>0</v>
          </cell>
          <cell r="L359" t="str">
            <v>0.00%</v>
          </cell>
          <cell r="M359">
            <v>50.87</v>
          </cell>
          <cell r="N359">
            <v>1476.2474</v>
          </cell>
          <cell r="O359">
            <v>1</v>
          </cell>
          <cell r="P359">
            <v>0</v>
          </cell>
          <cell r="Q359">
            <v>0</v>
          </cell>
          <cell r="R359" t="str">
            <v>0.00%</v>
          </cell>
        </row>
        <row r="360">
          <cell r="A360" t="str">
            <v>06.03.02</v>
          </cell>
          <cell r="B360" t="str">
            <v>CIMIENTOS CORRIDOS</v>
          </cell>
          <cell r="C360">
            <v>0</v>
          </cell>
          <cell r="D360">
            <v>0</v>
          </cell>
          <cell r="E360">
            <v>0</v>
          </cell>
          <cell r="F360">
            <v>0</v>
          </cell>
          <cell r="G360">
            <v>0</v>
          </cell>
          <cell r="H360">
            <v>0</v>
          </cell>
          <cell r="I360">
            <v>0</v>
          </cell>
          <cell r="J360">
            <v>0</v>
          </cell>
          <cell r="K360">
            <v>0</v>
          </cell>
          <cell r="L360">
            <v>0</v>
          </cell>
          <cell r="M360">
            <v>0</v>
          </cell>
          <cell r="N360">
            <v>0</v>
          </cell>
          <cell r="O360">
            <v>0</v>
          </cell>
          <cell r="P360">
            <v>0</v>
          </cell>
          <cell r="Q360">
            <v>0</v>
          </cell>
          <cell r="R360">
            <v>0</v>
          </cell>
        </row>
        <row r="361">
          <cell r="A361" t="str">
            <v>06.03.02.01</v>
          </cell>
          <cell r="B361" t="str">
            <v>CIMIENTOS CORRIDOS MEZCLA 1:10 CEMENTO-HORMIGON 30% PIEDRA</v>
          </cell>
          <cell r="C361" t="str">
            <v>m3</v>
          </cell>
          <cell r="D361">
            <v>37.479999999999997</v>
          </cell>
          <cell r="E361">
            <v>248.48</v>
          </cell>
          <cell r="F361">
            <v>9313.0303999999996</v>
          </cell>
          <cell r="G361">
            <v>0</v>
          </cell>
          <cell r="H361">
            <v>0</v>
          </cell>
          <cell r="I361" t="str">
            <v>0.00%</v>
          </cell>
          <cell r="J361">
            <v>0</v>
          </cell>
          <cell r="K361">
            <v>0</v>
          </cell>
          <cell r="L361" t="str">
            <v>0.00%</v>
          </cell>
          <cell r="M361">
            <v>0</v>
          </cell>
          <cell r="N361">
            <v>0</v>
          </cell>
          <cell r="O361" t="str">
            <v>0.00%</v>
          </cell>
          <cell r="P361">
            <v>37.479999999999997</v>
          </cell>
          <cell r="Q361">
            <v>9313.0303999999996</v>
          </cell>
          <cell r="R361">
            <v>1</v>
          </cell>
        </row>
        <row r="362">
          <cell r="A362" t="str">
            <v>06.03.03</v>
          </cell>
          <cell r="B362" t="str">
            <v>SOBRECIMIENTOS</v>
          </cell>
          <cell r="C362">
            <v>0</v>
          </cell>
          <cell r="D362">
            <v>0</v>
          </cell>
          <cell r="E362">
            <v>0</v>
          </cell>
          <cell r="F362">
            <v>0</v>
          </cell>
          <cell r="G362">
            <v>0</v>
          </cell>
          <cell r="H362">
            <v>0</v>
          </cell>
          <cell r="I362">
            <v>0</v>
          </cell>
          <cell r="J362">
            <v>0</v>
          </cell>
          <cell r="K362">
            <v>0</v>
          </cell>
          <cell r="L362">
            <v>0</v>
          </cell>
          <cell r="M362">
            <v>0</v>
          </cell>
          <cell r="N362">
            <v>0</v>
          </cell>
          <cell r="O362">
            <v>0</v>
          </cell>
          <cell r="P362">
            <v>0</v>
          </cell>
          <cell r="Q362">
            <v>0</v>
          </cell>
          <cell r="R362">
            <v>0</v>
          </cell>
        </row>
        <row r="363">
          <cell r="A363" t="str">
            <v>06.03.03.01</v>
          </cell>
          <cell r="B363" t="str">
            <v>CONCRETO 1:8+25% P.M. PARA SOBRECIMIENTOS</v>
          </cell>
          <cell r="C363" t="str">
            <v>m3</v>
          </cell>
          <cell r="D363">
            <v>7.08</v>
          </cell>
          <cell r="E363">
            <v>312.47000000000003</v>
          </cell>
          <cell r="F363">
            <v>2212.2876000000001</v>
          </cell>
          <cell r="G363">
            <v>0</v>
          </cell>
          <cell r="H363">
            <v>0</v>
          </cell>
          <cell r="I363" t="str">
            <v>0.00%</v>
          </cell>
          <cell r="J363">
            <v>0</v>
          </cell>
          <cell r="K363">
            <v>0</v>
          </cell>
          <cell r="L363" t="str">
            <v>0.00%</v>
          </cell>
          <cell r="M363">
            <v>0</v>
          </cell>
          <cell r="N363">
            <v>0</v>
          </cell>
          <cell r="O363" t="str">
            <v>0.00%</v>
          </cell>
          <cell r="P363">
            <v>7.08</v>
          </cell>
          <cell r="Q363">
            <v>2212.2876000000001</v>
          </cell>
          <cell r="R363">
            <v>1</v>
          </cell>
        </row>
        <row r="364">
          <cell r="A364" t="str">
            <v>06.03.03.02</v>
          </cell>
          <cell r="B364" t="str">
            <v>ENCOFRADO Y DESENCOFRADO NORMAL PARA SOBRECIMIENTOS HASTA 0.60M.</v>
          </cell>
          <cell r="C364" t="str">
            <v>m2</v>
          </cell>
          <cell r="D364">
            <v>23.25</v>
          </cell>
          <cell r="E364">
            <v>44.43</v>
          </cell>
          <cell r="F364">
            <v>1032.9974999999999</v>
          </cell>
          <cell r="G364">
            <v>0</v>
          </cell>
          <cell r="H364">
            <v>0</v>
          </cell>
          <cell r="I364" t="str">
            <v>0.00%</v>
          </cell>
          <cell r="J364">
            <v>0</v>
          </cell>
          <cell r="K364">
            <v>0</v>
          </cell>
          <cell r="L364" t="str">
            <v>0.00%</v>
          </cell>
          <cell r="M364">
            <v>0</v>
          </cell>
          <cell r="N364">
            <v>0</v>
          </cell>
          <cell r="O364" t="str">
            <v>0.00%</v>
          </cell>
          <cell r="P364">
            <v>23.25</v>
          </cell>
          <cell r="Q364">
            <v>1032.9974999999999</v>
          </cell>
          <cell r="R364">
            <v>1</v>
          </cell>
        </row>
        <row r="365">
          <cell r="A365" t="str">
            <v>06.04</v>
          </cell>
          <cell r="B365" t="str">
            <v>CONCRETO ARMADO</v>
          </cell>
          <cell r="C365">
            <v>0</v>
          </cell>
          <cell r="D365">
            <v>0</v>
          </cell>
          <cell r="E365">
            <v>0</v>
          </cell>
          <cell r="F365">
            <v>0</v>
          </cell>
          <cell r="G365">
            <v>0</v>
          </cell>
          <cell r="H365">
            <v>0</v>
          </cell>
          <cell r="I365">
            <v>0</v>
          </cell>
          <cell r="J365">
            <v>0</v>
          </cell>
          <cell r="K365">
            <v>0</v>
          </cell>
          <cell r="L365">
            <v>0</v>
          </cell>
          <cell r="M365">
            <v>0</v>
          </cell>
          <cell r="N365">
            <v>0</v>
          </cell>
          <cell r="O365">
            <v>0</v>
          </cell>
          <cell r="P365">
            <v>0</v>
          </cell>
          <cell r="Q365">
            <v>0</v>
          </cell>
          <cell r="R365">
            <v>0</v>
          </cell>
        </row>
        <row r="366">
          <cell r="A366" t="str">
            <v>06.04.01</v>
          </cell>
          <cell r="B366" t="str">
            <v>ZAPATAS</v>
          </cell>
          <cell r="C366">
            <v>0</v>
          </cell>
          <cell r="D366">
            <v>0</v>
          </cell>
          <cell r="E366">
            <v>0</v>
          </cell>
          <cell r="F366">
            <v>0</v>
          </cell>
          <cell r="G366">
            <v>0</v>
          </cell>
          <cell r="H366">
            <v>0</v>
          </cell>
          <cell r="I366">
            <v>0</v>
          </cell>
          <cell r="J366">
            <v>0</v>
          </cell>
          <cell r="K366">
            <v>0</v>
          </cell>
          <cell r="L366">
            <v>0</v>
          </cell>
          <cell r="M366">
            <v>0</v>
          </cell>
          <cell r="N366">
            <v>0</v>
          </cell>
          <cell r="O366">
            <v>0</v>
          </cell>
          <cell r="P366">
            <v>0</v>
          </cell>
          <cell r="Q366">
            <v>0</v>
          </cell>
          <cell r="R366">
            <v>0</v>
          </cell>
        </row>
        <row r="367">
          <cell r="A367" t="str">
            <v>06.04.01.01</v>
          </cell>
          <cell r="B367" t="str">
            <v>CONCRETO PARA ZAPATAS F'C=210 KG/CM2</v>
          </cell>
          <cell r="C367" t="str">
            <v>m3</v>
          </cell>
          <cell r="D367">
            <v>18</v>
          </cell>
          <cell r="E367">
            <v>427.63</v>
          </cell>
          <cell r="F367">
            <v>7697.34</v>
          </cell>
          <cell r="G367">
            <v>18</v>
          </cell>
          <cell r="H367">
            <v>7697.34</v>
          </cell>
          <cell r="I367">
            <v>1</v>
          </cell>
          <cell r="J367">
            <v>0</v>
          </cell>
          <cell r="K367">
            <v>0</v>
          </cell>
          <cell r="L367" t="str">
            <v>0.00%</v>
          </cell>
          <cell r="M367">
            <v>18</v>
          </cell>
          <cell r="N367">
            <v>7697.34</v>
          </cell>
          <cell r="O367">
            <v>1</v>
          </cell>
          <cell r="P367">
            <v>0</v>
          </cell>
          <cell r="Q367">
            <v>0</v>
          </cell>
          <cell r="R367" t="str">
            <v>0.00%</v>
          </cell>
        </row>
        <row r="368">
          <cell r="A368" t="str">
            <v>06.04.01.02</v>
          </cell>
          <cell r="B368" t="str">
            <v>ACERO F'Y=4200 KG/CM2 GRADO 60 EN ZAPATAS</v>
          </cell>
          <cell r="C368" t="str">
            <v>kg</v>
          </cell>
          <cell r="D368">
            <v>654.72</v>
          </cell>
          <cell r="E368">
            <v>4.3</v>
          </cell>
          <cell r="F368">
            <v>2815.2959999999998</v>
          </cell>
          <cell r="G368">
            <v>654.72</v>
          </cell>
          <cell r="H368">
            <v>2815.2959999999998</v>
          </cell>
          <cell r="I368">
            <v>1</v>
          </cell>
          <cell r="J368">
            <v>0</v>
          </cell>
          <cell r="K368">
            <v>0</v>
          </cell>
          <cell r="L368" t="str">
            <v>0.00%</v>
          </cell>
          <cell r="M368">
            <v>654.72</v>
          </cell>
          <cell r="N368">
            <v>2815.2959999999998</v>
          </cell>
          <cell r="O368">
            <v>1</v>
          </cell>
          <cell r="P368">
            <v>0</v>
          </cell>
          <cell r="Q368">
            <v>0</v>
          </cell>
          <cell r="R368" t="str">
            <v>0.00%</v>
          </cell>
        </row>
        <row r="369">
          <cell r="A369" t="str">
            <v>06.04.02</v>
          </cell>
          <cell r="B369" t="str">
            <v>VIGAS DE CIMENTACION</v>
          </cell>
          <cell r="C369">
            <v>0</v>
          </cell>
          <cell r="D369">
            <v>0</v>
          </cell>
          <cell r="E369">
            <v>0</v>
          </cell>
          <cell r="F369">
            <v>0</v>
          </cell>
          <cell r="G369">
            <v>0</v>
          </cell>
          <cell r="H369">
            <v>0</v>
          </cell>
          <cell r="I369">
            <v>0</v>
          </cell>
          <cell r="J369">
            <v>0</v>
          </cell>
          <cell r="K369">
            <v>0</v>
          </cell>
          <cell r="L369">
            <v>0</v>
          </cell>
          <cell r="M369">
            <v>0</v>
          </cell>
          <cell r="N369">
            <v>0</v>
          </cell>
          <cell r="O369">
            <v>0</v>
          </cell>
          <cell r="P369">
            <v>0</v>
          </cell>
          <cell r="Q369">
            <v>0</v>
          </cell>
          <cell r="R369">
            <v>0</v>
          </cell>
        </row>
        <row r="370">
          <cell r="A370" t="str">
            <v>06.04.02.01</v>
          </cell>
          <cell r="B370" t="str">
            <v>CONCRETO F'C= 210 KG/CM2 EN VIGAS DE CIMENTACIÓN</v>
          </cell>
          <cell r="C370" t="str">
            <v>m3</v>
          </cell>
          <cell r="D370">
            <v>7.91</v>
          </cell>
          <cell r="E370">
            <v>451</v>
          </cell>
          <cell r="F370">
            <v>3567.41</v>
          </cell>
          <cell r="G370">
            <v>0</v>
          </cell>
          <cell r="H370">
            <v>0</v>
          </cell>
          <cell r="I370" t="str">
            <v>0.00%</v>
          </cell>
          <cell r="J370">
            <v>0</v>
          </cell>
          <cell r="K370">
            <v>0</v>
          </cell>
          <cell r="L370" t="str">
            <v>0.00%</v>
          </cell>
          <cell r="M370">
            <v>0</v>
          </cell>
          <cell r="N370">
            <v>0</v>
          </cell>
          <cell r="O370" t="str">
            <v>0.00%</v>
          </cell>
          <cell r="P370">
            <v>7.91</v>
          </cell>
          <cell r="Q370">
            <v>3567.41</v>
          </cell>
          <cell r="R370">
            <v>1</v>
          </cell>
        </row>
        <row r="371">
          <cell r="A371" t="str">
            <v>06.04.02.02</v>
          </cell>
          <cell r="B371" t="str">
            <v>ACERO F'Y=4200 KG/CM2 GRADO 60 EN VIGAS DE CIMENTACIÓN</v>
          </cell>
          <cell r="C371" t="str">
            <v>kg</v>
          </cell>
          <cell r="D371">
            <v>1001.59</v>
          </cell>
          <cell r="E371">
            <v>4.45</v>
          </cell>
          <cell r="F371">
            <v>4457.0754999999999</v>
          </cell>
          <cell r="G371">
            <v>0</v>
          </cell>
          <cell r="H371">
            <v>0</v>
          </cell>
          <cell r="I371" t="str">
            <v>0.00%</v>
          </cell>
          <cell r="J371">
            <v>1001.59</v>
          </cell>
          <cell r="K371">
            <v>4457.0754999999999</v>
          </cell>
          <cell r="L371">
            <v>1</v>
          </cell>
          <cell r="M371">
            <v>1001.59</v>
          </cell>
          <cell r="N371">
            <v>4457.0754999999999</v>
          </cell>
          <cell r="O371">
            <v>1</v>
          </cell>
          <cell r="P371">
            <v>0</v>
          </cell>
          <cell r="Q371">
            <v>0</v>
          </cell>
          <cell r="R371" t="str">
            <v>0.00%</v>
          </cell>
        </row>
        <row r="372">
          <cell r="A372" t="str">
            <v>06.04.02.03</v>
          </cell>
          <cell r="B372" t="str">
            <v>ENCOFRADO Y DESENCOFRADO DE VIGAS DE CIMENTACIÓN</v>
          </cell>
          <cell r="C372" t="str">
            <v>m2</v>
          </cell>
          <cell r="D372">
            <v>63.29</v>
          </cell>
          <cell r="E372">
            <v>44.69</v>
          </cell>
          <cell r="F372">
            <v>2828.4301</v>
          </cell>
          <cell r="G372">
            <v>0</v>
          </cell>
          <cell r="H372">
            <v>0</v>
          </cell>
          <cell r="I372" t="str">
            <v>0.00%</v>
          </cell>
          <cell r="J372">
            <v>63.29</v>
          </cell>
          <cell r="K372">
            <v>2828.4301</v>
          </cell>
          <cell r="L372">
            <v>1</v>
          </cell>
          <cell r="M372">
            <v>63.29</v>
          </cell>
          <cell r="N372">
            <v>2828.4301</v>
          </cell>
          <cell r="O372">
            <v>1</v>
          </cell>
          <cell r="P372">
            <v>0</v>
          </cell>
          <cell r="Q372">
            <v>0</v>
          </cell>
          <cell r="R372" t="str">
            <v>0.00%</v>
          </cell>
        </row>
        <row r="373">
          <cell r="A373" t="str">
            <v>06.04.03</v>
          </cell>
          <cell r="B373" t="str">
            <v>COLUMNAS</v>
          </cell>
          <cell r="C373">
            <v>0</v>
          </cell>
          <cell r="D373">
            <v>0</v>
          </cell>
          <cell r="E373">
            <v>0</v>
          </cell>
          <cell r="F373">
            <v>0</v>
          </cell>
          <cell r="G373">
            <v>0</v>
          </cell>
          <cell r="H373">
            <v>0</v>
          </cell>
          <cell r="I373">
            <v>0</v>
          </cell>
          <cell r="J373">
            <v>0</v>
          </cell>
          <cell r="K373">
            <v>0</v>
          </cell>
          <cell r="L373">
            <v>0</v>
          </cell>
          <cell r="M373">
            <v>0</v>
          </cell>
          <cell r="N373">
            <v>0</v>
          </cell>
          <cell r="O373">
            <v>0</v>
          </cell>
          <cell r="P373">
            <v>0</v>
          </cell>
          <cell r="Q373">
            <v>0</v>
          </cell>
          <cell r="R373">
            <v>0</v>
          </cell>
        </row>
        <row r="374">
          <cell r="A374" t="str">
            <v>06.04.03.01</v>
          </cell>
          <cell r="B374" t="str">
            <v>CONCRETO EN COLUMNAS F'C=210 KG/CM2</v>
          </cell>
          <cell r="C374" t="str">
            <v>m3</v>
          </cell>
          <cell r="D374">
            <v>13.32</v>
          </cell>
          <cell r="E374">
            <v>521.12</v>
          </cell>
          <cell r="F374">
            <v>6941.3184000000001</v>
          </cell>
          <cell r="G374">
            <v>0</v>
          </cell>
          <cell r="H374">
            <v>0</v>
          </cell>
          <cell r="I374" t="str">
            <v>0.00%</v>
          </cell>
          <cell r="J374">
            <v>0</v>
          </cell>
          <cell r="K374">
            <v>0</v>
          </cell>
          <cell r="L374" t="str">
            <v>0.00%</v>
          </cell>
          <cell r="M374">
            <v>0</v>
          </cell>
          <cell r="N374">
            <v>0</v>
          </cell>
          <cell r="O374" t="str">
            <v>0.00%</v>
          </cell>
          <cell r="P374">
            <v>13.32</v>
          </cell>
          <cell r="Q374">
            <v>6941.3184000000001</v>
          </cell>
          <cell r="R374">
            <v>1</v>
          </cell>
        </row>
        <row r="375">
          <cell r="A375" t="str">
            <v>06.04.03.02</v>
          </cell>
          <cell r="B375" t="str">
            <v>ACERO F'Y=4200 KG/CM2 GRADO 60 EN COLUMNAS</v>
          </cell>
          <cell r="C375" t="str">
            <v>kg</v>
          </cell>
          <cell r="D375">
            <v>1566.4</v>
          </cell>
          <cell r="E375">
            <v>4.5</v>
          </cell>
          <cell r="F375">
            <v>7048.8</v>
          </cell>
          <cell r="G375">
            <v>1566.4</v>
          </cell>
          <cell r="H375">
            <v>7048.8</v>
          </cell>
          <cell r="I375">
            <v>1</v>
          </cell>
          <cell r="J375">
            <v>0</v>
          </cell>
          <cell r="K375">
            <v>0</v>
          </cell>
          <cell r="L375" t="str">
            <v>0.00%</v>
          </cell>
          <cell r="M375">
            <v>1566.4</v>
          </cell>
          <cell r="N375">
            <v>7048.8</v>
          </cell>
          <cell r="O375">
            <v>1</v>
          </cell>
          <cell r="P375">
            <v>0</v>
          </cell>
          <cell r="Q375">
            <v>0</v>
          </cell>
          <cell r="R375" t="str">
            <v>0.00%</v>
          </cell>
        </row>
        <row r="376">
          <cell r="A376" t="str">
            <v>06.04.03.03</v>
          </cell>
          <cell r="B376" t="str">
            <v>ENCOFRADO Y DESENCOFRADO NORMAL EN COLUMNAS</v>
          </cell>
          <cell r="C376" t="str">
            <v>m2</v>
          </cell>
          <cell r="D376">
            <v>116.96</v>
          </cell>
          <cell r="E376">
            <v>49.71</v>
          </cell>
          <cell r="F376">
            <v>5814.0815999999995</v>
          </cell>
          <cell r="G376">
            <v>0</v>
          </cell>
          <cell r="H376">
            <v>0</v>
          </cell>
          <cell r="I376" t="str">
            <v>0.00%</v>
          </cell>
          <cell r="J376">
            <v>0</v>
          </cell>
          <cell r="K376">
            <v>0</v>
          </cell>
          <cell r="L376" t="str">
            <v>0.00%</v>
          </cell>
          <cell r="M376">
            <v>0</v>
          </cell>
          <cell r="N376">
            <v>0</v>
          </cell>
          <cell r="O376" t="str">
            <v>0.00%</v>
          </cell>
          <cell r="P376">
            <v>116.96</v>
          </cell>
          <cell r="Q376">
            <v>5814.0815999999995</v>
          </cell>
          <cell r="R376">
            <v>1</v>
          </cell>
        </row>
        <row r="377">
          <cell r="A377" t="str">
            <v>06.04.04</v>
          </cell>
          <cell r="B377" t="str">
            <v>COLUMNETAS</v>
          </cell>
          <cell r="C377">
            <v>0</v>
          </cell>
          <cell r="D377">
            <v>0</v>
          </cell>
          <cell r="E377">
            <v>0</v>
          </cell>
          <cell r="F377">
            <v>0</v>
          </cell>
          <cell r="G377">
            <v>0</v>
          </cell>
          <cell r="H377">
            <v>0</v>
          </cell>
          <cell r="I377">
            <v>0</v>
          </cell>
          <cell r="J377">
            <v>0</v>
          </cell>
          <cell r="K377">
            <v>0</v>
          </cell>
          <cell r="L377">
            <v>0</v>
          </cell>
          <cell r="M377">
            <v>0</v>
          </cell>
          <cell r="N377">
            <v>0</v>
          </cell>
          <cell r="O377">
            <v>0</v>
          </cell>
          <cell r="P377">
            <v>0</v>
          </cell>
          <cell r="Q377">
            <v>0</v>
          </cell>
          <cell r="R377">
            <v>0</v>
          </cell>
        </row>
        <row r="378">
          <cell r="A378" t="str">
            <v>06.04.04.01</v>
          </cell>
          <cell r="B378" t="str">
            <v>CONCRETO EN COLUMNETAS F'C=210 KG/CM2</v>
          </cell>
          <cell r="C378" t="str">
            <v>m3</v>
          </cell>
          <cell r="D378">
            <v>4.0199999999999996</v>
          </cell>
          <cell r="E378">
            <v>521.12</v>
          </cell>
          <cell r="F378">
            <v>2094.9023999999999</v>
          </cell>
          <cell r="G378">
            <v>0</v>
          </cell>
          <cell r="H378">
            <v>0</v>
          </cell>
          <cell r="I378" t="str">
            <v>0.00%</v>
          </cell>
          <cell r="J378">
            <v>0</v>
          </cell>
          <cell r="K378">
            <v>0</v>
          </cell>
          <cell r="L378" t="str">
            <v>0.00%</v>
          </cell>
          <cell r="M378">
            <v>0</v>
          </cell>
          <cell r="N378">
            <v>0</v>
          </cell>
          <cell r="O378" t="str">
            <v>0.00%</v>
          </cell>
          <cell r="P378">
            <v>4.0199999999999996</v>
          </cell>
          <cell r="Q378">
            <v>2094.9023999999999</v>
          </cell>
          <cell r="R378">
            <v>1</v>
          </cell>
        </row>
        <row r="379">
          <cell r="A379" t="str">
            <v>06.04.04.02</v>
          </cell>
          <cell r="B379" t="str">
            <v>ACERO F'Y=4200 KG/CM2 GRADO 60 EN COLUMNETAS</v>
          </cell>
          <cell r="C379" t="str">
            <v>kg</v>
          </cell>
          <cell r="D379">
            <v>746.27</v>
          </cell>
          <cell r="E379">
            <v>4.4400000000000004</v>
          </cell>
          <cell r="F379">
            <v>3313.4388000000004</v>
          </cell>
          <cell r="G379">
            <v>0</v>
          </cell>
          <cell r="H379">
            <v>0</v>
          </cell>
          <cell r="I379" t="str">
            <v>0.00%</v>
          </cell>
          <cell r="J379">
            <v>0</v>
          </cell>
          <cell r="K379">
            <v>0</v>
          </cell>
          <cell r="L379" t="str">
            <v>0.00%</v>
          </cell>
          <cell r="M379">
            <v>0</v>
          </cell>
          <cell r="N379">
            <v>0</v>
          </cell>
          <cell r="O379" t="str">
            <v>0.00%</v>
          </cell>
          <cell r="P379">
            <v>746.27</v>
          </cell>
          <cell r="Q379">
            <v>3313.4388000000004</v>
          </cell>
          <cell r="R379">
            <v>1</v>
          </cell>
        </row>
        <row r="380">
          <cell r="A380" t="str">
            <v>06.04.04.03</v>
          </cell>
          <cell r="B380" t="str">
            <v>ENCOFRADO Y DESNCOFRADO NORMAL  EN COLUMNETAS</v>
          </cell>
          <cell r="C380" t="str">
            <v>m2</v>
          </cell>
          <cell r="D380">
            <v>85.8</v>
          </cell>
          <cell r="E380">
            <v>49.71</v>
          </cell>
          <cell r="F380">
            <v>4265.1179999999995</v>
          </cell>
          <cell r="G380">
            <v>0</v>
          </cell>
          <cell r="H380">
            <v>0</v>
          </cell>
          <cell r="I380" t="str">
            <v>0.00%</v>
          </cell>
          <cell r="J380">
            <v>0</v>
          </cell>
          <cell r="K380">
            <v>0</v>
          </cell>
          <cell r="L380" t="str">
            <v>0.00%</v>
          </cell>
          <cell r="M380">
            <v>0</v>
          </cell>
          <cell r="N380">
            <v>0</v>
          </cell>
          <cell r="O380" t="str">
            <v>0.00%</v>
          </cell>
          <cell r="P380">
            <v>85.8</v>
          </cell>
          <cell r="Q380">
            <v>4265.1179999999995</v>
          </cell>
          <cell r="R380">
            <v>1</v>
          </cell>
        </row>
        <row r="381">
          <cell r="A381" t="str">
            <v>06.04.05</v>
          </cell>
          <cell r="B381" t="str">
            <v>VIGAS</v>
          </cell>
          <cell r="C381">
            <v>0</v>
          </cell>
          <cell r="D381">
            <v>0</v>
          </cell>
          <cell r="E381">
            <v>0</v>
          </cell>
          <cell r="F381">
            <v>0</v>
          </cell>
          <cell r="G381">
            <v>0</v>
          </cell>
          <cell r="H381">
            <v>0</v>
          </cell>
          <cell r="I381">
            <v>0</v>
          </cell>
          <cell r="J381">
            <v>0</v>
          </cell>
          <cell r="K381">
            <v>0</v>
          </cell>
          <cell r="L381">
            <v>0</v>
          </cell>
          <cell r="M381">
            <v>0</v>
          </cell>
          <cell r="N381">
            <v>0</v>
          </cell>
          <cell r="O381">
            <v>0</v>
          </cell>
          <cell r="P381">
            <v>0</v>
          </cell>
          <cell r="Q381">
            <v>0</v>
          </cell>
          <cell r="R381">
            <v>0</v>
          </cell>
        </row>
        <row r="382">
          <cell r="A382" t="str">
            <v>06.04.05.01</v>
          </cell>
          <cell r="B382" t="str">
            <v>CONCRETO EN VIGAS F'C=210 KG/CM2</v>
          </cell>
          <cell r="C382" t="str">
            <v>m3</v>
          </cell>
          <cell r="D382">
            <v>17.75</v>
          </cell>
          <cell r="E382">
            <v>486.07</v>
          </cell>
          <cell r="F382">
            <v>8627.7425000000003</v>
          </cell>
          <cell r="G382">
            <v>0</v>
          </cell>
          <cell r="H382">
            <v>0</v>
          </cell>
          <cell r="I382" t="str">
            <v>0.00%</v>
          </cell>
          <cell r="J382">
            <v>0</v>
          </cell>
          <cell r="K382">
            <v>0</v>
          </cell>
          <cell r="L382" t="str">
            <v>0.00%</v>
          </cell>
          <cell r="M382">
            <v>0</v>
          </cell>
          <cell r="N382">
            <v>0</v>
          </cell>
          <cell r="O382" t="str">
            <v>0.00%</v>
          </cell>
          <cell r="P382">
            <v>17.75</v>
          </cell>
          <cell r="Q382">
            <v>8627.7425000000003</v>
          </cell>
          <cell r="R382">
            <v>1</v>
          </cell>
        </row>
        <row r="383">
          <cell r="A383" t="str">
            <v>06.04.05.02</v>
          </cell>
          <cell r="B383" t="str">
            <v>ACERO F'Y=4200 KG/CM2 GRADO 60 EN VIGAS</v>
          </cell>
          <cell r="C383" t="str">
            <v>kg</v>
          </cell>
          <cell r="D383">
            <v>1666.32</v>
          </cell>
          <cell r="E383">
            <v>4.5</v>
          </cell>
          <cell r="F383">
            <v>7498.44</v>
          </cell>
          <cell r="G383">
            <v>0</v>
          </cell>
          <cell r="H383">
            <v>0</v>
          </cell>
          <cell r="I383" t="str">
            <v>0.00%</v>
          </cell>
          <cell r="J383">
            <v>0</v>
          </cell>
          <cell r="K383">
            <v>0</v>
          </cell>
          <cell r="L383" t="str">
            <v>0.00%</v>
          </cell>
          <cell r="M383">
            <v>0</v>
          </cell>
          <cell r="N383">
            <v>0</v>
          </cell>
          <cell r="O383" t="str">
            <v>0.00%</v>
          </cell>
          <cell r="P383">
            <v>1666.32</v>
          </cell>
          <cell r="Q383">
            <v>7498.44</v>
          </cell>
          <cell r="R383">
            <v>1</v>
          </cell>
        </row>
        <row r="384">
          <cell r="A384" t="str">
            <v>06.04.05.03</v>
          </cell>
          <cell r="B384" t="str">
            <v>ENCOFRADO Y DESNCOFRADO NORMAL EN VIGAS</v>
          </cell>
          <cell r="C384" t="str">
            <v>m2</v>
          </cell>
          <cell r="D384">
            <v>319.38</v>
          </cell>
          <cell r="E384">
            <v>54.02</v>
          </cell>
          <cell r="F384">
            <v>17252.907600000002</v>
          </cell>
          <cell r="G384">
            <v>0</v>
          </cell>
          <cell r="H384">
            <v>0</v>
          </cell>
          <cell r="I384" t="str">
            <v>0.00%</v>
          </cell>
          <cell r="J384">
            <v>0</v>
          </cell>
          <cell r="K384">
            <v>0</v>
          </cell>
          <cell r="L384" t="str">
            <v>0.00%</v>
          </cell>
          <cell r="M384">
            <v>0</v>
          </cell>
          <cell r="N384">
            <v>0</v>
          </cell>
          <cell r="O384" t="str">
            <v>0.00%</v>
          </cell>
          <cell r="P384">
            <v>319.38</v>
          </cell>
          <cell r="Q384">
            <v>17252.907600000002</v>
          </cell>
          <cell r="R384">
            <v>1</v>
          </cell>
        </row>
        <row r="385">
          <cell r="A385" t="str">
            <v>06.04.06</v>
          </cell>
          <cell r="B385" t="str">
            <v>VIGUETAS DE VANOS</v>
          </cell>
          <cell r="C385">
            <v>0</v>
          </cell>
          <cell r="D385">
            <v>0</v>
          </cell>
          <cell r="E385">
            <v>0</v>
          </cell>
          <cell r="F385">
            <v>0</v>
          </cell>
          <cell r="G385">
            <v>0</v>
          </cell>
          <cell r="H385">
            <v>0</v>
          </cell>
          <cell r="I385">
            <v>0</v>
          </cell>
          <cell r="J385">
            <v>0</v>
          </cell>
          <cell r="K385">
            <v>0</v>
          </cell>
          <cell r="L385">
            <v>0</v>
          </cell>
          <cell r="M385">
            <v>0</v>
          </cell>
          <cell r="N385">
            <v>0</v>
          </cell>
          <cell r="O385">
            <v>0</v>
          </cell>
          <cell r="P385">
            <v>0</v>
          </cell>
          <cell r="Q385">
            <v>0</v>
          </cell>
          <cell r="R385">
            <v>0</v>
          </cell>
        </row>
        <row r="386">
          <cell r="A386" t="str">
            <v>06.04.06.01</v>
          </cell>
          <cell r="B386" t="str">
            <v>CONCRETO EN VIGUETAS DE VANO F'C=175 KG/CM2</v>
          </cell>
          <cell r="C386" t="str">
            <v>m3</v>
          </cell>
          <cell r="D386">
            <v>2.14</v>
          </cell>
          <cell r="E386">
            <v>271.35000000000002</v>
          </cell>
          <cell r="F386">
            <v>580.68900000000008</v>
          </cell>
          <cell r="G386">
            <v>0</v>
          </cell>
          <cell r="H386">
            <v>0</v>
          </cell>
          <cell r="I386" t="str">
            <v>0.00%</v>
          </cell>
          <cell r="J386">
            <v>0</v>
          </cell>
          <cell r="K386">
            <v>0</v>
          </cell>
          <cell r="L386" t="str">
            <v>0.00%</v>
          </cell>
          <cell r="M386">
            <v>0</v>
          </cell>
          <cell r="N386">
            <v>0</v>
          </cell>
          <cell r="O386" t="str">
            <v>0.00%</v>
          </cell>
          <cell r="P386">
            <v>2.14</v>
          </cell>
          <cell r="Q386">
            <v>580.68900000000008</v>
          </cell>
          <cell r="R386">
            <v>1</v>
          </cell>
        </row>
        <row r="387">
          <cell r="A387" t="str">
            <v>06.04.06.02</v>
          </cell>
          <cell r="B387" t="str">
            <v>ACERO GRADO 60 EN VIGUETAS DE VANO</v>
          </cell>
          <cell r="C387" t="str">
            <v>kg</v>
          </cell>
          <cell r="D387">
            <v>181.28</v>
          </cell>
          <cell r="E387">
            <v>4.5</v>
          </cell>
          <cell r="F387">
            <v>815.76</v>
          </cell>
          <cell r="G387">
            <v>0</v>
          </cell>
          <cell r="H387">
            <v>0</v>
          </cell>
          <cell r="I387" t="str">
            <v>0.00%</v>
          </cell>
          <cell r="J387">
            <v>0</v>
          </cell>
          <cell r="K387">
            <v>0</v>
          </cell>
          <cell r="L387" t="str">
            <v>0.00%</v>
          </cell>
          <cell r="M387">
            <v>0</v>
          </cell>
          <cell r="N387">
            <v>0</v>
          </cell>
          <cell r="O387" t="str">
            <v>0.00%</v>
          </cell>
          <cell r="P387">
            <v>181.28</v>
          </cell>
          <cell r="Q387">
            <v>815.76</v>
          </cell>
          <cell r="R387">
            <v>1</v>
          </cell>
        </row>
        <row r="388">
          <cell r="A388" t="str">
            <v>06.04.06.03</v>
          </cell>
          <cell r="B388" t="str">
            <v>ENCOFRADO Y DESENCOFRADO EN VIGUETAS DE VANO</v>
          </cell>
          <cell r="C388" t="str">
            <v>m2</v>
          </cell>
          <cell r="D388">
            <v>31.42</v>
          </cell>
          <cell r="E388">
            <v>41.63</v>
          </cell>
          <cell r="F388">
            <v>1308.0146000000002</v>
          </cell>
          <cell r="G388">
            <v>0</v>
          </cell>
          <cell r="H388">
            <v>0</v>
          </cell>
          <cell r="I388" t="str">
            <v>0.00%</v>
          </cell>
          <cell r="J388">
            <v>0</v>
          </cell>
          <cell r="K388">
            <v>0</v>
          </cell>
          <cell r="L388" t="str">
            <v>0.00%</v>
          </cell>
          <cell r="M388">
            <v>0</v>
          </cell>
          <cell r="N388">
            <v>0</v>
          </cell>
          <cell r="O388" t="str">
            <v>0.00%</v>
          </cell>
          <cell r="P388">
            <v>31.42</v>
          </cell>
          <cell r="Q388">
            <v>1308.0146000000002</v>
          </cell>
          <cell r="R388">
            <v>1</v>
          </cell>
        </row>
        <row r="389">
          <cell r="A389" t="str">
            <v>06.04.07</v>
          </cell>
          <cell r="B389" t="str">
            <v>LOSAS ALIGERADAS</v>
          </cell>
          <cell r="C389">
            <v>0</v>
          </cell>
          <cell r="D389">
            <v>0</v>
          </cell>
          <cell r="E389">
            <v>0</v>
          </cell>
          <cell r="F389">
            <v>0</v>
          </cell>
          <cell r="G389">
            <v>0</v>
          </cell>
          <cell r="H389">
            <v>0</v>
          </cell>
          <cell r="I389">
            <v>0</v>
          </cell>
          <cell r="J389">
            <v>0</v>
          </cell>
          <cell r="K389">
            <v>0</v>
          </cell>
          <cell r="L389">
            <v>0</v>
          </cell>
          <cell r="M389">
            <v>0</v>
          </cell>
          <cell r="N389">
            <v>0</v>
          </cell>
          <cell r="O389">
            <v>0</v>
          </cell>
          <cell r="P389">
            <v>0</v>
          </cell>
          <cell r="Q389">
            <v>0</v>
          </cell>
          <cell r="R389">
            <v>0</v>
          </cell>
        </row>
        <row r="390">
          <cell r="A390" t="str">
            <v>06.04.07.01</v>
          </cell>
          <cell r="B390" t="str">
            <v>CONCRETO EN LOSAS ALIGERADAS F'C=210 KG/CM2</v>
          </cell>
          <cell r="C390" t="str">
            <v>m3</v>
          </cell>
          <cell r="D390">
            <v>20.45</v>
          </cell>
          <cell r="E390">
            <v>487.24</v>
          </cell>
          <cell r="F390">
            <v>9964.0579999999991</v>
          </cell>
          <cell r="G390">
            <v>0</v>
          </cell>
          <cell r="H390">
            <v>0</v>
          </cell>
          <cell r="I390" t="str">
            <v>0.00%</v>
          </cell>
          <cell r="J390">
            <v>0</v>
          </cell>
          <cell r="K390">
            <v>0</v>
          </cell>
          <cell r="L390" t="str">
            <v>0.00%</v>
          </cell>
          <cell r="M390">
            <v>0</v>
          </cell>
          <cell r="N390">
            <v>0</v>
          </cell>
          <cell r="O390" t="str">
            <v>0.00%</v>
          </cell>
          <cell r="P390">
            <v>20.45</v>
          </cell>
          <cell r="Q390">
            <v>9964.0579999999991</v>
          </cell>
          <cell r="R390">
            <v>1</v>
          </cell>
        </row>
        <row r="391">
          <cell r="A391" t="str">
            <v>06.04.07.02</v>
          </cell>
          <cell r="B391" t="str">
            <v>ACERO F'Y=4200 KG/CM2 GRADO 60 EN LOSAS ALIGERADAS</v>
          </cell>
          <cell r="C391" t="str">
            <v>kg</v>
          </cell>
          <cell r="D391">
            <v>1086.83</v>
          </cell>
          <cell r="E391">
            <v>4.5</v>
          </cell>
          <cell r="F391">
            <v>4890.7349999999997</v>
          </cell>
          <cell r="G391">
            <v>0</v>
          </cell>
          <cell r="H391">
            <v>0</v>
          </cell>
          <cell r="I391" t="str">
            <v>0.00%</v>
          </cell>
          <cell r="J391">
            <v>0</v>
          </cell>
          <cell r="K391">
            <v>0</v>
          </cell>
          <cell r="L391" t="str">
            <v>0.00%</v>
          </cell>
          <cell r="M391">
            <v>0</v>
          </cell>
          <cell r="N391">
            <v>0</v>
          </cell>
          <cell r="O391" t="str">
            <v>0.00%</v>
          </cell>
          <cell r="P391">
            <v>1086.83</v>
          </cell>
          <cell r="Q391">
            <v>4890.7349999999997</v>
          </cell>
          <cell r="R391">
            <v>1</v>
          </cell>
        </row>
        <row r="392">
          <cell r="A392" t="str">
            <v>06.04.07.03</v>
          </cell>
          <cell r="B392" t="str">
            <v>ENCOFRADO Y DESENCOFRADO NORMAL EN LOSAS ALIGERADAS</v>
          </cell>
          <cell r="C392" t="str">
            <v>m2</v>
          </cell>
          <cell r="D392">
            <v>259.22000000000003</v>
          </cell>
          <cell r="E392">
            <v>29.08</v>
          </cell>
          <cell r="F392">
            <v>7538.1176000000005</v>
          </cell>
          <cell r="G392">
            <v>0</v>
          </cell>
          <cell r="H392">
            <v>0</v>
          </cell>
          <cell r="I392" t="str">
            <v>0.00%</v>
          </cell>
          <cell r="J392">
            <v>0</v>
          </cell>
          <cell r="K392">
            <v>0</v>
          </cell>
          <cell r="L392" t="str">
            <v>0.00%</v>
          </cell>
          <cell r="M392">
            <v>0</v>
          </cell>
          <cell r="N392">
            <v>0</v>
          </cell>
          <cell r="O392" t="str">
            <v>0.00%</v>
          </cell>
          <cell r="P392">
            <v>259.22000000000003</v>
          </cell>
          <cell r="Q392">
            <v>7538.1176000000005</v>
          </cell>
          <cell r="R392">
            <v>1</v>
          </cell>
        </row>
        <row r="393">
          <cell r="A393" t="str">
            <v>06.04.07.04</v>
          </cell>
          <cell r="B393" t="str">
            <v>LADRILLO DE ARCILLA HUECO 15X30X30 PARA TECHO</v>
          </cell>
          <cell r="C393" t="str">
            <v>und</v>
          </cell>
          <cell r="D393">
            <v>2770.11</v>
          </cell>
          <cell r="E393">
            <v>4.66</v>
          </cell>
          <cell r="F393">
            <v>12908.712600000001</v>
          </cell>
          <cell r="G393">
            <v>0</v>
          </cell>
          <cell r="H393">
            <v>0</v>
          </cell>
          <cell r="I393" t="str">
            <v>0.00%</v>
          </cell>
          <cell r="J393">
            <v>0</v>
          </cell>
          <cell r="K393">
            <v>0</v>
          </cell>
          <cell r="L393" t="str">
            <v>0.00%</v>
          </cell>
          <cell r="M393">
            <v>0</v>
          </cell>
          <cell r="N393">
            <v>0</v>
          </cell>
          <cell r="O393" t="str">
            <v>0.00%</v>
          </cell>
          <cell r="P393">
            <v>2770.11</v>
          </cell>
          <cell r="Q393">
            <v>12908.712600000001</v>
          </cell>
          <cell r="R393">
            <v>1</v>
          </cell>
        </row>
        <row r="394">
          <cell r="A394" t="str">
            <v>06.04.08</v>
          </cell>
          <cell r="B394" t="str">
            <v>PLACAS</v>
          </cell>
          <cell r="C394">
            <v>0</v>
          </cell>
          <cell r="D394">
            <v>0</v>
          </cell>
          <cell r="E394">
            <v>0</v>
          </cell>
          <cell r="F394">
            <v>0</v>
          </cell>
          <cell r="G394">
            <v>0</v>
          </cell>
          <cell r="H394">
            <v>0</v>
          </cell>
          <cell r="I394">
            <v>0</v>
          </cell>
          <cell r="J394">
            <v>0</v>
          </cell>
          <cell r="K394">
            <v>0</v>
          </cell>
          <cell r="L394">
            <v>0</v>
          </cell>
          <cell r="M394">
            <v>0</v>
          </cell>
          <cell r="N394">
            <v>0</v>
          </cell>
          <cell r="O394">
            <v>0</v>
          </cell>
          <cell r="P394">
            <v>0</v>
          </cell>
          <cell r="Q394">
            <v>0</v>
          </cell>
          <cell r="R394">
            <v>0</v>
          </cell>
        </row>
        <row r="395">
          <cell r="A395" t="str">
            <v>06.04.08.01</v>
          </cell>
          <cell r="B395" t="str">
            <v>CONCRETO EN PLACAS F'C= 210 KG/CM2</v>
          </cell>
          <cell r="C395" t="str">
            <v>m3</v>
          </cell>
          <cell r="D395">
            <v>23.84</v>
          </cell>
          <cell r="E395">
            <v>547.66</v>
          </cell>
          <cell r="F395">
            <v>13056.214399999999</v>
          </cell>
          <cell r="G395">
            <v>0</v>
          </cell>
          <cell r="H395">
            <v>0</v>
          </cell>
          <cell r="I395" t="str">
            <v>0.00%</v>
          </cell>
          <cell r="J395">
            <v>12</v>
          </cell>
          <cell r="K395">
            <v>6571.92</v>
          </cell>
          <cell r="L395">
            <v>0.50335570469798663</v>
          </cell>
          <cell r="M395">
            <v>12</v>
          </cell>
          <cell r="N395">
            <v>6571.92</v>
          </cell>
          <cell r="O395">
            <v>0.50335570469798663</v>
          </cell>
          <cell r="P395">
            <v>11.84</v>
          </cell>
          <cell r="Q395">
            <v>6484.2943999999989</v>
          </cell>
          <cell r="R395">
            <v>0.49664429530201337</v>
          </cell>
        </row>
        <row r="396">
          <cell r="A396" t="str">
            <v>06.04.08.02</v>
          </cell>
          <cell r="B396" t="str">
            <v>ACERO F'Y=4200 KG/CM2 EN PLACAS</v>
          </cell>
          <cell r="C396" t="str">
            <v>kg</v>
          </cell>
          <cell r="D396">
            <v>2863</v>
          </cell>
          <cell r="E396">
            <v>4.04</v>
          </cell>
          <cell r="F396">
            <v>11566.52</v>
          </cell>
          <cell r="G396">
            <v>618.85599999999999</v>
          </cell>
          <cell r="H396">
            <v>2500.1782400000002</v>
          </cell>
          <cell r="I396">
            <v>0.21615647921760392</v>
          </cell>
          <cell r="J396">
            <v>1121.904</v>
          </cell>
          <cell r="K396">
            <v>4532.4921599999998</v>
          </cell>
          <cell r="L396">
            <v>0.39186308068459652</v>
          </cell>
          <cell r="M396">
            <v>1740.76</v>
          </cell>
          <cell r="N396">
            <v>7032.6704</v>
          </cell>
          <cell r="O396">
            <v>0.60801955990220047</v>
          </cell>
          <cell r="P396">
            <v>1122.24</v>
          </cell>
          <cell r="Q396">
            <v>4533.8496000000005</v>
          </cell>
          <cell r="R396">
            <v>0.39198044009779953</v>
          </cell>
        </row>
        <row r="397">
          <cell r="A397" t="str">
            <v>06.04.08.03</v>
          </cell>
          <cell r="B397" t="str">
            <v>ENCOFRADO Y DESENCOF EN PLACAS</v>
          </cell>
          <cell r="C397" t="str">
            <v>m2</v>
          </cell>
          <cell r="D397">
            <v>150.4</v>
          </cell>
          <cell r="E397">
            <v>38.049999999999997</v>
          </cell>
          <cell r="F397">
            <v>5722.7199999999993</v>
          </cell>
          <cell r="G397">
            <v>12.8</v>
          </cell>
          <cell r="H397">
            <v>487.03999999999996</v>
          </cell>
          <cell r="I397">
            <v>8.5106382978723402E-2</v>
          </cell>
          <cell r="J397">
            <v>67.2</v>
          </cell>
          <cell r="K397">
            <v>2556.96</v>
          </cell>
          <cell r="L397">
            <v>0.44680851063829791</v>
          </cell>
          <cell r="M397">
            <v>80</v>
          </cell>
          <cell r="N397">
            <v>3044</v>
          </cell>
          <cell r="O397">
            <v>0.53191489361702138</v>
          </cell>
          <cell r="P397">
            <v>70.400000000000006</v>
          </cell>
          <cell r="Q397">
            <v>2678.7199999999993</v>
          </cell>
          <cell r="R397">
            <v>0.46808510638297868</v>
          </cell>
        </row>
        <row r="398">
          <cell r="A398" t="str">
            <v>06.04.09</v>
          </cell>
          <cell r="B398" t="str">
            <v>CUNETA DE  EVACUACION PLUVIAL EN TECHO</v>
          </cell>
          <cell r="C398">
            <v>0</v>
          </cell>
          <cell r="D398">
            <v>0</v>
          </cell>
          <cell r="E398">
            <v>0</v>
          </cell>
          <cell r="F398">
            <v>0</v>
          </cell>
          <cell r="G398">
            <v>0</v>
          </cell>
          <cell r="H398">
            <v>0</v>
          </cell>
          <cell r="I398">
            <v>0</v>
          </cell>
          <cell r="J398">
            <v>0</v>
          </cell>
          <cell r="K398">
            <v>0</v>
          </cell>
          <cell r="L398">
            <v>0</v>
          </cell>
          <cell r="M398">
            <v>0</v>
          </cell>
          <cell r="N398">
            <v>0</v>
          </cell>
          <cell r="O398">
            <v>0</v>
          </cell>
          <cell r="P398">
            <v>0</v>
          </cell>
          <cell r="Q398">
            <v>0</v>
          </cell>
          <cell r="R398">
            <v>0</v>
          </cell>
        </row>
        <row r="399">
          <cell r="A399" t="str">
            <v>06.04.09.01</v>
          </cell>
          <cell r="B399" t="str">
            <v>CONCRETO EN CUNETA F'C= 210 KG/CM2</v>
          </cell>
          <cell r="C399" t="str">
            <v>m3</v>
          </cell>
          <cell r="D399">
            <v>0.96</v>
          </cell>
          <cell r="E399">
            <v>482.39</v>
          </cell>
          <cell r="F399">
            <v>463.09439999999995</v>
          </cell>
          <cell r="G399">
            <v>0</v>
          </cell>
          <cell r="H399">
            <v>0</v>
          </cell>
          <cell r="I399" t="str">
            <v>0.00%</v>
          </cell>
          <cell r="J399">
            <v>0</v>
          </cell>
          <cell r="K399">
            <v>0</v>
          </cell>
          <cell r="L399" t="str">
            <v>0.00%</v>
          </cell>
          <cell r="M399">
            <v>0</v>
          </cell>
          <cell r="N399">
            <v>0</v>
          </cell>
          <cell r="O399" t="str">
            <v>0.00%</v>
          </cell>
          <cell r="P399">
            <v>0.96</v>
          </cell>
          <cell r="Q399">
            <v>463.09439999999995</v>
          </cell>
          <cell r="R399">
            <v>1</v>
          </cell>
        </row>
        <row r="400">
          <cell r="A400" t="str">
            <v>06.04.09.02</v>
          </cell>
          <cell r="B400" t="str">
            <v>ACERO F'Y=4200 KG/CM2 GRADO 60 EN CUNETA</v>
          </cell>
          <cell r="C400" t="str">
            <v>kg</v>
          </cell>
          <cell r="D400">
            <v>87.6</v>
          </cell>
          <cell r="E400">
            <v>4.4400000000000004</v>
          </cell>
          <cell r="F400">
            <v>388.94400000000002</v>
          </cell>
          <cell r="G400">
            <v>0</v>
          </cell>
          <cell r="H400">
            <v>0</v>
          </cell>
          <cell r="I400" t="str">
            <v>0.00%</v>
          </cell>
          <cell r="J400">
            <v>0</v>
          </cell>
          <cell r="K400">
            <v>0</v>
          </cell>
          <cell r="L400" t="str">
            <v>0.00%</v>
          </cell>
          <cell r="M400">
            <v>0</v>
          </cell>
          <cell r="N400">
            <v>0</v>
          </cell>
          <cell r="O400" t="str">
            <v>0.00%</v>
          </cell>
          <cell r="P400">
            <v>87.6</v>
          </cell>
          <cell r="Q400">
            <v>388.94400000000002</v>
          </cell>
          <cell r="R400">
            <v>1</v>
          </cell>
        </row>
        <row r="401">
          <cell r="A401" t="str">
            <v>06.04.09.03</v>
          </cell>
          <cell r="B401" t="str">
            <v>ENCOFRADO Y DESENCOFRADO NORMAL EN CUNETAS</v>
          </cell>
          <cell r="C401" t="str">
            <v>m2</v>
          </cell>
          <cell r="D401">
            <v>19.260000000000002</v>
          </cell>
          <cell r="E401">
            <v>44.85</v>
          </cell>
          <cell r="F401">
            <v>863.81100000000015</v>
          </cell>
          <cell r="G401">
            <v>0</v>
          </cell>
          <cell r="H401">
            <v>0</v>
          </cell>
          <cell r="I401" t="str">
            <v>0.00%</v>
          </cell>
          <cell r="J401">
            <v>0</v>
          </cell>
          <cell r="K401">
            <v>0</v>
          </cell>
          <cell r="L401" t="str">
            <v>0.00%</v>
          </cell>
          <cell r="M401">
            <v>0</v>
          </cell>
          <cell r="N401">
            <v>0</v>
          </cell>
          <cell r="O401" t="str">
            <v>0.00%</v>
          </cell>
          <cell r="P401">
            <v>19.260000000000002</v>
          </cell>
          <cell r="Q401">
            <v>863.81100000000015</v>
          </cell>
          <cell r="R401">
            <v>1</v>
          </cell>
        </row>
        <row r="402">
          <cell r="A402" t="str">
            <v>06.05</v>
          </cell>
          <cell r="B402" t="str">
            <v>JUNTAS DE CONSTRUCCION</v>
          </cell>
          <cell r="C402">
            <v>0</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row>
        <row r="403">
          <cell r="A403" t="str">
            <v>06.05.01</v>
          </cell>
          <cell r="B403" t="str">
            <v>JUNTAS DE TEKNOPOR DE  1"</v>
          </cell>
          <cell r="C403" t="str">
            <v>m</v>
          </cell>
          <cell r="D403">
            <v>9.6</v>
          </cell>
          <cell r="E403">
            <v>9.0500000000000007</v>
          </cell>
          <cell r="F403">
            <v>86.88000000000001</v>
          </cell>
          <cell r="G403">
            <v>0</v>
          </cell>
          <cell r="H403">
            <v>0</v>
          </cell>
          <cell r="I403" t="str">
            <v>0.00%</v>
          </cell>
          <cell r="J403">
            <v>0</v>
          </cell>
          <cell r="K403">
            <v>0</v>
          </cell>
          <cell r="L403" t="str">
            <v>0.00%</v>
          </cell>
          <cell r="M403">
            <v>0</v>
          </cell>
          <cell r="N403">
            <v>0</v>
          </cell>
          <cell r="O403" t="str">
            <v>0.00%</v>
          </cell>
          <cell r="P403">
            <v>9.6</v>
          </cell>
          <cell r="Q403">
            <v>86.88000000000001</v>
          </cell>
          <cell r="R403">
            <v>1</v>
          </cell>
        </row>
        <row r="404">
          <cell r="A404" t="str">
            <v>06.06</v>
          </cell>
          <cell r="B404" t="str">
            <v>PRUEBAS</v>
          </cell>
          <cell r="C404">
            <v>0</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row>
        <row r="405">
          <cell r="A405" t="str">
            <v>06.06.01</v>
          </cell>
          <cell r="B405" t="str">
            <v>PRUEBA DE CALIDAD DEL CONCRETO (PRUEBA A LA COMPRESION)</v>
          </cell>
          <cell r="C405" t="str">
            <v>und</v>
          </cell>
          <cell r="D405">
            <v>5</v>
          </cell>
          <cell r="E405">
            <v>40</v>
          </cell>
          <cell r="F405">
            <v>200</v>
          </cell>
          <cell r="G405">
            <v>0</v>
          </cell>
          <cell r="H405">
            <v>0</v>
          </cell>
          <cell r="I405" t="str">
            <v>0.00%</v>
          </cell>
          <cell r="J405">
            <v>0</v>
          </cell>
          <cell r="K405">
            <v>0</v>
          </cell>
          <cell r="L405" t="str">
            <v>0.00%</v>
          </cell>
          <cell r="M405">
            <v>0</v>
          </cell>
          <cell r="N405">
            <v>0</v>
          </cell>
          <cell r="O405" t="str">
            <v>0.00%</v>
          </cell>
          <cell r="P405">
            <v>5</v>
          </cell>
          <cell r="Q405">
            <v>200</v>
          </cell>
          <cell r="R405">
            <v>1</v>
          </cell>
        </row>
        <row r="406">
          <cell r="A406" t="str">
            <v>07</v>
          </cell>
          <cell r="B406" t="str">
            <v>OBRAS EXTERIORES</v>
          </cell>
          <cell r="C406">
            <v>0</v>
          </cell>
          <cell r="D406">
            <v>0</v>
          </cell>
          <cell r="E406">
            <v>0</v>
          </cell>
          <cell r="F406">
            <v>0</v>
          </cell>
          <cell r="G406">
            <v>0</v>
          </cell>
          <cell r="H406">
            <v>0</v>
          </cell>
          <cell r="I406">
            <v>0</v>
          </cell>
          <cell r="J406">
            <v>0</v>
          </cell>
          <cell r="K406">
            <v>0</v>
          </cell>
          <cell r="L406">
            <v>0</v>
          </cell>
          <cell r="M406">
            <v>0</v>
          </cell>
          <cell r="N406">
            <v>0</v>
          </cell>
          <cell r="O406">
            <v>0</v>
          </cell>
          <cell r="P406">
            <v>0</v>
          </cell>
          <cell r="Q406">
            <v>0</v>
          </cell>
          <cell r="R406">
            <v>0</v>
          </cell>
        </row>
        <row r="407">
          <cell r="A407" t="str">
            <v>07.01</v>
          </cell>
          <cell r="B407" t="str">
            <v>LOSA DEPORTIVA</v>
          </cell>
          <cell r="C407">
            <v>0</v>
          </cell>
          <cell r="D407">
            <v>0</v>
          </cell>
          <cell r="E407">
            <v>0</v>
          </cell>
          <cell r="F407">
            <v>0</v>
          </cell>
          <cell r="G407">
            <v>0</v>
          </cell>
          <cell r="H407">
            <v>0</v>
          </cell>
          <cell r="I407">
            <v>0</v>
          </cell>
          <cell r="J407">
            <v>0</v>
          </cell>
          <cell r="K407">
            <v>0</v>
          </cell>
          <cell r="L407">
            <v>0</v>
          </cell>
          <cell r="M407">
            <v>0</v>
          </cell>
          <cell r="N407">
            <v>0</v>
          </cell>
          <cell r="O407">
            <v>0</v>
          </cell>
          <cell r="P407">
            <v>0</v>
          </cell>
          <cell r="Q407">
            <v>0</v>
          </cell>
          <cell r="R407">
            <v>0</v>
          </cell>
        </row>
        <row r="408">
          <cell r="A408" t="str">
            <v>07.01.01</v>
          </cell>
          <cell r="B408" t="str">
            <v>TRABAJOS PRELIMINARES</v>
          </cell>
          <cell r="C408">
            <v>0</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row>
        <row r="409">
          <cell r="A409" t="str">
            <v>07.01.01.01</v>
          </cell>
          <cell r="B409" t="str">
            <v>LIMPIEZA DE TERRENO MANUAL</v>
          </cell>
          <cell r="C409" t="str">
            <v>m2</v>
          </cell>
          <cell r="D409">
            <v>243.49</v>
          </cell>
          <cell r="E409">
            <v>1.0900000000000001</v>
          </cell>
          <cell r="F409">
            <v>265.40410000000003</v>
          </cell>
          <cell r="G409">
            <v>0</v>
          </cell>
          <cell r="H409">
            <v>0</v>
          </cell>
          <cell r="I409" t="str">
            <v>0.00%</v>
          </cell>
          <cell r="J409">
            <v>0</v>
          </cell>
          <cell r="K409">
            <v>0</v>
          </cell>
          <cell r="L409" t="str">
            <v>0.00%</v>
          </cell>
          <cell r="M409">
            <v>0</v>
          </cell>
          <cell r="N409">
            <v>0</v>
          </cell>
          <cell r="O409" t="str">
            <v>0.00%</v>
          </cell>
          <cell r="P409">
            <v>243.49</v>
          </cell>
          <cell r="Q409">
            <v>265.40410000000003</v>
          </cell>
          <cell r="R409">
            <v>1</v>
          </cell>
        </row>
        <row r="410">
          <cell r="A410" t="str">
            <v>07.01.01.02</v>
          </cell>
          <cell r="B410" t="str">
            <v>TRAZO DURANTE LA EJECUCION DE LA OBRA</v>
          </cell>
          <cell r="C410" t="str">
            <v>m2</v>
          </cell>
          <cell r="D410">
            <v>243.49</v>
          </cell>
          <cell r="E410">
            <v>3.49</v>
          </cell>
          <cell r="F410">
            <v>849.78010000000006</v>
          </cell>
          <cell r="G410">
            <v>0</v>
          </cell>
          <cell r="H410">
            <v>0</v>
          </cell>
          <cell r="I410" t="str">
            <v>0.00%</v>
          </cell>
          <cell r="J410">
            <v>0</v>
          </cell>
          <cell r="K410">
            <v>0</v>
          </cell>
          <cell r="L410" t="str">
            <v>0.00%</v>
          </cell>
          <cell r="M410">
            <v>0</v>
          </cell>
          <cell r="N410">
            <v>0</v>
          </cell>
          <cell r="O410" t="str">
            <v>0.00%</v>
          </cell>
          <cell r="P410">
            <v>243.49</v>
          </cell>
          <cell r="Q410">
            <v>849.78010000000006</v>
          </cell>
          <cell r="R410">
            <v>1</v>
          </cell>
        </row>
        <row r="411">
          <cell r="A411" t="str">
            <v>07.01.02</v>
          </cell>
          <cell r="B411" t="str">
            <v>MOVIMIENTO DE TIERRAS</v>
          </cell>
          <cell r="C411">
            <v>0</v>
          </cell>
          <cell r="D411">
            <v>0</v>
          </cell>
          <cell r="E411">
            <v>0</v>
          </cell>
          <cell r="F411">
            <v>0</v>
          </cell>
          <cell r="G411">
            <v>0</v>
          </cell>
          <cell r="H411">
            <v>0</v>
          </cell>
          <cell r="I411">
            <v>0</v>
          </cell>
          <cell r="J411">
            <v>0</v>
          </cell>
          <cell r="K411">
            <v>0</v>
          </cell>
          <cell r="L411">
            <v>0</v>
          </cell>
          <cell r="M411">
            <v>0</v>
          </cell>
          <cell r="N411">
            <v>0</v>
          </cell>
          <cell r="O411">
            <v>0</v>
          </cell>
          <cell r="P411">
            <v>0</v>
          </cell>
          <cell r="Q411">
            <v>0</v>
          </cell>
          <cell r="R411">
            <v>0</v>
          </cell>
        </row>
        <row r="412">
          <cell r="A412" t="str">
            <v>07.01.02.01</v>
          </cell>
          <cell r="B412" t="str">
            <v xml:space="preserve">EXCAVACION PARA CIMIENTOS-ZAPATAS </v>
          </cell>
          <cell r="C412" t="str">
            <v>m3</v>
          </cell>
          <cell r="D412">
            <v>11.2</v>
          </cell>
          <cell r="E412">
            <v>44.73</v>
          </cell>
          <cell r="F412">
            <v>500.97599999999994</v>
          </cell>
          <cell r="G412">
            <v>0</v>
          </cell>
          <cell r="H412">
            <v>0</v>
          </cell>
          <cell r="I412" t="str">
            <v>0.00%</v>
          </cell>
          <cell r="J412">
            <v>0</v>
          </cell>
          <cell r="K412">
            <v>0</v>
          </cell>
          <cell r="L412" t="str">
            <v>0.00%</v>
          </cell>
          <cell r="M412">
            <v>0</v>
          </cell>
          <cell r="N412">
            <v>0</v>
          </cell>
          <cell r="O412" t="str">
            <v>0.00%</v>
          </cell>
          <cell r="P412">
            <v>11.2</v>
          </cell>
          <cell r="Q412">
            <v>500.97599999999994</v>
          </cell>
          <cell r="R412">
            <v>1</v>
          </cell>
        </row>
        <row r="413">
          <cell r="A413" t="str">
            <v>07.01.02.02</v>
          </cell>
          <cell r="B413" t="str">
            <v>EXCAVACION MANUAL EN TERRENO NORMAL h=0.30cm</v>
          </cell>
          <cell r="C413" t="str">
            <v>m3</v>
          </cell>
          <cell r="D413">
            <v>24.35</v>
          </cell>
          <cell r="E413">
            <v>38.020000000000003</v>
          </cell>
          <cell r="F413">
            <v>925.78700000000015</v>
          </cell>
          <cell r="G413">
            <v>0</v>
          </cell>
          <cell r="H413">
            <v>0</v>
          </cell>
          <cell r="I413" t="str">
            <v>0.00%</v>
          </cell>
          <cell r="J413">
            <v>0</v>
          </cell>
          <cell r="K413">
            <v>0</v>
          </cell>
          <cell r="L413" t="str">
            <v>0.00%</v>
          </cell>
          <cell r="M413">
            <v>0</v>
          </cell>
          <cell r="N413">
            <v>0</v>
          </cell>
          <cell r="O413" t="str">
            <v>0.00%</v>
          </cell>
          <cell r="P413">
            <v>24.35</v>
          </cell>
          <cell r="Q413">
            <v>925.78700000000015</v>
          </cell>
          <cell r="R413">
            <v>1</v>
          </cell>
        </row>
        <row r="414">
          <cell r="A414" t="str">
            <v>07.01.02.03</v>
          </cell>
          <cell r="B414" t="str">
            <v>RELLENO COMPACTADO CON MATERIAL PROPIO EN CAPAS DE 0.20m.</v>
          </cell>
          <cell r="C414" t="str">
            <v>m3</v>
          </cell>
          <cell r="D414">
            <v>8</v>
          </cell>
          <cell r="E414">
            <v>53.95</v>
          </cell>
          <cell r="F414">
            <v>431.6</v>
          </cell>
          <cell r="G414">
            <v>0</v>
          </cell>
          <cell r="H414">
            <v>0</v>
          </cell>
          <cell r="I414" t="str">
            <v>0.00%</v>
          </cell>
          <cell r="J414">
            <v>0</v>
          </cell>
          <cell r="K414">
            <v>0</v>
          </cell>
          <cell r="L414" t="str">
            <v>0.00%</v>
          </cell>
          <cell r="M414">
            <v>0</v>
          </cell>
          <cell r="N414">
            <v>0</v>
          </cell>
          <cell r="O414" t="str">
            <v>0.00%</v>
          </cell>
          <cell r="P414">
            <v>8</v>
          </cell>
          <cell r="Q414">
            <v>431.6</v>
          </cell>
          <cell r="R414">
            <v>1</v>
          </cell>
        </row>
        <row r="415">
          <cell r="A415" t="str">
            <v>07.01.02.04</v>
          </cell>
          <cell r="B415" t="str">
            <v>ACARREO INTERNO, MATERIAL PROCEDENTE DE EXCAVACIONES  Y OTROS</v>
          </cell>
          <cell r="C415" t="str">
            <v>m3</v>
          </cell>
          <cell r="D415">
            <v>34.44</v>
          </cell>
          <cell r="E415">
            <v>19</v>
          </cell>
          <cell r="F415">
            <v>654.3599999999999</v>
          </cell>
          <cell r="G415">
            <v>0</v>
          </cell>
          <cell r="H415">
            <v>0</v>
          </cell>
          <cell r="I415" t="str">
            <v>0.00%</v>
          </cell>
          <cell r="J415">
            <v>0</v>
          </cell>
          <cell r="K415">
            <v>0</v>
          </cell>
          <cell r="L415" t="str">
            <v>0.00%</v>
          </cell>
          <cell r="M415">
            <v>0</v>
          </cell>
          <cell r="N415">
            <v>0</v>
          </cell>
          <cell r="O415" t="str">
            <v>0.00%</v>
          </cell>
          <cell r="P415">
            <v>34.44</v>
          </cell>
          <cell r="Q415">
            <v>654.3599999999999</v>
          </cell>
          <cell r="R415">
            <v>1</v>
          </cell>
        </row>
        <row r="416">
          <cell r="A416" t="str">
            <v>07.01.02.05</v>
          </cell>
          <cell r="B416" t="str">
            <v>ELIMINACION DE MATERIAL EXCEDENTE CON EQUIPO</v>
          </cell>
          <cell r="C416" t="str">
            <v>m3</v>
          </cell>
          <cell r="D416">
            <v>34.44</v>
          </cell>
          <cell r="E416">
            <v>14.64</v>
          </cell>
          <cell r="F416">
            <v>504.20159999999998</v>
          </cell>
          <cell r="G416">
            <v>0</v>
          </cell>
          <cell r="H416">
            <v>0</v>
          </cell>
          <cell r="I416" t="str">
            <v>0.00%</v>
          </cell>
          <cell r="J416">
            <v>0</v>
          </cell>
          <cell r="K416">
            <v>0</v>
          </cell>
          <cell r="L416" t="str">
            <v>0.00%</v>
          </cell>
          <cell r="M416">
            <v>0</v>
          </cell>
          <cell r="N416">
            <v>0</v>
          </cell>
          <cell r="O416" t="str">
            <v>0.00%</v>
          </cell>
          <cell r="P416">
            <v>34.44</v>
          </cell>
          <cell r="Q416">
            <v>504.20159999999998</v>
          </cell>
          <cell r="R416">
            <v>1</v>
          </cell>
        </row>
        <row r="417">
          <cell r="A417" t="str">
            <v>07.01.02.06</v>
          </cell>
          <cell r="B417" t="str">
            <v xml:space="preserve">AFIRMADO e=20 cm </v>
          </cell>
          <cell r="C417" t="str">
            <v>m3</v>
          </cell>
          <cell r="D417">
            <v>48.7</v>
          </cell>
          <cell r="E417">
            <v>82.36</v>
          </cell>
          <cell r="F417">
            <v>4010.9320000000002</v>
          </cell>
          <cell r="G417">
            <v>0</v>
          </cell>
          <cell r="H417">
            <v>0</v>
          </cell>
          <cell r="I417" t="str">
            <v>0.00%</v>
          </cell>
          <cell r="J417">
            <v>0</v>
          </cell>
          <cell r="K417">
            <v>0</v>
          </cell>
          <cell r="L417" t="str">
            <v>0.00%</v>
          </cell>
          <cell r="M417">
            <v>0</v>
          </cell>
          <cell r="N417">
            <v>0</v>
          </cell>
          <cell r="O417" t="str">
            <v>0.00%</v>
          </cell>
          <cell r="P417">
            <v>48.7</v>
          </cell>
          <cell r="Q417">
            <v>4010.9320000000002</v>
          </cell>
          <cell r="R417">
            <v>1</v>
          </cell>
        </row>
        <row r="418">
          <cell r="A418" t="str">
            <v>07.01.02.07</v>
          </cell>
          <cell r="B418" t="str">
            <v xml:space="preserve">NIVELACION Y COMPACTACION PARA FALSO PISOS, VEREDAS Y PATIOS </v>
          </cell>
          <cell r="C418" t="str">
            <v>m2</v>
          </cell>
          <cell r="D418">
            <v>243.49</v>
          </cell>
          <cell r="E418">
            <v>9.3800000000000008</v>
          </cell>
          <cell r="F418">
            <v>2283.9362000000001</v>
          </cell>
          <cell r="G418">
            <v>0</v>
          </cell>
          <cell r="H418">
            <v>0</v>
          </cell>
          <cell r="I418" t="str">
            <v>0.00%</v>
          </cell>
          <cell r="J418">
            <v>0</v>
          </cell>
          <cell r="K418">
            <v>0</v>
          </cell>
          <cell r="L418" t="str">
            <v>0.00%</v>
          </cell>
          <cell r="M418">
            <v>0</v>
          </cell>
          <cell r="N418">
            <v>0</v>
          </cell>
          <cell r="O418" t="str">
            <v>0.00%</v>
          </cell>
          <cell r="P418">
            <v>243.49</v>
          </cell>
          <cell r="Q418">
            <v>2283.9362000000001</v>
          </cell>
          <cell r="R418">
            <v>1</v>
          </cell>
        </row>
        <row r="419">
          <cell r="A419" t="str">
            <v>07.01.03</v>
          </cell>
          <cell r="B419" t="str">
            <v>PAVIMENTOS</v>
          </cell>
          <cell r="C419">
            <v>0</v>
          </cell>
          <cell r="D419">
            <v>0</v>
          </cell>
          <cell r="E419">
            <v>0</v>
          </cell>
          <cell r="F419">
            <v>0</v>
          </cell>
          <cell r="G419">
            <v>0</v>
          </cell>
          <cell r="H419">
            <v>0</v>
          </cell>
          <cell r="I419">
            <v>0</v>
          </cell>
          <cell r="J419">
            <v>0</v>
          </cell>
          <cell r="K419">
            <v>0</v>
          </cell>
          <cell r="L419">
            <v>0</v>
          </cell>
          <cell r="M419">
            <v>0</v>
          </cell>
          <cell r="N419">
            <v>0</v>
          </cell>
          <cell r="O419">
            <v>0</v>
          </cell>
          <cell r="P419">
            <v>0</v>
          </cell>
          <cell r="Q419">
            <v>0</v>
          </cell>
          <cell r="R419">
            <v>0</v>
          </cell>
        </row>
        <row r="420">
          <cell r="A420" t="str">
            <v>07.01.03.01</v>
          </cell>
          <cell r="B420" t="str">
            <v>PREPARACION DE SUB RASANTE, PERFILADO, REGADO Y COMPACTACION</v>
          </cell>
          <cell r="C420" t="str">
            <v>m2</v>
          </cell>
          <cell r="D420">
            <v>243.49</v>
          </cell>
          <cell r="E420">
            <v>17.100000000000001</v>
          </cell>
          <cell r="F420">
            <v>4163.6790000000001</v>
          </cell>
          <cell r="G420">
            <v>0</v>
          </cell>
          <cell r="H420">
            <v>0</v>
          </cell>
          <cell r="I420" t="str">
            <v>0.00%</v>
          </cell>
          <cell r="J420">
            <v>0</v>
          </cell>
          <cell r="K420">
            <v>0</v>
          </cell>
          <cell r="L420" t="str">
            <v>0.00%</v>
          </cell>
          <cell r="M420">
            <v>0</v>
          </cell>
          <cell r="N420">
            <v>0</v>
          </cell>
          <cell r="O420" t="str">
            <v>0.00%</v>
          </cell>
          <cell r="P420">
            <v>243.49</v>
          </cell>
          <cell r="Q420">
            <v>4163.6790000000001</v>
          </cell>
          <cell r="R420">
            <v>1</v>
          </cell>
        </row>
        <row r="421">
          <cell r="A421" t="str">
            <v>07.01.03.02</v>
          </cell>
          <cell r="B421" t="str">
            <v>SUMINISTRO DE AFIRMADO</v>
          </cell>
          <cell r="C421" t="str">
            <v>m3</v>
          </cell>
          <cell r="D421">
            <v>48.7</v>
          </cell>
          <cell r="E421">
            <v>30.5</v>
          </cell>
          <cell r="F421">
            <v>1485.3500000000001</v>
          </cell>
          <cell r="G421">
            <v>0</v>
          </cell>
          <cell r="H421">
            <v>0</v>
          </cell>
          <cell r="I421" t="str">
            <v>0.00%</v>
          </cell>
          <cell r="J421">
            <v>0</v>
          </cell>
          <cell r="K421">
            <v>0</v>
          </cell>
          <cell r="L421" t="str">
            <v>0.00%</v>
          </cell>
          <cell r="M421">
            <v>0</v>
          </cell>
          <cell r="N421">
            <v>0</v>
          </cell>
          <cell r="O421" t="str">
            <v>0.00%</v>
          </cell>
          <cell r="P421">
            <v>48.7</v>
          </cell>
          <cell r="Q421">
            <v>1485.3500000000001</v>
          </cell>
          <cell r="R421">
            <v>1</v>
          </cell>
        </row>
        <row r="422">
          <cell r="A422" t="str">
            <v>07.01.03.03</v>
          </cell>
          <cell r="B422" t="str">
            <v>PREPARACION DE LA BASE, BATIDO, REGADO Y COMPACTACION E=15cm.</v>
          </cell>
          <cell r="C422" t="str">
            <v>m2</v>
          </cell>
          <cell r="D422">
            <v>243.49</v>
          </cell>
          <cell r="E422">
            <v>39.47</v>
          </cell>
          <cell r="F422">
            <v>9610.5503000000008</v>
          </cell>
          <cell r="G422">
            <v>0</v>
          </cell>
          <cell r="H422">
            <v>0</v>
          </cell>
          <cell r="I422" t="str">
            <v>0.00%</v>
          </cell>
          <cell r="J422">
            <v>0</v>
          </cell>
          <cell r="K422">
            <v>0</v>
          </cell>
          <cell r="L422" t="str">
            <v>0.00%</v>
          </cell>
          <cell r="M422">
            <v>0</v>
          </cell>
          <cell r="N422">
            <v>0</v>
          </cell>
          <cell r="O422" t="str">
            <v>0.00%</v>
          </cell>
          <cell r="P422">
            <v>243.49</v>
          </cell>
          <cell r="Q422">
            <v>9610.5503000000008</v>
          </cell>
          <cell r="R422">
            <v>1</v>
          </cell>
        </row>
        <row r="423">
          <cell r="A423" t="str">
            <v>07.01.04</v>
          </cell>
          <cell r="B423" t="str">
            <v>CONCRETO SIMPLE</v>
          </cell>
          <cell r="C423">
            <v>0</v>
          </cell>
          <cell r="D423">
            <v>0</v>
          </cell>
          <cell r="E423">
            <v>0</v>
          </cell>
          <cell r="F423">
            <v>0</v>
          </cell>
          <cell r="G423">
            <v>0</v>
          </cell>
          <cell r="H423">
            <v>0</v>
          </cell>
          <cell r="I423">
            <v>0</v>
          </cell>
          <cell r="J423">
            <v>0</v>
          </cell>
          <cell r="K423">
            <v>0</v>
          </cell>
          <cell r="L423">
            <v>0</v>
          </cell>
          <cell r="M423">
            <v>0</v>
          </cell>
          <cell r="N423">
            <v>0</v>
          </cell>
          <cell r="O423">
            <v>0</v>
          </cell>
          <cell r="P423">
            <v>0</v>
          </cell>
          <cell r="Q423">
            <v>0</v>
          </cell>
          <cell r="R423">
            <v>0</v>
          </cell>
        </row>
        <row r="424">
          <cell r="A424" t="str">
            <v>07.01.04.01</v>
          </cell>
          <cell r="B424" t="str">
            <v>SOLADO E= 2" MEZCLA 1:12 CEMENTO-HORMIGON</v>
          </cell>
          <cell r="C424" t="str">
            <v>m2</v>
          </cell>
          <cell r="D424">
            <v>8</v>
          </cell>
          <cell r="E424">
            <v>29.02</v>
          </cell>
          <cell r="F424">
            <v>232.16</v>
          </cell>
          <cell r="G424">
            <v>0</v>
          </cell>
          <cell r="H424">
            <v>0</v>
          </cell>
          <cell r="I424" t="str">
            <v>0.00%</v>
          </cell>
          <cell r="J424">
            <v>0</v>
          </cell>
          <cell r="K424">
            <v>0</v>
          </cell>
          <cell r="L424" t="str">
            <v>0.00%</v>
          </cell>
          <cell r="M424">
            <v>0</v>
          </cell>
          <cell r="N424">
            <v>0</v>
          </cell>
          <cell r="O424" t="str">
            <v>0.00%</v>
          </cell>
          <cell r="P424">
            <v>8</v>
          </cell>
          <cell r="Q424">
            <v>232.16</v>
          </cell>
          <cell r="R424">
            <v>1</v>
          </cell>
        </row>
        <row r="425">
          <cell r="A425" t="str">
            <v>07.01.04.02</v>
          </cell>
          <cell r="B425" t="str">
            <v>CONCRETO F'C= 175 KG/CM2 EN LOSA DEPORTIVA</v>
          </cell>
          <cell r="C425" t="str">
            <v>m3</v>
          </cell>
          <cell r="D425">
            <v>24.35</v>
          </cell>
          <cell r="E425">
            <v>480.98</v>
          </cell>
          <cell r="F425">
            <v>11711.863000000001</v>
          </cell>
          <cell r="G425">
            <v>0</v>
          </cell>
          <cell r="H425">
            <v>0</v>
          </cell>
          <cell r="I425" t="str">
            <v>0.00%</v>
          </cell>
          <cell r="J425">
            <v>0</v>
          </cell>
          <cell r="K425">
            <v>0</v>
          </cell>
          <cell r="L425" t="str">
            <v>0.00%</v>
          </cell>
          <cell r="M425">
            <v>0</v>
          </cell>
          <cell r="N425">
            <v>0</v>
          </cell>
          <cell r="O425" t="str">
            <v>0.00%</v>
          </cell>
          <cell r="P425">
            <v>24.35</v>
          </cell>
          <cell r="Q425">
            <v>11711.863000000001</v>
          </cell>
          <cell r="R425">
            <v>1</v>
          </cell>
        </row>
        <row r="426">
          <cell r="A426" t="str">
            <v>07.01.04.03</v>
          </cell>
          <cell r="B426" t="str">
            <v>ENCOFRADO Y DESENCOFRADO EN LOSA DEPORTIVA</v>
          </cell>
          <cell r="C426" t="str">
            <v>m2</v>
          </cell>
          <cell r="D426">
            <v>43.75</v>
          </cell>
          <cell r="E426">
            <v>48.86</v>
          </cell>
          <cell r="F426">
            <v>2137.625</v>
          </cell>
          <cell r="G426">
            <v>0</v>
          </cell>
          <cell r="H426">
            <v>0</v>
          </cell>
          <cell r="I426" t="str">
            <v>0.00%</v>
          </cell>
          <cell r="J426">
            <v>0</v>
          </cell>
          <cell r="K426">
            <v>0</v>
          </cell>
          <cell r="L426" t="str">
            <v>0.00%</v>
          </cell>
          <cell r="M426">
            <v>0</v>
          </cell>
          <cell r="N426">
            <v>0</v>
          </cell>
          <cell r="O426" t="str">
            <v>0.00%</v>
          </cell>
          <cell r="P426">
            <v>43.75</v>
          </cell>
          <cell r="Q426">
            <v>2137.625</v>
          </cell>
          <cell r="R426">
            <v>1</v>
          </cell>
        </row>
        <row r="427">
          <cell r="A427" t="str">
            <v>07.01.05</v>
          </cell>
          <cell r="B427" t="str">
            <v>CONCRETO ARMADO</v>
          </cell>
          <cell r="C427">
            <v>0</v>
          </cell>
          <cell r="D427">
            <v>0</v>
          </cell>
          <cell r="E427">
            <v>0</v>
          </cell>
          <cell r="F427">
            <v>0</v>
          </cell>
          <cell r="G427">
            <v>0</v>
          </cell>
          <cell r="H427">
            <v>0</v>
          </cell>
          <cell r="I427">
            <v>0</v>
          </cell>
          <cell r="J427">
            <v>0</v>
          </cell>
          <cell r="K427">
            <v>0</v>
          </cell>
          <cell r="L427">
            <v>0</v>
          </cell>
          <cell r="M427">
            <v>0</v>
          </cell>
          <cell r="N427">
            <v>0</v>
          </cell>
          <cell r="O427">
            <v>0</v>
          </cell>
          <cell r="P427">
            <v>0</v>
          </cell>
          <cell r="Q427">
            <v>0</v>
          </cell>
          <cell r="R427">
            <v>0</v>
          </cell>
        </row>
        <row r="428">
          <cell r="A428" t="str">
            <v>07.01.05.01</v>
          </cell>
          <cell r="B428" t="str">
            <v>ZAPATAS</v>
          </cell>
          <cell r="C428">
            <v>0</v>
          </cell>
          <cell r="D428">
            <v>0</v>
          </cell>
          <cell r="E428">
            <v>0</v>
          </cell>
          <cell r="F428">
            <v>0</v>
          </cell>
          <cell r="G428">
            <v>0</v>
          </cell>
          <cell r="H428">
            <v>0</v>
          </cell>
          <cell r="I428">
            <v>0</v>
          </cell>
          <cell r="J428">
            <v>0</v>
          </cell>
          <cell r="K428">
            <v>0</v>
          </cell>
          <cell r="L428">
            <v>0</v>
          </cell>
          <cell r="M428">
            <v>0</v>
          </cell>
          <cell r="N428">
            <v>0</v>
          </cell>
          <cell r="O428">
            <v>0</v>
          </cell>
          <cell r="P428">
            <v>0</v>
          </cell>
          <cell r="Q428">
            <v>0</v>
          </cell>
          <cell r="R428">
            <v>0</v>
          </cell>
        </row>
        <row r="429">
          <cell r="A429" t="str">
            <v>07.01.05.01.01</v>
          </cell>
          <cell r="B429" t="str">
            <v>CONCRETO EN ZAPATAS F'C= 210 KG/CM2</v>
          </cell>
          <cell r="C429" t="str">
            <v>m3</v>
          </cell>
          <cell r="D429">
            <v>3.2</v>
          </cell>
          <cell r="E429">
            <v>427.63</v>
          </cell>
          <cell r="F429">
            <v>1368.4160000000002</v>
          </cell>
          <cell r="G429">
            <v>0</v>
          </cell>
          <cell r="H429">
            <v>0</v>
          </cell>
          <cell r="I429" t="str">
            <v>0.00%</v>
          </cell>
          <cell r="J429">
            <v>0</v>
          </cell>
          <cell r="K429">
            <v>0</v>
          </cell>
          <cell r="L429" t="str">
            <v>0.00%</v>
          </cell>
          <cell r="M429">
            <v>0</v>
          </cell>
          <cell r="N429">
            <v>0</v>
          </cell>
          <cell r="O429" t="str">
            <v>0.00%</v>
          </cell>
          <cell r="P429">
            <v>3.2</v>
          </cell>
          <cell r="Q429">
            <v>1368.4160000000002</v>
          </cell>
          <cell r="R429">
            <v>1</v>
          </cell>
        </row>
        <row r="430">
          <cell r="A430" t="str">
            <v>07.01.05.01.02</v>
          </cell>
          <cell r="B430" t="str">
            <v>ACERO F'Y=4200 KG/CM2 GRADO 60 EN ZAPATAS</v>
          </cell>
          <cell r="C430" t="str">
            <v>kg</v>
          </cell>
          <cell r="D430">
            <v>106.64</v>
          </cell>
          <cell r="E430">
            <v>4.3</v>
          </cell>
          <cell r="F430">
            <v>458.55199999999996</v>
          </cell>
          <cell r="G430">
            <v>0</v>
          </cell>
          <cell r="H430">
            <v>0</v>
          </cell>
          <cell r="I430" t="str">
            <v>0.00%</v>
          </cell>
          <cell r="J430">
            <v>0</v>
          </cell>
          <cell r="K430">
            <v>0</v>
          </cell>
          <cell r="L430" t="str">
            <v>0.00%</v>
          </cell>
          <cell r="M430">
            <v>0</v>
          </cell>
          <cell r="N430">
            <v>0</v>
          </cell>
          <cell r="O430" t="str">
            <v>0.00%</v>
          </cell>
          <cell r="P430">
            <v>106.64</v>
          </cell>
          <cell r="Q430">
            <v>458.55199999999996</v>
          </cell>
          <cell r="R430">
            <v>1</v>
          </cell>
        </row>
        <row r="431">
          <cell r="A431" t="str">
            <v>07.01.05.02</v>
          </cell>
          <cell r="B431" t="str">
            <v>COLUMNETAS</v>
          </cell>
          <cell r="C431">
            <v>0</v>
          </cell>
          <cell r="D431">
            <v>0</v>
          </cell>
          <cell r="E431">
            <v>0</v>
          </cell>
          <cell r="F431">
            <v>0</v>
          </cell>
          <cell r="G431">
            <v>0</v>
          </cell>
          <cell r="H431">
            <v>0</v>
          </cell>
          <cell r="I431">
            <v>0</v>
          </cell>
          <cell r="J431">
            <v>0</v>
          </cell>
          <cell r="K431">
            <v>0</v>
          </cell>
          <cell r="L431">
            <v>0</v>
          </cell>
          <cell r="M431">
            <v>0</v>
          </cell>
          <cell r="N431">
            <v>0</v>
          </cell>
          <cell r="O431">
            <v>0</v>
          </cell>
          <cell r="P431">
            <v>0</v>
          </cell>
          <cell r="Q431">
            <v>0</v>
          </cell>
          <cell r="R431">
            <v>0</v>
          </cell>
        </row>
        <row r="432">
          <cell r="A432" t="str">
            <v>07.01.05.02.01</v>
          </cell>
          <cell r="B432" t="str">
            <v>CONCRETO EN COLUMNETAS F'C=210 KG/CM2</v>
          </cell>
          <cell r="C432" t="str">
            <v>m3</v>
          </cell>
          <cell r="D432">
            <v>1.08</v>
          </cell>
          <cell r="E432">
            <v>521.12</v>
          </cell>
          <cell r="F432">
            <v>562.80960000000005</v>
          </cell>
          <cell r="G432">
            <v>0</v>
          </cell>
          <cell r="H432">
            <v>0</v>
          </cell>
          <cell r="I432" t="str">
            <v>0.00%</v>
          </cell>
          <cell r="J432">
            <v>0</v>
          </cell>
          <cell r="K432">
            <v>0</v>
          </cell>
          <cell r="L432" t="str">
            <v>0.00%</v>
          </cell>
          <cell r="M432">
            <v>0</v>
          </cell>
          <cell r="N432">
            <v>0</v>
          </cell>
          <cell r="O432" t="str">
            <v>0.00%</v>
          </cell>
          <cell r="P432">
            <v>1.08</v>
          </cell>
          <cell r="Q432">
            <v>562.80960000000005</v>
          </cell>
          <cell r="R432">
            <v>1</v>
          </cell>
        </row>
        <row r="433">
          <cell r="A433" t="str">
            <v>07.01.05.02.02</v>
          </cell>
          <cell r="B433" t="str">
            <v>ACERO F'Y=4200 KG/CM2 GRADO 60 EN COLUMNETAS</v>
          </cell>
          <cell r="C433" t="str">
            <v>kg</v>
          </cell>
          <cell r="D433">
            <v>112.19</v>
          </cell>
          <cell r="E433">
            <v>4.4400000000000004</v>
          </cell>
          <cell r="F433">
            <v>498.12360000000001</v>
          </cell>
          <cell r="G433">
            <v>0</v>
          </cell>
          <cell r="H433">
            <v>0</v>
          </cell>
          <cell r="I433" t="str">
            <v>0.00%</v>
          </cell>
          <cell r="J433">
            <v>0</v>
          </cell>
          <cell r="K433">
            <v>0</v>
          </cell>
          <cell r="L433" t="str">
            <v>0.00%</v>
          </cell>
          <cell r="M433">
            <v>0</v>
          </cell>
          <cell r="N433">
            <v>0</v>
          </cell>
          <cell r="O433" t="str">
            <v>0.00%</v>
          </cell>
          <cell r="P433">
            <v>112.19</v>
          </cell>
          <cell r="Q433">
            <v>498.12360000000001</v>
          </cell>
          <cell r="R433">
            <v>1</v>
          </cell>
        </row>
        <row r="434">
          <cell r="A434" t="str">
            <v>07.01.05.02.03</v>
          </cell>
          <cell r="B434" t="str">
            <v>ENCOFRADO Y DESNCOFRADO NORMAL  EN COLUMNETAS</v>
          </cell>
          <cell r="C434" t="str">
            <v>m2</v>
          </cell>
          <cell r="D434">
            <v>12</v>
          </cell>
          <cell r="E434">
            <v>49.71</v>
          </cell>
          <cell r="F434">
            <v>596.52</v>
          </cell>
          <cell r="G434">
            <v>0</v>
          </cell>
          <cell r="H434">
            <v>0</v>
          </cell>
          <cell r="I434" t="str">
            <v>0.00%</v>
          </cell>
          <cell r="J434">
            <v>0</v>
          </cell>
          <cell r="K434">
            <v>0</v>
          </cell>
          <cell r="L434" t="str">
            <v>0.00%</v>
          </cell>
          <cell r="M434">
            <v>0</v>
          </cell>
          <cell r="N434">
            <v>0</v>
          </cell>
          <cell r="O434" t="str">
            <v>0.00%</v>
          </cell>
          <cell r="P434">
            <v>12</v>
          </cell>
          <cell r="Q434">
            <v>596.52</v>
          </cell>
          <cell r="R434">
            <v>1</v>
          </cell>
        </row>
        <row r="435">
          <cell r="A435" t="str">
            <v>07.01.06</v>
          </cell>
          <cell r="B435" t="str">
            <v>ESTRUCTURAS METALICAS</v>
          </cell>
          <cell r="C435">
            <v>0</v>
          </cell>
          <cell r="D435">
            <v>0</v>
          </cell>
          <cell r="E435">
            <v>0</v>
          </cell>
          <cell r="F435">
            <v>0</v>
          </cell>
          <cell r="G435">
            <v>0</v>
          </cell>
          <cell r="H435">
            <v>0</v>
          </cell>
          <cell r="I435">
            <v>0</v>
          </cell>
          <cell r="J435">
            <v>0</v>
          </cell>
          <cell r="K435">
            <v>0</v>
          </cell>
          <cell r="L435">
            <v>0</v>
          </cell>
          <cell r="M435">
            <v>0</v>
          </cell>
          <cell r="N435">
            <v>0</v>
          </cell>
          <cell r="O435">
            <v>0</v>
          </cell>
          <cell r="P435">
            <v>0</v>
          </cell>
          <cell r="Q435">
            <v>0</v>
          </cell>
          <cell r="R435">
            <v>0</v>
          </cell>
        </row>
        <row r="436">
          <cell r="A436" t="str">
            <v>07.01.06.01</v>
          </cell>
          <cell r="B436" t="str">
            <v>TIJERAL METALICO (LOSA DEPORTIVA)</v>
          </cell>
          <cell r="C436" t="str">
            <v>und</v>
          </cell>
          <cell r="D436">
            <v>4</v>
          </cell>
          <cell r="E436">
            <v>5130.22</v>
          </cell>
          <cell r="F436">
            <v>20520.88</v>
          </cell>
          <cell r="G436">
            <v>0</v>
          </cell>
          <cell r="H436">
            <v>0</v>
          </cell>
          <cell r="I436" t="str">
            <v>0.00%</v>
          </cell>
          <cell r="J436">
            <v>0</v>
          </cell>
          <cell r="K436">
            <v>0</v>
          </cell>
          <cell r="L436" t="str">
            <v>0.00%</v>
          </cell>
          <cell r="M436">
            <v>0</v>
          </cell>
          <cell r="N436">
            <v>0</v>
          </cell>
          <cell r="O436" t="str">
            <v>0.00%</v>
          </cell>
          <cell r="P436">
            <v>4</v>
          </cell>
          <cell r="Q436">
            <v>20520.88</v>
          </cell>
          <cell r="R436">
            <v>1</v>
          </cell>
        </row>
        <row r="437">
          <cell r="A437" t="str">
            <v>07.01.06.02</v>
          </cell>
          <cell r="B437" t="str">
            <v>CORREA METALICA 50x50x3mm.</v>
          </cell>
          <cell r="C437" t="str">
            <v>m</v>
          </cell>
          <cell r="D437">
            <v>368.55</v>
          </cell>
          <cell r="E437">
            <v>38.85</v>
          </cell>
          <cell r="F437">
            <v>14318.167500000001</v>
          </cell>
          <cell r="G437">
            <v>0</v>
          </cell>
          <cell r="H437">
            <v>0</v>
          </cell>
          <cell r="I437" t="str">
            <v>0.00%</v>
          </cell>
          <cell r="J437">
            <v>0</v>
          </cell>
          <cell r="K437">
            <v>0</v>
          </cell>
          <cell r="L437" t="str">
            <v>0.00%</v>
          </cell>
          <cell r="M437">
            <v>0</v>
          </cell>
          <cell r="N437">
            <v>0</v>
          </cell>
          <cell r="O437" t="str">
            <v>0.00%</v>
          </cell>
          <cell r="P437">
            <v>368.55</v>
          </cell>
          <cell r="Q437">
            <v>14318.167500000001</v>
          </cell>
          <cell r="R437">
            <v>1</v>
          </cell>
        </row>
        <row r="438">
          <cell r="A438" t="str">
            <v>07.01.06.03</v>
          </cell>
          <cell r="B438" t="str">
            <v>COLUMNA METALICA 100x200x4mm.</v>
          </cell>
          <cell r="C438" t="str">
            <v>m</v>
          </cell>
          <cell r="D438">
            <v>96</v>
          </cell>
          <cell r="E438">
            <v>217.37</v>
          </cell>
          <cell r="F438">
            <v>20867.52</v>
          </cell>
          <cell r="G438">
            <v>0</v>
          </cell>
          <cell r="H438">
            <v>0</v>
          </cell>
          <cell r="I438" t="str">
            <v>0.00%</v>
          </cell>
          <cell r="J438">
            <v>0</v>
          </cell>
          <cell r="K438">
            <v>0</v>
          </cell>
          <cell r="L438" t="str">
            <v>0.00%</v>
          </cell>
          <cell r="M438">
            <v>0</v>
          </cell>
          <cell r="N438">
            <v>0</v>
          </cell>
          <cell r="O438" t="str">
            <v>0.00%</v>
          </cell>
          <cell r="P438">
            <v>96</v>
          </cell>
          <cell r="Q438">
            <v>20867.52</v>
          </cell>
          <cell r="R438">
            <v>1</v>
          </cell>
        </row>
        <row r="439">
          <cell r="A439" t="str">
            <v>07.01.06.04</v>
          </cell>
          <cell r="B439" t="str">
            <v>APOYO FIJO METALICO SEGUN DETALLE</v>
          </cell>
          <cell r="C439" t="str">
            <v>und</v>
          </cell>
          <cell r="D439">
            <v>8</v>
          </cell>
          <cell r="E439">
            <v>545.75</v>
          </cell>
          <cell r="F439">
            <v>4366</v>
          </cell>
          <cell r="G439">
            <v>0</v>
          </cell>
          <cell r="H439">
            <v>0</v>
          </cell>
          <cell r="I439" t="str">
            <v>0.00%</v>
          </cell>
          <cell r="J439">
            <v>0</v>
          </cell>
          <cell r="K439">
            <v>0</v>
          </cell>
          <cell r="L439" t="str">
            <v>0.00%</v>
          </cell>
          <cell r="M439">
            <v>0</v>
          </cell>
          <cell r="N439">
            <v>0</v>
          </cell>
          <cell r="O439" t="str">
            <v>0.00%</v>
          </cell>
          <cell r="P439">
            <v>8</v>
          </cell>
          <cell r="Q439">
            <v>4366</v>
          </cell>
          <cell r="R439">
            <v>1</v>
          </cell>
        </row>
        <row r="440">
          <cell r="A440" t="str">
            <v>07.01.06.05</v>
          </cell>
          <cell r="B440" t="str">
            <v>APOYO MOVIL METALICO SEGUN DETALLE</v>
          </cell>
          <cell r="C440" t="str">
            <v>und</v>
          </cell>
          <cell r="D440">
            <v>8</v>
          </cell>
          <cell r="E440">
            <v>825.75</v>
          </cell>
          <cell r="F440">
            <v>6606</v>
          </cell>
          <cell r="G440">
            <v>0</v>
          </cell>
          <cell r="H440">
            <v>0</v>
          </cell>
          <cell r="I440" t="str">
            <v>0.00%</v>
          </cell>
          <cell r="J440">
            <v>0</v>
          </cell>
          <cell r="K440">
            <v>0</v>
          </cell>
          <cell r="L440" t="str">
            <v>0.00%</v>
          </cell>
          <cell r="M440">
            <v>0</v>
          </cell>
          <cell r="N440">
            <v>0</v>
          </cell>
          <cell r="O440" t="str">
            <v>0.00%</v>
          </cell>
          <cell r="P440">
            <v>8</v>
          </cell>
          <cell r="Q440">
            <v>6606</v>
          </cell>
          <cell r="R440">
            <v>1</v>
          </cell>
        </row>
        <row r="441">
          <cell r="A441" t="str">
            <v>07.01.07</v>
          </cell>
          <cell r="B441" t="str">
            <v>JUNTAS DE CONSTRUCCION</v>
          </cell>
          <cell r="C441">
            <v>0</v>
          </cell>
          <cell r="D441">
            <v>0</v>
          </cell>
          <cell r="E441">
            <v>0</v>
          </cell>
          <cell r="F441">
            <v>0</v>
          </cell>
          <cell r="G441">
            <v>0</v>
          </cell>
          <cell r="H441">
            <v>0</v>
          </cell>
          <cell r="I441">
            <v>0</v>
          </cell>
          <cell r="J441">
            <v>0</v>
          </cell>
          <cell r="K441">
            <v>0</v>
          </cell>
          <cell r="L441">
            <v>0</v>
          </cell>
          <cell r="M441">
            <v>0</v>
          </cell>
          <cell r="N441">
            <v>0</v>
          </cell>
          <cell r="O441">
            <v>0</v>
          </cell>
          <cell r="P441">
            <v>0</v>
          </cell>
          <cell r="Q441">
            <v>0</v>
          </cell>
          <cell r="R441">
            <v>0</v>
          </cell>
        </row>
        <row r="442">
          <cell r="A442" t="str">
            <v>07.01.07.01</v>
          </cell>
          <cell r="B442" t="str">
            <v>JUNTAS DE TEKNOPOR DE  1"</v>
          </cell>
          <cell r="C442" t="str">
            <v>m</v>
          </cell>
          <cell r="D442">
            <v>156.25</v>
          </cell>
          <cell r="E442">
            <v>9.0500000000000007</v>
          </cell>
          <cell r="F442">
            <v>1414.0625</v>
          </cell>
          <cell r="G442">
            <v>0</v>
          </cell>
          <cell r="H442">
            <v>0</v>
          </cell>
          <cell r="I442" t="str">
            <v>0.00%</v>
          </cell>
          <cell r="J442">
            <v>0</v>
          </cell>
          <cell r="K442">
            <v>0</v>
          </cell>
          <cell r="L442" t="str">
            <v>0.00%</v>
          </cell>
          <cell r="M442">
            <v>0</v>
          </cell>
          <cell r="N442">
            <v>0</v>
          </cell>
          <cell r="O442" t="str">
            <v>0.00%</v>
          </cell>
          <cell r="P442">
            <v>156.25</v>
          </cell>
          <cell r="Q442">
            <v>1414.0625</v>
          </cell>
          <cell r="R442">
            <v>1</v>
          </cell>
        </row>
        <row r="443">
          <cell r="A443" t="str">
            <v>07.01.08</v>
          </cell>
          <cell r="B443" t="str">
            <v>PRUEBAS</v>
          </cell>
          <cell r="C443">
            <v>0</v>
          </cell>
          <cell r="D443">
            <v>0</v>
          </cell>
          <cell r="E443">
            <v>0</v>
          </cell>
          <cell r="F443">
            <v>0</v>
          </cell>
          <cell r="G443">
            <v>0</v>
          </cell>
          <cell r="H443">
            <v>0</v>
          </cell>
          <cell r="I443">
            <v>0</v>
          </cell>
          <cell r="J443">
            <v>0</v>
          </cell>
          <cell r="K443">
            <v>0</v>
          </cell>
          <cell r="L443">
            <v>0</v>
          </cell>
          <cell r="M443">
            <v>0</v>
          </cell>
          <cell r="N443">
            <v>0</v>
          </cell>
          <cell r="O443">
            <v>0</v>
          </cell>
          <cell r="P443">
            <v>0</v>
          </cell>
          <cell r="Q443">
            <v>0</v>
          </cell>
          <cell r="R443">
            <v>0</v>
          </cell>
        </row>
        <row r="444">
          <cell r="A444" t="str">
            <v>07.01.08.01</v>
          </cell>
          <cell r="B444" t="str">
            <v>PRUEBA DE CALIDAD DEL CONCRETO (PRUEBA A LA COMPRESION)</v>
          </cell>
          <cell r="C444" t="str">
            <v>und</v>
          </cell>
          <cell r="D444">
            <v>1</v>
          </cell>
          <cell r="E444">
            <v>40</v>
          </cell>
          <cell r="F444">
            <v>40</v>
          </cell>
          <cell r="G444">
            <v>0</v>
          </cell>
          <cell r="H444">
            <v>0</v>
          </cell>
          <cell r="I444" t="str">
            <v>0.00%</v>
          </cell>
          <cell r="J444">
            <v>0</v>
          </cell>
          <cell r="K444">
            <v>0</v>
          </cell>
          <cell r="L444" t="str">
            <v>0.00%</v>
          </cell>
          <cell r="M444">
            <v>0</v>
          </cell>
          <cell r="N444">
            <v>0</v>
          </cell>
          <cell r="O444" t="str">
            <v>0.00%</v>
          </cell>
          <cell r="P444">
            <v>1</v>
          </cell>
          <cell r="Q444">
            <v>40</v>
          </cell>
          <cell r="R444">
            <v>1</v>
          </cell>
        </row>
        <row r="445">
          <cell r="A445" t="str">
            <v>07.01.08.02</v>
          </cell>
          <cell r="B445" t="str">
            <v>DENSIDAD DE CAMPO C/ 10CM</v>
          </cell>
          <cell r="C445" t="str">
            <v>und</v>
          </cell>
          <cell r="D445">
            <v>1</v>
          </cell>
          <cell r="E445">
            <v>45</v>
          </cell>
          <cell r="F445">
            <v>45</v>
          </cell>
          <cell r="G445">
            <v>0</v>
          </cell>
          <cell r="H445">
            <v>0</v>
          </cell>
          <cell r="I445" t="str">
            <v>0.00%</v>
          </cell>
          <cell r="J445">
            <v>0</v>
          </cell>
          <cell r="K445">
            <v>0</v>
          </cell>
          <cell r="L445" t="str">
            <v>0.00%</v>
          </cell>
          <cell r="M445">
            <v>0</v>
          </cell>
          <cell r="N445">
            <v>0</v>
          </cell>
          <cell r="O445" t="str">
            <v>0.00%</v>
          </cell>
          <cell r="P445">
            <v>1</v>
          </cell>
          <cell r="Q445">
            <v>45</v>
          </cell>
          <cell r="R445">
            <v>1</v>
          </cell>
        </row>
        <row r="446">
          <cell r="A446" t="str">
            <v>07.02</v>
          </cell>
          <cell r="B446" t="str">
            <v>SARDINELES</v>
          </cell>
          <cell r="C446">
            <v>0</v>
          </cell>
          <cell r="D446">
            <v>0</v>
          </cell>
          <cell r="E446">
            <v>0</v>
          </cell>
          <cell r="F446">
            <v>0</v>
          </cell>
          <cell r="G446">
            <v>0</v>
          </cell>
          <cell r="H446">
            <v>0</v>
          </cell>
          <cell r="I446">
            <v>0</v>
          </cell>
          <cell r="J446">
            <v>0</v>
          </cell>
          <cell r="K446">
            <v>0</v>
          </cell>
          <cell r="L446">
            <v>0</v>
          </cell>
          <cell r="M446">
            <v>0</v>
          </cell>
          <cell r="N446">
            <v>0</v>
          </cell>
          <cell r="O446">
            <v>0</v>
          </cell>
          <cell r="P446">
            <v>0</v>
          </cell>
          <cell r="Q446">
            <v>0</v>
          </cell>
          <cell r="R446">
            <v>0</v>
          </cell>
        </row>
        <row r="447">
          <cell r="A447" t="str">
            <v>07.02.01</v>
          </cell>
          <cell r="B447" t="str">
            <v>TRABAJOS PRELIMINARES</v>
          </cell>
          <cell r="C447">
            <v>0</v>
          </cell>
          <cell r="D447">
            <v>0</v>
          </cell>
          <cell r="E447">
            <v>0</v>
          </cell>
          <cell r="F447">
            <v>0</v>
          </cell>
          <cell r="G447">
            <v>0</v>
          </cell>
          <cell r="H447">
            <v>0</v>
          </cell>
          <cell r="I447">
            <v>0</v>
          </cell>
          <cell r="J447">
            <v>0</v>
          </cell>
          <cell r="K447">
            <v>0</v>
          </cell>
          <cell r="L447">
            <v>0</v>
          </cell>
          <cell r="M447">
            <v>0</v>
          </cell>
          <cell r="N447">
            <v>0</v>
          </cell>
          <cell r="O447">
            <v>0</v>
          </cell>
          <cell r="P447">
            <v>0</v>
          </cell>
          <cell r="Q447">
            <v>0</v>
          </cell>
          <cell r="R447">
            <v>0</v>
          </cell>
        </row>
        <row r="448">
          <cell r="A448" t="str">
            <v>07.02.01.01</v>
          </cell>
          <cell r="B448" t="str">
            <v>LIMPIEZA DE TERRENO MANUAL</v>
          </cell>
          <cell r="C448" t="str">
            <v>m2</v>
          </cell>
          <cell r="D448">
            <v>36.42</v>
          </cell>
          <cell r="E448">
            <v>1.0900000000000001</v>
          </cell>
          <cell r="F448">
            <v>39.697800000000008</v>
          </cell>
          <cell r="G448">
            <v>0</v>
          </cell>
          <cell r="H448">
            <v>0</v>
          </cell>
          <cell r="I448" t="str">
            <v>0.00%</v>
          </cell>
          <cell r="J448">
            <v>0</v>
          </cell>
          <cell r="K448">
            <v>0</v>
          </cell>
          <cell r="L448" t="str">
            <v>0.00%</v>
          </cell>
          <cell r="M448">
            <v>0</v>
          </cell>
          <cell r="N448">
            <v>0</v>
          </cell>
          <cell r="O448" t="str">
            <v>0.00%</v>
          </cell>
          <cell r="P448">
            <v>36.42</v>
          </cell>
          <cell r="Q448">
            <v>39.697800000000008</v>
          </cell>
          <cell r="R448">
            <v>1</v>
          </cell>
        </row>
        <row r="449">
          <cell r="A449" t="str">
            <v>07.02.01.02</v>
          </cell>
          <cell r="B449" t="str">
            <v>TRAZO DURANTE LA EJECUCION DE LA OBRA</v>
          </cell>
          <cell r="C449" t="str">
            <v>m2</v>
          </cell>
          <cell r="D449">
            <v>36.42</v>
          </cell>
          <cell r="E449">
            <v>3.49</v>
          </cell>
          <cell r="F449">
            <v>127.10580000000002</v>
          </cell>
          <cell r="G449">
            <v>0</v>
          </cell>
          <cell r="H449">
            <v>0</v>
          </cell>
          <cell r="I449" t="str">
            <v>0.00%</v>
          </cell>
          <cell r="J449">
            <v>0</v>
          </cell>
          <cell r="K449">
            <v>0</v>
          </cell>
          <cell r="L449" t="str">
            <v>0.00%</v>
          </cell>
          <cell r="M449">
            <v>0</v>
          </cell>
          <cell r="N449">
            <v>0</v>
          </cell>
          <cell r="O449" t="str">
            <v>0.00%</v>
          </cell>
          <cell r="P449">
            <v>36.42</v>
          </cell>
          <cell r="Q449">
            <v>127.10580000000002</v>
          </cell>
          <cell r="R449">
            <v>1</v>
          </cell>
        </row>
        <row r="450">
          <cell r="A450" t="str">
            <v>07.02.02</v>
          </cell>
          <cell r="B450" t="str">
            <v>MOVIMIENTO DE TIERRAS</v>
          </cell>
          <cell r="C450">
            <v>0</v>
          </cell>
          <cell r="D450">
            <v>0</v>
          </cell>
          <cell r="E450">
            <v>0</v>
          </cell>
          <cell r="F450">
            <v>0</v>
          </cell>
          <cell r="G450">
            <v>0</v>
          </cell>
          <cell r="H450">
            <v>0</v>
          </cell>
          <cell r="I450">
            <v>0</v>
          </cell>
          <cell r="J450">
            <v>0</v>
          </cell>
          <cell r="K450">
            <v>0</v>
          </cell>
          <cell r="L450">
            <v>0</v>
          </cell>
          <cell r="M450">
            <v>0</v>
          </cell>
          <cell r="N450">
            <v>0</v>
          </cell>
          <cell r="O450">
            <v>0</v>
          </cell>
          <cell r="P450">
            <v>0</v>
          </cell>
          <cell r="Q450">
            <v>0</v>
          </cell>
          <cell r="R450">
            <v>0</v>
          </cell>
        </row>
        <row r="451">
          <cell r="A451" t="str">
            <v>07.02.02.01</v>
          </cell>
          <cell r="B451" t="str">
            <v>EXCAVACION MANUAL EN TERRENO NORMAL h=0.30cm</v>
          </cell>
          <cell r="C451" t="str">
            <v>m3</v>
          </cell>
          <cell r="D451">
            <v>11.01</v>
          </cell>
          <cell r="E451">
            <v>38.020000000000003</v>
          </cell>
          <cell r="F451">
            <v>418.60020000000003</v>
          </cell>
          <cell r="G451">
            <v>0</v>
          </cell>
          <cell r="H451">
            <v>0</v>
          </cell>
          <cell r="I451" t="str">
            <v>0.00%</v>
          </cell>
          <cell r="J451">
            <v>0</v>
          </cell>
          <cell r="K451">
            <v>0</v>
          </cell>
          <cell r="L451" t="str">
            <v>0.00%</v>
          </cell>
          <cell r="M451">
            <v>0</v>
          </cell>
          <cell r="N451">
            <v>0</v>
          </cell>
          <cell r="O451" t="str">
            <v>0.00%</v>
          </cell>
          <cell r="P451">
            <v>11.01</v>
          </cell>
          <cell r="Q451">
            <v>418.60020000000003</v>
          </cell>
          <cell r="R451">
            <v>1</v>
          </cell>
        </row>
        <row r="452">
          <cell r="A452" t="str">
            <v>07.02.02.02</v>
          </cell>
          <cell r="B452" t="str">
            <v>ACARREO INTERNO, MATERIAL PROCEDENTE DE EXCAVACIONES  Y OTROS</v>
          </cell>
          <cell r="C452" t="str">
            <v>m3</v>
          </cell>
          <cell r="D452">
            <v>13.76</v>
          </cell>
          <cell r="E452">
            <v>19</v>
          </cell>
          <cell r="F452">
            <v>261.44</v>
          </cell>
          <cell r="G452">
            <v>0</v>
          </cell>
          <cell r="H452">
            <v>0</v>
          </cell>
          <cell r="I452" t="str">
            <v>0.00%</v>
          </cell>
          <cell r="J452">
            <v>0</v>
          </cell>
          <cell r="K452">
            <v>0</v>
          </cell>
          <cell r="L452" t="str">
            <v>0.00%</v>
          </cell>
          <cell r="M452">
            <v>0</v>
          </cell>
          <cell r="N452">
            <v>0</v>
          </cell>
          <cell r="O452" t="str">
            <v>0.00%</v>
          </cell>
          <cell r="P452">
            <v>13.76</v>
          </cell>
          <cell r="Q452">
            <v>261.44</v>
          </cell>
          <cell r="R452">
            <v>1</v>
          </cell>
        </row>
        <row r="453">
          <cell r="A453" t="str">
            <v>07.02.02.03</v>
          </cell>
          <cell r="B453" t="str">
            <v>ELIMINACION DE MATERIAL EXCEDENTE CON EQUIPO</v>
          </cell>
          <cell r="C453" t="str">
            <v>m3</v>
          </cell>
          <cell r="D453">
            <v>13.76</v>
          </cell>
          <cell r="E453">
            <v>14.64</v>
          </cell>
          <cell r="F453">
            <v>201.44640000000001</v>
          </cell>
          <cell r="G453">
            <v>0</v>
          </cell>
          <cell r="H453">
            <v>0</v>
          </cell>
          <cell r="I453" t="str">
            <v>0.00%</v>
          </cell>
          <cell r="J453">
            <v>0</v>
          </cell>
          <cell r="K453">
            <v>0</v>
          </cell>
          <cell r="L453" t="str">
            <v>0.00%</v>
          </cell>
          <cell r="M453">
            <v>0</v>
          </cell>
          <cell r="N453">
            <v>0</v>
          </cell>
          <cell r="O453" t="str">
            <v>0.00%</v>
          </cell>
          <cell r="P453">
            <v>13.76</v>
          </cell>
          <cell r="Q453">
            <v>201.44640000000001</v>
          </cell>
          <cell r="R453">
            <v>1</v>
          </cell>
        </row>
        <row r="454">
          <cell r="A454" t="str">
            <v>07.02.02.04</v>
          </cell>
          <cell r="B454" t="str">
            <v>NIVELACION Y COMPACTACION EN TERRENO NATURAL</v>
          </cell>
          <cell r="C454" t="str">
            <v>m2</v>
          </cell>
          <cell r="D454">
            <v>44.04</v>
          </cell>
          <cell r="E454">
            <v>9.3800000000000008</v>
          </cell>
          <cell r="F454">
            <v>413.09520000000003</v>
          </cell>
          <cell r="G454">
            <v>0</v>
          </cell>
          <cell r="H454">
            <v>0</v>
          </cell>
          <cell r="I454" t="str">
            <v>0.00%</v>
          </cell>
          <cell r="J454">
            <v>0</v>
          </cell>
          <cell r="K454">
            <v>0</v>
          </cell>
          <cell r="L454" t="str">
            <v>0.00%</v>
          </cell>
          <cell r="M454">
            <v>0</v>
          </cell>
          <cell r="N454">
            <v>0</v>
          </cell>
          <cell r="O454" t="str">
            <v>0.00%</v>
          </cell>
          <cell r="P454">
            <v>44.04</v>
          </cell>
          <cell r="Q454">
            <v>413.09520000000003</v>
          </cell>
          <cell r="R454">
            <v>1</v>
          </cell>
        </row>
        <row r="455">
          <cell r="A455" t="str">
            <v>07.02.03</v>
          </cell>
          <cell r="B455" t="str">
            <v>CONCRETO SIMPLE</v>
          </cell>
          <cell r="C455">
            <v>0</v>
          </cell>
          <cell r="D455">
            <v>0</v>
          </cell>
          <cell r="E455">
            <v>0</v>
          </cell>
          <cell r="F455">
            <v>0</v>
          </cell>
          <cell r="G455">
            <v>0</v>
          </cell>
          <cell r="H455">
            <v>0</v>
          </cell>
          <cell r="I455">
            <v>0</v>
          </cell>
          <cell r="J455">
            <v>0</v>
          </cell>
          <cell r="K455">
            <v>0</v>
          </cell>
          <cell r="L455">
            <v>0</v>
          </cell>
          <cell r="M455">
            <v>0</v>
          </cell>
          <cell r="N455">
            <v>0</v>
          </cell>
          <cell r="O455">
            <v>0</v>
          </cell>
          <cell r="P455">
            <v>0</v>
          </cell>
          <cell r="Q455">
            <v>0</v>
          </cell>
          <cell r="R455">
            <v>0</v>
          </cell>
        </row>
        <row r="456">
          <cell r="A456" t="str">
            <v>07.02.03.01</v>
          </cell>
          <cell r="B456" t="str">
            <v>CONCRETO EN SARDINELES F'C= 175KG/CM2</v>
          </cell>
          <cell r="C456" t="str">
            <v>m3</v>
          </cell>
          <cell r="D456">
            <v>11.91</v>
          </cell>
          <cell r="E456">
            <v>384.85</v>
          </cell>
          <cell r="F456">
            <v>4583.5635000000002</v>
          </cell>
          <cell r="G456">
            <v>0</v>
          </cell>
          <cell r="H456">
            <v>0</v>
          </cell>
          <cell r="I456" t="str">
            <v>0.00%</v>
          </cell>
          <cell r="J456">
            <v>0</v>
          </cell>
          <cell r="K456">
            <v>0</v>
          </cell>
          <cell r="L456" t="str">
            <v>0.00%</v>
          </cell>
          <cell r="M456">
            <v>0</v>
          </cell>
          <cell r="N456">
            <v>0</v>
          </cell>
          <cell r="O456" t="str">
            <v>0.00%</v>
          </cell>
          <cell r="P456">
            <v>11.91</v>
          </cell>
          <cell r="Q456">
            <v>4583.5635000000002</v>
          </cell>
          <cell r="R456">
            <v>1</v>
          </cell>
        </row>
        <row r="457">
          <cell r="A457" t="str">
            <v>07.02.03.02</v>
          </cell>
          <cell r="B457" t="str">
            <v>ENCOFRADO Y DESENCOFRADO DE SARDINELES</v>
          </cell>
          <cell r="C457" t="str">
            <v>m2</v>
          </cell>
          <cell r="D457">
            <v>238.12</v>
          </cell>
          <cell r="E457">
            <v>17.3</v>
          </cell>
          <cell r="F457">
            <v>4119.4760000000006</v>
          </cell>
          <cell r="G457">
            <v>0</v>
          </cell>
          <cell r="H457">
            <v>0</v>
          </cell>
          <cell r="I457" t="str">
            <v>0.00%</v>
          </cell>
          <cell r="J457">
            <v>0</v>
          </cell>
          <cell r="K457">
            <v>0</v>
          </cell>
          <cell r="L457" t="str">
            <v>0.00%</v>
          </cell>
          <cell r="M457">
            <v>0</v>
          </cell>
          <cell r="N457">
            <v>0</v>
          </cell>
          <cell r="O457" t="str">
            <v>0.00%</v>
          </cell>
          <cell r="P457">
            <v>238.12</v>
          </cell>
          <cell r="Q457">
            <v>4119.4760000000006</v>
          </cell>
          <cell r="R457">
            <v>1</v>
          </cell>
        </row>
        <row r="458">
          <cell r="A458" t="str">
            <v>07.02.04</v>
          </cell>
          <cell r="B458" t="str">
            <v>PRUEBAS</v>
          </cell>
          <cell r="C458">
            <v>0</v>
          </cell>
          <cell r="D458">
            <v>0</v>
          </cell>
          <cell r="E458">
            <v>0</v>
          </cell>
          <cell r="F458">
            <v>0</v>
          </cell>
          <cell r="G458">
            <v>0</v>
          </cell>
          <cell r="H458">
            <v>0</v>
          </cell>
          <cell r="I458">
            <v>0</v>
          </cell>
          <cell r="J458">
            <v>0</v>
          </cell>
          <cell r="K458">
            <v>0</v>
          </cell>
          <cell r="L458">
            <v>0</v>
          </cell>
          <cell r="M458">
            <v>0</v>
          </cell>
          <cell r="N458">
            <v>0</v>
          </cell>
          <cell r="O458">
            <v>0</v>
          </cell>
          <cell r="P458">
            <v>0</v>
          </cell>
          <cell r="Q458">
            <v>0</v>
          </cell>
          <cell r="R458">
            <v>0</v>
          </cell>
        </row>
        <row r="459">
          <cell r="A459" t="str">
            <v>07.02.04.01</v>
          </cell>
          <cell r="B459" t="str">
            <v>PRUEBA DE CALIDAD DEL CONCRETO (PRUEBA A LA COMPRESION)</v>
          </cell>
          <cell r="C459" t="str">
            <v>und</v>
          </cell>
          <cell r="D459">
            <v>1</v>
          </cell>
          <cell r="E459">
            <v>40</v>
          </cell>
          <cell r="F459">
            <v>40</v>
          </cell>
          <cell r="G459">
            <v>0</v>
          </cell>
          <cell r="H459">
            <v>0</v>
          </cell>
          <cell r="I459" t="str">
            <v>0.00%</v>
          </cell>
          <cell r="J459">
            <v>0</v>
          </cell>
          <cell r="K459">
            <v>0</v>
          </cell>
          <cell r="L459" t="str">
            <v>0.00%</v>
          </cell>
          <cell r="M459">
            <v>0</v>
          </cell>
          <cell r="N459">
            <v>0</v>
          </cell>
          <cell r="O459" t="str">
            <v>0.00%</v>
          </cell>
          <cell r="P459">
            <v>1</v>
          </cell>
          <cell r="Q459">
            <v>40</v>
          </cell>
          <cell r="R459">
            <v>1</v>
          </cell>
        </row>
        <row r="460">
          <cell r="A460" t="str">
            <v>07.03</v>
          </cell>
          <cell r="B460" t="str">
            <v>RAMPA</v>
          </cell>
          <cell r="C460">
            <v>0</v>
          </cell>
          <cell r="D460">
            <v>0</v>
          </cell>
          <cell r="E460">
            <v>0</v>
          </cell>
          <cell r="F460">
            <v>0</v>
          </cell>
          <cell r="G460">
            <v>0</v>
          </cell>
          <cell r="H460">
            <v>0</v>
          </cell>
          <cell r="I460">
            <v>0</v>
          </cell>
          <cell r="J460">
            <v>0</v>
          </cell>
          <cell r="K460">
            <v>0</v>
          </cell>
          <cell r="L460">
            <v>0</v>
          </cell>
          <cell r="M460">
            <v>0</v>
          </cell>
          <cell r="N460">
            <v>0</v>
          </cell>
          <cell r="O460">
            <v>0</v>
          </cell>
          <cell r="P460">
            <v>0</v>
          </cell>
          <cell r="Q460">
            <v>0</v>
          </cell>
          <cell r="R460">
            <v>0</v>
          </cell>
        </row>
        <row r="461">
          <cell r="A461" t="str">
            <v>07.03.01</v>
          </cell>
          <cell r="B461" t="str">
            <v>TRABAJOS PRELIMINARES</v>
          </cell>
          <cell r="C461">
            <v>0</v>
          </cell>
          <cell r="D461">
            <v>0</v>
          </cell>
          <cell r="E461">
            <v>0</v>
          </cell>
          <cell r="F461">
            <v>0</v>
          </cell>
          <cell r="G461">
            <v>0</v>
          </cell>
          <cell r="H461">
            <v>0</v>
          </cell>
          <cell r="I461">
            <v>0</v>
          </cell>
          <cell r="J461">
            <v>0</v>
          </cell>
          <cell r="K461">
            <v>0</v>
          </cell>
          <cell r="L461">
            <v>0</v>
          </cell>
          <cell r="M461">
            <v>0</v>
          </cell>
          <cell r="N461">
            <v>0</v>
          </cell>
          <cell r="O461">
            <v>0</v>
          </cell>
          <cell r="P461">
            <v>0</v>
          </cell>
          <cell r="Q461">
            <v>0</v>
          </cell>
          <cell r="R461">
            <v>0</v>
          </cell>
        </row>
        <row r="462">
          <cell r="A462" t="str">
            <v>07.03.01.01</v>
          </cell>
          <cell r="B462" t="str">
            <v>LIMPIEZA DE TERRENO MANUAL</v>
          </cell>
          <cell r="C462" t="str">
            <v>m2</v>
          </cell>
          <cell r="D462">
            <v>48.75</v>
          </cell>
          <cell r="E462">
            <v>1.0900000000000001</v>
          </cell>
          <cell r="F462">
            <v>53.137500000000003</v>
          </cell>
          <cell r="G462">
            <v>0</v>
          </cell>
          <cell r="H462">
            <v>0</v>
          </cell>
          <cell r="I462" t="str">
            <v>0.00%</v>
          </cell>
          <cell r="J462">
            <v>0</v>
          </cell>
          <cell r="K462">
            <v>0</v>
          </cell>
          <cell r="L462" t="str">
            <v>0.00%</v>
          </cell>
          <cell r="M462">
            <v>0</v>
          </cell>
          <cell r="N462">
            <v>0</v>
          </cell>
          <cell r="O462" t="str">
            <v>0.00%</v>
          </cell>
          <cell r="P462">
            <v>48.75</v>
          </cell>
          <cell r="Q462">
            <v>53.137500000000003</v>
          </cell>
          <cell r="R462">
            <v>1</v>
          </cell>
        </row>
        <row r="463">
          <cell r="A463" t="str">
            <v>07.03.01.02</v>
          </cell>
          <cell r="B463" t="str">
            <v>TRAZO DURANTE LA EJECUCION DE LA OBRA</v>
          </cell>
          <cell r="C463" t="str">
            <v>m2</v>
          </cell>
          <cell r="D463">
            <v>49.2</v>
          </cell>
          <cell r="E463">
            <v>3.49</v>
          </cell>
          <cell r="F463">
            <v>171.70800000000003</v>
          </cell>
          <cell r="G463">
            <v>0</v>
          </cell>
          <cell r="H463">
            <v>0</v>
          </cell>
          <cell r="I463" t="str">
            <v>0.00%</v>
          </cell>
          <cell r="J463">
            <v>0</v>
          </cell>
          <cell r="K463">
            <v>0</v>
          </cell>
          <cell r="L463" t="str">
            <v>0.00%</v>
          </cell>
          <cell r="M463">
            <v>0</v>
          </cell>
          <cell r="N463">
            <v>0</v>
          </cell>
          <cell r="O463" t="str">
            <v>0.00%</v>
          </cell>
          <cell r="P463">
            <v>49.2</v>
          </cell>
          <cell r="Q463">
            <v>171.70800000000003</v>
          </cell>
          <cell r="R463">
            <v>1</v>
          </cell>
        </row>
        <row r="464">
          <cell r="A464" t="str">
            <v>07.03.02</v>
          </cell>
          <cell r="B464" t="str">
            <v>MOVIMIENTO DE TIERRAS</v>
          </cell>
          <cell r="C464">
            <v>0</v>
          </cell>
          <cell r="D464">
            <v>0</v>
          </cell>
          <cell r="E464">
            <v>0</v>
          </cell>
          <cell r="F464">
            <v>0</v>
          </cell>
          <cell r="G464">
            <v>0</v>
          </cell>
          <cell r="H464">
            <v>0</v>
          </cell>
          <cell r="I464">
            <v>0</v>
          </cell>
          <cell r="J464">
            <v>0</v>
          </cell>
          <cell r="K464">
            <v>0</v>
          </cell>
          <cell r="L464">
            <v>0</v>
          </cell>
          <cell r="M464">
            <v>0</v>
          </cell>
          <cell r="N464">
            <v>0</v>
          </cell>
          <cell r="O464">
            <v>0</v>
          </cell>
          <cell r="P464">
            <v>0</v>
          </cell>
          <cell r="Q464">
            <v>0</v>
          </cell>
          <cell r="R464">
            <v>0</v>
          </cell>
        </row>
        <row r="465">
          <cell r="A465" t="str">
            <v>07.03.02.01</v>
          </cell>
          <cell r="B465" t="str">
            <v>EXCAVACION MANUAL EN TERRENO NORMAL h=0.30cm</v>
          </cell>
          <cell r="C465" t="str">
            <v>m3</v>
          </cell>
          <cell r="D465">
            <v>12.3</v>
          </cell>
          <cell r="E465">
            <v>38.020000000000003</v>
          </cell>
          <cell r="F465">
            <v>467.64600000000007</v>
          </cell>
          <cell r="G465">
            <v>0</v>
          </cell>
          <cell r="H465">
            <v>0</v>
          </cell>
          <cell r="I465" t="str">
            <v>0.00%</v>
          </cell>
          <cell r="J465">
            <v>0</v>
          </cell>
          <cell r="K465">
            <v>0</v>
          </cell>
          <cell r="L465" t="str">
            <v>0.00%</v>
          </cell>
          <cell r="M465">
            <v>0</v>
          </cell>
          <cell r="N465">
            <v>0</v>
          </cell>
          <cell r="O465" t="str">
            <v>0.00%</v>
          </cell>
          <cell r="P465">
            <v>12.3</v>
          </cell>
          <cell r="Q465">
            <v>467.64600000000007</v>
          </cell>
          <cell r="R465">
            <v>1</v>
          </cell>
        </row>
        <row r="466">
          <cell r="A466" t="str">
            <v>07.03.02.02</v>
          </cell>
          <cell r="B466" t="str">
            <v>ACARREO INTERNO, MATERIAL PROCEDENTE DE EXCAVACIONES  Y OTROS</v>
          </cell>
          <cell r="C466" t="str">
            <v>m3</v>
          </cell>
          <cell r="D466">
            <v>15.38</v>
          </cell>
          <cell r="E466">
            <v>19</v>
          </cell>
          <cell r="F466">
            <v>292.22000000000003</v>
          </cell>
          <cell r="G466">
            <v>0</v>
          </cell>
          <cell r="H466">
            <v>0</v>
          </cell>
          <cell r="I466" t="str">
            <v>0.00%</v>
          </cell>
          <cell r="J466">
            <v>0</v>
          </cell>
          <cell r="K466">
            <v>0</v>
          </cell>
          <cell r="L466" t="str">
            <v>0.00%</v>
          </cell>
          <cell r="M466">
            <v>0</v>
          </cell>
          <cell r="N466">
            <v>0</v>
          </cell>
          <cell r="O466" t="str">
            <v>0.00%</v>
          </cell>
          <cell r="P466">
            <v>15.38</v>
          </cell>
          <cell r="Q466">
            <v>292.22000000000003</v>
          </cell>
          <cell r="R466">
            <v>1</v>
          </cell>
        </row>
        <row r="467">
          <cell r="A467" t="str">
            <v>07.03.02.03</v>
          </cell>
          <cell r="B467" t="str">
            <v>ELIMINACION DE MATERIAL EXCEDENTE CON EQUIPO</v>
          </cell>
          <cell r="C467" t="str">
            <v>m3</v>
          </cell>
          <cell r="D467">
            <v>15.38</v>
          </cell>
          <cell r="E467">
            <v>14.64</v>
          </cell>
          <cell r="F467">
            <v>225.16320000000002</v>
          </cell>
          <cell r="G467">
            <v>0</v>
          </cell>
          <cell r="H467">
            <v>0</v>
          </cell>
          <cell r="I467" t="str">
            <v>0.00%</v>
          </cell>
          <cell r="J467">
            <v>0</v>
          </cell>
          <cell r="K467">
            <v>0</v>
          </cell>
          <cell r="L467" t="str">
            <v>0.00%</v>
          </cell>
          <cell r="M467">
            <v>0</v>
          </cell>
          <cell r="N467">
            <v>0</v>
          </cell>
          <cell r="O467" t="str">
            <v>0.00%</v>
          </cell>
          <cell r="P467">
            <v>15.38</v>
          </cell>
          <cell r="Q467">
            <v>225.16320000000002</v>
          </cell>
          <cell r="R467">
            <v>1</v>
          </cell>
        </row>
        <row r="468">
          <cell r="A468" t="str">
            <v>07.03.02.04</v>
          </cell>
          <cell r="B468" t="str">
            <v xml:space="preserve">AFIRMADO e=20 cm </v>
          </cell>
          <cell r="C468" t="str">
            <v>m3</v>
          </cell>
          <cell r="D468">
            <v>4.38</v>
          </cell>
          <cell r="E468">
            <v>82.36</v>
          </cell>
          <cell r="F468">
            <v>360.73680000000002</v>
          </cell>
          <cell r="G468">
            <v>0</v>
          </cell>
          <cell r="H468">
            <v>0</v>
          </cell>
          <cell r="I468" t="str">
            <v>0.00%</v>
          </cell>
          <cell r="J468">
            <v>0</v>
          </cell>
          <cell r="K468">
            <v>0</v>
          </cell>
          <cell r="L468" t="str">
            <v>0.00%</v>
          </cell>
          <cell r="M468">
            <v>0</v>
          </cell>
          <cell r="N468">
            <v>0</v>
          </cell>
          <cell r="O468" t="str">
            <v>0.00%</v>
          </cell>
          <cell r="P468">
            <v>4.38</v>
          </cell>
          <cell r="Q468">
            <v>360.73680000000002</v>
          </cell>
          <cell r="R468">
            <v>1</v>
          </cell>
        </row>
        <row r="469">
          <cell r="A469" t="str">
            <v>07.03.02.05</v>
          </cell>
          <cell r="B469" t="str">
            <v xml:space="preserve">NIVELACION Y COMPACTACION PARA FALSO PISOS, VEREDAS Y PATIOS </v>
          </cell>
          <cell r="C469" t="str">
            <v>m2</v>
          </cell>
          <cell r="D469">
            <v>49.2</v>
          </cell>
          <cell r="E469">
            <v>9.3800000000000008</v>
          </cell>
          <cell r="F469">
            <v>461.49600000000004</v>
          </cell>
          <cell r="G469">
            <v>0</v>
          </cell>
          <cell r="H469">
            <v>0</v>
          </cell>
          <cell r="I469" t="str">
            <v>0.00%</v>
          </cell>
          <cell r="J469">
            <v>0</v>
          </cell>
          <cell r="K469">
            <v>0</v>
          </cell>
          <cell r="L469" t="str">
            <v>0.00%</v>
          </cell>
          <cell r="M469">
            <v>0</v>
          </cell>
          <cell r="N469">
            <v>0</v>
          </cell>
          <cell r="O469" t="str">
            <v>0.00%</v>
          </cell>
          <cell r="P469">
            <v>49.2</v>
          </cell>
          <cell r="Q469">
            <v>461.49600000000004</v>
          </cell>
          <cell r="R469">
            <v>1</v>
          </cell>
        </row>
        <row r="470">
          <cell r="A470" t="str">
            <v>07.03.03</v>
          </cell>
          <cell r="B470" t="str">
            <v>PAVIMENTOS</v>
          </cell>
          <cell r="C470">
            <v>0</v>
          </cell>
          <cell r="D470">
            <v>0</v>
          </cell>
          <cell r="E470">
            <v>0</v>
          </cell>
          <cell r="F470">
            <v>0</v>
          </cell>
          <cell r="G470">
            <v>0</v>
          </cell>
          <cell r="H470">
            <v>0</v>
          </cell>
          <cell r="I470">
            <v>0</v>
          </cell>
          <cell r="J470">
            <v>0</v>
          </cell>
          <cell r="K470">
            <v>0</v>
          </cell>
          <cell r="L470">
            <v>0</v>
          </cell>
          <cell r="M470">
            <v>0</v>
          </cell>
          <cell r="N470">
            <v>0</v>
          </cell>
          <cell r="O470">
            <v>0</v>
          </cell>
          <cell r="P470">
            <v>0</v>
          </cell>
          <cell r="Q470">
            <v>0</v>
          </cell>
          <cell r="R470">
            <v>0</v>
          </cell>
        </row>
        <row r="471">
          <cell r="A471" t="str">
            <v>07.03.03.01</v>
          </cell>
          <cell r="B471" t="str">
            <v>PREPARACION DE SUB RASANTE, PERFILADO, REGADO Y COMPACTACION</v>
          </cell>
          <cell r="C471" t="str">
            <v>m2</v>
          </cell>
          <cell r="D471">
            <v>49.2</v>
          </cell>
          <cell r="E471">
            <v>17.100000000000001</v>
          </cell>
          <cell r="F471">
            <v>841.32000000000016</v>
          </cell>
          <cell r="G471">
            <v>0</v>
          </cell>
          <cell r="H471">
            <v>0</v>
          </cell>
          <cell r="I471" t="str">
            <v>0.00%</v>
          </cell>
          <cell r="J471">
            <v>0</v>
          </cell>
          <cell r="K471">
            <v>0</v>
          </cell>
          <cell r="L471" t="str">
            <v>0.00%</v>
          </cell>
          <cell r="M471">
            <v>0</v>
          </cell>
          <cell r="N471">
            <v>0</v>
          </cell>
          <cell r="O471" t="str">
            <v>0.00%</v>
          </cell>
          <cell r="P471">
            <v>49.2</v>
          </cell>
          <cell r="Q471">
            <v>841.32000000000016</v>
          </cell>
          <cell r="R471">
            <v>1</v>
          </cell>
        </row>
        <row r="472">
          <cell r="A472" t="str">
            <v>07.03.03.02</v>
          </cell>
          <cell r="B472" t="str">
            <v>SUMINISTRO DE AFIRMADO</v>
          </cell>
          <cell r="C472" t="str">
            <v>m3</v>
          </cell>
          <cell r="D472">
            <v>4.38</v>
          </cell>
          <cell r="E472">
            <v>30.5</v>
          </cell>
          <cell r="F472">
            <v>133.59</v>
          </cell>
          <cell r="G472">
            <v>0</v>
          </cell>
          <cell r="H472">
            <v>0</v>
          </cell>
          <cell r="I472" t="str">
            <v>0.00%</v>
          </cell>
          <cell r="J472">
            <v>0</v>
          </cell>
          <cell r="K472">
            <v>0</v>
          </cell>
          <cell r="L472" t="str">
            <v>0.00%</v>
          </cell>
          <cell r="M472">
            <v>0</v>
          </cell>
          <cell r="N472">
            <v>0</v>
          </cell>
          <cell r="O472" t="str">
            <v>0.00%</v>
          </cell>
          <cell r="P472">
            <v>4.38</v>
          </cell>
          <cell r="Q472">
            <v>133.59</v>
          </cell>
          <cell r="R472">
            <v>1</v>
          </cell>
        </row>
        <row r="473">
          <cell r="A473" t="str">
            <v>07.03.03.03</v>
          </cell>
          <cell r="B473" t="str">
            <v>PREPARACION DE LA BASE, BATIDO, REGADO Y COMPACTACION E=15cm.</v>
          </cell>
          <cell r="C473" t="str">
            <v>m2</v>
          </cell>
          <cell r="D473">
            <v>49.2</v>
          </cell>
          <cell r="E473">
            <v>39.47</v>
          </cell>
          <cell r="F473">
            <v>1941.924</v>
          </cell>
          <cell r="G473">
            <v>0</v>
          </cell>
          <cell r="H473">
            <v>0</v>
          </cell>
          <cell r="I473" t="str">
            <v>0.00%</v>
          </cell>
          <cell r="J473">
            <v>0</v>
          </cell>
          <cell r="K473">
            <v>0</v>
          </cell>
          <cell r="L473" t="str">
            <v>0.00%</v>
          </cell>
          <cell r="M473">
            <v>0</v>
          </cell>
          <cell r="N473">
            <v>0</v>
          </cell>
          <cell r="O473" t="str">
            <v>0.00%</v>
          </cell>
          <cell r="P473">
            <v>49.2</v>
          </cell>
          <cell r="Q473">
            <v>1941.924</v>
          </cell>
          <cell r="R473">
            <v>1</v>
          </cell>
        </row>
        <row r="474">
          <cell r="A474" t="str">
            <v>07.03.04</v>
          </cell>
          <cell r="B474" t="str">
            <v>CONCRETO SIMPLE</v>
          </cell>
          <cell r="C474">
            <v>0</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row>
        <row r="475">
          <cell r="A475" t="str">
            <v>07.03.04.01</v>
          </cell>
          <cell r="B475" t="str">
            <v>CONCRETO EN SARDINELES F'C= 175KG/CM2</v>
          </cell>
          <cell r="C475" t="str">
            <v>m3</v>
          </cell>
          <cell r="D475">
            <v>1.8</v>
          </cell>
          <cell r="E475">
            <v>384.85</v>
          </cell>
          <cell r="F475">
            <v>692.73</v>
          </cell>
          <cell r="G475">
            <v>0</v>
          </cell>
          <cell r="H475">
            <v>0</v>
          </cell>
          <cell r="I475" t="str">
            <v>0.00%</v>
          </cell>
          <cell r="J475">
            <v>0</v>
          </cell>
          <cell r="K475">
            <v>0</v>
          </cell>
          <cell r="L475" t="str">
            <v>0.00%</v>
          </cell>
          <cell r="M475">
            <v>0</v>
          </cell>
          <cell r="N475">
            <v>0</v>
          </cell>
          <cell r="O475" t="str">
            <v>0.00%</v>
          </cell>
          <cell r="P475">
            <v>1.8</v>
          </cell>
          <cell r="Q475">
            <v>692.73</v>
          </cell>
          <cell r="R475">
            <v>1</v>
          </cell>
        </row>
        <row r="476">
          <cell r="A476" t="str">
            <v>07.03.04.02</v>
          </cell>
          <cell r="B476" t="str">
            <v>ENCOFRADO Y DESENCOFRADO DE SARDINELES</v>
          </cell>
          <cell r="C476" t="str">
            <v>m2</v>
          </cell>
          <cell r="D476">
            <v>18.239999999999998</v>
          </cell>
          <cell r="E476">
            <v>17.3</v>
          </cell>
          <cell r="F476">
            <v>315.55199999999996</v>
          </cell>
          <cell r="G476">
            <v>0</v>
          </cell>
          <cell r="H476">
            <v>0</v>
          </cell>
          <cell r="I476" t="str">
            <v>0.00%</v>
          </cell>
          <cell r="J476">
            <v>0</v>
          </cell>
          <cell r="K476">
            <v>0</v>
          </cell>
          <cell r="L476" t="str">
            <v>0.00%</v>
          </cell>
          <cell r="M476">
            <v>0</v>
          </cell>
          <cell r="N476">
            <v>0</v>
          </cell>
          <cell r="O476" t="str">
            <v>0.00%</v>
          </cell>
          <cell r="P476">
            <v>18.239999999999998</v>
          </cell>
          <cell r="Q476">
            <v>315.55199999999996</v>
          </cell>
          <cell r="R476">
            <v>1</v>
          </cell>
        </row>
        <row r="477">
          <cell r="A477" t="str">
            <v>07.03.04.03</v>
          </cell>
          <cell r="B477" t="str">
            <v>CONCRETO F'C= 175 KG/CM2 EN RAMPA</v>
          </cell>
          <cell r="C477" t="str">
            <v>m3</v>
          </cell>
          <cell r="D477">
            <v>8.6199999999999992</v>
          </cell>
          <cell r="E477">
            <v>480.98</v>
          </cell>
          <cell r="F477">
            <v>4146.0475999999999</v>
          </cell>
          <cell r="G477">
            <v>0</v>
          </cell>
          <cell r="H477">
            <v>0</v>
          </cell>
          <cell r="I477" t="str">
            <v>0.00%</v>
          </cell>
          <cell r="J477">
            <v>0</v>
          </cell>
          <cell r="K477">
            <v>0</v>
          </cell>
          <cell r="L477" t="str">
            <v>0.00%</v>
          </cell>
          <cell r="M477">
            <v>0</v>
          </cell>
          <cell r="N477">
            <v>0</v>
          </cell>
          <cell r="O477" t="str">
            <v>0.00%</v>
          </cell>
          <cell r="P477">
            <v>8.6199999999999992</v>
          </cell>
          <cell r="Q477">
            <v>4146.0475999999999</v>
          </cell>
          <cell r="R477">
            <v>1</v>
          </cell>
        </row>
        <row r="478">
          <cell r="A478" t="str">
            <v>07.03.04.04</v>
          </cell>
          <cell r="B478" t="str">
            <v>ENCOFRADO Y DESENCOFRADO EN RAMPA</v>
          </cell>
          <cell r="C478" t="str">
            <v>m2</v>
          </cell>
          <cell r="D478">
            <v>14.79</v>
          </cell>
          <cell r="E478">
            <v>45</v>
          </cell>
          <cell r="F478">
            <v>665.55</v>
          </cell>
          <cell r="G478">
            <v>0</v>
          </cell>
          <cell r="H478">
            <v>0</v>
          </cell>
          <cell r="I478" t="str">
            <v>0.00%</v>
          </cell>
          <cell r="J478">
            <v>0</v>
          </cell>
          <cell r="K478">
            <v>0</v>
          </cell>
          <cell r="L478" t="str">
            <v>0.00%</v>
          </cell>
          <cell r="M478">
            <v>0</v>
          </cell>
          <cell r="N478">
            <v>0</v>
          </cell>
          <cell r="O478" t="str">
            <v>0.00%</v>
          </cell>
          <cell r="P478">
            <v>14.79</v>
          </cell>
          <cell r="Q478">
            <v>665.55</v>
          </cell>
          <cell r="R478">
            <v>1</v>
          </cell>
        </row>
        <row r="479">
          <cell r="A479" t="str">
            <v>07.03.05</v>
          </cell>
          <cell r="B479" t="str">
            <v>JUNTAS DE CONSTRUCCION</v>
          </cell>
          <cell r="C479">
            <v>0</v>
          </cell>
          <cell r="D479">
            <v>0</v>
          </cell>
          <cell r="E479">
            <v>0</v>
          </cell>
          <cell r="F479">
            <v>0</v>
          </cell>
          <cell r="G479">
            <v>0</v>
          </cell>
          <cell r="H479">
            <v>0</v>
          </cell>
          <cell r="I479">
            <v>0</v>
          </cell>
          <cell r="J479">
            <v>0</v>
          </cell>
          <cell r="K479">
            <v>0</v>
          </cell>
          <cell r="L479">
            <v>0</v>
          </cell>
          <cell r="M479">
            <v>0</v>
          </cell>
          <cell r="N479">
            <v>0</v>
          </cell>
          <cell r="O479">
            <v>0</v>
          </cell>
          <cell r="P479">
            <v>0</v>
          </cell>
          <cell r="Q479">
            <v>0</v>
          </cell>
          <cell r="R479">
            <v>0</v>
          </cell>
        </row>
        <row r="480">
          <cell r="A480" t="str">
            <v>07.03.05.01</v>
          </cell>
          <cell r="B480" t="str">
            <v>JUNTAS DE TEKNOPOR DE  1"</v>
          </cell>
          <cell r="C480" t="str">
            <v>m</v>
          </cell>
          <cell r="D480">
            <v>19.5</v>
          </cell>
          <cell r="E480">
            <v>9.0500000000000007</v>
          </cell>
          <cell r="F480">
            <v>176.47500000000002</v>
          </cell>
          <cell r="G480">
            <v>0</v>
          </cell>
          <cell r="H480">
            <v>0</v>
          </cell>
          <cell r="I480" t="str">
            <v>0.00%</v>
          </cell>
          <cell r="J480">
            <v>0</v>
          </cell>
          <cell r="K480">
            <v>0</v>
          </cell>
          <cell r="L480" t="str">
            <v>0.00%</v>
          </cell>
          <cell r="M480">
            <v>0</v>
          </cell>
          <cell r="N480">
            <v>0</v>
          </cell>
          <cell r="O480" t="str">
            <v>0.00%</v>
          </cell>
          <cell r="P480">
            <v>19.5</v>
          </cell>
          <cell r="Q480">
            <v>176.47500000000002</v>
          </cell>
          <cell r="R480">
            <v>1</v>
          </cell>
        </row>
        <row r="481">
          <cell r="A481" t="str">
            <v>07.03.06</v>
          </cell>
          <cell r="B481" t="str">
            <v>PRUEBAS</v>
          </cell>
          <cell r="C481">
            <v>0</v>
          </cell>
          <cell r="D481">
            <v>0</v>
          </cell>
          <cell r="E481">
            <v>0</v>
          </cell>
          <cell r="F481">
            <v>0</v>
          </cell>
          <cell r="G481">
            <v>0</v>
          </cell>
          <cell r="H481">
            <v>0</v>
          </cell>
          <cell r="I481">
            <v>0</v>
          </cell>
          <cell r="J481">
            <v>0</v>
          </cell>
          <cell r="K481">
            <v>0</v>
          </cell>
          <cell r="L481">
            <v>0</v>
          </cell>
          <cell r="M481">
            <v>0</v>
          </cell>
          <cell r="N481">
            <v>0</v>
          </cell>
          <cell r="O481">
            <v>0</v>
          </cell>
          <cell r="P481">
            <v>0</v>
          </cell>
          <cell r="Q481">
            <v>0</v>
          </cell>
          <cell r="R481">
            <v>0</v>
          </cell>
        </row>
        <row r="482">
          <cell r="A482" t="str">
            <v>07.03.06.01</v>
          </cell>
          <cell r="B482" t="str">
            <v>PRUEBA DE CALIDAD DEL CONCRETO (PRUEBA A LA COMPRESION)</v>
          </cell>
          <cell r="C482" t="str">
            <v>und</v>
          </cell>
          <cell r="D482">
            <v>1</v>
          </cell>
          <cell r="E482">
            <v>40</v>
          </cell>
          <cell r="F482">
            <v>40</v>
          </cell>
          <cell r="G482">
            <v>0</v>
          </cell>
          <cell r="H482">
            <v>0</v>
          </cell>
          <cell r="I482" t="str">
            <v>0.00%</v>
          </cell>
          <cell r="J482">
            <v>0</v>
          </cell>
          <cell r="K482">
            <v>0</v>
          </cell>
          <cell r="L482" t="str">
            <v>0.00%</v>
          </cell>
          <cell r="M482">
            <v>0</v>
          </cell>
          <cell r="N482">
            <v>0</v>
          </cell>
          <cell r="O482" t="str">
            <v>0.00%</v>
          </cell>
          <cell r="P482">
            <v>1</v>
          </cell>
          <cell r="Q482">
            <v>40</v>
          </cell>
          <cell r="R482">
            <v>1</v>
          </cell>
        </row>
        <row r="483">
          <cell r="A483" t="str">
            <v>07.04</v>
          </cell>
          <cell r="B483" t="str">
            <v>GRADERIA</v>
          </cell>
          <cell r="C483">
            <v>0</v>
          </cell>
          <cell r="D483">
            <v>0</v>
          </cell>
          <cell r="E483">
            <v>0</v>
          </cell>
          <cell r="F483">
            <v>0</v>
          </cell>
          <cell r="G483">
            <v>0</v>
          </cell>
          <cell r="H483">
            <v>0</v>
          </cell>
          <cell r="I483">
            <v>0</v>
          </cell>
          <cell r="J483">
            <v>0</v>
          </cell>
          <cell r="K483">
            <v>0</v>
          </cell>
          <cell r="L483">
            <v>0</v>
          </cell>
          <cell r="M483">
            <v>0</v>
          </cell>
          <cell r="N483">
            <v>0</v>
          </cell>
          <cell r="O483">
            <v>0</v>
          </cell>
          <cell r="P483">
            <v>0</v>
          </cell>
          <cell r="Q483">
            <v>0</v>
          </cell>
          <cell r="R483">
            <v>0</v>
          </cell>
        </row>
        <row r="484">
          <cell r="A484" t="str">
            <v>07.04.01</v>
          </cell>
          <cell r="B484" t="str">
            <v>TRABAJOS PRELIMINARES</v>
          </cell>
          <cell r="C484">
            <v>0</v>
          </cell>
          <cell r="D484">
            <v>0</v>
          </cell>
          <cell r="E484">
            <v>0</v>
          </cell>
          <cell r="F484">
            <v>0</v>
          </cell>
          <cell r="G484">
            <v>0</v>
          </cell>
          <cell r="H484">
            <v>0</v>
          </cell>
          <cell r="I484">
            <v>0</v>
          </cell>
          <cell r="J484">
            <v>0</v>
          </cell>
          <cell r="K484">
            <v>0</v>
          </cell>
          <cell r="L484">
            <v>0</v>
          </cell>
          <cell r="M484">
            <v>0</v>
          </cell>
          <cell r="N484">
            <v>0</v>
          </cell>
          <cell r="O484">
            <v>0</v>
          </cell>
          <cell r="P484">
            <v>0</v>
          </cell>
          <cell r="Q484">
            <v>0</v>
          </cell>
          <cell r="R484">
            <v>0</v>
          </cell>
        </row>
        <row r="485">
          <cell r="A485" t="str">
            <v>07.04.01.01</v>
          </cell>
          <cell r="B485" t="str">
            <v>LIMPIEZA DE TERRENO MANUAL</v>
          </cell>
          <cell r="C485" t="str">
            <v>m2</v>
          </cell>
          <cell r="D485">
            <v>10.82</v>
          </cell>
          <cell r="E485">
            <v>1.0900000000000001</v>
          </cell>
          <cell r="F485">
            <v>11.793800000000001</v>
          </cell>
          <cell r="G485">
            <v>0</v>
          </cell>
          <cell r="H485">
            <v>0</v>
          </cell>
          <cell r="I485" t="str">
            <v>0.00%</v>
          </cell>
          <cell r="J485">
            <v>0</v>
          </cell>
          <cell r="K485">
            <v>0</v>
          </cell>
          <cell r="L485" t="str">
            <v>0.00%</v>
          </cell>
          <cell r="M485">
            <v>0</v>
          </cell>
          <cell r="N485">
            <v>0</v>
          </cell>
          <cell r="O485" t="str">
            <v>0.00%</v>
          </cell>
          <cell r="P485">
            <v>10.82</v>
          </cell>
          <cell r="Q485">
            <v>11.793800000000001</v>
          </cell>
          <cell r="R485">
            <v>1</v>
          </cell>
        </row>
        <row r="486">
          <cell r="A486" t="str">
            <v>07.04.01.02</v>
          </cell>
          <cell r="B486" t="str">
            <v>TRAZO DURANTE LA EJECUCION DE LA OBRA</v>
          </cell>
          <cell r="C486" t="str">
            <v>m2</v>
          </cell>
          <cell r="D486">
            <v>10.82</v>
          </cell>
          <cell r="E486">
            <v>3.49</v>
          </cell>
          <cell r="F486">
            <v>37.761800000000001</v>
          </cell>
          <cell r="G486">
            <v>0</v>
          </cell>
          <cell r="H486">
            <v>0</v>
          </cell>
          <cell r="I486" t="str">
            <v>0.00%</v>
          </cell>
          <cell r="J486">
            <v>0</v>
          </cell>
          <cell r="K486">
            <v>0</v>
          </cell>
          <cell r="L486" t="str">
            <v>0.00%</v>
          </cell>
          <cell r="M486">
            <v>0</v>
          </cell>
          <cell r="N486">
            <v>0</v>
          </cell>
          <cell r="O486" t="str">
            <v>0.00%</v>
          </cell>
          <cell r="P486">
            <v>10.82</v>
          </cell>
          <cell r="Q486">
            <v>37.761800000000001</v>
          </cell>
          <cell r="R486">
            <v>1</v>
          </cell>
        </row>
        <row r="487">
          <cell r="A487" t="str">
            <v>07.04.02</v>
          </cell>
          <cell r="B487" t="str">
            <v>MOVIMIENTO DE TIERRAS</v>
          </cell>
          <cell r="C487">
            <v>0</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row>
        <row r="488">
          <cell r="A488" t="str">
            <v>07.04.02.01</v>
          </cell>
          <cell r="B488" t="str">
            <v>EXCAVACION MANUAL EN TERRENO NORMAL h=0.30cm</v>
          </cell>
          <cell r="C488" t="str">
            <v>m3</v>
          </cell>
          <cell r="D488">
            <v>2.7</v>
          </cell>
          <cell r="E488">
            <v>38.020000000000003</v>
          </cell>
          <cell r="F488">
            <v>102.65400000000001</v>
          </cell>
          <cell r="G488">
            <v>0</v>
          </cell>
          <cell r="H488">
            <v>0</v>
          </cell>
          <cell r="I488" t="str">
            <v>0.00%</v>
          </cell>
          <cell r="J488">
            <v>0</v>
          </cell>
          <cell r="K488">
            <v>0</v>
          </cell>
          <cell r="L488" t="str">
            <v>0.00%</v>
          </cell>
          <cell r="M488">
            <v>0</v>
          </cell>
          <cell r="N488">
            <v>0</v>
          </cell>
          <cell r="O488" t="str">
            <v>0.00%</v>
          </cell>
          <cell r="P488">
            <v>2.7</v>
          </cell>
          <cell r="Q488">
            <v>102.65400000000001</v>
          </cell>
          <cell r="R488">
            <v>1</v>
          </cell>
        </row>
        <row r="489">
          <cell r="A489" t="str">
            <v>07.04.02.02</v>
          </cell>
          <cell r="B489" t="str">
            <v>ACARREO INTERNO, MATERIAL PROCEDENTE DE EXCAVACIONES  Y OTROS</v>
          </cell>
          <cell r="C489" t="str">
            <v>m3</v>
          </cell>
          <cell r="D489">
            <v>3.38</v>
          </cell>
          <cell r="E489">
            <v>19</v>
          </cell>
          <cell r="F489">
            <v>64.22</v>
          </cell>
          <cell r="G489">
            <v>0</v>
          </cell>
          <cell r="H489">
            <v>0</v>
          </cell>
          <cell r="I489" t="str">
            <v>0.00%</v>
          </cell>
          <cell r="J489">
            <v>0</v>
          </cell>
          <cell r="K489">
            <v>0</v>
          </cell>
          <cell r="L489" t="str">
            <v>0.00%</v>
          </cell>
          <cell r="M489">
            <v>0</v>
          </cell>
          <cell r="N489">
            <v>0</v>
          </cell>
          <cell r="O489" t="str">
            <v>0.00%</v>
          </cell>
          <cell r="P489">
            <v>3.38</v>
          </cell>
          <cell r="Q489">
            <v>64.22</v>
          </cell>
          <cell r="R489">
            <v>1</v>
          </cell>
        </row>
        <row r="490">
          <cell r="A490" t="str">
            <v>07.04.02.03</v>
          </cell>
          <cell r="B490" t="str">
            <v>ELIMINACION DE MATERIAL EXCEDENTE CON EQUIPO</v>
          </cell>
          <cell r="C490" t="str">
            <v>m3</v>
          </cell>
          <cell r="D490">
            <v>3.38</v>
          </cell>
          <cell r="E490">
            <v>14.64</v>
          </cell>
          <cell r="F490">
            <v>49.483200000000004</v>
          </cell>
          <cell r="G490">
            <v>0</v>
          </cell>
          <cell r="H490">
            <v>0</v>
          </cell>
          <cell r="I490" t="str">
            <v>0.00%</v>
          </cell>
          <cell r="J490">
            <v>0</v>
          </cell>
          <cell r="K490">
            <v>0</v>
          </cell>
          <cell r="L490" t="str">
            <v>0.00%</v>
          </cell>
          <cell r="M490">
            <v>0</v>
          </cell>
          <cell r="N490">
            <v>0</v>
          </cell>
          <cell r="O490" t="str">
            <v>0.00%</v>
          </cell>
          <cell r="P490">
            <v>3.38</v>
          </cell>
          <cell r="Q490">
            <v>49.483200000000004</v>
          </cell>
          <cell r="R490">
            <v>1</v>
          </cell>
        </row>
        <row r="491">
          <cell r="A491" t="str">
            <v>07.04.02.04</v>
          </cell>
          <cell r="B491" t="str">
            <v xml:space="preserve">AFIRMADO e=20 cm </v>
          </cell>
          <cell r="C491" t="str">
            <v>m3</v>
          </cell>
          <cell r="D491">
            <v>1.08</v>
          </cell>
          <cell r="E491">
            <v>82.36</v>
          </cell>
          <cell r="F491">
            <v>88.948800000000006</v>
          </cell>
          <cell r="G491">
            <v>0</v>
          </cell>
          <cell r="H491">
            <v>0</v>
          </cell>
          <cell r="I491" t="str">
            <v>0.00%</v>
          </cell>
          <cell r="J491">
            <v>0</v>
          </cell>
          <cell r="K491">
            <v>0</v>
          </cell>
          <cell r="L491" t="str">
            <v>0.00%</v>
          </cell>
          <cell r="M491">
            <v>0</v>
          </cell>
          <cell r="N491">
            <v>0</v>
          </cell>
          <cell r="O491" t="str">
            <v>0.00%</v>
          </cell>
          <cell r="P491">
            <v>1.08</v>
          </cell>
          <cell r="Q491">
            <v>88.948800000000006</v>
          </cell>
          <cell r="R491">
            <v>1</v>
          </cell>
        </row>
        <row r="492">
          <cell r="A492" t="str">
            <v>07.04.02.05</v>
          </cell>
          <cell r="B492" t="str">
            <v xml:space="preserve">NIVELACION Y COMPACTACION PARA FALSO PISOS, VEREDAS Y PATIOS </v>
          </cell>
          <cell r="C492" t="str">
            <v>m2</v>
          </cell>
          <cell r="D492">
            <v>10.82</v>
          </cell>
          <cell r="E492">
            <v>9.3800000000000008</v>
          </cell>
          <cell r="F492">
            <v>101.49160000000001</v>
          </cell>
          <cell r="G492">
            <v>0</v>
          </cell>
          <cell r="H492">
            <v>0</v>
          </cell>
          <cell r="I492" t="str">
            <v>0.00%</v>
          </cell>
          <cell r="J492">
            <v>0</v>
          </cell>
          <cell r="K492">
            <v>0</v>
          </cell>
          <cell r="L492" t="str">
            <v>0.00%</v>
          </cell>
          <cell r="M492">
            <v>0</v>
          </cell>
          <cell r="N492">
            <v>0</v>
          </cell>
          <cell r="O492" t="str">
            <v>0.00%</v>
          </cell>
          <cell r="P492">
            <v>10.82</v>
          </cell>
          <cell r="Q492">
            <v>101.49160000000001</v>
          </cell>
          <cell r="R492">
            <v>1</v>
          </cell>
        </row>
        <row r="493">
          <cell r="A493" t="str">
            <v>07.04.03</v>
          </cell>
          <cell r="B493" t="str">
            <v>OBRAS DE CONCRETO SIMPLE</v>
          </cell>
          <cell r="C493">
            <v>0</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row>
        <row r="494">
          <cell r="A494" t="str">
            <v>07.04.03.01</v>
          </cell>
          <cell r="B494" t="str">
            <v>CONCRETO F'C= 175 KG/CM2 EN GRADERIA</v>
          </cell>
          <cell r="C494" t="str">
            <v>m3</v>
          </cell>
          <cell r="D494">
            <v>1.76</v>
          </cell>
          <cell r="E494">
            <v>368.88</v>
          </cell>
          <cell r="F494">
            <v>649.22879999999998</v>
          </cell>
          <cell r="G494">
            <v>0</v>
          </cell>
          <cell r="H494">
            <v>0</v>
          </cell>
          <cell r="I494" t="str">
            <v>0.00%</v>
          </cell>
          <cell r="J494">
            <v>0</v>
          </cell>
          <cell r="K494">
            <v>0</v>
          </cell>
          <cell r="L494" t="str">
            <v>0.00%</v>
          </cell>
          <cell r="M494">
            <v>0</v>
          </cell>
          <cell r="N494">
            <v>0</v>
          </cell>
          <cell r="O494" t="str">
            <v>0.00%</v>
          </cell>
          <cell r="P494">
            <v>1.76</v>
          </cell>
          <cell r="Q494">
            <v>649.22879999999998</v>
          </cell>
          <cell r="R494">
            <v>1</v>
          </cell>
        </row>
        <row r="495">
          <cell r="A495" t="str">
            <v>07.04.03.02</v>
          </cell>
          <cell r="B495" t="str">
            <v>ENCOFRADO Y DESENCOFRADO NORMAL GRADERIA</v>
          </cell>
          <cell r="C495" t="str">
            <v>m2</v>
          </cell>
          <cell r="D495">
            <v>5.65</v>
          </cell>
          <cell r="E495">
            <v>35.26</v>
          </cell>
          <cell r="F495">
            <v>199.21899999999999</v>
          </cell>
          <cell r="G495">
            <v>0</v>
          </cell>
          <cell r="H495">
            <v>0</v>
          </cell>
          <cell r="I495" t="str">
            <v>0.00%</v>
          </cell>
          <cell r="J495">
            <v>0</v>
          </cell>
          <cell r="K495">
            <v>0</v>
          </cell>
          <cell r="L495" t="str">
            <v>0.00%</v>
          </cell>
          <cell r="M495">
            <v>0</v>
          </cell>
          <cell r="N495">
            <v>0</v>
          </cell>
          <cell r="O495" t="str">
            <v>0.00%</v>
          </cell>
          <cell r="P495">
            <v>5.65</v>
          </cell>
          <cell r="Q495">
            <v>199.21899999999999</v>
          </cell>
          <cell r="R495">
            <v>1</v>
          </cell>
        </row>
        <row r="496">
          <cell r="A496" t="str">
            <v>07.04.04</v>
          </cell>
          <cell r="B496" t="str">
            <v>JUNTAS DE CONSTRUCCION</v>
          </cell>
          <cell r="C496">
            <v>0</v>
          </cell>
          <cell r="D496">
            <v>0</v>
          </cell>
          <cell r="E496">
            <v>0</v>
          </cell>
          <cell r="F496">
            <v>0</v>
          </cell>
          <cell r="G496">
            <v>0</v>
          </cell>
          <cell r="H496">
            <v>0</v>
          </cell>
          <cell r="I496">
            <v>0</v>
          </cell>
          <cell r="J496">
            <v>0</v>
          </cell>
          <cell r="K496">
            <v>0</v>
          </cell>
          <cell r="L496">
            <v>0</v>
          </cell>
          <cell r="M496">
            <v>0</v>
          </cell>
          <cell r="N496">
            <v>0</v>
          </cell>
          <cell r="O496">
            <v>0</v>
          </cell>
          <cell r="P496">
            <v>0</v>
          </cell>
          <cell r="Q496">
            <v>0</v>
          </cell>
          <cell r="R496">
            <v>0</v>
          </cell>
        </row>
        <row r="497">
          <cell r="A497" t="str">
            <v>07.04.04.01</v>
          </cell>
          <cell r="B497" t="str">
            <v>JUNTAS DE TEKNOPOR DE  1"</v>
          </cell>
          <cell r="C497" t="str">
            <v>m</v>
          </cell>
          <cell r="D497">
            <v>37.200000000000003</v>
          </cell>
          <cell r="E497">
            <v>9.0500000000000007</v>
          </cell>
          <cell r="F497">
            <v>336.66</v>
          </cell>
          <cell r="G497">
            <v>0</v>
          </cell>
          <cell r="H497">
            <v>0</v>
          </cell>
          <cell r="I497" t="str">
            <v>0.00%</v>
          </cell>
          <cell r="J497">
            <v>0</v>
          </cell>
          <cell r="K497">
            <v>0</v>
          </cell>
          <cell r="L497" t="str">
            <v>0.00%</v>
          </cell>
          <cell r="M497">
            <v>0</v>
          </cell>
          <cell r="N497">
            <v>0</v>
          </cell>
          <cell r="O497" t="str">
            <v>0.00%</v>
          </cell>
          <cell r="P497">
            <v>37.200000000000003</v>
          </cell>
          <cell r="Q497">
            <v>336.66</v>
          </cell>
          <cell r="R497">
            <v>1</v>
          </cell>
        </row>
        <row r="498">
          <cell r="A498" t="str">
            <v>07.04.05</v>
          </cell>
          <cell r="B498" t="str">
            <v>PRUEBAS</v>
          </cell>
          <cell r="C498">
            <v>0</v>
          </cell>
          <cell r="D498">
            <v>0</v>
          </cell>
          <cell r="E498">
            <v>0</v>
          </cell>
          <cell r="F498">
            <v>0</v>
          </cell>
          <cell r="G498">
            <v>0</v>
          </cell>
          <cell r="H498">
            <v>0</v>
          </cell>
          <cell r="I498">
            <v>0</v>
          </cell>
          <cell r="J498">
            <v>0</v>
          </cell>
          <cell r="K498">
            <v>0</v>
          </cell>
          <cell r="L498">
            <v>0</v>
          </cell>
          <cell r="M498">
            <v>0</v>
          </cell>
          <cell r="N498">
            <v>0</v>
          </cell>
          <cell r="O498">
            <v>0</v>
          </cell>
          <cell r="P498">
            <v>0</v>
          </cell>
          <cell r="Q498">
            <v>0</v>
          </cell>
          <cell r="R498">
            <v>0</v>
          </cell>
        </row>
        <row r="499">
          <cell r="A499" t="str">
            <v>07.04.05.01</v>
          </cell>
          <cell r="B499" t="str">
            <v>PRUEBA DE CALIDAD DEL CONCRETO (PRUEBA A LA COMPRESION)</v>
          </cell>
          <cell r="C499" t="str">
            <v>und</v>
          </cell>
          <cell r="D499">
            <v>1</v>
          </cell>
          <cell r="E499">
            <v>40</v>
          </cell>
          <cell r="F499">
            <v>40</v>
          </cell>
          <cell r="G499">
            <v>0</v>
          </cell>
          <cell r="H499">
            <v>0</v>
          </cell>
          <cell r="I499" t="str">
            <v>0.00%</v>
          </cell>
          <cell r="J499">
            <v>0</v>
          </cell>
          <cell r="K499">
            <v>0</v>
          </cell>
          <cell r="L499" t="str">
            <v>0.00%</v>
          </cell>
          <cell r="M499">
            <v>0</v>
          </cell>
          <cell r="N499">
            <v>0</v>
          </cell>
          <cell r="O499" t="str">
            <v>0.00%</v>
          </cell>
          <cell r="P499">
            <v>1</v>
          </cell>
          <cell r="Q499">
            <v>40</v>
          </cell>
          <cell r="R499">
            <v>1</v>
          </cell>
        </row>
        <row r="500">
          <cell r="A500" t="str">
            <v>07.05</v>
          </cell>
          <cell r="B500" t="str">
            <v>ACCESO DE CIRCULACION</v>
          </cell>
          <cell r="C500">
            <v>0</v>
          </cell>
          <cell r="D500">
            <v>0</v>
          </cell>
          <cell r="E500">
            <v>0</v>
          </cell>
          <cell r="F500">
            <v>0</v>
          </cell>
          <cell r="G500">
            <v>0</v>
          </cell>
          <cell r="H500">
            <v>0</v>
          </cell>
          <cell r="I500">
            <v>0</v>
          </cell>
          <cell r="J500">
            <v>0</v>
          </cell>
          <cell r="K500">
            <v>0</v>
          </cell>
          <cell r="L500">
            <v>0</v>
          </cell>
          <cell r="M500">
            <v>0</v>
          </cell>
          <cell r="N500">
            <v>0</v>
          </cell>
          <cell r="O500">
            <v>0</v>
          </cell>
          <cell r="P500">
            <v>0</v>
          </cell>
          <cell r="Q500">
            <v>0</v>
          </cell>
          <cell r="R500">
            <v>0</v>
          </cell>
        </row>
        <row r="501">
          <cell r="A501" t="str">
            <v>07.05.01</v>
          </cell>
          <cell r="B501" t="str">
            <v>TRABAJOS PRELIMINARES</v>
          </cell>
          <cell r="C501">
            <v>0</v>
          </cell>
          <cell r="D501">
            <v>0</v>
          </cell>
          <cell r="E501">
            <v>0</v>
          </cell>
          <cell r="F501">
            <v>0</v>
          </cell>
          <cell r="G501">
            <v>0</v>
          </cell>
          <cell r="H501">
            <v>0</v>
          </cell>
          <cell r="I501">
            <v>0</v>
          </cell>
          <cell r="J501">
            <v>0</v>
          </cell>
          <cell r="K501">
            <v>0</v>
          </cell>
          <cell r="L501">
            <v>0</v>
          </cell>
          <cell r="M501">
            <v>0</v>
          </cell>
          <cell r="N501">
            <v>0</v>
          </cell>
          <cell r="O501">
            <v>0</v>
          </cell>
          <cell r="P501">
            <v>0</v>
          </cell>
          <cell r="Q501">
            <v>0</v>
          </cell>
          <cell r="R501">
            <v>0</v>
          </cell>
        </row>
        <row r="502">
          <cell r="A502" t="str">
            <v>07.05.01.01</v>
          </cell>
          <cell r="B502" t="str">
            <v>LIMPIEZA DE TERRENO MANUAL</v>
          </cell>
          <cell r="C502" t="str">
            <v>m2</v>
          </cell>
          <cell r="D502">
            <v>139.08000000000001</v>
          </cell>
          <cell r="E502">
            <v>1.0900000000000001</v>
          </cell>
          <cell r="F502">
            <v>151.59720000000002</v>
          </cell>
          <cell r="G502">
            <v>0</v>
          </cell>
          <cell r="H502">
            <v>0</v>
          </cell>
          <cell r="I502" t="str">
            <v>0.00%</v>
          </cell>
          <cell r="J502">
            <v>0</v>
          </cell>
          <cell r="K502">
            <v>0</v>
          </cell>
          <cell r="L502" t="str">
            <v>0.00%</v>
          </cell>
          <cell r="M502">
            <v>0</v>
          </cell>
          <cell r="N502">
            <v>0</v>
          </cell>
          <cell r="O502" t="str">
            <v>0.00%</v>
          </cell>
          <cell r="P502">
            <v>139.08000000000001</v>
          </cell>
          <cell r="Q502">
            <v>151.59720000000002</v>
          </cell>
          <cell r="R502">
            <v>1</v>
          </cell>
        </row>
        <row r="503">
          <cell r="A503" t="str">
            <v>07.05.01.02</v>
          </cell>
          <cell r="B503" t="str">
            <v>TRAZO DURANTE LA EJECUCION DE LA OBRA</v>
          </cell>
          <cell r="C503" t="str">
            <v>m2</v>
          </cell>
          <cell r="D503">
            <v>139.08000000000001</v>
          </cell>
          <cell r="E503">
            <v>3.49</v>
          </cell>
          <cell r="F503">
            <v>485.38920000000007</v>
          </cell>
          <cell r="G503">
            <v>0</v>
          </cell>
          <cell r="H503">
            <v>0</v>
          </cell>
          <cell r="I503" t="str">
            <v>0.00%</v>
          </cell>
          <cell r="J503">
            <v>0</v>
          </cell>
          <cell r="K503">
            <v>0</v>
          </cell>
          <cell r="L503" t="str">
            <v>0.00%</v>
          </cell>
          <cell r="M503">
            <v>0</v>
          </cell>
          <cell r="N503">
            <v>0</v>
          </cell>
          <cell r="O503" t="str">
            <v>0.00%</v>
          </cell>
          <cell r="P503">
            <v>139.08000000000001</v>
          </cell>
          <cell r="Q503">
            <v>485.38920000000007</v>
          </cell>
          <cell r="R503">
            <v>1</v>
          </cell>
        </row>
        <row r="504">
          <cell r="A504" t="str">
            <v>07.05.02</v>
          </cell>
          <cell r="B504" t="str">
            <v>MOVIMIENTO DE TIERRAS</v>
          </cell>
          <cell r="C504">
            <v>0</v>
          </cell>
          <cell r="D504">
            <v>0</v>
          </cell>
          <cell r="E504">
            <v>0</v>
          </cell>
          <cell r="F504">
            <v>0</v>
          </cell>
          <cell r="G504">
            <v>0</v>
          </cell>
          <cell r="H504">
            <v>0</v>
          </cell>
          <cell r="I504">
            <v>0</v>
          </cell>
          <cell r="J504">
            <v>0</v>
          </cell>
          <cell r="K504">
            <v>0</v>
          </cell>
          <cell r="L504">
            <v>0</v>
          </cell>
          <cell r="M504">
            <v>0</v>
          </cell>
          <cell r="N504">
            <v>0</v>
          </cell>
          <cell r="O504">
            <v>0</v>
          </cell>
          <cell r="P504">
            <v>0</v>
          </cell>
          <cell r="Q504">
            <v>0</v>
          </cell>
          <cell r="R504">
            <v>0</v>
          </cell>
        </row>
        <row r="505">
          <cell r="A505" t="str">
            <v>07.05.02.01</v>
          </cell>
          <cell r="B505" t="str">
            <v xml:space="preserve">EXCAVACION PARA CIMIENTOS-ZAPATAS </v>
          </cell>
          <cell r="C505" t="str">
            <v>m3</v>
          </cell>
          <cell r="D505">
            <v>27.82</v>
          </cell>
          <cell r="E505">
            <v>44.73</v>
          </cell>
          <cell r="F505">
            <v>1244.3886</v>
          </cell>
          <cell r="G505">
            <v>0</v>
          </cell>
          <cell r="H505">
            <v>0</v>
          </cell>
          <cell r="I505" t="str">
            <v>0.00%</v>
          </cell>
          <cell r="J505">
            <v>0</v>
          </cell>
          <cell r="K505">
            <v>0</v>
          </cell>
          <cell r="L505" t="str">
            <v>0.00%</v>
          </cell>
          <cell r="M505">
            <v>0</v>
          </cell>
          <cell r="N505">
            <v>0</v>
          </cell>
          <cell r="O505" t="str">
            <v>0.00%</v>
          </cell>
          <cell r="P505">
            <v>27.82</v>
          </cell>
          <cell r="Q505">
            <v>1244.3886</v>
          </cell>
          <cell r="R505">
            <v>1</v>
          </cell>
        </row>
        <row r="506">
          <cell r="A506" t="str">
            <v>07.05.02.02</v>
          </cell>
          <cell r="B506" t="str">
            <v>ACARREO INTERNO, MATERIAL PROCEDENTE DE EXCAVACIONES  Y OTROS</v>
          </cell>
          <cell r="C506" t="str">
            <v>m3</v>
          </cell>
          <cell r="D506">
            <v>34.78</v>
          </cell>
          <cell r="E506">
            <v>19</v>
          </cell>
          <cell r="F506">
            <v>660.82</v>
          </cell>
          <cell r="G506">
            <v>0</v>
          </cell>
          <cell r="H506">
            <v>0</v>
          </cell>
          <cell r="I506" t="str">
            <v>0.00%</v>
          </cell>
          <cell r="J506">
            <v>0</v>
          </cell>
          <cell r="K506">
            <v>0</v>
          </cell>
          <cell r="L506" t="str">
            <v>0.00%</v>
          </cell>
          <cell r="M506">
            <v>0</v>
          </cell>
          <cell r="N506">
            <v>0</v>
          </cell>
          <cell r="O506" t="str">
            <v>0.00%</v>
          </cell>
          <cell r="P506">
            <v>34.78</v>
          </cell>
          <cell r="Q506">
            <v>660.82</v>
          </cell>
          <cell r="R506">
            <v>1</v>
          </cell>
        </row>
        <row r="507">
          <cell r="A507" t="str">
            <v>07.05.02.03</v>
          </cell>
          <cell r="B507" t="str">
            <v>ELIMINACION DE MATERIAL EXCEDENTE CON EQUIPO</v>
          </cell>
          <cell r="C507" t="str">
            <v>m3</v>
          </cell>
          <cell r="D507">
            <v>34.78</v>
          </cell>
          <cell r="E507">
            <v>14.64</v>
          </cell>
          <cell r="F507">
            <v>509.17920000000004</v>
          </cell>
          <cell r="G507">
            <v>0</v>
          </cell>
          <cell r="H507">
            <v>0</v>
          </cell>
          <cell r="I507" t="str">
            <v>0.00%</v>
          </cell>
          <cell r="J507">
            <v>0</v>
          </cell>
          <cell r="K507">
            <v>0</v>
          </cell>
          <cell r="L507" t="str">
            <v>0.00%</v>
          </cell>
          <cell r="M507">
            <v>0</v>
          </cell>
          <cell r="N507">
            <v>0</v>
          </cell>
          <cell r="O507" t="str">
            <v>0.00%</v>
          </cell>
          <cell r="P507">
            <v>34.78</v>
          </cell>
          <cell r="Q507">
            <v>509.17920000000004</v>
          </cell>
          <cell r="R507">
            <v>1</v>
          </cell>
        </row>
        <row r="508">
          <cell r="A508" t="str">
            <v>07.05.02.04</v>
          </cell>
          <cell r="B508" t="str">
            <v xml:space="preserve">AFIRMADO e=20 cm </v>
          </cell>
          <cell r="C508" t="str">
            <v>m3</v>
          </cell>
          <cell r="D508">
            <v>13.91</v>
          </cell>
          <cell r="E508">
            <v>82.36</v>
          </cell>
          <cell r="F508">
            <v>1145.6276</v>
          </cell>
          <cell r="G508">
            <v>0</v>
          </cell>
          <cell r="H508">
            <v>0</v>
          </cell>
          <cell r="I508" t="str">
            <v>0.00%</v>
          </cell>
          <cell r="J508">
            <v>0</v>
          </cell>
          <cell r="K508">
            <v>0</v>
          </cell>
          <cell r="L508" t="str">
            <v>0.00%</v>
          </cell>
          <cell r="M508">
            <v>0</v>
          </cell>
          <cell r="N508">
            <v>0</v>
          </cell>
          <cell r="O508" t="str">
            <v>0.00%</v>
          </cell>
          <cell r="P508">
            <v>13.91</v>
          </cell>
          <cell r="Q508">
            <v>1145.6276</v>
          </cell>
          <cell r="R508">
            <v>1</v>
          </cell>
        </row>
        <row r="509">
          <cell r="A509" t="str">
            <v>07.05.02.05</v>
          </cell>
          <cell r="B509" t="str">
            <v xml:space="preserve">NIVELACION Y COMPACTACION PARA FALSO PISOS, VEREDAS Y PATIOS </v>
          </cell>
          <cell r="C509" t="str">
            <v>m2</v>
          </cell>
          <cell r="D509">
            <v>139.08000000000001</v>
          </cell>
          <cell r="E509">
            <v>9.3800000000000008</v>
          </cell>
          <cell r="F509">
            <v>1304.5704000000003</v>
          </cell>
          <cell r="G509">
            <v>0</v>
          </cell>
          <cell r="H509">
            <v>0</v>
          </cell>
          <cell r="I509" t="str">
            <v>0.00%</v>
          </cell>
          <cell r="J509">
            <v>0</v>
          </cell>
          <cell r="K509">
            <v>0</v>
          </cell>
          <cell r="L509" t="str">
            <v>0.00%</v>
          </cell>
          <cell r="M509">
            <v>0</v>
          </cell>
          <cell r="N509">
            <v>0</v>
          </cell>
          <cell r="O509" t="str">
            <v>0.00%</v>
          </cell>
          <cell r="P509">
            <v>139.08000000000001</v>
          </cell>
          <cell r="Q509">
            <v>1304.5704000000003</v>
          </cell>
          <cell r="R509">
            <v>1</v>
          </cell>
        </row>
        <row r="510">
          <cell r="A510" t="str">
            <v>07.06</v>
          </cell>
          <cell r="B510" t="str">
            <v>CISTERNA SUBTERRANEA, CASETA DE BOMBEO Y TANQUE ELEVADO</v>
          </cell>
          <cell r="C510">
            <v>0</v>
          </cell>
          <cell r="D510">
            <v>0</v>
          </cell>
          <cell r="E510">
            <v>0</v>
          </cell>
          <cell r="F510">
            <v>0</v>
          </cell>
          <cell r="G510">
            <v>0</v>
          </cell>
          <cell r="H510">
            <v>0</v>
          </cell>
          <cell r="I510">
            <v>0</v>
          </cell>
          <cell r="J510">
            <v>0</v>
          </cell>
          <cell r="K510">
            <v>0</v>
          </cell>
          <cell r="L510">
            <v>0</v>
          </cell>
          <cell r="M510">
            <v>0</v>
          </cell>
          <cell r="N510">
            <v>0</v>
          </cell>
          <cell r="O510">
            <v>0</v>
          </cell>
          <cell r="P510">
            <v>0</v>
          </cell>
          <cell r="Q510">
            <v>0</v>
          </cell>
          <cell r="R510">
            <v>0</v>
          </cell>
        </row>
        <row r="511">
          <cell r="A511" t="str">
            <v>07.06.01</v>
          </cell>
          <cell r="B511" t="str">
            <v>TRABAJOS PRELIMINARES</v>
          </cell>
          <cell r="C511">
            <v>0</v>
          </cell>
          <cell r="D511">
            <v>0</v>
          </cell>
          <cell r="E511">
            <v>0</v>
          </cell>
          <cell r="F511">
            <v>0</v>
          </cell>
          <cell r="G511">
            <v>0</v>
          </cell>
          <cell r="H511">
            <v>0</v>
          </cell>
          <cell r="I511">
            <v>0</v>
          </cell>
          <cell r="J511">
            <v>0</v>
          </cell>
          <cell r="K511">
            <v>0</v>
          </cell>
          <cell r="L511">
            <v>0</v>
          </cell>
          <cell r="M511">
            <v>0</v>
          </cell>
          <cell r="N511">
            <v>0</v>
          </cell>
          <cell r="O511">
            <v>0</v>
          </cell>
          <cell r="P511">
            <v>0</v>
          </cell>
          <cell r="Q511">
            <v>0</v>
          </cell>
          <cell r="R511">
            <v>0</v>
          </cell>
        </row>
        <row r="512">
          <cell r="A512" t="str">
            <v>07.06.01.01</v>
          </cell>
          <cell r="B512" t="str">
            <v>LIMPIEZA DE TERRENO MANUAL</v>
          </cell>
          <cell r="C512" t="str">
            <v>m2</v>
          </cell>
          <cell r="D512">
            <v>17.600000000000001</v>
          </cell>
          <cell r="E512">
            <v>1.0900000000000001</v>
          </cell>
          <cell r="F512">
            <v>19.184000000000005</v>
          </cell>
          <cell r="G512">
            <v>17.600000000000001</v>
          </cell>
          <cell r="H512">
            <v>19.184000000000005</v>
          </cell>
          <cell r="I512">
            <v>1</v>
          </cell>
          <cell r="J512">
            <v>0</v>
          </cell>
          <cell r="K512">
            <v>0</v>
          </cell>
          <cell r="L512" t="str">
            <v>0.00%</v>
          </cell>
          <cell r="M512">
            <v>17.600000000000001</v>
          </cell>
          <cell r="N512">
            <v>19.184000000000005</v>
          </cell>
          <cell r="O512">
            <v>1</v>
          </cell>
          <cell r="P512">
            <v>0</v>
          </cell>
          <cell r="Q512">
            <v>0</v>
          </cell>
          <cell r="R512" t="str">
            <v>0.00%</v>
          </cell>
        </row>
        <row r="513">
          <cell r="A513" t="str">
            <v>07.06.01.02</v>
          </cell>
          <cell r="B513" t="str">
            <v>TRAZO DURANTE LA EJECUCION DE LA OBRA</v>
          </cell>
          <cell r="C513" t="str">
            <v>m2</v>
          </cell>
          <cell r="D513">
            <v>17.600000000000001</v>
          </cell>
          <cell r="E513">
            <v>3.49</v>
          </cell>
          <cell r="F513">
            <v>61.424000000000007</v>
          </cell>
          <cell r="G513">
            <v>17.600000000000001</v>
          </cell>
          <cell r="H513">
            <v>61.424000000000007</v>
          </cell>
          <cell r="I513">
            <v>1</v>
          </cell>
          <cell r="J513">
            <v>0</v>
          </cell>
          <cell r="K513">
            <v>0</v>
          </cell>
          <cell r="L513" t="str">
            <v>0.00%</v>
          </cell>
          <cell r="M513">
            <v>17.600000000000001</v>
          </cell>
          <cell r="N513">
            <v>61.424000000000007</v>
          </cell>
          <cell r="O513">
            <v>1</v>
          </cell>
          <cell r="P513">
            <v>0</v>
          </cell>
          <cell r="Q513">
            <v>0</v>
          </cell>
          <cell r="R513" t="str">
            <v>0.00%</v>
          </cell>
        </row>
        <row r="514">
          <cell r="A514" t="str">
            <v>07.06.02</v>
          </cell>
          <cell r="B514" t="str">
            <v>MOVIMIENTO DE TIERRAS</v>
          </cell>
          <cell r="C514">
            <v>0</v>
          </cell>
          <cell r="D514">
            <v>0</v>
          </cell>
          <cell r="E514">
            <v>0</v>
          </cell>
          <cell r="F514">
            <v>0</v>
          </cell>
          <cell r="G514">
            <v>0</v>
          </cell>
          <cell r="H514">
            <v>0</v>
          </cell>
          <cell r="I514">
            <v>0</v>
          </cell>
          <cell r="J514">
            <v>0</v>
          </cell>
          <cell r="K514">
            <v>0</v>
          </cell>
          <cell r="L514">
            <v>0</v>
          </cell>
          <cell r="M514">
            <v>0</v>
          </cell>
          <cell r="N514">
            <v>0</v>
          </cell>
          <cell r="O514">
            <v>0</v>
          </cell>
          <cell r="P514">
            <v>0</v>
          </cell>
          <cell r="Q514">
            <v>0</v>
          </cell>
          <cell r="R514">
            <v>0</v>
          </cell>
        </row>
        <row r="515">
          <cell r="A515" t="str">
            <v>07.06.02.01</v>
          </cell>
          <cell r="B515" t="str">
            <v xml:space="preserve">EXCAVACION PARA CIMIENTOS-ZAPATAS </v>
          </cell>
          <cell r="C515" t="str">
            <v>m3</v>
          </cell>
          <cell r="D515">
            <v>44.87</v>
          </cell>
          <cell r="E515">
            <v>44.73</v>
          </cell>
          <cell r="F515">
            <v>2007.0350999999998</v>
          </cell>
          <cell r="G515">
            <v>44.87</v>
          </cell>
          <cell r="H515">
            <v>2007.0350999999998</v>
          </cell>
          <cell r="I515">
            <v>1</v>
          </cell>
          <cell r="J515">
            <v>0</v>
          </cell>
          <cell r="K515">
            <v>0</v>
          </cell>
          <cell r="L515" t="str">
            <v>0.00%</v>
          </cell>
          <cell r="M515">
            <v>44.87</v>
          </cell>
          <cell r="N515">
            <v>2007.0350999999998</v>
          </cell>
          <cell r="O515">
            <v>1</v>
          </cell>
          <cell r="P515">
            <v>0</v>
          </cell>
          <cell r="Q515">
            <v>0</v>
          </cell>
          <cell r="R515" t="str">
            <v>0.00%</v>
          </cell>
        </row>
        <row r="516">
          <cell r="A516" t="str">
            <v>07.06.02.02</v>
          </cell>
          <cell r="B516" t="str">
            <v>ELIMINACION DE MATERIAL EXCEDENTE CON EQUIPO</v>
          </cell>
          <cell r="C516" t="str">
            <v>m3</v>
          </cell>
          <cell r="D516">
            <v>56.09</v>
          </cell>
          <cell r="E516">
            <v>14.64</v>
          </cell>
          <cell r="F516">
            <v>821.15760000000012</v>
          </cell>
          <cell r="G516">
            <v>56.09</v>
          </cell>
          <cell r="H516">
            <v>821.15760000000012</v>
          </cell>
          <cell r="I516">
            <v>1</v>
          </cell>
          <cell r="J516">
            <v>0</v>
          </cell>
          <cell r="K516">
            <v>0</v>
          </cell>
          <cell r="L516" t="str">
            <v>0.00%</v>
          </cell>
          <cell r="M516">
            <v>56.09</v>
          </cell>
          <cell r="N516">
            <v>821.15760000000012</v>
          </cell>
          <cell r="O516">
            <v>1</v>
          </cell>
          <cell r="P516">
            <v>0</v>
          </cell>
          <cell r="Q516">
            <v>0</v>
          </cell>
          <cell r="R516" t="str">
            <v>0.00%</v>
          </cell>
        </row>
        <row r="517">
          <cell r="A517" t="str">
            <v>07.06.02.03</v>
          </cell>
          <cell r="B517" t="str">
            <v>NIVELACION INTERIOR APISONADO MANUAL</v>
          </cell>
          <cell r="C517" t="str">
            <v>m2</v>
          </cell>
          <cell r="D517">
            <v>17.600000000000001</v>
          </cell>
          <cell r="E517">
            <v>2.2000000000000002</v>
          </cell>
          <cell r="F517">
            <v>38.720000000000006</v>
          </cell>
          <cell r="G517">
            <v>0</v>
          </cell>
          <cell r="H517">
            <v>0</v>
          </cell>
          <cell r="I517" t="str">
            <v>0.00%</v>
          </cell>
          <cell r="J517">
            <v>17.600000000000001</v>
          </cell>
          <cell r="K517">
            <v>38.720000000000006</v>
          </cell>
          <cell r="L517">
            <v>1</v>
          </cell>
          <cell r="M517">
            <v>17.600000000000001</v>
          </cell>
          <cell r="N517">
            <v>38.720000000000006</v>
          </cell>
          <cell r="O517">
            <v>1</v>
          </cell>
          <cell r="P517">
            <v>0</v>
          </cell>
          <cell r="Q517">
            <v>0</v>
          </cell>
          <cell r="R517" t="str">
            <v>0.00%</v>
          </cell>
        </row>
        <row r="518">
          <cell r="A518" t="str">
            <v>07.06.03</v>
          </cell>
          <cell r="B518" t="str">
            <v>CONCRETO SIMPLE</v>
          </cell>
          <cell r="C518">
            <v>0</v>
          </cell>
          <cell r="D518">
            <v>0</v>
          </cell>
          <cell r="E518">
            <v>0</v>
          </cell>
          <cell r="F518">
            <v>0</v>
          </cell>
          <cell r="G518">
            <v>0</v>
          </cell>
          <cell r="H518">
            <v>0</v>
          </cell>
          <cell r="I518">
            <v>0</v>
          </cell>
          <cell r="J518">
            <v>0</v>
          </cell>
          <cell r="K518">
            <v>0</v>
          </cell>
          <cell r="L518">
            <v>0</v>
          </cell>
          <cell r="M518">
            <v>0</v>
          </cell>
          <cell r="N518">
            <v>0</v>
          </cell>
          <cell r="O518">
            <v>0</v>
          </cell>
          <cell r="P518">
            <v>0</v>
          </cell>
          <cell r="Q518">
            <v>0</v>
          </cell>
          <cell r="R518">
            <v>0</v>
          </cell>
        </row>
        <row r="519">
          <cell r="A519" t="str">
            <v>07.06.03.01</v>
          </cell>
          <cell r="B519" t="str">
            <v>SOLADOS</v>
          </cell>
          <cell r="C519">
            <v>0</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row>
        <row r="520">
          <cell r="A520" t="str">
            <v>07.06.03.01.01</v>
          </cell>
          <cell r="B520" t="str">
            <v>SOLADO E= 2" MEZCLA 1:12 CEMENTO-HORMIGON</v>
          </cell>
          <cell r="C520" t="str">
            <v>m2</v>
          </cell>
          <cell r="D520">
            <v>17.600000000000001</v>
          </cell>
          <cell r="E520">
            <v>29.02</v>
          </cell>
          <cell r="F520">
            <v>510.75200000000001</v>
          </cell>
          <cell r="G520">
            <v>0</v>
          </cell>
          <cell r="H520">
            <v>0</v>
          </cell>
          <cell r="I520" t="str">
            <v>0.00%</v>
          </cell>
          <cell r="J520">
            <v>17.600000000000001</v>
          </cell>
          <cell r="K520">
            <v>510.75200000000001</v>
          </cell>
          <cell r="L520">
            <v>1</v>
          </cell>
          <cell r="M520">
            <v>17.600000000000001</v>
          </cell>
          <cell r="N520">
            <v>510.75200000000001</v>
          </cell>
          <cell r="O520">
            <v>1</v>
          </cell>
          <cell r="P520">
            <v>0</v>
          </cell>
          <cell r="Q520">
            <v>0</v>
          </cell>
          <cell r="R520" t="str">
            <v>0.00%</v>
          </cell>
        </row>
        <row r="521">
          <cell r="A521" t="str">
            <v>07.06.04</v>
          </cell>
          <cell r="B521" t="str">
            <v>CONCRETO ARMADO</v>
          </cell>
          <cell r="C521">
            <v>0</v>
          </cell>
          <cell r="D521">
            <v>0</v>
          </cell>
          <cell r="E521">
            <v>0</v>
          </cell>
          <cell r="F521">
            <v>0</v>
          </cell>
          <cell r="G521">
            <v>0</v>
          </cell>
          <cell r="H521">
            <v>0</v>
          </cell>
          <cell r="I521">
            <v>0</v>
          </cell>
          <cell r="J521">
            <v>0</v>
          </cell>
          <cell r="K521">
            <v>0</v>
          </cell>
          <cell r="L521">
            <v>0</v>
          </cell>
          <cell r="M521">
            <v>0</v>
          </cell>
          <cell r="N521">
            <v>0</v>
          </cell>
          <cell r="O521">
            <v>0</v>
          </cell>
          <cell r="P521">
            <v>0</v>
          </cell>
          <cell r="Q521">
            <v>0</v>
          </cell>
          <cell r="R521">
            <v>0</v>
          </cell>
        </row>
        <row r="522">
          <cell r="A522" t="str">
            <v>07.06.04.01</v>
          </cell>
          <cell r="B522" t="str">
            <v>CISTERNA SUBTERRANEA</v>
          </cell>
          <cell r="C522">
            <v>0</v>
          </cell>
          <cell r="D522">
            <v>0</v>
          </cell>
          <cell r="E522">
            <v>0</v>
          </cell>
          <cell r="F522">
            <v>0</v>
          </cell>
          <cell r="G522">
            <v>0</v>
          </cell>
          <cell r="H522">
            <v>0</v>
          </cell>
          <cell r="I522">
            <v>0</v>
          </cell>
          <cell r="J522">
            <v>0</v>
          </cell>
          <cell r="K522">
            <v>0</v>
          </cell>
          <cell r="L522">
            <v>0</v>
          </cell>
          <cell r="M522">
            <v>0</v>
          </cell>
          <cell r="N522">
            <v>0</v>
          </cell>
          <cell r="O522">
            <v>0</v>
          </cell>
          <cell r="P522">
            <v>0</v>
          </cell>
          <cell r="Q522">
            <v>0</v>
          </cell>
          <cell r="R522">
            <v>0</v>
          </cell>
        </row>
        <row r="523">
          <cell r="A523" t="str">
            <v>07.06.04.01.01</v>
          </cell>
          <cell r="B523" t="str">
            <v>CONCRETO EN CISTERNA SUBTERRANEA F'C=210 KG/CM2</v>
          </cell>
          <cell r="C523" t="str">
            <v>m3</v>
          </cell>
          <cell r="D523">
            <v>19.440000000000001</v>
          </cell>
          <cell r="E523">
            <v>521.12</v>
          </cell>
          <cell r="F523">
            <v>10130.5728</v>
          </cell>
          <cell r="G523">
            <v>0</v>
          </cell>
          <cell r="H523">
            <v>0</v>
          </cell>
          <cell r="I523" t="str">
            <v>0.00%</v>
          </cell>
          <cell r="J523">
            <v>0</v>
          </cell>
          <cell r="K523">
            <v>0</v>
          </cell>
          <cell r="L523" t="str">
            <v>0.00%</v>
          </cell>
          <cell r="M523">
            <v>0</v>
          </cell>
          <cell r="N523">
            <v>0</v>
          </cell>
          <cell r="O523" t="str">
            <v>0.00%</v>
          </cell>
          <cell r="P523">
            <v>19.440000000000001</v>
          </cell>
          <cell r="Q523">
            <v>10130.5728</v>
          </cell>
          <cell r="R523">
            <v>1</v>
          </cell>
        </row>
        <row r="524">
          <cell r="A524" t="str">
            <v>07.06.04.01.02</v>
          </cell>
          <cell r="B524" t="str">
            <v>ACERO F'Y=4200 KG/CM2 GRADO 60 EN CISTERNA</v>
          </cell>
          <cell r="C524" t="str">
            <v>kg</v>
          </cell>
          <cell r="D524">
            <v>1362.57</v>
          </cell>
          <cell r="E524">
            <v>4.5</v>
          </cell>
          <cell r="F524">
            <v>6131.5649999999996</v>
          </cell>
          <cell r="G524">
            <v>0</v>
          </cell>
          <cell r="H524">
            <v>0</v>
          </cell>
          <cell r="I524" t="str">
            <v>0.00%</v>
          </cell>
          <cell r="J524">
            <v>1362.57</v>
          </cell>
          <cell r="K524">
            <v>6131.5649999999996</v>
          </cell>
          <cell r="L524">
            <v>1</v>
          </cell>
          <cell r="M524">
            <v>1362.57</v>
          </cell>
          <cell r="N524">
            <v>6131.5649999999996</v>
          </cell>
          <cell r="O524">
            <v>1</v>
          </cell>
          <cell r="P524">
            <v>0</v>
          </cell>
          <cell r="Q524">
            <v>0</v>
          </cell>
          <cell r="R524" t="str">
            <v>0.00%</v>
          </cell>
        </row>
        <row r="525">
          <cell r="A525" t="str">
            <v>07.06.04.01.03</v>
          </cell>
          <cell r="B525" t="str">
            <v>ENCOFRADO Y DESENCOFRADO NORMAL EN CISTERNA</v>
          </cell>
          <cell r="C525" t="str">
            <v>m2</v>
          </cell>
          <cell r="D525">
            <v>167.71</v>
          </cell>
          <cell r="E525">
            <v>49.71</v>
          </cell>
          <cell r="F525">
            <v>8336.8641000000007</v>
          </cell>
          <cell r="G525">
            <v>0</v>
          </cell>
          <cell r="H525">
            <v>0</v>
          </cell>
          <cell r="I525" t="str">
            <v>0.00%</v>
          </cell>
          <cell r="J525">
            <v>0</v>
          </cell>
          <cell r="K525">
            <v>0</v>
          </cell>
          <cell r="L525" t="str">
            <v>0.00%</v>
          </cell>
          <cell r="M525">
            <v>0</v>
          </cell>
          <cell r="N525">
            <v>0</v>
          </cell>
          <cell r="O525" t="str">
            <v>0.00%</v>
          </cell>
          <cell r="P525">
            <v>167.71</v>
          </cell>
          <cell r="Q525">
            <v>8336.8641000000007</v>
          </cell>
          <cell r="R525">
            <v>1</v>
          </cell>
        </row>
        <row r="526">
          <cell r="A526" t="str">
            <v>07.06.05</v>
          </cell>
          <cell r="B526" t="str">
            <v>PRUEBAS</v>
          </cell>
          <cell r="C526">
            <v>0</v>
          </cell>
          <cell r="D526">
            <v>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row>
        <row r="527">
          <cell r="A527" t="str">
            <v>07.06.05.01</v>
          </cell>
          <cell r="B527" t="str">
            <v>PRUEBA DE CALIDAD DEL CONCRETO (PRUEBA A LA COMPRESION)</v>
          </cell>
          <cell r="C527" t="str">
            <v>und</v>
          </cell>
          <cell r="D527">
            <v>1</v>
          </cell>
          <cell r="E527">
            <v>40</v>
          </cell>
          <cell r="F527">
            <v>40</v>
          </cell>
          <cell r="G527">
            <v>0</v>
          </cell>
          <cell r="H527">
            <v>0</v>
          </cell>
          <cell r="I527" t="str">
            <v>0.00%</v>
          </cell>
          <cell r="J527">
            <v>0</v>
          </cell>
          <cell r="K527">
            <v>0</v>
          </cell>
          <cell r="L527" t="str">
            <v>0.00%</v>
          </cell>
          <cell r="M527">
            <v>0</v>
          </cell>
          <cell r="N527">
            <v>0</v>
          </cell>
          <cell r="O527" t="str">
            <v>0.00%</v>
          </cell>
          <cell r="P527">
            <v>1</v>
          </cell>
          <cell r="Q527">
            <v>40</v>
          </cell>
          <cell r="R527">
            <v>1</v>
          </cell>
        </row>
        <row r="528">
          <cell r="A528" t="str">
            <v>07.07</v>
          </cell>
          <cell r="B528" t="str">
            <v>ATRIO DE INGRESO Y CONTROL</v>
          </cell>
          <cell r="C528">
            <v>0</v>
          </cell>
          <cell r="D528">
            <v>0</v>
          </cell>
          <cell r="E528">
            <v>0</v>
          </cell>
          <cell r="F528">
            <v>0</v>
          </cell>
          <cell r="G528">
            <v>0</v>
          </cell>
          <cell r="H528">
            <v>0</v>
          </cell>
          <cell r="I528">
            <v>0</v>
          </cell>
          <cell r="J528">
            <v>0</v>
          </cell>
          <cell r="K528">
            <v>0</v>
          </cell>
          <cell r="L528">
            <v>0</v>
          </cell>
          <cell r="M528">
            <v>0</v>
          </cell>
          <cell r="N528">
            <v>0</v>
          </cell>
          <cell r="O528">
            <v>0</v>
          </cell>
          <cell r="P528">
            <v>0</v>
          </cell>
          <cell r="Q528">
            <v>0</v>
          </cell>
          <cell r="R528">
            <v>0</v>
          </cell>
        </row>
        <row r="529">
          <cell r="A529" t="str">
            <v>07.07.01</v>
          </cell>
          <cell r="B529" t="str">
            <v>TRABAJOS PRELIMINARES</v>
          </cell>
          <cell r="C529">
            <v>0</v>
          </cell>
          <cell r="D529">
            <v>0</v>
          </cell>
          <cell r="E529">
            <v>0</v>
          </cell>
          <cell r="F529">
            <v>0</v>
          </cell>
          <cell r="G529">
            <v>0</v>
          </cell>
          <cell r="H529">
            <v>0</v>
          </cell>
          <cell r="I529">
            <v>0</v>
          </cell>
          <cell r="J529">
            <v>0</v>
          </cell>
          <cell r="K529">
            <v>0</v>
          </cell>
          <cell r="L529">
            <v>0</v>
          </cell>
          <cell r="M529">
            <v>0</v>
          </cell>
          <cell r="N529">
            <v>0</v>
          </cell>
          <cell r="O529">
            <v>0</v>
          </cell>
          <cell r="P529">
            <v>0</v>
          </cell>
          <cell r="Q529">
            <v>0</v>
          </cell>
          <cell r="R529">
            <v>0</v>
          </cell>
        </row>
        <row r="530">
          <cell r="A530" t="str">
            <v>07.07.01.01</v>
          </cell>
          <cell r="B530" t="str">
            <v>LIMPIEZA DE TERRENO MANUAL</v>
          </cell>
          <cell r="C530" t="str">
            <v>m2</v>
          </cell>
          <cell r="D530">
            <v>34.380000000000003</v>
          </cell>
          <cell r="E530">
            <v>1.0900000000000001</v>
          </cell>
          <cell r="F530">
            <v>37.474200000000003</v>
          </cell>
          <cell r="G530">
            <v>0</v>
          </cell>
          <cell r="H530">
            <v>0</v>
          </cell>
          <cell r="I530" t="str">
            <v>0.00%</v>
          </cell>
          <cell r="J530">
            <v>0</v>
          </cell>
          <cell r="K530">
            <v>0</v>
          </cell>
          <cell r="L530" t="str">
            <v>0.00%</v>
          </cell>
          <cell r="M530">
            <v>0</v>
          </cell>
          <cell r="N530">
            <v>0</v>
          </cell>
          <cell r="O530" t="str">
            <v>0.00%</v>
          </cell>
          <cell r="P530">
            <v>34.380000000000003</v>
          </cell>
          <cell r="Q530">
            <v>37.474200000000003</v>
          </cell>
          <cell r="R530">
            <v>1</v>
          </cell>
        </row>
        <row r="531">
          <cell r="A531" t="str">
            <v>07.07.01.02</v>
          </cell>
          <cell r="B531" t="str">
            <v>TRAZO DURANTE LA EJECUCION DE LA OBRA</v>
          </cell>
          <cell r="C531" t="str">
            <v>m2</v>
          </cell>
          <cell r="D531">
            <v>34.380000000000003</v>
          </cell>
          <cell r="E531">
            <v>3.49</v>
          </cell>
          <cell r="F531">
            <v>119.98620000000001</v>
          </cell>
          <cell r="G531">
            <v>0</v>
          </cell>
          <cell r="H531">
            <v>0</v>
          </cell>
          <cell r="I531" t="str">
            <v>0.00%</v>
          </cell>
          <cell r="J531">
            <v>0</v>
          </cell>
          <cell r="K531">
            <v>0</v>
          </cell>
          <cell r="L531" t="str">
            <v>0.00%</v>
          </cell>
          <cell r="M531">
            <v>0</v>
          </cell>
          <cell r="N531">
            <v>0</v>
          </cell>
          <cell r="O531" t="str">
            <v>0.00%</v>
          </cell>
          <cell r="P531">
            <v>34.380000000000003</v>
          </cell>
          <cell r="Q531">
            <v>119.98620000000001</v>
          </cell>
          <cell r="R531">
            <v>1</v>
          </cell>
        </row>
        <row r="532">
          <cell r="A532" t="str">
            <v>07.07.02</v>
          </cell>
          <cell r="B532" t="str">
            <v>MOVIMIENTO DE TIERRAS</v>
          </cell>
          <cell r="C532">
            <v>0</v>
          </cell>
          <cell r="D532">
            <v>0</v>
          </cell>
          <cell r="E532">
            <v>0</v>
          </cell>
          <cell r="F532">
            <v>0</v>
          </cell>
          <cell r="G532">
            <v>0</v>
          </cell>
          <cell r="H532">
            <v>0</v>
          </cell>
          <cell r="I532">
            <v>0</v>
          </cell>
          <cell r="J532">
            <v>0</v>
          </cell>
          <cell r="K532">
            <v>0</v>
          </cell>
          <cell r="L532">
            <v>0</v>
          </cell>
          <cell r="M532">
            <v>0</v>
          </cell>
          <cell r="N532">
            <v>0</v>
          </cell>
          <cell r="O532">
            <v>0</v>
          </cell>
          <cell r="P532">
            <v>0</v>
          </cell>
          <cell r="Q532">
            <v>0</v>
          </cell>
          <cell r="R532">
            <v>0</v>
          </cell>
        </row>
        <row r="533">
          <cell r="A533" t="str">
            <v>07.07.02.01</v>
          </cell>
          <cell r="B533" t="str">
            <v xml:space="preserve">EXCAVACION PARA CIMIENTOS-ZAPATAS </v>
          </cell>
          <cell r="C533" t="str">
            <v>m3</v>
          </cell>
          <cell r="D533">
            <v>2.56</v>
          </cell>
          <cell r="E533">
            <v>44.73</v>
          </cell>
          <cell r="F533">
            <v>114.50879999999999</v>
          </cell>
          <cell r="G533">
            <v>0</v>
          </cell>
          <cell r="H533">
            <v>0</v>
          </cell>
          <cell r="I533" t="str">
            <v>0.00%</v>
          </cell>
          <cell r="J533">
            <v>0</v>
          </cell>
          <cell r="K533">
            <v>0</v>
          </cell>
          <cell r="L533" t="str">
            <v>0.00%</v>
          </cell>
          <cell r="M533">
            <v>0</v>
          </cell>
          <cell r="N533">
            <v>0</v>
          </cell>
          <cell r="O533" t="str">
            <v>0.00%</v>
          </cell>
          <cell r="P533">
            <v>2.56</v>
          </cell>
          <cell r="Q533">
            <v>114.50879999999999</v>
          </cell>
          <cell r="R533">
            <v>1</v>
          </cell>
        </row>
        <row r="534">
          <cell r="A534" t="str">
            <v>07.07.02.02</v>
          </cell>
          <cell r="B534" t="str">
            <v>RELLENO COMPACTADO CON MATERIAL PROPIO EN CAPAS DE 0.20m.</v>
          </cell>
          <cell r="C534" t="str">
            <v>m3</v>
          </cell>
          <cell r="D534">
            <v>0.36</v>
          </cell>
          <cell r="E534">
            <v>53.95</v>
          </cell>
          <cell r="F534">
            <v>19.422000000000001</v>
          </cell>
          <cell r="G534">
            <v>0</v>
          </cell>
          <cell r="H534">
            <v>0</v>
          </cell>
          <cell r="I534" t="str">
            <v>0.00%</v>
          </cell>
          <cell r="J534">
            <v>0</v>
          </cell>
          <cell r="K534">
            <v>0</v>
          </cell>
          <cell r="L534" t="str">
            <v>0.00%</v>
          </cell>
          <cell r="M534">
            <v>0</v>
          </cell>
          <cell r="N534">
            <v>0</v>
          </cell>
          <cell r="O534" t="str">
            <v>0.00%</v>
          </cell>
          <cell r="P534">
            <v>0.36</v>
          </cell>
          <cell r="Q534">
            <v>19.422000000000001</v>
          </cell>
          <cell r="R534">
            <v>1</v>
          </cell>
        </row>
        <row r="535">
          <cell r="A535" t="str">
            <v>07.07.02.03</v>
          </cell>
          <cell r="B535" t="str">
            <v>ACARREO INTERNO, MATERIAL PROCEDENTE DE EXCAVACIONES  Y OTROS</v>
          </cell>
          <cell r="C535" t="str">
            <v>m3</v>
          </cell>
          <cell r="D535">
            <v>2.2000000000000002</v>
          </cell>
          <cell r="E535">
            <v>19</v>
          </cell>
          <cell r="F535">
            <v>41.800000000000004</v>
          </cell>
          <cell r="G535">
            <v>0</v>
          </cell>
          <cell r="H535">
            <v>0</v>
          </cell>
          <cell r="I535" t="str">
            <v>0.00%</v>
          </cell>
          <cell r="J535">
            <v>0</v>
          </cell>
          <cell r="K535">
            <v>0</v>
          </cell>
          <cell r="L535" t="str">
            <v>0.00%</v>
          </cell>
          <cell r="M535">
            <v>0</v>
          </cell>
          <cell r="N535">
            <v>0</v>
          </cell>
          <cell r="O535" t="str">
            <v>0.00%</v>
          </cell>
          <cell r="P535">
            <v>2.2000000000000002</v>
          </cell>
          <cell r="Q535">
            <v>41.800000000000004</v>
          </cell>
          <cell r="R535">
            <v>1</v>
          </cell>
        </row>
        <row r="536">
          <cell r="A536" t="str">
            <v>07.07.02.04</v>
          </cell>
          <cell r="B536" t="str">
            <v>ELIMINACION DE MATERIAL EXCEDENTE CON EQUIPO</v>
          </cell>
          <cell r="C536" t="str">
            <v>m3</v>
          </cell>
          <cell r="D536">
            <v>2.2000000000000002</v>
          </cell>
          <cell r="E536">
            <v>14.64</v>
          </cell>
          <cell r="F536">
            <v>32.208000000000006</v>
          </cell>
          <cell r="G536">
            <v>0</v>
          </cell>
          <cell r="H536">
            <v>0</v>
          </cell>
          <cell r="I536" t="str">
            <v>0.00%</v>
          </cell>
          <cell r="J536">
            <v>0</v>
          </cell>
          <cell r="K536">
            <v>0</v>
          </cell>
          <cell r="L536" t="str">
            <v>0.00%</v>
          </cell>
          <cell r="M536">
            <v>0</v>
          </cell>
          <cell r="N536">
            <v>0</v>
          </cell>
          <cell r="O536" t="str">
            <v>0.00%</v>
          </cell>
          <cell r="P536">
            <v>2.2000000000000002</v>
          </cell>
          <cell r="Q536">
            <v>32.208000000000006</v>
          </cell>
          <cell r="R536">
            <v>1</v>
          </cell>
        </row>
        <row r="537">
          <cell r="A537" t="str">
            <v>07.07.02.05</v>
          </cell>
          <cell r="B537" t="str">
            <v xml:space="preserve">AFIRMADO e=20 cm </v>
          </cell>
          <cell r="C537" t="str">
            <v>m3</v>
          </cell>
          <cell r="D537">
            <v>3.44</v>
          </cell>
          <cell r="E537">
            <v>82.36</v>
          </cell>
          <cell r="F537">
            <v>283.3184</v>
          </cell>
          <cell r="G537">
            <v>0</v>
          </cell>
          <cell r="H537">
            <v>0</v>
          </cell>
          <cell r="I537" t="str">
            <v>0.00%</v>
          </cell>
          <cell r="J537">
            <v>0</v>
          </cell>
          <cell r="K537">
            <v>0</v>
          </cell>
          <cell r="L537" t="str">
            <v>0.00%</v>
          </cell>
          <cell r="M537">
            <v>0</v>
          </cell>
          <cell r="N537">
            <v>0</v>
          </cell>
          <cell r="O537" t="str">
            <v>0.00%</v>
          </cell>
          <cell r="P537">
            <v>3.44</v>
          </cell>
          <cell r="Q537">
            <v>283.3184</v>
          </cell>
          <cell r="R537">
            <v>1</v>
          </cell>
        </row>
        <row r="538">
          <cell r="A538" t="str">
            <v>07.07.02.06</v>
          </cell>
          <cell r="B538" t="str">
            <v xml:space="preserve">NIVELACION Y COMPACTACION PARA FALSO PISOS, VEREDAS Y PATIOS </v>
          </cell>
          <cell r="C538" t="str">
            <v>m2</v>
          </cell>
          <cell r="D538">
            <v>34.380000000000003</v>
          </cell>
          <cell r="E538">
            <v>9.3800000000000008</v>
          </cell>
          <cell r="F538">
            <v>322.48440000000005</v>
          </cell>
          <cell r="G538">
            <v>0</v>
          </cell>
          <cell r="H538">
            <v>0</v>
          </cell>
          <cell r="I538" t="str">
            <v>0.00%</v>
          </cell>
          <cell r="J538">
            <v>0</v>
          </cell>
          <cell r="K538">
            <v>0</v>
          </cell>
          <cell r="L538" t="str">
            <v>0.00%</v>
          </cell>
          <cell r="M538">
            <v>0</v>
          </cell>
          <cell r="N538">
            <v>0</v>
          </cell>
          <cell r="O538" t="str">
            <v>0.00%</v>
          </cell>
          <cell r="P538">
            <v>34.380000000000003</v>
          </cell>
          <cell r="Q538">
            <v>322.48440000000005</v>
          </cell>
          <cell r="R538">
            <v>1</v>
          </cell>
        </row>
        <row r="539">
          <cell r="A539" t="str">
            <v>07.07.03</v>
          </cell>
          <cell r="B539" t="str">
            <v>CONCRETO SIMPLE</v>
          </cell>
          <cell r="C539">
            <v>0</v>
          </cell>
          <cell r="D539">
            <v>0</v>
          </cell>
          <cell r="E539">
            <v>0</v>
          </cell>
          <cell r="F539">
            <v>0</v>
          </cell>
          <cell r="G539">
            <v>0</v>
          </cell>
          <cell r="H539">
            <v>0</v>
          </cell>
          <cell r="I539">
            <v>0</v>
          </cell>
          <cell r="J539">
            <v>0</v>
          </cell>
          <cell r="K539">
            <v>0</v>
          </cell>
          <cell r="L539">
            <v>0</v>
          </cell>
          <cell r="M539">
            <v>0</v>
          </cell>
          <cell r="N539">
            <v>0</v>
          </cell>
          <cell r="O539">
            <v>0</v>
          </cell>
          <cell r="P539">
            <v>0</v>
          </cell>
          <cell r="Q539">
            <v>0</v>
          </cell>
          <cell r="R539">
            <v>0</v>
          </cell>
        </row>
        <row r="540">
          <cell r="A540" t="str">
            <v>07.07.03.01</v>
          </cell>
          <cell r="B540" t="str">
            <v>SOLADOS</v>
          </cell>
          <cell r="C540">
            <v>0</v>
          </cell>
          <cell r="D540">
            <v>0</v>
          </cell>
          <cell r="E540">
            <v>0</v>
          </cell>
          <cell r="F540">
            <v>0</v>
          </cell>
          <cell r="G540">
            <v>0</v>
          </cell>
          <cell r="H540">
            <v>0</v>
          </cell>
          <cell r="I540">
            <v>0</v>
          </cell>
          <cell r="J540">
            <v>0</v>
          </cell>
          <cell r="K540">
            <v>0</v>
          </cell>
          <cell r="L540">
            <v>0</v>
          </cell>
          <cell r="M540">
            <v>0</v>
          </cell>
          <cell r="N540">
            <v>0</v>
          </cell>
          <cell r="O540">
            <v>0</v>
          </cell>
          <cell r="P540">
            <v>0</v>
          </cell>
          <cell r="Q540">
            <v>0</v>
          </cell>
          <cell r="R540">
            <v>0</v>
          </cell>
        </row>
        <row r="541">
          <cell r="A541" t="str">
            <v>07.07.03.01.01</v>
          </cell>
          <cell r="B541" t="str">
            <v>SOLADO E= 2" MEZCLA 1:12 CEMENTO-HORMIGON</v>
          </cell>
          <cell r="C541" t="str">
            <v>m2</v>
          </cell>
          <cell r="D541">
            <v>6.4</v>
          </cell>
          <cell r="E541">
            <v>29.02</v>
          </cell>
          <cell r="F541">
            <v>185.72800000000001</v>
          </cell>
          <cell r="G541">
            <v>0</v>
          </cell>
          <cell r="H541">
            <v>0</v>
          </cell>
          <cell r="I541" t="str">
            <v>0.00%</v>
          </cell>
          <cell r="J541">
            <v>0</v>
          </cell>
          <cell r="K541">
            <v>0</v>
          </cell>
          <cell r="L541" t="str">
            <v>0.00%</v>
          </cell>
          <cell r="M541">
            <v>0</v>
          </cell>
          <cell r="N541">
            <v>0</v>
          </cell>
          <cell r="O541" t="str">
            <v>0.00%</v>
          </cell>
          <cell r="P541">
            <v>6.4</v>
          </cell>
          <cell r="Q541">
            <v>185.72800000000001</v>
          </cell>
          <cell r="R541">
            <v>1</v>
          </cell>
        </row>
        <row r="542">
          <cell r="A542" t="str">
            <v>07.07.03.02</v>
          </cell>
          <cell r="B542" t="str">
            <v>CIMIENTOS CORRIDOS</v>
          </cell>
          <cell r="C542">
            <v>0</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0</v>
          </cell>
        </row>
        <row r="543">
          <cell r="A543" t="str">
            <v>07.07.03.02.01</v>
          </cell>
          <cell r="B543" t="str">
            <v>CIMIENTOS CORRIDOS MEZCLA 1:10 CEMENTO-HORMIGON 30% PIEDRA</v>
          </cell>
          <cell r="C543" t="str">
            <v>m3</v>
          </cell>
          <cell r="D543">
            <v>2.56</v>
          </cell>
          <cell r="E543">
            <v>248.48</v>
          </cell>
          <cell r="F543">
            <v>636.10879999999997</v>
          </cell>
          <cell r="G543">
            <v>0</v>
          </cell>
          <cell r="H543">
            <v>0</v>
          </cell>
          <cell r="I543" t="str">
            <v>0.00%</v>
          </cell>
          <cell r="J543">
            <v>0</v>
          </cell>
          <cell r="K543">
            <v>0</v>
          </cell>
          <cell r="L543" t="str">
            <v>0.00%</v>
          </cell>
          <cell r="M543">
            <v>0</v>
          </cell>
          <cell r="N543">
            <v>0</v>
          </cell>
          <cell r="O543" t="str">
            <v>0.00%</v>
          </cell>
          <cell r="P543">
            <v>2.56</v>
          </cell>
          <cell r="Q543">
            <v>636.10879999999997</v>
          </cell>
          <cell r="R543">
            <v>1</v>
          </cell>
        </row>
        <row r="544">
          <cell r="A544" t="str">
            <v>07.07.03.03</v>
          </cell>
          <cell r="B544" t="str">
            <v>SOBRECIMIENTOS</v>
          </cell>
          <cell r="C544">
            <v>0</v>
          </cell>
          <cell r="D544">
            <v>0</v>
          </cell>
          <cell r="E544">
            <v>0</v>
          </cell>
          <cell r="F544">
            <v>0</v>
          </cell>
          <cell r="G544">
            <v>0</v>
          </cell>
          <cell r="H544">
            <v>0</v>
          </cell>
          <cell r="I544">
            <v>0</v>
          </cell>
          <cell r="J544">
            <v>0</v>
          </cell>
          <cell r="K544">
            <v>0</v>
          </cell>
          <cell r="L544">
            <v>0</v>
          </cell>
          <cell r="M544">
            <v>0</v>
          </cell>
          <cell r="N544">
            <v>0</v>
          </cell>
          <cell r="O544">
            <v>0</v>
          </cell>
          <cell r="P544">
            <v>0</v>
          </cell>
          <cell r="Q544">
            <v>0</v>
          </cell>
          <cell r="R544">
            <v>0</v>
          </cell>
        </row>
        <row r="545">
          <cell r="A545" t="str">
            <v>07.07.03.03.01</v>
          </cell>
          <cell r="B545" t="str">
            <v>CONCRETO 1:8+25% P.M. PARA SOBRECIMIENTOS</v>
          </cell>
          <cell r="C545" t="str">
            <v>m3</v>
          </cell>
          <cell r="D545">
            <v>0.48</v>
          </cell>
          <cell r="E545">
            <v>312.47000000000003</v>
          </cell>
          <cell r="F545">
            <v>149.98560000000001</v>
          </cell>
          <cell r="G545">
            <v>0</v>
          </cell>
          <cell r="H545">
            <v>0</v>
          </cell>
          <cell r="I545" t="str">
            <v>0.00%</v>
          </cell>
          <cell r="J545">
            <v>0</v>
          </cell>
          <cell r="K545">
            <v>0</v>
          </cell>
          <cell r="L545" t="str">
            <v>0.00%</v>
          </cell>
          <cell r="M545">
            <v>0</v>
          </cell>
          <cell r="N545">
            <v>0</v>
          </cell>
          <cell r="O545" t="str">
            <v>0.00%</v>
          </cell>
          <cell r="P545">
            <v>0.48</v>
          </cell>
          <cell r="Q545">
            <v>149.98560000000001</v>
          </cell>
          <cell r="R545">
            <v>1</v>
          </cell>
        </row>
        <row r="546">
          <cell r="A546" t="str">
            <v>07.07.03.03.02</v>
          </cell>
          <cell r="B546" t="str">
            <v>ENCOFRADO Y DESENCOFRADO NORMAL PARA SOBRECIMIENTOS HASTA 0.60M.</v>
          </cell>
          <cell r="C546" t="str">
            <v>m2</v>
          </cell>
          <cell r="D546">
            <v>6.4</v>
          </cell>
          <cell r="E546">
            <v>44.43</v>
          </cell>
          <cell r="F546">
            <v>284.35200000000003</v>
          </cell>
          <cell r="G546">
            <v>0</v>
          </cell>
          <cell r="H546">
            <v>0</v>
          </cell>
          <cell r="I546" t="str">
            <v>0.00%</v>
          </cell>
          <cell r="J546">
            <v>0</v>
          </cell>
          <cell r="K546">
            <v>0</v>
          </cell>
          <cell r="L546" t="str">
            <v>0.00%</v>
          </cell>
          <cell r="M546">
            <v>0</v>
          </cell>
          <cell r="N546">
            <v>0</v>
          </cell>
          <cell r="O546" t="str">
            <v>0.00%</v>
          </cell>
          <cell r="P546">
            <v>6.4</v>
          </cell>
          <cell r="Q546">
            <v>284.35200000000003</v>
          </cell>
          <cell r="R546">
            <v>1</v>
          </cell>
        </row>
        <row r="547">
          <cell r="A547" t="str">
            <v>07.07.04</v>
          </cell>
          <cell r="B547" t="str">
            <v>CONCRETO ARMADO</v>
          </cell>
          <cell r="C547">
            <v>0</v>
          </cell>
          <cell r="D547">
            <v>0</v>
          </cell>
          <cell r="E547">
            <v>0</v>
          </cell>
          <cell r="F547">
            <v>0</v>
          </cell>
          <cell r="G547">
            <v>0</v>
          </cell>
          <cell r="H547">
            <v>0</v>
          </cell>
          <cell r="I547">
            <v>0</v>
          </cell>
          <cell r="J547">
            <v>0</v>
          </cell>
          <cell r="K547">
            <v>0</v>
          </cell>
          <cell r="L547">
            <v>0</v>
          </cell>
          <cell r="M547">
            <v>0</v>
          </cell>
          <cell r="N547">
            <v>0</v>
          </cell>
          <cell r="O547">
            <v>0</v>
          </cell>
          <cell r="P547">
            <v>0</v>
          </cell>
          <cell r="Q547">
            <v>0</v>
          </cell>
          <cell r="R547">
            <v>0</v>
          </cell>
        </row>
        <row r="548">
          <cell r="A548" t="str">
            <v>07.07.04.01</v>
          </cell>
          <cell r="B548" t="str">
            <v>ZAPATAS</v>
          </cell>
          <cell r="C548">
            <v>0</v>
          </cell>
          <cell r="D548">
            <v>0</v>
          </cell>
          <cell r="E548">
            <v>0</v>
          </cell>
          <cell r="F548">
            <v>0</v>
          </cell>
          <cell r="G548">
            <v>0</v>
          </cell>
          <cell r="H548">
            <v>0</v>
          </cell>
          <cell r="I548">
            <v>0</v>
          </cell>
          <cell r="J548">
            <v>0</v>
          </cell>
          <cell r="K548">
            <v>0</v>
          </cell>
          <cell r="L548">
            <v>0</v>
          </cell>
          <cell r="M548">
            <v>0</v>
          </cell>
          <cell r="N548">
            <v>0</v>
          </cell>
          <cell r="O548">
            <v>0</v>
          </cell>
          <cell r="P548">
            <v>0</v>
          </cell>
          <cell r="Q548">
            <v>0</v>
          </cell>
          <cell r="R548">
            <v>0</v>
          </cell>
        </row>
        <row r="549">
          <cell r="A549" t="str">
            <v>07.07.04.01.01</v>
          </cell>
          <cell r="B549" t="str">
            <v>ACERO F'Y=4200 KG/CM2 GRADO 60 EN ZAPATAS</v>
          </cell>
          <cell r="C549" t="str">
            <v>kg</v>
          </cell>
          <cell r="D549">
            <v>493.52</v>
          </cell>
          <cell r="E549">
            <v>4.3</v>
          </cell>
          <cell r="F549">
            <v>2122.136</v>
          </cell>
          <cell r="G549">
            <v>0</v>
          </cell>
          <cell r="H549">
            <v>0</v>
          </cell>
          <cell r="I549" t="str">
            <v>0.00%</v>
          </cell>
          <cell r="J549">
            <v>0</v>
          </cell>
          <cell r="K549">
            <v>0</v>
          </cell>
          <cell r="L549" t="str">
            <v>0.00%</v>
          </cell>
          <cell r="M549">
            <v>0</v>
          </cell>
          <cell r="N549">
            <v>0</v>
          </cell>
          <cell r="O549" t="str">
            <v>0.00%</v>
          </cell>
          <cell r="P549">
            <v>493.52</v>
          </cell>
          <cell r="Q549">
            <v>2122.136</v>
          </cell>
          <cell r="R549">
            <v>1</v>
          </cell>
        </row>
        <row r="550">
          <cell r="A550" t="str">
            <v>07.07.04.01.02</v>
          </cell>
          <cell r="B550" t="str">
            <v>CONCRETO PARA ZAPATAS F'C=210 KG/CM2</v>
          </cell>
          <cell r="C550" t="str">
            <v>m3</v>
          </cell>
          <cell r="D550">
            <v>8</v>
          </cell>
          <cell r="E550">
            <v>427.63</v>
          </cell>
          <cell r="F550">
            <v>3421.04</v>
          </cell>
          <cell r="G550">
            <v>0</v>
          </cell>
          <cell r="H550">
            <v>0</v>
          </cell>
          <cell r="I550" t="str">
            <v>0.00%</v>
          </cell>
          <cell r="J550">
            <v>0</v>
          </cell>
          <cell r="K550">
            <v>0</v>
          </cell>
          <cell r="L550" t="str">
            <v>0.00%</v>
          </cell>
          <cell r="M550">
            <v>0</v>
          </cell>
          <cell r="N550">
            <v>0</v>
          </cell>
          <cell r="O550" t="str">
            <v>0.00%</v>
          </cell>
          <cell r="P550">
            <v>8</v>
          </cell>
          <cell r="Q550">
            <v>3421.04</v>
          </cell>
          <cell r="R550">
            <v>1</v>
          </cell>
        </row>
        <row r="551">
          <cell r="A551" t="str">
            <v>07.07.04.02</v>
          </cell>
          <cell r="B551" t="str">
            <v>COLUMNAS</v>
          </cell>
          <cell r="C551">
            <v>0</v>
          </cell>
          <cell r="D551">
            <v>0</v>
          </cell>
          <cell r="E551">
            <v>0</v>
          </cell>
          <cell r="F551">
            <v>0</v>
          </cell>
          <cell r="G551">
            <v>0</v>
          </cell>
          <cell r="H551">
            <v>0</v>
          </cell>
          <cell r="I551">
            <v>0</v>
          </cell>
          <cell r="J551">
            <v>0</v>
          </cell>
          <cell r="K551">
            <v>0</v>
          </cell>
          <cell r="L551">
            <v>0</v>
          </cell>
          <cell r="M551">
            <v>0</v>
          </cell>
          <cell r="N551">
            <v>0</v>
          </cell>
          <cell r="O551">
            <v>0</v>
          </cell>
          <cell r="P551">
            <v>0</v>
          </cell>
          <cell r="Q551">
            <v>0</v>
          </cell>
          <cell r="R551">
            <v>0</v>
          </cell>
        </row>
        <row r="552">
          <cell r="A552" t="str">
            <v>07.07.04.02.01</v>
          </cell>
          <cell r="B552" t="str">
            <v>CONCRETO EN COLUMNAS F'C=210 KG/CM2</v>
          </cell>
          <cell r="C552" t="str">
            <v>m3</v>
          </cell>
          <cell r="D552">
            <v>1.73</v>
          </cell>
          <cell r="E552">
            <v>521.12</v>
          </cell>
          <cell r="F552">
            <v>901.5376</v>
          </cell>
          <cell r="G552">
            <v>0</v>
          </cell>
          <cell r="H552">
            <v>0</v>
          </cell>
          <cell r="I552" t="str">
            <v>0.00%</v>
          </cell>
          <cell r="J552">
            <v>0</v>
          </cell>
          <cell r="K552">
            <v>0</v>
          </cell>
          <cell r="L552" t="str">
            <v>0.00%</v>
          </cell>
          <cell r="M552">
            <v>0</v>
          </cell>
          <cell r="N552">
            <v>0</v>
          </cell>
          <cell r="O552" t="str">
            <v>0.00%</v>
          </cell>
          <cell r="P552">
            <v>1.73</v>
          </cell>
          <cell r="Q552">
            <v>901.5376</v>
          </cell>
          <cell r="R552">
            <v>1</v>
          </cell>
        </row>
        <row r="553">
          <cell r="A553" t="str">
            <v>07.07.04.02.02</v>
          </cell>
          <cell r="B553" t="str">
            <v>ACERO F'Y=4200 KG/CM2 GRADO 60 EN COLUMNAS</v>
          </cell>
          <cell r="C553" t="str">
            <v>kg</v>
          </cell>
          <cell r="D553">
            <v>725.4</v>
          </cell>
          <cell r="E553">
            <v>4.5</v>
          </cell>
          <cell r="F553">
            <v>3264.2999999999997</v>
          </cell>
          <cell r="G553">
            <v>0</v>
          </cell>
          <cell r="H553">
            <v>0</v>
          </cell>
          <cell r="I553" t="str">
            <v>0.00%</v>
          </cell>
          <cell r="J553">
            <v>0</v>
          </cell>
          <cell r="K553">
            <v>0</v>
          </cell>
          <cell r="L553" t="str">
            <v>0.00%</v>
          </cell>
          <cell r="M553">
            <v>0</v>
          </cell>
          <cell r="N553">
            <v>0</v>
          </cell>
          <cell r="O553" t="str">
            <v>0.00%</v>
          </cell>
          <cell r="P553">
            <v>725.4</v>
          </cell>
          <cell r="Q553">
            <v>3264.2999999999997</v>
          </cell>
          <cell r="R553">
            <v>1</v>
          </cell>
        </row>
        <row r="554">
          <cell r="A554" t="str">
            <v>07.07.04.02.03</v>
          </cell>
          <cell r="B554" t="str">
            <v>ENCOFRADO Y DESENCOFRADO NORMAL EN COLUMNAS</v>
          </cell>
          <cell r="C554" t="str">
            <v>m2</v>
          </cell>
          <cell r="D554">
            <v>23.04</v>
          </cell>
          <cell r="E554">
            <v>49.71</v>
          </cell>
          <cell r="F554">
            <v>1145.3183999999999</v>
          </cell>
          <cell r="G554">
            <v>0</v>
          </cell>
          <cell r="H554">
            <v>0</v>
          </cell>
          <cell r="I554" t="str">
            <v>0.00%</v>
          </cell>
          <cell r="J554">
            <v>0</v>
          </cell>
          <cell r="K554">
            <v>0</v>
          </cell>
          <cell r="L554" t="str">
            <v>0.00%</v>
          </cell>
          <cell r="M554">
            <v>0</v>
          </cell>
          <cell r="N554">
            <v>0</v>
          </cell>
          <cell r="O554" t="str">
            <v>0.00%</v>
          </cell>
          <cell r="P554">
            <v>23.04</v>
          </cell>
          <cell r="Q554">
            <v>1145.3183999999999</v>
          </cell>
          <cell r="R554">
            <v>1</v>
          </cell>
        </row>
        <row r="555">
          <cell r="A555" t="str">
            <v>07.07.04.03</v>
          </cell>
          <cell r="B555" t="str">
            <v>VIGAS</v>
          </cell>
          <cell r="C555">
            <v>0</v>
          </cell>
          <cell r="D555">
            <v>0</v>
          </cell>
          <cell r="E555">
            <v>0</v>
          </cell>
          <cell r="F555">
            <v>0</v>
          </cell>
          <cell r="G555">
            <v>0</v>
          </cell>
          <cell r="H555">
            <v>0</v>
          </cell>
          <cell r="I555">
            <v>0</v>
          </cell>
          <cell r="J555">
            <v>0</v>
          </cell>
          <cell r="K555">
            <v>0</v>
          </cell>
          <cell r="L555">
            <v>0</v>
          </cell>
          <cell r="M555">
            <v>0</v>
          </cell>
          <cell r="N555">
            <v>0</v>
          </cell>
          <cell r="O555">
            <v>0</v>
          </cell>
          <cell r="P555">
            <v>0</v>
          </cell>
          <cell r="Q555">
            <v>0</v>
          </cell>
          <cell r="R555">
            <v>0</v>
          </cell>
        </row>
        <row r="556">
          <cell r="A556" t="str">
            <v>07.07.04.03.01</v>
          </cell>
          <cell r="B556" t="str">
            <v>CONCRETO EN VIGAS F'C=210 KG/CM2</v>
          </cell>
          <cell r="C556" t="str">
            <v>m3</v>
          </cell>
          <cell r="D556">
            <v>13.69</v>
          </cell>
          <cell r="E556">
            <v>486.07</v>
          </cell>
          <cell r="F556">
            <v>6654.2982999999995</v>
          </cell>
          <cell r="G556">
            <v>0</v>
          </cell>
          <cell r="H556">
            <v>0</v>
          </cell>
          <cell r="I556" t="str">
            <v>0.00%</v>
          </cell>
          <cell r="J556">
            <v>0</v>
          </cell>
          <cell r="K556">
            <v>0</v>
          </cell>
          <cell r="L556" t="str">
            <v>0.00%</v>
          </cell>
          <cell r="M556">
            <v>0</v>
          </cell>
          <cell r="N556">
            <v>0</v>
          </cell>
          <cell r="O556" t="str">
            <v>0.00%</v>
          </cell>
          <cell r="P556">
            <v>13.69</v>
          </cell>
          <cell r="Q556">
            <v>6654.2982999999995</v>
          </cell>
          <cell r="R556">
            <v>1</v>
          </cell>
        </row>
        <row r="557">
          <cell r="A557" t="str">
            <v>07.07.04.03.02</v>
          </cell>
          <cell r="B557" t="str">
            <v>ACERO F'Y=4200 KG/CM2 GRADO 60 EN VIGAS</v>
          </cell>
          <cell r="C557" t="str">
            <v>kg</v>
          </cell>
          <cell r="D557">
            <v>3141.54</v>
          </cell>
          <cell r="E557">
            <v>4.5</v>
          </cell>
          <cell r="F557">
            <v>14136.93</v>
          </cell>
          <cell r="G557">
            <v>0</v>
          </cell>
          <cell r="H557">
            <v>0</v>
          </cell>
          <cell r="I557" t="str">
            <v>0.00%</v>
          </cell>
          <cell r="J557">
            <v>0</v>
          </cell>
          <cell r="K557">
            <v>0</v>
          </cell>
          <cell r="L557" t="str">
            <v>0.00%</v>
          </cell>
          <cell r="M557">
            <v>0</v>
          </cell>
          <cell r="N557">
            <v>0</v>
          </cell>
          <cell r="O557" t="str">
            <v>0.00%</v>
          </cell>
          <cell r="P557">
            <v>3141.54</v>
          </cell>
          <cell r="Q557">
            <v>14136.93</v>
          </cell>
          <cell r="R557">
            <v>1</v>
          </cell>
        </row>
        <row r="558">
          <cell r="A558" t="str">
            <v>07.07.04.03.03</v>
          </cell>
          <cell r="B558" t="str">
            <v>ENCOFRADO Y DESNCOFRADO NORMAL EN VIGAS</v>
          </cell>
          <cell r="C558" t="str">
            <v>m2</v>
          </cell>
          <cell r="D558">
            <v>167.31</v>
          </cell>
          <cell r="E558">
            <v>54.02</v>
          </cell>
          <cell r="F558">
            <v>9038.0862000000016</v>
          </cell>
          <cell r="G558">
            <v>0</v>
          </cell>
          <cell r="H558">
            <v>0</v>
          </cell>
          <cell r="I558" t="str">
            <v>0.00%</v>
          </cell>
          <cell r="J558">
            <v>0</v>
          </cell>
          <cell r="K558">
            <v>0</v>
          </cell>
          <cell r="L558" t="str">
            <v>0.00%</v>
          </cell>
          <cell r="M558">
            <v>0</v>
          </cell>
          <cell r="N558">
            <v>0</v>
          </cell>
          <cell r="O558" t="str">
            <v>0.00%</v>
          </cell>
          <cell r="P558">
            <v>167.31</v>
          </cell>
          <cell r="Q558">
            <v>9038.0862000000016</v>
          </cell>
          <cell r="R558">
            <v>1</v>
          </cell>
        </row>
        <row r="559">
          <cell r="A559" t="str">
            <v>07.07.04.04</v>
          </cell>
          <cell r="B559" t="str">
            <v>LOSAS MACIZAS</v>
          </cell>
          <cell r="C559">
            <v>0</v>
          </cell>
          <cell r="D559">
            <v>0</v>
          </cell>
          <cell r="E559">
            <v>0</v>
          </cell>
          <cell r="F559">
            <v>0</v>
          </cell>
          <cell r="G559">
            <v>0</v>
          </cell>
          <cell r="H559">
            <v>0</v>
          </cell>
          <cell r="I559">
            <v>0</v>
          </cell>
          <cell r="J559">
            <v>0</v>
          </cell>
          <cell r="K559">
            <v>0</v>
          </cell>
          <cell r="L559">
            <v>0</v>
          </cell>
          <cell r="M559">
            <v>0</v>
          </cell>
          <cell r="N559">
            <v>0</v>
          </cell>
          <cell r="O559">
            <v>0</v>
          </cell>
          <cell r="P559">
            <v>0</v>
          </cell>
          <cell r="Q559">
            <v>0</v>
          </cell>
          <cell r="R559">
            <v>0</v>
          </cell>
        </row>
        <row r="560">
          <cell r="A560" t="str">
            <v>07.07.04.04.01</v>
          </cell>
          <cell r="B560" t="str">
            <v>CONCRETO EN LOSAS MACIZAS F'C=210 KG/CM2</v>
          </cell>
          <cell r="C560" t="str">
            <v>m3</v>
          </cell>
          <cell r="D560">
            <v>2</v>
          </cell>
          <cell r="E560">
            <v>459.51</v>
          </cell>
          <cell r="F560">
            <v>919.02</v>
          </cell>
          <cell r="G560">
            <v>0</v>
          </cell>
          <cell r="H560">
            <v>0</v>
          </cell>
          <cell r="I560" t="str">
            <v>0.00%</v>
          </cell>
          <cell r="J560">
            <v>0</v>
          </cell>
          <cell r="K560">
            <v>0</v>
          </cell>
          <cell r="L560" t="str">
            <v>0.00%</v>
          </cell>
          <cell r="M560">
            <v>0</v>
          </cell>
          <cell r="N560">
            <v>0</v>
          </cell>
          <cell r="O560" t="str">
            <v>0.00%</v>
          </cell>
          <cell r="P560">
            <v>2</v>
          </cell>
          <cell r="Q560">
            <v>919.02</v>
          </cell>
          <cell r="R560">
            <v>1</v>
          </cell>
        </row>
        <row r="561">
          <cell r="A561" t="str">
            <v>07.07.04.04.02</v>
          </cell>
          <cell r="B561" t="str">
            <v>ACERO F'Y=4200 KG/CM2 GRADO 60 EN LOSAS MACIZAS</v>
          </cell>
          <cell r="C561" t="str">
            <v>kg</v>
          </cell>
          <cell r="D561">
            <v>440.2</v>
          </cell>
          <cell r="E561">
            <v>4.13</v>
          </cell>
          <cell r="F561">
            <v>1818.0259999999998</v>
          </cell>
          <cell r="G561">
            <v>0</v>
          </cell>
          <cell r="H561">
            <v>0</v>
          </cell>
          <cell r="I561" t="str">
            <v>0.00%</v>
          </cell>
          <cell r="J561">
            <v>0</v>
          </cell>
          <cell r="K561">
            <v>0</v>
          </cell>
          <cell r="L561" t="str">
            <v>0.00%</v>
          </cell>
          <cell r="M561">
            <v>0</v>
          </cell>
          <cell r="N561">
            <v>0</v>
          </cell>
          <cell r="O561" t="str">
            <v>0.00%</v>
          </cell>
          <cell r="P561">
            <v>440.2</v>
          </cell>
          <cell r="Q561">
            <v>1818.0259999999998</v>
          </cell>
          <cell r="R561">
            <v>1</v>
          </cell>
        </row>
        <row r="562">
          <cell r="A562" t="str">
            <v>07.07.04.04.03</v>
          </cell>
          <cell r="B562" t="str">
            <v>ENCOFRADO Y DESENCOFRADO NORMAL DE LOSAS MACIZAS</v>
          </cell>
          <cell r="C562" t="str">
            <v>m2</v>
          </cell>
          <cell r="D562">
            <v>20</v>
          </cell>
          <cell r="E562">
            <v>43.54</v>
          </cell>
          <cell r="F562">
            <v>870.8</v>
          </cell>
          <cell r="G562">
            <v>0</v>
          </cell>
          <cell r="H562">
            <v>0</v>
          </cell>
          <cell r="I562" t="str">
            <v>0.00%</v>
          </cell>
          <cell r="J562">
            <v>0</v>
          </cell>
          <cell r="K562">
            <v>0</v>
          </cell>
          <cell r="L562" t="str">
            <v>0.00%</v>
          </cell>
          <cell r="M562">
            <v>0</v>
          </cell>
          <cell r="N562">
            <v>0</v>
          </cell>
          <cell r="O562" t="str">
            <v>0.00%</v>
          </cell>
          <cell r="P562">
            <v>20</v>
          </cell>
          <cell r="Q562">
            <v>870.8</v>
          </cell>
          <cell r="R562">
            <v>1</v>
          </cell>
        </row>
        <row r="563">
          <cell r="A563" t="str">
            <v>07.07.05</v>
          </cell>
          <cell r="B563" t="str">
            <v>JUNTAS DE CONSTRUCCION</v>
          </cell>
          <cell r="C563">
            <v>0</v>
          </cell>
          <cell r="D563">
            <v>0</v>
          </cell>
          <cell r="E563">
            <v>0</v>
          </cell>
          <cell r="F563">
            <v>0</v>
          </cell>
          <cell r="G563">
            <v>0</v>
          </cell>
          <cell r="H563">
            <v>0</v>
          </cell>
          <cell r="I563">
            <v>0</v>
          </cell>
          <cell r="J563">
            <v>0</v>
          </cell>
          <cell r="K563">
            <v>0</v>
          </cell>
          <cell r="L563">
            <v>0</v>
          </cell>
          <cell r="M563">
            <v>0</v>
          </cell>
          <cell r="N563">
            <v>0</v>
          </cell>
          <cell r="O563">
            <v>0</v>
          </cell>
          <cell r="P563">
            <v>0</v>
          </cell>
          <cell r="Q563">
            <v>0</v>
          </cell>
          <cell r="R563">
            <v>0</v>
          </cell>
        </row>
        <row r="564">
          <cell r="A564" t="str">
            <v>07.07.05.01</v>
          </cell>
          <cell r="B564" t="str">
            <v>JUNTAS DE TEKNOPOR DE  1"</v>
          </cell>
          <cell r="C564" t="str">
            <v>m</v>
          </cell>
          <cell r="D564">
            <v>35.6</v>
          </cell>
          <cell r="E564">
            <v>9.0500000000000007</v>
          </cell>
          <cell r="F564">
            <v>322.18000000000006</v>
          </cell>
          <cell r="G564">
            <v>0</v>
          </cell>
          <cell r="H564">
            <v>0</v>
          </cell>
          <cell r="I564" t="str">
            <v>0.00%</v>
          </cell>
          <cell r="J564">
            <v>0</v>
          </cell>
          <cell r="K564">
            <v>0</v>
          </cell>
          <cell r="L564" t="str">
            <v>0.00%</v>
          </cell>
          <cell r="M564">
            <v>0</v>
          </cell>
          <cell r="N564">
            <v>0</v>
          </cell>
          <cell r="O564" t="str">
            <v>0.00%</v>
          </cell>
          <cell r="P564">
            <v>35.6</v>
          </cell>
          <cell r="Q564">
            <v>322.18000000000006</v>
          </cell>
          <cell r="R564">
            <v>1</v>
          </cell>
        </row>
        <row r="565">
          <cell r="A565" t="str">
            <v>07.07.06</v>
          </cell>
          <cell r="B565" t="str">
            <v>PRUEBAS</v>
          </cell>
          <cell r="C565">
            <v>0</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row>
        <row r="566">
          <cell r="A566" t="str">
            <v>07.07.06.01</v>
          </cell>
          <cell r="B566" t="str">
            <v>PRUEBA DE CALIDAD DEL CONCRETO (PRUEBA A LA COMPRESION)</v>
          </cell>
          <cell r="C566" t="str">
            <v>und</v>
          </cell>
          <cell r="D566">
            <v>2</v>
          </cell>
          <cell r="E566">
            <v>40</v>
          </cell>
          <cell r="F566">
            <v>80</v>
          </cell>
          <cell r="G566">
            <v>0</v>
          </cell>
          <cell r="H566">
            <v>0</v>
          </cell>
          <cell r="I566" t="str">
            <v>0.00%</v>
          </cell>
          <cell r="J566">
            <v>0</v>
          </cell>
          <cell r="K566">
            <v>0</v>
          </cell>
          <cell r="L566" t="str">
            <v>0.00%</v>
          </cell>
          <cell r="M566">
            <v>0</v>
          </cell>
          <cell r="N566">
            <v>0</v>
          </cell>
          <cell r="O566" t="str">
            <v>0.00%</v>
          </cell>
          <cell r="P566">
            <v>2</v>
          </cell>
          <cell r="Q566">
            <v>80</v>
          </cell>
          <cell r="R566">
            <v>1</v>
          </cell>
        </row>
        <row r="567">
          <cell r="A567" t="str">
            <v>07.08</v>
          </cell>
          <cell r="B567" t="str">
            <v>MUROS DE CONTENCION</v>
          </cell>
          <cell r="C567">
            <v>0</v>
          </cell>
          <cell r="D567">
            <v>0</v>
          </cell>
          <cell r="E567">
            <v>0</v>
          </cell>
          <cell r="F567">
            <v>0</v>
          </cell>
          <cell r="G567">
            <v>0</v>
          </cell>
          <cell r="H567">
            <v>0</v>
          </cell>
          <cell r="I567">
            <v>0</v>
          </cell>
          <cell r="J567">
            <v>0</v>
          </cell>
          <cell r="K567">
            <v>0</v>
          </cell>
          <cell r="L567">
            <v>0</v>
          </cell>
          <cell r="M567">
            <v>0</v>
          </cell>
          <cell r="N567">
            <v>0</v>
          </cell>
          <cell r="O567">
            <v>0</v>
          </cell>
          <cell r="P567">
            <v>0</v>
          </cell>
          <cell r="Q567">
            <v>0</v>
          </cell>
          <cell r="R567">
            <v>0</v>
          </cell>
        </row>
        <row r="568">
          <cell r="A568" t="str">
            <v>07.08.01</v>
          </cell>
          <cell r="B568" t="str">
            <v>TRABAJOS PRELIMINARES</v>
          </cell>
          <cell r="C568">
            <v>0</v>
          </cell>
          <cell r="D568">
            <v>0</v>
          </cell>
          <cell r="E568">
            <v>0</v>
          </cell>
          <cell r="F568">
            <v>0</v>
          </cell>
          <cell r="G568">
            <v>0</v>
          </cell>
          <cell r="H568">
            <v>0</v>
          </cell>
          <cell r="I568">
            <v>0</v>
          </cell>
          <cell r="J568">
            <v>0</v>
          </cell>
          <cell r="K568">
            <v>0</v>
          </cell>
          <cell r="L568">
            <v>0</v>
          </cell>
          <cell r="M568">
            <v>0</v>
          </cell>
          <cell r="N568">
            <v>0</v>
          </cell>
          <cell r="O568">
            <v>0</v>
          </cell>
          <cell r="P568">
            <v>0</v>
          </cell>
          <cell r="Q568">
            <v>0</v>
          </cell>
          <cell r="R568">
            <v>0</v>
          </cell>
        </row>
        <row r="569">
          <cell r="A569" t="str">
            <v>07.08.01.01</v>
          </cell>
          <cell r="B569" t="str">
            <v>LIMPIEZA DE TERRENO MANUAL</v>
          </cell>
          <cell r="C569" t="str">
            <v>m2</v>
          </cell>
          <cell r="D569">
            <v>180.89</v>
          </cell>
          <cell r="E569">
            <v>1.0900000000000001</v>
          </cell>
          <cell r="F569">
            <v>197.17009999999999</v>
          </cell>
          <cell r="G569">
            <v>90.44</v>
          </cell>
          <cell r="H569">
            <v>98.579599999999999</v>
          </cell>
          <cell r="I569">
            <v>0.49997235889214442</v>
          </cell>
          <cell r="J569">
            <v>90.45</v>
          </cell>
          <cell r="K569">
            <v>98.590500000000006</v>
          </cell>
          <cell r="L569">
            <v>0.50002764110785569</v>
          </cell>
          <cell r="M569">
            <v>180.89</v>
          </cell>
          <cell r="N569">
            <v>197.17009999999999</v>
          </cell>
          <cell r="O569">
            <v>1</v>
          </cell>
          <cell r="P569">
            <v>0</v>
          </cell>
          <cell r="Q569">
            <v>0</v>
          </cell>
          <cell r="R569" t="str">
            <v>0.00%</v>
          </cell>
        </row>
        <row r="570">
          <cell r="A570" t="str">
            <v>07.08.01.02</v>
          </cell>
          <cell r="B570" t="str">
            <v>TRAZO DURANTE LA EJECUCION DE LA OBRA</v>
          </cell>
          <cell r="C570" t="str">
            <v>m2</v>
          </cell>
          <cell r="D570">
            <v>180.89</v>
          </cell>
          <cell r="E570">
            <v>3.49</v>
          </cell>
          <cell r="F570">
            <v>631.30610000000001</v>
          </cell>
          <cell r="G570">
            <v>90.44</v>
          </cell>
          <cell r="H570">
            <v>315.63560000000001</v>
          </cell>
          <cell r="I570">
            <v>0.49997235889214442</v>
          </cell>
          <cell r="J570">
            <v>90.45</v>
          </cell>
          <cell r="K570">
            <v>315.6705</v>
          </cell>
          <cell r="L570">
            <v>0.50002764110785558</v>
          </cell>
          <cell r="M570">
            <v>180.89</v>
          </cell>
          <cell r="N570">
            <v>631.30610000000001</v>
          </cell>
          <cell r="O570">
            <v>1</v>
          </cell>
          <cell r="P570">
            <v>0</v>
          </cell>
          <cell r="Q570">
            <v>0</v>
          </cell>
          <cell r="R570" t="str">
            <v>0.00%</v>
          </cell>
        </row>
        <row r="571">
          <cell r="A571" t="str">
            <v>07.08.02</v>
          </cell>
          <cell r="B571" t="str">
            <v>MOVIMIENTO DE TIERRAS</v>
          </cell>
          <cell r="C571">
            <v>0</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row>
        <row r="572">
          <cell r="A572" t="str">
            <v>07.08.02.01</v>
          </cell>
          <cell r="B572" t="str">
            <v>CORTE DE MATERIAL SUELTO CON MAQUINARIA</v>
          </cell>
          <cell r="C572" t="str">
            <v>m3</v>
          </cell>
          <cell r="D572">
            <v>222.81</v>
          </cell>
          <cell r="E572">
            <v>5.54</v>
          </cell>
          <cell r="F572">
            <v>1234.3674000000001</v>
          </cell>
          <cell r="G572">
            <v>44.04</v>
          </cell>
          <cell r="H572">
            <v>243.98159999999999</v>
          </cell>
          <cell r="I572">
            <v>0.19765719671468962</v>
          </cell>
          <cell r="J572">
            <v>178.77</v>
          </cell>
          <cell r="K572">
            <v>990.38580000000002</v>
          </cell>
          <cell r="L572">
            <v>0.80234280328531027</v>
          </cell>
          <cell r="M572">
            <v>222.81</v>
          </cell>
          <cell r="N572">
            <v>1234.3674000000001</v>
          </cell>
          <cell r="O572">
            <v>1</v>
          </cell>
          <cell r="P572">
            <v>0</v>
          </cell>
          <cell r="Q572">
            <v>0</v>
          </cell>
          <cell r="R572" t="str">
            <v>0.00%</v>
          </cell>
        </row>
        <row r="573">
          <cell r="A573" t="str">
            <v>07.08.02.02</v>
          </cell>
          <cell r="B573" t="str">
            <v>RELLENO COMPACTADO CON MATERIAL PROPIO EN CAPAS DE 0.20m.</v>
          </cell>
          <cell r="C573" t="str">
            <v>m3</v>
          </cell>
          <cell r="D573">
            <v>107.77</v>
          </cell>
          <cell r="E573">
            <v>53.95</v>
          </cell>
          <cell r="F573">
            <v>5814.1914999999999</v>
          </cell>
          <cell r="G573">
            <v>0</v>
          </cell>
          <cell r="H573">
            <v>0</v>
          </cell>
          <cell r="I573" t="str">
            <v>0.00%</v>
          </cell>
          <cell r="J573">
            <v>0</v>
          </cell>
          <cell r="K573">
            <v>0</v>
          </cell>
          <cell r="L573" t="str">
            <v>0.00%</v>
          </cell>
          <cell r="M573">
            <v>0</v>
          </cell>
          <cell r="N573">
            <v>0</v>
          </cell>
          <cell r="O573" t="str">
            <v>0.00%</v>
          </cell>
          <cell r="P573">
            <v>107.77</v>
          </cell>
          <cell r="Q573">
            <v>5814.1914999999999</v>
          </cell>
          <cell r="R573">
            <v>1</v>
          </cell>
        </row>
        <row r="574">
          <cell r="A574" t="str">
            <v>07.08.02.03</v>
          </cell>
          <cell r="B574" t="str">
            <v>ACARREO INTERNO, MATERIAL PROCEDENTE DE EXCAVACIONES  Y OTROS</v>
          </cell>
          <cell r="C574" t="str">
            <v>m3</v>
          </cell>
          <cell r="D574">
            <v>194.41</v>
          </cell>
          <cell r="E574">
            <v>19</v>
          </cell>
          <cell r="F574">
            <v>3693.79</v>
          </cell>
          <cell r="G574">
            <v>74.42</v>
          </cell>
          <cell r="H574">
            <v>1413.98</v>
          </cell>
          <cell r="I574">
            <v>0.38279923872228794</v>
          </cell>
          <cell r="J574">
            <v>119.99</v>
          </cell>
          <cell r="K574">
            <v>2279.81</v>
          </cell>
          <cell r="L574">
            <v>0.61720076127771206</v>
          </cell>
          <cell r="M574">
            <v>194.41</v>
          </cell>
          <cell r="N574">
            <v>3693.79</v>
          </cell>
          <cell r="O574">
            <v>1</v>
          </cell>
          <cell r="P574">
            <v>0</v>
          </cell>
          <cell r="Q574">
            <v>0</v>
          </cell>
          <cell r="R574" t="str">
            <v>0.00%</v>
          </cell>
        </row>
        <row r="575">
          <cell r="A575" t="str">
            <v>07.08.02.04</v>
          </cell>
          <cell r="B575" t="str">
            <v>ELIMINACION DE MATERIAL EXCEDENTE CON EQUIPO</v>
          </cell>
          <cell r="C575" t="str">
            <v>m3</v>
          </cell>
          <cell r="D575">
            <v>194.41</v>
          </cell>
          <cell r="E575">
            <v>14.64</v>
          </cell>
          <cell r="F575">
            <v>2846.1624000000002</v>
          </cell>
          <cell r="G575">
            <v>74.42</v>
          </cell>
          <cell r="H575">
            <v>1089.5088000000001</v>
          </cell>
          <cell r="I575">
            <v>0.38279923872228794</v>
          </cell>
          <cell r="J575">
            <v>119.99</v>
          </cell>
          <cell r="K575">
            <v>1756.6536000000001</v>
          </cell>
          <cell r="L575">
            <v>0.61720076127771206</v>
          </cell>
          <cell r="M575">
            <v>194.41</v>
          </cell>
          <cell r="N575">
            <v>2846.1624000000002</v>
          </cell>
          <cell r="O575">
            <v>1</v>
          </cell>
          <cell r="P575">
            <v>0</v>
          </cell>
          <cell r="Q575">
            <v>0</v>
          </cell>
          <cell r="R575" t="str">
            <v>0.00%</v>
          </cell>
        </row>
        <row r="576">
          <cell r="A576" t="str">
            <v>07.08.03</v>
          </cell>
          <cell r="B576" t="str">
            <v>MUROS DE CONTENCION DE CONCRETO CICLOPEO</v>
          </cell>
          <cell r="C576">
            <v>0</v>
          </cell>
          <cell r="D576">
            <v>0</v>
          </cell>
          <cell r="E576">
            <v>0</v>
          </cell>
          <cell r="F576">
            <v>0</v>
          </cell>
          <cell r="G576">
            <v>0</v>
          </cell>
          <cell r="H576">
            <v>0</v>
          </cell>
          <cell r="I576">
            <v>0</v>
          </cell>
          <cell r="J576">
            <v>0</v>
          </cell>
          <cell r="K576">
            <v>0</v>
          </cell>
          <cell r="L576">
            <v>0</v>
          </cell>
          <cell r="M576">
            <v>0</v>
          </cell>
          <cell r="N576">
            <v>0</v>
          </cell>
          <cell r="O576">
            <v>0</v>
          </cell>
          <cell r="P576">
            <v>0</v>
          </cell>
          <cell r="Q576">
            <v>0</v>
          </cell>
          <cell r="R576">
            <v>0</v>
          </cell>
        </row>
        <row r="577">
          <cell r="A577" t="str">
            <v>07.08.03.01</v>
          </cell>
          <cell r="B577" t="str">
            <v>CONCRETO CICLOPEO  FC=140 KG/CM2  + 70 % PG.</v>
          </cell>
          <cell r="C577" t="str">
            <v>m3</v>
          </cell>
          <cell r="D577">
            <v>193.96</v>
          </cell>
          <cell r="E577">
            <v>203.49</v>
          </cell>
          <cell r="F577">
            <v>39468.920400000003</v>
          </cell>
          <cell r="G577">
            <v>21.72</v>
          </cell>
          <cell r="H577">
            <v>4419.8028000000004</v>
          </cell>
          <cell r="I577">
            <v>0.11198185192823262</v>
          </cell>
          <cell r="J577">
            <v>29.670999999999996</v>
          </cell>
          <cell r="K577">
            <v>6037.7517899999993</v>
          </cell>
          <cell r="L577">
            <v>0.15297484017323157</v>
          </cell>
          <cell r="M577">
            <v>51.390999999999991</v>
          </cell>
          <cell r="N577">
            <v>10457.55459</v>
          </cell>
          <cell r="O577">
            <v>0.26495669210146422</v>
          </cell>
          <cell r="P577">
            <v>142.56900000000002</v>
          </cell>
          <cell r="Q577">
            <v>29011.365810000003</v>
          </cell>
          <cell r="R577">
            <v>0.73504330789853578</v>
          </cell>
        </row>
        <row r="578">
          <cell r="A578" t="str">
            <v>07.08.03.02</v>
          </cell>
          <cell r="B578" t="str">
            <v>ENCOFRADO Y DESENCOFRADO NORMAL EN MUROS DE CONTENCION</v>
          </cell>
          <cell r="C578" t="str">
            <v>m2</v>
          </cell>
          <cell r="D578">
            <v>516.24</v>
          </cell>
          <cell r="E578">
            <v>53.31</v>
          </cell>
          <cell r="F578">
            <v>27520.754400000002</v>
          </cell>
          <cell r="G578">
            <v>0</v>
          </cell>
          <cell r="H578">
            <v>0</v>
          </cell>
          <cell r="I578" t="str">
            <v>0.00%</v>
          </cell>
          <cell r="J578">
            <v>210.64399999999998</v>
          </cell>
          <cell r="K578">
            <v>11229.431639999999</v>
          </cell>
          <cell r="L578">
            <v>0.40803502247016887</v>
          </cell>
          <cell r="M578">
            <v>210.64399999999998</v>
          </cell>
          <cell r="N578">
            <v>11229.431639999999</v>
          </cell>
          <cell r="O578">
            <v>0.40803502247016887</v>
          </cell>
          <cell r="P578">
            <v>305.596</v>
          </cell>
          <cell r="Q578">
            <v>16291.322760000003</v>
          </cell>
          <cell r="R578">
            <v>0.59196497752983113</v>
          </cell>
        </row>
        <row r="579">
          <cell r="A579" t="str">
            <v>07.08.04</v>
          </cell>
          <cell r="B579" t="str">
            <v>MUROS DE CONTENCION DE CONCRETO ARMADO</v>
          </cell>
          <cell r="C579">
            <v>0</v>
          </cell>
          <cell r="D579">
            <v>0</v>
          </cell>
          <cell r="E579">
            <v>0</v>
          </cell>
          <cell r="F579">
            <v>0</v>
          </cell>
          <cell r="G579">
            <v>0</v>
          </cell>
          <cell r="H579">
            <v>0</v>
          </cell>
          <cell r="I579">
            <v>0</v>
          </cell>
          <cell r="J579">
            <v>0</v>
          </cell>
          <cell r="K579">
            <v>0</v>
          </cell>
          <cell r="L579">
            <v>0</v>
          </cell>
          <cell r="M579">
            <v>0</v>
          </cell>
          <cell r="N579">
            <v>0</v>
          </cell>
          <cell r="O579">
            <v>0</v>
          </cell>
          <cell r="P579">
            <v>0</v>
          </cell>
          <cell r="Q579">
            <v>0</v>
          </cell>
          <cell r="R579">
            <v>0</v>
          </cell>
        </row>
        <row r="580">
          <cell r="A580" t="str">
            <v>07.08.04.01</v>
          </cell>
          <cell r="B580" t="str">
            <v>CONCRETO EN MUROS DE CONTENCION F'C= 210 KG/CM2</v>
          </cell>
          <cell r="C580" t="str">
            <v>m3</v>
          </cell>
          <cell r="D580">
            <v>66.84</v>
          </cell>
          <cell r="E580">
            <v>547.66</v>
          </cell>
          <cell r="F580">
            <v>36605.594400000002</v>
          </cell>
          <cell r="G580">
            <v>0</v>
          </cell>
          <cell r="H580">
            <v>0</v>
          </cell>
          <cell r="I580" t="str">
            <v>0.00%</v>
          </cell>
          <cell r="J580">
            <v>0</v>
          </cell>
          <cell r="K580">
            <v>0</v>
          </cell>
          <cell r="L580" t="str">
            <v>0.00%</v>
          </cell>
          <cell r="M580">
            <v>0</v>
          </cell>
          <cell r="N580">
            <v>0</v>
          </cell>
          <cell r="O580" t="str">
            <v>0.00%</v>
          </cell>
          <cell r="P580">
            <v>66.84</v>
          </cell>
          <cell r="Q580">
            <v>36605.594400000002</v>
          </cell>
          <cell r="R580">
            <v>1</v>
          </cell>
        </row>
        <row r="581">
          <cell r="A581" t="str">
            <v>07.08.04.02</v>
          </cell>
          <cell r="B581" t="str">
            <v>ACERO F'Y=4200 KG/CM2 EN MURO DE CONTENCION</v>
          </cell>
          <cell r="C581" t="str">
            <v>kg</v>
          </cell>
          <cell r="D581">
            <v>5828.71</v>
          </cell>
          <cell r="E581">
            <v>4.3899999999999997</v>
          </cell>
          <cell r="F581">
            <v>25588.036899999999</v>
          </cell>
          <cell r="G581">
            <v>0</v>
          </cell>
          <cell r="H581">
            <v>0</v>
          </cell>
          <cell r="I581" t="str">
            <v>0.00%</v>
          </cell>
          <cell r="J581">
            <v>3044.6018999999997</v>
          </cell>
          <cell r="K581">
            <v>13365.802340999997</v>
          </cell>
          <cell r="L581">
            <v>0.52234575060347821</v>
          </cell>
          <cell r="M581">
            <v>3044.6018999999997</v>
          </cell>
          <cell r="N581">
            <v>13365.802340999997</v>
          </cell>
          <cell r="O581">
            <v>0.52234575060347821</v>
          </cell>
          <cell r="P581">
            <v>2784.1081000000004</v>
          </cell>
          <cell r="Q581">
            <v>12222.234559000002</v>
          </cell>
          <cell r="R581">
            <v>0.47765424939652179</v>
          </cell>
        </row>
        <row r="582">
          <cell r="A582" t="str">
            <v>07.08.04.03</v>
          </cell>
          <cell r="B582" t="str">
            <v>ENCOFRADO Y DESENCOF MUROS DE CONTENCION</v>
          </cell>
          <cell r="C582" t="str">
            <v>m2</v>
          </cell>
          <cell r="D582">
            <v>218.17</v>
          </cell>
          <cell r="E582">
            <v>38.049999999999997</v>
          </cell>
          <cell r="F582">
            <v>8301.3684999999987</v>
          </cell>
          <cell r="G582">
            <v>0</v>
          </cell>
          <cell r="H582">
            <v>0</v>
          </cell>
          <cell r="I582" t="str">
            <v>0.00%</v>
          </cell>
          <cell r="J582">
            <v>0</v>
          </cell>
          <cell r="K582">
            <v>0</v>
          </cell>
          <cell r="L582" t="str">
            <v>0.00%</v>
          </cell>
          <cell r="M582">
            <v>0</v>
          </cell>
          <cell r="N582">
            <v>0</v>
          </cell>
          <cell r="O582" t="str">
            <v>0.00%</v>
          </cell>
          <cell r="P582">
            <v>218.17</v>
          </cell>
          <cell r="Q582">
            <v>8301.3684999999987</v>
          </cell>
          <cell r="R582">
            <v>1</v>
          </cell>
        </row>
        <row r="583">
          <cell r="A583" t="str">
            <v>07.09</v>
          </cell>
          <cell r="B583" t="str">
            <v xml:space="preserve">CERCO PERIMETRICO </v>
          </cell>
          <cell r="C583">
            <v>0</v>
          </cell>
          <cell r="D583">
            <v>0</v>
          </cell>
          <cell r="E583">
            <v>0</v>
          </cell>
          <cell r="F583">
            <v>0</v>
          </cell>
          <cell r="G583">
            <v>0</v>
          </cell>
          <cell r="H583">
            <v>0</v>
          </cell>
          <cell r="I583">
            <v>0</v>
          </cell>
          <cell r="J583">
            <v>0</v>
          </cell>
          <cell r="K583">
            <v>0</v>
          </cell>
          <cell r="L583">
            <v>0</v>
          </cell>
          <cell r="M583">
            <v>0</v>
          </cell>
          <cell r="N583">
            <v>0</v>
          </cell>
          <cell r="O583">
            <v>0</v>
          </cell>
          <cell r="P583">
            <v>0</v>
          </cell>
          <cell r="Q583">
            <v>0</v>
          </cell>
          <cell r="R583">
            <v>0</v>
          </cell>
        </row>
        <row r="584">
          <cell r="A584" t="str">
            <v>07.09.01</v>
          </cell>
          <cell r="B584" t="str">
            <v>TRABAJOS PRELIMINARES</v>
          </cell>
          <cell r="C584">
            <v>0</v>
          </cell>
          <cell r="D584">
            <v>0</v>
          </cell>
          <cell r="E584">
            <v>0</v>
          </cell>
          <cell r="F584">
            <v>0</v>
          </cell>
          <cell r="G584">
            <v>0</v>
          </cell>
          <cell r="H584">
            <v>0</v>
          </cell>
          <cell r="I584">
            <v>0</v>
          </cell>
          <cell r="J584">
            <v>0</v>
          </cell>
          <cell r="K584">
            <v>0</v>
          </cell>
          <cell r="L584">
            <v>0</v>
          </cell>
          <cell r="M584">
            <v>0</v>
          </cell>
          <cell r="N584">
            <v>0</v>
          </cell>
          <cell r="O584">
            <v>0</v>
          </cell>
          <cell r="P584">
            <v>0</v>
          </cell>
          <cell r="Q584">
            <v>0</v>
          </cell>
          <cell r="R584">
            <v>0</v>
          </cell>
        </row>
        <row r="585">
          <cell r="A585" t="str">
            <v>07.09.01.01</v>
          </cell>
          <cell r="B585" t="str">
            <v>LIMPIEZA DE TERRENO MANUAL</v>
          </cell>
          <cell r="C585" t="str">
            <v>m2</v>
          </cell>
          <cell r="D585">
            <v>361.78</v>
          </cell>
          <cell r="E585">
            <v>1.0900000000000001</v>
          </cell>
          <cell r="F585">
            <v>394.34019999999998</v>
          </cell>
          <cell r="G585">
            <v>180.89099999999999</v>
          </cell>
          <cell r="H585">
            <v>197.17119</v>
          </cell>
          <cell r="I585">
            <v>0.50000276411078559</v>
          </cell>
          <cell r="J585">
            <v>180.88499999999999</v>
          </cell>
          <cell r="K585">
            <v>197.16464999999999</v>
          </cell>
          <cell r="L585">
            <v>0.49998617944607221</v>
          </cell>
          <cell r="M585">
            <v>361.77599999999995</v>
          </cell>
          <cell r="N585">
            <v>394.33583999999996</v>
          </cell>
          <cell r="O585">
            <v>0.99998894355685775</v>
          </cell>
          <cell r="P585">
            <v>4.0000000000190994E-3</v>
          </cell>
          <cell r="Q585">
            <v>4.3600000000196815E-3</v>
          </cell>
          <cell r="R585">
            <v>1.1056443142291051E-5</v>
          </cell>
        </row>
        <row r="586">
          <cell r="A586" t="str">
            <v>07.09.01.02</v>
          </cell>
          <cell r="B586" t="str">
            <v>TRAZO DURANTE LA EJECUCION DE LA OBRA</v>
          </cell>
          <cell r="C586" t="str">
            <v>m2</v>
          </cell>
          <cell r="D586">
            <v>361.78</v>
          </cell>
          <cell r="E586">
            <v>3.49</v>
          </cell>
          <cell r="F586">
            <v>1262.6122</v>
          </cell>
          <cell r="G586">
            <v>180.89099999999999</v>
          </cell>
          <cell r="H586">
            <v>631.30958999999996</v>
          </cell>
          <cell r="I586">
            <v>0.50000276411078548</v>
          </cell>
          <cell r="J586">
            <v>180.88900000000001</v>
          </cell>
          <cell r="K586">
            <v>631.30261000000007</v>
          </cell>
          <cell r="L586">
            <v>0.49999723588921446</v>
          </cell>
          <cell r="M586">
            <v>361.78</v>
          </cell>
          <cell r="N586">
            <v>1262.6122</v>
          </cell>
          <cell r="O586">
            <v>1</v>
          </cell>
          <cell r="P586">
            <v>0</v>
          </cell>
          <cell r="Q586">
            <v>0</v>
          </cell>
          <cell r="R586" t="str">
            <v>0.00%</v>
          </cell>
        </row>
        <row r="587">
          <cell r="A587" t="str">
            <v>07.09.02</v>
          </cell>
          <cell r="B587" t="str">
            <v>CONCRETO SIMPLE</v>
          </cell>
          <cell r="C587">
            <v>0</v>
          </cell>
          <cell r="D587">
            <v>0</v>
          </cell>
          <cell r="E587">
            <v>0</v>
          </cell>
          <cell r="F587">
            <v>0</v>
          </cell>
          <cell r="G587">
            <v>0</v>
          </cell>
          <cell r="H587">
            <v>0</v>
          </cell>
          <cell r="I587">
            <v>0</v>
          </cell>
          <cell r="J587">
            <v>0</v>
          </cell>
          <cell r="K587">
            <v>0</v>
          </cell>
          <cell r="L587">
            <v>0</v>
          </cell>
          <cell r="M587">
            <v>0</v>
          </cell>
          <cell r="N587">
            <v>0</v>
          </cell>
          <cell r="O587">
            <v>0</v>
          </cell>
          <cell r="P587">
            <v>0</v>
          </cell>
          <cell r="Q587">
            <v>0</v>
          </cell>
          <cell r="R587">
            <v>0</v>
          </cell>
        </row>
        <row r="588">
          <cell r="A588" t="str">
            <v>07.09.02.01</v>
          </cell>
          <cell r="B588" t="str">
            <v>SOBRECIMIENTOS</v>
          </cell>
          <cell r="C588">
            <v>0</v>
          </cell>
          <cell r="D588">
            <v>0</v>
          </cell>
          <cell r="E588">
            <v>0</v>
          </cell>
          <cell r="F588">
            <v>0</v>
          </cell>
          <cell r="G588">
            <v>0</v>
          </cell>
          <cell r="H588">
            <v>0</v>
          </cell>
          <cell r="I588">
            <v>0</v>
          </cell>
          <cell r="J588">
            <v>0</v>
          </cell>
          <cell r="K588">
            <v>0</v>
          </cell>
          <cell r="L588">
            <v>0</v>
          </cell>
          <cell r="M588">
            <v>0</v>
          </cell>
          <cell r="N588">
            <v>0</v>
          </cell>
          <cell r="O588">
            <v>0</v>
          </cell>
          <cell r="P588">
            <v>0</v>
          </cell>
          <cell r="Q588">
            <v>0</v>
          </cell>
          <cell r="R588">
            <v>0</v>
          </cell>
        </row>
        <row r="589">
          <cell r="A589" t="str">
            <v>07.09.02.01.01</v>
          </cell>
          <cell r="B589" t="str">
            <v>CONCRETO 1:8+25% P.M. PARA SOBRECIMIENTOS</v>
          </cell>
          <cell r="C589" t="str">
            <v>m3</v>
          </cell>
          <cell r="D589">
            <v>3.32</v>
          </cell>
          <cell r="E589">
            <v>312.47000000000003</v>
          </cell>
          <cell r="F589">
            <v>1037.4004</v>
          </cell>
          <cell r="G589">
            <v>0</v>
          </cell>
          <cell r="H589">
            <v>0</v>
          </cell>
          <cell r="I589" t="str">
            <v>0.00%</v>
          </cell>
          <cell r="J589">
            <v>2.3058000000000001</v>
          </cell>
          <cell r="K589">
            <v>720.49332600000014</v>
          </cell>
          <cell r="L589">
            <v>0.69451807228915674</v>
          </cell>
          <cell r="M589">
            <v>2.3058000000000001</v>
          </cell>
          <cell r="N589">
            <v>720.49332600000014</v>
          </cell>
          <cell r="O589">
            <v>0.69451807228915674</v>
          </cell>
          <cell r="P589">
            <v>1.0141999999999998</v>
          </cell>
          <cell r="Q589">
            <v>316.90707399999985</v>
          </cell>
          <cell r="R589">
            <v>0.30548192771084326</v>
          </cell>
        </row>
        <row r="590">
          <cell r="A590" t="str">
            <v>07.09.02.01.02</v>
          </cell>
          <cell r="B590" t="str">
            <v>ENCOFRADO Y DESENCOFRADO NORMAL PARA SOBRECIMIENTOS HASTA 0.60M.</v>
          </cell>
          <cell r="C590" t="str">
            <v>m2</v>
          </cell>
          <cell r="D590">
            <v>74.430000000000007</v>
          </cell>
          <cell r="E590">
            <v>44.43</v>
          </cell>
          <cell r="F590">
            <v>3306.9249000000004</v>
          </cell>
          <cell r="G590">
            <v>0</v>
          </cell>
          <cell r="H590">
            <v>0</v>
          </cell>
          <cell r="I590" t="str">
            <v>0.00%</v>
          </cell>
          <cell r="J590">
            <v>30.744</v>
          </cell>
          <cell r="K590">
            <v>1365.9559199999999</v>
          </cell>
          <cell r="L590">
            <v>0.41305925030229734</v>
          </cell>
          <cell r="M590">
            <v>30.744</v>
          </cell>
          <cell r="N590">
            <v>1365.9559199999999</v>
          </cell>
          <cell r="O590">
            <v>0.41305925030229734</v>
          </cell>
          <cell r="P590">
            <v>43.686000000000007</v>
          </cell>
          <cell r="Q590">
            <v>1940.9689800000006</v>
          </cell>
          <cell r="R590">
            <v>0.5869407496977026</v>
          </cell>
        </row>
        <row r="591">
          <cell r="A591" t="str">
            <v>07.09.02.02</v>
          </cell>
          <cell r="B591" t="str">
            <v>CALZADURAS DE CONCRETO SIMPLE</v>
          </cell>
          <cell r="C591">
            <v>0</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row>
        <row r="592">
          <cell r="A592" t="str">
            <v>07.09.02.02.01</v>
          </cell>
          <cell r="B592" t="str">
            <v>CONCRETO 1:12 +30% P.G. PARA CALZADURAS</v>
          </cell>
          <cell r="C592" t="str">
            <v>m3</v>
          </cell>
          <cell r="D592">
            <v>140.56</v>
          </cell>
          <cell r="E592">
            <v>331.23</v>
          </cell>
          <cell r="F592">
            <v>46557.688800000004</v>
          </cell>
          <cell r="G592">
            <v>0</v>
          </cell>
          <cell r="H592">
            <v>0</v>
          </cell>
          <cell r="I592" t="str">
            <v>0.00%</v>
          </cell>
          <cell r="J592">
            <v>140.56</v>
          </cell>
          <cell r="K592">
            <v>46557.688800000004</v>
          </cell>
          <cell r="L592">
            <v>1</v>
          </cell>
          <cell r="M592">
            <v>140.56</v>
          </cell>
          <cell r="N592">
            <v>46557.688800000004</v>
          </cell>
          <cell r="O592">
            <v>1</v>
          </cell>
          <cell r="P592">
            <v>0</v>
          </cell>
          <cell r="Q592">
            <v>0</v>
          </cell>
          <cell r="R592" t="str">
            <v>0.00%</v>
          </cell>
        </row>
        <row r="593">
          <cell r="A593" t="str">
            <v>07.09.02.02.02</v>
          </cell>
          <cell r="B593" t="str">
            <v>ENCOFRADO Y DESENCOFRADO NORMAL EN CALZADURAS</v>
          </cell>
          <cell r="C593" t="str">
            <v>m2</v>
          </cell>
          <cell r="D593">
            <v>201.39</v>
          </cell>
          <cell r="E593">
            <v>51.91</v>
          </cell>
          <cell r="F593">
            <v>10454.154899999998</v>
          </cell>
          <cell r="G593">
            <v>0</v>
          </cell>
          <cell r="H593">
            <v>0</v>
          </cell>
          <cell r="I593" t="str">
            <v>0.00%</v>
          </cell>
          <cell r="J593">
            <v>201.39</v>
          </cell>
          <cell r="K593">
            <v>10454.154899999998</v>
          </cell>
          <cell r="L593">
            <v>1</v>
          </cell>
          <cell r="M593">
            <v>201.39</v>
          </cell>
          <cell r="N593">
            <v>10454.154899999998</v>
          </cell>
          <cell r="O593">
            <v>1</v>
          </cell>
          <cell r="P593">
            <v>0</v>
          </cell>
          <cell r="Q593">
            <v>0</v>
          </cell>
          <cell r="R593" t="str">
            <v>0.00%</v>
          </cell>
        </row>
        <row r="594">
          <cell r="A594" t="str">
            <v>07.09.03</v>
          </cell>
          <cell r="B594" t="str">
            <v>CONCRETO ARMADO</v>
          </cell>
          <cell r="C594">
            <v>0</v>
          </cell>
          <cell r="D594">
            <v>0</v>
          </cell>
          <cell r="E594">
            <v>0</v>
          </cell>
          <cell r="F594">
            <v>0</v>
          </cell>
          <cell r="G594">
            <v>0</v>
          </cell>
          <cell r="H594">
            <v>0</v>
          </cell>
          <cell r="I594">
            <v>0</v>
          </cell>
          <cell r="J594">
            <v>0</v>
          </cell>
          <cell r="K594">
            <v>0</v>
          </cell>
          <cell r="L594">
            <v>0</v>
          </cell>
          <cell r="M594">
            <v>0</v>
          </cell>
          <cell r="N594">
            <v>0</v>
          </cell>
          <cell r="O594">
            <v>0</v>
          </cell>
          <cell r="P594">
            <v>0</v>
          </cell>
          <cell r="Q594">
            <v>0</v>
          </cell>
          <cell r="R594">
            <v>0</v>
          </cell>
        </row>
        <row r="595">
          <cell r="A595" t="str">
            <v>07.09.03.01</v>
          </cell>
          <cell r="B595" t="str">
            <v>COLUMNAS</v>
          </cell>
          <cell r="C595">
            <v>0</v>
          </cell>
          <cell r="D595">
            <v>0</v>
          </cell>
          <cell r="E595">
            <v>0</v>
          </cell>
          <cell r="F595">
            <v>0</v>
          </cell>
          <cell r="G595">
            <v>0</v>
          </cell>
          <cell r="H595">
            <v>0</v>
          </cell>
          <cell r="I595">
            <v>0</v>
          </cell>
          <cell r="J595">
            <v>0</v>
          </cell>
          <cell r="K595">
            <v>0</v>
          </cell>
          <cell r="L595">
            <v>0</v>
          </cell>
          <cell r="M595">
            <v>0</v>
          </cell>
          <cell r="N595">
            <v>0</v>
          </cell>
          <cell r="O595">
            <v>0</v>
          </cell>
          <cell r="P595">
            <v>0</v>
          </cell>
          <cell r="Q595">
            <v>0</v>
          </cell>
          <cell r="R595">
            <v>0</v>
          </cell>
        </row>
        <row r="596">
          <cell r="A596" t="str">
            <v>07.09.03.01.01</v>
          </cell>
          <cell r="B596" t="str">
            <v>CONCRETO EN COLUMNAS F'C=210 KG/CM2</v>
          </cell>
          <cell r="C596" t="str">
            <v>m3</v>
          </cell>
          <cell r="D596">
            <v>2.15</v>
          </cell>
          <cell r="E596">
            <v>521.12</v>
          </cell>
          <cell r="F596">
            <v>1120.4079999999999</v>
          </cell>
          <cell r="G596">
            <v>0</v>
          </cell>
          <cell r="H596">
            <v>0</v>
          </cell>
          <cell r="I596" t="str">
            <v>0.00%</v>
          </cell>
          <cell r="J596">
            <v>0</v>
          </cell>
          <cell r="K596">
            <v>0</v>
          </cell>
          <cell r="L596" t="str">
            <v>0.00%</v>
          </cell>
          <cell r="M596">
            <v>0</v>
          </cell>
          <cell r="N596">
            <v>0</v>
          </cell>
          <cell r="O596" t="str">
            <v>0.00%</v>
          </cell>
          <cell r="P596">
            <v>2.15</v>
          </cell>
          <cell r="Q596">
            <v>1120.4079999999999</v>
          </cell>
          <cell r="R596">
            <v>1</v>
          </cell>
        </row>
        <row r="597">
          <cell r="A597" t="str">
            <v>07.09.03.01.02</v>
          </cell>
          <cell r="B597" t="str">
            <v>ACERO F'Y=4200 KG/CM2 GRADO 60 EN COLUMNAS</v>
          </cell>
          <cell r="C597" t="str">
            <v>kg</v>
          </cell>
          <cell r="D597">
            <v>370.55</v>
          </cell>
          <cell r="E597">
            <v>4.5</v>
          </cell>
          <cell r="F597">
            <v>1667.4750000000001</v>
          </cell>
          <cell r="G597">
            <v>0</v>
          </cell>
          <cell r="H597">
            <v>0</v>
          </cell>
          <cell r="I597" t="str">
            <v>0.00%</v>
          </cell>
          <cell r="J597">
            <v>228.03200000000004</v>
          </cell>
          <cell r="K597">
            <v>1026.1440000000002</v>
          </cell>
          <cell r="L597">
            <v>0.61538793685062754</v>
          </cell>
          <cell r="M597">
            <v>228.03200000000004</v>
          </cell>
          <cell r="N597">
            <v>1026.1440000000002</v>
          </cell>
          <cell r="O597">
            <v>0.61538793685062754</v>
          </cell>
          <cell r="P597">
            <v>142.51799999999997</v>
          </cell>
          <cell r="Q597">
            <v>641.3309999999999</v>
          </cell>
          <cell r="R597">
            <v>0.38461206314937246</v>
          </cell>
        </row>
        <row r="598">
          <cell r="A598" t="str">
            <v>07.09.03.01.03</v>
          </cell>
          <cell r="B598" t="str">
            <v>ENCOFRADO Y DESENCOFRADO NORMAL EN COLUMNAS</v>
          </cell>
          <cell r="C598" t="str">
            <v>m2</v>
          </cell>
          <cell r="D598">
            <v>35.75</v>
          </cell>
          <cell r="E598">
            <v>49.71</v>
          </cell>
          <cell r="F598">
            <v>1777.1324999999999</v>
          </cell>
          <cell r="G598">
            <v>0</v>
          </cell>
          <cell r="H598">
            <v>0</v>
          </cell>
          <cell r="I598" t="str">
            <v>0.00%</v>
          </cell>
          <cell r="J598">
            <v>0</v>
          </cell>
          <cell r="K598">
            <v>0</v>
          </cell>
          <cell r="L598" t="str">
            <v>0.00%</v>
          </cell>
          <cell r="M598">
            <v>0</v>
          </cell>
          <cell r="N598">
            <v>0</v>
          </cell>
          <cell r="O598" t="str">
            <v>0.00%</v>
          </cell>
          <cell r="P598">
            <v>35.75</v>
          </cell>
          <cell r="Q598">
            <v>1777.1324999999999</v>
          </cell>
          <cell r="R598">
            <v>1</v>
          </cell>
        </row>
        <row r="599">
          <cell r="A599" t="str">
            <v>07.09.03.02</v>
          </cell>
          <cell r="B599" t="str">
            <v>VIGAS DE CORONACION</v>
          </cell>
          <cell r="C599">
            <v>0</v>
          </cell>
          <cell r="D599">
            <v>0</v>
          </cell>
          <cell r="E599">
            <v>0</v>
          </cell>
          <cell r="F599">
            <v>0</v>
          </cell>
          <cell r="G599">
            <v>0</v>
          </cell>
          <cell r="H599">
            <v>0</v>
          </cell>
          <cell r="I599">
            <v>0</v>
          </cell>
          <cell r="J599">
            <v>0</v>
          </cell>
          <cell r="K599">
            <v>0</v>
          </cell>
          <cell r="L599">
            <v>0</v>
          </cell>
          <cell r="M599">
            <v>0</v>
          </cell>
          <cell r="N599">
            <v>0</v>
          </cell>
          <cell r="O599">
            <v>0</v>
          </cell>
          <cell r="P599">
            <v>0</v>
          </cell>
          <cell r="Q599">
            <v>0</v>
          </cell>
          <cell r="R599">
            <v>0</v>
          </cell>
        </row>
        <row r="600">
          <cell r="A600" t="str">
            <v>07.09.03.02.01</v>
          </cell>
          <cell r="B600" t="str">
            <v>CONCRETO EN VIGAS F'C=210 KG/CM2</v>
          </cell>
          <cell r="C600" t="str">
            <v>m3</v>
          </cell>
          <cell r="D600">
            <v>10</v>
          </cell>
          <cell r="E600">
            <v>486.07</v>
          </cell>
          <cell r="F600">
            <v>4860.7</v>
          </cell>
          <cell r="G600">
            <v>0</v>
          </cell>
          <cell r="H600">
            <v>0</v>
          </cell>
          <cell r="I600" t="str">
            <v>0.00%</v>
          </cell>
          <cell r="J600">
            <v>0</v>
          </cell>
          <cell r="K600">
            <v>0</v>
          </cell>
          <cell r="L600" t="str">
            <v>0.00%</v>
          </cell>
          <cell r="M600">
            <v>0</v>
          </cell>
          <cell r="N600">
            <v>0</v>
          </cell>
          <cell r="O600" t="str">
            <v>0.00%</v>
          </cell>
          <cell r="P600">
            <v>10</v>
          </cell>
          <cell r="Q600">
            <v>4860.7</v>
          </cell>
          <cell r="R600">
            <v>1</v>
          </cell>
        </row>
        <row r="601">
          <cell r="A601" t="str">
            <v>07.09.03.02.02</v>
          </cell>
          <cell r="B601" t="str">
            <v>ACERO F'Y=4200 KG/CM2 GRADO 60 EN VIGAS</v>
          </cell>
          <cell r="C601" t="str">
            <v>kg</v>
          </cell>
          <cell r="D601">
            <v>961.7</v>
          </cell>
          <cell r="E601">
            <v>4.5</v>
          </cell>
          <cell r="F601">
            <v>4327.6500000000005</v>
          </cell>
          <cell r="G601">
            <v>0</v>
          </cell>
          <cell r="H601">
            <v>0</v>
          </cell>
          <cell r="I601" t="str">
            <v>0.00%</v>
          </cell>
          <cell r="J601">
            <v>0</v>
          </cell>
          <cell r="K601">
            <v>0</v>
          </cell>
          <cell r="L601" t="str">
            <v>0.00%</v>
          </cell>
          <cell r="M601">
            <v>0</v>
          </cell>
          <cell r="N601">
            <v>0</v>
          </cell>
          <cell r="O601" t="str">
            <v>0.00%</v>
          </cell>
          <cell r="P601">
            <v>961.7</v>
          </cell>
          <cell r="Q601">
            <v>4327.6500000000005</v>
          </cell>
          <cell r="R601">
            <v>1</v>
          </cell>
        </row>
        <row r="602">
          <cell r="A602" t="str">
            <v>07.09.03.02.03</v>
          </cell>
          <cell r="B602" t="str">
            <v>ENCOFRADO Y DESNCOFRADO NORMAL EN VIGAS</v>
          </cell>
          <cell r="C602" t="str">
            <v>m2</v>
          </cell>
          <cell r="D602">
            <v>81.72</v>
          </cell>
          <cell r="E602">
            <v>54.02</v>
          </cell>
          <cell r="F602">
            <v>4414.5144</v>
          </cell>
          <cell r="G602">
            <v>0</v>
          </cell>
          <cell r="H602">
            <v>0</v>
          </cell>
          <cell r="I602" t="str">
            <v>0.00%</v>
          </cell>
          <cell r="J602">
            <v>0</v>
          </cell>
          <cell r="K602">
            <v>0</v>
          </cell>
          <cell r="L602" t="str">
            <v>0.00%</v>
          </cell>
          <cell r="M602">
            <v>0</v>
          </cell>
          <cell r="N602">
            <v>0</v>
          </cell>
          <cell r="O602" t="str">
            <v>0.00%</v>
          </cell>
          <cell r="P602">
            <v>81.72</v>
          </cell>
          <cell r="Q602">
            <v>4414.5144</v>
          </cell>
          <cell r="R602">
            <v>1</v>
          </cell>
        </row>
        <row r="603">
          <cell r="A603" t="str">
            <v>07.09.03.03</v>
          </cell>
          <cell r="B603" t="str">
            <v>VENTANAS GEOMETRICAS</v>
          </cell>
          <cell r="C603">
            <v>0</v>
          </cell>
          <cell r="D603">
            <v>0</v>
          </cell>
          <cell r="E603">
            <v>0</v>
          </cell>
          <cell r="F603">
            <v>0</v>
          </cell>
          <cell r="G603">
            <v>0</v>
          </cell>
          <cell r="H603">
            <v>0</v>
          </cell>
          <cell r="I603">
            <v>0</v>
          </cell>
          <cell r="J603">
            <v>0</v>
          </cell>
          <cell r="K603">
            <v>0</v>
          </cell>
          <cell r="L603">
            <v>0</v>
          </cell>
          <cell r="M603">
            <v>0</v>
          </cell>
          <cell r="N603">
            <v>0</v>
          </cell>
          <cell r="O603">
            <v>0</v>
          </cell>
          <cell r="P603">
            <v>0</v>
          </cell>
          <cell r="Q603">
            <v>0</v>
          </cell>
          <cell r="R603">
            <v>0</v>
          </cell>
        </row>
        <row r="604">
          <cell r="A604" t="str">
            <v>07.09.03.03.01</v>
          </cell>
          <cell r="B604" t="str">
            <v>CONCRETO FC=175 KG/CM2 EN VENTANAS GEOMETRICAS</v>
          </cell>
          <cell r="C604" t="str">
            <v>m3</v>
          </cell>
          <cell r="D604">
            <v>2.0099999999999998</v>
          </cell>
          <cell r="E604">
            <v>459.39</v>
          </cell>
          <cell r="F604">
            <v>923.37389999999982</v>
          </cell>
          <cell r="G604">
            <v>0</v>
          </cell>
          <cell r="H604">
            <v>0</v>
          </cell>
          <cell r="I604" t="str">
            <v>0.00%</v>
          </cell>
          <cell r="J604">
            <v>0</v>
          </cell>
          <cell r="K604">
            <v>0</v>
          </cell>
          <cell r="L604" t="str">
            <v>0.00%</v>
          </cell>
          <cell r="M604">
            <v>0</v>
          </cell>
          <cell r="N604">
            <v>0</v>
          </cell>
          <cell r="O604" t="str">
            <v>0.00%</v>
          </cell>
          <cell r="P604">
            <v>2.0099999999999998</v>
          </cell>
          <cell r="Q604">
            <v>923.37389999999982</v>
          </cell>
          <cell r="R604">
            <v>1</v>
          </cell>
        </row>
        <row r="605">
          <cell r="A605" t="str">
            <v>07.09.03.03.02</v>
          </cell>
          <cell r="B605" t="str">
            <v>ACERO F'Y=4200 KG/CM2 GRADO 60 EN VENTANAS GEOMETRICAS</v>
          </cell>
          <cell r="C605" t="str">
            <v>kg</v>
          </cell>
          <cell r="D605">
            <v>132.03</v>
          </cell>
          <cell r="E605">
            <v>4.5</v>
          </cell>
          <cell r="F605">
            <v>594.13499999999999</v>
          </cell>
          <cell r="G605">
            <v>0</v>
          </cell>
          <cell r="H605">
            <v>0</v>
          </cell>
          <cell r="I605" t="str">
            <v>0.00%</v>
          </cell>
          <cell r="J605">
            <v>0</v>
          </cell>
          <cell r="K605">
            <v>0</v>
          </cell>
          <cell r="L605" t="str">
            <v>0.00%</v>
          </cell>
          <cell r="M605">
            <v>0</v>
          </cell>
          <cell r="N605">
            <v>0</v>
          </cell>
          <cell r="O605" t="str">
            <v>0.00%</v>
          </cell>
          <cell r="P605">
            <v>132.03</v>
          </cell>
          <cell r="Q605">
            <v>594.13499999999999</v>
          </cell>
          <cell r="R605">
            <v>1</v>
          </cell>
        </row>
        <row r="606">
          <cell r="A606" t="str">
            <v>07.09.03.03.03</v>
          </cell>
          <cell r="B606" t="str">
            <v>ENCOFRADO Y DESENCOFRADO EN VENTANAS GEOMETRICAS</v>
          </cell>
          <cell r="C606" t="str">
            <v>m2</v>
          </cell>
          <cell r="D606">
            <v>51.75</v>
          </cell>
          <cell r="E606">
            <v>38.409999999999997</v>
          </cell>
          <cell r="F606">
            <v>1987.7174999999997</v>
          </cell>
          <cell r="G606">
            <v>0</v>
          </cell>
          <cell r="H606">
            <v>0</v>
          </cell>
          <cell r="I606" t="str">
            <v>0.00%</v>
          </cell>
          <cell r="J606">
            <v>0</v>
          </cell>
          <cell r="K606">
            <v>0</v>
          </cell>
          <cell r="L606" t="str">
            <v>0.00%</v>
          </cell>
          <cell r="M606">
            <v>0</v>
          </cell>
          <cell r="N606">
            <v>0</v>
          </cell>
          <cell r="O606" t="str">
            <v>0.00%</v>
          </cell>
          <cell r="P606">
            <v>51.75</v>
          </cell>
          <cell r="Q606">
            <v>1987.7174999999997</v>
          </cell>
          <cell r="R606">
            <v>1</v>
          </cell>
        </row>
        <row r="607">
          <cell r="A607" t="str">
            <v>07.09.04</v>
          </cell>
          <cell r="B607" t="str">
            <v>JUNTAS DE CONSTRUCCION</v>
          </cell>
          <cell r="C607">
            <v>0</v>
          </cell>
          <cell r="D607">
            <v>0</v>
          </cell>
          <cell r="E607">
            <v>0</v>
          </cell>
          <cell r="F607">
            <v>0</v>
          </cell>
          <cell r="G607">
            <v>0</v>
          </cell>
          <cell r="H607">
            <v>0</v>
          </cell>
          <cell r="I607">
            <v>0</v>
          </cell>
          <cell r="J607">
            <v>0</v>
          </cell>
          <cell r="K607">
            <v>0</v>
          </cell>
          <cell r="L607">
            <v>0</v>
          </cell>
          <cell r="M607">
            <v>0</v>
          </cell>
          <cell r="N607">
            <v>0</v>
          </cell>
          <cell r="O607">
            <v>0</v>
          </cell>
          <cell r="P607">
            <v>0</v>
          </cell>
          <cell r="Q607">
            <v>0</v>
          </cell>
          <cell r="R607">
            <v>0</v>
          </cell>
        </row>
        <row r="608">
          <cell r="A608" t="str">
            <v>07.09.04.01</v>
          </cell>
          <cell r="B608" t="str">
            <v>JUNTAS DE TEKNOPOR DE  1"</v>
          </cell>
          <cell r="C608" t="str">
            <v>m</v>
          </cell>
          <cell r="D608">
            <v>9.6</v>
          </cell>
          <cell r="E608">
            <v>9.0500000000000007</v>
          </cell>
          <cell r="F608">
            <v>86.88000000000001</v>
          </cell>
          <cell r="G608">
            <v>0</v>
          </cell>
          <cell r="H608">
            <v>0</v>
          </cell>
          <cell r="I608" t="str">
            <v>0.00%</v>
          </cell>
          <cell r="J608">
            <v>0</v>
          </cell>
          <cell r="K608">
            <v>0</v>
          </cell>
          <cell r="L608" t="str">
            <v>0.00%</v>
          </cell>
          <cell r="M608">
            <v>0</v>
          </cell>
          <cell r="N608">
            <v>0</v>
          </cell>
          <cell r="O608" t="str">
            <v>0.00%</v>
          </cell>
          <cell r="P608">
            <v>9.6</v>
          </cell>
          <cell r="Q608">
            <v>86.88000000000001</v>
          </cell>
          <cell r="R608">
            <v>1</v>
          </cell>
        </row>
        <row r="609">
          <cell r="A609" t="str">
            <v>07.09.05</v>
          </cell>
          <cell r="B609" t="str">
            <v>PRUEBAS</v>
          </cell>
          <cell r="C609">
            <v>0</v>
          </cell>
          <cell r="D609">
            <v>0</v>
          </cell>
          <cell r="E609">
            <v>0</v>
          </cell>
          <cell r="F609">
            <v>0</v>
          </cell>
          <cell r="G609">
            <v>0</v>
          </cell>
          <cell r="H609">
            <v>0</v>
          </cell>
          <cell r="I609">
            <v>0</v>
          </cell>
          <cell r="J609">
            <v>0</v>
          </cell>
          <cell r="K609">
            <v>0</v>
          </cell>
          <cell r="L609">
            <v>0</v>
          </cell>
          <cell r="M609">
            <v>0</v>
          </cell>
          <cell r="N609">
            <v>0</v>
          </cell>
          <cell r="O609">
            <v>0</v>
          </cell>
          <cell r="P609">
            <v>0</v>
          </cell>
          <cell r="Q609">
            <v>0</v>
          </cell>
          <cell r="R609">
            <v>0</v>
          </cell>
        </row>
        <row r="610">
          <cell r="A610" t="str">
            <v>07.09.05.01</v>
          </cell>
          <cell r="B610" t="str">
            <v>PRUEBA DE CALIDAD DEL CONCRETO (PRUEBA A LA COMPRESION)</v>
          </cell>
          <cell r="C610" t="str">
            <v>und</v>
          </cell>
          <cell r="D610">
            <v>4</v>
          </cell>
          <cell r="E610">
            <v>40</v>
          </cell>
          <cell r="F610">
            <v>160</v>
          </cell>
          <cell r="G610">
            <v>0</v>
          </cell>
          <cell r="H610">
            <v>0</v>
          </cell>
          <cell r="I610" t="str">
            <v>0.00%</v>
          </cell>
          <cell r="J610">
            <v>0</v>
          </cell>
          <cell r="K610">
            <v>0</v>
          </cell>
          <cell r="L610" t="str">
            <v>0.00%</v>
          </cell>
          <cell r="M610">
            <v>0</v>
          </cell>
          <cell r="N610">
            <v>0</v>
          </cell>
          <cell r="O610" t="str">
            <v>0.00%</v>
          </cell>
          <cell r="P610">
            <v>4</v>
          </cell>
          <cell r="Q610">
            <v>160</v>
          </cell>
          <cell r="R610">
            <v>1</v>
          </cell>
        </row>
        <row r="611">
          <cell r="A611">
            <v>0</v>
          </cell>
          <cell r="B611">
            <v>0</v>
          </cell>
          <cell r="C611">
            <v>0</v>
          </cell>
          <cell r="D611">
            <v>0</v>
          </cell>
          <cell r="E611">
            <v>0</v>
          </cell>
          <cell r="F611">
            <v>0</v>
          </cell>
          <cell r="G611">
            <v>0</v>
          </cell>
          <cell r="H611">
            <v>0</v>
          </cell>
          <cell r="I611">
            <v>0</v>
          </cell>
          <cell r="J611">
            <v>0</v>
          </cell>
          <cell r="K611">
            <v>0</v>
          </cell>
          <cell r="L611">
            <v>0</v>
          </cell>
          <cell r="M611">
            <v>0</v>
          </cell>
          <cell r="N611">
            <v>0</v>
          </cell>
          <cell r="O611">
            <v>0</v>
          </cell>
          <cell r="P611">
            <v>0</v>
          </cell>
          <cell r="Q611">
            <v>0</v>
          </cell>
          <cell r="R611">
            <v>0</v>
          </cell>
        </row>
        <row r="612">
          <cell r="A612">
            <v>0</v>
          </cell>
          <cell r="B612" t="str">
            <v>COSTO ESTRUCTURAS</v>
          </cell>
          <cell r="C612">
            <v>0</v>
          </cell>
          <cell r="D612">
            <v>0</v>
          </cell>
          <cell r="E612">
            <v>0</v>
          </cell>
          <cell r="F612">
            <v>0</v>
          </cell>
          <cell r="G612">
            <v>0</v>
          </cell>
          <cell r="H612">
            <v>0</v>
          </cell>
          <cell r="I612">
            <v>0</v>
          </cell>
          <cell r="J612">
            <v>0</v>
          </cell>
          <cell r="K612">
            <v>0</v>
          </cell>
          <cell r="L612">
            <v>0</v>
          </cell>
          <cell r="M612">
            <v>0</v>
          </cell>
          <cell r="N612">
            <v>0</v>
          </cell>
          <cell r="O612">
            <v>0</v>
          </cell>
          <cell r="P612">
            <v>0</v>
          </cell>
          <cell r="Q612">
            <v>0</v>
          </cell>
          <cell r="R612">
            <v>0</v>
          </cell>
        </row>
        <row r="613">
          <cell r="A613">
            <v>0</v>
          </cell>
          <cell r="B613">
            <v>0</v>
          </cell>
          <cell r="C613">
            <v>0</v>
          </cell>
          <cell r="D613">
            <v>0</v>
          </cell>
          <cell r="E613">
            <v>0</v>
          </cell>
          <cell r="F613">
            <v>0</v>
          </cell>
          <cell r="G613">
            <v>0</v>
          </cell>
          <cell r="H613">
            <v>0</v>
          </cell>
          <cell r="I613">
            <v>0</v>
          </cell>
          <cell r="J613">
            <v>0</v>
          </cell>
          <cell r="K613">
            <v>0</v>
          </cell>
          <cell r="L613">
            <v>0</v>
          </cell>
          <cell r="M613">
            <v>0</v>
          </cell>
          <cell r="N613">
            <v>0</v>
          </cell>
          <cell r="O613">
            <v>0</v>
          </cell>
          <cell r="P613">
            <v>0</v>
          </cell>
          <cell r="Q613">
            <v>0</v>
          </cell>
          <cell r="R613">
            <v>0</v>
          </cell>
        </row>
        <row r="614">
          <cell r="A614">
            <v>0</v>
          </cell>
          <cell r="B614" t="str">
            <v>COSTO DIRECTO</v>
          </cell>
          <cell r="C614">
            <v>0</v>
          </cell>
          <cell r="D614">
            <v>0</v>
          </cell>
          <cell r="E614">
            <v>0</v>
          </cell>
          <cell r="F614">
            <v>1609460.5071200007</v>
          </cell>
          <cell r="G614">
            <v>0</v>
          </cell>
          <cell r="H614">
            <v>913412.29336130049</v>
          </cell>
          <cell r="I614">
            <v>0.56752700008512658</v>
          </cell>
          <cell r="J614">
            <v>0</v>
          </cell>
          <cell r="K614">
            <v>197342.74778107999</v>
          </cell>
          <cell r="L614">
            <v>0.12261422191353354</v>
          </cell>
          <cell r="M614">
            <v>0</v>
          </cell>
          <cell r="N614">
            <v>1110755.0411423806</v>
          </cell>
          <cell r="O614">
            <v>0.69014122199866013</v>
          </cell>
          <cell r="P614">
            <v>0</v>
          </cell>
          <cell r="Q614">
            <v>498705.46597762004</v>
          </cell>
          <cell r="R614">
            <v>0.30985877800133976</v>
          </cell>
        </row>
        <row r="615">
          <cell r="A615">
            <v>0</v>
          </cell>
          <cell r="B615" t="str">
            <v xml:space="preserve">GASTOS GENERALES   </v>
          </cell>
          <cell r="C615">
            <v>0</v>
          </cell>
          <cell r="D615">
            <v>0.1087</v>
          </cell>
          <cell r="E615">
            <v>0</v>
          </cell>
          <cell r="F615">
            <v>174948.35712394409</v>
          </cell>
          <cell r="G615">
            <v>0</v>
          </cell>
          <cell r="H615">
            <v>99287.916288373366</v>
          </cell>
          <cell r="I615">
            <v>0.56752700008512658</v>
          </cell>
          <cell r="J615">
            <v>0</v>
          </cell>
          <cell r="K615">
            <v>21451.156683803394</v>
          </cell>
          <cell r="L615">
            <v>0.12261422191353352</v>
          </cell>
          <cell r="M615">
            <v>0</v>
          </cell>
          <cell r="N615">
            <v>120739.07297217677</v>
          </cell>
          <cell r="O615">
            <v>0.69014122199866013</v>
          </cell>
          <cell r="P615">
            <v>0</v>
          </cell>
          <cell r="Q615">
            <v>54209.284151767301</v>
          </cell>
          <cell r="R615">
            <v>0.30985877800133976</v>
          </cell>
        </row>
        <row r="616">
          <cell r="A616">
            <v>0</v>
          </cell>
          <cell r="B616" t="str">
            <v xml:space="preserve">GASTOS DE SUPERVISION    </v>
          </cell>
          <cell r="C616">
            <v>0</v>
          </cell>
          <cell r="D616">
            <v>4.4999999999999998E-2</v>
          </cell>
          <cell r="E616">
            <v>0</v>
          </cell>
          <cell r="F616">
            <v>72425.722820400028</v>
          </cell>
          <cell r="G616">
            <v>0</v>
          </cell>
          <cell r="H616">
            <v>41103.553201258517</v>
          </cell>
          <cell r="I616">
            <v>0.56752700008512658</v>
          </cell>
          <cell r="J616">
            <v>0</v>
          </cell>
          <cell r="K616">
            <v>8880.4236501485993</v>
          </cell>
          <cell r="L616">
            <v>0.12261422191353354</v>
          </cell>
          <cell r="M616">
            <v>0</v>
          </cell>
          <cell r="N616">
            <v>49983.976851407126</v>
          </cell>
          <cell r="O616">
            <v>0.69014122199866024</v>
          </cell>
          <cell r="P616">
            <v>0</v>
          </cell>
          <cell r="Q616">
            <v>22441.745968992902</v>
          </cell>
          <cell r="R616">
            <v>0.30985877800133982</v>
          </cell>
        </row>
        <row r="617">
          <cell r="A617">
            <v>0</v>
          </cell>
          <cell r="B617">
            <v>0</v>
          </cell>
          <cell r="C617">
            <v>0</v>
          </cell>
          <cell r="D617">
            <v>0</v>
          </cell>
          <cell r="E617">
            <v>0</v>
          </cell>
          <cell r="F617">
            <v>0</v>
          </cell>
          <cell r="G617">
            <v>0</v>
          </cell>
          <cell r="H617">
            <v>0</v>
          </cell>
          <cell r="I617">
            <v>0</v>
          </cell>
          <cell r="J617">
            <v>0</v>
          </cell>
          <cell r="K617">
            <v>0</v>
          </cell>
          <cell r="L617">
            <v>0</v>
          </cell>
          <cell r="M617">
            <v>0</v>
          </cell>
          <cell r="N617">
            <v>0</v>
          </cell>
          <cell r="O617">
            <v>0</v>
          </cell>
          <cell r="P617">
            <v>0</v>
          </cell>
          <cell r="Q617">
            <v>0</v>
          </cell>
          <cell r="R617">
            <v>0</v>
          </cell>
        </row>
        <row r="618">
          <cell r="A618">
            <v>0</v>
          </cell>
          <cell r="B618" t="str">
            <v>SUB TOTAL</v>
          </cell>
          <cell r="C618">
            <v>0</v>
          </cell>
          <cell r="D618">
            <v>0</v>
          </cell>
          <cell r="E618">
            <v>0</v>
          </cell>
          <cell r="F618">
            <v>1856834.5870643447</v>
          </cell>
          <cell r="G618">
            <v>0</v>
          </cell>
          <cell r="H618">
            <v>1053803.7628509323</v>
          </cell>
          <cell r="I618">
            <v>0.56752700008512658</v>
          </cell>
          <cell r="J618">
            <v>0</v>
          </cell>
          <cell r="K618">
            <v>227674.32811503197</v>
          </cell>
          <cell r="L618">
            <v>0.12261422191353354</v>
          </cell>
          <cell r="M618">
            <v>0</v>
          </cell>
          <cell r="N618">
            <v>1281478.0909659646</v>
          </cell>
          <cell r="O618">
            <v>0.69014122199866024</v>
          </cell>
          <cell r="P618">
            <v>0</v>
          </cell>
          <cell r="Q618">
            <v>575356.4960983803</v>
          </cell>
          <cell r="R618">
            <v>0.30985877800133982</v>
          </cell>
        </row>
        <row r="619">
          <cell r="A619">
            <v>0</v>
          </cell>
          <cell r="B619">
            <v>0</v>
          </cell>
          <cell r="C619">
            <v>0</v>
          </cell>
          <cell r="D619">
            <v>0</v>
          </cell>
          <cell r="E619">
            <v>0</v>
          </cell>
          <cell r="F619">
            <v>0</v>
          </cell>
          <cell r="G619">
            <v>0</v>
          </cell>
          <cell r="H619">
            <v>0</v>
          </cell>
          <cell r="I619">
            <v>0</v>
          </cell>
          <cell r="J619">
            <v>0</v>
          </cell>
          <cell r="K619">
            <v>0</v>
          </cell>
          <cell r="L619">
            <v>0</v>
          </cell>
          <cell r="M619">
            <v>0</v>
          </cell>
          <cell r="N619">
            <v>0</v>
          </cell>
          <cell r="O619">
            <v>0</v>
          </cell>
          <cell r="P619">
            <v>0</v>
          </cell>
          <cell r="Q619">
            <v>0</v>
          </cell>
          <cell r="R619">
            <v>0</v>
          </cell>
        </row>
        <row r="620">
          <cell r="A620">
            <v>0</v>
          </cell>
          <cell r="B620" t="str">
            <v>SUB PRESUPUESTO 003 ARQUITECTURA</v>
          </cell>
          <cell r="C620">
            <v>0</v>
          </cell>
          <cell r="D620">
            <v>0</v>
          </cell>
          <cell r="E620">
            <v>0</v>
          </cell>
          <cell r="F620">
            <v>0</v>
          </cell>
          <cell r="G620">
            <v>0</v>
          </cell>
          <cell r="H620">
            <v>0</v>
          </cell>
          <cell r="I620">
            <v>0</v>
          </cell>
          <cell r="J620">
            <v>0</v>
          </cell>
          <cell r="K620">
            <v>0</v>
          </cell>
          <cell r="L620">
            <v>0</v>
          </cell>
          <cell r="M620">
            <v>0</v>
          </cell>
          <cell r="N620">
            <v>0</v>
          </cell>
          <cell r="O620">
            <v>0</v>
          </cell>
          <cell r="P620">
            <v>0</v>
          </cell>
          <cell r="Q620">
            <v>0</v>
          </cell>
          <cell r="R620">
            <v>0</v>
          </cell>
        </row>
        <row r="621">
          <cell r="A621" t="str">
            <v>08</v>
          </cell>
          <cell r="B621" t="str">
            <v>BLOQUE - 1</v>
          </cell>
          <cell r="C621">
            <v>0</v>
          </cell>
          <cell r="D621">
            <v>0</v>
          </cell>
          <cell r="E621">
            <v>0</v>
          </cell>
          <cell r="F621">
            <v>0</v>
          </cell>
          <cell r="G621">
            <v>0</v>
          </cell>
          <cell r="H621">
            <v>0</v>
          </cell>
          <cell r="I621">
            <v>0</v>
          </cell>
          <cell r="J621">
            <v>0</v>
          </cell>
          <cell r="K621">
            <v>0</v>
          </cell>
          <cell r="L621">
            <v>0</v>
          </cell>
          <cell r="M621">
            <v>0</v>
          </cell>
          <cell r="N621">
            <v>0</v>
          </cell>
          <cell r="O621">
            <v>0</v>
          </cell>
          <cell r="P621">
            <v>0</v>
          </cell>
          <cell r="Q621">
            <v>0</v>
          </cell>
          <cell r="R621">
            <v>0</v>
          </cell>
        </row>
        <row r="622">
          <cell r="A622" t="str">
            <v>08.01</v>
          </cell>
          <cell r="B622" t="str">
            <v>MUROS Y TABIQUES</v>
          </cell>
          <cell r="C622">
            <v>0</v>
          </cell>
          <cell r="D622">
            <v>0</v>
          </cell>
          <cell r="E622">
            <v>0</v>
          </cell>
          <cell r="F622">
            <v>0</v>
          </cell>
          <cell r="G622">
            <v>0</v>
          </cell>
          <cell r="H622">
            <v>0</v>
          </cell>
          <cell r="I622">
            <v>0</v>
          </cell>
          <cell r="J622">
            <v>0</v>
          </cell>
          <cell r="K622">
            <v>0</v>
          </cell>
          <cell r="L622">
            <v>0</v>
          </cell>
          <cell r="M622">
            <v>0</v>
          </cell>
          <cell r="N622">
            <v>0</v>
          </cell>
          <cell r="O622">
            <v>0</v>
          </cell>
          <cell r="P622">
            <v>0</v>
          </cell>
          <cell r="Q622">
            <v>0</v>
          </cell>
          <cell r="R622">
            <v>0</v>
          </cell>
        </row>
        <row r="623">
          <cell r="A623" t="str">
            <v>08.01.01</v>
          </cell>
          <cell r="B623" t="str">
            <v>MURO DE CABEZA LADRILLO KIN-KONG DE ARCILLA</v>
          </cell>
          <cell r="C623" t="str">
            <v>m2</v>
          </cell>
          <cell r="D623">
            <v>204.32</v>
          </cell>
          <cell r="E623">
            <v>151.13999999999999</v>
          </cell>
          <cell r="F623">
            <v>30880.924799999997</v>
          </cell>
          <cell r="G623">
            <v>204.32</v>
          </cell>
          <cell r="H623">
            <v>30880.924799999997</v>
          </cell>
          <cell r="I623">
            <v>1</v>
          </cell>
          <cell r="J623">
            <v>0</v>
          </cell>
          <cell r="K623">
            <v>0</v>
          </cell>
          <cell r="L623" t="str">
            <v>0.00%</v>
          </cell>
          <cell r="M623">
            <v>204.32</v>
          </cell>
          <cell r="N623">
            <v>30880.924799999997</v>
          </cell>
          <cell r="O623">
            <v>1</v>
          </cell>
          <cell r="P623">
            <v>0</v>
          </cell>
          <cell r="Q623">
            <v>0</v>
          </cell>
          <cell r="R623" t="str">
            <v>0.00%</v>
          </cell>
        </row>
        <row r="624">
          <cell r="A624" t="str">
            <v>08.01.02</v>
          </cell>
          <cell r="B624" t="str">
            <v>MURO DE SOGA LADRILLO KIN-KONG DE ARCILLA</v>
          </cell>
          <cell r="C624" t="str">
            <v>m2</v>
          </cell>
          <cell r="D624">
            <v>87.08</v>
          </cell>
          <cell r="E624">
            <v>99.24</v>
          </cell>
          <cell r="F624">
            <v>8641.8191999999999</v>
          </cell>
          <cell r="G624">
            <v>87.08</v>
          </cell>
          <cell r="H624">
            <v>8641.8191999999999</v>
          </cell>
          <cell r="I624">
            <v>1</v>
          </cell>
          <cell r="J624">
            <v>0</v>
          </cell>
          <cell r="K624">
            <v>0</v>
          </cell>
          <cell r="L624" t="str">
            <v>0.00%</v>
          </cell>
          <cell r="M624">
            <v>87.08</v>
          </cell>
          <cell r="N624">
            <v>8641.8191999999999</v>
          </cell>
          <cell r="O624">
            <v>1</v>
          </cell>
          <cell r="P624">
            <v>0</v>
          </cell>
          <cell r="Q624">
            <v>0</v>
          </cell>
          <cell r="R624" t="str">
            <v>0.00%</v>
          </cell>
        </row>
        <row r="625">
          <cell r="A625" t="str">
            <v>08.02</v>
          </cell>
          <cell r="B625" t="str">
            <v>REVOQUES ENLUCIDOS Y MOLDURAS</v>
          </cell>
          <cell r="C625">
            <v>0</v>
          </cell>
          <cell r="D625">
            <v>0</v>
          </cell>
          <cell r="E625">
            <v>0</v>
          </cell>
          <cell r="F625">
            <v>0</v>
          </cell>
          <cell r="G625">
            <v>0</v>
          </cell>
          <cell r="H625">
            <v>0</v>
          </cell>
          <cell r="I625">
            <v>0</v>
          </cell>
          <cell r="J625">
            <v>0</v>
          </cell>
          <cell r="K625">
            <v>0</v>
          </cell>
          <cell r="L625">
            <v>0</v>
          </cell>
          <cell r="M625">
            <v>0</v>
          </cell>
          <cell r="N625">
            <v>0</v>
          </cell>
          <cell r="O625">
            <v>0</v>
          </cell>
          <cell r="P625">
            <v>0</v>
          </cell>
          <cell r="Q625">
            <v>0</v>
          </cell>
          <cell r="R625">
            <v>0</v>
          </cell>
        </row>
        <row r="626">
          <cell r="A626" t="str">
            <v>08.02.01</v>
          </cell>
          <cell r="B626" t="str">
            <v>TARRAJEO EN MUROS INTERIORES MEZCLA 1:5 CEMENTO:ARENA</v>
          </cell>
          <cell r="C626" t="str">
            <v>m2</v>
          </cell>
          <cell r="D626">
            <v>410.83</v>
          </cell>
          <cell r="E626">
            <v>26.91</v>
          </cell>
          <cell r="F626">
            <v>11055.435299999999</v>
          </cell>
          <cell r="G626">
            <v>0</v>
          </cell>
          <cell r="H626">
            <v>0</v>
          </cell>
          <cell r="I626" t="str">
            <v>0.00%</v>
          </cell>
          <cell r="J626">
            <v>144.94080000000002</v>
          </cell>
          <cell r="K626">
            <v>3900.3569280000006</v>
          </cell>
          <cell r="L626">
            <v>0.35279994158167621</v>
          </cell>
          <cell r="M626">
            <v>144.94080000000002</v>
          </cell>
          <cell r="N626">
            <v>3900.3569280000006</v>
          </cell>
          <cell r="O626">
            <v>0.35279994158167621</v>
          </cell>
          <cell r="P626">
            <v>265.88919999999996</v>
          </cell>
          <cell r="Q626">
            <v>7155.0783719999981</v>
          </cell>
          <cell r="R626">
            <v>0.64720005841832373</v>
          </cell>
        </row>
        <row r="627">
          <cell r="A627" t="str">
            <v>08.02.02</v>
          </cell>
          <cell r="B627" t="str">
            <v>TARRAJEO EN MUROS EXTERIORES MEZCLA 1:5 CEMENTO:ARENA</v>
          </cell>
          <cell r="C627" t="str">
            <v>m2</v>
          </cell>
          <cell r="D627">
            <v>171.97</v>
          </cell>
          <cell r="E627">
            <v>33.57</v>
          </cell>
          <cell r="F627">
            <v>5773.0329000000002</v>
          </cell>
          <cell r="G627">
            <v>0</v>
          </cell>
          <cell r="H627">
            <v>0</v>
          </cell>
          <cell r="I627" t="str">
            <v>0.00%</v>
          </cell>
          <cell r="J627">
            <v>0</v>
          </cell>
          <cell r="K627">
            <v>0</v>
          </cell>
          <cell r="L627" t="str">
            <v>0.00%</v>
          </cell>
          <cell r="M627">
            <v>0</v>
          </cell>
          <cell r="N627">
            <v>0</v>
          </cell>
          <cell r="O627" t="str">
            <v>0.00%</v>
          </cell>
          <cell r="P627">
            <v>171.97</v>
          </cell>
          <cell r="Q627">
            <v>5773.0329000000002</v>
          </cell>
          <cell r="R627">
            <v>1</v>
          </cell>
        </row>
        <row r="628">
          <cell r="A628" t="str">
            <v>08.02.03</v>
          </cell>
          <cell r="B628" t="str">
            <v>TARRAJEO EN PESTAÑAS DE LAS VENTANAS</v>
          </cell>
          <cell r="C628" t="str">
            <v>m</v>
          </cell>
          <cell r="D628">
            <v>151.91999999999999</v>
          </cell>
          <cell r="E628">
            <v>18.16</v>
          </cell>
          <cell r="F628">
            <v>2758.8671999999997</v>
          </cell>
          <cell r="G628">
            <v>0</v>
          </cell>
          <cell r="H628">
            <v>0</v>
          </cell>
          <cell r="I628" t="str">
            <v>0.00%</v>
          </cell>
          <cell r="J628">
            <v>0</v>
          </cell>
          <cell r="K628">
            <v>0</v>
          </cell>
          <cell r="L628" t="str">
            <v>0.00%</v>
          </cell>
          <cell r="M628">
            <v>0</v>
          </cell>
          <cell r="N628">
            <v>0</v>
          </cell>
          <cell r="O628" t="str">
            <v>0.00%</v>
          </cell>
          <cell r="P628">
            <v>151.91999999999999</v>
          </cell>
          <cell r="Q628">
            <v>2758.8671999999997</v>
          </cell>
          <cell r="R628">
            <v>1</v>
          </cell>
        </row>
        <row r="629">
          <cell r="A629" t="str">
            <v>08.02.04</v>
          </cell>
          <cell r="B629" t="str">
            <v>TARRAJEO DE SUPERFICIE COLUMNAS INCL. ARISTAS MEZCLA 1:5 CEMENTO:ARENA</v>
          </cell>
          <cell r="C629" t="str">
            <v>m2</v>
          </cell>
          <cell r="D629">
            <v>241.31</v>
          </cell>
          <cell r="E629">
            <v>29.04</v>
          </cell>
          <cell r="F629">
            <v>7007.6423999999997</v>
          </cell>
          <cell r="G629">
            <v>0</v>
          </cell>
          <cell r="H629">
            <v>0</v>
          </cell>
          <cell r="I629" t="str">
            <v>0.00%</v>
          </cell>
          <cell r="J629">
            <v>109.77499999999999</v>
          </cell>
          <cell r="K629">
            <v>3187.8659999999995</v>
          </cell>
          <cell r="L629">
            <v>0.45491276780904227</v>
          </cell>
          <cell r="M629">
            <v>109.77499999999999</v>
          </cell>
          <cell r="N629">
            <v>3187.8659999999995</v>
          </cell>
          <cell r="O629">
            <v>0.45491276780904227</v>
          </cell>
          <cell r="P629">
            <v>131.53500000000003</v>
          </cell>
          <cell r="Q629">
            <v>3819.7764000000002</v>
          </cell>
          <cell r="R629">
            <v>0.54508723219095778</v>
          </cell>
        </row>
        <row r="630">
          <cell r="A630" t="str">
            <v>08.02.05</v>
          </cell>
          <cell r="B630" t="str">
            <v>TARRAJEO DE SUPERF.VIGAS INCL.ARISTAS, MEZCLA 1:5 CEMENTO:ARENA</v>
          </cell>
          <cell r="C630" t="str">
            <v>m2</v>
          </cell>
          <cell r="D630">
            <v>199.51</v>
          </cell>
          <cell r="E630">
            <v>34.25</v>
          </cell>
          <cell r="F630">
            <v>6833.2174999999997</v>
          </cell>
          <cell r="G630">
            <v>0</v>
          </cell>
          <cell r="H630">
            <v>0</v>
          </cell>
          <cell r="I630" t="str">
            <v>0.00%</v>
          </cell>
          <cell r="J630">
            <v>99.366000000000028</v>
          </cell>
          <cell r="K630">
            <v>3403.2855000000009</v>
          </cell>
          <cell r="L630">
            <v>0.49805022304646396</v>
          </cell>
          <cell r="M630">
            <v>99.366000000000028</v>
          </cell>
          <cell r="N630">
            <v>3403.2855000000009</v>
          </cell>
          <cell r="O630">
            <v>0.49805022304646396</v>
          </cell>
          <cell r="P630">
            <v>100.14399999999996</v>
          </cell>
          <cell r="Q630">
            <v>3429.9319999999989</v>
          </cell>
          <cell r="R630">
            <v>0.50194977695353604</v>
          </cell>
        </row>
        <row r="631">
          <cell r="A631" t="str">
            <v>08.02.06</v>
          </cell>
          <cell r="B631" t="str">
            <v>TARRAJEO CON IMPERMEABILIZANTE EN COBERTURAS</v>
          </cell>
          <cell r="C631" t="str">
            <v>m2</v>
          </cell>
          <cell r="D631">
            <v>184.76</v>
          </cell>
          <cell r="E631">
            <v>60.76</v>
          </cell>
          <cell r="F631">
            <v>11226.017599999999</v>
          </cell>
          <cell r="G631">
            <v>0</v>
          </cell>
          <cell r="H631">
            <v>0</v>
          </cell>
          <cell r="I631" t="str">
            <v>0.00%</v>
          </cell>
          <cell r="J631">
            <v>0</v>
          </cell>
          <cell r="K631">
            <v>0</v>
          </cell>
          <cell r="L631" t="str">
            <v>0.00%</v>
          </cell>
          <cell r="M631">
            <v>0</v>
          </cell>
          <cell r="N631">
            <v>0</v>
          </cell>
          <cell r="O631" t="str">
            <v>0.00%</v>
          </cell>
          <cell r="P631">
            <v>184.76</v>
          </cell>
          <cell r="Q631">
            <v>11226.017599999999</v>
          </cell>
          <cell r="R631">
            <v>1</v>
          </cell>
        </row>
        <row r="632">
          <cell r="A632" t="str">
            <v>08.02.07</v>
          </cell>
          <cell r="B632" t="str">
            <v>TARRAJEO EN CUNETA DE EVACUACION PLUVIAL EXTERIOR - TECHO</v>
          </cell>
          <cell r="C632" t="str">
            <v>m2</v>
          </cell>
          <cell r="D632">
            <v>57.3</v>
          </cell>
          <cell r="E632">
            <v>39.65</v>
          </cell>
          <cell r="F632">
            <v>2271.9449999999997</v>
          </cell>
          <cell r="G632">
            <v>0</v>
          </cell>
          <cell r="H632">
            <v>0</v>
          </cell>
          <cell r="I632" t="str">
            <v>0.00%</v>
          </cell>
          <cell r="J632">
            <v>0</v>
          </cell>
          <cell r="K632">
            <v>0</v>
          </cell>
          <cell r="L632" t="str">
            <v>0.00%</v>
          </cell>
          <cell r="M632">
            <v>0</v>
          </cell>
          <cell r="N632">
            <v>0</v>
          </cell>
          <cell r="O632" t="str">
            <v>0.00%</v>
          </cell>
          <cell r="P632">
            <v>57.3</v>
          </cell>
          <cell r="Q632">
            <v>2271.9449999999997</v>
          </cell>
          <cell r="R632">
            <v>1</v>
          </cell>
        </row>
        <row r="633">
          <cell r="A633" t="str">
            <v>08.02.08</v>
          </cell>
          <cell r="B633" t="str">
            <v>TARRAJEO CON IMPERMEABILIZANTE EN  CUNETA INTERIOR - TECHO</v>
          </cell>
          <cell r="C633" t="str">
            <v>m2</v>
          </cell>
          <cell r="D633">
            <v>39.520000000000003</v>
          </cell>
          <cell r="E633">
            <v>42.36</v>
          </cell>
          <cell r="F633">
            <v>1674.0672000000002</v>
          </cell>
          <cell r="G633">
            <v>0</v>
          </cell>
          <cell r="H633">
            <v>0</v>
          </cell>
          <cell r="I633" t="str">
            <v>0.00%</v>
          </cell>
          <cell r="J633">
            <v>0</v>
          </cell>
          <cell r="K633">
            <v>0</v>
          </cell>
          <cell r="L633" t="str">
            <v>0.00%</v>
          </cell>
          <cell r="M633">
            <v>0</v>
          </cell>
          <cell r="N633">
            <v>0</v>
          </cell>
          <cell r="O633" t="str">
            <v>0.00%</v>
          </cell>
          <cell r="P633">
            <v>39.520000000000003</v>
          </cell>
          <cell r="Q633">
            <v>1674.0672000000002</v>
          </cell>
          <cell r="R633">
            <v>1</v>
          </cell>
        </row>
        <row r="634">
          <cell r="A634" t="str">
            <v>08.02.09</v>
          </cell>
          <cell r="B634" t="str">
            <v xml:space="preserve">VESTIDURA DE DERRAMES </v>
          </cell>
          <cell r="C634" t="str">
            <v>m</v>
          </cell>
          <cell r="D634">
            <v>260.72000000000003</v>
          </cell>
          <cell r="E634">
            <v>24.82</v>
          </cell>
          <cell r="F634">
            <v>6471.0704000000005</v>
          </cell>
          <cell r="G634">
            <v>0</v>
          </cell>
          <cell r="H634">
            <v>0</v>
          </cell>
          <cell r="I634" t="str">
            <v>0.00%</v>
          </cell>
          <cell r="J634">
            <v>0</v>
          </cell>
          <cell r="K634">
            <v>0</v>
          </cell>
          <cell r="L634" t="str">
            <v>0.00%</v>
          </cell>
          <cell r="M634">
            <v>0</v>
          </cell>
          <cell r="N634">
            <v>0</v>
          </cell>
          <cell r="O634" t="str">
            <v>0.00%</v>
          </cell>
          <cell r="P634">
            <v>260.72000000000003</v>
          </cell>
          <cell r="Q634">
            <v>6471.0704000000005</v>
          </cell>
          <cell r="R634">
            <v>1</v>
          </cell>
        </row>
        <row r="635">
          <cell r="A635" t="str">
            <v>08.02.10</v>
          </cell>
          <cell r="B635" t="str">
            <v>BRUÑA DE 1CM ENTRE MUROS Y ESTRUCTURAS</v>
          </cell>
          <cell r="C635" t="str">
            <v>m</v>
          </cell>
          <cell r="D635">
            <v>858.72</v>
          </cell>
          <cell r="E635">
            <v>2.08</v>
          </cell>
          <cell r="F635">
            <v>1786.1376</v>
          </cell>
          <cell r="G635">
            <v>0</v>
          </cell>
          <cell r="H635">
            <v>0</v>
          </cell>
          <cell r="I635" t="str">
            <v>0.00%</v>
          </cell>
          <cell r="J635">
            <v>441.16000000000008</v>
          </cell>
          <cell r="K635">
            <v>917.61280000000022</v>
          </cell>
          <cell r="L635">
            <v>0.51374138252282475</v>
          </cell>
          <cell r="M635">
            <v>441.16000000000008</v>
          </cell>
          <cell r="N635">
            <v>917.61280000000022</v>
          </cell>
          <cell r="O635">
            <v>0.51374138252282475</v>
          </cell>
          <cell r="P635">
            <v>417.55999999999995</v>
          </cell>
          <cell r="Q635">
            <v>868.5247999999998</v>
          </cell>
          <cell r="R635">
            <v>0.48625861747717519</v>
          </cell>
        </row>
        <row r="636">
          <cell r="A636" t="str">
            <v>08.03</v>
          </cell>
          <cell r="B636" t="str">
            <v>ESTRUCTURAS METALICAS</v>
          </cell>
          <cell r="C636">
            <v>0</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row>
        <row r="637">
          <cell r="A637" t="str">
            <v>08.03.01</v>
          </cell>
          <cell r="B637" t="str">
            <v>CORREAS DE TUBO LAC 2"X2"X2mm</v>
          </cell>
          <cell r="C637" t="str">
            <v>m</v>
          </cell>
          <cell r="D637">
            <v>257.60000000000002</v>
          </cell>
          <cell r="E637">
            <v>28.38</v>
          </cell>
          <cell r="F637">
            <v>7310.6880000000001</v>
          </cell>
          <cell r="G637">
            <v>0</v>
          </cell>
          <cell r="H637">
            <v>0</v>
          </cell>
          <cell r="I637" t="str">
            <v>0.00%</v>
          </cell>
          <cell r="J637">
            <v>0</v>
          </cell>
          <cell r="K637">
            <v>0</v>
          </cell>
          <cell r="L637" t="str">
            <v>0.00%</v>
          </cell>
          <cell r="M637">
            <v>0</v>
          </cell>
          <cell r="N637">
            <v>0</v>
          </cell>
          <cell r="O637" t="str">
            <v>0.00%</v>
          </cell>
          <cell r="P637">
            <v>257.60000000000002</v>
          </cell>
          <cell r="Q637">
            <v>7310.6880000000001</v>
          </cell>
          <cell r="R637">
            <v>1</v>
          </cell>
        </row>
        <row r="638">
          <cell r="A638" t="str">
            <v>08.03.02</v>
          </cell>
          <cell r="B638" t="str">
            <v>TIJERAL TIPO - I CON TUBO RECTANGULAR LAC (SEGUN DISEÑO)</v>
          </cell>
          <cell r="C638" t="str">
            <v>und</v>
          </cell>
          <cell r="D638">
            <v>5</v>
          </cell>
          <cell r="E638">
            <v>549.16</v>
          </cell>
          <cell r="F638">
            <v>2745.7999999999997</v>
          </cell>
          <cell r="G638">
            <v>0</v>
          </cell>
          <cell r="H638">
            <v>0</v>
          </cell>
          <cell r="I638" t="str">
            <v>0.00%</v>
          </cell>
          <cell r="J638">
            <v>0</v>
          </cell>
          <cell r="K638">
            <v>0</v>
          </cell>
          <cell r="L638" t="str">
            <v>0.00%</v>
          </cell>
          <cell r="M638">
            <v>0</v>
          </cell>
          <cell r="N638">
            <v>0</v>
          </cell>
          <cell r="O638" t="str">
            <v>0.00%</v>
          </cell>
          <cell r="P638">
            <v>5</v>
          </cell>
          <cell r="Q638">
            <v>2745.7999999999997</v>
          </cell>
          <cell r="R638">
            <v>1</v>
          </cell>
        </row>
        <row r="639">
          <cell r="A639" t="str">
            <v>08.04</v>
          </cell>
          <cell r="B639" t="str">
            <v>COBERTURA</v>
          </cell>
          <cell r="C639">
            <v>0</v>
          </cell>
          <cell r="D639">
            <v>0</v>
          </cell>
          <cell r="E639">
            <v>0</v>
          </cell>
          <cell r="F639">
            <v>0</v>
          </cell>
          <cell r="G639">
            <v>0</v>
          </cell>
          <cell r="H639">
            <v>0</v>
          </cell>
          <cell r="I639">
            <v>0</v>
          </cell>
          <cell r="J639">
            <v>0</v>
          </cell>
          <cell r="K639">
            <v>0</v>
          </cell>
          <cell r="L639">
            <v>0</v>
          </cell>
          <cell r="M639">
            <v>0</v>
          </cell>
          <cell r="N639">
            <v>0</v>
          </cell>
          <cell r="O639">
            <v>0</v>
          </cell>
          <cell r="P639">
            <v>0</v>
          </cell>
          <cell r="Q639">
            <v>0</v>
          </cell>
          <cell r="R639">
            <v>0</v>
          </cell>
        </row>
        <row r="640">
          <cell r="A640" t="str">
            <v>08.04.01</v>
          </cell>
          <cell r="B640" t="str">
            <v>COBERTURA DE PLACA ONDUVILLA</v>
          </cell>
          <cell r="C640" t="str">
            <v>m2</v>
          </cell>
          <cell r="D640">
            <v>146.94</v>
          </cell>
          <cell r="E640">
            <v>147.85</v>
          </cell>
          <cell r="F640">
            <v>21725.078999999998</v>
          </cell>
          <cell r="G640">
            <v>0</v>
          </cell>
          <cell r="H640">
            <v>0</v>
          </cell>
          <cell r="I640" t="str">
            <v>0.00%</v>
          </cell>
          <cell r="J640">
            <v>0</v>
          </cell>
          <cell r="K640">
            <v>0</v>
          </cell>
          <cell r="L640" t="str">
            <v>0.00%</v>
          </cell>
          <cell r="M640">
            <v>0</v>
          </cell>
          <cell r="N640">
            <v>0</v>
          </cell>
          <cell r="O640" t="str">
            <v>0.00%</v>
          </cell>
          <cell r="P640">
            <v>146.94</v>
          </cell>
          <cell r="Q640">
            <v>21725.078999999998</v>
          </cell>
          <cell r="R640">
            <v>1</v>
          </cell>
        </row>
        <row r="641">
          <cell r="A641" t="str">
            <v>08.04.02</v>
          </cell>
          <cell r="B641" t="str">
            <v>CUMBRERA DE ONDUVILLA</v>
          </cell>
          <cell r="C641" t="str">
            <v>m</v>
          </cell>
          <cell r="D641">
            <v>15.8</v>
          </cell>
          <cell r="E641">
            <v>101.1</v>
          </cell>
          <cell r="F641">
            <v>1597.3799999999999</v>
          </cell>
          <cell r="G641">
            <v>0</v>
          </cell>
          <cell r="H641">
            <v>0</v>
          </cell>
          <cell r="I641" t="str">
            <v>0.00%</v>
          </cell>
          <cell r="J641">
            <v>0</v>
          </cell>
          <cell r="K641">
            <v>0</v>
          </cell>
          <cell r="L641" t="str">
            <v>0.00%</v>
          </cell>
          <cell r="M641">
            <v>0</v>
          </cell>
          <cell r="N641">
            <v>0</v>
          </cell>
          <cell r="O641" t="str">
            <v>0.00%</v>
          </cell>
          <cell r="P641">
            <v>15.8</v>
          </cell>
          <cell r="Q641">
            <v>1597.3799999999999</v>
          </cell>
          <cell r="R641">
            <v>1</v>
          </cell>
        </row>
        <row r="642">
          <cell r="A642" t="str">
            <v>08.04.03</v>
          </cell>
          <cell r="B642" t="str">
            <v>COBERTURA LADRILLO PASTELERO ASENTADO C/MEZCLA</v>
          </cell>
          <cell r="C642" t="str">
            <v>m2</v>
          </cell>
          <cell r="D642">
            <v>37.82</v>
          </cell>
          <cell r="E642">
            <v>45.53</v>
          </cell>
          <cell r="F642">
            <v>1721.9446</v>
          </cell>
          <cell r="G642">
            <v>0</v>
          </cell>
          <cell r="H642">
            <v>0</v>
          </cell>
          <cell r="I642" t="str">
            <v>0.00%</v>
          </cell>
          <cell r="J642">
            <v>0</v>
          </cell>
          <cell r="K642">
            <v>0</v>
          </cell>
          <cell r="L642" t="str">
            <v>0.00%</v>
          </cell>
          <cell r="M642">
            <v>0</v>
          </cell>
          <cell r="N642">
            <v>0</v>
          </cell>
          <cell r="O642" t="str">
            <v>0.00%</v>
          </cell>
          <cell r="P642">
            <v>37.82</v>
          </cell>
          <cell r="Q642">
            <v>1721.9446</v>
          </cell>
          <cell r="R642">
            <v>1</v>
          </cell>
        </row>
        <row r="643">
          <cell r="A643" t="str">
            <v>08.04.04</v>
          </cell>
          <cell r="B643" t="str">
            <v>COBERTURA DE POLICARBONATO ALVEOLAR TRASLUCIDO DE 6 MM.</v>
          </cell>
          <cell r="C643" t="str">
            <v>m2</v>
          </cell>
          <cell r="D643">
            <v>40.96</v>
          </cell>
          <cell r="E643">
            <v>63.81</v>
          </cell>
          <cell r="F643">
            <v>2613.6576</v>
          </cell>
          <cell r="G643">
            <v>0</v>
          </cell>
          <cell r="H643">
            <v>0</v>
          </cell>
          <cell r="I643" t="str">
            <v>0.00%</v>
          </cell>
          <cell r="J643">
            <v>0</v>
          </cell>
          <cell r="K643">
            <v>0</v>
          </cell>
          <cell r="L643" t="str">
            <v>0.00%</v>
          </cell>
          <cell r="M643">
            <v>0</v>
          </cell>
          <cell r="N643">
            <v>0</v>
          </cell>
          <cell r="O643" t="str">
            <v>0.00%</v>
          </cell>
          <cell r="P643">
            <v>40.96</v>
          </cell>
          <cell r="Q643">
            <v>2613.6576</v>
          </cell>
          <cell r="R643">
            <v>1</v>
          </cell>
        </row>
        <row r="644">
          <cell r="A644" t="str">
            <v>08.05</v>
          </cell>
          <cell r="B644" t="str">
            <v>CIELORRASOS</v>
          </cell>
          <cell r="C644">
            <v>0</v>
          </cell>
          <cell r="D644">
            <v>0</v>
          </cell>
          <cell r="E644">
            <v>0</v>
          </cell>
          <cell r="F644">
            <v>0</v>
          </cell>
          <cell r="G644">
            <v>0</v>
          </cell>
          <cell r="H644">
            <v>0</v>
          </cell>
          <cell r="I644">
            <v>0</v>
          </cell>
          <cell r="J644">
            <v>0</v>
          </cell>
          <cell r="K644">
            <v>0</v>
          </cell>
          <cell r="L644">
            <v>0</v>
          </cell>
          <cell r="M644">
            <v>0</v>
          </cell>
          <cell r="N644">
            <v>0</v>
          </cell>
          <cell r="O644">
            <v>0</v>
          </cell>
          <cell r="P644">
            <v>0</v>
          </cell>
          <cell r="Q644">
            <v>0</v>
          </cell>
          <cell r="R644">
            <v>0</v>
          </cell>
        </row>
        <row r="645">
          <cell r="A645" t="str">
            <v>08.05.01</v>
          </cell>
          <cell r="B645" t="str">
            <v>CIELORRASOS CON MEZCLA C:A 1:5 e= 1.5 CM</v>
          </cell>
          <cell r="C645" t="str">
            <v>m2</v>
          </cell>
          <cell r="D645">
            <v>360.43</v>
          </cell>
          <cell r="E645">
            <v>41.21</v>
          </cell>
          <cell r="F645">
            <v>14853.320300000001</v>
          </cell>
          <cell r="G645">
            <v>0</v>
          </cell>
          <cell r="H645">
            <v>0</v>
          </cell>
          <cell r="I645" t="str">
            <v>0.00%</v>
          </cell>
          <cell r="J645">
            <v>159.32999999999998</v>
          </cell>
          <cell r="K645">
            <v>6565.9892999999993</v>
          </cell>
          <cell r="L645">
            <v>0.44205532280886711</v>
          </cell>
          <cell r="M645">
            <v>159.32999999999998</v>
          </cell>
          <cell r="N645">
            <v>6565.9892999999993</v>
          </cell>
          <cell r="O645">
            <v>0.44205532280886711</v>
          </cell>
          <cell r="P645">
            <v>201.10000000000002</v>
          </cell>
          <cell r="Q645">
            <v>8287.3310000000019</v>
          </cell>
          <cell r="R645">
            <v>0.55794467719113294</v>
          </cell>
        </row>
        <row r="646">
          <cell r="A646" t="str">
            <v>08.06</v>
          </cell>
          <cell r="B646" t="str">
            <v>PISOS Y PAVIMENTOS</v>
          </cell>
          <cell r="C646">
            <v>0</v>
          </cell>
          <cell r="D646">
            <v>0</v>
          </cell>
          <cell r="E646">
            <v>0</v>
          </cell>
          <cell r="F646">
            <v>0</v>
          </cell>
          <cell r="G646">
            <v>0</v>
          </cell>
          <cell r="H646">
            <v>0</v>
          </cell>
          <cell r="I646">
            <v>0</v>
          </cell>
          <cell r="J646">
            <v>0</v>
          </cell>
          <cell r="K646">
            <v>0</v>
          </cell>
          <cell r="L646">
            <v>0</v>
          </cell>
          <cell r="M646">
            <v>0</v>
          </cell>
          <cell r="N646">
            <v>0</v>
          </cell>
          <cell r="O646">
            <v>0</v>
          </cell>
          <cell r="P646">
            <v>0</v>
          </cell>
          <cell r="Q646">
            <v>0</v>
          </cell>
          <cell r="R646">
            <v>0</v>
          </cell>
        </row>
        <row r="647">
          <cell r="A647" t="str">
            <v>08.06.01</v>
          </cell>
          <cell r="B647" t="str">
            <v>FALSO PISO DE 4" DE CONCRETO 1:10</v>
          </cell>
          <cell r="C647" t="str">
            <v>m2</v>
          </cell>
          <cell r="D647">
            <v>218.38</v>
          </cell>
          <cell r="E647">
            <v>34.700000000000003</v>
          </cell>
          <cell r="F647">
            <v>7577.7860000000001</v>
          </cell>
          <cell r="G647">
            <v>0</v>
          </cell>
          <cell r="H647">
            <v>0</v>
          </cell>
          <cell r="I647" t="str">
            <v>0.00%</v>
          </cell>
          <cell r="J647">
            <v>0</v>
          </cell>
          <cell r="K647">
            <v>0</v>
          </cell>
          <cell r="L647" t="str">
            <v>0.00%</v>
          </cell>
          <cell r="M647">
            <v>0</v>
          </cell>
          <cell r="N647">
            <v>0</v>
          </cell>
          <cell r="O647" t="str">
            <v>0.00%</v>
          </cell>
          <cell r="P647">
            <v>218.38</v>
          </cell>
          <cell r="Q647">
            <v>7577.7860000000001</v>
          </cell>
          <cell r="R647">
            <v>1</v>
          </cell>
        </row>
        <row r="648">
          <cell r="A648" t="str">
            <v>08.06.02</v>
          </cell>
          <cell r="B648" t="str">
            <v>CONTRAPISO DE 48 MM.</v>
          </cell>
          <cell r="C648" t="str">
            <v>m2</v>
          </cell>
          <cell r="D648">
            <v>410.17</v>
          </cell>
          <cell r="E648">
            <v>33.57</v>
          </cell>
          <cell r="F648">
            <v>13769.4069</v>
          </cell>
          <cell r="G648">
            <v>0</v>
          </cell>
          <cell r="H648">
            <v>0</v>
          </cell>
          <cell r="I648" t="str">
            <v>0.00%</v>
          </cell>
          <cell r="J648">
            <v>0</v>
          </cell>
          <cell r="K648">
            <v>0</v>
          </cell>
          <cell r="L648" t="str">
            <v>0.00%</v>
          </cell>
          <cell r="M648">
            <v>0</v>
          </cell>
          <cell r="N648">
            <v>0</v>
          </cell>
          <cell r="O648" t="str">
            <v>0.00%</v>
          </cell>
          <cell r="P648">
            <v>410.17</v>
          </cell>
          <cell r="Q648">
            <v>13769.4069</v>
          </cell>
          <cell r="R648">
            <v>1</v>
          </cell>
        </row>
        <row r="649">
          <cell r="A649" t="str">
            <v>08.06.03</v>
          </cell>
          <cell r="B649" t="str">
            <v>PISO DE PORCELANATO 0.60 x 0.60 m.</v>
          </cell>
          <cell r="C649" t="str">
            <v>m2</v>
          </cell>
          <cell r="D649">
            <v>341.41</v>
          </cell>
          <cell r="E649">
            <v>182.85</v>
          </cell>
          <cell r="F649">
            <v>62426.818500000001</v>
          </cell>
          <cell r="G649">
            <v>0</v>
          </cell>
          <cell r="H649">
            <v>0</v>
          </cell>
          <cell r="I649" t="str">
            <v>0.00%</v>
          </cell>
          <cell r="J649">
            <v>0</v>
          </cell>
          <cell r="K649">
            <v>0</v>
          </cell>
          <cell r="L649" t="str">
            <v>0.00%</v>
          </cell>
          <cell r="M649">
            <v>0</v>
          </cell>
          <cell r="N649">
            <v>0</v>
          </cell>
          <cell r="O649" t="str">
            <v>0.00%</v>
          </cell>
          <cell r="P649">
            <v>341.41</v>
          </cell>
          <cell r="Q649">
            <v>62426.818500000001</v>
          </cell>
          <cell r="R649">
            <v>1</v>
          </cell>
        </row>
        <row r="650">
          <cell r="A650" t="str">
            <v>08.06.04</v>
          </cell>
          <cell r="B650" t="str">
            <v>PISO DE CERAMICO ANTIDESLIZANTE AT. 0.40x0.40 M</v>
          </cell>
          <cell r="C650" t="str">
            <v>m2</v>
          </cell>
          <cell r="D650">
            <v>68.760000000000005</v>
          </cell>
          <cell r="E650">
            <v>56.63</v>
          </cell>
          <cell r="F650">
            <v>3893.8788000000004</v>
          </cell>
          <cell r="G650">
            <v>0</v>
          </cell>
          <cell r="H650">
            <v>0</v>
          </cell>
          <cell r="I650" t="str">
            <v>0.00%</v>
          </cell>
          <cell r="J650">
            <v>0</v>
          </cell>
          <cell r="K650">
            <v>0</v>
          </cell>
          <cell r="L650" t="str">
            <v>0.00%</v>
          </cell>
          <cell r="M650">
            <v>0</v>
          </cell>
          <cell r="N650">
            <v>0</v>
          </cell>
          <cell r="O650" t="str">
            <v>0.00%</v>
          </cell>
          <cell r="P650">
            <v>68.760000000000005</v>
          </cell>
          <cell r="Q650">
            <v>3893.8788000000004</v>
          </cell>
          <cell r="R650">
            <v>1</v>
          </cell>
        </row>
        <row r="651">
          <cell r="A651" t="str">
            <v>08.06.05</v>
          </cell>
          <cell r="B651" t="str">
            <v>PISO DE CEMENTO FROTACHADO BRUÑADO</v>
          </cell>
          <cell r="C651" t="str">
            <v>m2</v>
          </cell>
          <cell r="D651">
            <v>12.17</v>
          </cell>
          <cell r="E651">
            <v>18.29</v>
          </cell>
          <cell r="F651">
            <v>222.58929999999998</v>
          </cell>
          <cell r="G651">
            <v>0</v>
          </cell>
          <cell r="H651">
            <v>0</v>
          </cell>
          <cell r="I651" t="str">
            <v>0.00%</v>
          </cell>
          <cell r="J651">
            <v>0</v>
          </cell>
          <cell r="K651">
            <v>0</v>
          </cell>
          <cell r="L651" t="str">
            <v>0.00%</v>
          </cell>
          <cell r="M651">
            <v>0</v>
          </cell>
          <cell r="N651">
            <v>0</v>
          </cell>
          <cell r="O651" t="str">
            <v>0.00%</v>
          </cell>
          <cell r="P651">
            <v>12.17</v>
          </cell>
          <cell r="Q651">
            <v>222.58929999999998</v>
          </cell>
          <cell r="R651">
            <v>1</v>
          </cell>
        </row>
        <row r="652">
          <cell r="A652" t="str">
            <v>08.06.06</v>
          </cell>
          <cell r="B652" t="str">
            <v>COLOCACION DE BLOQUE DE VIDRIO 30 x 30 x 8 CM. PARA PISO</v>
          </cell>
          <cell r="C652" t="str">
            <v>und</v>
          </cell>
          <cell r="D652">
            <v>24</v>
          </cell>
          <cell r="E652">
            <v>20.87</v>
          </cell>
          <cell r="F652">
            <v>500.88</v>
          </cell>
          <cell r="G652">
            <v>0</v>
          </cell>
          <cell r="H652">
            <v>0</v>
          </cell>
          <cell r="I652" t="str">
            <v>0.00%</v>
          </cell>
          <cell r="J652">
            <v>0</v>
          </cell>
          <cell r="K652">
            <v>0</v>
          </cell>
          <cell r="L652" t="str">
            <v>0.00%</v>
          </cell>
          <cell r="M652">
            <v>0</v>
          </cell>
          <cell r="N652">
            <v>0</v>
          </cell>
          <cell r="O652" t="str">
            <v>0.00%</v>
          </cell>
          <cell r="P652">
            <v>24</v>
          </cell>
          <cell r="Q652">
            <v>500.88</v>
          </cell>
          <cell r="R652">
            <v>1</v>
          </cell>
        </row>
        <row r="653">
          <cell r="A653" t="str">
            <v>08.07</v>
          </cell>
          <cell r="B653" t="str">
            <v>VEREDA</v>
          </cell>
          <cell r="C653">
            <v>0</v>
          </cell>
          <cell r="D653">
            <v>0</v>
          </cell>
          <cell r="E653">
            <v>0</v>
          </cell>
          <cell r="F653">
            <v>0</v>
          </cell>
          <cell r="G653">
            <v>0</v>
          </cell>
          <cell r="H653">
            <v>0</v>
          </cell>
          <cell r="I653">
            <v>0</v>
          </cell>
          <cell r="J653">
            <v>0</v>
          </cell>
          <cell r="K653">
            <v>0</v>
          </cell>
          <cell r="L653">
            <v>0</v>
          </cell>
          <cell r="M653">
            <v>0</v>
          </cell>
          <cell r="N653">
            <v>0</v>
          </cell>
          <cell r="O653">
            <v>0</v>
          </cell>
          <cell r="P653">
            <v>0</v>
          </cell>
          <cell r="Q653">
            <v>0</v>
          </cell>
          <cell r="R653">
            <v>0</v>
          </cell>
        </row>
        <row r="654">
          <cell r="A654" t="str">
            <v>08.07.01</v>
          </cell>
          <cell r="B654" t="str">
            <v>AFIRMADO DE 4" PARA VEREDAS</v>
          </cell>
          <cell r="C654" t="str">
            <v>m2</v>
          </cell>
          <cell r="D654">
            <v>12.17</v>
          </cell>
          <cell r="E654">
            <v>11.27</v>
          </cell>
          <cell r="F654">
            <v>137.1559</v>
          </cell>
          <cell r="G654">
            <v>0</v>
          </cell>
          <cell r="H654">
            <v>0</v>
          </cell>
          <cell r="I654" t="str">
            <v>0.00%</v>
          </cell>
          <cell r="J654">
            <v>0</v>
          </cell>
          <cell r="K654">
            <v>0</v>
          </cell>
          <cell r="L654" t="str">
            <v>0.00%</v>
          </cell>
          <cell r="M654">
            <v>0</v>
          </cell>
          <cell r="N654">
            <v>0</v>
          </cell>
          <cell r="O654" t="str">
            <v>0.00%</v>
          </cell>
          <cell r="P654">
            <v>12.17</v>
          </cell>
          <cell r="Q654">
            <v>137.1559</v>
          </cell>
          <cell r="R654">
            <v>1</v>
          </cell>
        </row>
        <row r="655">
          <cell r="A655" t="str">
            <v>08.07.02</v>
          </cell>
          <cell r="B655" t="str">
            <v>VEREDA DE CONCRETO F'C= 175 KG/CM2.</v>
          </cell>
          <cell r="C655" t="str">
            <v>m2</v>
          </cell>
          <cell r="D655">
            <v>12.17</v>
          </cell>
          <cell r="E655">
            <v>64.63</v>
          </cell>
          <cell r="F655">
            <v>786.54709999999989</v>
          </cell>
          <cell r="G655">
            <v>0</v>
          </cell>
          <cell r="H655">
            <v>0</v>
          </cell>
          <cell r="I655" t="str">
            <v>0.00%</v>
          </cell>
          <cell r="J655">
            <v>0</v>
          </cell>
          <cell r="K655">
            <v>0</v>
          </cell>
          <cell r="L655" t="str">
            <v>0.00%</v>
          </cell>
          <cell r="M655">
            <v>0</v>
          </cell>
          <cell r="N655">
            <v>0</v>
          </cell>
          <cell r="O655" t="str">
            <v>0.00%</v>
          </cell>
          <cell r="P655">
            <v>12.17</v>
          </cell>
          <cell r="Q655">
            <v>786.54709999999989</v>
          </cell>
          <cell r="R655">
            <v>1</v>
          </cell>
        </row>
        <row r="656">
          <cell r="A656" t="str">
            <v>08.07.03</v>
          </cell>
          <cell r="B656" t="str">
            <v>ENCOFRADO Y DESENCOFRADO DE VEREDA</v>
          </cell>
          <cell r="C656" t="str">
            <v>m2</v>
          </cell>
          <cell r="D656">
            <v>3.61</v>
          </cell>
          <cell r="E656">
            <v>45.51</v>
          </cell>
          <cell r="F656">
            <v>164.2911</v>
          </cell>
          <cell r="G656">
            <v>0</v>
          </cell>
          <cell r="H656">
            <v>0</v>
          </cell>
          <cell r="I656" t="str">
            <v>0.00%</v>
          </cell>
          <cell r="J656">
            <v>0</v>
          </cell>
          <cell r="K656">
            <v>0</v>
          </cell>
          <cell r="L656" t="str">
            <v>0.00%</v>
          </cell>
          <cell r="M656">
            <v>0</v>
          </cell>
          <cell r="N656">
            <v>0</v>
          </cell>
          <cell r="O656" t="str">
            <v>0.00%</v>
          </cell>
          <cell r="P656">
            <v>3.61</v>
          </cell>
          <cell r="Q656">
            <v>164.2911</v>
          </cell>
          <cell r="R656">
            <v>1</v>
          </cell>
        </row>
        <row r="657">
          <cell r="A657" t="str">
            <v>08.08</v>
          </cell>
          <cell r="B657" t="str">
            <v>ZOCALOS Y CONTRAZOCALOS</v>
          </cell>
          <cell r="C657">
            <v>0</v>
          </cell>
          <cell r="D657">
            <v>0</v>
          </cell>
          <cell r="E657">
            <v>0</v>
          </cell>
          <cell r="F657">
            <v>0</v>
          </cell>
          <cell r="G657">
            <v>0</v>
          </cell>
          <cell r="H657">
            <v>0</v>
          </cell>
          <cell r="I657">
            <v>0</v>
          </cell>
          <cell r="J657">
            <v>0</v>
          </cell>
          <cell r="K657">
            <v>0</v>
          </cell>
          <cell r="L657">
            <v>0</v>
          </cell>
          <cell r="M657">
            <v>0</v>
          </cell>
          <cell r="N657">
            <v>0</v>
          </cell>
          <cell r="O657">
            <v>0</v>
          </cell>
          <cell r="P657">
            <v>0</v>
          </cell>
          <cell r="Q657">
            <v>0</v>
          </cell>
          <cell r="R657">
            <v>0</v>
          </cell>
        </row>
        <row r="658">
          <cell r="A658" t="str">
            <v>08.08.01</v>
          </cell>
          <cell r="B658" t="str">
            <v>ZOCALO DE CERAMICO 0.30 x 0.20 M</v>
          </cell>
          <cell r="C658" t="str">
            <v>m2</v>
          </cell>
          <cell r="D658">
            <v>98.1</v>
          </cell>
          <cell r="E658">
            <v>64.3</v>
          </cell>
          <cell r="F658">
            <v>6307.829999999999</v>
          </cell>
          <cell r="G658">
            <v>0</v>
          </cell>
          <cell r="H658">
            <v>0</v>
          </cell>
          <cell r="I658" t="str">
            <v>0.00%</v>
          </cell>
          <cell r="J658">
            <v>0</v>
          </cell>
          <cell r="K658">
            <v>0</v>
          </cell>
          <cell r="L658" t="str">
            <v>0.00%</v>
          </cell>
          <cell r="M658">
            <v>0</v>
          </cell>
          <cell r="N658">
            <v>0</v>
          </cell>
          <cell r="O658" t="str">
            <v>0.00%</v>
          </cell>
          <cell r="P658">
            <v>98.1</v>
          </cell>
          <cell r="Q658">
            <v>6307.829999999999</v>
          </cell>
          <cell r="R658">
            <v>1</v>
          </cell>
        </row>
        <row r="659">
          <cell r="A659" t="str">
            <v>08.08.02</v>
          </cell>
          <cell r="B659" t="str">
            <v>ZOCALO DE CEMENTO PULIDO C/MORTERO 1:5 DE 2CM. DE H= 40 CM. - EXTERIOR</v>
          </cell>
          <cell r="C659" t="str">
            <v>m</v>
          </cell>
          <cell r="D659">
            <v>20.86</v>
          </cell>
          <cell r="E659">
            <v>13.08</v>
          </cell>
          <cell r="F659">
            <v>272.84879999999998</v>
          </cell>
          <cell r="G659">
            <v>0</v>
          </cell>
          <cell r="H659">
            <v>0</v>
          </cell>
          <cell r="I659" t="str">
            <v>0.00%</v>
          </cell>
          <cell r="J659">
            <v>0</v>
          </cell>
          <cell r="K659">
            <v>0</v>
          </cell>
          <cell r="L659" t="str">
            <v>0.00%</v>
          </cell>
          <cell r="M659">
            <v>0</v>
          </cell>
          <cell r="N659">
            <v>0</v>
          </cell>
          <cell r="O659" t="str">
            <v>0.00%</v>
          </cell>
          <cell r="P659">
            <v>20.86</v>
          </cell>
          <cell r="Q659">
            <v>272.84879999999998</v>
          </cell>
          <cell r="R659">
            <v>1</v>
          </cell>
        </row>
        <row r="660">
          <cell r="A660" t="str">
            <v>08.08.03</v>
          </cell>
          <cell r="B660" t="str">
            <v>CONTRAZOCALO DE CERAMICO DE 40 x 40 CM. H=10CM. - INTERIOR</v>
          </cell>
          <cell r="C660" t="str">
            <v>m</v>
          </cell>
          <cell r="D660">
            <v>44.44</v>
          </cell>
          <cell r="E660">
            <v>14.75</v>
          </cell>
          <cell r="F660">
            <v>655.49</v>
          </cell>
          <cell r="G660">
            <v>0</v>
          </cell>
          <cell r="H660">
            <v>0</v>
          </cell>
          <cell r="I660" t="str">
            <v>0.00%</v>
          </cell>
          <cell r="J660">
            <v>0</v>
          </cell>
          <cell r="K660">
            <v>0</v>
          </cell>
          <cell r="L660" t="str">
            <v>0.00%</v>
          </cell>
          <cell r="M660">
            <v>0</v>
          </cell>
          <cell r="N660">
            <v>0</v>
          </cell>
          <cell r="O660" t="str">
            <v>0.00%</v>
          </cell>
          <cell r="P660">
            <v>44.44</v>
          </cell>
          <cell r="Q660">
            <v>655.49</v>
          </cell>
          <cell r="R660">
            <v>1</v>
          </cell>
        </row>
        <row r="661">
          <cell r="A661" t="str">
            <v>08.08.04</v>
          </cell>
          <cell r="B661" t="str">
            <v>CONTRAZOCALO DE PORCELANATO H=0.10M</v>
          </cell>
          <cell r="C661" t="str">
            <v>m</v>
          </cell>
          <cell r="D661">
            <v>128.82</v>
          </cell>
          <cell r="E661">
            <v>22.15</v>
          </cell>
          <cell r="F661">
            <v>2853.3629999999998</v>
          </cell>
          <cell r="G661">
            <v>0</v>
          </cell>
          <cell r="H661">
            <v>0</v>
          </cell>
          <cell r="I661" t="str">
            <v>0.00%</v>
          </cell>
          <cell r="J661">
            <v>0</v>
          </cell>
          <cell r="K661">
            <v>0</v>
          </cell>
          <cell r="L661" t="str">
            <v>0.00%</v>
          </cell>
          <cell r="M661">
            <v>0</v>
          </cell>
          <cell r="N661">
            <v>0</v>
          </cell>
          <cell r="O661" t="str">
            <v>0.00%</v>
          </cell>
          <cell r="P661">
            <v>128.82</v>
          </cell>
          <cell r="Q661">
            <v>2853.3629999999998</v>
          </cell>
          <cell r="R661">
            <v>1</v>
          </cell>
        </row>
        <row r="662">
          <cell r="A662" t="str">
            <v>08.09</v>
          </cell>
          <cell r="B662" t="str">
            <v>CARPINTERIA DE MADERA</v>
          </cell>
          <cell r="C662">
            <v>0</v>
          </cell>
          <cell r="D662">
            <v>0</v>
          </cell>
          <cell r="E662">
            <v>0</v>
          </cell>
          <cell r="F662">
            <v>0</v>
          </cell>
          <cell r="G662">
            <v>0</v>
          </cell>
          <cell r="H662">
            <v>0</v>
          </cell>
          <cell r="I662">
            <v>0</v>
          </cell>
          <cell r="J662">
            <v>0</v>
          </cell>
          <cell r="K662">
            <v>0</v>
          </cell>
          <cell r="L662">
            <v>0</v>
          </cell>
          <cell r="M662">
            <v>0</v>
          </cell>
          <cell r="N662">
            <v>0</v>
          </cell>
          <cell r="O662">
            <v>0</v>
          </cell>
          <cell r="P662">
            <v>0</v>
          </cell>
          <cell r="Q662">
            <v>0</v>
          </cell>
          <cell r="R662">
            <v>0</v>
          </cell>
        </row>
        <row r="663">
          <cell r="A663" t="str">
            <v>08.09.01</v>
          </cell>
          <cell r="B663" t="str">
            <v>PUERTA DE MADERA MACHIMBRADA C/SOBRE LUZ</v>
          </cell>
          <cell r="C663" t="str">
            <v>m2</v>
          </cell>
          <cell r="D663">
            <v>19.8</v>
          </cell>
          <cell r="E663">
            <v>340.61</v>
          </cell>
          <cell r="F663">
            <v>6744.0780000000004</v>
          </cell>
          <cell r="G663">
            <v>0</v>
          </cell>
          <cell r="H663">
            <v>0</v>
          </cell>
          <cell r="I663" t="str">
            <v>0.00%</v>
          </cell>
          <cell r="J663">
            <v>0</v>
          </cell>
          <cell r="K663">
            <v>0</v>
          </cell>
          <cell r="L663" t="str">
            <v>0.00%</v>
          </cell>
          <cell r="M663">
            <v>0</v>
          </cell>
          <cell r="N663">
            <v>0</v>
          </cell>
          <cell r="O663" t="str">
            <v>0.00%</v>
          </cell>
          <cell r="P663">
            <v>19.8</v>
          </cell>
          <cell r="Q663">
            <v>6744.0780000000004</v>
          </cell>
          <cell r="R663">
            <v>1</v>
          </cell>
        </row>
        <row r="664">
          <cell r="A664" t="str">
            <v>08.09.02</v>
          </cell>
          <cell r="B664" t="str">
            <v>PUERTA DE MADERA DOBLE HOJA MACHIMBRADA C/SOBRE LUZ</v>
          </cell>
          <cell r="C664" t="str">
            <v>m2</v>
          </cell>
          <cell r="D664">
            <v>17.600000000000001</v>
          </cell>
          <cell r="E664">
            <v>340.61</v>
          </cell>
          <cell r="F664">
            <v>5994.7360000000008</v>
          </cell>
          <cell r="G664">
            <v>0</v>
          </cell>
          <cell r="H664">
            <v>0</v>
          </cell>
          <cell r="I664" t="str">
            <v>0.00%</v>
          </cell>
          <cell r="J664">
            <v>0</v>
          </cell>
          <cell r="K664">
            <v>0</v>
          </cell>
          <cell r="L664" t="str">
            <v>0.00%</v>
          </cell>
          <cell r="M664">
            <v>0</v>
          </cell>
          <cell r="N664">
            <v>0</v>
          </cell>
          <cell r="O664" t="str">
            <v>0.00%</v>
          </cell>
          <cell r="P664">
            <v>17.600000000000001</v>
          </cell>
          <cell r="Q664">
            <v>5994.7360000000008</v>
          </cell>
          <cell r="R664">
            <v>1</v>
          </cell>
        </row>
        <row r="665">
          <cell r="A665" t="str">
            <v>08.09.03</v>
          </cell>
          <cell r="B665" t="str">
            <v>PUERTA CONTRAPLACADA CON PLANCHA DE TRIPLAY DE 6 mm. C/SOBRELUZ</v>
          </cell>
          <cell r="C665" t="str">
            <v>m2</v>
          </cell>
          <cell r="D665">
            <v>9.52</v>
          </cell>
          <cell r="E665">
            <v>329.53</v>
          </cell>
          <cell r="F665">
            <v>3137.1255999999994</v>
          </cell>
          <cell r="G665">
            <v>0</v>
          </cell>
          <cell r="H665">
            <v>0</v>
          </cell>
          <cell r="I665" t="str">
            <v>0.00%</v>
          </cell>
          <cell r="J665">
            <v>0</v>
          </cell>
          <cell r="K665">
            <v>0</v>
          </cell>
          <cell r="L665" t="str">
            <v>0.00%</v>
          </cell>
          <cell r="M665">
            <v>0</v>
          </cell>
          <cell r="N665">
            <v>0</v>
          </cell>
          <cell r="O665" t="str">
            <v>0.00%</v>
          </cell>
          <cell r="P665">
            <v>9.52</v>
          </cell>
          <cell r="Q665">
            <v>3137.1255999999994</v>
          </cell>
          <cell r="R665">
            <v>1</v>
          </cell>
        </row>
        <row r="666">
          <cell r="A666" t="str">
            <v>08.10</v>
          </cell>
          <cell r="B666" t="str">
            <v>CARPINTERIA METALICA</v>
          </cell>
          <cell r="C666">
            <v>0</v>
          </cell>
          <cell r="D666">
            <v>0</v>
          </cell>
          <cell r="E666">
            <v>0</v>
          </cell>
          <cell r="F666">
            <v>0</v>
          </cell>
          <cell r="G666">
            <v>0</v>
          </cell>
          <cell r="H666">
            <v>0</v>
          </cell>
          <cell r="I666">
            <v>0</v>
          </cell>
          <cell r="J666">
            <v>0</v>
          </cell>
          <cell r="K666">
            <v>0</v>
          </cell>
          <cell r="L666">
            <v>0</v>
          </cell>
          <cell r="M666">
            <v>0</v>
          </cell>
          <cell r="N666">
            <v>0</v>
          </cell>
          <cell r="O666">
            <v>0</v>
          </cell>
          <cell r="P666">
            <v>0</v>
          </cell>
          <cell r="Q666">
            <v>0</v>
          </cell>
          <cell r="R666">
            <v>0</v>
          </cell>
        </row>
        <row r="667">
          <cell r="A667" t="str">
            <v>08.10.01</v>
          </cell>
          <cell r="B667" t="str">
            <v>BARANDA CON VIDRIO TEMPLADO H=1.00 M. S/D - TIPO I</v>
          </cell>
          <cell r="C667" t="str">
            <v>m</v>
          </cell>
          <cell r="D667">
            <v>9.35</v>
          </cell>
          <cell r="E667">
            <v>381.69</v>
          </cell>
          <cell r="F667">
            <v>3568.8015</v>
          </cell>
          <cell r="G667">
            <v>0</v>
          </cell>
          <cell r="H667">
            <v>0</v>
          </cell>
          <cell r="I667" t="str">
            <v>0.00%</v>
          </cell>
          <cell r="J667">
            <v>0</v>
          </cell>
          <cell r="K667">
            <v>0</v>
          </cell>
          <cell r="L667" t="str">
            <v>0.00%</v>
          </cell>
          <cell r="M667">
            <v>0</v>
          </cell>
          <cell r="N667">
            <v>0</v>
          </cell>
          <cell r="O667" t="str">
            <v>0.00%</v>
          </cell>
          <cell r="P667">
            <v>9.35</v>
          </cell>
          <cell r="Q667">
            <v>3568.8015</v>
          </cell>
          <cell r="R667">
            <v>1</v>
          </cell>
        </row>
        <row r="668">
          <cell r="A668" t="str">
            <v>08.11</v>
          </cell>
          <cell r="B668" t="str">
            <v>CERRAJERIA</v>
          </cell>
          <cell r="C668">
            <v>0</v>
          </cell>
          <cell r="D668">
            <v>0</v>
          </cell>
          <cell r="E668">
            <v>0</v>
          </cell>
          <cell r="F668">
            <v>0</v>
          </cell>
          <cell r="G668">
            <v>0</v>
          </cell>
          <cell r="H668">
            <v>0</v>
          </cell>
          <cell r="I668">
            <v>0</v>
          </cell>
          <cell r="J668">
            <v>0</v>
          </cell>
          <cell r="K668">
            <v>0</v>
          </cell>
          <cell r="L668">
            <v>0</v>
          </cell>
          <cell r="M668">
            <v>0</v>
          </cell>
          <cell r="N668">
            <v>0</v>
          </cell>
          <cell r="O668">
            <v>0</v>
          </cell>
          <cell r="P668">
            <v>0</v>
          </cell>
          <cell r="Q668">
            <v>0</v>
          </cell>
          <cell r="R668">
            <v>0</v>
          </cell>
        </row>
        <row r="669">
          <cell r="A669" t="str">
            <v>08.11.01</v>
          </cell>
          <cell r="B669" t="str">
            <v>BISAGRA CAPUCHINA DE 4"</v>
          </cell>
          <cell r="C669" t="str">
            <v>und</v>
          </cell>
          <cell r="D669">
            <v>80</v>
          </cell>
          <cell r="E669">
            <v>15.83</v>
          </cell>
          <cell r="F669">
            <v>1266.4000000000001</v>
          </cell>
          <cell r="G669">
            <v>0</v>
          </cell>
          <cell r="H669">
            <v>0</v>
          </cell>
          <cell r="I669" t="str">
            <v>0.00%</v>
          </cell>
          <cell r="J669">
            <v>0</v>
          </cell>
          <cell r="K669">
            <v>0</v>
          </cell>
          <cell r="L669" t="str">
            <v>0.00%</v>
          </cell>
          <cell r="M669">
            <v>0</v>
          </cell>
          <cell r="N669">
            <v>0</v>
          </cell>
          <cell r="O669" t="str">
            <v>0.00%</v>
          </cell>
          <cell r="P669">
            <v>80</v>
          </cell>
          <cell r="Q669">
            <v>1266.4000000000001</v>
          </cell>
          <cell r="R669">
            <v>1</v>
          </cell>
        </row>
        <row r="670">
          <cell r="A670" t="str">
            <v>08.11.02</v>
          </cell>
          <cell r="B670" t="str">
            <v>CERRADURA PARA PUERTA DE TRES GOLPES</v>
          </cell>
          <cell r="C670" t="str">
            <v>und</v>
          </cell>
          <cell r="D670">
            <v>4</v>
          </cell>
          <cell r="E670">
            <v>137.22999999999999</v>
          </cell>
          <cell r="F670">
            <v>548.91999999999996</v>
          </cell>
          <cell r="G670">
            <v>0</v>
          </cell>
          <cell r="H670">
            <v>0</v>
          </cell>
          <cell r="I670" t="str">
            <v>0.00%</v>
          </cell>
          <cell r="J670">
            <v>0</v>
          </cell>
          <cell r="K670">
            <v>0</v>
          </cell>
          <cell r="L670" t="str">
            <v>0.00%</v>
          </cell>
          <cell r="M670">
            <v>0</v>
          </cell>
          <cell r="N670">
            <v>0</v>
          </cell>
          <cell r="O670" t="str">
            <v>0.00%</v>
          </cell>
          <cell r="P670">
            <v>4</v>
          </cell>
          <cell r="Q670">
            <v>548.91999999999996</v>
          </cell>
          <cell r="R670">
            <v>1</v>
          </cell>
        </row>
        <row r="671">
          <cell r="A671" t="str">
            <v>08.11.03</v>
          </cell>
          <cell r="B671" t="str">
            <v>CERRADURA DE PERILLA CON SEGURIDAD INTERIOR</v>
          </cell>
          <cell r="C671" t="str">
            <v>und</v>
          </cell>
          <cell r="D671">
            <v>16</v>
          </cell>
          <cell r="E671">
            <v>92.23</v>
          </cell>
          <cell r="F671">
            <v>1475.68</v>
          </cell>
          <cell r="G671">
            <v>0</v>
          </cell>
          <cell r="H671">
            <v>0</v>
          </cell>
          <cell r="I671" t="str">
            <v>0.00%</v>
          </cell>
          <cell r="J671">
            <v>0</v>
          </cell>
          <cell r="K671">
            <v>0</v>
          </cell>
          <cell r="L671" t="str">
            <v>0.00%</v>
          </cell>
          <cell r="M671">
            <v>0</v>
          </cell>
          <cell r="N671">
            <v>0</v>
          </cell>
          <cell r="O671" t="str">
            <v>0.00%</v>
          </cell>
          <cell r="P671">
            <v>16</v>
          </cell>
          <cell r="Q671">
            <v>1475.68</v>
          </cell>
          <cell r="R671">
            <v>1</v>
          </cell>
        </row>
        <row r="672">
          <cell r="A672" t="str">
            <v>08.12</v>
          </cell>
          <cell r="B672" t="str">
            <v>VIDRIOS, CRISTALES Y SIMILARES</v>
          </cell>
          <cell r="C672">
            <v>0</v>
          </cell>
          <cell r="D672">
            <v>0</v>
          </cell>
          <cell r="E672">
            <v>0</v>
          </cell>
          <cell r="F672">
            <v>0</v>
          </cell>
          <cell r="G672">
            <v>0</v>
          </cell>
          <cell r="H672">
            <v>0</v>
          </cell>
          <cell r="I672">
            <v>0</v>
          </cell>
          <cell r="J672">
            <v>0</v>
          </cell>
          <cell r="K672">
            <v>0</v>
          </cell>
          <cell r="L672">
            <v>0</v>
          </cell>
          <cell r="M672">
            <v>0</v>
          </cell>
          <cell r="N672">
            <v>0</v>
          </cell>
          <cell r="O672">
            <v>0</v>
          </cell>
          <cell r="P672">
            <v>0</v>
          </cell>
          <cell r="Q672">
            <v>0</v>
          </cell>
          <cell r="R672">
            <v>0</v>
          </cell>
        </row>
        <row r="673">
          <cell r="A673" t="str">
            <v>08.12.01</v>
          </cell>
          <cell r="B673" t="str">
            <v>VIDRIO (8MM.) SISTEMA NOVA INC. ACCESORIOS</v>
          </cell>
          <cell r="C673" t="str">
            <v>p2</v>
          </cell>
          <cell r="D673">
            <v>571.71</v>
          </cell>
          <cell r="E673">
            <v>18.54</v>
          </cell>
          <cell r="F673">
            <v>10599.5034</v>
          </cell>
          <cell r="G673">
            <v>0</v>
          </cell>
          <cell r="H673">
            <v>0</v>
          </cell>
          <cell r="I673" t="str">
            <v>0.00%</v>
          </cell>
          <cell r="J673">
            <v>0</v>
          </cell>
          <cell r="K673">
            <v>0</v>
          </cell>
          <cell r="L673" t="str">
            <v>0.00%</v>
          </cell>
          <cell r="M673">
            <v>0</v>
          </cell>
          <cell r="N673">
            <v>0</v>
          </cell>
          <cell r="O673" t="str">
            <v>0.00%</v>
          </cell>
          <cell r="P673">
            <v>571.71</v>
          </cell>
          <cell r="Q673">
            <v>10599.5034</v>
          </cell>
          <cell r="R673">
            <v>1</v>
          </cell>
        </row>
        <row r="674">
          <cell r="A674" t="str">
            <v>08.12.02</v>
          </cell>
          <cell r="B674" t="str">
            <v>VIDRIO CRUDO INCOLORO DE 6MM.</v>
          </cell>
          <cell r="C674" t="str">
            <v>p2</v>
          </cell>
          <cell r="D674">
            <v>20.88</v>
          </cell>
          <cell r="E674">
            <v>9.51</v>
          </cell>
          <cell r="F674">
            <v>198.56879999999998</v>
          </cell>
          <cell r="G674">
            <v>0</v>
          </cell>
          <cell r="H674">
            <v>0</v>
          </cell>
          <cell r="I674" t="str">
            <v>0.00%</v>
          </cell>
          <cell r="J674">
            <v>0</v>
          </cell>
          <cell r="K674">
            <v>0</v>
          </cell>
          <cell r="L674" t="str">
            <v>0.00%</v>
          </cell>
          <cell r="M674">
            <v>0</v>
          </cell>
          <cell r="N674">
            <v>0</v>
          </cell>
          <cell r="O674" t="str">
            <v>0.00%</v>
          </cell>
          <cell r="P674">
            <v>20.88</v>
          </cell>
          <cell r="Q674">
            <v>198.56879999999998</v>
          </cell>
          <cell r="R674">
            <v>1</v>
          </cell>
        </row>
        <row r="675">
          <cell r="A675" t="str">
            <v>08.13</v>
          </cell>
          <cell r="B675" t="str">
            <v>PINTURA</v>
          </cell>
          <cell r="C675">
            <v>0</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row>
        <row r="676">
          <cell r="A676" t="str">
            <v>08.13.01</v>
          </cell>
          <cell r="B676" t="str">
            <v>PINTURA EN CIELORRASO</v>
          </cell>
          <cell r="C676" t="str">
            <v>m2</v>
          </cell>
          <cell r="D676">
            <v>360.43</v>
          </cell>
          <cell r="E676">
            <v>12.59</v>
          </cell>
          <cell r="F676">
            <v>4537.8136999999997</v>
          </cell>
          <cell r="G676">
            <v>0</v>
          </cell>
          <cell r="H676">
            <v>0</v>
          </cell>
          <cell r="I676" t="str">
            <v>0.00%</v>
          </cell>
          <cell r="J676">
            <v>0</v>
          </cell>
          <cell r="K676">
            <v>0</v>
          </cell>
          <cell r="L676" t="str">
            <v>0.00%</v>
          </cell>
          <cell r="M676">
            <v>0</v>
          </cell>
          <cell r="N676">
            <v>0</v>
          </cell>
          <cell r="O676" t="str">
            <v>0.00%</v>
          </cell>
          <cell r="P676">
            <v>360.43</v>
          </cell>
          <cell r="Q676">
            <v>4537.8136999999997</v>
          </cell>
          <cell r="R676">
            <v>1</v>
          </cell>
        </row>
        <row r="677">
          <cell r="A677" t="str">
            <v>08.13.02</v>
          </cell>
          <cell r="B677" t="str">
            <v xml:space="preserve">PINTURA EN INTERIORES </v>
          </cell>
          <cell r="C677" t="str">
            <v>m2</v>
          </cell>
          <cell r="D677">
            <v>410.83</v>
          </cell>
          <cell r="E677">
            <v>9.6999999999999993</v>
          </cell>
          <cell r="F677">
            <v>3985.0509999999995</v>
          </cell>
          <cell r="G677">
            <v>0</v>
          </cell>
          <cell r="H677">
            <v>0</v>
          </cell>
          <cell r="I677" t="str">
            <v>0.00%</v>
          </cell>
          <cell r="J677">
            <v>0</v>
          </cell>
          <cell r="K677">
            <v>0</v>
          </cell>
          <cell r="L677" t="str">
            <v>0.00%</v>
          </cell>
          <cell r="M677">
            <v>0</v>
          </cell>
          <cell r="N677">
            <v>0</v>
          </cell>
          <cell r="O677" t="str">
            <v>0.00%</v>
          </cell>
          <cell r="P677">
            <v>410.83</v>
          </cell>
          <cell r="Q677">
            <v>3985.0509999999995</v>
          </cell>
          <cell r="R677">
            <v>1</v>
          </cell>
        </row>
        <row r="678">
          <cell r="A678" t="str">
            <v>08.13.03</v>
          </cell>
          <cell r="B678" t="str">
            <v>PINTURA EN EXTERIORES</v>
          </cell>
          <cell r="C678" t="str">
            <v>m2</v>
          </cell>
          <cell r="D678">
            <v>171.97</v>
          </cell>
          <cell r="E678">
            <v>19.04</v>
          </cell>
          <cell r="F678">
            <v>3274.3087999999998</v>
          </cell>
          <cell r="G678">
            <v>0</v>
          </cell>
          <cell r="H678">
            <v>0</v>
          </cell>
          <cell r="I678" t="str">
            <v>0.00%</v>
          </cell>
          <cell r="J678">
            <v>0</v>
          </cell>
          <cell r="K678">
            <v>0</v>
          </cell>
          <cell r="L678" t="str">
            <v>0.00%</v>
          </cell>
          <cell r="M678">
            <v>0</v>
          </cell>
          <cell r="N678">
            <v>0</v>
          </cell>
          <cell r="O678" t="str">
            <v>0.00%</v>
          </cell>
          <cell r="P678">
            <v>171.97</v>
          </cell>
          <cell r="Q678">
            <v>3274.3087999999998</v>
          </cell>
          <cell r="R678">
            <v>1</v>
          </cell>
        </row>
        <row r="679">
          <cell r="A679" t="str">
            <v>08.13.04</v>
          </cell>
          <cell r="B679" t="str">
            <v>PINTURA EN COLUMNAS</v>
          </cell>
          <cell r="C679" t="str">
            <v>m2</v>
          </cell>
          <cell r="D679">
            <v>241.31</v>
          </cell>
          <cell r="E679">
            <v>10.35</v>
          </cell>
          <cell r="F679">
            <v>2497.5585000000001</v>
          </cell>
          <cell r="G679">
            <v>0</v>
          </cell>
          <cell r="H679">
            <v>0</v>
          </cell>
          <cell r="I679" t="str">
            <v>0.00%</v>
          </cell>
          <cell r="J679">
            <v>0</v>
          </cell>
          <cell r="K679">
            <v>0</v>
          </cell>
          <cell r="L679" t="str">
            <v>0.00%</v>
          </cell>
          <cell r="M679">
            <v>0</v>
          </cell>
          <cell r="N679">
            <v>0</v>
          </cell>
          <cell r="O679" t="str">
            <v>0.00%</v>
          </cell>
          <cell r="P679">
            <v>241.31</v>
          </cell>
          <cell r="Q679">
            <v>2497.5585000000001</v>
          </cell>
          <cell r="R679">
            <v>1</v>
          </cell>
        </row>
        <row r="680">
          <cell r="A680" t="str">
            <v>08.13.05</v>
          </cell>
          <cell r="B680" t="str">
            <v>PINTURA EN VIGA</v>
          </cell>
          <cell r="C680" t="str">
            <v>m2</v>
          </cell>
          <cell r="D680">
            <v>199.51</v>
          </cell>
          <cell r="E680">
            <v>10.35</v>
          </cell>
          <cell r="F680">
            <v>2064.9285</v>
          </cell>
          <cell r="G680">
            <v>0</v>
          </cell>
          <cell r="H680">
            <v>0</v>
          </cell>
          <cell r="I680" t="str">
            <v>0.00%</v>
          </cell>
          <cell r="J680">
            <v>0</v>
          </cell>
          <cell r="K680">
            <v>0</v>
          </cell>
          <cell r="L680" t="str">
            <v>0.00%</v>
          </cell>
          <cell r="M680">
            <v>0</v>
          </cell>
          <cell r="N680">
            <v>0</v>
          </cell>
          <cell r="O680" t="str">
            <v>0.00%</v>
          </cell>
          <cell r="P680">
            <v>199.51</v>
          </cell>
          <cell r="Q680">
            <v>2064.9285</v>
          </cell>
          <cell r="R680">
            <v>1</v>
          </cell>
        </row>
        <row r="681">
          <cell r="A681" t="str">
            <v>08.13.06</v>
          </cell>
          <cell r="B681" t="str">
            <v>PINTURA EN CUNETA DE EVACUACION PLUVIAL EN TECHO</v>
          </cell>
          <cell r="C681" t="str">
            <v>m2</v>
          </cell>
          <cell r="D681">
            <v>57.3</v>
          </cell>
          <cell r="E681">
            <v>9.25</v>
          </cell>
          <cell r="F681">
            <v>530.02499999999998</v>
          </cell>
          <cell r="G681">
            <v>0</v>
          </cell>
          <cell r="H681">
            <v>0</v>
          </cell>
          <cell r="I681" t="str">
            <v>0.00%</v>
          </cell>
          <cell r="J681">
            <v>0</v>
          </cell>
          <cell r="K681">
            <v>0</v>
          </cell>
          <cell r="L681" t="str">
            <v>0.00%</v>
          </cell>
          <cell r="M681">
            <v>0</v>
          </cell>
          <cell r="N681">
            <v>0</v>
          </cell>
          <cell r="O681" t="str">
            <v>0.00%</v>
          </cell>
          <cell r="P681">
            <v>57.3</v>
          </cell>
          <cell r="Q681">
            <v>530.02499999999998</v>
          </cell>
          <cell r="R681">
            <v>1</v>
          </cell>
        </row>
        <row r="682">
          <cell r="A682" t="str">
            <v>08.13.07</v>
          </cell>
          <cell r="B682" t="str">
            <v>PINTURA EN CONTRAZOCALOS Y ZOCALOS H= 0.40M C/ESMALTE</v>
          </cell>
          <cell r="C682" t="str">
            <v>m</v>
          </cell>
          <cell r="D682">
            <v>20.86</v>
          </cell>
          <cell r="E682">
            <v>7.19</v>
          </cell>
          <cell r="F682">
            <v>149.98340000000002</v>
          </cell>
          <cell r="G682">
            <v>0</v>
          </cell>
          <cell r="H682">
            <v>0</v>
          </cell>
          <cell r="I682" t="str">
            <v>0.00%</v>
          </cell>
          <cell r="J682">
            <v>0</v>
          </cell>
          <cell r="K682">
            <v>0</v>
          </cell>
          <cell r="L682" t="str">
            <v>0.00%</v>
          </cell>
          <cell r="M682">
            <v>0</v>
          </cell>
          <cell r="N682">
            <v>0</v>
          </cell>
          <cell r="O682" t="str">
            <v>0.00%</v>
          </cell>
          <cell r="P682">
            <v>20.86</v>
          </cell>
          <cell r="Q682">
            <v>149.98340000000002</v>
          </cell>
          <cell r="R682">
            <v>1</v>
          </cell>
        </row>
        <row r="683">
          <cell r="A683" t="str">
            <v>08.13.08</v>
          </cell>
          <cell r="B683" t="str">
            <v>PINTURA EN BARANDAS METALICAS</v>
          </cell>
          <cell r="C683" t="str">
            <v>m</v>
          </cell>
          <cell r="D683">
            <v>9.35</v>
          </cell>
          <cell r="E683">
            <v>9.49</v>
          </cell>
          <cell r="F683">
            <v>88.731499999999997</v>
          </cell>
          <cell r="G683">
            <v>0</v>
          </cell>
          <cell r="H683">
            <v>0</v>
          </cell>
          <cell r="I683" t="str">
            <v>0.00%</v>
          </cell>
          <cell r="J683">
            <v>0</v>
          </cell>
          <cell r="K683">
            <v>0</v>
          </cell>
          <cell r="L683" t="str">
            <v>0.00%</v>
          </cell>
          <cell r="M683">
            <v>0</v>
          </cell>
          <cell r="N683">
            <v>0</v>
          </cell>
          <cell r="O683" t="str">
            <v>0.00%</v>
          </cell>
          <cell r="P683">
            <v>9.35</v>
          </cell>
          <cell r="Q683">
            <v>88.731499999999997</v>
          </cell>
          <cell r="R683">
            <v>1</v>
          </cell>
        </row>
        <row r="684">
          <cell r="A684" t="str">
            <v>08.13.09</v>
          </cell>
          <cell r="B684" t="str">
            <v>PINTURA EN PUERTAS C/BARNIZ 2 MANOS</v>
          </cell>
          <cell r="C684" t="str">
            <v>m2</v>
          </cell>
          <cell r="D684">
            <v>46.92</v>
          </cell>
          <cell r="E684">
            <v>12.86</v>
          </cell>
          <cell r="F684">
            <v>603.39120000000003</v>
          </cell>
          <cell r="G684">
            <v>0</v>
          </cell>
          <cell r="H684">
            <v>0</v>
          </cell>
          <cell r="I684" t="str">
            <v>0.00%</v>
          </cell>
          <cell r="J684">
            <v>0</v>
          </cell>
          <cell r="K684">
            <v>0</v>
          </cell>
          <cell r="L684" t="str">
            <v>0.00%</v>
          </cell>
          <cell r="M684">
            <v>0</v>
          </cell>
          <cell r="N684">
            <v>0</v>
          </cell>
          <cell r="O684" t="str">
            <v>0.00%</v>
          </cell>
          <cell r="P684">
            <v>46.92</v>
          </cell>
          <cell r="Q684">
            <v>603.39120000000003</v>
          </cell>
          <cell r="R684">
            <v>1</v>
          </cell>
        </row>
        <row r="685">
          <cell r="A685" t="str">
            <v>08.14</v>
          </cell>
          <cell r="B685" t="str">
            <v>OBRAS VARIAS</v>
          </cell>
          <cell r="C685">
            <v>0</v>
          </cell>
          <cell r="D685">
            <v>0</v>
          </cell>
          <cell r="E685">
            <v>0</v>
          </cell>
          <cell r="F685">
            <v>0</v>
          </cell>
          <cell r="G685">
            <v>0</v>
          </cell>
          <cell r="H685">
            <v>0</v>
          </cell>
          <cell r="I685">
            <v>0</v>
          </cell>
          <cell r="J685">
            <v>0</v>
          </cell>
          <cell r="K685">
            <v>0</v>
          </cell>
          <cell r="L685">
            <v>0</v>
          </cell>
          <cell r="M685">
            <v>0</v>
          </cell>
          <cell r="N685">
            <v>0</v>
          </cell>
          <cell r="O685">
            <v>0</v>
          </cell>
          <cell r="P685">
            <v>0</v>
          </cell>
          <cell r="Q685">
            <v>0</v>
          </cell>
          <cell r="R685">
            <v>0</v>
          </cell>
        </row>
        <row r="686">
          <cell r="A686" t="str">
            <v>08.14.01</v>
          </cell>
          <cell r="B686" t="str">
            <v>SARDINEL DE CONCRETO SOBRE VIGAS TIMPANO F'C= 175KG/CM2</v>
          </cell>
          <cell r="C686" t="str">
            <v>m3</v>
          </cell>
          <cell r="D686">
            <v>3.72</v>
          </cell>
          <cell r="E686">
            <v>388.98</v>
          </cell>
          <cell r="F686">
            <v>1447.0056000000002</v>
          </cell>
          <cell r="G686">
            <v>0</v>
          </cell>
          <cell r="H686">
            <v>0</v>
          </cell>
          <cell r="I686" t="str">
            <v>0.00%</v>
          </cell>
          <cell r="J686">
            <v>0</v>
          </cell>
          <cell r="K686">
            <v>0</v>
          </cell>
          <cell r="L686" t="str">
            <v>0.00%</v>
          </cell>
          <cell r="M686">
            <v>0</v>
          </cell>
          <cell r="N686">
            <v>0</v>
          </cell>
          <cell r="O686" t="str">
            <v>0.00%</v>
          </cell>
          <cell r="P686">
            <v>3.72</v>
          </cell>
          <cell r="Q686">
            <v>1447.0056000000002</v>
          </cell>
          <cell r="R686">
            <v>1</v>
          </cell>
        </row>
        <row r="687">
          <cell r="A687" t="str">
            <v>08.14.02</v>
          </cell>
          <cell r="B687" t="str">
            <v>ENCOFRADO Y DESENCOFRADO DE SARDINELES SOBRE VIGA TIMPANO</v>
          </cell>
          <cell r="C687" t="str">
            <v>m2</v>
          </cell>
          <cell r="D687">
            <v>27.9</v>
          </cell>
          <cell r="E687">
            <v>17.3</v>
          </cell>
          <cell r="F687">
            <v>482.67</v>
          </cell>
          <cell r="G687">
            <v>0</v>
          </cell>
          <cell r="H687">
            <v>0</v>
          </cell>
          <cell r="I687" t="str">
            <v>0.00%</v>
          </cell>
          <cell r="J687">
            <v>0</v>
          </cell>
          <cell r="K687">
            <v>0</v>
          </cell>
          <cell r="L687" t="str">
            <v>0.00%</v>
          </cell>
          <cell r="M687">
            <v>0</v>
          </cell>
          <cell r="N687">
            <v>0</v>
          </cell>
          <cell r="O687" t="str">
            <v>0.00%</v>
          </cell>
          <cell r="P687">
            <v>27.9</v>
          </cell>
          <cell r="Q687">
            <v>482.67</v>
          </cell>
          <cell r="R687">
            <v>1</v>
          </cell>
        </row>
        <row r="688">
          <cell r="A688" t="str">
            <v>08.14.03</v>
          </cell>
          <cell r="B688" t="str">
            <v xml:space="preserve">TAPA JUNTA EN VANOS MUROS/COLUMNA
</v>
          </cell>
          <cell r="C688" t="str">
            <v>m</v>
          </cell>
          <cell r="D688">
            <v>448.2</v>
          </cell>
          <cell r="E688">
            <v>13.49</v>
          </cell>
          <cell r="F688">
            <v>6046.2179999999998</v>
          </cell>
          <cell r="G688">
            <v>0</v>
          </cell>
          <cell r="H688">
            <v>0</v>
          </cell>
          <cell r="I688" t="str">
            <v>0.00%</v>
          </cell>
          <cell r="J688">
            <v>448.2</v>
          </cell>
          <cell r="K688">
            <v>6046.2179999999998</v>
          </cell>
          <cell r="L688">
            <v>1</v>
          </cell>
          <cell r="M688">
            <v>448.2</v>
          </cell>
          <cell r="N688">
            <v>6046.2179999999998</v>
          </cell>
          <cell r="O688">
            <v>1</v>
          </cell>
          <cell r="P688">
            <v>0</v>
          </cell>
          <cell r="Q688">
            <v>0</v>
          </cell>
          <cell r="R688" t="str">
            <v>0.00%</v>
          </cell>
        </row>
        <row r="689">
          <cell r="A689" t="str">
            <v>08.14.04</v>
          </cell>
          <cell r="B689" t="str">
            <v>TAPA JUNTA  METALICA</v>
          </cell>
          <cell r="C689" t="str">
            <v>m</v>
          </cell>
          <cell r="D689">
            <v>16.100000000000001</v>
          </cell>
          <cell r="E689">
            <v>50.83</v>
          </cell>
          <cell r="F689">
            <v>818.36300000000006</v>
          </cell>
          <cell r="G689">
            <v>0</v>
          </cell>
          <cell r="H689">
            <v>0</v>
          </cell>
          <cell r="I689" t="str">
            <v>0.00%</v>
          </cell>
          <cell r="J689">
            <v>0</v>
          </cell>
          <cell r="K689">
            <v>0</v>
          </cell>
          <cell r="L689" t="str">
            <v>0.00%</v>
          </cell>
          <cell r="M689">
            <v>0</v>
          </cell>
          <cell r="N689">
            <v>0</v>
          </cell>
          <cell r="O689" t="str">
            <v>0.00%</v>
          </cell>
          <cell r="P689">
            <v>16.100000000000001</v>
          </cell>
          <cell r="Q689">
            <v>818.36300000000006</v>
          </cell>
          <cell r="R689">
            <v>1</v>
          </cell>
        </row>
        <row r="690">
          <cell r="A690" t="str">
            <v>09</v>
          </cell>
          <cell r="B690" t="str">
            <v xml:space="preserve">BLOQUE - 2 </v>
          </cell>
          <cell r="C690">
            <v>0</v>
          </cell>
          <cell r="D690">
            <v>0</v>
          </cell>
          <cell r="E690">
            <v>0</v>
          </cell>
          <cell r="F690">
            <v>0</v>
          </cell>
          <cell r="G690">
            <v>0</v>
          </cell>
          <cell r="H690">
            <v>0</v>
          </cell>
          <cell r="I690">
            <v>0</v>
          </cell>
          <cell r="J690">
            <v>0</v>
          </cell>
          <cell r="K690">
            <v>0</v>
          </cell>
          <cell r="L690">
            <v>0</v>
          </cell>
          <cell r="M690">
            <v>0</v>
          </cell>
          <cell r="N690">
            <v>0</v>
          </cell>
          <cell r="O690">
            <v>0</v>
          </cell>
          <cell r="P690">
            <v>0</v>
          </cell>
          <cell r="Q690">
            <v>0</v>
          </cell>
          <cell r="R690">
            <v>0</v>
          </cell>
        </row>
        <row r="691">
          <cell r="A691" t="str">
            <v>09.01</v>
          </cell>
          <cell r="B691" t="str">
            <v>MUROS Y TABIQUES</v>
          </cell>
          <cell r="C691">
            <v>0</v>
          </cell>
          <cell r="D691">
            <v>0</v>
          </cell>
          <cell r="E691">
            <v>0</v>
          </cell>
          <cell r="F691">
            <v>0</v>
          </cell>
          <cell r="G691">
            <v>0</v>
          </cell>
          <cell r="H691">
            <v>0</v>
          </cell>
          <cell r="I691">
            <v>0</v>
          </cell>
          <cell r="J691">
            <v>0</v>
          </cell>
          <cell r="K691">
            <v>0</v>
          </cell>
          <cell r="L691">
            <v>0</v>
          </cell>
          <cell r="M691">
            <v>0</v>
          </cell>
          <cell r="N691">
            <v>0</v>
          </cell>
          <cell r="O691">
            <v>0</v>
          </cell>
          <cell r="P691">
            <v>0</v>
          </cell>
          <cell r="Q691">
            <v>0</v>
          </cell>
          <cell r="R691">
            <v>0</v>
          </cell>
        </row>
        <row r="692">
          <cell r="A692" t="str">
            <v>09.01.01</v>
          </cell>
          <cell r="B692" t="str">
            <v>MURO DE CABEZA LADRILLO KIN-KONG DE ARCILLA</v>
          </cell>
          <cell r="C692" t="str">
            <v>m2</v>
          </cell>
          <cell r="D692">
            <v>272.74</v>
          </cell>
          <cell r="E692">
            <v>151.13999999999999</v>
          </cell>
          <cell r="F692">
            <v>41221.923599999995</v>
          </cell>
          <cell r="G692">
            <v>272.73999999999995</v>
          </cell>
          <cell r="H692">
            <v>41221.923599999987</v>
          </cell>
          <cell r="I692">
            <v>0.99999999999999978</v>
          </cell>
          <cell r="J692">
            <v>0</v>
          </cell>
          <cell r="K692">
            <v>0</v>
          </cell>
          <cell r="L692" t="str">
            <v>0.00%</v>
          </cell>
          <cell r="M692">
            <v>272.73999999999995</v>
          </cell>
          <cell r="N692">
            <v>41221.923599999987</v>
          </cell>
          <cell r="O692">
            <v>0.99999999999999978</v>
          </cell>
          <cell r="P692">
            <v>5.6843418860808015E-14</v>
          </cell>
          <cell r="Q692">
            <v>7.2759576141834259E-12</v>
          </cell>
          <cell r="R692">
            <v>1.7650698896990403E-16</v>
          </cell>
        </row>
        <row r="693">
          <cell r="A693" t="str">
            <v>09.01.02</v>
          </cell>
          <cell r="B693" t="str">
            <v>MURO DE SOGA LADRILLO KIN-KONG DE ARCILLA</v>
          </cell>
          <cell r="C693" t="str">
            <v>m2</v>
          </cell>
          <cell r="D693">
            <v>87.08</v>
          </cell>
          <cell r="E693">
            <v>99.24</v>
          </cell>
          <cell r="F693">
            <v>8641.8191999999999</v>
          </cell>
          <cell r="G693">
            <v>87.08</v>
          </cell>
          <cell r="H693">
            <v>8641.8191999999999</v>
          </cell>
          <cell r="I693">
            <v>1</v>
          </cell>
          <cell r="J693">
            <v>0</v>
          </cell>
          <cell r="K693">
            <v>0</v>
          </cell>
          <cell r="L693" t="str">
            <v>0.00%</v>
          </cell>
          <cell r="M693">
            <v>87.08</v>
          </cell>
          <cell r="N693">
            <v>8641.8191999999999</v>
          </cell>
          <cell r="O693">
            <v>1</v>
          </cell>
          <cell r="P693">
            <v>0</v>
          </cell>
          <cell r="Q693">
            <v>0</v>
          </cell>
          <cell r="R693" t="str">
            <v>0.00%</v>
          </cell>
        </row>
        <row r="694">
          <cell r="A694" t="str">
            <v>09.02</v>
          </cell>
          <cell r="B694" t="str">
            <v>REVOQUES ENLUCIDOS Y MOLDURAS</v>
          </cell>
          <cell r="C694">
            <v>0</v>
          </cell>
          <cell r="D694">
            <v>0</v>
          </cell>
          <cell r="E694">
            <v>0</v>
          </cell>
          <cell r="F694">
            <v>0</v>
          </cell>
          <cell r="G694">
            <v>0</v>
          </cell>
          <cell r="H694">
            <v>0</v>
          </cell>
          <cell r="I694">
            <v>0</v>
          </cell>
          <cell r="J694">
            <v>0</v>
          </cell>
          <cell r="K694">
            <v>0</v>
          </cell>
          <cell r="L694">
            <v>0</v>
          </cell>
          <cell r="M694">
            <v>0</v>
          </cell>
          <cell r="N694">
            <v>0</v>
          </cell>
          <cell r="O694">
            <v>0</v>
          </cell>
          <cell r="P694">
            <v>0</v>
          </cell>
          <cell r="Q694">
            <v>0</v>
          </cell>
          <cell r="R694">
            <v>0</v>
          </cell>
        </row>
        <row r="695">
          <cell r="A695" t="str">
            <v>09.02.01</v>
          </cell>
          <cell r="B695" t="str">
            <v>TARRAJEO EN MUROS INTERIORES MEZCLA 1:5 CEMENTO:ARENA</v>
          </cell>
          <cell r="C695" t="str">
            <v>m2</v>
          </cell>
          <cell r="D695">
            <v>479.25</v>
          </cell>
          <cell r="E695">
            <v>26.91</v>
          </cell>
          <cell r="F695">
            <v>12896.6175</v>
          </cell>
          <cell r="G695">
            <v>0</v>
          </cell>
          <cell r="H695">
            <v>0</v>
          </cell>
          <cell r="I695" t="str">
            <v>0.00%</v>
          </cell>
          <cell r="J695">
            <v>247.04479999999992</v>
          </cell>
          <cell r="K695">
            <v>6647.975567999998</v>
          </cell>
          <cell r="L695">
            <v>0.51548210745957213</v>
          </cell>
          <cell r="M695">
            <v>247.04479999999992</v>
          </cell>
          <cell r="N695">
            <v>6647.975567999998</v>
          </cell>
          <cell r="O695">
            <v>0.51548210745957213</v>
          </cell>
          <cell r="P695">
            <v>232.20520000000008</v>
          </cell>
          <cell r="Q695">
            <v>6248.6419320000023</v>
          </cell>
          <cell r="R695">
            <v>0.48451789254042793</v>
          </cell>
        </row>
        <row r="696">
          <cell r="A696" t="str">
            <v>09.02.02</v>
          </cell>
          <cell r="B696" t="str">
            <v>TARRAJEO EN MUROS EXTERIORES MEZCLA 1:5 CEMENTO:ARENA</v>
          </cell>
          <cell r="C696" t="str">
            <v>m2</v>
          </cell>
          <cell r="D696">
            <v>205.63</v>
          </cell>
          <cell r="E696">
            <v>33.57</v>
          </cell>
          <cell r="F696">
            <v>6902.9991</v>
          </cell>
          <cell r="G696">
            <v>0</v>
          </cell>
          <cell r="H696">
            <v>0</v>
          </cell>
          <cell r="I696" t="str">
            <v>0.00%</v>
          </cell>
          <cell r="J696">
            <v>0</v>
          </cell>
          <cell r="K696">
            <v>0</v>
          </cell>
          <cell r="L696" t="str">
            <v>0.00%</v>
          </cell>
          <cell r="M696">
            <v>0</v>
          </cell>
          <cell r="N696">
            <v>0</v>
          </cell>
          <cell r="O696" t="str">
            <v>0.00%</v>
          </cell>
          <cell r="P696">
            <v>205.63</v>
          </cell>
          <cell r="Q696">
            <v>6902.9991</v>
          </cell>
          <cell r="R696">
            <v>1</v>
          </cell>
        </row>
        <row r="697">
          <cell r="A697" t="str">
            <v>09.02.03</v>
          </cell>
          <cell r="B697" t="str">
            <v>TARRAJEO EN PESTAÑAS DE LAS VENTANAS</v>
          </cell>
          <cell r="C697" t="str">
            <v>m</v>
          </cell>
          <cell r="D697">
            <v>253.92</v>
          </cell>
          <cell r="E697">
            <v>18.16</v>
          </cell>
          <cell r="F697">
            <v>4611.1871999999994</v>
          </cell>
          <cell r="G697">
            <v>0</v>
          </cell>
          <cell r="H697">
            <v>0</v>
          </cell>
          <cell r="I697" t="str">
            <v>0.00%</v>
          </cell>
          <cell r="J697">
            <v>0</v>
          </cell>
          <cell r="K697">
            <v>0</v>
          </cell>
          <cell r="L697" t="str">
            <v>0.00%</v>
          </cell>
          <cell r="M697">
            <v>0</v>
          </cell>
          <cell r="N697">
            <v>0</v>
          </cell>
          <cell r="O697" t="str">
            <v>0.00%</v>
          </cell>
          <cell r="P697">
            <v>253.92</v>
          </cell>
          <cell r="Q697">
            <v>4611.1871999999994</v>
          </cell>
          <cell r="R697">
            <v>1</v>
          </cell>
        </row>
        <row r="698">
          <cell r="A698" t="str">
            <v>09.02.04</v>
          </cell>
          <cell r="B698" t="str">
            <v>TARRAJEO DE SUPERFICIE COLUMNAS INCL. ARISTAS MEZCLA 1:5 CEMENTO:ARENA</v>
          </cell>
          <cell r="C698" t="str">
            <v>m2</v>
          </cell>
          <cell r="D698">
            <v>326</v>
          </cell>
          <cell r="E698">
            <v>29.04</v>
          </cell>
          <cell r="F698">
            <v>9467.0399999999991</v>
          </cell>
          <cell r="G698">
            <v>0</v>
          </cell>
          <cell r="H698">
            <v>0</v>
          </cell>
          <cell r="I698" t="str">
            <v>0.00%</v>
          </cell>
          <cell r="J698">
            <v>142.94499999999999</v>
          </cell>
          <cell r="K698">
            <v>4151.1228000000001</v>
          </cell>
          <cell r="L698">
            <v>0.43848159509202461</v>
          </cell>
          <cell r="M698">
            <v>142.94499999999999</v>
          </cell>
          <cell r="N698">
            <v>4151.1228000000001</v>
          </cell>
          <cell r="O698">
            <v>0.43848159509202461</v>
          </cell>
          <cell r="P698">
            <v>183.05500000000001</v>
          </cell>
          <cell r="Q698">
            <v>5315.917199999999</v>
          </cell>
          <cell r="R698">
            <v>0.56151840490797544</v>
          </cell>
        </row>
        <row r="699">
          <cell r="A699" t="str">
            <v>09.02.05</v>
          </cell>
          <cell r="B699" t="str">
            <v>TARRAJEO DE SUPERF.VIGAS INCL.ARISTAS, MEZCLA 1:5 CEMENTO:ARENA</v>
          </cell>
          <cell r="C699" t="str">
            <v>m2</v>
          </cell>
          <cell r="D699">
            <v>269.3</v>
          </cell>
          <cell r="E699">
            <v>34.25</v>
          </cell>
          <cell r="F699">
            <v>9223.5249999999996</v>
          </cell>
          <cell r="G699">
            <v>0</v>
          </cell>
          <cell r="H699">
            <v>0</v>
          </cell>
          <cell r="I699" t="str">
            <v>0.00%</v>
          </cell>
          <cell r="J699">
            <v>131.06200000000004</v>
          </cell>
          <cell r="K699">
            <v>4488.8735000000015</v>
          </cell>
          <cell r="L699">
            <v>0.48667656888228761</v>
          </cell>
          <cell r="M699">
            <v>131.06200000000004</v>
          </cell>
          <cell r="N699">
            <v>4488.8735000000015</v>
          </cell>
          <cell r="O699">
            <v>0.48667656888228761</v>
          </cell>
          <cell r="P699">
            <v>138.23799999999997</v>
          </cell>
          <cell r="Q699">
            <v>4734.6514999999981</v>
          </cell>
          <cell r="R699">
            <v>0.51332343111771239</v>
          </cell>
        </row>
        <row r="700">
          <cell r="A700" t="str">
            <v>09.02.06</v>
          </cell>
          <cell r="B700" t="str">
            <v>TARRAJEO CON IMPERMEABILIZANTE EN COBERTURAS</v>
          </cell>
          <cell r="C700" t="str">
            <v>m2</v>
          </cell>
          <cell r="D700">
            <v>258.23</v>
          </cell>
          <cell r="E700">
            <v>60.76</v>
          </cell>
          <cell r="F700">
            <v>15690.0548</v>
          </cell>
          <cell r="G700">
            <v>0</v>
          </cell>
          <cell r="H700">
            <v>0</v>
          </cell>
          <cell r="I700" t="str">
            <v>0.00%</v>
          </cell>
          <cell r="J700">
            <v>0</v>
          </cell>
          <cell r="K700">
            <v>0</v>
          </cell>
          <cell r="L700" t="str">
            <v>0.00%</v>
          </cell>
          <cell r="M700">
            <v>0</v>
          </cell>
          <cell r="N700">
            <v>0</v>
          </cell>
          <cell r="O700" t="str">
            <v>0.00%</v>
          </cell>
          <cell r="P700">
            <v>258.23</v>
          </cell>
          <cell r="Q700">
            <v>15690.0548</v>
          </cell>
          <cell r="R700">
            <v>1</v>
          </cell>
        </row>
        <row r="701">
          <cell r="A701" t="str">
            <v>09.02.07</v>
          </cell>
          <cell r="B701" t="str">
            <v>TARRAJEO EN CUNETA DE EVACUACION PLUVIAL EXTERIOR - TECHO</v>
          </cell>
          <cell r="C701" t="str">
            <v>m2</v>
          </cell>
          <cell r="D701">
            <v>79.489999999999995</v>
          </cell>
          <cell r="E701">
            <v>39.65</v>
          </cell>
          <cell r="F701">
            <v>3151.7784999999999</v>
          </cell>
          <cell r="G701">
            <v>0</v>
          </cell>
          <cell r="H701">
            <v>0</v>
          </cell>
          <cell r="I701" t="str">
            <v>0.00%</v>
          </cell>
          <cell r="J701">
            <v>0</v>
          </cell>
          <cell r="K701">
            <v>0</v>
          </cell>
          <cell r="L701" t="str">
            <v>0.00%</v>
          </cell>
          <cell r="M701">
            <v>0</v>
          </cell>
          <cell r="N701">
            <v>0</v>
          </cell>
          <cell r="O701" t="str">
            <v>0.00%</v>
          </cell>
          <cell r="P701">
            <v>79.489999999999995</v>
          </cell>
          <cell r="Q701">
            <v>3151.7784999999999</v>
          </cell>
          <cell r="R701">
            <v>1</v>
          </cell>
        </row>
        <row r="702">
          <cell r="A702" t="str">
            <v>09.02.08</v>
          </cell>
          <cell r="B702" t="str">
            <v>TARRAJEO CON IMPERMEABILIZANTE EN  CUNETA INTERIOR - TECHO</v>
          </cell>
          <cell r="C702" t="str">
            <v>m2</v>
          </cell>
          <cell r="D702">
            <v>54.82</v>
          </cell>
          <cell r="E702">
            <v>42.36</v>
          </cell>
          <cell r="F702">
            <v>2322.1752000000001</v>
          </cell>
          <cell r="G702">
            <v>0</v>
          </cell>
          <cell r="H702">
            <v>0</v>
          </cell>
          <cell r="I702" t="str">
            <v>0.00%</v>
          </cell>
          <cell r="J702">
            <v>0</v>
          </cell>
          <cell r="K702">
            <v>0</v>
          </cell>
          <cell r="L702" t="str">
            <v>0.00%</v>
          </cell>
          <cell r="M702">
            <v>0</v>
          </cell>
          <cell r="N702">
            <v>0</v>
          </cell>
          <cell r="O702" t="str">
            <v>0.00%</v>
          </cell>
          <cell r="P702">
            <v>54.82</v>
          </cell>
          <cell r="Q702">
            <v>2322.1752000000001</v>
          </cell>
          <cell r="R702">
            <v>1</v>
          </cell>
        </row>
        <row r="703">
          <cell r="A703" t="str">
            <v>09.02.09</v>
          </cell>
          <cell r="B703" t="str">
            <v xml:space="preserve">VESTIDURA DE DERRAMES </v>
          </cell>
          <cell r="C703" t="str">
            <v>m</v>
          </cell>
          <cell r="D703">
            <v>376.92</v>
          </cell>
          <cell r="E703">
            <v>24.82</v>
          </cell>
          <cell r="F703">
            <v>9355.1544000000013</v>
          </cell>
          <cell r="G703">
            <v>0</v>
          </cell>
          <cell r="H703">
            <v>0</v>
          </cell>
          <cell r="I703" t="str">
            <v>0.00%</v>
          </cell>
          <cell r="J703">
            <v>0</v>
          </cell>
          <cell r="K703">
            <v>0</v>
          </cell>
          <cell r="L703" t="str">
            <v>0.00%</v>
          </cell>
          <cell r="M703">
            <v>0</v>
          </cell>
          <cell r="N703">
            <v>0</v>
          </cell>
          <cell r="O703" t="str">
            <v>0.00%</v>
          </cell>
          <cell r="P703">
            <v>376.92</v>
          </cell>
          <cell r="Q703">
            <v>9355.1544000000013</v>
          </cell>
          <cell r="R703">
            <v>1</v>
          </cell>
        </row>
        <row r="704">
          <cell r="A704" t="str">
            <v>09.02.10</v>
          </cell>
          <cell r="B704" t="str">
            <v>BRUÑA DE 1CM ENTRE MUROS Y ESTRUCTURAS</v>
          </cell>
          <cell r="C704" t="str">
            <v>m</v>
          </cell>
          <cell r="D704">
            <v>1184.76</v>
          </cell>
          <cell r="E704">
            <v>2.08</v>
          </cell>
          <cell r="F704">
            <v>2464.3008</v>
          </cell>
          <cell r="G704">
            <v>0</v>
          </cell>
          <cell r="H704">
            <v>0</v>
          </cell>
          <cell r="I704" t="str">
            <v>0.00%</v>
          </cell>
          <cell r="J704">
            <v>594.58000000000015</v>
          </cell>
          <cell r="K704">
            <v>1236.7264000000005</v>
          </cell>
          <cell r="L704">
            <v>0.50185691616867567</v>
          </cell>
          <cell r="M704">
            <v>594.58000000000015</v>
          </cell>
          <cell r="N704">
            <v>1236.7264000000005</v>
          </cell>
          <cell r="O704">
            <v>0.50185691616867567</v>
          </cell>
          <cell r="P704">
            <v>590.17999999999984</v>
          </cell>
          <cell r="Q704">
            <v>1227.5743999999995</v>
          </cell>
          <cell r="R704">
            <v>0.49814308383132427</v>
          </cell>
        </row>
        <row r="705">
          <cell r="A705" t="str">
            <v>09.03</v>
          </cell>
          <cell r="B705" t="str">
            <v>ESTRUCTURAS METALICAS</v>
          </cell>
          <cell r="C705">
            <v>0</v>
          </cell>
          <cell r="D705">
            <v>0</v>
          </cell>
          <cell r="E705">
            <v>0</v>
          </cell>
          <cell r="F705">
            <v>0</v>
          </cell>
          <cell r="G705">
            <v>0</v>
          </cell>
          <cell r="H705">
            <v>0</v>
          </cell>
          <cell r="I705">
            <v>0</v>
          </cell>
          <cell r="J705">
            <v>0</v>
          </cell>
          <cell r="K705">
            <v>0</v>
          </cell>
          <cell r="L705">
            <v>0</v>
          </cell>
          <cell r="M705">
            <v>0</v>
          </cell>
          <cell r="N705">
            <v>0</v>
          </cell>
          <cell r="O705">
            <v>0</v>
          </cell>
          <cell r="P705">
            <v>0</v>
          </cell>
          <cell r="Q705">
            <v>0</v>
          </cell>
          <cell r="R705">
            <v>0</v>
          </cell>
        </row>
        <row r="706">
          <cell r="A706" t="str">
            <v>09.03.01</v>
          </cell>
          <cell r="B706" t="str">
            <v>CORREAS DE TUBO LAC 2"X2"X2mm</v>
          </cell>
          <cell r="C706" t="str">
            <v>m</v>
          </cell>
          <cell r="D706">
            <v>406.5</v>
          </cell>
          <cell r="E706">
            <v>28.38</v>
          </cell>
          <cell r="F706">
            <v>11536.47</v>
          </cell>
          <cell r="G706">
            <v>0</v>
          </cell>
          <cell r="H706">
            <v>0</v>
          </cell>
          <cell r="I706" t="str">
            <v>0.00%</v>
          </cell>
          <cell r="J706">
            <v>0</v>
          </cell>
          <cell r="K706">
            <v>0</v>
          </cell>
          <cell r="L706" t="str">
            <v>0.00%</v>
          </cell>
          <cell r="M706">
            <v>0</v>
          </cell>
          <cell r="N706">
            <v>0</v>
          </cell>
          <cell r="O706" t="str">
            <v>0.00%</v>
          </cell>
          <cell r="P706">
            <v>406.5</v>
          </cell>
          <cell r="Q706">
            <v>11536.47</v>
          </cell>
          <cell r="R706">
            <v>1</v>
          </cell>
        </row>
        <row r="707">
          <cell r="A707" t="str">
            <v>09.03.02</v>
          </cell>
          <cell r="B707" t="str">
            <v>TIJERAL TIPO - II CON TUBO RECTANGULAR LAC (SEGUN DISEÑO)</v>
          </cell>
          <cell r="C707" t="str">
            <v>und</v>
          </cell>
          <cell r="D707">
            <v>8</v>
          </cell>
          <cell r="E707">
            <v>562.24</v>
          </cell>
          <cell r="F707">
            <v>4497.92</v>
          </cell>
          <cell r="G707">
            <v>0</v>
          </cell>
          <cell r="H707">
            <v>0</v>
          </cell>
          <cell r="I707" t="str">
            <v>0.00%</v>
          </cell>
          <cell r="J707">
            <v>0</v>
          </cell>
          <cell r="K707">
            <v>0</v>
          </cell>
          <cell r="L707" t="str">
            <v>0.00%</v>
          </cell>
          <cell r="M707">
            <v>0</v>
          </cell>
          <cell r="N707">
            <v>0</v>
          </cell>
          <cell r="O707" t="str">
            <v>0.00%</v>
          </cell>
          <cell r="P707">
            <v>8</v>
          </cell>
          <cell r="Q707">
            <v>4497.92</v>
          </cell>
          <cell r="R707">
            <v>1</v>
          </cell>
        </row>
        <row r="708">
          <cell r="A708" t="str">
            <v>09.04</v>
          </cell>
          <cell r="B708" t="str">
            <v>COBERTURA</v>
          </cell>
          <cell r="C708">
            <v>0</v>
          </cell>
          <cell r="D708">
            <v>0</v>
          </cell>
          <cell r="E708">
            <v>0</v>
          </cell>
          <cell r="F708">
            <v>0</v>
          </cell>
          <cell r="G708">
            <v>0</v>
          </cell>
          <cell r="H708">
            <v>0</v>
          </cell>
          <cell r="I708">
            <v>0</v>
          </cell>
          <cell r="J708">
            <v>0</v>
          </cell>
          <cell r="K708">
            <v>0</v>
          </cell>
          <cell r="L708">
            <v>0</v>
          </cell>
          <cell r="M708">
            <v>0</v>
          </cell>
          <cell r="N708">
            <v>0</v>
          </cell>
          <cell r="O708">
            <v>0</v>
          </cell>
          <cell r="P708">
            <v>0</v>
          </cell>
          <cell r="Q708">
            <v>0</v>
          </cell>
          <cell r="R708">
            <v>0</v>
          </cell>
        </row>
        <row r="709">
          <cell r="A709" t="str">
            <v>09.04.01</v>
          </cell>
          <cell r="B709" t="str">
            <v>COBERTURA DE PLACA ONDUVILLA</v>
          </cell>
          <cell r="C709" t="str">
            <v>m2</v>
          </cell>
          <cell r="D709">
            <v>220.41</v>
          </cell>
          <cell r="E709">
            <v>147.85</v>
          </cell>
          <cell r="F709">
            <v>32587.618499999997</v>
          </cell>
          <cell r="G709">
            <v>0</v>
          </cell>
          <cell r="H709">
            <v>0</v>
          </cell>
          <cell r="I709" t="str">
            <v>0.00%</v>
          </cell>
          <cell r="J709">
            <v>0</v>
          </cell>
          <cell r="K709">
            <v>0</v>
          </cell>
          <cell r="L709" t="str">
            <v>0.00%</v>
          </cell>
          <cell r="M709">
            <v>0</v>
          </cell>
          <cell r="N709">
            <v>0</v>
          </cell>
          <cell r="O709" t="str">
            <v>0.00%</v>
          </cell>
          <cell r="P709">
            <v>220.41</v>
          </cell>
          <cell r="Q709">
            <v>32587.618499999997</v>
          </cell>
          <cell r="R709">
            <v>1</v>
          </cell>
        </row>
        <row r="710">
          <cell r="A710" t="str">
            <v>09.04.02</v>
          </cell>
          <cell r="B710" t="str">
            <v>CUMBRERA DE ONDUVILLA</v>
          </cell>
          <cell r="C710" t="str">
            <v>m</v>
          </cell>
          <cell r="D710">
            <v>23.45</v>
          </cell>
          <cell r="E710">
            <v>101.1</v>
          </cell>
          <cell r="F710">
            <v>2370.7949999999996</v>
          </cell>
          <cell r="G710">
            <v>0</v>
          </cell>
          <cell r="H710">
            <v>0</v>
          </cell>
          <cell r="I710" t="str">
            <v>0.00%</v>
          </cell>
          <cell r="J710">
            <v>0</v>
          </cell>
          <cell r="K710">
            <v>0</v>
          </cell>
          <cell r="L710" t="str">
            <v>0.00%</v>
          </cell>
          <cell r="M710">
            <v>0</v>
          </cell>
          <cell r="N710">
            <v>0</v>
          </cell>
          <cell r="O710" t="str">
            <v>0.00%</v>
          </cell>
          <cell r="P710">
            <v>23.45</v>
          </cell>
          <cell r="Q710">
            <v>2370.7949999999996</v>
          </cell>
          <cell r="R710">
            <v>1</v>
          </cell>
        </row>
        <row r="711">
          <cell r="A711" t="str">
            <v>09.04.03</v>
          </cell>
          <cell r="B711" t="str">
            <v>COBERTURA LADRILLO PASTELERO ASENTADO C/MEZCLA</v>
          </cell>
          <cell r="C711" t="str">
            <v>m2</v>
          </cell>
          <cell r="D711">
            <v>37.82</v>
          </cell>
          <cell r="E711">
            <v>45.53</v>
          </cell>
          <cell r="F711">
            <v>1721.9446</v>
          </cell>
          <cell r="G711">
            <v>0</v>
          </cell>
          <cell r="H711">
            <v>0</v>
          </cell>
          <cell r="I711" t="str">
            <v>0.00%</v>
          </cell>
          <cell r="J711">
            <v>0</v>
          </cell>
          <cell r="K711">
            <v>0</v>
          </cell>
          <cell r="L711" t="str">
            <v>0.00%</v>
          </cell>
          <cell r="M711">
            <v>0</v>
          </cell>
          <cell r="N711">
            <v>0</v>
          </cell>
          <cell r="O711" t="str">
            <v>0.00%</v>
          </cell>
          <cell r="P711">
            <v>37.82</v>
          </cell>
          <cell r="Q711">
            <v>1721.9446</v>
          </cell>
          <cell r="R711">
            <v>1</v>
          </cell>
        </row>
        <row r="712">
          <cell r="A712" t="str">
            <v>09.04.04</v>
          </cell>
          <cell r="B712" t="str">
            <v>COBERTURA DE POLICARBONATO ALVEOLAR TRASLUCIDO DE 6 MM.</v>
          </cell>
          <cell r="C712" t="str">
            <v>m2</v>
          </cell>
          <cell r="D712">
            <v>70.17</v>
          </cell>
          <cell r="E712">
            <v>63.81</v>
          </cell>
          <cell r="F712">
            <v>4477.5477000000001</v>
          </cell>
          <cell r="G712">
            <v>0</v>
          </cell>
          <cell r="H712">
            <v>0</v>
          </cell>
          <cell r="I712" t="str">
            <v>0.00%</v>
          </cell>
          <cell r="J712">
            <v>0</v>
          </cell>
          <cell r="K712">
            <v>0</v>
          </cell>
          <cell r="L712" t="str">
            <v>0.00%</v>
          </cell>
          <cell r="M712">
            <v>0</v>
          </cell>
          <cell r="N712">
            <v>0</v>
          </cell>
          <cell r="O712" t="str">
            <v>0.00%</v>
          </cell>
          <cell r="P712">
            <v>70.17</v>
          </cell>
          <cell r="Q712">
            <v>4477.5477000000001</v>
          </cell>
          <cell r="R712">
            <v>1</v>
          </cell>
        </row>
        <row r="713">
          <cell r="A713" t="str">
            <v>09.05</v>
          </cell>
          <cell r="B713" t="str">
            <v>CIELORRASOS</v>
          </cell>
          <cell r="C713">
            <v>0</v>
          </cell>
          <cell r="D713">
            <v>0</v>
          </cell>
          <cell r="E713">
            <v>0</v>
          </cell>
          <cell r="F713">
            <v>0</v>
          </cell>
          <cell r="G713">
            <v>0</v>
          </cell>
          <cell r="H713">
            <v>0</v>
          </cell>
          <cell r="I713">
            <v>0</v>
          </cell>
          <cell r="J713">
            <v>0</v>
          </cell>
          <cell r="K713">
            <v>0</v>
          </cell>
          <cell r="L713">
            <v>0</v>
          </cell>
          <cell r="M713">
            <v>0</v>
          </cell>
          <cell r="N713">
            <v>0</v>
          </cell>
          <cell r="O713">
            <v>0</v>
          </cell>
          <cell r="P713">
            <v>0</v>
          </cell>
          <cell r="Q713">
            <v>0</v>
          </cell>
          <cell r="R713">
            <v>0</v>
          </cell>
        </row>
        <row r="714">
          <cell r="A714" t="str">
            <v>09.05.01</v>
          </cell>
          <cell r="B714" t="str">
            <v>CIELORRASOS CON MEZCLA C:A 1:5 e= 1.5 CM</v>
          </cell>
          <cell r="C714" t="str">
            <v>m2</v>
          </cell>
          <cell r="D714">
            <v>501.16</v>
          </cell>
          <cell r="E714">
            <v>41.21</v>
          </cell>
          <cell r="F714">
            <v>20652.803600000003</v>
          </cell>
          <cell r="G714">
            <v>0</v>
          </cell>
          <cell r="H714">
            <v>0</v>
          </cell>
          <cell r="I714" t="str">
            <v>0.00%</v>
          </cell>
          <cell r="J714">
            <v>222.16499999999996</v>
          </cell>
          <cell r="K714">
            <v>9155.419649999998</v>
          </cell>
          <cell r="L714">
            <v>0.443301540426211</v>
          </cell>
          <cell r="M714">
            <v>222.16499999999996</v>
          </cell>
          <cell r="N714">
            <v>9155.419649999998</v>
          </cell>
          <cell r="O714">
            <v>0.443301540426211</v>
          </cell>
          <cell r="P714">
            <v>278.99500000000006</v>
          </cell>
          <cell r="Q714">
            <v>11497.383950000005</v>
          </cell>
          <cell r="R714">
            <v>0.55669845957378894</v>
          </cell>
        </row>
        <row r="715">
          <cell r="A715" t="str">
            <v>09.06</v>
          </cell>
          <cell r="B715" t="str">
            <v>PISOS Y PAVIMENTOS</v>
          </cell>
          <cell r="C715">
            <v>0</v>
          </cell>
          <cell r="D715">
            <v>0</v>
          </cell>
          <cell r="E715">
            <v>0</v>
          </cell>
          <cell r="F715">
            <v>0</v>
          </cell>
          <cell r="G715">
            <v>0</v>
          </cell>
          <cell r="H715">
            <v>0</v>
          </cell>
          <cell r="I715">
            <v>0</v>
          </cell>
          <cell r="J715">
            <v>0</v>
          </cell>
          <cell r="K715">
            <v>0</v>
          </cell>
          <cell r="L715">
            <v>0</v>
          </cell>
          <cell r="M715">
            <v>0</v>
          </cell>
          <cell r="N715">
            <v>0</v>
          </cell>
          <cell r="O715">
            <v>0</v>
          </cell>
          <cell r="P715">
            <v>0</v>
          </cell>
          <cell r="Q715">
            <v>0</v>
          </cell>
          <cell r="R715">
            <v>0</v>
          </cell>
        </row>
        <row r="716">
          <cell r="A716" t="str">
            <v>09.06.01</v>
          </cell>
          <cell r="B716" t="str">
            <v>FALSO PISO DE 4" DE CONCRETO 1:10</v>
          </cell>
          <cell r="C716" t="str">
            <v>m2</v>
          </cell>
          <cell r="D716">
            <v>296.08999999999997</v>
          </cell>
          <cell r="E716">
            <v>34.700000000000003</v>
          </cell>
          <cell r="F716">
            <v>10274.323</v>
          </cell>
          <cell r="G716">
            <v>0</v>
          </cell>
          <cell r="H716">
            <v>0</v>
          </cell>
          <cell r="I716" t="str">
            <v>0.00%</v>
          </cell>
          <cell r="J716">
            <v>0</v>
          </cell>
          <cell r="K716">
            <v>0</v>
          </cell>
          <cell r="L716" t="str">
            <v>0.00%</v>
          </cell>
          <cell r="M716">
            <v>0</v>
          </cell>
          <cell r="N716">
            <v>0</v>
          </cell>
          <cell r="O716" t="str">
            <v>0.00%</v>
          </cell>
          <cell r="P716">
            <v>296.08999999999997</v>
          </cell>
          <cell r="Q716">
            <v>10274.323</v>
          </cell>
          <cell r="R716">
            <v>1</v>
          </cell>
        </row>
        <row r="717">
          <cell r="A717" t="str">
            <v>09.06.02</v>
          </cell>
          <cell r="B717" t="str">
            <v>CONTRAPISO DE 48 MM.</v>
          </cell>
          <cell r="C717" t="str">
            <v>m2</v>
          </cell>
          <cell r="D717">
            <v>560.55999999999995</v>
          </cell>
          <cell r="E717">
            <v>33.57</v>
          </cell>
          <cell r="F717">
            <v>18817.999199999998</v>
          </cell>
          <cell r="G717">
            <v>0</v>
          </cell>
          <cell r="H717">
            <v>0</v>
          </cell>
          <cell r="I717" t="str">
            <v>0.00%</v>
          </cell>
          <cell r="J717">
            <v>0</v>
          </cell>
          <cell r="K717">
            <v>0</v>
          </cell>
          <cell r="L717" t="str">
            <v>0.00%</v>
          </cell>
          <cell r="M717">
            <v>0</v>
          </cell>
          <cell r="N717">
            <v>0</v>
          </cell>
          <cell r="O717" t="str">
            <v>0.00%</v>
          </cell>
          <cell r="P717">
            <v>560.55999999999995</v>
          </cell>
          <cell r="Q717">
            <v>18817.999199999998</v>
          </cell>
          <cell r="R717">
            <v>1</v>
          </cell>
        </row>
        <row r="718">
          <cell r="A718" t="str">
            <v>09.06.03</v>
          </cell>
          <cell r="B718" t="str">
            <v>PISO DE PORCELANATO 0.60 x 0.60 m.</v>
          </cell>
          <cell r="C718" t="str">
            <v>m2</v>
          </cell>
          <cell r="D718">
            <v>491.8</v>
          </cell>
          <cell r="E718">
            <v>182.85</v>
          </cell>
          <cell r="F718">
            <v>89925.63</v>
          </cell>
          <cell r="G718">
            <v>0</v>
          </cell>
          <cell r="H718">
            <v>0</v>
          </cell>
          <cell r="I718" t="str">
            <v>0.00%</v>
          </cell>
          <cell r="J718">
            <v>0</v>
          </cell>
          <cell r="K718">
            <v>0</v>
          </cell>
          <cell r="L718" t="str">
            <v>0.00%</v>
          </cell>
          <cell r="M718">
            <v>0</v>
          </cell>
          <cell r="N718">
            <v>0</v>
          </cell>
          <cell r="O718" t="str">
            <v>0.00%</v>
          </cell>
          <cell r="P718">
            <v>491.8</v>
          </cell>
          <cell r="Q718">
            <v>89925.63</v>
          </cell>
          <cell r="R718">
            <v>1</v>
          </cell>
        </row>
        <row r="719">
          <cell r="A719" t="str">
            <v>09.06.04</v>
          </cell>
          <cell r="B719" t="str">
            <v>PISO DE CERAMICO ANTIDESLIZANTE AT. 0.40x0.40 M</v>
          </cell>
          <cell r="C719" t="str">
            <v>m2</v>
          </cell>
          <cell r="D719">
            <v>68.760000000000005</v>
          </cell>
          <cell r="E719">
            <v>56.63</v>
          </cell>
          <cell r="F719">
            <v>3893.8788000000004</v>
          </cell>
          <cell r="G719">
            <v>0</v>
          </cell>
          <cell r="H719">
            <v>0</v>
          </cell>
          <cell r="I719" t="str">
            <v>0.00%</v>
          </cell>
          <cell r="J719">
            <v>0</v>
          </cell>
          <cell r="K719">
            <v>0</v>
          </cell>
          <cell r="L719" t="str">
            <v>0.00%</v>
          </cell>
          <cell r="M719">
            <v>0</v>
          </cell>
          <cell r="N719">
            <v>0</v>
          </cell>
          <cell r="O719" t="str">
            <v>0.00%</v>
          </cell>
          <cell r="P719">
            <v>68.760000000000005</v>
          </cell>
          <cell r="Q719">
            <v>3893.8788000000004</v>
          </cell>
          <cell r="R719">
            <v>1</v>
          </cell>
        </row>
        <row r="720">
          <cell r="A720" t="str">
            <v>09.06.05</v>
          </cell>
          <cell r="B720" t="str">
            <v>PISO DE CEMENTO FROTACHADO BRUÑADO</v>
          </cell>
          <cell r="C720" t="str">
            <v>m2</v>
          </cell>
          <cell r="D720">
            <v>16.260000000000002</v>
          </cell>
          <cell r="E720">
            <v>18.29</v>
          </cell>
          <cell r="F720">
            <v>297.3954</v>
          </cell>
          <cell r="G720">
            <v>0</v>
          </cell>
          <cell r="H720">
            <v>0</v>
          </cell>
          <cell r="I720" t="str">
            <v>0.00%</v>
          </cell>
          <cell r="J720">
            <v>0</v>
          </cell>
          <cell r="K720">
            <v>0</v>
          </cell>
          <cell r="L720" t="str">
            <v>0.00%</v>
          </cell>
          <cell r="M720">
            <v>0</v>
          </cell>
          <cell r="N720">
            <v>0</v>
          </cell>
          <cell r="O720" t="str">
            <v>0.00%</v>
          </cell>
          <cell r="P720">
            <v>16.260000000000002</v>
          </cell>
          <cell r="Q720">
            <v>297.3954</v>
          </cell>
          <cell r="R720">
            <v>1</v>
          </cell>
        </row>
        <row r="721">
          <cell r="A721" t="str">
            <v>09.07</v>
          </cell>
          <cell r="B721" t="str">
            <v>VEREDA</v>
          </cell>
          <cell r="C721">
            <v>0</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row>
        <row r="722">
          <cell r="A722" t="str">
            <v>09.07.01</v>
          </cell>
          <cell r="B722" t="str">
            <v>AFIRMADO DE 4" PARA VEREDAS</v>
          </cell>
          <cell r="C722" t="str">
            <v>m2</v>
          </cell>
          <cell r="D722">
            <v>16.260000000000002</v>
          </cell>
          <cell r="E722">
            <v>11.27</v>
          </cell>
          <cell r="F722">
            <v>183.25020000000001</v>
          </cell>
          <cell r="G722">
            <v>0</v>
          </cell>
          <cell r="H722">
            <v>0</v>
          </cell>
          <cell r="I722" t="str">
            <v>0.00%</v>
          </cell>
          <cell r="J722">
            <v>0</v>
          </cell>
          <cell r="K722">
            <v>0</v>
          </cell>
          <cell r="L722" t="str">
            <v>0.00%</v>
          </cell>
          <cell r="M722">
            <v>0</v>
          </cell>
          <cell r="N722">
            <v>0</v>
          </cell>
          <cell r="O722" t="str">
            <v>0.00%</v>
          </cell>
          <cell r="P722">
            <v>16.260000000000002</v>
          </cell>
          <cell r="Q722">
            <v>183.25020000000001</v>
          </cell>
          <cell r="R722">
            <v>1</v>
          </cell>
        </row>
        <row r="723">
          <cell r="A723" t="str">
            <v>09.07.02</v>
          </cell>
          <cell r="B723" t="str">
            <v>VEREDA DE CONCRETO F'C= 175 KG/CM2.</v>
          </cell>
          <cell r="C723" t="str">
            <v>m2</v>
          </cell>
          <cell r="D723">
            <v>16.260000000000002</v>
          </cell>
          <cell r="E723">
            <v>64.63</v>
          </cell>
          <cell r="F723">
            <v>1050.8838000000001</v>
          </cell>
          <cell r="G723">
            <v>0</v>
          </cell>
          <cell r="H723">
            <v>0</v>
          </cell>
          <cell r="I723" t="str">
            <v>0.00%</v>
          </cell>
          <cell r="J723">
            <v>0</v>
          </cell>
          <cell r="K723">
            <v>0</v>
          </cell>
          <cell r="L723" t="str">
            <v>0.00%</v>
          </cell>
          <cell r="M723">
            <v>0</v>
          </cell>
          <cell r="N723">
            <v>0</v>
          </cell>
          <cell r="O723" t="str">
            <v>0.00%</v>
          </cell>
          <cell r="P723">
            <v>16.260000000000002</v>
          </cell>
          <cell r="Q723">
            <v>1050.8838000000001</v>
          </cell>
          <cell r="R723">
            <v>1</v>
          </cell>
        </row>
        <row r="724">
          <cell r="A724" t="str">
            <v>09.07.03</v>
          </cell>
          <cell r="B724" t="str">
            <v>ENCOFRADO Y DESENCOFRADO DE VEREDA</v>
          </cell>
          <cell r="C724" t="str">
            <v>m2</v>
          </cell>
          <cell r="D724">
            <v>4.91</v>
          </cell>
          <cell r="E724">
            <v>45.51</v>
          </cell>
          <cell r="F724">
            <v>223.45409999999998</v>
          </cell>
          <cell r="G724">
            <v>0</v>
          </cell>
          <cell r="H724">
            <v>0</v>
          </cell>
          <cell r="I724" t="str">
            <v>0.00%</v>
          </cell>
          <cell r="J724">
            <v>0</v>
          </cell>
          <cell r="K724">
            <v>0</v>
          </cell>
          <cell r="L724" t="str">
            <v>0.00%</v>
          </cell>
          <cell r="M724">
            <v>0</v>
          </cell>
          <cell r="N724">
            <v>0</v>
          </cell>
          <cell r="O724" t="str">
            <v>0.00%</v>
          </cell>
          <cell r="P724">
            <v>4.91</v>
          </cell>
          <cell r="Q724">
            <v>223.45409999999998</v>
          </cell>
          <cell r="R724">
            <v>1</v>
          </cell>
        </row>
        <row r="725">
          <cell r="A725" t="str">
            <v>09.08</v>
          </cell>
          <cell r="B725" t="str">
            <v>ZOCALOS Y CONTRAZOCALOS</v>
          </cell>
          <cell r="C725">
            <v>0</v>
          </cell>
          <cell r="D725">
            <v>0</v>
          </cell>
          <cell r="E725">
            <v>0</v>
          </cell>
          <cell r="F725">
            <v>0</v>
          </cell>
          <cell r="G725">
            <v>0</v>
          </cell>
          <cell r="H725">
            <v>0</v>
          </cell>
          <cell r="I725">
            <v>0</v>
          </cell>
          <cell r="J725">
            <v>0</v>
          </cell>
          <cell r="K725">
            <v>0</v>
          </cell>
          <cell r="L725">
            <v>0</v>
          </cell>
          <cell r="M725">
            <v>0</v>
          </cell>
          <cell r="N725">
            <v>0</v>
          </cell>
          <cell r="O725">
            <v>0</v>
          </cell>
          <cell r="P725">
            <v>0</v>
          </cell>
          <cell r="Q725">
            <v>0</v>
          </cell>
          <cell r="R725">
            <v>0</v>
          </cell>
        </row>
        <row r="726">
          <cell r="A726" t="str">
            <v>09.08.01</v>
          </cell>
          <cell r="B726" t="str">
            <v>ZOCALO DE CERAMICO 0.30 x 0.20 M</v>
          </cell>
          <cell r="C726" t="str">
            <v>m2</v>
          </cell>
          <cell r="D726">
            <v>98.1</v>
          </cell>
          <cell r="E726">
            <v>64.3</v>
          </cell>
          <cell r="F726">
            <v>6307.829999999999</v>
          </cell>
          <cell r="G726">
            <v>0</v>
          </cell>
          <cell r="H726">
            <v>0</v>
          </cell>
          <cell r="I726" t="str">
            <v>0.00%</v>
          </cell>
          <cell r="J726">
            <v>0</v>
          </cell>
          <cell r="K726">
            <v>0</v>
          </cell>
          <cell r="L726" t="str">
            <v>0.00%</v>
          </cell>
          <cell r="M726">
            <v>0</v>
          </cell>
          <cell r="N726">
            <v>0</v>
          </cell>
          <cell r="O726" t="str">
            <v>0.00%</v>
          </cell>
          <cell r="P726">
            <v>98.1</v>
          </cell>
          <cell r="Q726">
            <v>6307.829999999999</v>
          </cell>
          <cell r="R726">
            <v>1</v>
          </cell>
        </row>
        <row r="727">
          <cell r="A727" t="str">
            <v>09.08.02</v>
          </cell>
          <cell r="B727" t="str">
            <v>ZOCALO DE CEMENTO PULIDO C/MORTERO 1:5 DE 2CM. DE H= 40 CM. - EXTERIOR</v>
          </cell>
          <cell r="C727" t="str">
            <v>m</v>
          </cell>
          <cell r="D727">
            <v>29.04</v>
          </cell>
          <cell r="E727">
            <v>13.08</v>
          </cell>
          <cell r="F727">
            <v>379.84319999999997</v>
          </cell>
          <cell r="G727">
            <v>0</v>
          </cell>
          <cell r="H727">
            <v>0</v>
          </cell>
          <cell r="I727" t="str">
            <v>0.00%</v>
          </cell>
          <cell r="J727">
            <v>0</v>
          </cell>
          <cell r="K727">
            <v>0</v>
          </cell>
          <cell r="L727" t="str">
            <v>0.00%</v>
          </cell>
          <cell r="M727">
            <v>0</v>
          </cell>
          <cell r="N727">
            <v>0</v>
          </cell>
          <cell r="O727" t="str">
            <v>0.00%</v>
          </cell>
          <cell r="P727">
            <v>29.04</v>
          </cell>
          <cell r="Q727">
            <v>379.84319999999997</v>
          </cell>
          <cell r="R727">
            <v>1</v>
          </cell>
        </row>
        <row r="728">
          <cell r="A728" t="str">
            <v>09.08.03</v>
          </cell>
          <cell r="B728" t="str">
            <v>CONTRAZOCALO DE CERAMICO DE 40 x 40 CM. H=10CM. - INTERIOR</v>
          </cell>
          <cell r="C728" t="str">
            <v>m</v>
          </cell>
          <cell r="D728">
            <v>44.44</v>
          </cell>
          <cell r="E728">
            <v>14.75</v>
          </cell>
          <cell r="F728">
            <v>655.49</v>
          </cell>
          <cell r="G728">
            <v>0</v>
          </cell>
          <cell r="H728">
            <v>0</v>
          </cell>
          <cell r="I728" t="str">
            <v>0.00%</v>
          </cell>
          <cell r="J728">
            <v>0</v>
          </cell>
          <cell r="K728">
            <v>0</v>
          </cell>
          <cell r="L728" t="str">
            <v>0.00%</v>
          </cell>
          <cell r="M728">
            <v>0</v>
          </cell>
          <cell r="N728">
            <v>0</v>
          </cell>
          <cell r="O728" t="str">
            <v>0.00%</v>
          </cell>
          <cell r="P728">
            <v>44.44</v>
          </cell>
          <cell r="Q728">
            <v>655.49</v>
          </cell>
          <cell r="R728">
            <v>1</v>
          </cell>
        </row>
        <row r="729">
          <cell r="A729" t="str">
            <v>09.08.04</v>
          </cell>
          <cell r="B729" t="str">
            <v>CONTRAZOCALO DE PORCELANATO H=0.10M</v>
          </cell>
          <cell r="C729" t="str">
            <v>m</v>
          </cell>
          <cell r="D729">
            <v>204.01</v>
          </cell>
          <cell r="E729">
            <v>22.15</v>
          </cell>
          <cell r="F729">
            <v>4518.8214999999991</v>
          </cell>
          <cell r="G729">
            <v>0</v>
          </cell>
          <cell r="H729">
            <v>0</v>
          </cell>
          <cell r="I729" t="str">
            <v>0.00%</v>
          </cell>
          <cell r="J729">
            <v>0</v>
          </cell>
          <cell r="K729">
            <v>0</v>
          </cell>
          <cell r="L729" t="str">
            <v>0.00%</v>
          </cell>
          <cell r="M729">
            <v>0</v>
          </cell>
          <cell r="N729">
            <v>0</v>
          </cell>
          <cell r="O729" t="str">
            <v>0.00%</v>
          </cell>
          <cell r="P729">
            <v>204.01</v>
          </cell>
          <cell r="Q729">
            <v>4518.8214999999991</v>
          </cell>
          <cell r="R729">
            <v>1</v>
          </cell>
        </row>
        <row r="730">
          <cell r="A730" t="str">
            <v>09.09</v>
          </cell>
          <cell r="B730" t="str">
            <v>CARPINTERIA DE MADERA</v>
          </cell>
          <cell r="C730">
            <v>0</v>
          </cell>
          <cell r="D730">
            <v>0</v>
          </cell>
          <cell r="E730">
            <v>0</v>
          </cell>
          <cell r="F730">
            <v>0</v>
          </cell>
          <cell r="G730">
            <v>0</v>
          </cell>
          <cell r="H730">
            <v>0</v>
          </cell>
          <cell r="I730">
            <v>0</v>
          </cell>
          <cell r="J730">
            <v>0</v>
          </cell>
          <cell r="K730">
            <v>0</v>
          </cell>
          <cell r="L730">
            <v>0</v>
          </cell>
          <cell r="M730">
            <v>0</v>
          </cell>
          <cell r="N730">
            <v>0</v>
          </cell>
          <cell r="O730">
            <v>0</v>
          </cell>
          <cell r="P730">
            <v>0</v>
          </cell>
          <cell r="Q730">
            <v>0</v>
          </cell>
          <cell r="R730">
            <v>0</v>
          </cell>
        </row>
        <row r="731">
          <cell r="A731" t="str">
            <v>09.09.01</v>
          </cell>
          <cell r="B731" t="str">
            <v>PUERTA DE MADERA MACHIMBRADA C/SOBRE LUZ</v>
          </cell>
          <cell r="C731" t="str">
            <v>m2</v>
          </cell>
          <cell r="D731">
            <v>19.8</v>
          </cell>
          <cell r="E731">
            <v>340.61</v>
          </cell>
          <cell r="F731">
            <v>6744.0780000000004</v>
          </cell>
          <cell r="G731">
            <v>0</v>
          </cell>
          <cell r="H731">
            <v>0</v>
          </cell>
          <cell r="I731" t="str">
            <v>0.00%</v>
          </cell>
          <cell r="J731">
            <v>0</v>
          </cell>
          <cell r="K731">
            <v>0</v>
          </cell>
          <cell r="L731" t="str">
            <v>0.00%</v>
          </cell>
          <cell r="M731">
            <v>0</v>
          </cell>
          <cell r="N731">
            <v>0</v>
          </cell>
          <cell r="O731" t="str">
            <v>0.00%</v>
          </cell>
          <cell r="P731">
            <v>19.8</v>
          </cell>
          <cell r="Q731">
            <v>6744.0780000000004</v>
          </cell>
          <cell r="R731">
            <v>1</v>
          </cell>
        </row>
        <row r="732">
          <cell r="A732" t="str">
            <v>09.09.02</v>
          </cell>
          <cell r="B732" t="str">
            <v>PUERTA DE MADERA DOBLE HOJA MACHIMBRADA C/SOBRE LUZ</v>
          </cell>
          <cell r="C732" t="str">
            <v>m2</v>
          </cell>
          <cell r="D732">
            <v>26.4</v>
          </cell>
          <cell r="E732">
            <v>340.61</v>
          </cell>
          <cell r="F732">
            <v>8992.1039999999994</v>
          </cell>
          <cell r="G732">
            <v>0</v>
          </cell>
          <cell r="H732">
            <v>0</v>
          </cell>
          <cell r="I732" t="str">
            <v>0.00%</v>
          </cell>
          <cell r="J732">
            <v>0</v>
          </cell>
          <cell r="K732">
            <v>0</v>
          </cell>
          <cell r="L732" t="str">
            <v>0.00%</v>
          </cell>
          <cell r="M732">
            <v>0</v>
          </cell>
          <cell r="N732">
            <v>0</v>
          </cell>
          <cell r="O732" t="str">
            <v>0.00%</v>
          </cell>
          <cell r="P732">
            <v>26.4</v>
          </cell>
          <cell r="Q732">
            <v>8992.1039999999994</v>
          </cell>
          <cell r="R732">
            <v>1</v>
          </cell>
        </row>
        <row r="733">
          <cell r="A733" t="str">
            <v>09.09.03</v>
          </cell>
          <cell r="B733" t="str">
            <v>PUERTA CONTRAPLACADA CON PLANCHA DE TRIPLAY DE 6 mm. C/SOBRELUZ</v>
          </cell>
          <cell r="C733" t="str">
            <v>m2</v>
          </cell>
          <cell r="D733">
            <v>9.52</v>
          </cell>
          <cell r="E733">
            <v>329.53</v>
          </cell>
          <cell r="F733">
            <v>3137.1255999999994</v>
          </cell>
          <cell r="G733">
            <v>0</v>
          </cell>
          <cell r="H733">
            <v>0</v>
          </cell>
          <cell r="I733" t="str">
            <v>0.00%</v>
          </cell>
          <cell r="J733">
            <v>0</v>
          </cell>
          <cell r="K733">
            <v>0</v>
          </cell>
          <cell r="L733" t="str">
            <v>0.00%</v>
          </cell>
          <cell r="M733">
            <v>0</v>
          </cell>
          <cell r="N733">
            <v>0</v>
          </cell>
          <cell r="O733" t="str">
            <v>0.00%</v>
          </cell>
          <cell r="P733">
            <v>9.52</v>
          </cell>
          <cell r="Q733">
            <v>3137.1255999999994</v>
          </cell>
          <cell r="R733">
            <v>1</v>
          </cell>
        </row>
        <row r="734">
          <cell r="A734" t="str">
            <v>09.10</v>
          </cell>
          <cell r="B734" t="str">
            <v>CARPINTERIA METALICA</v>
          </cell>
          <cell r="C734">
            <v>0</v>
          </cell>
          <cell r="D734">
            <v>0</v>
          </cell>
          <cell r="E734">
            <v>0</v>
          </cell>
          <cell r="F734">
            <v>0</v>
          </cell>
          <cell r="G734">
            <v>0</v>
          </cell>
          <cell r="H734">
            <v>0</v>
          </cell>
          <cell r="I734">
            <v>0</v>
          </cell>
          <cell r="J734">
            <v>0</v>
          </cell>
          <cell r="K734">
            <v>0</v>
          </cell>
          <cell r="L734">
            <v>0</v>
          </cell>
          <cell r="M734">
            <v>0</v>
          </cell>
          <cell r="N734">
            <v>0</v>
          </cell>
          <cell r="O734">
            <v>0</v>
          </cell>
          <cell r="P734">
            <v>0</v>
          </cell>
          <cell r="Q734">
            <v>0</v>
          </cell>
          <cell r="R734">
            <v>0</v>
          </cell>
        </row>
        <row r="735">
          <cell r="A735" t="str">
            <v>09.10.01</v>
          </cell>
          <cell r="B735" t="str">
            <v>BARANDA CON VIDRIO TEMPLADO H=1.00 M. S/D - TIPO I</v>
          </cell>
          <cell r="C735" t="str">
            <v>m</v>
          </cell>
          <cell r="D735">
            <v>20.05</v>
          </cell>
          <cell r="E735">
            <v>381.69</v>
          </cell>
          <cell r="F735">
            <v>7652.8845000000001</v>
          </cell>
          <cell r="G735">
            <v>0</v>
          </cell>
          <cell r="H735">
            <v>0</v>
          </cell>
          <cell r="I735" t="str">
            <v>0.00%</v>
          </cell>
          <cell r="J735">
            <v>0</v>
          </cell>
          <cell r="K735">
            <v>0</v>
          </cell>
          <cell r="L735" t="str">
            <v>0.00%</v>
          </cell>
          <cell r="M735">
            <v>0</v>
          </cell>
          <cell r="N735">
            <v>0</v>
          </cell>
          <cell r="O735" t="str">
            <v>0.00%</v>
          </cell>
          <cell r="P735">
            <v>20.05</v>
          </cell>
          <cell r="Q735">
            <v>7652.8845000000001</v>
          </cell>
          <cell r="R735">
            <v>1</v>
          </cell>
        </row>
        <row r="736">
          <cell r="A736" t="str">
            <v>09.10.02</v>
          </cell>
          <cell r="B736" t="str">
            <v>BARANDAS METALICAS S/D - TIPO II</v>
          </cell>
          <cell r="C736" t="str">
            <v>m</v>
          </cell>
          <cell r="D736">
            <v>13.79</v>
          </cell>
          <cell r="E736">
            <v>178.41</v>
          </cell>
          <cell r="F736">
            <v>2460.2738999999997</v>
          </cell>
          <cell r="G736">
            <v>0</v>
          </cell>
          <cell r="H736">
            <v>0</v>
          </cell>
          <cell r="I736" t="str">
            <v>0.00%</v>
          </cell>
          <cell r="J736">
            <v>0</v>
          </cell>
          <cell r="K736">
            <v>0</v>
          </cell>
          <cell r="L736" t="str">
            <v>0.00%</v>
          </cell>
          <cell r="M736">
            <v>0</v>
          </cell>
          <cell r="N736">
            <v>0</v>
          </cell>
          <cell r="O736" t="str">
            <v>0.00%</v>
          </cell>
          <cell r="P736">
            <v>13.79</v>
          </cell>
          <cell r="Q736">
            <v>2460.2738999999997</v>
          </cell>
          <cell r="R736">
            <v>1</v>
          </cell>
        </row>
        <row r="737">
          <cell r="A737" t="str">
            <v>09.11</v>
          </cell>
          <cell r="B737" t="str">
            <v>CERRAJERIA</v>
          </cell>
          <cell r="C737">
            <v>0</v>
          </cell>
          <cell r="D737">
            <v>0</v>
          </cell>
          <cell r="E737">
            <v>0</v>
          </cell>
          <cell r="F737">
            <v>0</v>
          </cell>
          <cell r="G737">
            <v>0</v>
          </cell>
          <cell r="H737">
            <v>0</v>
          </cell>
          <cell r="I737">
            <v>0</v>
          </cell>
          <cell r="J737">
            <v>0</v>
          </cell>
          <cell r="K737">
            <v>0</v>
          </cell>
          <cell r="L737">
            <v>0</v>
          </cell>
          <cell r="M737">
            <v>0</v>
          </cell>
          <cell r="N737">
            <v>0</v>
          </cell>
          <cell r="O737">
            <v>0</v>
          </cell>
          <cell r="P737">
            <v>0</v>
          </cell>
          <cell r="Q737">
            <v>0</v>
          </cell>
          <cell r="R737">
            <v>0</v>
          </cell>
        </row>
        <row r="738">
          <cell r="A738" t="str">
            <v>09.11.01</v>
          </cell>
          <cell r="B738" t="str">
            <v>BISAGRA CAPUCHINA DE 4"</v>
          </cell>
          <cell r="C738" t="str">
            <v>und</v>
          </cell>
          <cell r="D738">
            <v>112</v>
          </cell>
          <cell r="E738">
            <v>15.83</v>
          </cell>
          <cell r="F738">
            <v>1772.96</v>
          </cell>
          <cell r="G738">
            <v>0</v>
          </cell>
          <cell r="H738">
            <v>0</v>
          </cell>
          <cell r="I738" t="str">
            <v>0.00%</v>
          </cell>
          <cell r="J738">
            <v>0</v>
          </cell>
          <cell r="K738">
            <v>0</v>
          </cell>
          <cell r="L738" t="str">
            <v>0.00%</v>
          </cell>
          <cell r="M738">
            <v>0</v>
          </cell>
          <cell r="N738">
            <v>0</v>
          </cell>
          <cell r="O738" t="str">
            <v>0.00%</v>
          </cell>
          <cell r="P738">
            <v>112</v>
          </cell>
          <cell r="Q738">
            <v>1772.96</v>
          </cell>
          <cell r="R738">
            <v>1</v>
          </cell>
        </row>
        <row r="739">
          <cell r="A739" t="str">
            <v>09.11.02</v>
          </cell>
          <cell r="B739" t="str">
            <v>CERRADURA PARA PUERTA DE TRES GOLPES</v>
          </cell>
          <cell r="C739" t="str">
            <v>und</v>
          </cell>
          <cell r="D739">
            <v>6</v>
          </cell>
          <cell r="E739">
            <v>137.22999999999999</v>
          </cell>
          <cell r="F739">
            <v>823.37999999999988</v>
          </cell>
          <cell r="G739">
            <v>0</v>
          </cell>
          <cell r="H739">
            <v>0</v>
          </cell>
          <cell r="I739" t="str">
            <v>0.00%</v>
          </cell>
          <cell r="J739">
            <v>0</v>
          </cell>
          <cell r="K739">
            <v>0</v>
          </cell>
          <cell r="L739" t="str">
            <v>0.00%</v>
          </cell>
          <cell r="M739">
            <v>0</v>
          </cell>
          <cell r="N739">
            <v>0</v>
          </cell>
          <cell r="O739" t="str">
            <v>0.00%</v>
          </cell>
          <cell r="P739">
            <v>6</v>
          </cell>
          <cell r="Q739">
            <v>823.37999999999988</v>
          </cell>
          <cell r="R739">
            <v>1</v>
          </cell>
        </row>
        <row r="740">
          <cell r="A740" t="str">
            <v>09.11.03</v>
          </cell>
          <cell r="B740" t="str">
            <v>CERRADURA DE PERILLA CON SEGURIDAD INTERIOR</v>
          </cell>
          <cell r="C740" t="str">
            <v>und</v>
          </cell>
          <cell r="D740">
            <v>8</v>
          </cell>
          <cell r="E740">
            <v>92.23</v>
          </cell>
          <cell r="F740">
            <v>737.84</v>
          </cell>
          <cell r="G740">
            <v>0</v>
          </cell>
          <cell r="H740">
            <v>0</v>
          </cell>
          <cell r="I740" t="str">
            <v>0.00%</v>
          </cell>
          <cell r="J740">
            <v>0</v>
          </cell>
          <cell r="K740">
            <v>0</v>
          </cell>
          <cell r="L740" t="str">
            <v>0.00%</v>
          </cell>
          <cell r="M740">
            <v>0</v>
          </cell>
          <cell r="N740">
            <v>0</v>
          </cell>
          <cell r="O740" t="str">
            <v>0.00%</v>
          </cell>
          <cell r="P740">
            <v>8</v>
          </cell>
          <cell r="Q740">
            <v>737.84</v>
          </cell>
          <cell r="R740">
            <v>1</v>
          </cell>
        </row>
        <row r="741">
          <cell r="A741" t="str">
            <v>09.12</v>
          </cell>
          <cell r="B741" t="str">
            <v>VIDRIOS, CRISTALES Y SIMILARES</v>
          </cell>
          <cell r="C741">
            <v>0</v>
          </cell>
          <cell r="D741">
            <v>0</v>
          </cell>
          <cell r="E741">
            <v>0</v>
          </cell>
          <cell r="F741">
            <v>0</v>
          </cell>
          <cell r="G741">
            <v>0</v>
          </cell>
          <cell r="H741">
            <v>0</v>
          </cell>
          <cell r="I741">
            <v>0</v>
          </cell>
          <cell r="J741">
            <v>0</v>
          </cell>
          <cell r="K741">
            <v>0</v>
          </cell>
          <cell r="L741">
            <v>0</v>
          </cell>
          <cell r="M741">
            <v>0</v>
          </cell>
          <cell r="N741">
            <v>0</v>
          </cell>
          <cell r="O741">
            <v>0</v>
          </cell>
          <cell r="P741">
            <v>0</v>
          </cell>
          <cell r="Q741">
            <v>0</v>
          </cell>
          <cell r="R741">
            <v>0</v>
          </cell>
        </row>
        <row r="742">
          <cell r="A742" t="str">
            <v>09.12.01</v>
          </cell>
          <cell r="B742" t="str">
            <v>VIDRIO (8MM.) SISTEMA NOVA INC. ACCESORIOS</v>
          </cell>
          <cell r="C742" t="str">
            <v>p2</v>
          </cell>
          <cell r="D742">
            <v>1180.0899999999999</v>
          </cell>
          <cell r="E742">
            <v>18.54</v>
          </cell>
          <cell r="F742">
            <v>21878.868599999998</v>
          </cell>
          <cell r="G742">
            <v>0</v>
          </cell>
          <cell r="H742">
            <v>0</v>
          </cell>
          <cell r="I742" t="str">
            <v>0.00%</v>
          </cell>
          <cell r="J742">
            <v>0</v>
          </cell>
          <cell r="K742">
            <v>0</v>
          </cell>
          <cell r="L742" t="str">
            <v>0.00%</v>
          </cell>
          <cell r="M742">
            <v>0</v>
          </cell>
          <cell r="N742">
            <v>0</v>
          </cell>
          <cell r="O742" t="str">
            <v>0.00%</v>
          </cell>
          <cell r="P742">
            <v>1180.0899999999999</v>
          </cell>
          <cell r="Q742">
            <v>21878.868599999998</v>
          </cell>
          <cell r="R742">
            <v>1</v>
          </cell>
        </row>
        <row r="743">
          <cell r="A743" t="str">
            <v>09.12.02</v>
          </cell>
          <cell r="B743" t="str">
            <v>VIDRIO CRUDO INCOLORO DE 6MM.</v>
          </cell>
          <cell r="C743" t="str">
            <v>p2</v>
          </cell>
          <cell r="D743">
            <v>79.44</v>
          </cell>
          <cell r="E743">
            <v>9.51</v>
          </cell>
          <cell r="F743">
            <v>755.47439999999995</v>
          </cell>
          <cell r="G743">
            <v>0</v>
          </cell>
          <cell r="H743">
            <v>0</v>
          </cell>
          <cell r="I743" t="str">
            <v>0.00%</v>
          </cell>
          <cell r="J743">
            <v>0</v>
          </cell>
          <cell r="K743">
            <v>0</v>
          </cell>
          <cell r="L743" t="str">
            <v>0.00%</v>
          </cell>
          <cell r="M743">
            <v>0</v>
          </cell>
          <cell r="N743">
            <v>0</v>
          </cell>
          <cell r="O743" t="str">
            <v>0.00%</v>
          </cell>
          <cell r="P743">
            <v>79.44</v>
          </cell>
          <cell r="Q743">
            <v>755.47439999999995</v>
          </cell>
          <cell r="R743">
            <v>1</v>
          </cell>
        </row>
        <row r="744">
          <cell r="A744" t="str">
            <v>09.13</v>
          </cell>
          <cell r="B744" t="str">
            <v>PINTURA</v>
          </cell>
          <cell r="C744">
            <v>0</v>
          </cell>
          <cell r="D744">
            <v>0</v>
          </cell>
          <cell r="E744">
            <v>0</v>
          </cell>
          <cell r="F744">
            <v>0</v>
          </cell>
          <cell r="G744">
            <v>0</v>
          </cell>
          <cell r="H744">
            <v>0</v>
          </cell>
          <cell r="I744">
            <v>0</v>
          </cell>
          <cell r="J744">
            <v>0</v>
          </cell>
          <cell r="K744">
            <v>0</v>
          </cell>
          <cell r="L744">
            <v>0</v>
          </cell>
          <cell r="M744">
            <v>0</v>
          </cell>
          <cell r="N744">
            <v>0</v>
          </cell>
          <cell r="O744">
            <v>0</v>
          </cell>
          <cell r="P744">
            <v>0</v>
          </cell>
          <cell r="Q744">
            <v>0</v>
          </cell>
          <cell r="R744">
            <v>0</v>
          </cell>
        </row>
        <row r="745">
          <cell r="A745" t="str">
            <v>09.13.01</v>
          </cell>
          <cell r="B745" t="str">
            <v>PINTURA EN CIELORRASO</v>
          </cell>
          <cell r="C745" t="str">
            <v>m2</v>
          </cell>
          <cell r="D745">
            <v>501.16</v>
          </cell>
          <cell r="E745">
            <v>12.59</v>
          </cell>
          <cell r="F745">
            <v>6309.6044000000002</v>
          </cell>
          <cell r="G745">
            <v>0</v>
          </cell>
          <cell r="H745">
            <v>0</v>
          </cell>
          <cell r="I745" t="str">
            <v>0.00%</v>
          </cell>
          <cell r="J745">
            <v>0</v>
          </cell>
          <cell r="K745">
            <v>0</v>
          </cell>
          <cell r="L745" t="str">
            <v>0.00%</v>
          </cell>
          <cell r="M745">
            <v>0</v>
          </cell>
          <cell r="N745">
            <v>0</v>
          </cell>
          <cell r="O745" t="str">
            <v>0.00%</v>
          </cell>
          <cell r="P745">
            <v>501.16</v>
          </cell>
          <cell r="Q745">
            <v>6309.6044000000002</v>
          </cell>
          <cell r="R745">
            <v>1</v>
          </cell>
        </row>
        <row r="746">
          <cell r="A746" t="str">
            <v>09.13.02</v>
          </cell>
          <cell r="B746" t="str">
            <v xml:space="preserve">PINTURA EN INTERIORES </v>
          </cell>
          <cell r="C746" t="str">
            <v>m2</v>
          </cell>
          <cell r="D746">
            <v>479.25</v>
          </cell>
          <cell r="E746">
            <v>9.6999999999999993</v>
          </cell>
          <cell r="F746">
            <v>4648.7249999999995</v>
          </cell>
          <cell r="G746">
            <v>0</v>
          </cell>
          <cell r="H746">
            <v>0</v>
          </cell>
          <cell r="I746" t="str">
            <v>0.00%</v>
          </cell>
          <cell r="J746">
            <v>0</v>
          </cell>
          <cell r="K746">
            <v>0</v>
          </cell>
          <cell r="L746" t="str">
            <v>0.00%</v>
          </cell>
          <cell r="M746">
            <v>0</v>
          </cell>
          <cell r="N746">
            <v>0</v>
          </cell>
          <cell r="O746" t="str">
            <v>0.00%</v>
          </cell>
          <cell r="P746">
            <v>479.25</v>
          </cell>
          <cell r="Q746">
            <v>4648.7249999999995</v>
          </cell>
          <cell r="R746">
            <v>1</v>
          </cell>
        </row>
        <row r="747">
          <cell r="A747" t="str">
            <v>09.13.03</v>
          </cell>
          <cell r="B747" t="str">
            <v>PINTURA EN EXTERIORES</v>
          </cell>
          <cell r="C747" t="str">
            <v>m2</v>
          </cell>
          <cell r="D747">
            <v>95.4</v>
          </cell>
          <cell r="E747">
            <v>19.04</v>
          </cell>
          <cell r="F747">
            <v>1816.4159999999999</v>
          </cell>
          <cell r="G747">
            <v>0</v>
          </cell>
          <cell r="H747">
            <v>0</v>
          </cell>
          <cell r="I747" t="str">
            <v>0.00%</v>
          </cell>
          <cell r="J747">
            <v>0</v>
          </cell>
          <cell r="K747">
            <v>0</v>
          </cell>
          <cell r="L747" t="str">
            <v>0.00%</v>
          </cell>
          <cell r="M747">
            <v>0</v>
          </cell>
          <cell r="N747">
            <v>0</v>
          </cell>
          <cell r="O747" t="str">
            <v>0.00%</v>
          </cell>
          <cell r="P747">
            <v>95.4</v>
          </cell>
          <cell r="Q747">
            <v>1816.4159999999999</v>
          </cell>
          <cell r="R747">
            <v>1</v>
          </cell>
        </row>
        <row r="748">
          <cell r="A748" t="str">
            <v>09.13.04</v>
          </cell>
          <cell r="B748" t="str">
            <v>PINTURA EN COLUMNAS</v>
          </cell>
          <cell r="C748" t="str">
            <v>m2</v>
          </cell>
          <cell r="D748">
            <v>326</v>
          </cell>
          <cell r="E748">
            <v>10.35</v>
          </cell>
          <cell r="F748">
            <v>3374.1</v>
          </cell>
          <cell r="G748">
            <v>0</v>
          </cell>
          <cell r="H748">
            <v>0</v>
          </cell>
          <cell r="I748" t="str">
            <v>0.00%</v>
          </cell>
          <cell r="J748">
            <v>0</v>
          </cell>
          <cell r="K748">
            <v>0</v>
          </cell>
          <cell r="L748" t="str">
            <v>0.00%</v>
          </cell>
          <cell r="M748">
            <v>0</v>
          </cell>
          <cell r="N748">
            <v>0</v>
          </cell>
          <cell r="O748" t="str">
            <v>0.00%</v>
          </cell>
          <cell r="P748">
            <v>326</v>
          </cell>
          <cell r="Q748">
            <v>3374.1</v>
          </cell>
          <cell r="R748">
            <v>1</v>
          </cell>
        </row>
        <row r="749">
          <cell r="A749" t="str">
            <v>09.13.05</v>
          </cell>
          <cell r="B749" t="str">
            <v>PINTURA EN VIGA</v>
          </cell>
          <cell r="C749" t="str">
            <v>m2</v>
          </cell>
          <cell r="D749">
            <v>269.3</v>
          </cell>
          <cell r="E749">
            <v>10.35</v>
          </cell>
          <cell r="F749">
            <v>2787.2550000000001</v>
          </cell>
          <cell r="G749">
            <v>0</v>
          </cell>
          <cell r="H749">
            <v>0</v>
          </cell>
          <cell r="I749" t="str">
            <v>0.00%</v>
          </cell>
          <cell r="J749">
            <v>0</v>
          </cell>
          <cell r="K749">
            <v>0</v>
          </cell>
          <cell r="L749" t="str">
            <v>0.00%</v>
          </cell>
          <cell r="M749">
            <v>0</v>
          </cell>
          <cell r="N749">
            <v>0</v>
          </cell>
          <cell r="O749" t="str">
            <v>0.00%</v>
          </cell>
          <cell r="P749">
            <v>269.3</v>
          </cell>
          <cell r="Q749">
            <v>2787.2550000000001</v>
          </cell>
          <cell r="R749">
            <v>1</v>
          </cell>
        </row>
        <row r="750">
          <cell r="A750" t="str">
            <v>09.13.06</v>
          </cell>
          <cell r="B750" t="str">
            <v>PINTURA EN CUNETA DE EVACUACION PLUVIAL EN TECHO</v>
          </cell>
          <cell r="C750" t="str">
            <v>m2</v>
          </cell>
          <cell r="D750">
            <v>57.3</v>
          </cell>
          <cell r="E750">
            <v>9.25</v>
          </cell>
          <cell r="F750">
            <v>530.02499999999998</v>
          </cell>
          <cell r="G750">
            <v>0</v>
          </cell>
          <cell r="H750">
            <v>0</v>
          </cell>
          <cell r="I750" t="str">
            <v>0.00%</v>
          </cell>
          <cell r="J750">
            <v>0</v>
          </cell>
          <cell r="K750">
            <v>0</v>
          </cell>
          <cell r="L750" t="str">
            <v>0.00%</v>
          </cell>
          <cell r="M750">
            <v>0</v>
          </cell>
          <cell r="N750">
            <v>0</v>
          </cell>
          <cell r="O750" t="str">
            <v>0.00%</v>
          </cell>
          <cell r="P750">
            <v>57.3</v>
          </cell>
          <cell r="Q750">
            <v>530.02499999999998</v>
          </cell>
          <cell r="R750">
            <v>1</v>
          </cell>
        </row>
        <row r="751">
          <cell r="A751" t="str">
            <v>09.13.07</v>
          </cell>
          <cell r="B751" t="str">
            <v>PINTURA EN CONTRAZOCALOS Y ZOCALOS H= 0.40M C/ESMALTE</v>
          </cell>
          <cell r="C751" t="str">
            <v>m</v>
          </cell>
          <cell r="D751">
            <v>29.04</v>
          </cell>
          <cell r="E751">
            <v>7.19</v>
          </cell>
          <cell r="F751">
            <v>208.79760000000002</v>
          </cell>
          <cell r="G751">
            <v>0</v>
          </cell>
          <cell r="H751">
            <v>0</v>
          </cell>
          <cell r="I751" t="str">
            <v>0.00%</v>
          </cell>
          <cell r="J751">
            <v>0</v>
          </cell>
          <cell r="K751">
            <v>0</v>
          </cell>
          <cell r="L751" t="str">
            <v>0.00%</v>
          </cell>
          <cell r="M751">
            <v>0</v>
          </cell>
          <cell r="N751">
            <v>0</v>
          </cell>
          <cell r="O751" t="str">
            <v>0.00%</v>
          </cell>
          <cell r="P751">
            <v>29.04</v>
          </cell>
          <cell r="Q751">
            <v>208.79760000000002</v>
          </cell>
          <cell r="R751">
            <v>1</v>
          </cell>
        </row>
        <row r="752">
          <cell r="A752" t="str">
            <v>09.13.08</v>
          </cell>
          <cell r="B752" t="str">
            <v>PINTURA EN BARANDAS METALICAS</v>
          </cell>
          <cell r="C752" t="str">
            <v>m</v>
          </cell>
          <cell r="D752">
            <v>13.79</v>
          </cell>
          <cell r="E752">
            <v>9.49</v>
          </cell>
          <cell r="F752">
            <v>130.86709999999999</v>
          </cell>
          <cell r="G752">
            <v>0</v>
          </cell>
          <cell r="H752">
            <v>0</v>
          </cell>
          <cell r="I752" t="str">
            <v>0.00%</v>
          </cell>
          <cell r="J752">
            <v>0</v>
          </cell>
          <cell r="K752">
            <v>0</v>
          </cell>
          <cell r="L752" t="str">
            <v>0.00%</v>
          </cell>
          <cell r="M752">
            <v>0</v>
          </cell>
          <cell r="N752">
            <v>0</v>
          </cell>
          <cell r="O752" t="str">
            <v>0.00%</v>
          </cell>
          <cell r="P752">
            <v>13.79</v>
          </cell>
          <cell r="Q752">
            <v>130.86709999999999</v>
          </cell>
          <cell r="R752">
            <v>1</v>
          </cell>
        </row>
        <row r="753">
          <cell r="A753" t="str">
            <v>09.13.09</v>
          </cell>
          <cell r="B753" t="str">
            <v>PINTURA EN PUERTAS C/BARNIZ 2 MANOS</v>
          </cell>
          <cell r="C753" t="str">
            <v>m2</v>
          </cell>
          <cell r="D753">
            <v>55.72</v>
          </cell>
          <cell r="E753">
            <v>12.86</v>
          </cell>
          <cell r="F753">
            <v>716.55919999999992</v>
          </cell>
          <cell r="G753">
            <v>0</v>
          </cell>
          <cell r="H753">
            <v>0</v>
          </cell>
          <cell r="I753" t="str">
            <v>0.00%</v>
          </cell>
          <cell r="J753">
            <v>0</v>
          </cell>
          <cell r="K753">
            <v>0</v>
          </cell>
          <cell r="L753" t="str">
            <v>0.00%</v>
          </cell>
          <cell r="M753">
            <v>0</v>
          </cell>
          <cell r="N753">
            <v>0</v>
          </cell>
          <cell r="O753" t="str">
            <v>0.00%</v>
          </cell>
          <cell r="P753">
            <v>55.72</v>
          </cell>
          <cell r="Q753">
            <v>716.55919999999992</v>
          </cell>
          <cell r="R753">
            <v>1</v>
          </cell>
        </row>
        <row r="754">
          <cell r="A754" t="str">
            <v>09.14</v>
          </cell>
          <cell r="B754" t="str">
            <v>OBRAS VARIAS</v>
          </cell>
          <cell r="C754">
            <v>0</v>
          </cell>
          <cell r="D754">
            <v>0</v>
          </cell>
          <cell r="E754">
            <v>0</v>
          </cell>
          <cell r="F754">
            <v>0</v>
          </cell>
          <cell r="G754">
            <v>0</v>
          </cell>
          <cell r="H754">
            <v>0</v>
          </cell>
          <cell r="I754">
            <v>0</v>
          </cell>
          <cell r="J754">
            <v>0</v>
          </cell>
          <cell r="K754">
            <v>0</v>
          </cell>
          <cell r="L754">
            <v>0</v>
          </cell>
          <cell r="M754">
            <v>0</v>
          </cell>
          <cell r="N754">
            <v>0</v>
          </cell>
          <cell r="O754">
            <v>0</v>
          </cell>
          <cell r="P754">
            <v>0</v>
          </cell>
          <cell r="Q754">
            <v>0</v>
          </cell>
          <cell r="R754">
            <v>0</v>
          </cell>
        </row>
        <row r="755">
          <cell r="A755" t="str">
            <v>09.14.01</v>
          </cell>
          <cell r="B755" t="str">
            <v>SARDINEL DE CONCRETO SOBRE VIGAS TIMPANO F'C= 175KG/CM2</v>
          </cell>
          <cell r="C755" t="str">
            <v>m3</v>
          </cell>
          <cell r="D755">
            <v>5</v>
          </cell>
          <cell r="E755">
            <v>388.98</v>
          </cell>
          <cell r="F755">
            <v>1944.9</v>
          </cell>
          <cell r="G755">
            <v>0</v>
          </cell>
          <cell r="H755">
            <v>0</v>
          </cell>
          <cell r="I755" t="str">
            <v>0.00%</v>
          </cell>
          <cell r="J755">
            <v>0</v>
          </cell>
          <cell r="K755">
            <v>0</v>
          </cell>
          <cell r="L755" t="str">
            <v>0.00%</v>
          </cell>
          <cell r="M755">
            <v>0</v>
          </cell>
          <cell r="N755">
            <v>0</v>
          </cell>
          <cell r="O755" t="str">
            <v>0.00%</v>
          </cell>
          <cell r="P755">
            <v>5</v>
          </cell>
          <cell r="Q755">
            <v>1944.9</v>
          </cell>
          <cell r="R755">
            <v>1</v>
          </cell>
        </row>
        <row r="756">
          <cell r="A756" t="str">
            <v>09.14.02</v>
          </cell>
          <cell r="B756" t="str">
            <v>ENCOFRADO Y DESENCOFRADO DE SARDINELES SOBRE VIGA TIMPANO</v>
          </cell>
          <cell r="C756" t="str">
            <v>m2</v>
          </cell>
          <cell r="D756">
            <v>37.200000000000003</v>
          </cell>
          <cell r="E756">
            <v>17.3</v>
          </cell>
          <cell r="F756">
            <v>643.56000000000006</v>
          </cell>
          <cell r="G756">
            <v>0</v>
          </cell>
          <cell r="H756">
            <v>0</v>
          </cell>
          <cell r="I756" t="str">
            <v>0.00%</v>
          </cell>
          <cell r="J756">
            <v>0</v>
          </cell>
          <cell r="K756">
            <v>0</v>
          </cell>
          <cell r="L756" t="str">
            <v>0.00%</v>
          </cell>
          <cell r="M756">
            <v>0</v>
          </cell>
          <cell r="N756">
            <v>0</v>
          </cell>
          <cell r="O756" t="str">
            <v>0.00%</v>
          </cell>
          <cell r="P756">
            <v>37.200000000000003</v>
          </cell>
          <cell r="Q756">
            <v>643.56000000000006</v>
          </cell>
          <cell r="R756">
            <v>1</v>
          </cell>
        </row>
        <row r="757">
          <cell r="A757" t="str">
            <v>09.14.03</v>
          </cell>
          <cell r="B757" t="str">
            <v xml:space="preserve">TAPA JUNTA EN VANOS MUROS/COLUMNA
</v>
          </cell>
          <cell r="C757" t="str">
            <v>m</v>
          </cell>
          <cell r="D757">
            <v>567.79999999999995</v>
          </cell>
          <cell r="E757">
            <v>13.49</v>
          </cell>
          <cell r="F757">
            <v>7659.6219999999994</v>
          </cell>
          <cell r="G757">
            <v>0</v>
          </cell>
          <cell r="H757">
            <v>0</v>
          </cell>
          <cell r="I757" t="str">
            <v>0.00%</v>
          </cell>
          <cell r="J757">
            <v>283.89999999999998</v>
          </cell>
          <cell r="K757">
            <v>3829.8109999999997</v>
          </cell>
          <cell r="L757">
            <v>0.5</v>
          </cell>
          <cell r="M757">
            <v>283.89999999999998</v>
          </cell>
          <cell r="N757">
            <v>3829.8109999999997</v>
          </cell>
          <cell r="O757">
            <v>0.5</v>
          </cell>
          <cell r="P757">
            <v>283.89999999999998</v>
          </cell>
          <cell r="Q757">
            <v>3829.8109999999997</v>
          </cell>
          <cell r="R757">
            <v>0.5</v>
          </cell>
        </row>
        <row r="758">
          <cell r="A758" t="str">
            <v>09.14.04</v>
          </cell>
          <cell r="B758" t="str">
            <v>TAPA JUNTA  METALICA</v>
          </cell>
          <cell r="C758" t="str">
            <v>m</v>
          </cell>
          <cell r="D758">
            <v>16.100000000000001</v>
          </cell>
          <cell r="E758">
            <v>50.83</v>
          </cell>
          <cell r="F758">
            <v>818.36300000000006</v>
          </cell>
          <cell r="G758">
            <v>0</v>
          </cell>
          <cell r="H758">
            <v>0</v>
          </cell>
          <cell r="I758" t="str">
            <v>0.00%</v>
          </cell>
          <cell r="J758">
            <v>0</v>
          </cell>
          <cell r="K758">
            <v>0</v>
          </cell>
          <cell r="L758" t="str">
            <v>0.00%</v>
          </cell>
          <cell r="M758">
            <v>0</v>
          </cell>
          <cell r="N758">
            <v>0</v>
          </cell>
          <cell r="O758" t="str">
            <v>0.00%</v>
          </cell>
          <cell r="P758">
            <v>16.100000000000001</v>
          </cell>
          <cell r="Q758">
            <v>818.36300000000006</v>
          </cell>
          <cell r="R758">
            <v>1</v>
          </cell>
        </row>
        <row r="759">
          <cell r="A759" t="str">
            <v>10</v>
          </cell>
          <cell r="B759" t="str">
            <v>BLOQUE - 3</v>
          </cell>
          <cell r="C759">
            <v>0</v>
          </cell>
          <cell r="D759">
            <v>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0</v>
          </cell>
        </row>
        <row r="760">
          <cell r="A760" t="str">
            <v>10.01</v>
          </cell>
          <cell r="B760" t="str">
            <v>MUROS Y TABIQUES</v>
          </cell>
          <cell r="C760">
            <v>0</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row>
        <row r="761">
          <cell r="A761" t="str">
            <v>10.01.01</v>
          </cell>
          <cell r="B761" t="str">
            <v>MURO DE CABEZA LADRILLO KIN-KONG DE ARCILLA</v>
          </cell>
          <cell r="C761" t="str">
            <v>m2</v>
          </cell>
          <cell r="D761">
            <v>168.62</v>
          </cell>
          <cell r="E761">
            <v>151.13999999999999</v>
          </cell>
          <cell r="F761">
            <v>25485.226799999997</v>
          </cell>
          <cell r="G761">
            <v>49.362000000000002</v>
          </cell>
          <cell r="H761">
            <v>7460.5726799999993</v>
          </cell>
          <cell r="I761">
            <v>0.2927410746056221</v>
          </cell>
          <cell r="J761">
            <v>119.25500000000001</v>
          </cell>
          <cell r="K761">
            <v>18024.200700000001</v>
          </cell>
          <cell r="L761">
            <v>0.70724113391056831</v>
          </cell>
          <cell r="M761">
            <v>168.61700000000002</v>
          </cell>
          <cell r="N761">
            <v>25484.773379999999</v>
          </cell>
          <cell r="O761">
            <v>0.99998220851619035</v>
          </cell>
          <cell r="P761">
            <v>2.9999999999859028E-3</v>
          </cell>
          <cell r="Q761">
            <v>0.45341999999800464</v>
          </cell>
          <cell r="R761">
            <v>1.7791483809671439E-5</v>
          </cell>
        </row>
        <row r="762">
          <cell r="A762" t="str">
            <v>10.01.02</v>
          </cell>
          <cell r="B762" t="str">
            <v>MURO DE SOGA LADRILLO KIN-KONG DE ARCILLA</v>
          </cell>
          <cell r="C762" t="str">
            <v>m2</v>
          </cell>
          <cell r="D762">
            <v>120.58</v>
          </cell>
          <cell r="E762">
            <v>99.24</v>
          </cell>
          <cell r="F762">
            <v>11966.359199999999</v>
          </cell>
          <cell r="G762">
            <v>0</v>
          </cell>
          <cell r="H762">
            <v>0</v>
          </cell>
          <cell r="I762" t="str">
            <v>0.00%</v>
          </cell>
          <cell r="J762">
            <v>120.5765</v>
          </cell>
          <cell r="K762">
            <v>11966.011859999999</v>
          </cell>
          <cell r="L762">
            <v>0.99997097362746723</v>
          </cell>
          <cell r="M762">
            <v>120.5765</v>
          </cell>
          <cell r="N762">
            <v>11966.011859999999</v>
          </cell>
          <cell r="O762">
            <v>0.99997097362746723</v>
          </cell>
          <cell r="P762">
            <v>3.5000000000025011E-3</v>
          </cell>
          <cell r="Q762">
            <v>0.34734000000025844</v>
          </cell>
          <cell r="R762">
            <v>2.9026372532779933E-5</v>
          </cell>
        </row>
        <row r="763">
          <cell r="A763" t="str">
            <v>10.02</v>
          </cell>
          <cell r="B763" t="str">
            <v>REVOQUES ENLUCIDOS Y MOLDURAS</v>
          </cell>
          <cell r="C763">
            <v>0</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row>
        <row r="764">
          <cell r="A764" t="str">
            <v>10.02.01</v>
          </cell>
          <cell r="B764" t="str">
            <v>TARRAJEO EN MUROS INTERIORES MEZCLA 1:5 CEMENTO:ARENA</v>
          </cell>
          <cell r="C764" t="str">
            <v>m2</v>
          </cell>
          <cell r="D764">
            <v>412.11</v>
          </cell>
          <cell r="E764">
            <v>26.91</v>
          </cell>
          <cell r="F764">
            <v>11089.8801</v>
          </cell>
          <cell r="G764">
            <v>0</v>
          </cell>
          <cell r="H764">
            <v>0</v>
          </cell>
          <cell r="I764" t="str">
            <v>0.00%</v>
          </cell>
          <cell r="J764">
            <v>20.662500000000001</v>
          </cell>
          <cell r="K764">
            <v>556.02787499999999</v>
          </cell>
          <cell r="L764">
            <v>5.0138312586445362E-2</v>
          </cell>
          <cell r="M764">
            <v>20.662500000000001</v>
          </cell>
          <cell r="N764">
            <v>556.02787499999999</v>
          </cell>
          <cell r="O764">
            <v>5.0138312586445362E-2</v>
          </cell>
          <cell r="P764">
            <v>391.44749999999999</v>
          </cell>
          <cell r="Q764">
            <v>10533.852225000001</v>
          </cell>
          <cell r="R764">
            <v>0.9498616874135547</v>
          </cell>
        </row>
        <row r="765">
          <cell r="A765" t="str">
            <v>10.02.02</v>
          </cell>
          <cell r="B765" t="str">
            <v>TARRAJEO EN MUROS EXTERIORES MEZCLA 1:5 CEMENTO:ARENA</v>
          </cell>
          <cell r="C765" t="str">
            <v>m2</v>
          </cell>
          <cell r="D765">
            <v>166.27</v>
          </cell>
          <cell r="E765">
            <v>33.57</v>
          </cell>
          <cell r="F765">
            <v>5581.6839</v>
          </cell>
          <cell r="G765">
            <v>0</v>
          </cell>
          <cell r="H765">
            <v>0</v>
          </cell>
          <cell r="I765" t="str">
            <v>0.00%</v>
          </cell>
          <cell r="J765">
            <v>0</v>
          </cell>
          <cell r="K765">
            <v>0</v>
          </cell>
          <cell r="L765" t="str">
            <v>0.00%</v>
          </cell>
          <cell r="M765">
            <v>0</v>
          </cell>
          <cell r="N765">
            <v>0</v>
          </cell>
          <cell r="O765" t="str">
            <v>0.00%</v>
          </cell>
          <cell r="P765">
            <v>166.27</v>
          </cell>
          <cell r="Q765">
            <v>5581.6839</v>
          </cell>
          <cell r="R765">
            <v>1</v>
          </cell>
        </row>
        <row r="766">
          <cell r="A766" t="str">
            <v>10.02.03</v>
          </cell>
          <cell r="B766" t="str">
            <v>TARRAJEO EN PESTAÑAS DE LAS VENTANAS</v>
          </cell>
          <cell r="C766" t="str">
            <v>m</v>
          </cell>
          <cell r="D766">
            <v>44</v>
          </cell>
          <cell r="E766">
            <v>18.16</v>
          </cell>
          <cell r="F766">
            <v>799.04</v>
          </cell>
          <cell r="G766">
            <v>0</v>
          </cell>
          <cell r="H766">
            <v>0</v>
          </cell>
          <cell r="I766" t="str">
            <v>0.00%</v>
          </cell>
          <cell r="J766">
            <v>0</v>
          </cell>
          <cell r="K766">
            <v>0</v>
          </cell>
          <cell r="L766" t="str">
            <v>0.00%</v>
          </cell>
          <cell r="M766">
            <v>0</v>
          </cell>
          <cell r="N766">
            <v>0</v>
          </cell>
          <cell r="O766" t="str">
            <v>0.00%</v>
          </cell>
          <cell r="P766">
            <v>44</v>
          </cell>
          <cell r="Q766">
            <v>799.04</v>
          </cell>
          <cell r="R766">
            <v>1</v>
          </cell>
        </row>
        <row r="767">
          <cell r="A767" t="str">
            <v>10.02.04</v>
          </cell>
          <cell r="B767" t="str">
            <v>TARRAJEO DE SUPERFICIE COLUMNAS INCL. ARISTAS MEZCLA 1:5 CEMENTO:ARENA</v>
          </cell>
          <cell r="C767" t="str">
            <v>m2</v>
          </cell>
          <cell r="D767">
            <v>213.37</v>
          </cell>
          <cell r="E767">
            <v>29.04</v>
          </cell>
          <cell r="F767">
            <v>6196.2647999999999</v>
          </cell>
          <cell r="G767">
            <v>0</v>
          </cell>
          <cell r="H767">
            <v>0</v>
          </cell>
          <cell r="I767" t="str">
            <v>0.00%</v>
          </cell>
          <cell r="J767">
            <v>0</v>
          </cell>
          <cell r="K767">
            <v>0</v>
          </cell>
          <cell r="L767" t="str">
            <v>0.00%</v>
          </cell>
          <cell r="M767">
            <v>0</v>
          </cell>
          <cell r="N767">
            <v>0</v>
          </cell>
          <cell r="O767" t="str">
            <v>0.00%</v>
          </cell>
          <cell r="P767">
            <v>213.37</v>
          </cell>
          <cell r="Q767">
            <v>6196.2647999999999</v>
          </cell>
          <cell r="R767">
            <v>1</v>
          </cell>
        </row>
        <row r="768">
          <cell r="A768" t="str">
            <v>10.02.05</v>
          </cell>
          <cell r="B768" t="str">
            <v>TARRAJEO DE SUPERF.VIGAS INCL.ARISTAS, MEZCLA 1:5 CEMENTO:ARENA</v>
          </cell>
          <cell r="C768" t="str">
            <v>m2</v>
          </cell>
          <cell r="D768">
            <v>173.03</v>
          </cell>
          <cell r="E768">
            <v>34.25</v>
          </cell>
          <cell r="F768">
            <v>5926.2775000000001</v>
          </cell>
          <cell r="G768">
            <v>0</v>
          </cell>
          <cell r="H768">
            <v>0</v>
          </cell>
          <cell r="I768" t="str">
            <v>0.00%</v>
          </cell>
          <cell r="J768">
            <v>94.51600000000002</v>
          </cell>
          <cell r="K768">
            <v>3237.1730000000007</v>
          </cell>
          <cell r="L768">
            <v>0.54624053632318104</v>
          </cell>
          <cell r="M768">
            <v>94.51600000000002</v>
          </cell>
          <cell r="N768">
            <v>3237.1730000000007</v>
          </cell>
          <cell r="O768">
            <v>0.54624053632318104</v>
          </cell>
          <cell r="P768">
            <v>78.513999999999982</v>
          </cell>
          <cell r="Q768">
            <v>2689.1044999999995</v>
          </cell>
          <cell r="R768">
            <v>0.45375946367681896</v>
          </cell>
        </row>
        <row r="769">
          <cell r="A769" t="str">
            <v>10.02.06</v>
          </cell>
          <cell r="B769" t="str">
            <v>TARRAJEO CON IMPERMEABILIZANTE EN COBERTURAS</v>
          </cell>
          <cell r="C769" t="str">
            <v>m2</v>
          </cell>
          <cell r="D769">
            <v>155.72999999999999</v>
          </cell>
          <cell r="E769">
            <v>60.76</v>
          </cell>
          <cell r="F769">
            <v>9462.1547999999984</v>
          </cell>
          <cell r="G769">
            <v>0</v>
          </cell>
          <cell r="H769">
            <v>0</v>
          </cell>
          <cell r="I769" t="str">
            <v>0.00%</v>
          </cell>
          <cell r="J769">
            <v>0</v>
          </cell>
          <cell r="K769">
            <v>0</v>
          </cell>
          <cell r="L769" t="str">
            <v>0.00%</v>
          </cell>
          <cell r="M769">
            <v>0</v>
          </cell>
          <cell r="N769">
            <v>0</v>
          </cell>
          <cell r="O769" t="str">
            <v>0.00%</v>
          </cell>
          <cell r="P769">
            <v>155.72999999999999</v>
          </cell>
          <cell r="Q769">
            <v>9462.1547999999984</v>
          </cell>
          <cell r="R769">
            <v>1</v>
          </cell>
        </row>
        <row r="770">
          <cell r="A770" t="str">
            <v>10.02.07</v>
          </cell>
          <cell r="B770" t="str">
            <v>TARRAJEO EN CUNETA DE EVACUACION PLUVIAL EXTERIOR - TECHO</v>
          </cell>
          <cell r="C770" t="str">
            <v>m2</v>
          </cell>
          <cell r="D770">
            <v>28.18</v>
          </cell>
          <cell r="E770">
            <v>39.65</v>
          </cell>
          <cell r="F770">
            <v>1117.337</v>
          </cell>
          <cell r="G770">
            <v>0</v>
          </cell>
          <cell r="H770">
            <v>0</v>
          </cell>
          <cell r="I770" t="str">
            <v>0.00%</v>
          </cell>
          <cell r="J770">
            <v>0</v>
          </cell>
          <cell r="K770">
            <v>0</v>
          </cell>
          <cell r="L770" t="str">
            <v>0.00%</v>
          </cell>
          <cell r="M770">
            <v>0</v>
          </cell>
          <cell r="N770">
            <v>0</v>
          </cell>
          <cell r="O770" t="str">
            <v>0.00%</v>
          </cell>
          <cell r="P770">
            <v>28.18</v>
          </cell>
          <cell r="Q770">
            <v>1117.337</v>
          </cell>
          <cell r="R770">
            <v>1</v>
          </cell>
        </row>
        <row r="771">
          <cell r="A771" t="str">
            <v>10.02.08</v>
          </cell>
          <cell r="B771" t="str">
            <v>TARRAJEO CON IMPERMEABILIZANTE EN  CUNETA INTERIOR - TECHO</v>
          </cell>
          <cell r="C771" t="str">
            <v>m2</v>
          </cell>
          <cell r="D771">
            <v>20.25</v>
          </cell>
          <cell r="E771">
            <v>42.36</v>
          </cell>
          <cell r="F771">
            <v>857.79</v>
          </cell>
          <cell r="G771">
            <v>0</v>
          </cell>
          <cell r="H771">
            <v>0</v>
          </cell>
          <cell r="I771" t="str">
            <v>0.00%</v>
          </cell>
          <cell r="J771">
            <v>0</v>
          </cell>
          <cell r="K771">
            <v>0</v>
          </cell>
          <cell r="L771" t="str">
            <v>0.00%</v>
          </cell>
          <cell r="M771">
            <v>0</v>
          </cell>
          <cell r="N771">
            <v>0</v>
          </cell>
          <cell r="O771" t="str">
            <v>0.00%</v>
          </cell>
          <cell r="P771">
            <v>20.25</v>
          </cell>
          <cell r="Q771">
            <v>857.79</v>
          </cell>
          <cell r="R771">
            <v>1</v>
          </cell>
        </row>
        <row r="772">
          <cell r="A772" t="str">
            <v>10.02.09</v>
          </cell>
          <cell r="B772" t="str">
            <v xml:space="preserve">VESTIDURA DE DERRAMES </v>
          </cell>
          <cell r="C772" t="str">
            <v>m</v>
          </cell>
          <cell r="D772">
            <v>187.4</v>
          </cell>
          <cell r="E772">
            <v>24.82</v>
          </cell>
          <cell r="F772">
            <v>4651.268</v>
          </cell>
          <cell r="G772">
            <v>0</v>
          </cell>
          <cell r="H772">
            <v>0</v>
          </cell>
          <cell r="I772" t="str">
            <v>0.00%</v>
          </cell>
          <cell r="J772">
            <v>0</v>
          </cell>
          <cell r="K772">
            <v>0</v>
          </cell>
          <cell r="L772" t="str">
            <v>0.00%</v>
          </cell>
          <cell r="M772">
            <v>0</v>
          </cell>
          <cell r="N772">
            <v>0</v>
          </cell>
          <cell r="O772" t="str">
            <v>0.00%</v>
          </cell>
          <cell r="P772">
            <v>187.4</v>
          </cell>
          <cell r="Q772">
            <v>4651.268</v>
          </cell>
          <cell r="R772">
            <v>1</v>
          </cell>
        </row>
        <row r="773">
          <cell r="A773" t="str">
            <v>10.02.10</v>
          </cell>
          <cell r="B773" t="str">
            <v>BRUÑA DE 1CM ENTRE MUROS Y ESTRUCTURAS</v>
          </cell>
          <cell r="C773" t="str">
            <v>m</v>
          </cell>
          <cell r="D773">
            <v>757.88</v>
          </cell>
          <cell r="E773">
            <v>2.08</v>
          </cell>
          <cell r="F773">
            <v>1576.3904</v>
          </cell>
          <cell r="G773">
            <v>0</v>
          </cell>
          <cell r="H773">
            <v>0</v>
          </cell>
          <cell r="I773" t="str">
            <v>0.00%</v>
          </cell>
          <cell r="J773">
            <v>77.540000000000006</v>
          </cell>
          <cell r="K773">
            <v>161.28320000000002</v>
          </cell>
          <cell r="L773">
            <v>0.10231171161661479</v>
          </cell>
          <cell r="M773">
            <v>77.540000000000006</v>
          </cell>
          <cell r="N773">
            <v>161.28320000000002</v>
          </cell>
          <cell r="O773">
            <v>0.10231171161661479</v>
          </cell>
          <cell r="P773">
            <v>680.34</v>
          </cell>
          <cell r="Q773">
            <v>1415.1071999999999</v>
          </cell>
          <cell r="R773">
            <v>0.89768828838338521</v>
          </cell>
        </row>
        <row r="774">
          <cell r="A774" t="str">
            <v>10.03</v>
          </cell>
          <cell r="B774" t="str">
            <v>ESTRUCTURAS METALICAS</v>
          </cell>
          <cell r="C774">
            <v>0</v>
          </cell>
          <cell r="D774">
            <v>0</v>
          </cell>
          <cell r="E774">
            <v>0</v>
          </cell>
          <cell r="F774">
            <v>0</v>
          </cell>
          <cell r="G774">
            <v>0</v>
          </cell>
          <cell r="H774">
            <v>0</v>
          </cell>
          <cell r="I774">
            <v>0</v>
          </cell>
          <cell r="J774">
            <v>0</v>
          </cell>
          <cell r="K774">
            <v>0</v>
          </cell>
          <cell r="L774">
            <v>0</v>
          </cell>
          <cell r="M774">
            <v>0</v>
          </cell>
          <cell r="N774">
            <v>0</v>
          </cell>
          <cell r="O774">
            <v>0</v>
          </cell>
          <cell r="P774">
            <v>0</v>
          </cell>
          <cell r="Q774">
            <v>0</v>
          </cell>
          <cell r="R774">
            <v>0</v>
          </cell>
        </row>
        <row r="775">
          <cell r="A775" t="str">
            <v>10.03.01</v>
          </cell>
          <cell r="B775" t="str">
            <v>CORREAS DE TUBO LAC 2"X2"X2mm</v>
          </cell>
          <cell r="C775" t="str">
            <v>m</v>
          </cell>
          <cell r="D775">
            <v>118.5</v>
          </cell>
          <cell r="E775">
            <v>28.38</v>
          </cell>
          <cell r="F775">
            <v>3363.0299999999997</v>
          </cell>
          <cell r="G775">
            <v>0</v>
          </cell>
          <cell r="H775">
            <v>0</v>
          </cell>
          <cell r="I775" t="str">
            <v>0.00%</v>
          </cell>
          <cell r="J775">
            <v>0</v>
          </cell>
          <cell r="K775">
            <v>0</v>
          </cell>
          <cell r="L775" t="str">
            <v>0.00%</v>
          </cell>
          <cell r="M775">
            <v>0</v>
          </cell>
          <cell r="N775">
            <v>0</v>
          </cell>
          <cell r="O775" t="str">
            <v>0.00%</v>
          </cell>
          <cell r="P775">
            <v>118.5</v>
          </cell>
          <cell r="Q775">
            <v>3363.0299999999997</v>
          </cell>
          <cell r="R775">
            <v>1</v>
          </cell>
        </row>
        <row r="776">
          <cell r="A776" t="str">
            <v>10.03.02</v>
          </cell>
          <cell r="B776" t="str">
            <v>TIJERAL TIPO - III CON TUBO RECTANGULAR LAC (SEGUN DISEÑO)</v>
          </cell>
          <cell r="C776" t="str">
            <v>und</v>
          </cell>
          <cell r="D776">
            <v>7</v>
          </cell>
          <cell r="E776">
            <v>570.22</v>
          </cell>
          <cell r="F776">
            <v>3991.54</v>
          </cell>
          <cell r="G776">
            <v>0</v>
          </cell>
          <cell r="H776">
            <v>0</v>
          </cell>
          <cell r="I776" t="str">
            <v>0.00%</v>
          </cell>
          <cell r="J776">
            <v>0</v>
          </cell>
          <cell r="K776">
            <v>0</v>
          </cell>
          <cell r="L776" t="str">
            <v>0.00%</v>
          </cell>
          <cell r="M776">
            <v>0</v>
          </cell>
          <cell r="N776">
            <v>0</v>
          </cell>
          <cell r="O776" t="str">
            <v>0.00%</v>
          </cell>
          <cell r="P776">
            <v>7</v>
          </cell>
          <cell r="Q776">
            <v>3991.54</v>
          </cell>
          <cell r="R776">
            <v>1</v>
          </cell>
        </row>
        <row r="777">
          <cell r="A777" t="str">
            <v>10.04</v>
          </cell>
          <cell r="B777" t="str">
            <v>COBERTURA</v>
          </cell>
          <cell r="C777">
            <v>0</v>
          </cell>
          <cell r="D777">
            <v>0</v>
          </cell>
          <cell r="E777">
            <v>0</v>
          </cell>
          <cell r="F777">
            <v>0</v>
          </cell>
          <cell r="G777">
            <v>0</v>
          </cell>
          <cell r="H777">
            <v>0</v>
          </cell>
          <cell r="I777">
            <v>0</v>
          </cell>
          <cell r="J777">
            <v>0</v>
          </cell>
          <cell r="K777">
            <v>0</v>
          </cell>
          <cell r="L777">
            <v>0</v>
          </cell>
          <cell r="M777">
            <v>0</v>
          </cell>
          <cell r="N777">
            <v>0</v>
          </cell>
          <cell r="O777">
            <v>0</v>
          </cell>
          <cell r="P777">
            <v>0</v>
          </cell>
          <cell r="Q777">
            <v>0</v>
          </cell>
          <cell r="R777">
            <v>0</v>
          </cell>
        </row>
        <row r="778">
          <cell r="A778" t="str">
            <v>10.04.01</v>
          </cell>
          <cell r="B778" t="str">
            <v>COBERTURA DE PLACA ONDUVILLA</v>
          </cell>
          <cell r="C778" t="str">
            <v>m2</v>
          </cell>
          <cell r="D778">
            <v>83.42</v>
          </cell>
          <cell r="E778">
            <v>147.85</v>
          </cell>
          <cell r="F778">
            <v>12333.646999999999</v>
          </cell>
          <cell r="G778">
            <v>0</v>
          </cell>
          <cell r="H778">
            <v>0</v>
          </cell>
          <cell r="I778" t="str">
            <v>0.00%</v>
          </cell>
          <cell r="J778">
            <v>0</v>
          </cell>
          <cell r="K778">
            <v>0</v>
          </cell>
          <cell r="L778" t="str">
            <v>0.00%</v>
          </cell>
          <cell r="M778">
            <v>0</v>
          </cell>
          <cell r="N778">
            <v>0</v>
          </cell>
          <cell r="O778" t="str">
            <v>0.00%</v>
          </cell>
          <cell r="P778">
            <v>83.42</v>
          </cell>
          <cell r="Q778">
            <v>12333.646999999999</v>
          </cell>
          <cell r="R778">
            <v>1</v>
          </cell>
        </row>
        <row r="779">
          <cell r="A779" t="str">
            <v>10.04.02</v>
          </cell>
          <cell r="B779" t="str">
            <v>CUMBRERA DE ONDUVILLA</v>
          </cell>
          <cell r="C779" t="str">
            <v>m</v>
          </cell>
          <cell r="D779">
            <v>12.45</v>
          </cell>
          <cell r="E779">
            <v>101.1</v>
          </cell>
          <cell r="F779">
            <v>1258.6949999999999</v>
          </cell>
          <cell r="G779">
            <v>0</v>
          </cell>
          <cell r="H779">
            <v>0</v>
          </cell>
          <cell r="I779" t="str">
            <v>0.00%</v>
          </cell>
          <cell r="J779">
            <v>0</v>
          </cell>
          <cell r="K779">
            <v>0</v>
          </cell>
          <cell r="L779" t="str">
            <v>0.00%</v>
          </cell>
          <cell r="M779">
            <v>0</v>
          </cell>
          <cell r="N779">
            <v>0</v>
          </cell>
          <cell r="O779" t="str">
            <v>0.00%</v>
          </cell>
          <cell r="P779">
            <v>12.45</v>
          </cell>
          <cell r="Q779">
            <v>1258.6949999999999</v>
          </cell>
          <cell r="R779">
            <v>1</v>
          </cell>
        </row>
        <row r="780">
          <cell r="A780" t="str">
            <v>10.04.03</v>
          </cell>
          <cell r="B780" t="str">
            <v>COBERTURA LADRILLO PASTELERO ASENTADO C/MEZCLA</v>
          </cell>
          <cell r="C780" t="str">
            <v>m2</v>
          </cell>
          <cell r="D780">
            <v>23.27</v>
          </cell>
          <cell r="E780">
            <v>45.53</v>
          </cell>
          <cell r="F780">
            <v>1059.4830999999999</v>
          </cell>
          <cell r="G780">
            <v>0</v>
          </cell>
          <cell r="H780">
            <v>0</v>
          </cell>
          <cell r="I780" t="str">
            <v>0.00%</v>
          </cell>
          <cell r="J780">
            <v>0</v>
          </cell>
          <cell r="K780">
            <v>0</v>
          </cell>
          <cell r="L780" t="str">
            <v>0.00%</v>
          </cell>
          <cell r="M780">
            <v>0</v>
          </cell>
          <cell r="N780">
            <v>0</v>
          </cell>
          <cell r="O780" t="str">
            <v>0.00%</v>
          </cell>
          <cell r="P780">
            <v>23.27</v>
          </cell>
          <cell r="Q780">
            <v>1059.4830999999999</v>
          </cell>
          <cell r="R780">
            <v>1</v>
          </cell>
        </row>
        <row r="781">
          <cell r="A781" t="str">
            <v>10.04.04</v>
          </cell>
          <cell r="B781" t="str">
            <v>COBERTURA DE POLICARBONATO ALVEOLAR TRASLUCIDO DE 6 MM.</v>
          </cell>
          <cell r="C781" t="str">
            <v>m2</v>
          </cell>
          <cell r="D781">
            <v>12.5</v>
          </cell>
          <cell r="E781">
            <v>63.81</v>
          </cell>
          <cell r="F781">
            <v>797.625</v>
          </cell>
          <cell r="G781">
            <v>0</v>
          </cell>
          <cell r="H781">
            <v>0</v>
          </cell>
          <cell r="I781" t="str">
            <v>0.00%</v>
          </cell>
          <cell r="J781">
            <v>0</v>
          </cell>
          <cell r="K781">
            <v>0</v>
          </cell>
          <cell r="L781" t="str">
            <v>0.00%</v>
          </cell>
          <cell r="M781">
            <v>0</v>
          </cell>
          <cell r="N781">
            <v>0</v>
          </cell>
          <cell r="O781" t="str">
            <v>0.00%</v>
          </cell>
          <cell r="P781">
            <v>12.5</v>
          </cell>
          <cell r="Q781">
            <v>797.625</v>
          </cell>
          <cell r="R781">
            <v>1</v>
          </cell>
        </row>
        <row r="782">
          <cell r="A782" t="str">
            <v>10.05</v>
          </cell>
          <cell r="B782" t="str">
            <v>CIELORRASOS</v>
          </cell>
          <cell r="C782">
            <v>0</v>
          </cell>
          <cell r="D782">
            <v>0</v>
          </cell>
          <cell r="E782">
            <v>0</v>
          </cell>
          <cell r="F782">
            <v>0</v>
          </cell>
          <cell r="G782">
            <v>0</v>
          </cell>
          <cell r="H782">
            <v>0</v>
          </cell>
          <cell r="I782">
            <v>0</v>
          </cell>
          <cell r="J782">
            <v>0</v>
          </cell>
          <cell r="K782">
            <v>0</v>
          </cell>
          <cell r="L782">
            <v>0</v>
          </cell>
          <cell r="M782">
            <v>0</v>
          </cell>
          <cell r="N782">
            <v>0</v>
          </cell>
          <cell r="O782">
            <v>0</v>
          </cell>
          <cell r="P782">
            <v>0</v>
          </cell>
          <cell r="Q782">
            <v>0</v>
          </cell>
          <cell r="R782">
            <v>0</v>
          </cell>
        </row>
        <row r="783">
          <cell r="A783" t="str">
            <v>10.05.01</v>
          </cell>
          <cell r="B783" t="str">
            <v>CIELORRASOS CON MEZCLA C:A 1:5 e= 1.5 CM</v>
          </cell>
          <cell r="C783" t="str">
            <v>m2</v>
          </cell>
          <cell r="D783">
            <v>245.38</v>
          </cell>
          <cell r="E783">
            <v>41.21</v>
          </cell>
          <cell r="F783">
            <v>10112.1098</v>
          </cell>
          <cell r="G783">
            <v>0</v>
          </cell>
          <cell r="H783">
            <v>0</v>
          </cell>
          <cell r="I783" t="str">
            <v>0.00%</v>
          </cell>
          <cell r="J783">
            <v>126.00119999999998</v>
          </cell>
          <cell r="K783">
            <v>5192.5094519999993</v>
          </cell>
          <cell r="L783">
            <v>0.51349417230418115</v>
          </cell>
          <cell r="M783">
            <v>126.00119999999998</v>
          </cell>
          <cell r="N783">
            <v>5192.5094519999993</v>
          </cell>
          <cell r="O783">
            <v>0.51349417230418115</v>
          </cell>
          <cell r="P783">
            <v>119.37880000000001</v>
          </cell>
          <cell r="Q783">
            <v>4919.6003480000008</v>
          </cell>
          <cell r="R783">
            <v>0.48650582769581879</v>
          </cell>
        </row>
        <row r="784">
          <cell r="A784" t="str">
            <v>10.06</v>
          </cell>
          <cell r="B784" t="str">
            <v>PISOS Y PAVIMENTOS</v>
          </cell>
          <cell r="C784">
            <v>0</v>
          </cell>
          <cell r="D784">
            <v>0</v>
          </cell>
          <cell r="E784">
            <v>0</v>
          </cell>
          <cell r="F784">
            <v>0</v>
          </cell>
          <cell r="G784">
            <v>0</v>
          </cell>
          <cell r="H784">
            <v>0</v>
          </cell>
          <cell r="I784">
            <v>0</v>
          </cell>
          <cell r="J784">
            <v>0</v>
          </cell>
          <cell r="K784">
            <v>0</v>
          </cell>
          <cell r="L784">
            <v>0</v>
          </cell>
          <cell r="M784">
            <v>0</v>
          </cell>
          <cell r="N784">
            <v>0</v>
          </cell>
          <cell r="O784">
            <v>0</v>
          </cell>
          <cell r="P784">
            <v>0</v>
          </cell>
          <cell r="Q784">
            <v>0</v>
          </cell>
          <cell r="R784">
            <v>0</v>
          </cell>
        </row>
        <row r="785">
          <cell r="A785" t="str">
            <v>10.06.01</v>
          </cell>
          <cell r="B785" t="str">
            <v>FALSO PISO DE 4" DE CONCRETO 1:10</v>
          </cell>
          <cell r="C785" t="str">
            <v>m2</v>
          </cell>
          <cell r="D785">
            <v>121.67</v>
          </cell>
          <cell r="E785">
            <v>34.700000000000003</v>
          </cell>
          <cell r="F785">
            <v>4221.9490000000005</v>
          </cell>
          <cell r="G785">
            <v>0</v>
          </cell>
          <cell r="H785">
            <v>0</v>
          </cell>
          <cell r="I785" t="str">
            <v>0.00%</v>
          </cell>
          <cell r="J785">
            <v>0</v>
          </cell>
          <cell r="K785">
            <v>0</v>
          </cell>
          <cell r="L785" t="str">
            <v>0.00%</v>
          </cell>
          <cell r="M785">
            <v>0</v>
          </cell>
          <cell r="N785">
            <v>0</v>
          </cell>
          <cell r="O785" t="str">
            <v>0.00%</v>
          </cell>
          <cell r="P785">
            <v>121.67</v>
          </cell>
          <cell r="Q785">
            <v>4221.9490000000005</v>
          </cell>
          <cell r="R785">
            <v>1</v>
          </cell>
        </row>
        <row r="786">
          <cell r="A786" t="str">
            <v>10.06.02</v>
          </cell>
          <cell r="B786" t="str">
            <v>CONTRAPISO DE 48 MM.</v>
          </cell>
          <cell r="C786" t="str">
            <v>m2</v>
          </cell>
          <cell r="D786">
            <v>243.22</v>
          </cell>
          <cell r="E786">
            <v>33.57</v>
          </cell>
          <cell r="F786">
            <v>8164.8954000000003</v>
          </cell>
          <cell r="G786">
            <v>0</v>
          </cell>
          <cell r="H786">
            <v>0</v>
          </cell>
          <cell r="I786" t="str">
            <v>0.00%</v>
          </cell>
          <cell r="J786">
            <v>0</v>
          </cell>
          <cell r="K786">
            <v>0</v>
          </cell>
          <cell r="L786" t="str">
            <v>0.00%</v>
          </cell>
          <cell r="M786">
            <v>0</v>
          </cell>
          <cell r="N786">
            <v>0</v>
          </cell>
          <cell r="O786" t="str">
            <v>0.00%</v>
          </cell>
          <cell r="P786">
            <v>243.22</v>
          </cell>
          <cell r="Q786">
            <v>8164.8954000000003</v>
          </cell>
          <cell r="R786">
            <v>1</v>
          </cell>
        </row>
        <row r="787">
          <cell r="A787" t="str">
            <v>10.06.03</v>
          </cell>
          <cell r="B787" t="str">
            <v>PISO DE PORCELANATO 0.60 x 0.60 m.</v>
          </cell>
          <cell r="C787" t="str">
            <v>m2</v>
          </cell>
          <cell r="D787">
            <v>180.74</v>
          </cell>
          <cell r="E787">
            <v>182.85</v>
          </cell>
          <cell r="F787">
            <v>33048.309000000001</v>
          </cell>
          <cell r="G787">
            <v>0</v>
          </cell>
          <cell r="H787">
            <v>0</v>
          </cell>
          <cell r="I787" t="str">
            <v>0.00%</v>
          </cell>
          <cell r="J787">
            <v>0</v>
          </cell>
          <cell r="K787">
            <v>0</v>
          </cell>
          <cell r="L787" t="str">
            <v>0.00%</v>
          </cell>
          <cell r="M787">
            <v>0</v>
          </cell>
          <cell r="N787">
            <v>0</v>
          </cell>
          <cell r="O787" t="str">
            <v>0.00%</v>
          </cell>
          <cell r="P787">
            <v>180.74</v>
          </cell>
          <cell r="Q787">
            <v>33048.309000000001</v>
          </cell>
          <cell r="R787">
            <v>1</v>
          </cell>
        </row>
        <row r="788">
          <cell r="A788" t="str">
            <v>10.06.04</v>
          </cell>
          <cell r="B788" t="str">
            <v>PISO DE CERAMICO ANTIDESLIZANTE AT. 0.40x0.40 M</v>
          </cell>
          <cell r="C788" t="str">
            <v>m2</v>
          </cell>
          <cell r="D788">
            <v>62.48</v>
          </cell>
          <cell r="E788">
            <v>56.63</v>
          </cell>
          <cell r="F788">
            <v>3538.2424000000001</v>
          </cell>
          <cell r="G788">
            <v>0</v>
          </cell>
          <cell r="H788">
            <v>0</v>
          </cell>
          <cell r="I788" t="str">
            <v>0.00%</v>
          </cell>
          <cell r="J788">
            <v>0</v>
          </cell>
          <cell r="K788">
            <v>0</v>
          </cell>
          <cell r="L788" t="str">
            <v>0.00%</v>
          </cell>
          <cell r="M788">
            <v>0</v>
          </cell>
          <cell r="N788">
            <v>0</v>
          </cell>
          <cell r="O788" t="str">
            <v>0.00%</v>
          </cell>
          <cell r="P788">
            <v>62.48</v>
          </cell>
          <cell r="Q788">
            <v>3538.2424000000001</v>
          </cell>
          <cell r="R788">
            <v>1</v>
          </cell>
        </row>
        <row r="789">
          <cell r="A789" t="str">
            <v>10.06.05</v>
          </cell>
          <cell r="B789" t="str">
            <v>PISO DE CEMENTO FROTACHADO BRUÑADO</v>
          </cell>
          <cell r="C789" t="str">
            <v>m2</v>
          </cell>
          <cell r="D789">
            <v>9.9499999999999993</v>
          </cell>
          <cell r="E789">
            <v>18.29</v>
          </cell>
          <cell r="F789">
            <v>181.98549999999997</v>
          </cell>
          <cell r="G789">
            <v>0</v>
          </cell>
          <cell r="H789">
            <v>0</v>
          </cell>
          <cell r="I789" t="str">
            <v>0.00%</v>
          </cell>
          <cell r="J789">
            <v>0</v>
          </cell>
          <cell r="K789">
            <v>0</v>
          </cell>
          <cell r="L789" t="str">
            <v>0.00%</v>
          </cell>
          <cell r="M789">
            <v>0</v>
          </cell>
          <cell r="N789">
            <v>0</v>
          </cell>
          <cell r="O789" t="str">
            <v>0.00%</v>
          </cell>
          <cell r="P789">
            <v>9.9499999999999993</v>
          </cell>
          <cell r="Q789">
            <v>181.98549999999997</v>
          </cell>
          <cell r="R789">
            <v>1</v>
          </cell>
        </row>
        <row r="790">
          <cell r="A790" t="str">
            <v>10.06.06</v>
          </cell>
          <cell r="B790" t="str">
            <v>COLOCACION DE BLOQUE DE VIDRIO 30 x 30 x 8 CM. PARA PISO</v>
          </cell>
          <cell r="C790" t="str">
            <v>und</v>
          </cell>
          <cell r="D790">
            <v>8</v>
          </cell>
          <cell r="E790">
            <v>20.87</v>
          </cell>
          <cell r="F790">
            <v>166.96</v>
          </cell>
          <cell r="G790">
            <v>0</v>
          </cell>
          <cell r="H790">
            <v>0</v>
          </cell>
          <cell r="I790" t="str">
            <v>0.00%</v>
          </cell>
          <cell r="J790">
            <v>0</v>
          </cell>
          <cell r="K790">
            <v>0</v>
          </cell>
          <cell r="L790" t="str">
            <v>0.00%</v>
          </cell>
          <cell r="M790">
            <v>0</v>
          </cell>
          <cell r="N790">
            <v>0</v>
          </cell>
          <cell r="O790" t="str">
            <v>0.00%</v>
          </cell>
          <cell r="P790">
            <v>8</v>
          </cell>
          <cell r="Q790">
            <v>166.96</v>
          </cell>
          <cell r="R790">
            <v>1</v>
          </cell>
        </row>
        <row r="791">
          <cell r="A791" t="str">
            <v>10.07</v>
          </cell>
          <cell r="B791" t="str">
            <v>VEREDA</v>
          </cell>
          <cell r="C791">
            <v>0</v>
          </cell>
          <cell r="D791">
            <v>0</v>
          </cell>
          <cell r="E791">
            <v>0</v>
          </cell>
          <cell r="F791">
            <v>0</v>
          </cell>
          <cell r="G791">
            <v>0</v>
          </cell>
          <cell r="H791">
            <v>0</v>
          </cell>
          <cell r="I791">
            <v>0</v>
          </cell>
          <cell r="J791">
            <v>0</v>
          </cell>
          <cell r="K791">
            <v>0</v>
          </cell>
          <cell r="L791">
            <v>0</v>
          </cell>
          <cell r="M791">
            <v>0</v>
          </cell>
          <cell r="N791">
            <v>0</v>
          </cell>
          <cell r="O791">
            <v>0</v>
          </cell>
          <cell r="P791">
            <v>0</v>
          </cell>
          <cell r="Q791">
            <v>0</v>
          </cell>
          <cell r="R791">
            <v>0</v>
          </cell>
        </row>
        <row r="792">
          <cell r="A792" t="str">
            <v>10.07.01</v>
          </cell>
          <cell r="B792" t="str">
            <v>AFIRMADO DE 4" PARA VEREDAS</v>
          </cell>
          <cell r="C792" t="str">
            <v>m2</v>
          </cell>
          <cell r="D792">
            <v>9.9499999999999993</v>
          </cell>
          <cell r="E792">
            <v>11.27</v>
          </cell>
          <cell r="F792">
            <v>112.13649999999998</v>
          </cell>
          <cell r="G792">
            <v>0</v>
          </cell>
          <cell r="H792">
            <v>0</v>
          </cell>
          <cell r="I792" t="str">
            <v>0.00%</v>
          </cell>
          <cell r="J792">
            <v>0</v>
          </cell>
          <cell r="K792">
            <v>0</v>
          </cell>
          <cell r="L792" t="str">
            <v>0.00%</v>
          </cell>
          <cell r="M792">
            <v>0</v>
          </cell>
          <cell r="N792">
            <v>0</v>
          </cell>
          <cell r="O792" t="str">
            <v>0.00%</v>
          </cell>
          <cell r="P792">
            <v>9.9499999999999993</v>
          </cell>
          <cell r="Q792">
            <v>112.13649999999998</v>
          </cell>
          <cell r="R792">
            <v>1</v>
          </cell>
        </row>
        <row r="793">
          <cell r="A793" t="str">
            <v>10.07.02</v>
          </cell>
          <cell r="B793" t="str">
            <v>VEREDA DE CONCRETO F'C= 175 KG/CM2.</v>
          </cell>
          <cell r="C793" t="str">
            <v>m2</v>
          </cell>
          <cell r="D793">
            <v>9.9499999999999993</v>
          </cell>
          <cell r="E793">
            <v>64.63</v>
          </cell>
          <cell r="F793">
            <v>643.06849999999986</v>
          </cell>
          <cell r="G793">
            <v>0</v>
          </cell>
          <cell r="H793">
            <v>0</v>
          </cell>
          <cell r="I793" t="str">
            <v>0.00%</v>
          </cell>
          <cell r="J793">
            <v>0</v>
          </cell>
          <cell r="K793">
            <v>0</v>
          </cell>
          <cell r="L793" t="str">
            <v>0.00%</v>
          </cell>
          <cell r="M793">
            <v>0</v>
          </cell>
          <cell r="N793">
            <v>0</v>
          </cell>
          <cell r="O793" t="str">
            <v>0.00%</v>
          </cell>
          <cell r="P793">
            <v>9.9499999999999993</v>
          </cell>
          <cell r="Q793">
            <v>643.06849999999986</v>
          </cell>
          <cell r="R793">
            <v>1</v>
          </cell>
        </row>
        <row r="794">
          <cell r="A794" t="str">
            <v>10.07.03</v>
          </cell>
          <cell r="B794" t="str">
            <v>ENCOFRADO Y DESENCOFRADO DE VEREDA</v>
          </cell>
          <cell r="C794" t="str">
            <v>m2</v>
          </cell>
          <cell r="D794">
            <v>6.49</v>
          </cell>
          <cell r="E794">
            <v>45.51</v>
          </cell>
          <cell r="F794">
            <v>295.35989999999998</v>
          </cell>
          <cell r="G794">
            <v>0</v>
          </cell>
          <cell r="H794">
            <v>0</v>
          </cell>
          <cell r="I794" t="str">
            <v>0.00%</v>
          </cell>
          <cell r="J794">
            <v>0</v>
          </cell>
          <cell r="K794">
            <v>0</v>
          </cell>
          <cell r="L794" t="str">
            <v>0.00%</v>
          </cell>
          <cell r="M794">
            <v>0</v>
          </cell>
          <cell r="N794">
            <v>0</v>
          </cell>
          <cell r="O794" t="str">
            <v>0.00%</v>
          </cell>
          <cell r="P794">
            <v>6.49</v>
          </cell>
          <cell r="Q794">
            <v>295.35989999999998</v>
          </cell>
          <cell r="R794">
            <v>1</v>
          </cell>
        </row>
        <row r="795">
          <cell r="A795" t="str">
            <v>10.08</v>
          </cell>
          <cell r="B795" t="str">
            <v>ZOCALOS Y CONTRAZOCALOS</v>
          </cell>
          <cell r="C795">
            <v>0</v>
          </cell>
          <cell r="D795">
            <v>0</v>
          </cell>
          <cell r="E795">
            <v>0</v>
          </cell>
          <cell r="F795">
            <v>0</v>
          </cell>
          <cell r="G795">
            <v>0</v>
          </cell>
          <cell r="H795">
            <v>0</v>
          </cell>
          <cell r="I795">
            <v>0</v>
          </cell>
          <cell r="J795">
            <v>0</v>
          </cell>
          <cell r="K795">
            <v>0</v>
          </cell>
          <cell r="L795">
            <v>0</v>
          </cell>
          <cell r="M795">
            <v>0</v>
          </cell>
          <cell r="N795">
            <v>0</v>
          </cell>
          <cell r="O795">
            <v>0</v>
          </cell>
          <cell r="P795">
            <v>0</v>
          </cell>
          <cell r="Q795">
            <v>0</v>
          </cell>
          <cell r="R795">
            <v>0</v>
          </cell>
        </row>
        <row r="796">
          <cell r="A796" t="str">
            <v>10.08.01</v>
          </cell>
          <cell r="B796" t="str">
            <v>ZOCALO DE CERAMICO 0.30 x 0.20 M</v>
          </cell>
          <cell r="C796" t="str">
            <v>m2</v>
          </cell>
          <cell r="D796">
            <v>39.299999999999997</v>
          </cell>
          <cell r="E796">
            <v>64.3</v>
          </cell>
          <cell r="F796">
            <v>2526.9899999999998</v>
          </cell>
          <cell r="G796">
            <v>0</v>
          </cell>
          <cell r="H796">
            <v>0</v>
          </cell>
          <cell r="I796" t="str">
            <v>0.00%</v>
          </cell>
          <cell r="J796">
            <v>0</v>
          </cell>
          <cell r="K796">
            <v>0</v>
          </cell>
          <cell r="L796" t="str">
            <v>0.00%</v>
          </cell>
          <cell r="M796">
            <v>0</v>
          </cell>
          <cell r="N796">
            <v>0</v>
          </cell>
          <cell r="O796" t="str">
            <v>0.00%</v>
          </cell>
          <cell r="P796">
            <v>39.299999999999997</v>
          </cell>
          <cell r="Q796">
            <v>2526.9899999999998</v>
          </cell>
          <cell r="R796">
            <v>1</v>
          </cell>
        </row>
        <row r="797">
          <cell r="A797" t="str">
            <v>10.08.02</v>
          </cell>
          <cell r="B797" t="str">
            <v>ZOCALO DE CEMENTO PULIDO C/MORTERO 1:5 DE 2CM. DE H= 40 CM. - EXTERIOR</v>
          </cell>
          <cell r="C797" t="str">
            <v>m</v>
          </cell>
          <cell r="D797">
            <v>19.899999999999999</v>
          </cell>
          <cell r="E797">
            <v>13.08</v>
          </cell>
          <cell r="F797">
            <v>260.29199999999997</v>
          </cell>
          <cell r="G797">
            <v>0</v>
          </cell>
          <cell r="H797">
            <v>0</v>
          </cell>
          <cell r="I797" t="str">
            <v>0.00%</v>
          </cell>
          <cell r="J797">
            <v>0</v>
          </cell>
          <cell r="K797">
            <v>0</v>
          </cell>
          <cell r="L797" t="str">
            <v>0.00%</v>
          </cell>
          <cell r="M797">
            <v>0</v>
          </cell>
          <cell r="N797">
            <v>0</v>
          </cell>
          <cell r="O797" t="str">
            <v>0.00%</v>
          </cell>
          <cell r="P797">
            <v>19.899999999999999</v>
          </cell>
          <cell r="Q797">
            <v>260.29199999999997</v>
          </cell>
          <cell r="R797">
            <v>1</v>
          </cell>
        </row>
        <row r="798">
          <cell r="A798" t="str">
            <v>10.08.03</v>
          </cell>
          <cell r="B798" t="str">
            <v>CONTRAZOCALO DE CERAMICO DE 40 x 40 CM. H=10CM. - INTERIOR</v>
          </cell>
          <cell r="C798" t="str">
            <v>m</v>
          </cell>
          <cell r="D798">
            <v>61.49</v>
          </cell>
          <cell r="E798">
            <v>14.75</v>
          </cell>
          <cell r="F798">
            <v>906.97750000000008</v>
          </cell>
          <cell r="G798">
            <v>0</v>
          </cell>
          <cell r="H798">
            <v>0</v>
          </cell>
          <cell r="I798" t="str">
            <v>0.00%</v>
          </cell>
          <cell r="J798">
            <v>0</v>
          </cell>
          <cell r="K798">
            <v>0</v>
          </cell>
          <cell r="L798" t="str">
            <v>0.00%</v>
          </cell>
          <cell r="M798">
            <v>0</v>
          </cell>
          <cell r="N798">
            <v>0</v>
          </cell>
          <cell r="O798" t="str">
            <v>0.00%</v>
          </cell>
          <cell r="P798">
            <v>61.49</v>
          </cell>
          <cell r="Q798">
            <v>906.97750000000008</v>
          </cell>
          <cell r="R798">
            <v>1</v>
          </cell>
        </row>
        <row r="799">
          <cell r="A799" t="str">
            <v>10.08.04</v>
          </cell>
          <cell r="B799" t="str">
            <v>CONTRAZOCALO DE PORCELANATO H=0.10M</v>
          </cell>
          <cell r="C799" t="str">
            <v>m</v>
          </cell>
          <cell r="D799">
            <v>82.7</v>
          </cell>
          <cell r="E799">
            <v>22.15</v>
          </cell>
          <cell r="F799">
            <v>1831.8049999999998</v>
          </cell>
          <cell r="G799">
            <v>0</v>
          </cell>
          <cell r="H799">
            <v>0</v>
          </cell>
          <cell r="I799" t="str">
            <v>0.00%</v>
          </cell>
          <cell r="J799">
            <v>0</v>
          </cell>
          <cell r="K799">
            <v>0</v>
          </cell>
          <cell r="L799" t="str">
            <v>0.00%</v>
          </cell>
          <cell r="M799">
            <v>0</v>
          </cell>
          <cell r="N799">
            <v>0</v>
          </cell>
          <cell r="O799" t="str">
            <v>0.00%</v>
          </cell>
          <cell r="P799">
            <v>82.7</v>
          </cell>
          <cell r="Q799">
            <v>1831.8049999999998</v>
          </cell>
          <cell r="R799">
            <v>1</v>
          </cell>
        </row>
        <row r="800">
          <cell r="A800" t="str">
            <v>10.09</v>
          </cell>
          <cell r="B800" t="str">
            <v>CARPINTERIA DE MADERA</v>
          </cell>
          <cell r="C800">
            <v>0</v>
          </cell>
          <cell r="D800">
            <v>0</v>
          </cell>
          <cell r="E800">
            <v>0</v>
          </cell>
          <cell r="F800">
            <v>0</v>
          </cell>
          <cell r="G800">
            <v>0</v>
          </cell>
          <cell r="H800">
            <v>0</v>
          </cell>
          <cell r="I800">
            <v>0</v>
          </cell>
          <cell r="J800">
            <v>0</v>
          </cell>
          <cell r="K800">
            <v>0</v>
          </cell>
          <cell r="L800">
            <v>0</v>
          </cell>
          <cell r="M800">
            <v>0</v>
          </cell>
          <cell r="N800">
            <v>0</v>
          </cell>
          <cell r="O800">
            <v>0</v>
          </cell>
          <cell r="P800">
            <v>0</v>
          </cell>
          <cell r="Q800">
            <v>0</v>
          </cell>
          <cell r="R800">
            <v>0</v>
          </cell>
        </row>
        <row r="801">
          <cell r="A801" t="str">
            <v>10.09.01</v>
          </cell>
          <cell r="B801" t="str">
            <v>PUERTA DE MADERA MACHIMBRADA C/SOBRE LUZ</v>
          </cell>
          <cell r="C801" t="str">
            <v>m2</v>
          </cell>
          <cell r="D801">
            <v>20.34</v>
          </cell>
          <cell r="E801">
            <v>340.61</v>
          </cell>
          <cell r="F801">
            <v>6928.0074000000004</v>
          </cell>
          <cell r="G801">
            <v>0</v>
          </cell>
          <cell r="H801">
            <v>0</v>
          </cell>
          <cell r="I801" t="str">
            <v>0.00%</v>
          </cell>
          <cell r="J801">
            <v>0</v>
          </cell>
          <cell r="K801">
            <v>0</v>
          </cell>
          <cell r="L801" t="str">
            <v>0.00%</v>
          </cell>
          <cell r="M801">
            <v>0</v>
          </cell>
          <cell r="N801">
            <v>0</v>
          </cell>
          <cell r="O801" t="str">
            <v>0.00%</v>
          </cell>
          <cell r="P801">
            <v>20.34</v>
          </cell>
          <cell r="Q801">
            <v>6928.0074000000004</v>
          </cell>
          <cell r="R801">
            <v>1</v>
          </cell>
        </row>
        <row r="802">
          <cell r="A802" t="str">
            <v>10.09.02</v>
          </cell>
          <cell r="B802" t="str">
            <v>PUERTA DE MADERA DOBLE HOJA MACHIMBRADA C/SOBRE LUZ</v>
          </cell>
          <cell r="C802" t="str">
            <v>m2</v>
          </cell>
          <cell r="D802">
            <v>9.1199999999999992</v>
          </cell>
          <cell r="E802">
            <v>340.61</v>
          </cell>
          <cell r="F802">
            <v>3106.3631999999998</v>
          </cell>
          <cell r="G802">
            <v>0</v>
          </cell>
          <cell r="H802">
            <v>0</v>
          </cell>
          <cell r="I802" t="str">
            <v>0.00%</v>
          </cell>
          <cell r="J802">
            <v>0</v>
          </cell>
          <cell r="K802">
            <v>0</v>
          </cell>
          <cell r="L802" t="str">
            <v>0.00%</v>
          </cell>
          <cell r="M802">
            <v>0</v>
          </cell>
          <cell r="N802">
            <v>0</v>
          </cell>
          <cell r="O802" t="str">
            <v>0.00%</v>
          </cell>
          <cell r="P802">
            <v>9.1199999999999992</v>
          </cell>
          <cell r="Q802">
            <v>3106.3631999999998</v>
          </cell>
          <cell r="R802">
            <v>1</v>
          </cell>
        </row>
        <row r="803">
          <cell r="A803" t="str">
            <v>10.10</v>
          </cell>
          <cell r="B803" t="str">
            <v>CERRAJERIA</v>
          </cell>
          <cell r="C803">
            <v>0</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row>
        <row r="804">
          <cell r="A804" t="str">
            <v>10.10.01</v>
          </cell>
          <cell r="B804" t="str">
            <v>BISAGRA CAPUCHINA DE 4"</v>
          </cell>
          <cell r="C804" t="str">
            <v>und</v>
          </cell>
          <cell r="D804">
            <v>48</v>
          </cell>
          <cell r="E804">
            <v>15.83</v>
          </cell>
          <cell r="F804">
            <v>759.84</v>
          </cell>
          <cell r="G804">
            <v>0</v>
          </cell>
          <cell r="H804">
            <v>0</v>
          </cell>
          <cell r="I804" t="str">
            <v>0.00%</v>
          </cell>
          <cell r="J804">
            <v>0</v>
          </cell>
          <cell r="K804">
            <v>0</v>
          </cell>
          <cell r="L804" t="str">
            <v>0.00%</v>
          </cell>
          <cell r="M804">
            <v>0</v>
          </cell>
          <cell r="N804">
            <v>0</v>
          </cell>
          <cell r="O804" t="str">
            <v>0.00%</v>
          </cell>
          <cell r="P804">
            <v>48</v>
          </cell>
          <cell r="Q804">
            <v>759.84</v>
          </cell>
          <cell r="R804">
            <v>1</v>
          </cell>
        </row>
        <row r="805">
          <cell r="A805" t="str">
            <v>10.10.02</v>
          </cell>
          <cell r="B805" t="str">
            <v>CERRADURA PARA PUERTA DE TRES GOLPES</v>
          </cell>
          <cell r="C805" t="str">
            <v>und</v>
          </cell>
          <cell r="D805">
            <v>2</v>
          </cell>
          <cell r="E805">
            <v>137.22999999999999</v>
          </cell>
          <cell r="F805">
            <v>274.45999999999998</v>
          </cell>
          <cell r="G805">
            <v>0</v>
          </cell>
          <cell r="H805">
            <v>0</v>
          </cell>
          <cell r="I805" t="str">
            <v>0.00%</v>
          </cell>
          <cell r="J805">
            <v>0</v>
          </cell>
          <cell r="K805">
            <v>0</v>
          </cell>
          <cell r="L805" t="str">
            <v>0.00%</v>
          </cell>
          <cell r="M805">
            <v>0</v>
          </cell>
          <cell r="N805">
            <v>0</v>
          </cell>
          <cell r="O805" t="str">
            <v>0.00%</v>
          </cell>
          <cell r="P805">
            <v>2</v>
          </cell>
          <cell r="Q805">
            <v>274.45999999999998</v>
          </cell>
          <cell r="R805">
            <v>1</v>
          </cell>
        </row>
        <row r="806">
          <cell r="A806" t="str">
            <v>10.10.03</v>
          </cell>
          <cell r="B806" t="str">
            <v>CERRADURA DE PERILLA CON SEGURIDAD INTERIOR</v>
          </cell>
          <cell r="C806" t="str">
            <v>und</v>
          </cell>
          <cell r="D806">
            <v>8</v>
          </cell>
          <cell r="E806">
            <v>92.23</v>
          </cell>
          <cell r="F806">
            <v>737.84</v>
          </cell>
          <cell r="G806">
            <v>0</v>
          </cell>
          <cell r="H806">
            <v>0</v>
          </cell>
          <cell r="I806" t="str">
            <v>0.00%</v>
          </cell>
          <cell r="J806">
            <v>0</v>
          </cell>
          <cell r="K806">
            <v>0</v>
          </cell>
          <cell r="L806" t="str">
            <v>0.00%</v>
          </cell>
          <cell r="M806">
            <v>0</v>
          </cell>
          <cell r="N806">
            <v>0</v>
          </cell>
          <cell r="O806" t="str">
            <v>0.00%</v>
          </cell>
          <cell r="P806">
            <v>8</v>
          </cell>
          <cell r="Q806">
            <v>737.84</v>
          </cell>
          <cell r="R806">
            <v>1</v>
          </cell>
        </row>
        <row r="807">
          <cell r="A807" t="str">
            <v>10.11</v>
          </cell>
          <cell r="B807" t="str">
            <v>VIDRIOS, CRISTALES Y SIMILARES</v>
          </cell>
          <cell r="C807">
            <v>0</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row>
        <row r="808">
          <cell r="A808" t="str">
            <v>10.11.01</v>
          </cell>
          <cell r="B808" t="str">
            <v>VIDRIO (8MM.) SISTEMA NOVA INC. ACCESORIOS</v>
          </cell>
          <cell r="C808" t="str">
            <v>p2</v>
          </cell>
          <cell r="D808">
            <v>433.79</v>
          </cell>
          <cell r="E808">
            <v>18.54</v>
          </cell>
          <cell r="F808">
            <v>8042.4665999999997</v>
          </cell>
          <cell r="G808">
            <v>0</v>
          </cell>
          <cell r="H808">
            <v>0</v>
          </cell>
          <cell r="I808" t="str">
            <v>0.00%</v>
          </cell>
          <cell r="J808">
            <v>0</v>
          </cell>
          <cell r="K808">
            <v>0</v>
          </cell>
          <cell r="L808" t="str">
            <v>0.00%</v>
          </cell>
          <cell r="M808">
            <v>0</v>
          </cell>
          <cell r="N808">
            <v>0</v>
          </cell>
          <cell r="O808" t="str">
            <v>0.00%</v>
          </cell>
          <cell r="P808">
            <v>433.79</v>
          </cell>
          <cell r="Q808">
            <v>8042.4665999999997</v>
          </cell>
          <cell r="R808">
            <v>1</v>
          </cell>
        </row>
        <row r="809">
          <cell r="A809" t="str">
            <v>10.11.02</v>
          </cell>
          <cell r="B809" t="str">
            <v>VIDRIO CRUDO INCOLORO DE 6MM.</v>
          </cell>
          <cell r="C809" t="str">
            <v>p2</v>
          </cell>
          <cell r="D809">
            <v>52.54</v>
          </cell>
          <cell r="E809">
            <v>9.51</v>
          </cell>
          <cell r="F809">
            <v>499.65539999999999</v>
          </cell>
          <cell r="G809">
            <v>0</v>
          </cell>
          <cell r="H809">
            <v>0</v>
          </cell>
          <cell r="I809" t="str">
            <v>0.00%</v>
          </cell>
          <cell r="J809">
            <v>0</v>
          </cell>
          <cell r="K809">
            <v>0</v>
          </cell>
          <cell r="L809" t="str">
            <v>0.00%</v>
          </cell>
          <cell r="M809">
            <v>0</v>
          </cell>
          <cell r="N809">
            <v>0</v>
          </cell>
          <cell r="O809" t="str">
            <v>0.00%</v>
          </cell>
          <cell r="P809">
            <v>52.54</v>
          </cell>
          <cell r="Q809">
            <v>499.65539999999999</v>
          </cell>
          <cell r="R809">
            <v>1</v>
          </cell>
        </row>
        <row r="810">
          <cell r="A810" t="str">
            <v>10.11.03</v>
          </cell>
          <cell r="B810" t="str">
            <v>MURO CON BLOQUE DE VIDRIO S/DETALLE</v>
          </cell>
          <cell r="C810" t="str">
            <v>m2</v>
          </cell>
          <cell r="D810">
            <v>2.2400000000000002</v>
          </cell>
          <cell r="E810">
            <v>216.65</v>
          </cell>
          <cell r="F810">
            <v>485.29600000000005</v>
          </cell>
          <cell r="G810">
            <v>0</v>
          </cell>
          <cell r="H810">
            <v>0</v>
          </cell>
          <cell r="I810" t="str">
            <v>0.00%</v>
          </cell>
          <cell r="J810">
            <v>0</v>
          </cell>
          <cell r="K810">
            <v>0</v>
          </cell>
          <cell r="L810" t="str">
            <v>0.00%</v>
          </cell>
          <cell r="M810">
            <v>0</v>
          </cell>
          <cell r="N810">
            <v>0</v>
          </cell>
          <cell r="O810" t="str">
            <v>0.00%</v>
          </cell>
          <cell r="P810">
            <v>2.2400000000000002</v>
          </cell>
          <cell r="Q810">
            <v>485.29600000000005</v>
          </cell>
          <cell r="R810">
            <v>1</v>
          </cell>
        </row>
        <row r="811">
          <cell r="A811" t="str">
            <v>10.12</v>
          </cell>
          <cell r="B811" t="str">
            <v>PINTURA</v>
          </cell>
          <cell r="C811">
            <v>0</v>
          </cell>
          <cell r="D811">
            <v>0</v>
          </cell>
          <cell r="E811">
            <v>0</v>
          </cell>
          <cell r="F811">
            <v>0</v>
          </cell>
          <cell r="G811">
            <v>0</v>
          </cell>
          <cell r="H811">
            <v>0</v>
          </cell>
          <cell r="I811">
            <v>0</v>
          </cell>
          <cell r="J811">
            <v>0</v>
          </cell>
          <cell r="K811">
            <v>0</v>
          </cell>
          <cell r="L811">
            <v>0</v>
          </cell>
          <cell r="M811">
            <v>0</v>
          </cell>
          <cell r="N811">
            <v>0</v>
          </cell>
          <cell r="O811">
            <v>0</v>
          </cell>
          <cell r="P811">
            <v>0</v>
          </cell>
          <cell r="Q811">
            <v>0</v>
          </cell>
          <cell r="R811">
            <v>0</v>
          </cell>
        </row>
        <row r="812">
          <cell r="A812" t="str">
            <v>10.12.01</v>
          </cell>
          <cell r="B812" t="str">
            <v>PINTURA EN CIELORRASO</v>
          </cell>
          <cell r="C812" t="str">
            <v>m2</v>
          </cell>
          <cell r="D812">
            <v>245.38</v>
          </cell>
          <cell r="E812">
            <v>12.59</v>
          </cell>
          <cell r="F812">
            <v>3089.3341999999998</v>
          </cell>
          <cell r="G812">
            <v>0</v>
          </cell>
          <cell r="H812">
            <v>0</v>
          </cell>
          <cell r="I812" t="str">
            <v>0.00%</v>
          </cell>
          <cell r="J812">
            <v>0</v>
          </cell>
          <cell r="K812">
            <v>0</v>
          </cell>
          <cell r="L812" t="str">
            <v>0.00%</v>
          </cell>
          <cell r="M812">
            <v>0</v>
          </cell>
          <cell r="N812">
            <v>0</v>
          </cell>
          <cell r="O812" t="str">
            <v>0.00%</v>
          </cell>
          <cell r="P812">
            <v>245.38</v>
          </cell>
          <cell r="Q812">
            <v>3089.3341999999998</v>
          </cell>
          <cell r="R812">
            <v>1</v>
          </cell>
        </row>
        <row r="813">
          <cell r="A813" t="str">
            <v>10.12.02</v>
          </cell>
          <cell r="B813" t="str">
            <v xml:space="preserve">PINTURA EN INTERIORES </v>
          </cell>
          <cell r="C813" t="str">
            <v>m2</v>
          </cell>
          <cell r="D813">
            <v>412.11</v>
          </cell>
          <cell r="E813">
            <v>9.6999999999999993</v>
          </cell>
          <cell r="F813">
            <v>3997.4669999999996</v>
          </cell>
          <cell r="G813">
            <v>0</v>
          </cell>
          <cell r="H813">
            <v>0</v>
          </cell>
          <cell r="I813" t="str">
            <v>0.00%</v>
          </cell>
          <cell r="J813">
            <v>0</v>
          </cell>
          <cell r="K813">
            <v>0</v>
          </cell>
          <cell r="L813" t="str">
            <v>0.00%</v>
          </cell>
          <cell r="M813">
            <v>0</v>
          </cell>
          <cell r="N813">
            <v>0</v>
          </cell>
          <cell r="O813" t="str">
            <v>0.00%</v>
          </cell>
          <cell r="P813">
            <v>412.11</v>
          </cell>
          <cell r="Q813">
            <v>3997.4669999999996</v>
          </cell>
          <cell r="R813">
            <v>1</v>
          </cell>
        </row>
        <row r="814">
          <cell r="A814" t="str">
            <v>10.12.03</v>
          </cell>
          <cell r="B814" t="str">
            <v>PINTURA EN EXTERIORES</v>
          </cell>
          <cell r="C814" t="str">
            <v>m2</v>
          </cell>
          <cell r="D814">
            <v>166.27</v>
          </cell>
          <cell r="E814">
            <v>19.04</v>
          </cell>
          <cell r="F814">
            <v>3165.7808</v>
          </cell>
          <cell r="G814">
            <v>0</v>
          </cell>
          <cell r="H814">
            <v>0</v>
          </cell>
          <cell r="I814" t="str">
            <v>0.00%</v>
          </cell>
          <cell r="J814">
            <v>0</v>
          </cell>
          <cell r="K814">
            <v>0</v>
          </cell>
          <cell r="L814" t="str">
            <v>0.00%</v>
          </cell>
          <cell r="M814">
            <v>0</v>
          </cell>
          <cell r="N814">
            <v>0</v>
          </cell>
          <cell r="O814" t="str">
            <v>0.00%</v>
          </cell>
          <cell r="P814">
            <v>166.27</v>
          </cell>
          <cell r="Q814">
            <v>3165.7808</v>
          </cell>
          <cell r="R814">
            <v>1</v>
          </cell>
        </row>
        <row r="815">
          <cell r="A815" t="str">
            <v>10.12.04</v>
          </cell>
          <cell r="B815" t="str">
            <v>PINTURA EN COLUMNAS</v>
          </cell>
          <cell r="C815" t="str">
            <v>m2</v>
          </cell>
          <cell r="D815">
            <v>213.37</v>
          </cell>
          <cell r="E815">
            <v>10.35</v>
          </cell>
          <cell r="F815">
            <v>2208.3795</v>
          </cell>
          <cell r="G815">
            <v>0</v>
          </cell>
          <cell r="H815">
            <v>0</v>
          </cell>
          <cell r="I815" t="str">
            <v>0.00%</v>
          </cell>
          <cell r="J815">
            <v>0</v>
          </cell>
          <cell r="K815">
            <v>0</v>
          </cell>
          <cell r="L815" t="str">
            <v>0.00%</v>
          </cell>
          <cell r="M815">
            <v>0</v>
          </cell>
          <cell r="N815">
            <v>0</v>
          </cell>
          <cell r="O815" t="str">
            <v>0.00%</v>
          </cell>
          <cell r="P815">
            <v>213.37</v>
          </cell>
          <cell r="Q815">
            <v>2208.3795</v>
          </cell>
          <cell r="R815">
            <v>1</v>
          </cell>
        </row>
        <row r="816">
          <cell r="A816" t="str">
            <v>10.12.05</v>
          </cell>
          <cell r="B816" t="str">
            <v>PINTURA EN VIGA</v>
          </cell>
          <cell r="C816" t="str">
            <v>m2</v>
          </cell>
          <cell r="D816">
            <v>173.03</v>
          </cell>
          <cell r="E816">
            <v>10.35</v>
          </cell>
          <cell r="F816">
            <v>1790.8605</v>
          </cell>
          <cell r="G816">
            <v>0</v>
          </cell>
          <cell r="H816">
            <v>0</v>
          </cell>
          <cell r="I816" t="str">
            <v>0.00%</v>
          </cell>
          <cell r="J816">
            <v>0</v>
          </cell>
          <cell r="K816">
            <v>0</v>
          </cell>
          <cell r="L816" t="str">
            <v>0.00%</v>
          </cell>
          <cell r="M816">
            <v>0</v>
          </cell>
          <cell r="N816">
            <v>0</v>
          </cell>
          <cell r="O816" t="str">
            <v>0.00%</v>
          </cell>
          <cell r="P816">
            <v>173.03</v>
          </cell>
          <cell r="Q816">
            <v>1790.8605</v>
          </cell>
          <cell r="R816">
            <v>1</v>
          </cell>
        </row>
        <row r="817">
          <cell r="A817" t="str">
            <v>10.12.06</v>
          </cell>
          <cell r="B817" t="str">
            <v>PINTURA EN CUNETA DE EVACUACION PLUVIAL EN TECHO</v>
          </cell>
          <cell r="C817" t="str">
            <v>m2</v>
          </cell>
          <cell r="D817">
            <v>28.18</v>
          </cell>
          <cell r="E817">
            <v>9.25</v>
          </cell>
          <cell r="F817">
            <v>260.66500000000002</v>
          </cell>
          <cell r="G817">
            <v>0</v>
          </cell>
          <cell r="H817">
            <v>0</v>
          </cell>
          <cell r="I817" t="str">
            <v>0.00%</v>
          </cell>
          <cell r="J817">
            <v>0</v>
          </cell>
          <cell r="K817">
            <v>0</v>
          </cell>
          <cell r="L817" t="str">
            <v>0.00%</v>
          </cell>
          <cell r="M817">
            <v>0</v>
          </cell>
          <cell r="N817">
            <v>0</v>
          </cell>
          <cell r="O817" t="str">
            <v>0.00%</v>
          </cell>
          <cell r="P817">
            <v>28.18</v>
          </cell>
          <cell r="Q817">
            <v>260.66500000000002</v>
          </cell>
          <cell r="R817">
            <v>1</v>
          </cell>
        </row>
        <row r="818">
          <cell r="A818" t="str">
            <v>10.12.07</v>
          </cell>
          <cell r="B818" t="str">
            <v>PINTURA EN CONTRAZOCALOS Y ZOCALOS H= 0.40M C/ESMALTE</v>
          </cell>
          <cell r="C818" t="str">
            <v>m</v>
          </cell>
          <cell r="D818">
            <v>19.899999999999999</v>
          </cell>
          <cell r="E818">
            <v>7.19</v>
          </cell>
          <cell r="F818">
            <v>143.08099999999999</v>
          </cell>
          <cell r="G818">
            <v>0</v>
          </cell>
          <cell r="H818">
            <v>0</v>
          </cell>
          <cell r="I818" t="str">
            <v>0.00%</v>
          </cell>
          <cell r="J818">
            <v>0</v>
          </cell>
          <cell r="K818">
            <v>0</v>
          </cell>
          <cell r="L818" t="str">
            <v>0.00%</v>
          </cell>
          <cell r="M818">
            <v>0</v>
          </cell>
          <cell r="N818">
            <v>0</v>
          </cell>
          <cell r="O818" t="str">
            <v>0.00%</v>
          </cell>
          <cell r="P818">
            <v>19.899999999999999</v>
          </cell>
          <cell r="Q818">
            <v>143.08099999999999</v>
          </cell>
          <cell r="R818">
            <v>1</v>
          </cell>
        </row>
        <row r="819">
          <cell r="A819" t="str">
            <v>10.12.08</v>
          </cell>
          <cell r="B819" t="str">
            <v>PINTURA EN PUERTAS C/BARNIZ 2 MANOS</v>
          </cell>
          <cell r="C819" t="str">
            <v>m2</v>
          </cell>
          <cell r="D819">
            <v>29.46</v>
          </cell>
          <cell r="E819">
            <v>12.86</v>
          </cell>
          <cell r="F819">
            <v>378.85559999999998</v>
          </cell>
          <cell r="G819">
            <v>0</v>
          </cell>
          <cell r="H819">
            <v>0</v>
          </cell>
          <cell r="I819" t="str">
            <v>0.00%</v>
          </cell>
          <cell r="J819">
            <v>0</v>
          </cell>
          <cell r="K819">
            <v>0</v>
          </cell>
          <cell r="L819" t="str">
            <v>0.00%</v>
          </cell>
          <cell r="M819">
            <v>0</v>
          </cell>
          <cell r="N819">
            <v>0</v>
          </cell>
          <cell r="O819" t="str">
            <v>0.00%</v>
          </cell>
          <cell r="P819">
            <v>29.46</v>
          </cell>
          <cell r="Q819">
            <v>378.85559999999998</v>
          </cell>
          <cell r="R819">
            <v>1</v>
          </cell>
        </row>
        <row r="820">
          <cell r="A820" t="str">
            <v>10.13</v>
          </cell>
          <cell r="B820" t="str">
            <v>OBRAS VARIAS</v>
          </cell>
          <cell r="C820">
            <v>0</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row>
        <row r="821">
          <cell r="A821" t="str">
            <v>10.13.01</v>
          </cell>
          <cell r="B821" t="str">
            <v>SARDINEL DE CONCRETO SOBRE VIGAS TIMPANO F'C= 175KG/CM2</v>
          </cell>
          <cell r="C821" t="str">
            <v>m3</v>
          </cell>
          <cell r="D821">
            <v>2.0099999999999998</v>
          </cell>
          <cell r="E821">
            <v>388.98</v>
          </cell>
          <cell r="F821">
            <v>781.84979999999996</v>
          </cell>
          <cell r="G821">
            <v>0</v>
          </cell>
          <cell r="H821">
            <v>0</v>
          </cell>
          <cell r="I821" t="str">
            <v>0.00%</v>
          </cell>
          <cell r="J821">
            <v>0</v>
          </cell>
          <cell r="K821">
            <v>0</v>
          </cell>
          <cell r="L821" t="str">
            <v>0.00%</v>
          </cell>
          <cell r="M821">
            <v>0</v>
          </cell>
          <cell r="N821">
            <v>0</v>
          </cell>
          <cell r="O821" t="str">
            <v>0.00%</v>
          </cell>
          <cell r="P821">
            <v>2.0099999999999998</v>
          </cell>
          <cell r="Q821">
            <v>781.84979999999996</v>
          </cell>
          <cell r="R821">
            <v>1</v>
          </cell>
        </row>
        <row r="822">
          <cell r="A822" t="str">
            <v>10.13.02</v>
          </cell>
          <cell r="B822" t="str">
            <v>ENCOFRADO Y DESENCOFRADO DE SARDINELES SOBRE VIGA TIMPANO</v>
          </cell>
          <cell r="C822" t="str">
            <v>m2</v>
          </cell>
          <cell r="D822">
            <v>13.4</v>
          </cell>
          <cell r="E822">
            <v>17.3</v>
          </cell>
          <cell r="F822">
            <v>231.82000000000002</v>
          </cell>
          <cell r="G822">
            <v>0</v>
          </cell>
          <cell r="H822">
            <v>0</v>
          </cell>
          <cell r="I822" t="str">
            <v>0.00%</v>
          </cell>
          <cell r="J822">
            <v>0</v>
          </cell>
          <cell r="K822">
            <v>0</v>
          </cell>
          <cell r="L822" t="str">
            <v>0.00%</v>
          </cell>
          <cell r="M822">
            <v>0</v>
          </cell>
          <cell r="N822">
            <v>0</v>
          </cell>
          <cell r="O822" t="str">
            <v>0.00%</v>
          </cell>
          <cell r="P822">
            <v>13.4</v>
          </cell>
          <cell r="Q822">
            <v>231.82000000000002</v>
          </cell>
          <cell r="R822">
            <v>1</v>
          </cell>
        </row>
        <row r="823">
          <cell r="A823" t="str">
            <v>10.13.03</v>
          </cell>
          <cell r="B823" t="str">
            <v xml:space="preserve">TAPA JUNTA EN VANOS MUROS/COLUMNA
</v>
          </cell>
          <cell r="C823" t="str">
            <v>m</v>
          </cell>
          <cell r="D823">
            <v>550.20000000000005</v>
          </cell>
          <cell r="E823">
            <v>13.49</v>
          </cell>
          <cell r="F823">
            <v>7422.1980000000003</v>
          </cell>
          <cell r="G823">
            <v>0</v>
          </cell>
          <cell r="H823">
            <v>0</v>
          </cell>
          <cell r="I823" t="str">
            <v>0.00%</v>
          </cell>
          <cell r="J823">
            <v>0</v>
          </cell>
          <cell r="K823">
            <v>0</v>
          </cell>
          <cell r="L823" t="str">
            <v>0.00%</v>
          </cell>
          <cell r="M823">
            <v>0</v>
          </cell>
          <cell r="N823">
            <v>0</v>
          </cell>
          <cell r="O823" t="str">
            <v>0.00%</v>
          </cell>
          <cell r="P823">
            <v>550.20000000000005</v>
          </cell>
          <cell r="Q823">
            <v>7422.1980000000003</v>
          </cell>
          <cell r="R823">
            <v>1</v>
          </cell>
        </row>
        <row r="824">
          <cell r="A824" t="str">
            <v>10.13.04</v>
          </cell>
          <cell r="B824" t="str">
            <v>TAPA JUNTA  METALICA</v>
          </cell>
          <cell r="C824" t="str">
            <v>m</v>
          </cell>
          <cell r="D824">
            <v>13.58</v>
          </cell>
          <cell r="E824">
            <v>50.83</v>
          </cell>
          <cell r="F824">
            <v>690.27139999999997</v>
          </cell>
          <cell r="G824">
            <v>0</v>
          </cell>
          <cell r="H824">
            <v>0</v>
          </cell>
          <cell r="I824" t="str">
            <v>0.00%</v>
          </cell>
          <cell r="J824">
            <v>0</v>
          </cell>
          <cell r="K824">
            <v>0</v>
          </cell>
          <cell r="L824" t="str">
            <v>0.00%</v>
          </cell>
          <cell r="M824">
            <v>0</v>
          </cell>
          <cell r="N824">
            <v>0</v>
          </cell>
          <cell r="O824" t="str">
            <v>0.00%</v>
          </cell>
          <cell r="P824">
            <v>13.58</v>
          </cell>
          <cell r="Q824">
            <v>690.27139999999997</v>
          </cell>
          <cell r="R824">
            <v>1</v>
          </cell>
        </row>
        <row r="825">
          <cell r="A825" t="str">
            <v>11</v>
          </cell>
          <cell r="B825" t="str">
            <v>BLOQUE - 4</v>
          </cell>
          <cell r="C825">
            <v>0</v>
          </cell>
          <cell r="D825">
            <v>0</v>
          </cell>
          <cell r="E825">
            <v>0</v>
          </cell>
          <cell r="F825">
            <v>0</v>
          </cell>
          <cell r="G825">
            <v>0</v>
          </cell>
          <cell r="H825">
            <v>0</v>
          </cell>
          <cell r="I825">
            <v>0</v>
          </cell>
          <cell r="J825">
            <v>0</v>
          </cell>
          <cell r="K825">
            <v>0</v>
          </cell>
          <cell r="L825">
            <v>0</v>
          </cell>
          <cell r="M825">
            <v>0</v>
          </cell>
          <cell r="N825">
            <v>0</v>
          </cell>
          <cell r="O825">
            <v>0</v>
          </cell>
          <cell r="P825">
            <v>0</v>
          </cell>
          <cell r="Q825">
            <v>0</v>
          </cell>
          <cell r="R825">
            <v>0</v>
          </cell>
        </row>
        <row r="826">
          <cell r="A826" t="str">
            <v>11.01</v>
          </cell>
          <cell r="B826" t="str">
            <v>MUROS Y TABIQUES</v>
          </cell>
          <cell r="C826">
            <v>0</v>
          </cell>
          <cell r="D826">
            <v>0</v>
          </cell>
          <cell r="E826">
            <v>0</v>
          </cell>
          <cell r="F826">
            <v>0</v>
          </cell>
          <cell r="G826">
            <v>0</v>
          </cell>
          <cell r="H826">
            <v>0</v>
          </cell>
          <cell r="I826">
            <v>0</v>
          </cell>
          <cell r="J826">
            <v>0</v>
          </cell>
          <cell r="K826">
            <v>0</v>
          </cell>
          <cell r="L826">
            <v>0</v>
          </cell>
          <cell r="M826">
            <v>0</v>
          </cell>
          <cell r="N826">
            <v>0</v>
          </cell>
          <cell r="O826">
            <v>0</v>
          </cell>
          <cell r="P826">
            <v>0</v>
          </cell>
          <cell r="Q826">
            <v>0</v>
          </cell>
          <cell r="R826">
            <v>0</v>
          </cell>
        </row>
        <row r="827">
          <cell r="A827" t="str">
            <v>11.01.01</v>
          </cell>
          <cell r="B827" t="str">
            <v>MURO DE CABEZA LADRILLO KIN-KONG DE ARCILLA</v>
          </cell>
          <cell r="C827" t="str">
            <v>m2</v>
          </cell>
          <cell r="D827">
            <v>170.12</v>
          </cell>
          <cell r="E827">
            <v>151.13999999999999</v>
          </cell>
          <cell r="F827">
            <v>25711.936799999999</v>
          </cell>
          <cell r="G827">
            <v>0</v>
          </cell>
          <cell r="H827">
            <v>0</v>
          </cell>
          <cell r="I827" t="str">
            <v>0.00%</v>
          </cell>
          <cell r="J827">
            <v>0</v>
          </cell>
          <cell r="K827">
            <v>0</v>
          </cell>
          <cell r="L827" t="str">
            <v>0.00%</v>
          </cell>
          <cell r="M827">
            <v>0</v>
          </cell>
          <cell r="N827">
            <v>0</v>
          </cell>
          <cell r="O827" t="str">
            <v>0.00%</v>
          </cell>
          <cell r="P827">
            <v>170.12</v>
          </cell>
          <cell r="Q827">
            <v>25711.936799999999</v>
          </cell>
          <cell r="R827">
            <v>1</v>
          </cell>
        </row>
        <row r="828">
          <cell r="A828" t="str">
            <v>11.01.02</v>
          </cell>
          <cell r="B828" t="str">
            <v>MURO DE SOGA LADRILLO KIN-KONG DE ARCILLA</v>
          </cell>
          <cell r="C828" t="str">
            <v>m2</v>
          </cell>
          <cell r="D828">
            <v>63.05</v>
          </cell>
          <cell r="E828">
            <v>99.24</v>
          </cell>
          <cell r="F828">
            <v>6257.0819999999994</v>
          </cell>
          <cell r="G828">
            <v>0</v>
          </cell>
          <cell r="H828">
            <v>0</v>
          </cell>
          <cell r="I828" t="str">
            <v>0.00%</v>
          </cell>
          <cell r="J828">
            <v>0</v>
          </cell>
          <cell r="K828">
            <v>0</v>
          </cell>
          <cell r="L828" t="str">
            <v>0.00%</v>
          </cell>
          <cell r="M828">
            <v>0</v>
          </cell>
          <cell r="N828">
            <v>0</v>
          </cell>
          <cell r="O828" t="str">
            <v>0.00%</v>
          </cell>
          <cell r="P828">
            <v>63.05</v>
          </cell>
          <cell r="Q828">
            <v>6257.0819999999994</v>
          </cell>
          <cell r="R828">
            <v>1</v>
          </cell>
        </row>
        <row r="829">
          <cell r="A829" t="str">
            <v>11.01.03</v>
          </cell>
          <cell r="B829" t="str">
            <v>TABIQUERIA DRYWALL E=13CM C/RELLENO ACUSTICO C/PLANCHA 5/8"</v>
          </cell>
          <cell r="C829" t="str">
            <v>m2</v>
          </cell>
          <cell r="D829">
            <v>28.57</v>
          </cell>
          <cell r="E829">
            <v>84.62</v>
          </cell>
          <cell r="F829">
            <v>2417.5934000000002</v>
          </cell>
          <cell r="G829">
            <v>0</v>
          </cell>
          <cell r="H829">
            <v>0</v>
          </cell>
          <cell r="I829" t="str">
            <v>0.00%</v>
          </cell>
          <cell r="J829">
            <v>0</v>
          </cell>
          <cell r="K829">
            <v>0</v>
          </cell>
          <cell r="L829" t="str">
            <v>0.00%</v>
          </cell>
          <cell r="M829">
            <v>0</v>
          </cell>
          <cell r="N829">
            <v>0</v>
          </cell>
          <cell r="O829" t="str">
            <v>0.00%</v>
          </cell>
          <cell r="P829">
            <v>28.57</v>
          </cell>
          <cell r="Q829">
            <v>2417.5934000000002</v>
          </cell>
          <cell r="R829">
            <v>1</v>
          </cell>
        </row>
        <row r="830">
          <cell r="A830" t="str">
            <v>11.02</v>
          </cell>
          <cell r="B830" t="str">
            <v>REVOQUES ENLUCIDOS Y MOLDURAS</v>
          </cell>
          <cell r="C830">
            <v>0</v>
          </cell>
          <cell r="D830">
            <v>0</v>
          </cell>
          <cell r="E830">
            <v>0</v>
          </cell>
          <cell r="F830">
            <v>0</v>
          </cell>
          <cell r="G830">
            <v>0</v>
          </cell>
          <cell r="H830">
            <v>0</v>
          </cell>
          <cell r="I830">
            <v>0</v>
          </cell>
          <cell r="J830">
            <v>0</v>
          </cell>
          <cell r="K830">
            <v>0</v>
          </cell>
          <cell r="L830">
            <v>0</v>
          </cell>
          <cell r="M830">
            <v>0</v>
          </cell>
          <cell r="N830">
            <v>0</v>
          </cell>
          <cell r="O830">
            <v>0</v>
          </cell>
          <cell r="P830">
            <v>0</v>
          </cell>
          <cell r="Q830">
            <v>0</v>
          </cell>
          <cell r="R830">
            <v>0</v>
          </cell>
        </row>
        <row r="831">
          <cell r="A831" t="str">
            <v>11.02.01</v>
          </cell>
          <cell r="B831" t="str">
            <v>TARRAJEO EN MUROS INTERIORES MEZCLA 1:5 CEMENTO:ARENA</v>
          </cell>
          <cell r="C831" t="str">
            <v>m2</v>
          </cell>
          <cell r="D831">
            <v>296.20999999999998</v>
          </cell>
          <cell r="E831">
            <v>26.91</v>
          </cell>
          <cell r="F831">
            <v>7971.0110999999997</v>
          </cell>
          <cell r="G831">
            <v>0</v>
          </cell>
          <cell r="H831">
            <v>0</v>
          </cell>
          <cell r="I831" t="str">
            <v>0.00%</v>
          </cell>
          <cell r="J831">
            <v>0</v>
          </cell>
          <cell r="K831">
            <v>0</v>
          </cell>
          <cell r="L831" t="str">
            <v>0.00%</v>
          </cell>
          <cell r="M831">
            <v>0</v>
          </cell>
          <cell r="N831">
            <v>0</v>
          </cell>
          <cell r="O831" t="str">
            <v>0.00%</v>
          </cell>
          <cell r="P831">
            <v>296.20999999999998</v>
          </cell>
          <cell r="Q831">
            <v>7971.0110999999997</v>
          </cell>
          <cell r="R831">
            <v>1</v>
          </cell>
        </row>
        <row r="832">
          <cell r="A832" t="str">
            <v>11.02.02</v>
          </cell>
          <cell r="B832" t="str">
            <v>TARRAJEO EN MUROS EXTERIORES MEZCLA 1:5 CEMENTO:ARENA</v>
          </cell>
          <cell r="C832" t="str">
            <v>m2</v>
          </cell>
          <cell r="D832">
            <v>189.71</v>
          </cell>
          <cell r="E832">
            <v>33.57</v>
          </cell>
          <cell r="F832">
            <v>6368.5646999999999</v>
          </cell>
          <cell r="G832">
            <v>0</v>
          </cell>
          <cell r="H832">
            <v>0</v>
          </cell>
          <cell r="I832" t="str">
            <v>0.00%</v>
          </cell>
          <cell r="J832">
            <v>0</v>
          </cell>
          <cell r="K832">
            <v>0</v>
          </cell>
          <cell r="L832" t="str">
            <v>0.00%</v>
          </cell>
          <cell r="M832">
            <v>0</v>
          </cell>
          <cell r="N832">
            <v>0</v>
          </cell>
          <cell r="O832" t="str">
            <v>0.00%</v>
          </cell>
          <cell r="P832">
            <v>189.71</v>
          </cell>
          <cell r="Q832">
            <v>6368.5646999999999</v>
          </cell>
          <cell r="R832">
            <v>1</v>
          </cell>
        </row>
        <row r="833">
          <cell r="A833" t="str">
            <v>11.02.03</v>
          </cell>
          <cell r="B833" t="str">
            <v>TARRAJEO EN PESTAÑAS DE LAS VENTANAS</v>
          </cell>
          <cell r="C833" t="str">
            <v>m</v>
          </cell>
          <cell r="D833">
            <v>16.2</v>
          </cell>
          <cell r="E833">
            <v>18.16</v>
          </cell>
          <cell r="F833">
            <v>294.19200000000001</v>
          </cell>
          <cell r="G833">
            <v>0</v>
          </cell>
          <cell r="H833">
            <v>0</v>
          </cell>
          <cell r="I833" t="str">
            <v>0.00%</v>
          </cell>
          <cell r="J833">
            <v>0</v>
          </cell>
          <cell r="K833">
            <v>0</v>
          </cell>
          <cell r="L833" t="str">
            <v>0.00%</v>
          </cell>
          <cell r="M833">
            <v>0</v>
          </cell>
          <cell r="N833">
            <v>0</v>
          </cell>
          <cell r="O833" t="str">
            <v>0.00%</v>
          </cell>
          <cell r="P833">
            <v>16.2</v>
          </cell>
          <cell r="Q833">
            <v>294.19200000000001</v>
          </cell>
          <cell r="R833">
            <v>1</v>
          </cell>
        </row>
        <row r="834">
          <cell r="A834" t="str">
            <v>11.02.04</v>
          </cell>
          <cell r="B834" t="str">
            <v>TARRAJEO DE SUPERFICIE COLUMNAS INCL. ARISTAS MEZCLA 1:5 CEMENTO:ARENA</v>
          </cell>
          <cell r="C834" t="str">
            <v>m2</v>
          </cell>
          <cell r="D834">
            <v>84.07</v>
          </cell>
          <cell r="E834">
            <v>29.04</v>
          </cell>
          <cell r="F834">
            <v>2441.3927999999996</v>
          </cell>
          <cell r="G834">
            <v>0</v>
          </cell>
          <cell r="H834">
            <v>0</v>
          </cell>
          <cell r="I834" t="str">
            <v>0.00%</v>
          </cell>
          <cell r="J834">
            <v>0</v>
          </cell>
          <cell r="K834">
            <v>0</v>
          </cell>
          <cell r="L834" t="str">
            <v>0.00%</v>
          </cell>
          <cell r="M834">
            <v>0</v>
          </cell>
          <cell r="N834">
            <v>0</v>
          </cell>
          <cell r="O834" t="str">
            <v>0.00%</v>
          </cell>
          <cell r="P834">
            <v>84.07</v>
          </cell>
          <cell r="Q834">
            <v>2441.3927999999996</v>
          </cell>
          <cell r="R834">
            <v>1</v>
          </cell>
        </row>
        <row r="835">
          <cell r="A835" t="str">
            <v>11.02.05</v>
          </cell>
          <cell r="B835" t="str">
            <v>TARRAJEO DE SUPERF.VIGAS INCL.ARISTAS, MEZCLA 1:5 CEMENTO:ARENA</v>
          </cell>
          <cell r="C835" t="str">
            <v>m2</v>
          </cell>
          <cell r="D835">
            <v>77.7</v>
          </cell>
          <cell r="E835">
            <v>34.25</v>
          </cell>
          <cell r="F835">
            <v>2661.2249999999999</v>
          </cell>
          <cell r="G835">
            <v>0</v>
          </cell>
          <cell r="H835">
            <v>0</v>
          </cell>
          <cell r="I835" t="str">
            <v>0.00%</v>
          </cell>
          <cell r="J835">
            <v>0</v>
          </cell>
          <cell r="K835">
            <v>0</v>
          </cell>
          <cell r="L835" t="str">
            <v>0.00%</v>
          </cell>
          <cell r="M835">
            <v>0</v>
          </cell>
          <cell r="N835">
            <v>0</v>
          </cell>
          <cell r="O835" t="str">
            <v>0.00%</v>
          </cell>
          <cell r="P835">
            <v>77.7</v>
          </cell>
          <cell r="Q835">
            <v>2661.2249999999999</v>
          </cell>
          <cell r="R835">
            <v>1</v>
          </cell>
        </row>
        <row r="836">
          <cell r="A836" t="str">
            <v>11.02.06</v>
          </cell>
          <cell r="B836" t="str">
            <v>TARRAJEO CON IMPERMEABILIZANTE EN COBERTURAS</v>
          </cell>
          <cell r="C836" t="str">
            <v>m2</v>
          </cell>
          <cell r="D836">
            <v>77.180000000000007</v>
          </cell>
          <cell r="E836">
            <v>60.76</v>
          </cell>
          <cell r="F836">
            <v>4689.4567999999999</v>
          </cell>
          <cell r="G836">
            <v>0</v>
          </cell>
          <cell r="H836">
            <v>0</v>
          </cell>
          <cell r="I836" t="str">
            <v>0.00%</v>
          </cell>
          <cell r="J836">
            <v>0</v>
          </cell>
          <cell r="K836">
            <v>0</v>
          </cell>
          <cell r="L836" t="str">
            <v>0.00%</v>
          </cell>
          <cell r="M836">
            <v>0</v>
          </cell>
          <cell r="N836">
            <v>0</v>
          </cell>
          <cell r="O836" t="str">
            <v>0.00%</v>
          </cell>
          <cell r="P836">
            <v>77.180000000000007</v>
          </cell>
          <cell r="Q836">
            <v>4689.4567999999999</v>
          </cell>
          <cell r="R836">
            <v>1</v>
          </cell>
        </row>
        <row r="837">
          <cell r="A837" t="str">
            <v>11.02.07</v>
          </cell>
          <cell r="B837" t="str">
            <v>TARRAJEO EN CUNETA DE EVACUACION PLUVIAL EXTERIOR - TECHO</v>
          </cell>
          <cell r="C837" t="str">
            <v>m2</v>
          </cell>
          <cell r="D837">
            <v>14.34</v>
          </cell>
          <cell r="E837">
            <v>39.65</v>
          </cell>
          <cell r="F837">
            <v>568.58100000000002</v>
          </cell>
          <cell r="G837">
            <v>0</v>
          </cell>
          <cell r="H837">
            <v>0</v>
          </cell>
          <cell r="I837" t="str">
            <v>0.00%</v>
          </cell>
          <cell r="J837">
            <v>0</v>
          </cell>
          <cell r="K837">
            <v>0</v>
          </cell>
          <cell r="L837" t="str">
            <v>0.00%</v>
          </cell>
          <cell r="M837">
            <v>0</v>
          </cell>
          <cell r="N837">
            <v>0</v>
          </cell>
          <cell r="O837" t="str">
            <v>0.00%</v>
          </cell>
          <cell r="P837">
            <v>14.34</v>
          </cell>
          <cell r="Q837">
            <v>568.58100000000002</v>
          </cell>
          <cell r="R837">
            <v>1</v>
          </cell>
        </row>
        <row r="838">
          <cell r="A838" t="str">
            <v>11.02.08</v>
          </cell>
          <cell r="B838" t="str">
            <v>TARRAJEO CON IMPERMEABILIZANTE EN  CUNETA INTERIOR - TECHO</v>
          </cell>
          <cell r="C838" t="str">
            <v>m2</v>
          </cell>
          <cell r="D838">
            <v>33.89</v>
          </cell>
          <cell r="E838">
            <v>42.36</v>
          </cell>
          <cell r="F838">
            <v>1435.5804000000001</v>
          </cell>
          <cell r="G838">
            <v>0</v>
          </cell>
          <cell r="H838">
            <v>0</v>
          </cell>
          <cell r="I838" t="str">
            <v>0.00%</v>
          </cell>
          <cell r="J838">
            <v>0</v>
          </cell>
          <cell r="K838">
            <v>0</v>
          </cell>
          <cell r="L838" t="str">
            <v>0.00%</v>
          </cell>
          <cell r="M838">
            <v>0</v>
          </cell>
          <cell r="N838">
            <v>0</v>
          </cell>
          <cell r="O838" t="str">
            <v>0.00%</v>
          </cell>
          <cell r="P838">
            <v>33.89</v>
          </cell>
          <cell r="Q838">
            <v>1435.5804000000001</v>
          </cell>
          <cell r="R838">
            <v>1</v>
          </cell>
        </row>
        <row r="839">
          <cell r="A839" t="str">
            <v>11.02.09</v>
          </cell>
          <cell r="B839" t="str">
            <v xml:space="preserve">VESTIDURA DE DERRAMES </v>
          </cell>
          <cell r="C839" t="str">
            <v>m</v>
          </cell>
          <cell r="D839">
            <v>130.30000000000001</v>
          </cell>
          <cell r="E839">
            <v>24.82</v>
          </cell>
          <cell r="F839">
            <v>3234.0460000000003</v>
          </cell>
          <cell r="G839">
            <v>0</v>
          </cell>
          <cell r="H839">
            <v>0</v>
          </cell>
          <cell r="I839" t="str">
            <v>0.00%</v>
          </cell>
          <cell r="J839">
            <v>0</v>
          </cell>
          <cell r="K839">
            <v>0</v>
          </cell>
          <cell r="L839" t="str">
            <v>0.00%</v>
          </cell>
          <cell r="M839">
            <v>0</v>
          </cell>
          <cell r="N839">
            <v>0</v>
          </cell>
          <cell r="O839" t="str">
            <v>0.00%</v>
          </cell>
          <cell r="P839">
            <v>130.30000000000001</v>
          </cell>
          <cell r="Q839">
            <v>3234.0460000000003</v>
          </cell>
          <cell r="R839">
            <v>1</v>
          </cell>
        </row>
        <row r="840">
          <cell r="A840" t="str">
            <v>11.02.10</v>
          </cell>
          <cell r="B840" t="str">
            <v>BRUÑA DE 1CM ENTRE MUROS Y ESTRUCTURAS</v>
          </cell>
          <cell r="C840" t="str">
            <v>m</v>
          </cell>
          <cell r="D840">
            <v>306.16000000000003</v>
          </cell>
          <cell r="E840">
            <v>2.08</v>
          </cell>
          <cell r="F840">
            <v>636.81280000000004</v>
          </cell>
          <cell r="G840">
            <v>0</v>
          </cell>
          <cell r="H840">
            <v>0</v>
          </cell>
          <cell r="I840" t="str">
            <v>0.00%</v>
          </cell>
          <cell r="J840">
            <v>0</v>
          </cell>
          <cell r="K840">
            <v>0</v>
          </cell>
          <cell r="L840" t="str">
            <v>0.00%</v>
          </cell>
          <cell r="M840">
            <v>0</v>
          </cell>
          <cell r="N840">
            <v>0</v>
          </cell>
          <cell r="O840" t="str">
            <v>0.00%</v>
          </cell>
          <cell r="P840">
            <v>306.16000000000003</v>
          </cell>
          <cell r="Q840">
            <v>636.81280000000004</v>
          </cell>
          <cell r="R840">
            <v>1</v>
          </cell>
        </row>
        <row r="841">
          <cell r="A841" t="str">
            <v>11.02.11</v>
          </cell>
          <cell r="B841" t="str">
            <v xml:space="preserve">TARRAJEO EN FONDO DE ESCALERA CON MEZCLA C:A 1:4 E=1.5cm </v>
          </cell>
          <cell r="C841" t="str">
            <v>m2</v>
          </cell>
          <cell r="D841">
            <v>17.559999999999999</v>
          </cell>
          <cell r="E841">
            <v>34.33</v>
          </cell>
          <cell r="F841">
            <v>602.83479999999997</v>
          </cell>
          <cell r="G841">
            <v>0</v>
          </cell>
          <cell r="H841">
            <v>0</v>
          </cell>
          <cell r="I841" t="str">
            <v>0.00%</v>
          </cell>
          <cell r="J841">
            <v>0</v>
          </cell>
          <cell r="K841">
            <v>0</v>
          </cell>
          <cell r="L841" t="str">
            <v>0.00%</v>
          </cell>
          <cell r="M841">
            <v>0</v>
          </cell>
          <cell r="N841">
            <v>0</v>
          </cell>
          <cell r="O841" t="str">
            <v>0.00%</v>
          </cell>
          <cell r="P841">
            <v>17.559999999999999</v>
          </cell>
          <cell r="Q841">
            <v>602.83479999999997</v>
          </cell>
          <cell r="R841">
            <v>1</v>
          </cell>
        </row>
        <row r="842">
          <cell r="A842" t="str">
            <v>11.03</v>
          </cell>
          <cell r="B842" t="str">
            <v>ESTRUCTURAS METALICAS</v>
          </cell>
          <cell r="C842">
            <v>0</v>
          </cell>
          <cell r="D842">
            <v>0</v>
          </cell>
          <cell r="E842">
            <v>0</v>
          </cell>
          <cell r="F842">
            <v>0</v>
          </cell>
          <cell r="G842">
            <v>0</v>
          </cell>
          <cell r="H842">
            <v>0</v>
          </cell>
          <cell r="I842">
            <v>0</v>
          </cell>
          <cell r="J842">
            <v>0</v>
          </cell>
          <cell r="K842">
            <v>0</v>
          </cell>
          <cell r="L842">
            <v>0</v>
          </cell>
          <cell r="M842">
            <v>0</v>
          </cell>
          <cell r="N842">
            <v>0</v>
          </cell>
          <cell r="O842">
            <v>0</v>
          </cell>
          <cell r="P842">
            <v>0</v>
          </cell>
          <cell r="Q842">
            <v>0</v>
          </cell>
          <cell r="R842">
            <v>0</v>
          </cell>
        </row>
        <row r="843">
          <cell r="A843" t="str">
            <v>11.03.01</v>
          </cell>
          <cell r="B843" t="str">
            <v>CORREAS DE TUBO LAC 2"X2"X2mm</v>
          </cell>
          <cell r="C843" t="str">
            <v>m</v>
          </cell>
          <cell r="D843">
            <v>191.2</v>
          </cell>
          <cell r="E843">
            <v>28.38</v>
          </cell>
          <cell r="F843">
            <v>5426.2559999999994</v>
          </cell>
          <cell r="G843">
            <v>0</v>
          </cell>
          <cell r="H843">
            <v>0</v>
          </cell>
          <cell r="I843" t="str">
            <v>0.00%</v>
          </cell>
          <cell r="J843">
            <v>0</v>
          </cell>
          <cell r="K843">
            <v>0</v>
          </cell>
          <cell r="L843" t="str">
            <v>0.00%</v>
          </cell>
          <cell r="M843">
            <v>0</v>
          </cell>
          <cell r="N843">
            <v>0</v>
          </cell>
          <cell r="O843" t="str">
            <v>0.00%</v>
          </cell>
          <cell r="P843">
            <v>191.2</v>
          </cell>
          <cell r="Q843">
            <v>5426.2559999999994</v>
          </cell>
          <cell r="R843">
            <v>1</v>
          </cell>
        </row>
        <row r="844">
          <cell r="A844" t="str">
            <v>11.03.02</v>
          </cell>
          <cell r="B844" t="str">
            <v>TIJERAL TIPO - V CON TUBO RECTANGULAR LAC (SEGUN DISEÑO)</v>
          </cell>
          <cell r="C844" t="str">
            <v>und</v>
          </cell>
          <cell r="D844">
            <v>4</v>
          </cell>
          <cell r="E844">
            <v>535.76</v>
          </cell>
          <cell r="F844">
            <v>2143.04</v>
          </cell>
          <cell r="G844">
            <v>0</v>
          </cell>
          <cell r="H844">
            <v>0</v>
          </cell>
          <cell r="I844" t="str">
            <v>0.00%</v>
          </cell>
          <cell r="J844">
            <v>0</v>
          </cell>
          <cell r="K844">
            <v>0</v>
          </cell>
          <cell r="L844" t="str">
            <v>0.00%</v>
          </cell>
          <cell r="M844">
            <v>0</v>
          </cell>
          <cell r="N844">
            <v>0</v>
          </cell>
          <cell r="O844" t="str">
            <v>0.00%</v>
          </cell>
          <cell r="P844">
            <v>4</v>
          </cell>
          <cell r="Q844">
            <v>2143.04</v>
          </cell>
          <cell r="R844">
            <v>1</v>
          </cell>
        </row>
        <row r="845">
          <cell r="A845" t="str">
            <v>11.04</v>
          </cell>
          <cell r="B845" t="str">
            <v>COBERTURA</v>
          </cell>
          <cell r="C845">
            <v>0</v>
          </cell>
          <cell r="D845">
            <v>0</v>
          </cell>
          <cell r="E845">
            <v>0</v>
          </cell>
          <cell r="F845">
            <v>0</v>
          </cell>
          <cell r="G845">
            <v>0</v>
          </cell>
          <cell r="H845">
            <v>0</v>
          </cell>
          <cell r="I845">
            <v>0</v>
          </cell>
          <cell r="J845">
            <v>0</v>
          </cell>
          <cell r="K845">
            <v>0</v>
          </cell>
          <cell r="L845">
            <v>0</v>
          </cell>
          <cell r="M845">
            <v>0</v>
          </cell>
          <cell r="N845">
            <v>0</v>
          </cell>
          <cell r="O845">
            <v>0</v>
          </cell>
          <cell r="P845">
            <v>0</v>
          </cell>
          <cell r="Q845">
            <v>0</v>
          </cell>
          <cell r="R845">
            <v>0</v>
          </cell>
        </row>
        <row r="846">
          <cell r="A846" t="str">
            <v>11.04.01</v>
          </cell>
          <cell r="B846" t="str">
            <v>COBERTURA DE PLACA ONDUVILLA</v>
          </cell>
          <cell r="C846" t="str">
            <v>m2</v>
          </cell>
          <cell r="D846">
            <v>77.180000000000007</v>
          </cell>
          <cell r="E846">
            <v>147.85</v>
          </cell>
          <cell r="F846">
            <v>11411.063</v>
          </cell>
          <cell r="G846">
            <v>0</v>
          </cell>
          <cell r="H846">
            <v>0</v>
          </cell>
          <cell r="I846" t="str">
            <v>0.00%</v>
          </cell>
          <cell r="J846">
            <v>0</v>
          </cell>
          <cell r="K846">
            <v>0</v>
          </cell>
          <cell r="L846" t="str">
            <v>0.00%</v>
          </cell>
          <cell r="M846">
            <v>0</v>
          </cell>
          <cell r="N846">
            <v>0</v>
          </cell>
          <cell r="O846" t="str">
            <v>0.00%</v>
          </cell>
          <cell r="P846">
            <v>77.180000000000007</v>
          </cell>
          <cell r="Q846">
            <v>11411.063</v>
          </cell>
          <cell r="R846">
            <v>1</v>
          </cell>
        </row>
        <row r="847">
          <cell r="A847" t="str">
            <v>11.04.02</v>
          </cell>
          <cell r="B847" t="str">
            <v>CUMBRERA DE ONDUVILLA</v>
          </cell>
          <cell r="C847" t="str">
            <v>m</v>
          </cell>
          <cell r="D847">
            <v>12.25</v>
          </cell>
          <cell r="E847">
            <v>101.1</v>
          </cell>
          <cell r="F847">
            <v>1238.4749999999999</v>
          </cell>
          <cell r="G847">
            <v>0</v>
          </cell>
          <cell r="H847">
            <v>0</v>
          </cell>
          <cell r="I847" t="str">
            <v>0.00%</v>
          </cell>
          <cell r="J847">
            <v>0</v>
          </cell>
          <cell r="K847">
            <v>0</v>
          </cell>
          <cell r="L847" t="str">
            <v>0.00%</v>
          </cell>
          <cell r="M847">
            <v>0</v>
          </cell>
          <cell r="N847">
            <v>0</v>
          </cell>
          <cell r="O847" t="str">
            <v>0.00%</v>
          </cell>
          <cell r="P847">
            <v>12.25</v>
          </cell>
          <cell r="Q847">
            <v>1238.4749999999999</v>
          </cell>
          <cell r="R847">
            <v>1</v>
          </cell>
        </row>
        <row r="848">
          <cell r="A848" t="str">
            <v>11.04.03</v>
          </cell>
          <cell r="B848" t="str">
            <v>COBERTURA DE POLICARBONATO ALVEOLAR TRASLUCIDO DE 6 MM.</v>
          </cell>
          <cell r="C848" t="str">
            <v>m2</v>
          </cell>
          <cell r="D848">
            <v>12.38</v>
          </cell>
          <cell r="E848">
            <v>63.81</v>
          </cell>
          <cell r="F848">
            <v>789.96780000000012</v>
          </cell>
          <cell r="G848">
            <v>0</v>
          </cell>
          <cell r="H848">
            <v>0</v>
          </cell>
          <cell r="I848" t="str">
            <v>0.00%</v>
          </cell>
          <cell r="J848">
            <v>0</v>
          </cell>
          <cell r="K848">
            <v>0</v>
          </cell>
          <cell r="L848" t="str">
            <v>0.00%</v>
          </cell>
          <cell r="M848">
            <v>0</v>
          </cell>
          <cell r="N848">
            <v>0</v>
          </cell>
          <cell r="O848" t="str">
            <v>0.00%</v>
          </cell>
          <cell r="P848">
            <v>12.38</v>
          </cell>
          <cell r="Q848">
            <v>789.96780000000012</v>
          </cell>
          <cell r="R848">
            <v>1</v>
          </cell>
        </row>
        <row r="849">
          <cell r="A849" t="str">
            <v>11.05</v>
          </cell>
          <cell r="B849" t="str">
            <v>CIELORRASOS</v>
          </cell>
          <cell r="C849">
            <v>0</v>
          </cell>
          <cell r="D849">
            <v>0</v>
          </cell>
          <cell r="E849">
            <v>0</v>
          </cell>
          <cell r="F849">
            <v>0</v>
          </cell>
          <cell r="G849">
            <v>0</v>
          </cell>
          <cell r="H849">
            <v>0</v>
          </cell>
          <cell r="I849">
            <v>0</v>
          </cell>
          <cell r="J849">
            <v>0</v>
          </cell>
          <cell r="K849">
            <v>0</v>
          </cell>
          <cell r="L849">
            <v>0</v>
          </cell>
          <cell r="M849">
            <v>0</v>
          </cell>
          <cell r="N849">
            <v>0</v>
          </cell>
          <cell r="O849">
            <v>0</v>
          </cell>
          <cell r="P849">
            <v>0</v>
          </cell>
          <cell r="Q849">
            <v>0</v>
          </cell>
          <cell r="R849">
            <v>0</v>
          </cell>
        </row>
        <row r="850">
          <cell r="A850" t="str">
            <v>11.05.01</v>
          </cell>
          <cell r="B850" t="str">
            <v>CIELORRASOS CON MEZCLA C:A 1:5 e= 1.5 CM</v>
          </cell>
          <cell r="C850" t="str">
            <v>m2</v>
          </cell>
          <cell r="D850">
            <v>159.34</v>
          </cell>
          <cell r="E850">
            <v>41.21</v>
          </cell>
          <cell r="F850">
            <v>6566.4014000000006</v>
          </cell>
          <cell r="G850">
            <v>0</v>
          </cell>
          <cell r="H850">
            <v>0</v>
          </cell>
          <cell r="I850" t="str">
            <v>0.00%</v>
          </cell>
          <cell r="J850">
            <v>0</v>
          </cell>
          <cell r="K850">
            <v>0</v>
          </cell>
          <cell r="L850" t="str">
            <v>0.00%</v>
          </cell>
          <cell r="M850">
            <v>0</v>
          </cell>
          <cell r="N850">
            <v>0</v>
          </cell>
          <cell r="O850" t="str">
            <v>0.00%</v>
          </cell>
          <cell r="P850">
            <v>159.34</v>
          </cell>
          <cell r="Q850">
            <v>6566.4014000000006</v>
          </cell>
          <cell r="R850">
            <v>1</v>
          </cell>
        </row>
        <row r="851">
          <cell r="A851" t="str">
            <v>11.06</v>
          </cell>
          <cell r="B851" t="str">
            <v>PISOS Y PAVIMENTOS</v>
          </cell>
          <cell r="C851">
            <v>0</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row>
        <row r="852">
          <cell r="A852" t="str">
            <v>11.06.01</v>
          </cell>
          <cell r="B852" t="str">
            <v>FALSO PISO DE 4" DE CONCRETO 1:10</v>
          </cell>
          <cell r="C852" t="str">
            <v>m2</v>
          </cell>
          <cell r="D852">
            <v>77.989999999999995</v>
          </cell>
          <cell r="E852">
            <v>34.700000000000003</v>
          </cell>
          <cell r="F852">
            <v>2706.2530000000002</v>
          </cell>
          <cell r="G852">
            <v>0</v>
          </cell>
          <cell r="H852">
            <v>0</v>
          </cell>
          <cell r="I852" t="str">
            <v>0.00%</v>
          </cell>
          <cell r="J852">
            <v>0</v>
          </cell>
          <cell r="K852">
            <v>0</v>
          </cell>
          <cell r="L852" t="str">
            <v>0.00%</v>
          </cell>
          <cell r="M852">
            <v>0</v>
          </cell>
          <cell r="N852">
            <v>0</v>
          </cell>
          <cell r="O852" t="str">
            <v>0.00%</v>
          </cell>
          <cell r="P852">
            <v>77.989999999999995</v>
          </cell>
          <cell r="Q852">
            <v>2706.2530000000002</v>
          </cell>
          <cell r="R852">
            <v>1</v>
          </cell>
        </row>
        <row r="853">
          <cell r="A853" t="str">
            <v>11.06.02</v>
          </cell>
          <cell r="B853" t="str">
            <v>CONTRAPISO DE 48 MM.</v>
          </cell>
          <cell r="C853" t="str">
            <v>m2</v>
          </cell>
          <cell r="D853">
            <v>148.25</v>
          </cell>
          <cell r="E853">
            <v>33.57</v>
          </cell>
          <cell r="F853">
            <v>4976.7524999999996</v>
          </cell>
          <cell r="G853">
            <v>0</v>
          </cell>
          <cell r="H853">
            <v>0</v>
          </cell>
          <cell r="I853" t="str">
            <v>0.00%</v>
          </cell>
          <cell r="J853">
            <v>0</v>
          </cell>
          <cell r="K853">
            <v>0</v>
          </cell>
          <cell r="L853" t="str">
            <v>0.00%</v>
          </cell>
          <cell r="M853">
            <v>0</v>
          </cell>
          <cell r="N853">
            <v>0</v>
          </cell>
          <cell r="O853" t="str">
            <v>0.00%</v>
          </cell>
          <cell r="P853">
            <v>148.25</v>
          </cell>
          <cell r="Q853">
            <v>4976.7524999999996</v>
          </cell>
          <cell r="R853">
            <v>1</v>
          </cell>
        </row>
        <row r="854">
          <cell r="A854" t="str">
            <v>11.06.03</v>
          </cell>
          <cell r="B854" t="str">
            <v>PISO DE PORCELANATO 0.60 x 0.60 m.</v>
          </cell>
          <cell r="C854" t="str">
            <v>m2</v>
          </cell>
          <cell r="D854">
            <v>159.61000000000001</v>
          </cell>
          <cell r="E854">
            <v>182.85</v>
          </cell>
          <cell r="F854">
            <v>29184.6885</v>
          </cell>
          <cell r="G854">
            <v>0</v>
          </cell>
          <cell r="H854">
            <v>0</v>
          </cell>
          <cell r="I854" t="str">
            <v>0.00%</v>
          </cell>
          <cell r="J854">
            <v>0</v>
          </cell>
          <cell r="K854">
            <v>0</v>
          </cell>
          <cell r="L854" t="str">
            <v>0.00%</v>
          </cell>
          <cell r="M854">
            <v>0</v>
          </cell>
          <cell r="N854">
            <v>0</v>
          </cell>
          <cell r="O854" t="str">
            <v>0.00%</v>
          </cell>
          <cell r="P854">
            <v>159.61000000000001</v>
          </cell>
          <cell r="Q854">
            <v>29184.6885</v>
          </cell>
          <cell r="R854">
            <v>1</v>
          </cell>
        </row>
        <row r="855">
          <cell r="A855" t="str">
            <v>11.06.04</v>
          </cell>
          <cell r="B855" t="str">
            <v>PISO DE CERAMICO ANTIDESLIZANTE AT. 0.40x0.40 M</v>
          </cell>
          <cell r="C855" t="str">
            <v>m2</v>
          </cell>
          <cell r="D855">
            <v>5.89</v>
          </cell>
          <cell r="E855">
            <v>56.63</v>
          </cell>
          <cell r="F855">
            <v>333.55070000000001</v>
          </cell>
          <cell r="G855">
            <v>0</v>
          </cell>
          <cell r="H855">
            <v>0</v>
          </cell>
          <cell r="I855" t="str">
            <v>0.00%</v>
          </cell>
          <cell r="J855">
            <v>0</v>
          </cell>
          <cell r="K855">
            <v>0</v>
          </cell>
          <cell r="L855" t="str">
            <v>0.00%</v>
          </cell>
          <cell r="M855">
            <v>0</v>
          </cell>
          <cell r="N855">
            <v>0</v>
          </cell>
          <cell r="O855" t="str">
            <v>0.00%</v>
          </cell>
          <cell r="P855">
            <v>5.89</v>
          </cell>
          <cell r="Q855">
            <v>333.55070000000001</v>
          </cell>
          <cell r="R855">
            <v>1</v>
          </cell>
        </row>
        <row r="856">
          <cell r="A856" t="str">
            <v>11.07</v>
          </cell>
          <cell r="B856" t="str">
            <v>ZOCALOS Y CONTRAZOCALOS</v>
          </cell>
          <cell r="C856">
            <v>0</v>
          </cell>
          <cell r="D856">
            <v>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row>
        <row r="857">
          <cell r="A857" t="str">
            <v>11.07.01</v>
          </cell>
          <cell r="B857" t="str">
            <v>ZOCALO DE CERAMICO 0.30 x 0.20 M</v>
          </cell>
          <cell r="C857" t="str">
            <v>m2</v>
          </cell>
          <cell r="D857">
            <v>16.7</v>
          </cell>
          <cell r="E857">
            <v>64.3</v>
          </cell>
          <cell r="F857">
            <v>1073.81</v>
          </cell>
          <cell r="G857">
            <v>0</v>
          </cell>
          <cell r="H857">
            <v>0</v>
          </cell>
          <cell r="I857" t="str">
            <v>0.00%</v>
          </cell>
          <cell r="J857">
            <v>0</v>
          </cell>
          <cell r="K857">
            <v>0</v>
          </cell>
          <cell r="L857" t="str">
            <v>0.00%</v>
          </cell>
          <cell r="M857">
            <v>0</v>
          </cell>
          <cell r="N857">
            <v>0</v>
          </cell>
          <cell r="O857" t="str">
            <v>0.00%</v>
          </cell>
          <cell r="P857">
            <v>16.7</v>
          </cell>
          <cell r="Q857">
            <v>1073.81</v>
          </cell>
          <cell r="R857">
            <v>1</v>
          </cell>
        </row>
        <row r="858">
          <cell r="A858" t="str">
            <v>11.07.02</v>
          </cell>
          <cell r="B858" t="str">
            <v>ZOCALO DE CEMENTO PULIDO C/MORTERO 1:5 DE 2CM. DE H= 40 CM. - EXTERIOR</v>
          </cell>
          <cell r="C858" t="str">
            <v>m</v>
          </cell>
          <cell r="D858">
            <v>12.9</v>
          </cell>
          <cell r="E858">
            <v>13.08</v>
          </cell>
          <cell r="F858">
            <v>168.732</v>
          </cell>
          <cell r="G858">
            <v>0</v>
          </cell>
          <cell r="H858">
            <v>0</v>
          </cell>
          <cell r="I858" t="str">
            <v>0.00%</v>
          </cell>
          <cell r="J858">
            <v>0</v>
          </cell>
          <cell r="K858">
            <v>0</v>
          </cell>
          <cell r="L858" t="str">
            <v>0.00%</v>
          </cell>
          <cell r="M858">
            <v>0</v>
          </cell>
          <cell r="N858">
            <v>0</v>
          </cell>
          <cell r="O858" t="str">
            <v>0.00%</v>
          </cell>
          <cell r="P858">
            <v>12.9</v>
          </cell>
          <cell r="Q858">
            <v>168.732</v>
          </cell>
          <cell r="R858">
            <v>1</v>
          </cell>
        </row>
        <row r="859">
          <cell r="A859" t="str">
            <v>11.07.03</v>
          </cell>
          <cell r="B859" t="str">
            <v>CONTRAZOCALO DE PORCELANATO H=0.10M</v>
          </cell>
          <cell r="C859" t="str">
            <v>m</v>
          </cell>
          <cell r="D859">
            <v>148.69999999999999</v>
          </cell>
          <cell r="E859">
            <v>22.15</v>
          </cell>
          <cell r="F859">
            <v>3293.7049999999995</v>
          </cell>
          <cell r="G859">
            <v>0</v>
          </cell>
          <cell r="H859">
            <v>0</v>
          </cell>
          <cell r="I859" t="str">
            <v>0.00%</v>
          </cell>
          <cell r="J859">
            <v>0</v>
          </cell>
          <cell r="K859">
            <v>0</v>
          </cell>
          <cell r="L859" t="str">
            <v>0.00%</v>
          </cell>
          <cell r="M859">
            <v>0</v>
          </cell>
          <cell r="N859">
            <v>0</v>
          </cell>
          <cell r="O859" t="str">
            <v>0.00%</v>
          </cell>
          <cell r="P859">
            <v>148.69999999999999</v>
          </cell>
          <cell r="Q859">
            <v>3293.7049999999995</v>
          </cell>
          <cell r="R859">
            <v>1</v>
          </cell>
        </row>
        <row r="860">
          <cell r="A860" t="str">
            <v>11.08</v>
          </cell>
          <cell r="B860" t="str">
            <v>CARPINTERIA DE MADERA</v>
          </cell>
          <cell r="C860">
            <v>0</v>
          </cell>
          <cell r="D860">
            <v>0</v>
          </cell>
          <cell r="E860">
            <v>0</v>
          </cell>
          <cell r="F860">
            <v>0</v>
          </cell>
          <cell r="G860">
            <v>0</v>
          </cell>
          <cell r="H860">
            <v>0</v>
          </cell>
          <cell r="I860">
            <v>0</v>
          </cell>
          <cell r="J860">
            <v>0</v>
          </cell>
          <cell r="K860">
            <v>0</v>
          </cell>
          <cell r="L860">
            <v>0</v>
          </cell>
          <cell r="M860">
            <v>0</v>
          </cell>
          <cell r="N860">
            <v>0</v>
          </cell>
          <cell r="O860">
            <v>0</v>
          </cell>
          <cell r="P860">
            <v>0</v>
          </cell>
          <cell r="Q860">
            <v>0</v>
          </cell>
          <cell r="R860">
            <v>0</v>
          </cell>
        </row>
        <row r="861">
          <cell r="A861" t="str">
            <v>11.08.01</v>
          </cell>
          <cell r="B861" t="str">
            <v>PUERTA DE MADERA MACHIMBRADA C/SOBRE LUZ</v>
          </cell>
          <cell r="C861" t="str">
            <v>m2</v>
          </cell>
          <cell r="D861">
            <v>8.8000000000000007</v>
          </cell>
          <cell r="E861">
            <v>340.61</v>
          </cell>
          <cell r="F861">
            <v>2997.3680000000004</v>
          </cell>
          <cell r="G861">
            <v>0</v>
          </cell>
          <cell r="H861">
            <v>0</v>
          </cell>
          <cell r="I861" t="str">
            <v>0.00%</v>
          </cell>
          <cell r="J861">
            <v>0</v>
          </cell>
          <cell r="K861">
            <v>0</v>
          </cell>
          <cell r="L861" t="str">
            <v>0.00%</v>
          </cell>
          <cell r="M861">
            <v>0</v>
          </cell>
          <cell r="N861">
            <v>0</v>
          </cell>
          <cell r="O861" t="str">
            <v>0.00%</v>
          </cell>
          <cell r="P861">
            <v>8.8000000000000007</v>
          </cell>
          <cell r="Q861">
            <v>2997.3680000000004</v>
          </cell>
          <cell r="R861">
            <v>1</v>
          </cell>
        </row>
        <row r="862">
          <cell r="A862" t="str">
            <v>11.08.02</v>
          </cell>
          <cell r="B862" t="str">
            <v>PUERTA DE MADERA DOBLE HOJA MACHIMBRADA C/SOBRE LUZ</v>
          </cell>
          <cell r="C862" t="str">
            <v>m2</v>
          </cell>
          <cell r="D862">
            <v>12.83</v>
          </cell>
          <cell r="E862">
            <v>340.61</v>
          </cell>
          <cell r="F862">
            <v>4370.0263000000004</v>
          </cell>
          <cell r="G862">
            <v>0</v>
          </cell>
          <cell r="H862">
            <v>0</v>
          </cell>
          <cell r="I862" t="str">
            <v>0.00%</v>
          </cell>
          <cell r="J862">
            <v>0</v>
          </cell>
          <cell r="K862">
            <v>0</v>
          </cell>
          <cell r="L862" t="str">
            <v>0.00%</v>
          </cell>
          <cell r="M862">
            <v>0</v>
          </cell>
          <cell r="N862">
            <v>0</v>
          </cell>
          <cell r="O862" t="str">
            <v>0.00%</v>
          </cell>
          <cell r="P862">
            <v>12.83</v>
          </cell>
          <cell r="Q862">
            <v>4370.0263000000004</v>
          </cell>
          <cell r="R862">
            <v>1</v>
          </cell>
        </row>
        <row r="863">
          <cell r="A863" t="str">
            <v>11.09</v>
          </cell>
          <cell r="B863" t="str">
            <v>CARPINTERIA METALICA</v>
          </cell>
          <cell r="C863">
            <v>0</v>
          </cell>
          <cell r="D863">
            <v>0</v>
          </cell>
          <cell r="E863">
            <v>0</v>
          </cell>
          <cell r="F863">
            <v>0</v>
          </cell>
          <cell r="G863">
            <v>0</v>
          </cell>
          <cell r="H863">
            <v>0</v>
          </cell>
          <cell r="I863">
            <v>0</v>
          </cell>
          <cell r="J863">
            <v>0</v>
          </cell>
          <cell r="K863">
            <v>0</v>
          </cell>
          <cell r="L863">
            <v>0</v>
          </cell>
          <cell r="M863">
            <v>0</v>
          </cell>
          <cell r="N863">
            <v>0</v>
          </cell>
          <cell r="O863">
            <v>0</v>
          </cell>
          <cell r="P863">
            <v>0</v>
          </cell>
          <cell r="Q863">
            <v>0</v>
          </cell>
          <cell r="R863">
            <v>0</v>
          </cell>
        </row>
        <row r="864">
          <cell r="A864" t="str">
            <v>11.09.01</v>
          </cell>
          <cell r="B864" t="str">
            <v>BARANDAS METALICAS S/D - TIPO II</v>
          </cell>
          <cell r="C864" t="str">
            <v>m</v>
          </cell>
          <cell r="D864">
            <v>12.96</v>
          </cell>
          <cell r="E864">
            <v>178.41</v>
          </cell>
          <cell r="F864">
            <v>2312.1936000000001</v>
          </cell>
          <cell r="G864">
            <v>0</v>
          </cell>
          <cell r="H864">
            <v>0</v>
          </cell>
          <cell r="I864" t="str">
            <v>0.00%</v>
          </cell>
          <cell r="J864">
            <v>0</v>
          </cell>
          <cell r="K864">
            <v>0</v>
          </cell>
          <cell r="L864" t="str">
            <v>0.00%</v>
          </cell>
          <cell r="M864">
            <v>0</v>
          </cell>
          <cell r="N864">
            <v>0</v>
          </cell>
          <cell r="O864" t="str">
            <v>0.00%</v>
          </cell>
          <cell r="P864">
            <v>12.96</v>
          </cell>
          <cell r="Q864">
            <v>2312.1936000000001</v>
          </cell>
          <cell r="R864">
            <v>1</v>
          </cell>
        </row>
        <row r="865">
          <cell r="A865" t="str">
            <v>11.09.02</v>
          </cell>
          <cell r="B865" t="str">
            <v>CANTONERA DE FIERRO ESTRIADO EN ESCALERA</v>
          </cell>
          <cell r="C865" t="str">
            <v>m</v>
          </cell>
          <cell r="D865">
            <v>33</v>
          </cell>
          <cell r="E865">
            <v>107.03</v>
          </cell>
          <cell r="F865">
            <v>3531.9900000000002</v>
          </cell>
          <cell r="G865">
            <v>0</v>
          </cell>
          <cell r="H865">
            <v>0</v>
          </cell>
          <cell r="I865" t="str">
            <v>0.00%</v>
          </cell>
          <cell r="J865">
            <v>0</v>
          </cell>
          <cell r="K865">
            <v>0</v>
          </cell>
          <cell r="L865" t="str">
            <v>0.00%</v>
          </cell>
          <cell r="M865">
            <v>0</v>
          </cell>
          <cell r="N865">
            <v>0</v>
          </cell>
          <cell r="O865" t="str">
            <v>0.00%</v>
          </cell>
          <cell r="P865">
            <v>33</v>
          </cell>
          <cell r="Q865">
            <v>3531.9900000000002</v>
          </cell>
          <cell r="R865">
            <v>1</v>
          </cell>
        </row>
        <row r="866">
          <cell r="A866" t="str">
            <v>11.10</v>
          </cell>
          <cell r="B866" t="str">
            <v>CERRAJERIA</v>
          </cell>
          <cell r="C866">
            <v>0</v>
          </cell>
          <cell r="D866">
            <v>0</v>
          </cell>
          <cell r="E866">
            <v>0</v>
          </cell>
          <cell r="F866">
            <v>0</v>
          </cell>
          <cell r="G866">
            <v>0</v>
          </cell>
          <cell r="H866">
            <v>0</v>
          </cell>
          <cell r="I866">
            <v>0</v>
          </cell>
          <cell r="J866">
            <v>0</v>
          </cell>
          <cell r="K866">
            <v>0</v>
          </cell>
          <cell r="L866">
            <v>0</v>
          </cell>
          <cell r="M866">
            <v>0</v>
          </cell>
          <cell r="N866">
            <v>0</v>
          </cell>
          <cell r="O866">
            <v>0</v>
          </cell>
          <cell r="P866">
            <v>0</v>
          </cell>
          <cell r="Q866">
            <v>0</v>
          </cell>
          <cell r="R866">
            <v>0</v>
          </cell>
        </row>
        <row r="867">
          <cell r="A867" t="str">
            <v>11.10.01</v>
          </cell>
          <cell r="B867" t="str">
            <v>BISAGRA CAPUCHINA DE 4"</v>
          </cell>
          <cell r="C867" t="str">
            <v>und</v>
          </cell>
          <cell r="D867">
            <v>32</v>
          </cell>
          <cell r="E867">
            <v>15.83</v>
          </cell>
          <cell r="F867">
            <v>506.56</v>
          </cell>
          <cell r="G867">
            <v>0</v>
          </cell>
          <cell r="H867">
            <v>0</v>
          </cell>
          <cell r="I867" t="str">
            <v>0.00%</v>
          </cell>
          <cell r="J867">
            <v>0</v>
          </cell>
          <cell r="K867">
            <v>0</v>
          </cell>
          <cell r="L867" t="str">
            <v>0.00%</v>
          </cell>
          <cell r="M867">
            <v>0</v>
          </cell>
          <cell r="N867">
            <v>0</v>
          </cell>
          <cell r="O867" t="str">
            <v>0.00%</v>
          </cell>
          <cell r="P867">
            <v>32</v>
          </cell>
          <cell r="Q867">
            <v>506.56</v>
          </cell>
          <cell r="R867">
            <v>1</v>
          </cell>
        </row>
        <row r="868">
          <cell r="A868" t="str">
            <v>11.10.02</v>
          </cell>
          <cell r="B868" t="str">
            <v>CERRADURA PARA PUERTA DE TRES GOLPES</v>
          </cell>
          <cell r="C868" t="str">
            <v>und</v>
          </cell>
          <cell r="D868">
            <v>6</v>
          </cell>
          <cell r="E868">
            <v>137.22999999999999</v>
          </cell>
          <cell r="F868">
            <v>823.37999999999988</v>
          </cell>
          <cell r="G868">
            <v>0</v>
          </cell>
          <cell r="H868">
            <v>0</v>
          </cell>
          <cell r="I868" t="str">
            <v>0.00%</v>
          </cell>
          <cell r="J868">
            <v>0</v>
          </cell>
          <cell r="K868">
            <v>0</v>
          </cell>
          <cell r="L868" t="str">
            <v>0.00%</v>
          </cell>
          <cell r="M868">
            <v>0</v>
          </cell>
          <cell r="N868">
            <v>0</v>
          </cell>
          <cell r="O868" t="str">
            <v>0.00%</v>
          </cell>
          <cell r="P868">
            <v>6</v>
          </cell>
          <cell r="Q868">
            <v>823.37999999999988</v>
          </cell>
          <cell r="R868">
            <v>1</v>
          </cell>
        </row>
        <row r="869">
          <cell r="A869" t="str">
            <v>11.10.03</v>
          </cell>
          <cell r="B869" t="str">
            <v>CERRADURA DE PERILLA CON SEGURIDAD INTERIOR</v>
          </cell>
          <cell r="C869" t="str">
            <v>und</v>
          </cell>
          <cell r="D869">
            <v>2</v>
          </cell>
          <cell r="E869">
            <v>92.23</v>
          </cell>
          <cell r="F869">
            <v>184.46</v>
          </cell>
          <cell r="G869">
            <v>0</v>
          </cell>
          <cell r="H869">
            <v>0</v>
          </cell>
          <cell r="I869" t="str">
            <v>0.00%</v>
          </cell>
          <cell r="J869">
            <v>0</v>
          </cell>
          <cell r="K869">
            <v>0</v>
          </cell>
          <cell r="L869" t="str">
            <v>0.00%</v>
          </cell>
          <cell r="M869">
            <v>0</v>
          </cell>
          <cell r="N869">
            <v>0</v>
          </cell>
          <cell r="O869" t="str">
            <v>0.00%</v>
          </cell>
          <cell r="P869">
            <v>2</v>
          </cell>
          <cell r="Q869">
            <v>184.46</v>
          </cell>
          <cell r="R869">
            <v>1</v>
          </cell>
        </row>
        <row r="870">
          <cell r="A870" t="str">
            <v>11.11</v>
          </cell>
          <cell r="B870" t="str">
            <v>VIDRIOS, CRISTALES Y SIMILARES</v>
          </cell>
          <cell r="C870">
            <v>0</v>
          </cell>
          <cell r="D870">
            <v>0</v>
          </cell>
          <cell r="E870">
            <v>0</v>
          </cell>
          <cell r="F870">
            <v>0</v>
          </cell>
          <cell r="G870">
            <v>0</v>
          </cell>
          <cell r="H870">
            <v>0</v>
          </cell>
          <cell r="I870">
            <v>0</v>
          </cell>
          <cell r="J870">
            <v>0</v>
          </cell>
          <cell r="K870">
            <v>0</v>
          </cell>
          <cell r="L870">
            <v>0</v>
          </cell>
          <cell r="M870">
            <v>0</v>
          </cell>
          <cell r="N870">
            <v>0</v>
          </cell>
          <cell r="O870">
            <v>0</v>
          </cell>
          <cell r="P870">
            <v>0</v>
          </cell>
          <cell r="Q870">
            <v>0</v>
          </cell>
          <cell r="R870">
            <v>0</v>
          </cell>
        </row>
        <row r="871">
          <cell r="A871" t="str">
            <v>11.11.01</v>
          </cell>
          <cell r="B871" t="str">
            <v>VIDRIO (8MM.) SISTEMA NOVA INC. ACCESORIOS</v>
          </cell>
          <cell r="C871" t="str">
            <v>p2</v>
          </cell>
          <cell r="D871">
            <v>24.16</v>
          </cell>
          <cell r="E871">
            <v>18.54</v>
          </cell>
          <cell r="F871">
            <v>447.9264</v>
          </cell>
          <cell r="G871">
            <v>0</v>
          </cell>
          <cell r="H871">
            <v>0</v>
          </cell>
          <cell r="I871" t="str">
            <v>0.00%</v>
          </cell>
          <cell r="J871">
            <v>0</v>
          </cell>
          <cell r="K871">
            <v>0</v>
          </cell>
          <cell r="L871" t="str">
            <v>0.00%</v>
          </cell>
          <cell r="M871">
            <v>0</v>
          </cell>
          <cell r="N871">
            <v>0</v>
          </cell>
          <cell r="O871" t="str">
            <v>0.00%</v>
          </cell>
          <cell r="P871">
            <v>24.16</v>
          </cell>
          <cell r="Q871">
            <v>447.9264</v>
          </cell>
          <cell r="R871">
            <v>1</v>
          </cell>
        </row>
        <row r="872">
          <cell r="A872" t="str">
            <v>11.11.02</v>
          </cell>
          <cell r="B872" t="str">
            <v>VIDRIO CRUDO INCOLORO DE 6MM.</v>
          </cell>
          <cell r="C872" t="str">
            <v>p2</v>
          </cell>
          <cell r="D872">
            <v>5.34</v>
          </cell>
          <cell r="E872">
            <v>9.51</v>
          </cell>
          <cell r="F872">
            <v>50.7834</v>
          </cell>
          <cell r="G872">
            <v>0</v>
          </cell>
          <cell r="H872">
            <v>0</v>
          </cell>
          <cell r="I872" t="str">
            <v>0.00%</v>
          </cell>
          <cell r="J872">
            <v>0</v>
          </cell>
          <cell r="K872">
            <v>0</v>
          </cell>
          <cell r="L872" t="str">
            <v>0.00%</v>
          </cell>
          <cell r="M872">
            <v>0</v>
          </cell>
          <cell r="N872">
            <v>0</v>
          </cell>
          <cell r="O872" t="str">
            <v>0.00%</v>
          </cell>
          <cell r="P872">
            <v>5.34</v>
          </cell>
          <cell r="Q872">
            <v>50.7834</v>
          </cell>
          <cell r="R872">
            <v>1</v>
          </cell>
        </row>
        <row r="873">
          <cell r="A873" t="str">
            <v>11.11.03</v>
          </cell>
          <cell r="B873" t="str">
            <v>MURO CON BLOQUE DE VIDRIO S/DETALLE</v>
          </cell>
          <cell r="C873" t="str">
            <v>m2</v>
          </cell>
          <cell r="D873">
            <v>2.04</v>
          </cell>
          <cell r="E873">
            <v>216.65</v>
          </cell>
          <cell r="F873">
            <v>441.96600000000001</v>
          </cell>
          <cell r="G873">
            <v>0</v>
          </cell>
          <cell r="H873">
            <v>0</v>
          </cell>
          <cell r="I873" t="str">
            <v>0.00%</v>
          </cell>
          <cell r="J873">
            <v>0</v>
          </cell>
          <cell r="K873">
            <v>0</v>
          </cell>
          <cell r="L873" t="str">
            <v>0.00%</v>
          </cell>
          <cell r="M873">
            <v>0</v>
          </cell>
          <cell r="N873">
            <v>0</v>
          </cell>
          <cell r="O873" t="str">
            <v>0.00%</v>
          </cell>
          <cell r="P873">
            <v>2.04</v>
          </cell>
          <cell r="Q873">
            <v>441.96600000000001</v>
          </cell>
          <cell r="R873">
            <v>1</v>
          </cell>
        </row>
        <row r="874">
          <cell r="A874" t="str">
            <v>11.12</v>
          </cell>
          <cell r="B874" t="str">
            <v>PINTURA</v>
          </cell>
          <cell r="C874">
            <v>0</v>
          </cell>
          <cell r="D874">
            <v>0</v>
          </cell>
          <cell r="E874">
            <v>0</v>
          </cell>
          <cell r="F874">
            <v>0</v>
          </cell>
          <cell r="G874">
            <v>0</v>
          </cell>
          <cell r="H874">
            <v>0</v>
          </cell>
          <cell r="I874">
            <v>0</v>
          </cell>
          <cell r="J874">
            <v>0</v>
          </cell>
          <cell r="K874">
            <v>0</v>
          </cell>
          <cell r="L874">
            <v>0</v>
          </cell>
          <cell r="M874">
            <v>0</v>
          </cell>
          <cell r="N874">
            <v>0</v>
          </cell>
          <cell r="O874">
            <v>0</v>
          </cell>
          <cell r="P874">
            <v>0</v>
          </cell>
          <cell r="Q874">
            <v>0</v>
          </cell>
          <cell r="R874">
            <v>0</v>
          </cell>
        </row>
        <row r="875">
          <cell r="A875" t="str">
            <v>11.12.01</v>
          </cell>
          <cell r="B875" t="str">
            <v>PINTURA EN CIELORRASO</v>
          </cell>
          <cell r="C875" t="str">
            <v>m2</v>
          </cell>
          <cell r="D875">
            <v>159.34</v>
          </cell>
          <cell r="E875">
            <v>12.59</v>
          </cell>
          <cell r="F875">
            <v>2006.0906</v>
          </cell>
          <cell r="G875">
            <v>0</v>
          </cell>
          <cell r="H875">
            <v>0</v>
          </cell>
          <cell r="I875" t="str">
            <v>0.00%</v>
          </cell>
          <cell r="J875">
            <v>0</v>
          </cell>
          <cell r="K875">
            <v>0</v>
          </cell>
          <cell r="L875" t="str">
            <v>0.00%</v>
          </cell>
          <cell r="M875">
            <v>0</v>
          </cell>
          <cell r="N875">
            <v>0</v>
          </cell>
          <cell r="O875" t="str">
            <v>0.00%</v>
          </cell>
          <cell r="P875">
            <v>159.34</v>
          </cell>
          <cell r="Q875">
            <v>2006.0906</v>
          </cell>
          <cell r="R875">
            <v>1</v>
          </cell>
        </row>
        <row r="876">
          <cell r="A876" t="str">
            <v>11.12.02</v>
          </cell>
          <cell r="B876" t="str">
            <v xml:space="preserve">PINTURA EN INTERIORES </v>
          </cell>
          <cell r="C876" t="str">
            <v>m2</v>
          </cell>
          <cell r="D876">
            <v>296.20999999999998</v>
          </cell>
          <cell r="E876">
            <v>9.6999999999999993</v>
          </cell>
          <cell r="F876">
            <v>2873.2369999999996</v>
          </cell>
          <cell r="G876">
            <v>0</v>
          </cell>
          <cell r="H876">
            <v>0</v>
          </cell>
          <cell r="I876" t="str">
            <v>0.00%</v>
          </cell>
          <cell r="J876">
            <v>0</v>
          </cell>
          <cell r="K876">
            <v>0</v>
          </cell>
          <cell r="L876" t="str">
            <v>0.00%</v>
          </cell>
          <cell r="M876">
            <v>0</v>
          </cell>
          <cell r="N876">
            <v>0</v>
          </cell>
          <cell r="O876" t="str">
            <v>0.00%</v>
          </cell>
          <cell r="P876">
            <v>296.20999999999998</v>
          </cell>
          <cell r="Q876">
            <v>2873.2369999999996</v>
          </cell>
          <cell r="R876">
            <v>1</v>
          </cell>
        </row>
        <row r="877">
          <cell r="A877" t="str">
            <v>11.12.03</v>
          </cell>
          <cell r="B877" t="str">
            <v>PINTURA EN EXTERIORES</v>
          </cell>
          <cell r="C877" t="str">
            <v>m2</v>
          </cell>
          <cell r="D877">
            <v>189.71</v>
          </cell>
          <cell r="E877">
            <v>19.04</v>
          </cell>
          <cell r="F877">
            <v>3612.0783999999999</v>
          </cell>
          <cell r="G877">
            <v>0</v>
          </cell>
          <cell r="H877">
            <v>0</v>
          </cell>
          <cell r="I877" t="str">
            <v>0.00%</v>
          </cell>
          <cell r="J877">
            <v>0</v>
          </cell>
          <cell r="K877">
            <v>0</v>
          </cell>
          <cell r="L877" t="str">
            <v>0.00%</v>
          </cell>
          <cell r="M877">
            <v>0</v>
          </cell>
          <cell r="N877">
            <v>0</v>
          </cell>
          <cell r="O877" t="str">
            <v>0.00%</v>
          </cell>
          <cell r="P877">
            <v>189.71</v>
          </cell>
          <cell r="Q877">
            <v>3612.0783999999999</v>
          </cell>
          <cell r="R877">
            <v>1</v>
          </cell>
        </row>
        <row r="878">
          <cell r="A878" t="str">
            <v>11.12.04</v>
          </cell>
          <cell r="B878" t="str">
            <v>PINTURA EN COLUMNAS</v>
          </cell>
          <cell r="C878" t="str">
            <v>m2</v>
          </cell>
          <cell r="D878">
            <v>84.07</v>
          </cell>
          <cell r="E878">
            <v>10.35</v>
          </cell>
          <cell r="F878">
            <v>870.1244999999999</v>
          </cell>
          <cell r="G878">
            <v>0</v>
          </cell>
          <cell r="H878">
            <v>0</v>
          </cell>
          <cell r="I878" t="str">
            <v>0.00%</v>
          </cell>
          <cell r="J878">
            <v>0</v>
          </cell>
          <cell r="K878">
            <v>0</v>
          </cell>
          <cell r="L878" t="str">
            <v>0.00%</v>
          </cell>
          <cell r="M878">
            <v>0</v>
          </cell>
          <cell r="N878">
            <v>0</v>
          </cell>
          <cell r="O878" t="str">
            <v>0.00%</v>
          </cell>
          <cell r="P878">
            <v>84.07</v>
          </cell>
          <cell r="Q878">
            <v>870.1244999999999</v>
          </cell>
          <cell r="R878">
            <v>1</v>
          </cell>
        </row>
        <row r="879">
          <cell r="A879" t="str">
            <v>11.12.05</v>
          </cell>
          <cell r="B879" t="str">
            <v>PINTURA EN VIGA</v>
          </cell>
          <cell r="C879" t="str">
            <v>m2</v>
          </cell>
          <cell r="D879">
            <v>77.7</v>
          </cell>
          <cell r="E879">
            <v>10.35</v>
          </cell>
          <cell r="F879">
            <v>804.19500000000005</v>
          </cell>
          <cell r="G879">
            <v>0</v>
          </cell>
          <cell r="H879">
            <v>0</v>
          </cell>
          <cell r="I879" t="str">
            <v>0.00%</v>
          </cell>
          <cell r="J879">
            <v>0</v>
          </cell>
          <cell r="K879">
            <v>0</v>
          </cell>
          <cell r="L879" t="str">
            <v>0.00%</v>
          </cell>
          <cell r="M879">
            <v>0</v>
          </cell>
          <cell r="N879">
            <v>0</v>
          </cell>
          <cell r="O879" t="str">
            <v>0.00%</v>
          </cell>
          <cell r="P879">
            <v>77.7</v>
          </cell>
          <cell r="Q879">
            <v>804.19500000000005</v>
          </cell>
          <cell r="R879">
            <v>1</v>
          </cell>
        </row>
        <row r="880">
          <cell r="A880" t="str">
            <v>11.12.06</v>
          </cell>
          <cell r="B880" t="str">
            <v>PINTURA EN CONTRAZOCALOS Y ZOCALOS H= 0.40M C/ESMALTE</v>
          </cell>
          <cell r="C880" t="str">
            <v>m</v>
          </cell>
          <cell r="D880">
            <v>5.16</v>
          </cell>
          <cell r="E880">
            <v>7.19</v>
          </cell>
          <cell r="F880">
            <v>37.1004</v>
          </cell>
          <cell r="G880">
            <v>0</v>
          </cell>
          <cell r="H880">
            <v>0</v>
          </cell>
          <cell r="I880" t="str">
            <v>0.00%</v>
          </cell>
          <cell r="J880">
            <v>0</v>
          </cell>
          <cell r="K880">
            <v>0</v>
          </cell>
          <cell r="L880" t="str">
            <v>0.00%</v>
          </cell>
          <cell r="M880">
            <v>0</v>
          </cell>
          <cell r="N880">
            <v>0</v>
          </cell>
          <cell r="O880" t="str">
            <v>0.00%</v>
          </cell>
          <cell r="P880">
            <v>5.16</v>
          </cell>
          <cell r="Q880">
            <v>37.1004</v>
          </cell>
          <cell r="R880">
            <v>1</v>
          </cell>
        </row>
        <row r="881">
          <cell r="A881" t="str">
            <v>11.12.07</v>
          </cell>
          <cell r="B881" t="str">
            <v>PINTURA EN BARANDAS METALICAS</v>
          </cell>
          <cell r="C881" t="str">
            <v>m</v>
          </cell>
          <cell r="D881">
            <v>12.95</v>
          </cell>
          <cell r="E881">
            <v>9.49</v>
          </cell>
          <cell r="F881">
            <v>122.8955</v>
          </cell>
          <cell r="G881">
            <v>0</v>
          </cell>
          <cell r="H881">
            <v>0</v>
          </cell>
          <cell r="I881" t="str">
            <v>0.00%</v>
          </cell>
          <cell r="J881">
            <v>0</v>
          </cell>
          <cell r="K881">
            <v>0</v>
          </cell>
          <cell r="L881" t="str">
            <v>0.00%</v>
          </cell>
          <cell r="M881">
            <v>0</v>
          </cell>
          <cell r="N881">
            <v>0</v>
          </cell>
          <cell r="O881" t="str">
            <v>0.00%</v>
          </cell>
          <cell r="P881">
            <v>12.95</v>
          </cell>
          <cell r="Q881">
            <v>122.8955</v>
          </cell>
          <cell r="R881">
            <v>1</v>
          </cell>
        </row>
        <row r="882">
          <cell r="A882" t="str">
            <v>11.12.08</v>
          </cell>
          <cell r="B882" t="str">
            <v>PINTURA EN PUERTAS C/BARNIZ 2 MANOS</v>
          </cell>
          <cell r="C882" t="str">
            <v>m2</v>
          </cell>
          <cell r="D882">
            <v>21.63</v>
          </cell>
          <cell r="E882">
            <v>12.86</v>
          </cell>
          <cell r="F882">
            <v>278.16179999999997</v>
          </cell>
          <cell r="G882">
            <v>0</v>
          </cell>
          <cell r="H882">
            <v>0</v>
          </cell>
          <cell r="I882" t="str">
            <v>0.00%</v>
          </cell>
          <cell r="J882">
            <v>0</v>
          </cell>
          <cell r="K882">
            <v>0</v>
          </cell>
          <cell r="L882" t="str">
            <v>0.00%</v>
          </cell>
          <cell r="M882">
            <v>0</v>
          </cell>
          <cell r="N882">
            <v>0</v>
          </cell>
          <cell r="O882" t="str">
            <v>0.00%</v>
          </cell>
          <cell r="P882">
            <v>21.63</v>
          </cell>
          <cell r="Q882">
            <v>278.16179999999997</v>
          </cell>
          <cell r="R882">
            <v>1</v>
          </cell>
        </row>
        <row r="883">
          <cell r="A883" t="str">
            <v>11.13</v>
          </cell>
          <cell r="B883" t="str">
            <v>OBRAS VARIAS</v>
          </cell>
          <cell r="C883">
            <v>0</v>
          </cell>
          <cell r="D883">
            <v>0</v>
          </cell>
          <cell r="E883">
            <v>0</v>
          </cell>
          <cell r="F883">
            <v>0</v>
          </cell>
          <cell r="G883">
            <v>0</v>
          </cell>
          <cell r="H883">
            <v>0</v>
          </cell>
          <cell r="I883">
            <v>0</v>
          </cell>
          <cell r="J883">
            <v>0</v>
          </cell>
          <cell r="K883">
            <v>0</v>
          </cell>
          <cell r="L883">
            <v>0</v>
          </cell>
          <cell r="M883">
            <v>0</v>
          </cell>
          <cell r="N883">
            <v>0</v>
          </cell>
          <cell r="O883">
            <v>0</v>
          </cell>
          <cell r="P883">
            <v>0</v>
          </cell>
          <cell r="Q883">
            <v>0</v>
          </cell>
          <cell r="R883">
            <v>0</v>
          </cell>
        </row>
        <row r="884">
          <cell r="A884" t="str">
            <v>11.13.01</v>
          </cell>
          <cell r="B884" t="str">
            <v>SARDINEL DE CONCRETO SOBRE VIGAS TIMPANO F'C= 175KG/CM2</v>
          </cell>
          <cell r="C884" t="str">
            <v>m3</v>
          </cell>
          <cell r="D884">
            <v>1.03</v>
          </cell>
          <cell r="E884">
            <v>388.98</v>
          </cell>
          <cell r="F884">
            <v>400.64940000000001</v>
          </cell>
          <cell r="G884">
            <v>0</v>
          </cell>
          <cell r="H884">
            <v>0</v>
          </cell>
          <cell r="I884" t="str">
            <v>0.00%</v>
          </cell>
          <cell r="J884">
            <v>1.03</v>
          </cell>
          <cell r="K884">
            <v>400.64940000000001</v>
          </cell>
          <cell r="L884">
            <v>1</v>
          </cell>
          <cell r="M884">
            <v>1.03</v>
          </cell>
          <cell r="N884">
            <v>400.64940000000001</v>
          </cell>
          <cell r="O884">
            <v>1</v>
          </cell>
          <cell r="P884">
            <v>0</v>
          </cell>
          <cell r="Q884">
            <v>0</v>
          </cell>
          <cell r="R884" t="str">
            <v>0.00%</v>
          </cell>
        </row>
        <row r="885">
          <cell r="A885" t="str">
            <v>11.13.02</v>
          </cell>
          <cell r="B885" t="str">
            <v>ENCOFRADO Y DESENCOFRADO DE SARDINELES SOBRE VIGA TIMPANO</v>
          </cell>
          <cell r="C885" t="str">
            <v>m2</v>
          </cell>
          <cell r="D885">
            <v>6.85</v>
          </cell>
          <cell r="E885">
            <v>17.3</v>
          </cell>
          <cell r="F885">
            <v>118.505</v>
          </cell>
          <cell r="G885">
            <v>0</v>
          </cell>
          <cell r="H885">
            <v>0</v>
          </cell>
          <cell r="I885" t="str">
            <v>0.00%</v>
          </cell>
          <cell r="J885">
            <v>6.85</v>
          </cell>
          <cell r="K885">
            <v>118.505</v>
          </cell>
          <cell r="L885">
            <v>1</v>
          </cell>
          <cell r="M885">
            <v>6.85</v>
          </cell>
          <cell r="N885">
            <v>118.505</v>
          </cell>
          <cell r="O885">
            <v>1</v>
          </cell>
          <cell r="P885">
            <v>0</v>
          </cell>
          <cell r="Q885">
            <v>0</v>
          </cell>
          <cell r="R885" t="str">
            <v>0.00%</v>
          </cell>
        </row>
        <row r="886">
          <cell r="A886" t="str">
            <v>11.13.03</v>
          </cell>
          <cell r="B886" t="str">
            <v xml:space="preserve">TAPA JUNTA EN VANOS MUROS/COLUMNA
</v>
          </cell>
          <cell r="C886" t="str">
            <v>m</v>
          </cell>
          <cell r="D886">
            <v>88</v>
          </cell>
          <cell r="E886">
            <v>13.49</v>
          </cell>
          <cell r="F886">
            <v>1187.1200000000001</v>
          </cell>
          <cell r="G886">
            <v>0</v>
          </cell>
          <cell r="H886">
            <v>0</v>
          </cell>
          <cell r="I886" t="str">
            <v>0.00%</v>
          </cell>
          <cell r="J886">
            <v>0</v>
          </cell>
          <cell r="K886">
            <v>0</v>
          </cell>
          <cell r="L886" t="str">
            <v>0.00%</v>
          </cell>
          <cell r="M886">
            <v>0</v>
          </cell>
          <cell r="N886">
            <v>0</v>
          </cell>
          <cell r="O886" t="str">
            <v>0.00%</v>
          </cell>
          <cell r="P886">
            <v>88</v>
          </cell>
          <cell r="Q886">
            <v>1187.1200000000001</v>
          </cell>
          <cell r="R886">
            <v>1</v>
          </cell>
        </row>
        <row r="887">
          <cell r="A887" t="str">
            <v>11.13.04</v>
          </cell>
          <cell r="B887" t="str">
            <v>TAPA JUNTA  METALICA</v>
          </cell>
          <cell r="C887" t="str">
            <v>m</v>
          </cell>
          <cell r="D887">
            <v>5.86</v>
          </cell>
          <cell r="E887">
            <v>50.83</v>
          </cell>
          <cell r="F887">
            <v>297.86380000000003</v>
          </cell>
          <cell r="G887">
            <v>0</v>
          </cell>
          <cell r="H887">
            <v>0</v>
          </cell>
          <cell r="I887" t="str">
            <v>0.00%</v>
          </cell>
          <cell r="J887">
            <v>0</v>
          </cell>
          <cell r="K887">
            <v>0</v>
          </cell>
          <cell r="L887" t="str">
            <v>0.00%</v>
          </cell>
          <cell r="M887">
            <v>0</v>
          </cell>
          <cell r="N887">
            <v>0</v>
          </cell>
          <cell r="O887" t="str">
            <v>0.00%</v>
          </cell>
          <cell r="P887">
            <v>5.86</v>
          </cell>
          <cell r="Q887">
            <v>297.86380000000003</v>
          </cell>
          <cell r="R887">
            <v>1</v>
          </cell>
        </row>
        <row r="888">
          <cell r="A888" t="str">
            <v>12</v>
          </cell>
          <cell r="B888" t="str">
            <v>BLOQUE - 5</v>
          </cell>
          <cell r="C888">
            <v>0</v>
          </cell>
          <cell r="D888">
            <v>0</v>
          </cell>
          <cell r="E888">
            <v>0</v>
          </cell>
          <cell r="F888">
            <v>0</v>
          </cell>
          <cell r="G888">
            <v>0</v>
          </cell>
          <cell r="H888">
            <v>0</v>
          </cell>
          <cell r="I888">
            <v>0</v>
          </cell>
          <cell r="J888">
            <v>0</v>
          </cell>
          <cell r="K888">
            <v>0</v>
          </cell>
          <cell r="L888">
            <v>0</v>
          </cell>
          <cell r="M888">
            <v>0</v>
          </cell>
          <cell r="N888">
            <v>0</v>
          </cell>
          <cell r="O888">
            <v>0</v>
          </cell>
          <cell r="P888">
            <v>0</v>
          </cell>
          <cell r="Q888">
            <v>0</v>
          </cell>
          <cell r="R888">
            <v>0</v>
          </cell>
        </row>
        <row r="889">
          <cell r="A889" t="str">
            <v>12.01</v>
          </cell>
          <cell r="B889" t="str">
            <v>MUROS Y TABIQUES</v>
          </cell>
          <cell r="C889">
            <v>0</v>
          </cell>
          <cell r="D889">
            <v>0</v>
          </cell>
          <cell r="E889">
            <v>0</v>
          </cell>
          <cell r="F889">
            <v>0</v>
          </cell>
          <cell r="G889">
            <v>0</v>
          </cell>
          <cell r="H889">
            <v>0</v>
          </cell>
          <cell r="I889">
            <v>0</v>
          </cell>
          <cell r="J889">
            <v>0</v>
          </cell>
          <cell r="K889">
            <v>0</v>
          </cell>
          <cell r="L889">
            <v>0</v>
          </cell>
          <cell r="M889">
            <v>0</v>
          </cell>
          <cell r="N889">
            <v>0</v>
          </cell>
          <cell r="O889">
            <v>0</v>
          </cell>
          <cell r="P889">
            <v>0</v>
          </cell>
          <cell r="Q889">
            <v>0</v>
          </cell>
          <cell r="R889">
            <v>0</v>
          </cell>
        </row>
        <row r="890">
          <cell r="A890" t="str">
            <v>12.01.01</v>
          </cell>
          <cell r="B890" t="str">
            <v>MURO DE CABEZA LADRILLO KIN-KONG DE ARCILLA</v>
          </cell>
          <cell r="C890" t="str">
            <v>m2</v>
          </cell>
          <cell r="D890">
            <v>121.41</v>
          </cell>
          <cell r="E890">
            <v>151.13999999999999</v>
          </cell>
          <cell r="F890">
            <v>18349.907399999996</v>
          </cell>
          <cell r="G890">
            <v>0</v>
          </cell>
          <cell r="H890">
            <v>0</v>
          </cell>
          <cell r="I890" t="str">
            <v>0.00%</v>
          </cell>
          <cell r="J890">
            <v>0</v>
          </cell>
          <cell r="K890">
            <v>0</v>
          </cell>
          <cell r="L890" t="str">
            <v>0.00%</v>
          </cell>
          <cell r="M890">
            <v>0</v>
          </cell>
          <cell r="N890">
            <v>0</v>
          </cell>
          <cell r="O890" t="str">
            <v>0.00%</v>
          </cell>
          <cell r="P890">
            <v>121.41</v>
          </cell>
          <cell r="Q890">
            <v>18349.907399999996</v>
          </cell>
          <cell r="R890">
            <v>1</v>
          </cell>
        </row>
        <row r="891">
          <cell r="A891" t="str">
            <v>12.01.02</v>
          </cell>
          <cell r="B891" t="str">
            <v>MURO DE SOGA LADRILLO KIN-KONG DE ARCILLA</v>
          </cell>
          <cell r="C891" t="str">
            <v>m2</v>
          </cell>
          <cell r="D891">
            <v>37.35</v>
          </cell>
          <cell r="E891">
            <v>99.24</v>
          </cell>
          <cell r="F891">
            <v>3706.614</v>
          </cell>
          <cell r="G891">
            <v>0</v>
          </cell>
          <cell r="H891">
            <v>0</v>
          </cell>
          <cell r="I891" t="str">
            <v>0.00%</v>
          </cell>
          <cell r="J891">
            <v>0</v>
          </cell>
          <cell r="K891">
            <v>0</v>
          </cell>
          <cell r="L891" t="str">
            <v>0.00%</v>
          </cell>
          <cell r="M891">
            <v>0</v>
          </cell>
          <cell r="N891">
            <v>0</v>
          </cell>
          <cell r="O891" t="str">
            <v>0.00%</v>
          </cell>
          <cell r="P891">
            <v>37.35</v>
          </cell>
          <cell r="Q891">
            <v>3706.614</v>
          </cell>
          <cell r="R891">
            <v>1</v>
          </cell>
        </row>
        <row r="892">
          <cell r="A892" t="str">
            <v>12.02</v>
          </cell>
          <cell r="B892" t="str">
            <v>REVOQUES ENLUCIDOS Y MOLDURAS</v>
          </cell>
          <cell r="C892">
            <v>0</v>
          </cell>
          <cell r="D892">
            <v>0</v>
          </cell>
          <cell r="E892">
            <v>0</v>
          </cell>
          <cell r="F892">
            <v>0</v>
          </cell>
          <cell r="G892">
            <v>0</v>
          </cell>
          <cell r="H892">
            <v>0</v>
          </cell>
          <cell r="I892">
            <v>0</v>
          </cell>
          <cell r="J892">
            <v>0</v>
          </cell>
          <cell r="K892">
            <v>0</v>
          </cell>
          <cell r="L892">
            <v>0</v>
          </cell>
          <cell r="M892">
            <v>0</v>
          </cell>
          <cell r="N892">
            <v>0</v>
          </cell>
          <cell r="O892">
            <v>0</v>
          </cell>
          <cell r="P892">
            <v>0</v>
          </cell>
          <cell r="Q892">
            <v>0</v>
          </cell>
          <cell r="R892">
            <v>0</v>
          </cell>
        </row>
        <row r="893">
          <cell r="A893" t="str">
            <v>12.02.01</v>
          </cell>
          <cell r="B893" t="str">
            <v>TARRAJEO EN MUROS INTERIORES MEZCLA 1:5 CEMENTO:ARENA</v>
          </cell>
          <cell r="C893" t="str">
            <v>m2</v>
          </cell>
          <cell r="D893">
            <v>225.46</v>
          </cell>
          <cell r="E893">
            <v>26.91</v>
          </cell>
          <cell r="F893">
            <v>6067.1286</v>
          </cell>
          <cell r="G893">
            <v>0</v>
          </cell>
          <cell r="H893">
            <v>0</v>
          </cell>
          <cell r="I893" t="str">
            <v>0.00%</v>
          </cell>
          <cell r="J893">
            <v>0</v>
          </cell>
          <cell r="K893">
            <v>0</v>
          </cell>
          <cell r="L893" t="str">
            <v>0.00%</v>
          </cell>
          <cell r="M893">
            <v>0</v>
          </cell>
          <cell r="N893">
            <v>0</v>
          </cell>
          <cell r="O893" t="str">
            <v>0.00%</v>
          </cell>
          <cell r="P893">
            <v>225.46</v>
          </cell>
          <cell r="Q893">
            <v>6067.1286</v>
          </cell>
          <cell r="R893">
            <v>1</v>
          </cell>
        </row>
        <row r="894">
          <cell r="A894" t="str">
            <v>12.02.02</v>
          </cell>
          <cell r="B894" t="str">
            <v>TARRAJEO EN MUROS EXTERIORES MEZCLA 1:5 CEMENTO:ARENA</v>
          </cell>
          <cell r="C894" t="str">
            <v>m2</v>
          </cell>
          <cell r="D894">
            <v>92.05</v>
          </cell>
          <cell r="E894">
            <v>33.57</v>
          </cell>
          <cell r="F894">
            <v>3090.1185</v>
          </cell>
          <cell r="G894">
            <v>0</v>
          </cell>
          <cell r="H894">
            <v>0</v>
          </cell>
          <cell r="I894" t="str">
            <v>0.00%</v>
          </cell>
          <cell r="J894">
            <v>0</v>
          </cell>
          <cell r="K894">
            <v>0</v>
          </cell>
          <cell r="L894" t="str">
            <v>0.00%</v>
          </cell>
          <cell r="M894">
            <v>0</v>
          </cell>
          <cell r="N894">
            <v>0</v>
          </cell>
          <cell r="O894" t="str">
            <v>0.00%</v>
          </cell>
          <cell r="P894">
            <v>92.05</v>
          </cell>
          <cell r="Q894">
            <v>3090.1185</v>
          </cell>
          <cell r="R894">
            <v>1</v>
          </cell>
        </row>
        <row r="895">
          <cell r="A895" t="str">
            <v>12.02.03</v>
          </cell>
          <cell r="B895" t="str">
            <v>TARRAJEO DE SUPERFICIE COLUMNAS INCL. ARISTAS MEZCLA 1:5 CEMENTO:ARENA</v>
          </cell>
          <cell r="C895" t="str">
            <v>m2</v>
          </cell>
          <cell r="D895">
            <v>99.5</v>
          </cell>
          <cell r="E895">
            <v>29.04</v>
          </cell>
          <cell r="F895">
            <v>2889.48</v>
          </cell>
          <cell r="G895">
            <v>0</v>
          </cell>
          <cell r="H895">
            <v>0</v>
          </cell>
          <cell r="I895" t="str">
            <v>0.00%</v>
          </cell>
          <cell r="J895">
            <v>0</v>
          </cell>
          <cell r="K895">
            <v>0</v>
          </cell>
          <cell r="L895" t="str">
            <v>0.00%</v>
          </cell>
          <cell r="M895">
            <v>0</v>
          </cell>
          <cell r="N895">
            <v>0</v>
          </cell>
          <cell r="O895" t="str">
            <v>0.00%</v>
          </cell>
          <cell r="P895">
            <v>99.5</v>
          </cell>
          <cell r="Q895">
            <v>2889.48</v>
          </cell>
          <cell r="R895">
            <v>1</v>
          </cell>
        </row>
        <row r="896">
          <cell r="A896" t="str">
            <v>12.02.04</v>
          </cell>
          <cell r="B896" t="str">
            <v>TARRAJEO DE SUPERF.VIGAS INCL.ARISTAS, MEZCLA 1:5 CEMENTO:ARENA</v>
          </cell>
          <cell r="C896" t="str">
            <v>m2</v>
          </cell>
          <cell r="D896">
            <v>104.91</v>
          </cell>
          <cell r="E896">
            <v>34.25</v>
          </cell>
          <cell r="F896">
            <v>3593.1675</v>
          </cell>
          <cell r="G896">
            <v>0</v>
          </cell>
          <cell r="H896">
            <v>0</v>
          </cell>
          <cell r="I896" t="str">
            <v>0.00%</v>
          </cell>
          <cell r="J896">
            <v>0</v>
          </cell>
          <cell r="K896">
            <v>0</v>
          </cell>
          <cell r="L896" t="str">
            <v>0.00%</v>
          </cell>
          <cell r="M896">
            <v>0</v>
          </cell>
          <cell r="N896">
            <v>0</v>
          </cell>
          <cell r="O896" t="str">
            <v>0.00%</v>
          </cell>
          <cell r="P896">
            <v>104.91</v>
          </cell>
          <cell r="Q896">
            <v>3593.1675</v>
          </cell>
          <cell r="R896">
            <v>1</v>
          </cell>
        </row>
        <row r="897">
          <cell r="A897" t="str">
            <v>12.02.05</v>
          </cell>
          <cell r="B897" t="str">
            <v>TARRAJEO CON IMPERMEABILIZANTE EN COBERTURAS</v>
          </cell>
          <cell r="C897" t="str">
            <v>m2</v>
          </cell>
          <cell r="D897">
            <v>173.73</v>
          </cell>
          <cell r="E897">
            <v>60.76</v>
          </cell>
          <cell r="F897">
            <v>10555.834799999999</v>
          </cell>
          <cell r="G897">
            <v>0</v>
          </cell>
          <cell r="H897">
            <v>0</v>
          </cell>
          <cell r="I897" t="str">
            <v>0.00%</v>
          </cell>
          <cell r="J897">
            <v>0</v>
          </cell>
          <cell r="K897">
            <v>0</v>
          </cell>
          <cell r="L897" t="str">
            <v>0.00%</v>
          </cell>
          <cell r="M897">
            <v>0</v>
          </cell>
          <cell r="N897">
            <v>0</v>
          </cell>
          <cell r="O897" t="str">
            <v>0.00%</v>
          </cell>
          <cell r="P897">
            <v>173.73</v>
          </cell>
          <cell r="Q897">
            <v>10555.834799999999</v>
          </cell>
          <cell r="R897">
            <v>1</v>
          </cell>
        </row>
        <row r="898">
          <cell r="A898" t="str">
            <v>12.02.06</v>
          </cell>
          <cell r="B898" t="str">
            <v>TARRAJEO EN CUNETA DE EVACUACION PLUVIAL EXTERIOR - TECHO</v>
          </cell>
          <cell r="C898" t="str">
            <v>m2</v>
          </cell>
          <cell r="D898">
            <v>46.57</v>
          </cell>
          <cell r="E898">
            <v>39.65</v>
          </cell>
          <cell r="F898">
            <v>1846.5004999999999</v>
          </cell>
          <cell r="G898">
            <v>0</v>
          </cell>
          <cell r="H898">
            <v>0</v>
          </cell>
          <cell r="I898" t="str">
            <v>0.00%</v>
          </cell>
          <cell r="J898">
            <v>0</v>
          </cell>
          <cell r="K898">
            <v>0</v>
          </cell>
          <cell r="L898" t="str">
            <v>0.00%</v>
          </cell>
          <cell r="M898">
            <v>0</v>
          </cell>
          <cell r="N898">
            <v>0</v>
          </cell>
          <cell r="O898" t="str">
            <v>0.00%</v>
          </cell>
          <cell r="P898">
            <v>46.57</v>
          </cell>
          <cell r="Q898">
            <v>1846.5004999999999</v>
          </cell>
          <cell r="R898">
            <v>1</v>
          </cell>
        </row>
        <row r="899">
          <cell r="A899" t="str">
            <v>12.02.07</v>
          </cell>
          <cell r="B899" t="str">
            <v>TARRAJEO CON IMPERMEABILIZANTE EN  CUNETA INTERIOR - TECHO</v>
          </cell>
          <cell r="C899" t="str">
            <v>m2</v>
          </cell>
          <cell r="D899">
            <v>46.57</v>
          </cell>
          <cell r="E899">
            <v>42.36</v>
          </cell>
          <cell r="F899">
            <v>1972.7051999999999</v>
          </cell>
          <cell r="G899">
            <v>0</v>
          </cell>
          <cell r="H899">
            <v>0</v>
          </cell>
          <cell r="I899" t="str">
            <v>0.00%</v>
          </cell>
          <cell r="J899">
            <v>0</v>
          </cell>
          <cell r="K899">
            <v>0</v>
          </cell>
          <cell r="L899" t="str">
            <v>0.00%</v>
          </cell>
          <cell r="M899">
            <v>0</v>
          </cell>
          <cell r="N899">
            <v>0</v>
          </cell>
          <cell r="O899" t="str">
            <v>0.00%</v>
          </cell>
          <cell r="P899">
            <v>46.57</v>
          </cell>
          <cell r="Q899">
            <v>1972.7051999999999</v>
          </cell>
          <cell r="R899">
            <v>1</v>
          </cell>
        </row>
        <row r="900">
          <cell r="A900" t="str">
            <v>12.02.08</v>
          </cell>
          <cell r="B900" t="str">
            <v xml:space="preserve">VESTIDURA DE DERRAMES </v>
          </cell>
          <cell r="C900" t="str">
            <v>m</v>
          </cell>
          <cell r="D900">
            <v>127.9</v>
          </cell>
          <cell r="E900">
            <v>24.82</v>
          </cell>
          <cell r="F900">
            <v>3174.4780000000001</v>
          </cell>
          <cell r="G900">
            <v>0</v>
          </cell>
          <cell r="H900">
            <v>0</v>
          </cell>
          <cell r="I900" t="str">
            <v>0.00%</v>
          </cell>
          <cell r="J900">
            <v>0</v>
          </cell>
          <cell r="K900">
            <v>0</v>
          </cell>
          <cell r="L900" t="str">
            <v>0.00%</v>
          </cell>
          <cell r="M900">
            <v>0</v>
          </cell>
          <cell r="N900">
            <v>0</v>
          </cell>
          <cell r="O900" t="str">
            <v>0.00%</v>
          </cell>
          <cell r="P900">
            <v>127.9</v>
          </cell>
          <cell r="Q900">
            <v>3174.4780000000001</v>
          </cell>
          <cell r="R900">
            <v>1</v>
          </cell>
        </row>
        <row r="901">
          <cell r="A901" t="str">
            <v>12.02.09</v>
          </cell>
          <cell r="B901" t="str">
            <v>BRUÑA DE 1CM ENTRE MUROS Y ESTRUCTURAS</v>
          </cell>
          <cell r="C901" t="str">
            <v>m</v>
          </cell>
          <cell r="D901">
            <v>220.5</v>
          </cell>
          <cell r="E901">
            <v>2.08</v>
          </cell>
          <cell r="F901">
            <v>458.64000000000004</v>
          </cell>
          <cell r="G901">
            <v>0</v>
          </cell>
          <cell r="H901">
            <v>0</v>
          </cell>
          <cell r="I901" t="str">
            <v>0.00%</v>
          </cell>
          <cell r="J901">
            <v>0</v>
          </cell>
          <cell r="K901">
            <v>0</v>
          </cell>
          <cell r="L901" t="str">
            <v>0.00%</v>
          </cell>
          <cell r="M901">
            <v>0</v>
          </cell>
          <cell r="N901">
            <v>0</v>
          </cell>
          <cell r="O901" t="str">
            <v>0.00%</v>
          </cell>
          <cell r="P901">
            <v>220.5</v>
          </cell>
          <cell r="Q901">
            <v>458.64000000000004</v>
          </cell>
          <cell r="R901">
            <v>1</v>
          </cell>
        </row>
        <row r="902">
          <cell r="A902" t="str">
            <v>12.03</v>
          </cell>
          <cell r="B902" t="str">
            <v>ESTRUCTURAS METALICAS</v>
          </cell>
          <cell r="C902">
            <v>0</v>
          </cell>
          <cell r="D902">
            <v>0</v>
          </cell>
          <cell r="E902">
            <v>0</v>
          </cell>
          <cell r="F902">
            <v>0</v>
          </cell>
          <cell r="G902">
            <v>0</v>
          </cell>
          <cell r="H902">
            <v>0</v>
          </cell>
          <cell r="I902">
            <v>0</v>
          </cell>
          <cell r="J902">
            <v>0</v>
          </cell>
          <cell r="K902">
            <v>0</v>
          </cell>
          <cell r="L902">
            <v>0</v>
          </cell>
          <cell r="M902">
            <v>0</v>
          </cell>
          <cell r="N902">
            <v>0</v>
          </cell>
          <cell r="O902">
            <v>0</v>
          </cell>
          <cell r="P902">
            <v>0</v>
          </cell>
          <cell r="Q902">
            <v>0</v>
          </cell>
          <cell r="R902">
            <v>0</v>
          </cell>
        </row>
        <row r="903">
          <cell r="A903" t="str">
            <v>12.03.01</v>
          </cell>
          <cell r="B903" t="str">
            <v>CORREAS DE TUBO LAC 2"X2"X2mm</v>
          </cell>
          <cell r="C903" t="str">
            <v>m</v>
          </cell>
          <cell r="D903">
            <v>156</v>
          </cell>
          <cell r="E903">
            <v>28.38</v>
          </cell>
          <cell r="F903">
            <v>4427.28</v>
          </cell>
          <cell r="G903">
            <v>0</v>
          </cell>
          <cell r="H903">
            <v>0</v>
          </cell>
          <cell r="I903" t="str">
            <v>0.00%</v>
          </cell>
          <cell r="J903">
            <v>0</v>
          </cell>
          <cell r="K903">
            <v>0</v>
          </cell>
          <cell r="L903" t="str">
            <v>0.00%</v>
          </cell>
          <cell r="M903">
            <v>0</v>
          </cell>
          <cell r="N903">
            <v>0</v>
          </cell>
          <cell r="O903" t="str">
            <v>0.00%</v>
          </cell>
          <cell r="P903">
            <v>156</v>
          </cell>
          <cell r="Q903">
            <v>4427.28</v>
          </cell>
          <cell r="R903">
            <v>1</v>
          </cell>
        </row>
        <row r="904">
          <cell r="A904" t="str">
            <v>12.04</v>
          </cell>
          <cell r="B904" t="str">
            <v>COBERTURA</v>
          </cell>
          <cell r="C904">
            <v>0</v>
          </cell>
          <cell r="D904">
            <v>0</v>
          </cell>
          <cell r="E904">
            <v>0</v>
          </cell>
          <cell r="F904">
            <v>0</v>
          </cell>
          <cell r="G904">
            <v>0</v>
          </cell>
          <cell r="H904">
            <v>0</v>
          </cell>
          <cell r="I904">
            <v>0</v>
          </cell>
          <cell r="J904">
            <v>0</v>
          </cell>
          <cell r="K904">
            <v>0</v>
          </cell>
          <cell r="L904">
            <v>0</v>
          </cell>
          <cell r="M904">
            <v>0</v>
          </cell>
          <cell r="N904">
            <v>0</v>
          </cell>
          <cell r="O904">
            <v>0</v>
          </cell>
          <cell r="P904">
            <v>0</v>
          </cell>
          <cell r="Q904">
            <v>0</v>
          </cell>
          <cell r="R904">
            <v>0</v>
          </cell>
        </row>
        <row r="905">
          <cell r="A905" t="str">
            <v>12.04.01</v>
          </cell>
          <cell r="B905" t="str">
            <v>COBERTURA DE PLACA ONDUVILLA</v>
          </cell>
          <cell r="C905" t="str">
            <v>m2</v>
          </cell>
          <cell r="D905">
            <v>135.80000000000001</v>
          </cell>
          <cell r="E905">
            <v>147.85</v>
          </cell>
          <cell r="F905">
            <v>20078.030000000002</v>
          </cell>
          <cell r="G905">
            <v>0</v>
          </cell>
          <cell r="H905">
            <v>0</v>
          </cell>
          <cell r="I905" t="str">
            <v>0.00%</v>
          </cell>
          <cell r="J905">
            <v>0</v>
          </cell>
          <cell r="K905">
            <v>0</v>
          </cell>
          <cell r="L905" t="str">
            <v>0.00%</v>
          </cell>
          <cell r="M905">
            <v>0</v>
          </cell>
          <cell r="N905">
            <v>0</v>
          </cell>
          <cell r="O905" t="str">
            <v>0.00%</v>
          </cell>
          <cell r="P905">
            <v>135.80000000000001</v>
          </cell>
          <cell r="Q905">
            <v>20078.030000000002</v>
          </cell>
          <cell r="R905">
            <v>1</v>
          </cell>
        </row>
        <row r="906">
          <cell r="A906" t="str">
            <v>12.04.02</v>
          </cell>
          <cell r="B906" t="str">
            <v>CUMBRERA DE ONDUVILLA</v>
          </cell>
          <cell r="C906" t="str">
            <v>m</v>
          </cell>
          <cell r="D906">
            <v>14</v>
          </cell>
          <cell r="E906">
            <v>101.1</v>
          </cell>
          <cell r="F906">
            <v>1415.3999999999999</v>
          </cell>
          <cell r="G906">
            <v>0</v>
          </cell>
          <cell r="H906">
            <v>0</v>
          </cell>
          <cell r="I906" t="str">
            <v>0.00%</v>
          </cell>
          <cell r="J906">
            <v>0</v>
          </cell>
          <cell r="K906">
            <v>0</v>
          </cell>
          <cell r="L906" t="str">
            <v>0.00%</v>
          </cell>
          <cell r="M906">
            <v>0</v>
          </cell>
          <cell r="N906">
            <v>0</v>
          </cell>
          <cell r="O906" t="str">
            <v>0.00%</v>
          </cell>
          <cell r="P906">
            <v>14</v>
          </cell>
          <cell r="Q906">
            <v>1415.3999999999999</v>
          </cell>
          <cell r="R906">
            <v>1</v>
          </cell>
        </row>
        <row r="907">
          <cell r="A907" t="str">
            <v>12.04.03</v>
          </cell>
          <cell r="B907" t="str">
            <v>COBERTURA DE POLICARBONATO ALVEOLAR TRASLUCIDO DE 6 MM.</v>
          </cell>
          <cell r="C907" t="str">
            <v>m2</v>
          </cell>
          <cell r="D907">
            <v>37.54</v>
          </cell>
          <cell r="E907">
            <v>63.81</v>
          </cell>
          <cell r="F907">
            <v>2395.4274</v>
          </cell>
          <cell r="G907">
            <v>0</v>
          </cell>
          <cell r="H907">
            <v>0</v>
          </cell>
          <cell r="I907" t="str">
            <v>0.00%</v>
          </cell>
          <cell r="J907">
            <v>0</v>
          </cell>
          <cell r="K907">
            <v>0</v>
          </cell>
          <cell r="L907" t="str">
            <v>0.00%</v>
          </cell>
          <cell r="M907">
            <v>0</v>
          </cell>
          <cell r="N907">
            <v>0</v>
          </cell>
          <cell r="O907" t="str">
            <v>0.00%</v>
          </cell>
          <cell r="P907">
            <v>37.54</v>
          </cell>
          <cell r="Q907">
            <v>2395.4274</v>
          </cell>
          <cell r="R907">
            <v>1</v>
          </cell>
        </row>
        <row r="908">
          <cell r="A908" t="str">
            <v>12.05</v>
          </cell>
          <cell r="B908" t="str">
            <v>CIELORRASOS</v>
          </cell>
          <cell r="C908">
            <v>0</v>
          </cell>
          <cell r="D908">
            <v>0</v>
          </cell>
          <cell r="E908">
            <v>0</v>
          </cell>
          <cell r="F908">
            <v>0</v>
          </cell>
          <cell r="G908">
            <v>0</v>
          </cell>
          <cell r="H908">
            <v>0</v>
          </cell>
          <cell r="I908">
            <v>0</v>
          </cell>
          <cell r="J908">
            <v>0</v>
          </cell>
          <cell r="K908">
            <v>0</v>
          </cell>
          <cell r="L908">
            <v>0</v>
          </cell>
          <cell r="M908">
            <v>0</v>
          </cell>
          <cell r="N908">
            <v>0</v>
          </cell>
          <cell r="O908">
            <v>0</v>
          </cell>
          <cell r="P908">
            <v>0</v>
          </cell>
          <cell r="Q908">
            <v>0</v>
          </cell>
          <cell r="R908">
            <v>0</v>
          </cell>
        </row>
        <row r="909">
          <cell r="A909" t="str">
            <v>12.05.01</v>
          </cell>
          <cell r="B909" t="str">
            <v>CIELORRASOS CON MEZCLA C:A 1:5 e= 1.5 CM</v>
          </cell>
          <cell r="C909" t="str">
            <v>m2</v>
          </cell>
          <cell r="D909">
            <v>153.93</v>
          </cell>
          <cell r="E909">
            <v>41.21</v>
          </cell>
          <cell r="F909">
            <v>6343.4553000000005</v>
          </cell>
          <cell r="G909">
            <v>0</v>
          </cell>
          <cell r="H909">
            <v>0</v>
          </cell>
          <cell r="I909" t="str">
            <v>0.00%</v>
          </cell>
          <cell r="J909">
            <v>0</v>
          </cell>
          <cell r="K909">
            <v>0</v>
          </cell>
          <cell r="L909" t="str">
            <v>0.00%</v>
          </cell>
          <cell r="M909">
            <v>0</v>
          </cell>
          <cell r="N909">
            <v>0</v>
          </cell>
          <cell r="O909" t="str">
            <v>0.00%</v>
          </cell>
          <cell r="P909">
            <v>153.93</v>
          </cell>
          <cell r="Q909">
            <v>6343.4553000000005</v>
          </cell>
          <cell r="R909">
            <v>1</v>
          </cell>
        </row>
        <row r="910">
          <cell r="A910" t="str">
            <v>12.06</v>
          </cell>
          <cell r="B910" t="str">
            <v>PISOS Y PAVIMENTOS</v>
          </cell>
          <cell r="C910">
            <v>0</v>
          </cell>
          <cell r="D910">
            <v>0</v>
          </cell>
          <cell r="E910">
            <v>0</v>
          </cell>
          <cell r="F910">
            <v>0</v>
          </cell>
          <cell r="G910">
            <v>0</v>
          </cell>
          <cell r="H910">
            <v>0</v>
          </cell>
          <cell r="I910">
            <v>0</v>
          </cell>
          <cell r="J910">
            <v>0</v>
          </cell>
          <cell r="K910">
            <v>0</v>
          </cell>
          <cell r="L910">
            <v>0</v>
          </cell>
          <cell r="M910">
            <v>0</v>
          </cell>
          <cell r="N910">
            <v>0</v>
          </cell>
          <cell r="O910">
            <v>0</v>
          </cell>
          <cell r="P910">
            <v>0</v>
          </cell>
          <cell r="Q910">
            <v>0</v>
          </cell>
          <cell r="R910">
            <v>0</v>
          </cell>
        </row>
        <row r="911">
          <cell r="A911" t="str">
            <v>12.06.01</v>
          </cell>
          <cell r="B911" t="str">
            <v>FALSO PISO DE 4" DE CONCRETO 1:10</v>
          </cell>
          <cell r="C911" t="str">
            <v>m2</v>
          </cell>
          <cell r="D911">
            <v>174.38</v>
          </cell>
          <cell r="E911">
            <v>34.700000000000003</v>
          </cell>
          <cell r="F911">
            <v>6050.9860000000008</v>
          </cell>
          <cell r="G911">
            <v>0</v>
          </cell>
          <cell r="H911">
            <v>0</v>
          </cell>
          <cell r="I911" t="str">
            <v>0.00%</v>
          </cell>
          <cell r="J911">
            <v>0</v>
          </cell>
          <cell r="K911">
            <v>0</v>
          </cell>
          <cell r="L911" t="str">
            <v>0.00%</v>
          </cell>
          <cell r="M911">
            <v>0</v>
          </cell>
          <cell r="N911">
            <v>0</v>
          </cell>
          <cell r="O911" t="str">
            <v>0.00%</v>
          </cell>
          <cell r="P911">
            <v>174.38</v>
          </cell>
          <cell r="Q911">
            <v>6050.9860000000008</v>
          </cell>
          <cell r="R911">
            <v>1</v>
          </cell>
        </row>
        <row r="912">
          <cell r="A912" t="str">
            <v>12.06.02</v>
          </cell>
          <cell r="B912" t="str">
            <v>CONTRAPISO DE 48 MM.</v>
          </cell>
          <cell r="C912" t="str">
            <v>m2</v>
          </cell>
          <cell r="D912">
            <v>174.38</v>
          </cell>
          <cell r="E912">
            <v>33.57</v>
          </cell>
          <cell r="F912">
            <v>5853.9366</v>
          </cell>
          <cell r="G912">
            <v>0</v>
          </cell>
          <cell r="H912">
            <v>0</v>
          </cell>
          <cell r="I912" t="str">
            <v>0.00%</v>
          </cell>
          <cell r="J912">
            <v>0</v>
          </cell>
          <cell r="K912">
            <v>0</v>
          </cell>
          <cell r="L912" t="str">
            <v>0.00%</v>
          </cell>
          <cell r="M912">
            <v>0</v>
          </cell>
          <cell r="N912">
            <v>0</v>
          </cell>
          <cell r="O912" t="str">
            <v>0.00%</v>
          </cell>
          <cell r="P912">
            <v>174.38</v>
          </cell>
          <cell r="Q912">
            <v>5853.9366</v>
          </cell>
          <cell r="R912">
            <v>1</v>
          </cell>
        </row>
        <row r="913">
          <cell r="A913" t="str">
            <v>12.06.03</v>
          </cell>
          <cell r="B913" t="str">
            <v>PISO DE PORCELANATO 0.60 x 0.60 m.</v>
          </cell>
          <cell r="C913" t="str">
            <v>m2</v>
          </cell>
          <cell r="D913">
            <v>139.79</v>
          </cell>
          <cell r="E913">
            <v>182.85</v>
          </cell>
          <cell r="F913">
            <v>25560.601499999997</v>
          </cell>
          <cell r="G913">
            <v>0</v>
          </cell>
          <cell r="H913">
            <v>0</v>
          </cell>
          <cell r="I913" t="str">
            <v>0.00%</v>
          </cell>
          <cell r="J913">
            <v>0</v>
          </cell>
          <cell r="K913">
            <v>0</v>
          </cell>
          <cell r="L913" t="str">
            <v>0.00%</v>
          </cell>
          <cell r="M913">
            <v>0</v>
          </cell>
          <cell r="N913">
            <v>0</v>
          </cell>
          <cell r="O913" t="str">
            <v>0.00%</v>
          </cell>
          <cell r="P913">
            <v>139.79</v>
          </cell>
          <cell r="Q913">
            <v>25560.601499999997</v>
          </cell>
          <cell r="R913">
            <v>1</v>
          </cell>
        </row>
        <row r="914">
          <cell r="A914" t="str">
            <v>12.06.04</v>
          </cell>
          <cell r="B914" t="str">
            <v>PISO DE CERAMICO ANTIDESLIZANTE AT. 0.40x0.40 M</v>
          </cell>
          <cell r="C914" t="str">
            <v>m2</v>
          </cell>
          <cell r="D914">
            <v>34.590000000000003</v>
          </cell>
          <cell r="E914">
            <v>56.63</v>
          </cell>
          <cell r="F914">
            <v>1958.8317000000002</v>
          </cell>
          <cell r="G914">
            <v>0</v>
          </cell>
          <cell r="H914">
            <v>0</v>
          </cell>
          <cell r="I914" t="str">
            <v>0.00%</v>
          </cell>
          <cell r="J914">
            <v>0</v>
          </cell>
          <cell r="K914">
            <v>0</v>
          </cell>
          <cell r="L914" t="str">
            <v>0.00%</v>
          </cell>
          <cell r="M914">
            <v>0</v>
          </cell>
          <cell r="N914">
            <v>0</v>
          </cell>
          <cell r="O914" t="str">
            <v>0.00%</v>
          </cell>
          <cell r="P914">
            <v>34.590000000000003</v>
          </cell>
          <cell r="Q914">
            <v>1958.8317000000002</v>
          </cell>
          <cell r="R914">
            <v>1</v>
          </cell>
        </row>
        <row r="915">
          <cell r="A915" t="str">
            <v>12.07</v>
          </cell>
          <cell r="B915" t="str">
            <v>ZOCALOS Y CONTRAZOCALOS</v>
          </cell>
          <cell r="C915">
            <v>0</v>
          </cell>
          <cell r="D915">
            <v>0</v>
          </cell>
          <cell r="E915">
            <v>0</v>
          </cell>
          <cell r="F915">
            <v>0</v>
          </cell>
          <cell r="G915">
            <v>0</v>
          </cell>
          <cell r="H915">
            <v>0</v>
          </cell>
          <cell r="I915">
            <v>0</v>
          </cell>
          <cell r="J915">
            <v>0</v>
          </cell>
          <cell r="K915">
            <v>0</v>
          </cell>
          <cell r="L915">
            <v>0</v>
          </cell>
          <cell r="M915">
            <v>0</v>
          </cell>
          <cell r="N915">
            <v>0</v>
          </cell>
          <cell r="O915">
            <v>0</v>
          </cell>
          <cell r="P915">
            <v>0</v>
          </cell>
          <cell r="Q915">
            <v>0</v>
          </cell>
          <cell r="R915">
            <v>0</v>
          </cell>
        </row>
        <row r="916">
          <cell r="A916" t="str">
            <v>12.07.01</v>
          </cell>
          <cell r="B916" t="str">
            <v>ZOCALO DE CERAMICO 0.30 x 0.20 M</v>
          </cell>
          <cell r="C916" t="str">
            <v>m2</v>
          </cell>
          <cell r="D916">
            <v>49.26</v>
          </cell>
          <cell r="E916">
            <v>64.3</v>
          </cell>
          <cell r="F916">
            <v>3167.4179999999997</v>
          </cell>
          <cell r="G916">
            <v>0</v>
          </cell>
          <cell r="H916">
            <v>0</v>
          </cell>
          <cell r="I916" t="str">
            <v>0.00%</v>
          </cell>
          <cell r="J916">
            <v>0</v>
          </cell>
          <cell r="K916">
            <v>0</v>
          </cell>
          <cell r="L916" t="str">
            <v>0.00%</v>
          </cell>
          <cell r="M916">
            <v>0</v>
          </cell>
          <cell r="N916">
            <v>0</v>
          </cell>
          <cell r="O916" t="str">
            <v>0.00%</v>
          </cell>
          <cell r="P916">
            <v>49.26</v>
          </cell>
          <cell r="Q916">
            <v>3167.4179999999997</v>
          </cell>
          <cell r="R916">
            <v>1</v>
          </cell>
        </row>
        <row r="917">
          <cell r="A917" t="str">
            <v>12.07.02</v>
          </cell>
          <cell r="B917" t="str">
            <v>CONTRAZOCALO DE CERAMICO DE 40 x 40 CM. H=10CM. - INTERIOR</v>
          </cell>
          <cell r="C917" t="str">
            <v>m</v>
          </cell>
          <cell r="D917">
            <v>21.12</v>
          </cell>
          <cell r="E917">
            <v>14.75</v>
          </cell>
          <cell r="F917">
            <v>311.52000000000004</v>
          </cell>
          <cell r="G917">
            <v>0</v>
          </cell>
          <cell r="H917">
            <v>0</v>
          </cell>
          <cell r="I917" t="str">
            <v>0.00%</v>
          </cell>
          <cell r="J917">
            <v>0</v>
          </cell>
          <cell r="K917">
            <v>0</v>
          </cell>
          <cell r="L917" t="str">
            <v>0.00%</v>
          </cell>
          <cell r="M917">
            <v>0</v>
          </cell>
          <cell r="N917">
            <v>0</v>
          </cell>
          <cell r="O917" t="str">
            <v>0.00%</v>
          </cell>
          <cell r="P917">
            <v>21.12</v>
          </cell>
          <cell r="Q917">
            <v>311.52000000000004</v>
          </cell>
          <cell r="R917">
            <v>1</v>
          </cell>
        </row>
        <row r="918">
          <cell r="A918" t="str">
            <v>12.07.03</v>
          </cell>
          <cell r="B918" t="str">
            <v>CONTRAZOCALO DE PORCELANATO H=0.10M</v>
          </cell>
          <cell r="C918" t="str">
            <v>m</v>
          </cell>
          <cell r="D918">
            <v>74.31</v>
          </cell>
          <cell r="E918">
            <v>22.15</v>
          </cell>
          <cell r="F918">
            <v>1645.9665</v>
          </cell>
          <cell r="G918">
            <v>0</v>
          </cell>
          <cell r="H918">
            <v>0</v>
          </cell>
          <cell r="I918" t="str">
            <v>0.00%</v>
          </cell>
          <cell r="J918">
            <v>0</v>
          </cell>
          <cell r="K918">
            <v>0</v>
          </cell>
          <cell r="L918" t="str">
            <v>0.00%</v>
          </cell>
          <cell r="M918">
            <v>0</v>
          </cell>
          <cell r="N918">
            <v>0</v>
          </cell>
          <cell r="O918" t="str">
            <v>0.00%</v>
          </cell>
          <cell r="P918">
            <v>74.31</v>
          </cell>
          <cell r="Q918">
            <v>1645.9665</v>
          </cell>
          <cell r="R918">
            <v>1</v>
          </cell>
        </row>
        <row r="919">
          <cell r="A919" t="str">
            <v>12.08</v>
          </cell>
          <cell r="B919" t="str">
            <v>CARPINTERIA DE MADERA</v>
          </cell>
          <cell r="C919">
            <v>0</v>
          </cell>
          <cell r="D919">
            <v>0</v>
          </cell>
          <cell r="E919">
            <v>0</v>
          </cell>
          <cell r="F919">
            <v>0</v>
          </cell>
          <cell r="G919">
            <v>0</v>
          </cell>
          <cell r="H919">
            <v>0</v>
          </cell>
          <cell r="I919">
            <v>0</v>
          </cell>
          <cell r="J919">
            <v>0</v>
          </cell>
          <cell r="K919">
            <v>0</v>
          </cell>
          <cell r="L919">
            <v>0</v>
          </cell>
          <cell r="M919">
            <v>0</v>
          </cell>
          <cell r="N919">
            <v>0</v>
          </cell>
          <cell r="O919">
            <v>0</v>
          </cell>
          <cell r="P919">
            <v>0</v>
          </cell>
          <cell r="Q919">
            <v>0</v>
          </cell>
          <cell r="R919">
            <v>0</v>
          </cell>
        </row>
        <row r="920">
          <cell r="A920" t="str">
            <v>12.08.01</v>
          </cell>
          <cell r="B920" t="str">
            <v>PUERTA DE MADERA MACHIMBRADA C/SOBRE LUZ</v>
          </cell>
          <cell r="C920" t="str">
            <v>m2</v>
          </cell>
          <cell r="D920">
            <v>10.26</v>
          </cell>
          <cell r="E920">
            <v>340.61</v>
          </cell>
          <cell r="F920">
            <v>3494.6586000000002</v>
          </cell>
          <cell r="G920">
            <v>0</v>
          </cell>
          <cell r="H920">
            <v>0</v>
          </cell>
          <cell r="I920" t="str">
            <v>0.00%</v>
          </cell>
          <cell r="J920">
            <v>0</v>
          </cell>
          <cell r="K920">
            <v>0</v>
          </cell>
          <cell r="L920" t="str">
            <v>0.00%</v>
          </cell>
          <cell r="M920">
            <v>0</v>
          </cell>
          <cell r="N920">
            <v>0</v>
          </cell>
          <cell r="O920" t="str">
            <v>0.00%</v>
          </cell>
          <cell r="P920">
            <v>10.26</v>
          </cell>
          <cell r="Q920">
            <v>3494.6586000000002</v>
          </cell>
          <cell r="R920">
            <v>1</v>
          </cell>
        </row>
        <row r="921">
          <cell r="A921" t="str">
            <v>12.08.02</v>
          </cell>
          <cell r="B921" t="str">
            <v>PUERTA DE MADERA DOBLE HOJA MACHIMBRADA C/SOBRE LUZ</v>
          </cell>
          <cell r="C921" t="str">
            <v>m2</v>
          </cell>
          <cell r="D921">
            <v>9.1199999999999992</v>
          </cell>
          <cell r="E921">
            <v>340.61</v>
          </cell>
          <cell r="F921">
            <v>3106.3631999999998</v>
          </cell>
          <cell r="G921">
            <v>0</v>
          </cell>
          <cell r="H921">
            <v>0</v>
          </cell>
          <cell r="I921" t="str">
            <v>0.00%</v>
          </cell>
          <cell r="J921">
            <v>0</v>
          </cell>
          <cell r="K921">
            <v>0</v>
          </cell>
          <cell r="L921" t="str">
            <v>0.00%</v>
          </cell>
          <cell r="M921">
            <v>0</v>
          </cell>
          <cell r="N921">
            <v>0</v>
          </cell>
          <cell r="O921" t="str">
            <v>0.00%</v>
          </cell>
          <cell r="P921">
            <v>9.1199999999999992</v>
          </cell>
          <cell r="Q921">
            <v>3106.3631999999998</v>
          </cell>
          <cell r="R921">
            <v>1</v>
          </cell>
        </row>
        <row r="922">
          <cell r="A922" t="str">
            <v>12.08.03</v>
          </cell>
          <cell r="B922" t="str">
            <v>PUERTA CONTRAPLACADA CON PLANCHA DE TRIPLAY DE 6 mm. C/SOBRELUZ</v>
          </cell>
          <cell r="C922" t="str">
            <v>m2</v>
          </cell>
          <cell r="D922">
            <v>4.76</v>
          </cell>
          <cell r="E922">
            <v>329.53</v>
          </cell>
          <cell r="F922">
            <v>1568.5627999999997</v>
          </cell>
          <cell r="G922">
            <v>0</v>
          </cell>
          <cell r="H922">
            <v>0</v>
          </cell>
          <cell r="I922" t="str">
            <v>0.00%</v>
          </cell>
          <cell r="J922">
            <v>0</v>
          </cell>
          <cell r="K922">
            <v>0</v>
          </cell>
          <cell r="L922" t="str">
            <v>0.00%</v>
          </cell>
          <cell r="M922">
            <v>0</v>
          </cell>
          <cell r="N922">
            <v>0</v>
          </cell>
          <cell r="O922" t="str">
            <v>0.00%</v>
          </cell>
          <cell r="P922">
            <v>4.76</v>
          </cell>
          <cell r="Q922">
            <v>1568.5627999999997</v>
          </cell>
          <cell r="R922">
            <v>1</v>
          </cell>
        </row>
        <row r="923">
          <cell r="A923" t="str">
            <v>12.09</v>
          </cell>
          <cell r="B923" t="str">
            <v>CERRAJERIA</v>
          </cell>
          <cell r="C923">
            <v>0</v>
          </cell>
          <cell r="D923">
            <v>0</v>
          </cell>
          <cell r="E923">
            <v>0</v>
          </cell>
          <cell r="F923">
            <v>0</v>
          </cell>
          <cell r="G923">
            <v>0</v>
          </cell>
          <cell r="H923">
            <v>0</v>
          </cell>
          <cell r="I923">
            <v>0</v>
          </cell>
          <cell r="J923">
            <v>0</v>
          </cell>
          <cell r="K923">
            <v>0</v>
          </cell>
          <cell r="L923">
            <v>0</v>
          </cell>
          <cell r="M923">
            <v>0</v>
          </cell>
          <cell r="N923">
            <v>0</v>
          </cell>
          <cell r="O923">
            <v>0</v>
          </cell>
          <cell r="P923">
            <v>0</v>
          </cell>
          <cell r="Q923">
            <v>0</v>
          </cell>
          <cell r="R923">
            <v>0</v>
          </cell>
        </row>
        <row r="924">
          <cell r="A924" t="str">
            <v>12.09.01</v>
          </cell>
          <cell r="B924" t="str">
            <v>BISAGRA CAPUCHINA DE 4"</v>
          </cell>
          <cell r="C924" t="str">
            <v>und</v>
          </cell>
          <cell r="D924">
            <v>40</v>
          </cell>
          <cell r="E924">
            <v>15.83</v>
          </cell>
          <cell r="F924">
            <v>633.20000000000005</v>
          </cell>
          <cell r="G924">
            <v>0</v>
          </cell>
          <cell r="H924">
            <v>0</v>
          </cell>
          <cell r="I924" t="str">
            <v>0.00%</v>
          </cell>
          <cell r="J924">
            <v>0</v>
          </cell>
          <cell r="K924">
            <v>0</v>
          </cell>
          <cell r="L924" t="str">
            <v>0.00%</v>
          </cell>
          <cell r="M924">
            <v>0</v>
          </cell>
          <cell r="N924">
            <v>0</v>
          </cell>
          <cell r="O924" t="str">
            <v>0.00%</v>
          </cell>
          <cell r="P924">
            <v>40</v>
          </cell>
          <cell r="Q924">
            <v>633.20000000000005</v>
          </cell>
          <cell r="R924">
            <v>1</v>
          </cell>
        </row>
        <row r="925">
          <cell r="A925" t="str">
            <v>12.09.02</v>
          </cell>
          <cell r="B925" t="str">
            <v>CERRADURA PARA PUERTA DE TRES GOLPES</v>
          </cell>
          <cell r="C925" t="str">
            <v>und</v>
          </cell>
          <cell r="D925">
            <v>2</v>
          </cell>
          <cell r="E925">
            <v>137.22999999999999</v>
          </cell>
          <cell r="F925">
            <v>274.45999999999998</v>
          </cell>
          <cell r="G925">
            <v>0</v>
          </cell>
          <cell r="H925">
            <v>0</v>
          </cell>
          <cell r="I925" t="str">
            <v>0.00%</v>
          </cell>
          <cell r="J925">
            <v>0</v>
          </cell>
          <cell r="K925">
            <v>0</v>
          </cell>
          <cell r="L925" t="str">
            <v>0.00%</v>
          </cell>
          <cell r="M925">
            <v>0</v>
          </cell>
          <cell r="N925">
            <v>0</v>
          </cell>
          <cell r="O925" t="str">
            <v>0.00%</v>
          </cell>
          <cell r="P925">
            <v>2</v>
          </cell>
          <cell r="Q925">
            <v>274.45999999999998</v>
          </cell>
          <cell r="R925">
            <v>1</v>
          </cell>
        </row>
        <row r="926">
          <cell r="A926" t="str">
            <v>12.09.03</v>
          </cell>
          <cell r="B926" t="str">
            <v>CERRADURA DE PERILLA CON SEGURIDAD INTERIOR</v>
          </cell>
          <cell r="C926" t="str">
            <v>und</v>
          </cell>
          <cell r="D926">
            <v>16</v>
          </cell>
          <cell r="E926">
            <v>92.23</v>
          </cell>
          <cell r="F926">
            <v>1475.68</v>
          </cell>
          <cell r="G926">
            <v>0</v>
          </cell>
          <cell r="H926">
            <v>0</v>
          </cell>
          <cell r="I926" t="str">
            <v>0.00%</v>
          </cell>
          <cell r="J926">
            <v>0</v>
          </cell>
          <cell r="K926">
            <v>0</v>
          </cell>
          <cell r="L926" t="str">
            <v>0.00%</v>
          </cell>
          <cell r="M926">
            <v>0</v>
          </cell>
          <cell r="N926">
            <v>0</v>
          </cell>
          <cell r="O926" t="str">
            <v>0.00%</v>
          </cell>
          <cell r="P926">
            <v>16</v>
          </cell>
          <cell r="Q926">
            <v>1475.68</v>
          </cell>
          <cell r="R926">
            <v>1</v>
          </cell>
        </row>
        <row r="927">
          <cell r="A927" t="str">
            <v>12.10</v>
          </cell>
          <cell r="B927" t="str">
            <v>VIDRIOS, CRISTALES Y SIMILARES</v>
          </cell>
          <cell r="C927">
            <v>0</v>
          </cell>
          <cell r="D927">
            <v>0</v>
          </cell>
          <cell r="E927">
            <v>0</v>
          </cell>
          <cell r="F927">
            <v>0</v>
          </cell>
          <cell r="G927">
            <v>0</v>
          </cell>
          <cell r="H927">
            <v>0</v>
          </cell>
          <cell r="I927">
            <v>0</v>
          </cell>
          <cell r="J927">
            <v>0</v>
          </cell>
          <cell r="K927">
            <v>0</v>
          </cell>
          <cell r="L927">
            <v>0</v>
          </cell>
          <cell r="M927">
            <v>0</v>
          </cell>
          <cell r="N927">
            <v>0</v>
          </cell>
          <cell r="O927">
            <v>0</v>
          </cell>
          <cell r="P927">
            <v>0</v>
          </cell>
          <cell r="Q927">
            <v>0</v>
          </cell>
          <cell r="R927">
            <v>0</v>
          </cell>
        </row>
        <row r="928">
          <cell r="A928" t="str">
            <v>12.10.01</v>
          </cell>
          <cell r="B928" t="str">
            <v>VIDRIO (8MM.) SISTEMA NOVA INC. ACCESORIOS</v>
          </cell>
          <cell r="C928" t="str">
            <v>p2</v>
          </cell>
          <cell r="D928">
            <v>369.6</v>
          </cell>
          <cell r="E928">
            <v>18.54</v>
          </cell>
          <cell r="F928">
            <v>6852.384</v>
          </cell>
          <cell r="G928">
            <v>0</v>
          </cell>
          <cell r="H928">
            <v>0</v>
          </cell>
          <cell r="I928" t="str">
            <v>0.00%</v>
          </cell>
          <cell r="J928">
            <v>0</v>
          </cell>
          <cell r="K928">
            <v>0</v>
          </cell>
          <cell r="L928" t="str">
            <v>0.00%</v>
          </cell>
          <cell r="M928">
            <v>0</v>
          </cell>
          <cell r="N928">
            <v>0</v>
          </cell>
          <cell r="O928" t="str">
            <v>0.00%</v>
          </cell>
          <cell r="P928">
            <v>369.6</v>
          </cell>
          <cell r="Q928">
            <v>6852.384</v>
          </cell>
          <cell r="R928">
            <v>1</v>
          </cell>
        </row>
        <row r="929">
          <cell r="A929" t="str">
            <v>12.10.02</v>
          </cell>
          <cell r="B929" t="str">
            <v>VIDRIO CRUDO INCOLORO DE 6MM.</v>
          </cell>
          <cell r="C929" t="str">
            <v>p2</v>
          </cell>
          <cell r="D929">
            <v>38.32</v>
          </cell>
          <cell r="E929">
            <v>9.51</v>
          </cell>
          <cell r="F929">
            <v>364.42320000000001</v>
          </cell>
          <cell r="G929">
            <v>0</v>
          </cell>
          <cell r="H929">
            <v>0</v>
          </cell>
          <cell r="I929" t="str">
            <v>0.00%</v>
          </cell>
          <cell r="J929">
            <v>0</v>
          </cell>
          <cell r="K929">
            <v>0</v>
          </cell>
          <cell r="L929" t="str">
            <v>0.00%</v>
          </cell>
          <cell r="M929">
            <v>0</v>
          </cell>
          <cell r="N929">
            <v>0</v>
          </cell>
          <cell r="O929" t="str">
            <v>0.00%</v>
          </cell>
          <cell r="P929">
            <v>38.32</v>
          </cell>
          <cell r="Q929">
            <v>364.42320000000001</v>
          </cell>
          <cell r="R929">
            <v>1</v>
          </cell>
        </row>
        <row r="930">
          <cell r="A930" t="str">
            <v>12.10.03</v>
          </cell>
          <cell r="B930" t="str">
            <v>MURO CON BLOQUE DE VIDRIO S/DETALLE</v>
          </cell>
          <cell r="C930" t="str">
            <v>m2</v>
          </cell>
          <cell r="D930">
            <v>4.42</v>
          </cell>
          <cell r="E930">
            <v>216.65</v>
          </cell>
          <cell r="F930">
            <v>957.59299999999996</v>
          </cell>
          <cell r="G930">
            <v>0</v>
          </cell>
          <cell r="H930">
            <v>0</v>
          </cell>
          <cell r="I930" t="str">
            <v>0.00%</v>
          </cell>
          <cell r="J930">
            <v>0</v>
          </cell>
          <cell r="K930">
            <v>0</v>
          </cell>
          <cell r="L930" t="str">
            <v>0.00%</v>
          </cell>
          <cell r="M930">
            <v>0</v>
          </cell>
          <cell r="N930">
            <v>0</v>
          </cell>
          <cell r="O930" t="str">
            <v>0.00%</v>
          </cell>
          <cell r="P930">
            <v>4.42</v>
          </cell>
          <cell r="Q930">
            <v>957.59299999999996</v>
          </cell>
          <cell r="R930">
            <v>1</v>
          </cell>
        </row>
        <row r="931">
          <cell r="A931" t="str">
            <v>12.11</v>
          </cell>
          <cell r="B931" t="str">
            <v>PINTURA</v>
          </cell>
          <cell r="C931">
            <v>0</v>
          </cell>
          <cell r="D931">
            <v>0</v>
          </cell>
          <cell r="E931">
            <v>0</v>
          </cell>
          <cell r="F931">
            <v>0</v>
          </cell>
          <cell r="G931">
            <v>0</v>
          </cell>
          <cell r="H931">
            <v>0</v>
          </cell>
          <cell r="I931">
            <v>0</v>
          </cell>
          <cell r="J931">
            <v>0</v>
          </cell>
          <cell r="K931">
            <v>0</v>
          </cell>
          <cell r="L931">
            <v>0</v>
          </cell>
          <cell r="M931">
            <v>0</v>
          </cell>
          <cell r="N931">
            <v>0</v>
          </cell>
          <cell r="O931">
            <v>0</v>
          </cell>
          <cell r="P931">
            <v>0</v>
          </cell>
          <cell r="Q931">
            <v>0</v>
          </cell>
          <cell r="R931">
            <v>0</v>
          </cell>
        </row>
        <row r="932">
          <cell r="A932" t="str">
            <v>12.11.01</v>
          </cell>
          <cell r="B932" t="str">
            <v>PINTURA EN CIELORRASO</v>
          </cell>
          <cell r="C932" t="str">
            <v>m2</v>
          </cell>
          <cell r="D932">
            <v>153.93</v>
          </cell>
          <cell r="E932">
            <v>12.59</v>
          </cell>
          <cell r="F932">
            <v>1937.9787000000001</v>
          </cell>
          <cell r="G932">
            <v>0</v>
          </cell>
          <cell r="H932">
            <v>0</v>
          </cell>
          <cell r="I932" t="str">
            <v>0.00%</v>
          </cell>
          <cell r="J932">
            <v>0</v>
          </cell>
          <cell r="K932">
            <v>0</v>
          </cell>
          <cell r="L932" t="str">
            <v>0.00%</v>
          </cell>
          <cell r="M932">
            <v>0</v>
          </cell>
          <cell r="N932">
            <v>0</v>
          </cell>
          <cell r="O932" t="str">
            <v>0.00%</v>
          </cell>
          <cell r="P932">
            <v>153.93</v>
          </cell>
          <cell r="Q932">
            <v>1937.9787000000001</v>
          </cell>
          <cell r="R932">
            <v>1</v>
          </cell>
        </row>
        <row r="933">
          <cell r="A933" t="str">
            <v>12.11.02</v>
          </cell>
          <cell r="B933" t="str">
            <v xml:space="preserve">PINTURA EN INTERIORES </v>
          </cell>
          <cell r="C933" t="str">
            <v>m2</v>
          </cell>
          <cell r="D933">
            <v>225.46</v>
          </cell>
          <cell r="E933">
            <v>9.6999999999999993</v>
          </cell>
          <cell r="F933">
            <v>2186.962</v>
          </cell>
          <cell r="G933">
            <v>0</v>
          </cell>
          <cell r="H933">
            <v>0</v>
          </cell>
          <cell r="I933" t="str">
            <v>0.00%</v>
          </cell>
          <cell r="J933">
            <v>0</v>
          </cell>
          <cell r="K933">
            <v>0</v>
          </cell>
          <cell r="L933" t="str">
            <v>0.00%</v>
          </cell>
          <cell r="M933">
            <v>0</v>
          </cell>
          <cell r="N933">
            <v>0</v>
          </cell>
          <cell r="O933" t="str">
            <v>0.00%</v>
          </cell>
          <cell r="P933">
            <v>225.46</v>
          </cell>
          <cell r="Q933">
            <v>2186.962</v>
          </cell>
          <cell r="R933">
            <v>1</v>
          </cell>
        </row>
        <row r="934">
          <cell r="A934" t="str">
            <v>12.11.03</v>
          </cell>
          <cell r="B934" t="str">
            <v>PINTURA EN EXTERIORES</v>
          </cell>
          <cell r="C934" t="str">
            <v>m2</v>
          </cell>
          <cell r="D934">
            <v>92.05</v>
          </cell>
          <cell r="E934">
            <v>19.04</v>
          </cell>
          <cell r="F934">
            <v>1752.6319999999998</v>
          </cell>
          <cell r="G934">
            <v>0</v>
          </cell>
          <cell r="H934">
            <v>0</v>
          </cell>
          <cell r="I934" t="str">
            <v>0.00%</v>
          </cell>
          <cell r="J934">
            <v>0</v>
          </cell>
          <cell r="K934">
            <v>0</v>
          </cell>
          <cell r="L934" t="str">
            <v>0.00%</v>
          </cell>
          <cell r="M934">
            <v>0</v>
          </cell>
          <cell r="N934">
            <v>0</v>
          </cell>
          <cell r="O934" t="str">
            <v>0.00%</v>
          </cell>
          <cell r="P934">
            <v>92.05</v>
          </cell>
          <cell r="Q934">
            <v>1752.6319999999998</v>
          </cell>
          <cell r="R934">
            <v>1</v>
          </cell>
        </row>
        <row r="935">
          <cell r="A935" t="str">
            <v>12.11.04</v>
          </cell>
          <cell r="B935" t="str">
            <v>PINTURA EN COLUMNAS</v>
          </cell>
          <cell r="C935" t="str">
            <v>m2</v>
          </cell>
          <cell r="D935">
            <v>99.5</v>
          </cell>
          <cell r="E935">
            <v>10.35</v>
          </cell>
          <cell r="F935">
            <v>1029.825</v>
          </cell>
          <cell r="G935">
            <v>0</v>
          </cell>
          <cell r="H935">
            <v>0</v>
          </cell>
          <cell r="I935" t="str">
            <v>0.00%</v>
          </cell>
          <cell r="J935">
            <v>0</v>
          </cell>
          <cell r="K935">
            <v>0</v>
          </cell>
          <cell r="L935" t="str">
            <v>0.00%</v>
          </cell>
          <cell r="M935">
            <v>0</v>
          </cell>
          <cell r="N935">
            <v>0</v>
          </cell>
          <cell r="O935" t="str">
            <v>0.00%</v>
          </cell>
          <cell r="P935">
            <v>99.5</v>
          </cell>
          <cell r="Q935">
            <v>1029.825</v>
          </cell>
          <cell r="R935">
            <v>1</v>
          </cell>
        </row>
        <row r="936">
          <cell r="A936" t="str">
            <v>12.11.05</v>
          </cell>
          <cell r="B936" t="str">
            <v>PINTURA EN VIGA</v>
          </cell>
          <cell r="C936" t="str">
            <v>m2</v>
          </cell>
          <cell r="D936">
            <v>104.91</v>
          </cell>
          <cell r="E936">
            <v>10.35</v>
          </cell>
          <cell r="F936">
            <v>1085.8184999999999</v>
          </cell>
          <cell r="G936">
            <v>0</v>
          </cell>
          <cell r="H936">
            <v>0</v>
          </cell>
          <cell r="I936" t="str">
            <v>0.00%</v>
          </cell>
          <cell r="J936">
            <v>0</v>
          </cell>
          <cell r="K936">
            <v>0</v>
          </cell>
          <cell r="L936" t="str">
            <v>0.00%</v>
          </cell>
          <cell r="M936">
            <v>0</v>
          </cell>
          <cell r="N936">
            <v>0</v>
          </cell>
          <cell r="O936" t="str">
            <v>0.00%</v>
          </cell>
          <cell r="P936">
            <v>104.91</v>
          </cell>
          <cell r="Q936">
            <v>1085.8184999999999</v>
          </cell>
          <cell r="R936">
            <v>1</v>
          </cell>
        </row>
        <row r="937">
          <cell r="A937" t="str">
            <v>12.11.06</v>
          </cell>
          <cell r="B937" t="str">
            <v>PINTURA EN CUNETA DE EVACUACION PLUVIAL EN TECHO</v>
          </cell>
          <cell r="C937" t="str">
            <v>m2</v>
          </cell>
          <cell r="D937">
            <v>46.57</v>
          </cell>
          <cell r="E937">
            <v>9.25</v>
          </cell>
          <cell r="F937">
            <v>430.77249999999998</v>
          </cell>
          <cell r="G937">
            <v>0</v>
          </cell>
          <cell r="H937">
            <v>0</v>
          </cell>
          <cell r="I937" t="str">
            <v>0.00%</v>
          </cell>
          <cell r="J937">
            <v>0</v>
          </cell>
          <cell r="K937">
            <v>0</v>
          </cell>
          <cell r="L937" t="str">
            <v>0.00%</v>
          </cell>
          <cell r="M937">
            <v>0</v>
          </cell>
          <cell r="N937">
            <v>0</v>
          </cell>
          <cell r="O937" t="str">
            <v>0.00%</v>
          </cell>
          <cell r="P937">
            <v>46.57</v>
          </cell>
          <cell r="Q937">
            <v>430.77249999999998</v>
          </cell>
          <cell r="R937">
            <v>1</v>
          </cell>
        </row>
        <row r="938">
          <cell r="A938" t="str">
            <v>12.11.07</v>
          </cell>
          <cell r="B938" t="str">
            <v>PINTURA EN PUERTAS C/BARNIZ 2 MANOS</v>
          </cell>
          <cell r="C938" t="str">
            <v>m2</v>
          </cell>
          <cell r="D938">
            <v>24.14</v>
          </cell>
          <cell r="E938">
            <v>12.86</v>
          </cell>
          <cell r="F938">
            <v>310.44040000000001</v>
          </cell>
          <cell r="G938">
            <v>0</v>
          </cell>
          <cell r="H938">
            <v>0</v>
          </cell>
          <cell r="I938" t="str">
            <v>0.00%</v>
          </cell>
          <cell r="J938">
            <v>0</v>
          </cell>
          <cell r="K938">
            <v>0</v>
          </cell>
          <cell r="L938" t="str">
            <v>0.00%</v>
          </cell>
          <cell r="M938">
            <v>0</v>
          </cell>
          <cell r="N938">
            <v>0</v>
          </cell>
          <cell r="O938" t="str">
            <v>0.00%</v>
          </cell>
          <cell r="P938">
            <v>24.14</v>
          </cell>
          <cell r="Q938">
            <v>310.44040000000001</v>
          </cell>
          <cell r="R938">
            <v>1</v>
          </cell>
        </row>
        <row r="939">
          <cell r="A939" t="str">
            <v>12.12</v>
          </cell>
          <cell r="B939" t="str">
            <v>OBRAS VARIAS</v>
          </cell>
          <cell r="C939">
            <v>0</v>
          </cell>
          <cell r="D939">
            <v>0</v>
          </cell>
          <cell r="E939">
            <v>0</v>
          </cell>
          <cell r="F939">
            <v>0</v>
          </cell>
          <cell r="G939">
            <v>0</v>
          </cell>
          <cell r="H939">
            <v>0</v>
          </cell>
          <cell r="I939">
            <v>0</v>
          </cell>
          <cell r="J939">
            <v>0</v>
          </cell>
          <cell r="K939">
            <v>0</v>
          </cell>
          <cell r="L939">
            <v>0</v>
          </cell>
          <cell r="M939">
            <v>0</v>
          </cell>
          <cell r="N939">
            <v>0</v>
          </cell>
          <cell r="O939">
            <v>0</v>
          </cell>
          <cell r="P939">
            <v>0</v>
          </cell>
          <cell r="Q939">
            <v>0</v>
          </cell>
          <cell r="R939">
            <v>0</v>
          </cell>
        </row>
        <row r="940">
          <cell r="A940" t="str">
            <v>12.12.01</v>
          </cell>
          <cell r="B940" t="str">
            <v>SARDINEL DE CONCRETO SOBRE VIGAS TIMPANO F'C= 175KG/CM2</v>
          </cell>
          <cell r="C940" t="str">
            <v>m3</v>
          </cell>
          <cell r="D940">
            <v>4.37</v>
          </cell>
          <cell r="E940">
            <v>388.98</v>
          </cell>
          <cell r="F940">
            <v>1699.8426000000002</v>
          </cell>
          <cell r="G940">
            <v>0</v>
          </cell>
          <cell r="H940">
            <v>0</v>
          </cell>
          <cell r="I940" t="str">
            <v>0.00%</v>
          </cell>
          <cell r="J940">
            <v>0</v>
          </cell>
          <cell r="K940">
            <v>0</v>
          </cell>
          <cell r="L940" t="str">
            <v>0.00%</v>
          </cell>
          <cell r="M940">
            <v>0</v>
          </cell>
          <cell r="N940">
            <v>0</v>
          </cell>
          <cell r="O940" t="str">
            <v>0.00%</v>
          </cell>
          <cell r="P940">
            <v>4.37</v>
          </cell>
          <cell r="Q940">
            <v>1699.8426000000002</v>
          </cell>
          <cell r="R940">
            <v>1</v>
          </cell>
        </row>
        <row r="941">
          <cell r="A941" t="str">
            <v>12.12.02</v>
          </cell>
          <cell r="B941" t="str">
            <v>ENCOFRADO Y DESENCOFRADO DE SARDINELES SOBRE VIGA TIMPANO</v>
          </cell>
          <cell r="C941" t="str">
            <v>m2</v>
          </cell>
          <cell r="D941">
            <v>29.1</v>
          </cell>
          <cell r="E941">
            <v>17.3</v>
          </cell>
          <cell r="F941">
            <v>503.43000000000006</v>
          </cell>
          <cell r="G941">
            <v>0</v>
          </cell>
          <cell r="H941">
            <v>0</v>
          </cell>
          <cell r="I941" t="str">
            <v>0.00%</v>
          </cell>
          <cell r="J941">
            <v>0</v>
          </cell>
          <cell r="K941">
            <v>0</v>
          </cell>
          <cell r="L941" t="str">
            <v>0.00%</v>
          </cell>
          <cell r="M941">
            <v>0</v>
          </cell>
          <cell r="N941">
            <v>0</v>
          </cell>
          <cell r="O941" t="str">
            <v>0.00%</v>
          </cell>
          <cell r="P941">
            <v>29.1</v>
          </cell>
          <cell r="Q941">
            <v>503.43000000000006</v>
          </cell>
          <cell r="R941">
            <v>1</v>
          </cell>
        </row>
        <row r="942">
          <cell r="A942" t="str">
            <v>12.12.03</v>
          </cell>
          <cell r="B942" t="str">
            <v xml:space="preserve">TAPA JUNTA EN VANOS MUROS/COLUMNA
</v>
          </cell>
          <cell r="C942" t="str">
            <v>m</v>
          </cell>
          <cell r="D942">
            <v>220.5</v>
          </cell>
          <cell r="E942">
            <v>13.49</v>
          </cell>
          <cell r="F942">
            <v>2974.5450000000001</v>
          </cell>
          <cell r="G942">
            <v>0</v>
          </cell>
          <cell r="H942">
            <v>0</v>
          </cell>
          <cell r="I942" t="str">
            <v>0.00%</v>
          </cell>
          <cell r="J942">
            <v>0</v>
          </cell>
          <cell r="K942">
            <v>0</v>
          </cell>
          <cell r="L942" t="str">
            <v>0.00%</v>
          </cell>
          <cell r="M942">
            <v>0</v>
          </cell>
          <cell r="N942">
            <v>0</v>
          </cell>
          <cell r="O942" t="str">
            <v>0.00%</v>
          </cell>
          <cell r="P942">
            <v>220.5</v>
          </cell>
          <cell r="Q942">
            <v>2974.5450000000001</v>
          </cell>
          <cell r="R942">
            <v>1</v>
          </cell>
        </row>
        <row r="943">
          <cell r="A943" t="str">
            <v>12.12.04</v>
          </cell>
          <cell r="B943" t="str">
            <v>TAPA JUNTA  METALICA</v>
          </cell>
          <cell r="C943" t="str">
            <v>m</v>
          </cell>
          <cell r="D943">
            <v>8.06</v>
          </cell>
          <cell r="E943">
            <v>50.83</v>
          </cell>
          <cell r="F943">
            <v>409.68979999999999</v>
          </cell>
          <cell r="G943">
            <v>0</v>
          </cell>
          <cell r="H943">
            <v>0</v>
          </cell>
          <cell r="I943" t="str">
            <v>0.00%</v>
          </cell>
          <cell r="J943">
            <v>0</v>
          </cell>
          <cell r="K943">
            <v>0</v>
          </cell>
          <cell r="L943" t="str">
            <v>0.00%</v>
          </cell>
          <cell r="M943">
            <v>0</v>
          </cell>
          <cell r="N943">
            <v>0</v>
          </cell>
          <cell r="O943" t="str">
            <v>0.00%</v>
          </cell>
          <cell r="P943">
            <v>8.06</v>
          </cell>
          <cell r="Q943">
            <v>409.68979999999999</v>
          </cell>
          <cell r="R943">
            <v>1</v>
          </cell>
        </row>
        <row r="944">
          <cell r="A944" t="str">
            <v>13</v>
          </cell>
          <cell r="B944" t="str">
            <v>OBRAS EXTERIORES</v>
          </cell>
          <cell r="C944">
            <v>0</v>
          </cell>
          <cell r="D944">
            <v>0</v>
          </cell>
          <cell r="E944">
            <v>0</v>
          </cell>
          <cell r="F944">
            <v>0</v>
          </cell>
          <cell r="G944">
            <v>0</v>
          </cell>
          <cell r="H944">
            <v>0</v>
          </cell>
          <cell r="I944">
            <v>0</v>
          </cell>
          <cell r="J944">
            <v>0</v>
          </cell>
          <cell r="K944">
            <v>0</v>
          </cell>
          <cell r="L944">
            <v>0</v>
          </cell>
          <cell r="M944">
            <v>0</v>
          </cell>
          <cell r="N944">
            <v>0</v>
          </cell>
          <cell r="O944">
            <v>0</v>
          </cell>
          <cell r="P944">
            <v>0</v>
          </cell>
          <cell r="Q944">
            <v>0</v>
          </cell>
          <cell r="R944">
            <v>0</v>
          </cell>
        </row>
        <row r="945">
          <cell r="A945" t="str">
            <v>13.01</v>
          </cell>
          <cell r="B945" t="str">
            <v>LOSA DEPORTIVA</v>
          </cell>
          <cell r="C945">
            <v>0</v>
          </cell>
          <cell r="D945">
            <v>0</v>
          </cell>
          <cell r="E945">
            <v>0</v>
          </cell>
          <cell r="F945">
            <v>0</v>
          </cell>
          <cell r="G945">
            <v>0</v>
          </cell>
          <cell r="H945">
            <v>0</v>
          </cell>
          <cell r="I945">
            <v>0</v>
          </cell>
          <cell r="J945">
            <v>0</v>
          </cell>
          <cell r="K945">
            <v>0</v>
          </cell>
          <cell r="L945">
            <v>0</v>
          </cell>
          <cell r="M945">
            <v>0</v>
          </cell>
          <cell r="N945">
            <v>0</v>
          </cell>
          <cell r="O945">
            <v>0</v>
          </cell>
          <cell r="P945">
            <v>0</v>
          </cell>
          <cell r="Q945">
            <v>0</v>
          </cell>
          <cell r="R945">
            <v>0</v>
          </cell>
        </row>
        <row r="946">
          <cell r="A946" t="str">
            <v>13.01.01</v>
          </cell>
          <cell r="B946" t="str">
            <v>REVOQUES ENLUCIDOS Y MOLDURAS</v>
          </cell>
          <cell r="C946">
            <v>0</v>
          </cell>
          <cell r="D946">
            <v>0</v>
          </cell>
          <cell r="E946">
            <v>0</v>
          </cell>
          <cell r="F946">
            <v>0</v>
          </cell>
          <cell r="G946">
            <v>0</v>
          </cell>
          <cell r="H946">
            <v>0</v>
          </cell>
          <cell r="I946">
            <v>0</v>
          </cell>
          <cell r="J946">
            <v>0</v>
          </cell>
          <cell r="K946">
            <v>0</v>
          </cell>
          <cell r="L946">
            <v>0</v>
          </cell>
          <cell r="M946">
            <v>0</v>
          </cell>
          <cell r="N946">
            <v>0</v>
          </cell>
          <cell r="O946">
            <v>0</v>
          </cell>
          <cell r="P946">
            <v>0</v>
          </cell>
          <cell r="Q946">
            <v>0</v>
          </cell>
          <cell r="R946">
            <v>0</v>
          </cell>
        </row>
        <row r="947">
          <cell r="A947" t="str">
            <v>13.01.01.01</v>
          </cell>
          <cell r="B947" t="str">
            <v>TARRAJEO DE SUPERFICIE COLUMNAS INCL. ARISTAS MEZCLA 1:5 CEMENTO:ARENA</v>
          </cell>
          <cell r="C947" t="str">
            <v>m2</v>
          </cell>
          <cell r="D947">
            <v>0.86</v>
          </cell>
          <cell r="E947">
            <v>29.04</v>
          </cell>
          <cell r="F947">
            <v>24.974399999999999</v>
          </cell>
          <cell r="G947">
            <v>0</v>
          </cell>
          <cell r="H947">
            <v>0</v>
          </cell>
          <cell r="I947" t="str">
            <v>0.00%</v>
          </cell>
          <cell r="J947">
            <v>0</v>
          </cell>
          <cell r="K947">
            <v>0</v>
          </cell>
          <cell r="L947" t="str">
            <v>0.00%</v>
          </cell>
          <cell r="M947">
            <v>0</v>
          </cell>
          <cell r="N947">
            <v>0</v>
          </cell>
          <cell r="O947" t="str">
            <v>0.00%</v>
          </cell>
          <cell r="P947">
            <v>0.86</v>
          </cell>
          <cell r="Q947">
            <v>24.974399999999999</v>
          </cell>
          <cell r="R947">
            <v>1</v>
          </cell>
        </row>
        <row r="948">
          <cell r="A948" t="str">
            <v>13.01.01.02</v>
          </cell>
          <cell r="B948" t="str">
            <v>TARRAJEO DE SUPERF. GRADERIAS INCL.ARISTAS, MEZCLA 1:5 CEMENTO:ARENA</v>
          </cell>
          <cell r="C948" t="str">
            <v>m2</v>
          </cell>
          <cell r="D948">
            <v>28.13</v>
          </cell>
          <cell r="E948">
            <v>34.25</v>
          </cell>
          <cell r="F948">
            <v>963.45249999999999</v>
          </cell>
          <cell r="G948">
            <v>0</v>
          </cell>
          <cell r="H948">
            <v>0</v>
          </cell>
          <cell r="I948" t="str">
            <v>0.00%</v>
          </cell>
          <cell r="J948">
            <v>0</v>
          </cell>
          <cell r="K948">
            <v>0</v>
          </cell>
          <cell r="L948" t="str">
            <v>0.00%</v>
          </cell>
          <cell r="M948">
            <v>0</v>
          </cell>
          <cell r="N948">
            <v>0</v>
          </cell>
          <cell r="O948" t="str">
            <v>0.00%</v>
          </cell>
          <cell r="P948">
            <v>28.13</v>
          </cell>
          <cell r="Q948">
            <v>963.45249999999999</v>
          </cell>
          <cell r="R948">
            <v>1</v>
          </cell>
        </row>
        <row r="949">
          <cell r="A949" t="str">
            <v>13.01.01.03</v>
          </cell>
          <cell r="B949" t="str">
            <v>BRUÑA DE 1CM ENTRE MUROS Y ESTRUCTURAS</v>
          </cell>
          <cell r="C949" t="str">
            <v>m</v>
          </cell>
          <cell r="D949">
            <v>7.8</v>
          </cell>
          <cell r="E949">
            <v>2.08</v>
          </cell>
          <cell r="F949">
            <v>16.224</v>
          </cell>
          <cell r="G949">
            <v>0</v>
          </cell>
          <cell r="H949">
            <v>0</v>
          </cell>
          <cell r="I949" t="str">
            <v>0.00%</v>
          </cell>
          <cell r="J949">
            <v>0</v>
          </cell>
          <cell r="K949">
            <v>0</v>
          </cell>
          <cell r="L949" t="str">
            <v>0.00%</v>
          </cell>
          <cell r="M949">
            <v>0</v>
          </cell>
          <cell r="N949">
            <v>0</v>
          </cell>
          <cell r="O949" t="str">
            <v>0.00%</v>
          </cell>
          <cell r="P949">
            <v>7.8</v>
          </cell>
          <cell r="Q949">
            <v>16.224</v>
          </cell>
          <cell r="R949">
            <v>1</v>
          </cell>
        </row>
        <row r="950">
          <cell r="A950" t="str">
            <v>13.01.02</v>
          </cell>
          <cell r="B950" t="str">
            <v>PISOS Y PAVIMENTOS</v>
          </cell>
          <cell r="C950">
            <v>0</v>
          </cell>
          <cell r="D950">
            <v>0</v>
          </cell>
          <cell r="E950">
            <v>0</v>
          </cell>
          <cell r="F950">
            <v>0</v>
          </cell>
          <cell r="G950">
            <v>0</v>
          </cell>
          <cell r="H950">
            <v>0</v>
          </cell>
          <cell r="I950">
            <v>0</v>
          </cell>
          <cell r="J950">
            <v>0</v>
          </cell>
          <cell r="K950">
            <v>0</v>
          </cell>
          <cell r="L950">
            <v>0</v>
          </cell>
          <cell r="M950">
            <v>0</v>
          </cell>
          <cell r="N950">
            <v>0</v>
          </cell>
          <cell r="O950">
            <v>0</v>
          </cell>
          <cell r="P950">
            <v>0</v>
          </cell>
          <cell r="Q950">
            <v>0</v>
          </cell>
          <cell r="R950">
            <v>0</v>
          </cell>
        </row>
        <row r="951">
          <cell r="A951" t="str">
            <v>13.01.02.01</v>
          </cell>
          <cell r="B951" t="str">
            <v>PISO DE CEMENTO FROTACHADO BRUÑADO</v>
          </cell>
          <cell r="C951" t="str">
            <v>m2</v>
          </cell>
          <cell r="D951">
            <v>274</v>
          </cell>
          <cell r="E951">
            <v>18.29</v>
          </cell>
          <cell r="F951">
            <v>5011.46</v>
          </cell>
          <cell r="G951">
            <v>0</v>
          </cell>
          <cell r="H951">
            <v>0</v>
          </cell>
          <cell r="I951" t="str">
            <v>0.00%</v>
          </cell>
          <cell r="J951">
            <v>0</v>
          </cell>
          <cell r="K951">
            <v>0</v>
          </cell>
          <cell r="L951" t="str">
            <v>0.00%</v>
          </cell>
          <cell r="M951">
            <v>0</v>
          </cell>
          <cell r="N951">
            <v>0</v>
          </cell>
          <cell r="O951" t="str">
            <v>0.00%</v>
          </cell>
          <cell r="P951">
            <v>274</v>
          </cell>
          <cell r="Q951">
            <v>5011.46</v>
          </cell>
          <cell r="R951">
            <v>1</v>
          </cell>
        </row>
        <row r="952">
          <cell r="A952" t="str">
            <v>13.01.03</v>
          </cell>
          <cell r="B952" t="str">
            <v xml:space="preserve">JUNTAS </v>
          </cell>
          <cell r="C952">
            <v>0</v>
          </cell>
          <cell r="D952">
            <v>0</v>
          </cell>
          <cell r="E952">
            <v>0</v>
          </cell>
          <cell r="F952">
            <v>0</v>
          </cell>
          <cell r="G952">
            <v>0</v>
          </cell>
          <cell r="H952">
            <v>0</v>
          </cell>
          <cell r="I952">
            <v>0</v>
          </cell>
          <cell r="J952">
            <v>0</v>
          </cell>
          <cell r="K952">
            <v>0</v>
          </cell>
          <cell r="L952">
            <v>0</v>
          </cell>
          <cell r="M952">
            <v>0</v>
          </cell>
          <cell r="N952">
            <v>0</v>
          </cell>
          <cell r="O952">
            <v>0</v>
          </cell>
          <cell r="P952">
            <v>0</v>
          </cell>
          <cell r="Q952">
            <v>0</v>
          </cell>
          <cell r="R952">
            <v>0</v>
          </cell>
        </row>
        <row r="953">
          <cell r="A953" t="str">
            <v>13.01.03.01</v>
          </cell>
          <cell r="B953" t="str">
            <v xml:space="preserve">JUNTAS ASFALTICAS </v>
          </cell>
          <cell r="C953" t="str">
            <v>m</v>
          </cell>
          <cell r="D953">
            <v>157.6</v>
          </cell>
          <cell r="E953">
            <v>10.09</v>
          </cell>
          <cell r="F953">
            <v>1590.184</v>
          </cell>
          <cell r="G953">
            <v>0</v>
          </cell>
          <cell r="H953">
            <v>0</v>
          </cell>
          <cell r="I953" t="str">
            <v>0.00%</v>
          </cell>
          <cell r="J953">
            <v>0</v>
          </cell>
          <cell r="K953">
            <v>0</v>
          </cell>
          <cell r="L953" t="str">
            <v>0.00%</v>
          </cell>
          <cell r="M953">
            <v>0</v>
          </cell>
          <cell r="N953">
            <v>0</v>
          </cell>
          <cell r="O953" t="str">
            <v>0.00%</v>
          </cell>
          <cell r="P953">
            <v>157.6</v>
          </cell>
          <cell r="Q953">
            <v>1590.184</v>
          </cell>
          <cell r="R953">
            <v>1</v>
          </cell>
        </row>
        <row r="954">
          <cell r="A954" t="str">
            <v>13.01.04</v>
          </cell>
          <cell r="B954" t="str">
            <v>COBERTURA</v>
          </cell>
          <cell r="C954">
            <v>0</v>
          </cell>
          <cell r="D954">
            <v>0</v>
          </cell>
          <cell r="E954">
            <v>0</v>
          </cell>
          <cell r="F954">
            <v>0</v>
          </cell>
          <cell r="G954">
            <v>0</v>
          </cell>
          <cell r="H954">
            <v>0</v>
          </cell>
          <cell r="I954">
            <v>0</v>
          </cell>
          <cell r="J954">
            <v>0</v>
          </cell>
          <cell r="K954">
            <v>0</v>
          </cell>
          <cell r="L954">
            <v>0</v>
          </cell>
          <cell r="M954">
            <v>0</v>
          </cell>
          <cell r="N954">
            <v>0</v>
          </cell>
          <cell r="O954">
            <v>0</v>
          </cell>
          <cell r="P954">
            <v>0</v>
          </cell>
          <cell r="Q954">
            <v>0</v>
          </cell>
          <cell r="R954">
            <v>0</v>
          </cell>
        </row>
        <row r="955">
          <cell r="A955" t="str">
            <v>13.01.04.01</v>
          </cell>
          <cell r="B955" t="str">
            <v>COBERTURA DE POLICARBONATO ALVEOLAR TRASLUCIDO DE 6 MM.</v>
          </cell>
          <cell r="C955" t="str">
            <v>m2</v>
          </cell>
          <cell r="D955">
            <v>245.86</v>
          </cell>
          <cell r="E955">
            <v>63.81</v>
          </cell>
          <cell r="F955">
            <v>15688.326600000002</v>
          </cell>
          <cell r="G955">
            <v>0</v>
          </cell>
          <cell r="H955">
            <v>0</v>
          </cell>
          <cell r="I955" t="str">
            <v>0.00%</v>
          </cell>
          <cell r="J955">
            <v>0</v>
          </cell>
          <cell r="K955">
            <v>0</v>
          </cell>
          <cell r="L955" t="str">
            <v>0.00%</v>
          </cell>
          <cell r="M955">
            <v>0</v>
          </cell>
          <cell r="N955">
            <v>0</v>
          </cell>
          <cell r="O955" t="str">
            <v>0.00%</v>
          </cell>
          <cell r="P955">
            <v>245.86</v>
          </cell>
          <cell r="Q955">
            <v>15688.326600000002</v>
          </cell>
          <cell r="R955">
            <v>1</v>
          </cell>
        </row>
        <row r="956">
          <cell r="A956" t="str">
            <v>13.01.05</v>
          </cell>
          <cell r="B956" t="str">
            <v>CARPINTERIA METALICA</v>
          </cell>
          <cell r="C956">
            <v>0</v>
          </cell>
          <cell r="D956">
            <v>0</v>
          </cell>
          <cell r="E956">
            <v>0</v>
          </cell>
          <cell r="F956">
            <v>0</v>
          </cell>
          <cell r="G956">
            <v>0</v>
          </cell>
          <cell r="H956">
            <v>0</v>
          </cell>
          <cell r="I956">
            <v>0</v>
          </cell>
          <cell r="J956">
            <v>0</v>
          </cell>
          <cell r="K956">
            <v>0</v>
          </cell>
          <cell r="L956">
            <v>0</v>
          </cell>
          <cell r="M956">
            <v>0</v>
          </cell>
          <cell r="N956">
            <v>0</v>
          </cell>
          <cell r="O956">
            <v>0</v>
          </cell>
          <cell r="P956">
            <v>0</v>
          </cell>
          <cell r="Q956">
            <v>0</v>
          </cell>
          <cell r="R956">
            <v>0</v>
          </cell>
        </row>
        <row r="957">
          <cell r="A957" t="str">
            <v>13.01.05.01</v>
          </cell>
          <cell r="B957" t="str">
            <v>ASTA DE BANDERA TIPICA</v>
          </cell>
          <cell r="C957" t="str">
            <v>und</v>
          </cell>
          <cell r="D957">
            <v>1</v>
          </cell>
          <cell r="E957">
            <v>2252.71</v>
          </cell>
          <cell r="F957">
            <v>2252.71</v>
          </cell>
          <cell r="G957">
            <v>0</v>
          </cell>
          <cell r="H957">
            <v>0</v>
          </cell>
          <cell r="I957" t="str">
            <v>0.00%</v>
          </cell>
          <cell r="J957">
            <v>0</v>
          </cell>
          <cell r="K957">
            <v>0</v>
          </cell>
          <cell r="L957" t="str">
            <v>0.00%</v>
          </cell>
          <cell r="M957">
            <v>0</v>
          </cell>
          <cell r="N957">
            <v>0</v>
          </cell>
          <cell r="O957" t="str">
            <v>0.00%</v>
          </cell>
          <cell r="P957">
            <v>1</v>
          </cell>
          <cell r="Q957">
            <v>2252.71</v>
          </cell>
          <cell r="R957">
            <v>1</v>
          </cell>
        </row>
        <row r="958">
          <cell r="A958" t="str">
            <v>13.01.05.02</v>
          </cell>
          <cell r="B958" t="str">
            <v>BARANDAS METALICAS S/D - TIPO II</v>
          </cell>
          <cell r="C958" t="str">
            <v>m</v>
          </cell>
          <cell r="D958">
            <v>11</v>
          </cell>
          <cell r="E958">
            <v>178.41</v>
          </cell>
          <cell r="F958">
            <v>1962.51</v>
          </cell>
          <cell r="G958">
            <v>0</v>
          </cell>
          <cell r="H958">
            <v>0</v>
          </cell>
          <cell r="I958" t="str">
            <v>0.00%</v>
          </cell>
          <cell r="J958">
            <v>0</v>
          </cell>
          <cell r="K958">
            <v>0</v>
          </cell>
          <cell r="L958" t="str">
            <v>0.00%</v>
          </cell>
          <cell r="M958">
            <v>0</v>
          </cell>
          <cell r="N958">
            <v>0</v>
          </cell>
          <cell r="O958" t="str">
            <v>0.00%</v>
          </cell>
          <cell r="P958">
            <v>11</v>
          </cell>
          <cell r="Q958">
            <v>1962.51</v>
          </cell>
          <cell r="R958">
            <v>1</v>
          </cell>
        </row>
        <row r="959">
          <cell r="A959" t="str">
            <v>13.01.06</v>
          </cell>
          <cell r="B959" t="str">
            <v>PINTURA</v>
          </cell>
          <cell r="C959">
            <v>0</v>
          </cell>
          <cell r="D959">
            <v>0</v>
          </cell>
          <cell r="E959">
            <v>0</v>
          </cell>
          <cell r="F959">
            <v>0</v>
          </cell>
          <cell r="G959">
            <v>0</v>
          </cell>
          <cell r="H959">
            <v>0</v>
          </cell>
          <cell r="I959">
            <v>0</v>
          </cell>
          <cell r="J959">
            <v>0</v>
          </cell>
          <cell r="K959">
            <v>0</v>
          </cell>
          <cell r="L959">
            <v>0</v>
          </cell>
          <cell r="M959">
            <v>0</v>
          </cell>
          <cell r="N959">
            <v>0</v>
          </cell>
          <cell r="O959">
            <v>0</v>
          </cell>
          <cell r="P959">
            <v>0</v>
          </cell>
          <cell r="Q959">
            <v>0</v>
          </cell>
          <cell r="R959">
            <v>0</v>
          </cell>
        </row>
        <row r="960">
          <cell r="A960" t="str">
            <v>13.01.06.01</v>
          </cell>
          <cell r="B960" t="str">
            <v>PINTURA EN TRIBUNA C/ESMALTE</v>
          </cell>
          <cell r="C960" t="str">
            <v>m2</v>
          </cell>
          <cell r="D960">
            <v>12.98</v>
          </cell>
          <cell r="E960">
            <v>7.16</v>
          </cell>
          <cell r="F960">
            <v>92.936800000000005</v>
          </cell>
          <cell r="G960">
            <v>0</v>
          </cell>
          <cell r="H960">
            <v>0</v>
          </cell>
          <cell r="I960" t="str">
            <v>0.00%</v>
          </cell>
          <cell r="J960">
            <v>0</v>
          </cell>
          <cell r="K960">
            <v>0</v>
          </cell>
          <cell r="L960" t="str">
            <v>0.00%</v>
          </cell>
          <cell r="M960">
            <v>0</v>
          </cell>
          <cell r="N960">
            <v>0</v>
          </cell>
          <cell r="O960" t="str">
            <v>0.00%</v>
          </cell>
          <cell r="P960">
            <v>12.98</v>
          </cell>
          <cell r="Q960">
            <v>92.936800000000005</v>
          </cell>
          <cell r="R960">
            <v>1</v>
          </cell>
        </row>
        <row r="961">
          <cell r="A961" t="str">
            <v>13.01.06.02</v>
          </cell>
          <cell r="B961" t="str">
            <v>PINTADO DE LAS MARCAS - LOSA DEPORTIVA</v>
          </cell>
          <cell r="C961" t="str">
            <v>m</v>
          </cell>
          <cell r="D961">
            <v>62.82</v>
          </cell>
          <cell r="E961">
            <v>22.7</v>
          </cell>
          <cell r="F961">
            <v>1426.0139999999999</v>
          </cell>
          <cell r="G961">
            <v>0</v>
          </cell>
          <cell r="H961">
            <v>0</v>
          </cell>
          <cell r="I961" t="str">
            <v>0.00%</v>
          </cell>
          <cell r="J961">
            <v>0</v>
          </cell>
          <cell r="K961">
            <v>0</v>
          </cell>
          <cell r="L961" t="str">
            <v>0.00%</v>
          </cell>
          <cell r="M961">
            <v>0</v>
          </cell>
          <cell r="N961">
            <v>0</v>
          </cell>
          <cell r="O961" t="str">
            <v>0.00%</v>
          </cell>
          <cell r="P961">
            <v>62.82</v>
          </cell>
          <cell r="Q961">
            <v>1426.0139999999999</v>
          </cell>
          <cell r="R961">
            <v>1</v>
          </cell>
        </row>
        <row r="962">
          <cell r="A962" t="str">
            <v>13.02</v>
          </cell>
          <cell r="B962" t="str">
            <v>SARDINELES</v>
          </cell>
          <cell r="C962">
            <v>0</v>
          </cell>
          <cell r="D962">
            <v>0</v>
          </cell>
          <cell r="E962">
            <v>0</v>
          </cell>
          <cell r="F962">
            <v>0</v>
          </cell>
          <cell r="G962">
            <v>0</v>
          </cell>
          <cell r="H962">
            <v>0</v>
          </cell>
          <cell r="I962">
            <v>0</v>
          </cell>
          <cell r="J962">
            <v>0</v>
          </cell>
          <cell r="K962">
            <v>0</v>
          </cell>
          <cell r="L962">
            <v>0</v>
          </cell>
          <cell r="M962">
            <v>0</v>
          </cell>
          <cell r="N962">
            <v>0</v>
          </cell>
          <cell r="O962">
            <v>0</v>
          </cell>
          <cell r="P962">
            <v>0</v>
          </cell>
          <cell r="Q962">
            <v>0</v>
          </cell>
          <cell r="R962">
            <v>0</v>
          </cell>
        </row>
        <row r="963">
          <cell r="A963" t="str">
            <v>13.02.01</v>
          </cell>
          <cell r="B963" t="str">
            <v>REVOQUES ENLUCIDOS Y MOLDURAS</v>
          </cell>
          <cell r="C963">
            <v>0</v>
          </cell>
          <cell r="D963">
            <v>0</v>
          </cell>
          <cell r="E963">
            <v>0</v>
          </cell>
          <cell r="F963">
            <v>0</v>
          </cell>
          <cell r="G963">
            <v>0</v>
          </cell>
          <cell r="H963">
            <v>0</v>
          </cell>
          <cell r="I963">
            <v>0</v>
          </cell>
          <cell r="J963">
            <v>0</v>
          </cell>
          <cell r="K963">
            <v>0</v>
          </cell>
          <cell r="L963">
            <v>0</v>
          </cell>
          <cell r="M963">
            <v>0</v>
          </cell>
          <cell r="N963">
            <v>0</v>
          </cell>
          <cell r="O963">
            <v>0</v>
          </cell>
          <cell r="P963">
            <v>0</v>
          </cell>
          <cell r="Q963">
            <v>0</v>
          </cell>
          <cell r="R963">
            <v>0</v>
          </cell>
        </row>
        <row r="964">
          <cell r="A964" t="str">
            <v>13.02.01.01</v>
          </cell>
          <cell r="B964" t="str">
            <v>TARRAJEO EN SARDINELES MEZCLA 1:5 CEMENTO:ARENA</v>
          </cell>
          <cell r="C964" t="str">
            <v>m2</v>
          </cell>
          <cell r="D964">
            <v>119.06</v>
          </cell>
          <cell r="E964">
            <v>30.23</v>
          </cell>
          <cell r="F964">
            <v>3599.1838000000002</v>
          </cell>
          <cell r="G964">
            <v>0</v>
          </cell>
          <cell r="H964">
            <v>0</v>
          </cell>
          <cell r="I964" t="str">
            <v>0.00%</v>
          </cell>
          <cell r="J964">
            <v>0</v>
          </cell>
          <cell r="K964">
            <v>0</v>
          </cell>
          <cell r="L964" t="str">
            <v>0.00%</v>
          </cell>
          <cell r="M964">
            <v>0</v>
          </cell>
          <cell r="N964">
            <v>0</v>
          </cell>
          <cell r="O964" t="str">
            <v>0.00%</v>
          </cell>
          <cell r="P964">
            <v>119.06</v>
          </cell>
          <cell r="Q964">
            <v>3599.1838000000002</v>
          </cell>
          <cell r="R964">
            <v>1</v>
          </cell>
        </row>
        <row r="965">
          <cell r="A965" t="str">
            <v>13.02.02</v>
          </cell>
          <cell r="B965" t="str">
            <v>PINTURA</v>
          </cell>
          <cell r="C965">
            <v>0</v>
          </cell>
          <cell r="D965">
            <v>0</v>
          </cell>
          <cell r="E965">
            <v>0</v>
          </cell>
          <cell r="F965">
            <v>0</v>
          </cell>
          <cell r="G965">
            <v>0</v>
          </cell>
          <cell r="H965">
            <v>0</v>
          </cell>
          <cell r="I965">
            <v>0</v>
          </cell>
          <cell r="J965">
            <v>0</v>
          </cell>
          <cell r="K965">
            <v>0</v>
          </cell>
          <cell r="L965">
            <v>0</v>
          </cell>
          <cell r="M965">
            <v>0</v>
          </cell>
          <cell r="N965">
            <v>0</v>
          </cell>
          <cell r="O965">
            <v>0</v>
          </cell>
          <cell r="P965">
            <v>0</v>
          </cell>
          <cell r="Q965">
            <v>0</v>
          </cell>
          <cell r="R965">
            <v>0</v>
          </cell>
        </row>
        <row r="966">
          <cell r="A966" t="str">
            <v>13.02.02.01</v>
          </cell>
          <cell r="B966" t="str">
            <v>PINTURA EN SARDINELES</v>
          </cell>
          <cell r="C966" t="str">
            <v>m2</v>
          </cell>
          <cell r="D966">
            <v>54.6</v>
          </cell>
          <cell r="E966">
            <v>9.07</v>
          </cell>
          <cell r="F966">
            <v>495.22200000000004</v>
          </cell>
          <cell r="G966">
            <v>0</v>
          </cell>
          <cell r="H966">
            <v>0</v>
          </cell>
          <cell r="I966" t="str">
            <v>0.00%</v>
          </cell>
          <cell r="J966">
            <v>0</v>
          </cell>
          <cell r="K966">
            <v>0</v>
          </cell>
          <cell r="L966" t="str">
            <v>0.00%</v>
          </cell>
          <cell r="M966">
            <v>0</v>
          </cell>
          <cell r="N966">
            <v>0</v>
          </cell>
          <cell r="O966" t="str">
            <v>0.00%</v>
          </cell>
          <cell r="P966">
            <v>54.6</v>
          </cell>
          <cell r="Q966">
            <v>495.22200000000004</v>
          </cell>
          <cell r="R966">
            <v>1</v>
          </cell>
        </row>
        <row r="967">
          <cell r="A967" t="str">
            <v>13.03</v>
          </cell>
          <cell r="B967" t="str">
            <v>RAMPA</v>
          </cell>
          <cell r="C967">
            <v>0</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row>
        <row r="968">
          <cell r="A968" t="str">
            <v>13.03.01</v>
          </cell>
          <cell r="B968" t="str">
            <v>REVOQUES ENLUCIDOS Y MOLDURAS</v>
          </cell>
          <cell r="C968">
            <v>0</v>
          </cell>
          <cell r="D968">
            <v>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row>
        <row r="969">
          <cell r="A969" t="str">
            <v>13.03.01.01</v>
          </cell>
          <cell r="B969" t="str">
            <v>TARRAJEO EN PARAPETO MEZCLA 1:5 CEMENTO:ARENA</v>
          </cell>
          <cell r="C969" t="str">
            <v>m2</v>
          </cell>
          <cell r="D969">
            <v>15.4</v>
          </cell>
          <cell r="E969">
            <v>30.23</v>
          </cell>
          <cell r="F969">
            <v>465.54200000000003</v>
          </cell>
          <cell r="G969">
            <v>0</v>
          </cell>
          <cell r="H969">
            <v>0</v>
          </cell>
          <cell r="I969" t="str">
            <v>0.00%</v>
          </cell>
          <cell r="J969">
            <v>0</v>
          </cell>
          <cell r="K969">
            <v>0</v>
          </cell>
          <cell r="L969" t="str">
            <v>0.00%</v>
          </cell>
          <cell r="M969">
            <v>0</v>
          </cell>
          <cell r="N969">
            <v>0</v>
          </cell>
          <cell r="O969" t="str">
            <v>0.00%</v>
          </cell>
          <cell r="P969">
            <v>15.4</v>
          </cell>
          <cell r="Q969">
            <v>465.54200000000003</v>
          </cell>
          <cell r="R969">
            <v>1</v>
          </cell>
        </row>
        <row r="970">
          <cell r="A970" t="str">
            <v>13.03.02</v>
          </cell>
          <cell r="B970" t="str">
            <v>PISOS Y PAVIMENTOS</v>
          </cell>
          <cell r="C970">
            <v>0</v>
          </cell>
          <cell r="D970">
            <v>0</v>
          </cell>
          <cell r="E970">
            <v>0</v>
          </cell>
          <cell r="F970">
            <v>0</v>
          </cell>
          <cell r="G970">
            <v>0</v>
          </cell>
          <cell r="H970">
            <v>0</v>
          </cell>
          <cell r="I970">
            <v>0</v>
          </cell>
          <cell r="J970">
            <v>0</v>
          </cell>
          <cell r="K970">
            <v>0</v>
          </cell>
          <cell r="L970">
            <v>0</v>
          </cell>
          <cell r="M970">
            <v>0</v>
          </cell>
          <cell r="N970">
            <v>0</v>
          </cell>
          <cell r="O970">
            <v>0</v>
          </cell>
          <cell r="P970">
            <v>0</v>
          </cell>
          <cell r="Q970">
            <v>0</v>
          </cell>
          <cell r="R970">
            <v>0</v>
          </cell>
        </row>
        <row r="971">
          <cell r="A971" t="str">
            <v>13.03.02.01</v>
          </cell>
          <cell r="B971" t="str">
            <v>PISO DE CEMENTO FROTACHADO BRUÑADO</v>
          </cell>
          <cell r="C971" t="str">
            <v>m2</v>
          </cell>
          <cell r="D971">
            <v>48.75</v>
          </cell>
          <cell r="E971">
            <v>18.29</v>
          </cell>
          <cell r="F971">
            <v>891.63749999999993</v>
          </cell>
          <cell r="G971">
            <v>0</v>
          </cell>
          <cell r="H971">
            <v>0</v>
          </cell>
          <cell r="I971" t="str">
            <v>0.00%</v>
          </cell>
          <cell r="J971">
            <v>0</v>
          </cell>
          <cell r="K971">
            <v>0</v>
          </cell>
          <cell r="L971" t="str">
            <v>0.00%</v>
          </cell>
          <cell r="M971">
            <v>0</v>
          </cell>
          <cell r="N971">
            <v>0</v>
          </cell>
          <cell r="O971" t="str">
            <v>0.00%</v>
          </cell>
          <cell r="P971">
            <v>48.75</v>
          </cell>
          <cell r="Q971">
            <v>891.63749999999993</v>
          </cell>
          <cell r="R971">
            <v>1</v>
          </cell>
        </row>
        <row r="972">
          <cell r="A972" t="str">
            <v>13.03.03</v>
          </cell>
          <cell r="B972" t="str">
            <v xml:space="preserve">JUNTAS </v>
          </cell>
          <cell r="C972">
            <v>0</v>
          </cell>
          <cell r="D972">
            <v>0</v>
          </cell>
          <cell r="E972">
            <v>0</v>
          </cell>
          <cell r="F972">
            <v>0</v>
          </cell>
          <cell r="G972">
            <v>0</v>
          </cell>
          <cell r="H972">
            <v>0</v>
          </cell>
          <cell r="I972">
            <v>0</v>
          </cell>
          <cell r="J972">
            <v>0</v>
          </cell>
          <cell r="K972">
            <v>0</v>
          </cell>
          <cell r="L972">
            <v>0</v>
          </cell>
          <cell r="M972">
            <v>0</v>
          </cell>
          <cell r="N972">
            <v>0</v>
          </cell>
          <cell r="O972">
            <v>0</v>
          </cell>
          <cell r="P972">
            <v>0</v>
          </cell>
          <cell r="Q972">
            <v>0</v>
          </cell>
          <cell r="R972">
            <v>0</v>
          </cell>
        </row>
        <row r="973">
          <cell r="A973" t="str">
            <v>13.03.03.01</v>
          </cell>
          <cell r="B973" t="str">
            <v xml:space="preserve">JUNTAS ASFALTICAS </v>
          </cell>
          <cell r="C973" t="str">
            <v>m</v>
          </cell>
          <cell r="D973">
            <v>19.5</v>
          </cell>
          <cell r="E973">
            <v>10.09</v>
          </cell>
          <cell r="F973">
            <v>196.755</v>
          </cell>
          <cell r="G973">
            <v>0</v>
          </cell>
          <cell r="H973">
            <v>0</v>
          </cell>
          <cell r="I973" t="str">
            <v>0.00%</v>
          </cell>
          <cell r="J973">
            <v>0</v>
          </cell>
          <cell r="K973">
            <v>0</v>
          </cell>
          <cell r="L973" t="str">
            <v>0.00%</v>
          </cell>
          <cell r="M973">
            <v>0</v>
          </cell>
          <cell r="N973">
            <v>0</v>
          </cell>
          <cell r="O973" t="str">
            <v>0.00%</v>
          </cell>
          <cell r="P973">
            <v>19.5</v>
          </cell>
          <cell r="Q973">
            <v>196.755</v>
          </cell>
          <cell r="R973">
            <v>1</v>
          </cell>
        </row>
        <row r="974">
          <cell r="A974" t="str">
            <v>13.03.04</v>
          </cell>
          <cell r="B974" t="str">
            <v>CARPINTERIA METALICA</v>
          </cell>
          <cell r="C974">
            <v>0</v>
          </cell>
          <cell r="D974">
            <v>0</v>
          </cell>
          <cell r="E974">
            <v>0</v>
          </cell>
          <cell r="F974">
            <v>0</v>
          </cell>
          <cell r="G974">
            <v>0</v>
          </cell>
          <cell r="H974">
            <v>0</v>
          </cell>
          <cell r="I974">
            <v>0</v>
          </cell>
          <cell r="J974">
            <v>0</v>
          </cell>
          <cell r="K974">
            <v>0</v>
          </cell>
          <cell r="L974">
            <v>0</v>
          </cell>
          <cell r="M974">
            <v>0</v>
          </cell>
          <cell r="N974">
            <v>0</v>
          </cell>
          <cell r="O974">
            <v>0</v>
          </cell>
          <cell r="P974">
            <v>0</v>
          </cell>
          <cell r="Q974">
            <v>0</v>
          </cell>
          <cell r="R974">
            <v>0</v>
          </cell>
        </row>
        <row r="975">
          <cell r="A975" t="str">
            <v>13.03.04.01</v>
          </cell>
          <cell r="B975" t="str">
            <v>BARANDAS METALICAS S/D - TIPO II</v>
          </cell>
          <cell r="C975" t="str">
            <v>m</v>
          </cell>
          <cell r="D975">
            <v>32.5</v>
          </cell>
          <cell r="E975">
            <v>178.41</v>
          </cell>
          <cell r="F975">
            <v>5798.3249999999998</v>
          </cell>
          <cell r="G975">
            <v>0</v>
          </cell>
          <cell r="H975">
            <v>0</v>
          </cell>
          <cell r="I975" t="str">
            <v>0.00%</v>
          </cell>
          <cell r="J975">
            <v>0</v>
          </cell>
          <cell r="K975">
            <v>0</v>
          </cell>
          <cell r="L975" t="str">
            <v>0.00%</v>
          </cell>
          <cell r="M975">
            <v>0</v>
          </cell>
          <cell r="N975">
            <v>0</v>
          </cell>
          <cell r="O975" t="str">
            <v>0.00%</v>
          </cell>
          <cell r="P975">
            <v>32.5</v>
          </cell>
          <cell r="Q975">
            <v>5798.3249999999998</v>
          </cell>
          <cell r="R975">
            <v>1</v>
          </cell>
        </row>
        <row r="976">
          <cell r="A976" t="str">
            <v>13.03.05</v>
          </cell>
          <cell r="B976" t="str">
            <v>PINTURA</v>
          </cell>
          <cell r="C976">
            <v>0</v>
          </cell>
          <cell r="D976">
            <v>0</v>
          </cell>
          <cell r="E976">
            <v>0</v>
          </cell>
          <cell r="F976">
            <v>0</v>
          </cell>
          <cell r="G976">
            <v>0</v>
          </cell>
          <cell r="H976">
            <v>0</v>
          </cell>
          <cell r="I976">
            <v>0</v>
          </cell>
          <cell r="J976">
            <v>0</v>
          </cell>
          <cell r="K976">
            <v>0</v>
          </cell>
          <cell r="L976">
            <v>0</v>
          </cell>
          <cell r="M976">
            <v>0</v>
          </cell>
          <cell r="N976">
            <v>0</v>
          </cell>
          <cell r="O976">
            <v>0</v>
          </cell>
          <cell r="P976">
            <v>0</v>
          </cell>
          <cell r="Q976">
            <v>0</v>
          </cell>
          <cell r="R976">
            <v>0</v>
          </cell>
        </row>
        <row r="977">
          <cell r="A977" t="str">
            <v>13.03.05.01</v>
          </cell>
          <cell r="B977" t="str">
            <v>PINTURA EN SARDINELES</v>
          </cell>
          <cell r="C977" t="str">
            <v>m2</v>
          </cell>
          <cell r="D977">
            <v>15.4</v>
          </cell>
          <cell r="E977">
            <v>9.07</v>
          </cell>
          <cell r="F977">
            <v>139.678</v>
          </cell>
          <cell r="G977">
            <v>0</v>
          </cell>
          <cell r="H977">
            <v>0</v>
          </cell>
          <cell r="I977" t="str">
            <v>0.00%</v>
          </cell>
          <cell r="J977">
            <v>0</v>
          </cell>
          <cell r="K977">
            <v>0</v>
          </cell>
          <cell r="L977" t="str">
            <v>0.00%</v>
          </cell>
          <cell r="M977">
            <v>0</v>
          </cell>
          <cell r="N977">
            <v>0</v>
          </cell>
          <cell r="O977" t="str">
            <v>0.00%</v>
          </cell>
          <cell r="P977">
            <v>15.4</v>
          </cell>
          <cell r="Q977">
            <v>139.678</v>
          </cell>
          <cell r="R977">
            <v>1</v>
          </cell>
        </row>
        <row r="978">
          <cell r="A978" t="str">
            <v>13.03.05.02</v>
          </cell>
          <cell r="B978" t="str">
            <v>PINTURA EN BARANDAS METALICAS</v>
          </cell>
          <cell r="C978" t="str">
            <v>m</v>
          </cell>
          <cell r="D978">
            <v>32.5</v>
          </cell>
          <cell r="E978">
            <v>9.49</v>
          </cell>
          <cell r="F978">
            <v>308.42500000000001</v>
          </cell>
          <cell r="G978">
            <v>0</v>
          </cell>
          <cell r="H978">
            <v>0</v>
          </cell>
          <cell r="I978" t="str">
            <v>0.00%</v>
          </cell>
          <cell r="J978">
            <v>0</v>
          </cell>
          <cell r="K978">
            <v>0</v>
          </cell>
          <cell r="L978" t="str">
            <v>0.00%</v>
          </cell>
          <cell r="M978">
            <v>0</v>
          </cell>
          <cell r="N978">
            <v>0</v>
          </cell>
          <cell r="O978" t="str">
            <v>0.00%</v>
          </cell>
          <cell r="P978">
            <v>32.5</v>
          </cell>
          <cell r="Q978">
            <v>308.42500000000001</v>
          </cell>
          <cell r="R978">
            <v>1</v>
          </cell>
        </row>
        <row r="979">
          <cell r="A979" t="str">
            <v>13.04</v>
          </cell>
          <cell r="B979" t="str">
            <v>GRADERIA</v>
          </cell>
          <cell r="C979">
            <v>0</v>
          </cell>
          <cell r="D979">
            <v>0</v>
          </cell>
          <cell r="E979">
            <v>0</v>
          </cell>
          <cell r="F979">
            <v>0</v>
          </cell>
          <cell r="G979">
            <v>0</v>
          </cell>
          <cell r="H979">
            <v>0</v>
          </cell>
          <cell r="I979">
            <v>0</v>
          </cell>
          <cell r="J979">
            <v>0</v>
          </cell>
          <cell r="K979">
            <v>0</v>
          </cell>
          <cell r="L979">
            <v>0</v>
          </cell>
          <cell r="M979">
            <v>0</v>
          </cell>
          <cell r="N979">
            <v>0</v>
          </cell>
          <cell r="O979">
            <v>0</v>
          </cell>
          <cell r="P979">
            <v>0</v>
          </cell>
          <cell r="Q979">
            <v>0</v>
          </cell>
          <cell r="R979">
            <v>0</v>
          </cell>
        </row>
        <row r="980">
          <cell r="A980" t="str">
            <v>13.04.01</v>
          </cell>
          <cell r="B980" t="str">
            <v>REVOQUES ENLUCIDOS Y MOLDURAS</v>
          </cell>
          <cell r="C980">
            <v>0</v>
          </cell>
          <cell r="D980">
            <v>0</v>
          </cell>
          <cell r="E980">
            <v>0</v>
          </cell>
          <cell r="F980">
            <v>0</v>
          </cell>
          <cell r="G980">
            <v>0</v>
          </cell>
          <cell r="H980">
            <v>0</v>
          </cell>
          <cell r="I980">
            <v>0</v>
          </cell>
          <cell r="J980">
            <v>0</v>
          </cell>
          <cell r="K980">
            <v>0</v>
          </cell>
          <cell r="L980">
            <v>0</v>
          </cell>
          <cell r="M980">
            <v>0</v>
          </cell>
          <cell r="N980">
            <v>0</v>
          </cell>
          <cell r="O980">
            <v>0</v>
          </cell>
          <cell r="P980">
            <v>0</v>
          </cell>
          <cell r="Q980">
            <v>0</v>
          </cell>
          <cell r="R980">
            <v>0</v>
          </cell>
        </row>
        <row r="981">
          <cell r="A981" t="str">
            <v>13.04.01.01</v>
          </cell>
          <cell r="B981" t="str">
            <v>REVESTIMIENTO EN GRADAS</v>
          </cell>
          <cell r="C981" t="str">
            <v>m2</v>
          </cell>
          <cell r="D981">
            <v>17.59</v>
          </cell>
          <cell r="E981">
            <v>96.11</v>
          </cell>
          <cell r="F981">
            <v>1690.5749000000001</v>
          </cell>
          <cell r="G981">
            <v>0</v>
          </cell>
          <cell r="H981">
            <v>0</v>
          </cell>
          <cell r="I981" t="str">
            <v>0.00%</v>
          </cell>
          <cell r="J981">
            <v>0</v>
          </cell>
          <cell r="K981">
            <v>0</v>
          </cell>
          <cell r="L981" t="str">
            <v>0.00%</v>
          </cell>
          <cell r="M981">
            <v>0</v>
          </cell>
          <cell r="N981">
            <v>0</v>
          </cell>
          <cell r="O981" t="str">
            <v>0.00%</v>
          </cell>
          <cell r="P981">
            <v>17.59</v>
          </cell>
          <cell r="Q981">
            <v>1690.5749000000001</v>
          </cell>
          <cell r="R981">
            <v>1</v>
          </cell>
        </row>
        <row r="982">
          <cell r="A982" t="str">
            <v>13.04.02</v>
          </cell>
          <cell r="B982" t="str">
            <v>PISOS Y PAVIMENTOS</v>
          </cell>
          <cell r="C982">
            <v>0</v>
          </cell>
          <cell r="D982">
            <v>0</v>
          </cell>
          <cell r="E982">
            <v>0</v>
          </cell>
          <cell r="F982">
            <v>0</v>
          </cell>
          <cell r="G982">
            <v>0</v>
          </cell>
          <cell r="H982">
            <v>0</v>
          </cell>
          <cell r="I982">
            <v>0</v>
          </cell>
          <cell r="J982">
            <v>0</v>
          </cell>
          <cell r="K982">
            <v>0</v>
          </cell>
          <cell r="L982">
            <v>0</v>
          </cell>
          <cell r="M982">
            <v>0</v>
          </cell>
          <cell r="N982">
            <v>0</v>
          </cell>
          <cell r="O982">
            <v>0</v>
          </cell>
          <cell r="P982">
            <v>0</v>
          </cell>
          <cell r="Q982">
            <v>0</v>
          </cell>
          <cell r="R982">
            <v>0</v>
          </cell>
        </row>
        <row r="983">
          <cell r="A983" t="str">
            <v>13.04.02.01</v>
          </cell>
          <cell r="B983" t="str">
            <v>PISO DE CEMENTO FROTACHADO BRUÑADO</v>
          </cell>
          <cell r="C983" t="str">
            <v>m2</v>
          </cell>
          <cell r="D983">
            <v>10.69</v>
          </cell>
          <cell r="E983">
            <v>18.29</v>
          </cell>
          <cell r="F983">
            <v>195.52009999999999</v>
          </cell>
          <cell r="G983">
            <v>0</v>
          </cell>
          <cell r="H983">
            <v>0</v>
          </cell>
          <cell r="I983" t="str">
            <v>0.00%</v>
          </cell>
          <cell r="J983">
            <v>0</v>
          </cell>
          <cell r="K983">
            <v>0</v>
          </cell>
          <cell r="L983" t="str">
            <v>0.00%</v>
          </cell>
          <cell r="M983">
            <v>0</v>
          </cell>
          <cell r="N983">
            <v>0</v>
          </cell>
          <cell r="O983" t="str">
            <v>0.00%</v>
          </cell>
          <cell r="P983">
            <v>10.69</v>
          </cell>
          <cell r="Q983">
            <v>195.52009999999999</v>
          </cell>
          <cell r="R983">
            <v>1</v>
          </cell>
        </row>
        <row r="984">
          <cell r="A984" t="str">
            <v>13.04.03</v>
          </cell>
          <cell r="B984" t="str">
            <v xml:space="preserve">JUNTAS </v>
          </cell>
          <cell r="C984">
            <v>0</v>
          </cell>
          <cell r="D984">
            <v>0</v>
          </cell>
          <cell r="E984">
            <v>0</v>
          </cell>
          <cell r="F984">
            <v>0</v>
          </cell>
          <cell r="G984">
            <v>0</v>
          </cell>
          <cell r="H984">
            <v>0</v>
          </cell>
          <cell r="I984">
            <v>0</v>
          </cell>
          <cell r="J984">
            <v>0</v>
          </cell>
          <cell r="K984">
            <v>0</v>
          </cell>
          <cell r="L984">
            <v>0</v>
          </cell>
          <cell r="M984">
            <v>0</v>
          </cell>
          <cell r="N984">
            <v>0</v>
          </cell>
          <cell r="O984">
            <v>0</v>
          </cell>
          <cell r="P984">
            <v>0</v>
          </cell>
          <cell r="Q984">
            <v>0</v>
          </cell>
          <cell r="R984">
            <v>0</v>
          </cell>
        </row>
        <row r="985">
          <cell r="A985" t="str">
            <v>13.04.03.01</v>
          </cell>
          <cell r="B985" t="str">
            <v xml:space="preserve">JUNTAS ASFALTICAS </v>
          </cell>
          <cell r="C985" t="str">
            <v>m</v>
          </cell>
          <cell r="D985">
            <v>37.200000000000003</v>
          </cell>
          <cell r="E985">
            <v>10.09</v>
          </cell>
          <cell r="F985">
            <v>375.34800000000001</v>
          </cell>
          <cell r="G985">
            <v>0</v>
          </cell>
          <cell r="H985">
            <v>0</v>
          </cell>
          <cell r="I985" t="str">
            <v>0.00%</v>
          </cell>
          <cell r="J985">
            <v>0</v>
          </cell>
          <cell r="K985">
            <v>0</v>
          </cell>
          <cell r="L985" t="str">
            <v>0.00%</v>
          </cell>
          <cell r="M985">
            <v>0</v>
          </cell>
          <cell r="N985">
            <v>0</v>
          </cell>
          <cell r="O985" t="str">
            <v>0.00%</v>
          </cell>
          <cell r="P985">
            <v>37.200000000000003</v>
          </cell>
          <cell r="Q985">
            <v>375.34800000000001</v>
          </cell>
          <cell r="R985">
            <v>1</v>
          </cell>
        </row>
        <row r="986">
          <cell r="A986" t="str">
            <v>13.04.04</v>
          </cell>
          <cell r="B986" t="str">
            <v>CARPINTERIA METALICA</v>
          </cell>
          <cell r="C986">
            <v>0</v>
          </cell>
          <cell r="D986">
            <v>0</v>
          </cell>
          <cell r="E986">
            <v>0</v>
          </cell>
          <cell r="F986">
            <v>0</v>
          </cell>
          <cell r="G986">
            <v>0</v>
          </cell>
          <cell r="H986">
            <v>0</v>
          </cell>
          <cell r="I986">
            <v>0</v>
          </cell>
          <cell r="J986">
            <v>0</v>
          </cell>
          <cell r="K986">
            <v>0</v>
          </cell>
          <cell r="L986">
            <v>0</v>
          </cell>
          <cell r="M986">
            <v>0</v>
          </cell>
          <cell r="N986">
            <v>0</v>
          </cell>
          <cell r="O986">
            <v>0</v>
          </cell>
          <cell r="P986">
            <v>0</v>
          </cell>
          <cell r="Q986">
            <v>0</v>
          </cell>
          <cell r="R986">
            <v>0</v>
          </cell>
        </row>
        <row r="987">
          <cell r="A987" t="str">
            <v>13.04.04.01</v>
          </cell>
          <cell r="B987" t="str">
            <v>BARANDAS METALICAS S/D - TIPO II</v>
          </cell>
          <cell r="C987" t="str">
            <v>m</v>
          </cell>
          <cell r="D987">
            <v>4.2</v>
          </cell>
          <cell r="E987">
            <v>178.41</v>
          </cell>
          <cell r="F987">
            <v>749.322</v>
          </cell>
          <cell r="G987">
            <v>0</v>
          </cell>
          <cell r="H987">
            <v>0</v>
          </cell>
          <cell r="I987" t="str">
            <v>0.00%</v>
          </cell>
          <cell r="J987">
            <v>0</v>
          </cell>
          <cell r="K987">
            <v>0</v>
          </cell>
          <cell r="L987" t="str">
            <v>0.00%</v>
          </cell>
          <cell r="M987">
            <v>0</v>
          </cell>
          <cell r="N987">
            <v>0</v>
          </cell>
          <cell r="O987" t="str">
            <v>0.00%</v>
          </cell>
          <cell r="P987">
            <v>4.2</v>
          </cell>
          <cell r="Q987">
            <v>749.322</v>
          </cell>
          <cell r="R987">
            <v>1</v>
          </cell>
        </row>
        <row r="988">
          <cell r="A988" t="str">
            <v>13.04.05</v>
          </cell>
          <cell r="B988" t="str">
            <v>PINTURA</v>
          </cell>
          <cell r="C988">
            <v>0</v>
          </cell>
          <cell r="D988">
            <v>0</v>
          </cell>
          <cell r="E988">
            <v>0</v>
          </cell>
          <cell r="F988">
            <v>0</v>
          </cell>
          <cell r="G988">
            <v>0</v>
          </cell>
          <cell r="H988">
            <v>0</v>
          </cell>
          <cell r="I988">
            <v>0</v>
          </cell>
          <cell r="J988">
            <v>0</v>
          </cell>
          <cell r="K988">
            <v>0</v>
          </cell>
          <cell r="L988">
            <v>0</v>
          </cell>
          <cell r="M988">
            <v>0</v>
          </cell>
          <cell r="N988">
            <v>0</v>
          </cell>
          <cell r="O988">
            <v>0</v>
          </cell>
          <cell r="P988">
            <v>0</v>
          </cell>
          <cell r="Q988">
            <v>0</v>
          </cell>
          <cell r="R988">
            <v>0</v>
          </cell>
        </row>
        <row r="989">
          <cell r="A989" t="str">
            <v>13.04.05.01</v>
          </cell>
          <cell r="B989" t="str">
            <v>PINTURA EN BARANDAS METALICAS</v>
          </cell>
          <cell r="C989" t="str">
            <v>m</v>
          </cell>
          <cell r="D989">
            <v>4.2</v>
          </cell>
          <cell r="E989">
            <v>9.49</v>
          </cell>
          <cell r="F989">
            <v>39.858000000000004</v>
          </cell>
          <cell r="G989">
            <v>0</v>
          </cell>
          <cell r="H989">
            <v>0</v>
          </cell>
          <cell r="I989" t="str">
            <v>0.00%</v>
          </cell>
          <cell r="J989">
            <v>0</v>
          </cell>
          <cell r="K989">
            <v>0</v>
          </cell>
          <cell r="L989" t="str">
            <v>0.00%</v>
          </cell>
          <cell r="M989">
            <v>0</v>
          </cell>
          <cell r="N989">
            <v>0</v>
          </cell>
          <cell r="O989" t="str">
            <v>0.00%</v>
          </cell>
          <cell r="P989">
            <v>4.2</v>
          </cell>
          <cell r="Q989">
            <v>39.858000000000004</v>
          </cell>
          <cell r="R989">
            <v>1</v>
          </cell>
        </row>
        <row r="990">
          <cell r="A990" t="str">
            <v>13.05</v>
          </cell>
          <cell r="B990" t="str">
            <v>ACCESO DE CIRCULACION</v>
          </cell>
          <cell r="C990">
            <v>0</v>
          </cell>
          <cell r="D990">
            <v>0</v>
          </cell>
          <cell r="E990">
            <v>0</v>
          </cell>
          <cell r="F990">
            <v>0</v>
          </cell>
          <cell r="G990">
            <v>0</v>
          </cell>
          <cell r="H990">
            <v>0</v>
          </cell>
          <cell r="I990">
            <v>0</v>
          </cell>
          <cell r="J990">
            <v>0</v>
          </cell>
          <cell r="K990">
            <v>0</v>
          </cell>
          <cell r="L990">
            <v>0</v>
          </cell>
          <cell r="M990">
            <v>0</v>
          </cell>
          <cell r="N990">
            <v>0</v>
          </cell>
          <cell r="O990">
            <v>0</v>
          </cell>
          <cell r="P990">
            <v>0</v>
          </cell>
          <cell r="Q990">
            <v>0</v>
          </cell>
          <cell r="R990">
            <v>0</v>
          </cell>
        </row>
        <row r="991">
          <cell r="A991" t="str">
            <v>13.05.01</v>
          </cell>
          <cell r="B991" t="str">
            <v>PISOS Y PAVIMENTOS</v>
          </cell>
          <cell r="C991">
            <v>0</v>
          </cell>
          <cell r="D991">
            <v>0</v>
          </cell>
          <cell r="E991">
            <v>0</v>
          </cell>
          <cell r="F991">
            <v>0</v>
          </cell>
          <cell r="G991">
            <v>0</v>
          </cell>
          <cell r="H991">
            <v>0</v>
          </cell>
          <cell r="I991">
            <v>0</v>
          </cell>
          <cell r="J991">
            <v>0</v>
          </cell>
          <cell r="K991">
            <v>0</v>
          </cell>
          <cell r="L991">
            <v>0</v>
          </cell>
          <cell r="M991">
            <v>0</v>
          </cell>
          <cell r="N991">
            <v>0</v>
          </cell>
          <cell r="O991">
            <v>0</v>
          </cell>
          <cell r="P991">
            <v>0</v>
          </cell>
          <cell r="Q991">
            <v>0</v>
          </cell>
          <cell r="R991">
            <v>0</v>
          </cell>
        </row>
        <row r="992">
          <cell r="A992" t="str">
            <v>13.05.01.01</v>
          </cell>
          <cell r="B992" t="str">
            <v>FALSO PISO DE 4" DE CONCRETO 1:10</v>
          </cell>
          <cell r="C992" t="str">
            <v>m2</v>
          </cell>
          <cell r="D992">
            <v>139.08000000000001</v>
          </cell>
          <cell r="E992">
            <v>34.700000000000003</v>
          </cell>
          <cell r="F992">
            <v>4826.0760000000009</v>
          </cell>
          <cell r="G992">
            <v>0</v>
          </cell>
          <cell r="H992">
            <v>0</v>
          </cell>
          <cell r="I992" t="str">
            <v>0.00%</v>
          </cell>
          <cell r="J992">
            <v>0</v>
          </cell>
          <cell r="K992">
            <v>0</v>
          </cell>
          <cell r="L992" t="str">
            <v>0.00%</v>
          </cell>
          <cell r="M992">
            <v>0</v>
          </cell>
          <cell r="N992">
            <v>0</v>
          </cell>
          <cell r="O992" t="str">
            <v>0.00%</v>
          </cell>
          <cell r="P992">
            <v>139.08000000000001</v>
          </cell>
          <cell r="Q992">
            <v>4826.0760000000009</v>
          </cell>
          <cell r="R992">
            <v>1</v>
          </cell>
        </row>
        <row r="993">
          <cell r="A993" t="str">
            <v>13.05.01.02</v>
          </cell>
          <cell r="B993" t="str">
            <v>PISO DE CEMENTO PULIDO CON PIEDRA LAVADA COLOREADO BRUÑADO</v>
          </cell>
          <cell r="C993" t="str">
            <v>m2</v>
          </cell>
          <cell r="D993">
            <v>66.3</v>
          </cell>
          <cell r="E993">
            <v>45.32</v>
          </cell>
          <cell r="F993">
            <v>3004.7159999999999</v>
          </cell>
          <cell r="G993">
            <v>0</v>
          </cell>
          <cell r="H993">
            <v>0</v>
          </cell>
          <cell r="I993" t="str">
            <v>0.00%</v>
          </cell>
          <cell r="J993">
            <v>0</v>
          </cell>
          <cell r="K993">
            <v>0</v>
          </cell>
          <cell r="L993" t="str">
            <v>0.00%</v>
          </cell>
          <cell r="M993">
            <v>0</v>
          </cell>
          <cell r="N993">
            <v>0</v>
          </cell>
          <cell r="O993" t="str">
            <v>0.00%</v>
          </cell>
          <cell r="P993">
            <v>66.3</v>
          </cell>
          <cell r="Q993">
            <v>3004.7159999999999</v>
          </cell>
          <cell r="R993">
            <v>1</v>
          </cell>
        </row>
        <row r="994">
          <cell r="A994" t="str">
            <v>13.05.01.03</v>
          </cell>
          <cell r="B994" t="str">
            <v>PISO DE CEMENTO PULIDO CON PIEDRA LAVADA S/ COLOREAR  BRUÑADO</v>
          </cell>
          <cell r="C994" t="str">
            <v>m2</v>
          </cell>
          <cell r="D994">
            <v>72.78</v>
          </cell>
          <cell r="E994">
            <v>40</v>
          </cell>
          <cell r="F994">
            <v>2911.2</v>
          </cell>
          <cell r="G994">
            <v>0</v>
          </cell>
          <cell r="H994">
            <v>0</v>
          </cell>
          <cell r="I994" t="str">
            <v>0.00%</v>
          </cell>
          <cell r="J994">
            <v>0</v>
          </cell>
          <cell r="K994">
            <v>0</v>
          </cell>
          <cell r="L994" t="str">
            <v>0.00%</v>
          </cell>
          <cell r="M994">
            <v>0</v>
          </cell>
          <cell r="N994">
            <v>0</v>
          </cell>
          <cell r="O994" t="str">
            <v>0.00%</v>
          </cell>
          <cell r="P994">
            <v>72.78</v>
          </cell>
          <cell r="Q994">
            <v>2911.2</v>
          </cell>
          <cell r="R994">
            <v>1</v>
          </cell>
        </row>
        <row r="995">
          <cell r="A995" t="str">
            <v>13.06</v>
          </cell>
          <cell r="B995" t="str">
            <v>CISTERNA SUBTERRANEA, CASETA DE BOMBEO Y TANQUE ELEVADO</v>
          </cell>
          <cell r="C995">
            <v>0</v>
          </cell>
          <cell r="D995">
            <v>0</v>
          </cell>
          <cell r="E995">
            <v>0</v>
          </cell>
          <cell r="F995">
            <v>0</v>
          </cell>
          <cell r="G995">
            <v>0</v>
          </cell>
          <cell r="H995">
            <v>0</v>
          </cell>
          <cell r="I995">
            <v>0</v>
          </cell>
          <cell r="J995">
            <v>0</v>
          </cell>
          <cell r="K995">
            <v>0</v>
          </cell>
          <cell r="L995">
            <v>0</v>
          </cell>
          <cell r="M995">
            <v>0</v>
          </cell>
          <cell r="N995">
            <v>0</v>
          </cell>
          <cell r="O995">
            <v>0</v>
          </cell>
          <cell r="P995">
            <v>0</v>
          </cell>
          <cell r="Q995">
            <v>0</v>
          </cell>
          <cell r="R995">
            <v>0</v>
          </cell>
        </row>
        <row r="996">
          <cell r="A996" t="str">
            <v>13.06.01</v>
          </cell>
          <cell r="B996" t="str">
            <v>REVOQUES ENLUCIDOS Y MOLDURAS</v>
          </cell>
          <cell r="C996">
            <v>0</v>
          </cell>
          <cell r="D996">
            <v>0</v>
          </cell>
          <cell r="E996">
            <v>0</v>
          </cell>
          <cell r="F996">
            <v>0</v>
          </cell>
          <cell r="G996">
            <v>0</v>
          </cell>
          <cell r="H996">
            <v>0</v>
          </cell>
          <cell r="I996">
            <v>0</v>
          </cell>
          <cell r="J996">
            <v>0</v>
          </cell>
          <cell r="K996">
            <v>0</v>
          </cell>
          <cell r="L996">
            <v>0</v>
          </cell>
          <cell r="M996">
            <v>0</v>
          </cell>
          <cell r="N996">
            <v>0</v>
          </cell>
          <cell r="O996">
            <v>0</v>
          </cell>
          <cell r="P996">
            <v>0</v>
          </cell>
          <cell r="Q996">
            <v>0</v>
          </cell>
          <cell r="R996">
            <v>0</v>
          </cell>
        </row>
        <row r="997">
          <cell r="A997" t="str">
            <v>13.06.01.01</v>
          </cell>
          <cell r="B997" t="str">
            <v>TARRAJEO EN MUROS EXTERIORES MEZCLA 1:5 CEMENTO:ARENA</v>
          </cell>
          <cell r="C997" t="str">
            <v>m2</v>
          </cell>
          <cell r="D997">
            <v>19.88</v>
          </cell>
          <cell r="E997">
            <v>33.57</v>
          </cell>
          <cell r="F997">
            <v>667.37159999999994</v>
          </cell>
          <cell r="G997">
            <v>0</v>
          </cell>
          <cell r="H997">
            <v>0</v>
          </cell>
          <cell r="I997" t="str">
            <v>0.00%</v>
          </cell>
          <cell r="J997">
            <v>0</v>
          </cell>
          <cell r="K997">
            <v>0</v>
          </cell>
          <cell r="L997" t="str">
            <v>0.00%</v>
          </cell>
          <cell r="M997">
            <v>0</v>
          </cell>
          <cell r="N997">
            <v>0</v>
          </cell>
          <cell r="O997" t="str">
            <v>0.00%</v>
          </cell>
          <cell r="P997">
            <v>19.88</v>
          </cell>
          <cell r="Q997">
            <v>667.37159999999994</v>
          </cell>
          <cell r="R997">
            <v>1</v>
          </cell>
        </row>
        <row r="998">
          <cell r="A998" t="str">
            <v>13.06.01.02</v>
          </cell>
          <cell r="B998" t="str">
            <v>TARRAJEO EN MUROS INTERIORES MEZCLA 1:5 CEMENTO:ARENA</v>
          </cell>
          <cell r="C998" t="str">
            <v>m2</v>
          </cell>
          <cell r="D998">
            <v>32.29</v>
          </cell>
          <cell r="E998">
            <v>26.91</v>
          </cell>
          <cell r="F998">
            <v>868.9239</v>
          </cell>
          <cell r="G998">
            <v>0</v>
          </cell>
          <cell r="H998">
            <v>0</v>
          </cell>
          <cell r="I998" t="str">
            <v>0.00%</v>
          </cell>
          <cell r="J998">
            <v>0</v>
          </cell>
          <cell r="K998">
            <v>0</v>
          </cell>
          <cell r="L998" t="str">
            <v>0.00%</v>
          </cell>
          <cell r="M998">
            <v>0</v>
          </cell>
          <cell r="N998">
            <v>0</v>
          </cell>
          <cell r="O998" t="str">
            <v>0.00%</v>
          </cell>
          <cell r="P998">
            <v>32.29</v>
          </cell>
          <cell r="Q998">
            <v>868.9239</v>
          </cell>
          <cell r="R998">
            <v>1</v>
          </cell>
        </row>
        <row r="999">
          <cell r="A999" t="str">
            <v>13.06.01.03</v>
          </cell>
          <cell r="B999" t="str">
            <v>TARRAJEO CON IMPERMEABILIZANTE</v>
          </cell>
          <cell r="C999" t="str">
            <v>m2</v>
          </cell>
          <cell r="D999">
            <v>50.03</v>
          </cell>
          <cell r="E999">
            <v>22.12</v>
          </cell>
          <cell r="F999">
            <v>1106.6636000000001</v>
          </cell>
          <cell r="G999">
            <v>0</v>
          </cell>
          <cell r="H999">
            <v>0</v>
          </cell>
          <cell r="I999" t="str">
            <v>0.00%</v>
          </cell>
          <cell r="J999">
            <v>0</v>
          </cell>
          <cell r="K999">
            <v>0</v>
          </cell>
          <cell r="L999" t="str">
            <v>0.00%</v>
          </cell>
          <cell r="M999">
            <v>0</v>
          </cell>
          <cell r="N999">
            <v>0</v>
          </cell>
          <cell r="O999" t="str">
            <v>0.00%</v>
          </cell>
          <cell r="P999">
            <v>50.03</v>
          </cell>
          <cell r="Q999">
            <v>1106.6636000000001</v>
          </cell>
          <cell r="R999">
            <v>1</v>
          </cell>
        </row>
        <row r="1000">
          <cell r="A1000" t="str">
            <v>13.06.01.04</v>
          </cell>
          <cell r="B1000" t="str">
            <v xml:space="preserve">VESTIDURA DE DERRAMES </v>
          </cell>
          <cell r="C1000" t="str">
            <v>m</v>
          </cell>
          <cell r="D1000">
            <v>4.8</v>
          </cell>
          <cell r="E1000">
            <v>24.82</v>
          </cell>
          <cell r="F1000">
            <v>119.136</v>
          </cell>
          <cell r="G1000">
            <v>0</v>
          </cell>
          <cell r="H1000">
            <v>0</v>
          </cell>
          <cell r="I1000" t="str">
            <v>0.00%</v>
          </cell>
          <cell r="J1000">
            <v>0</v>
          </cell>
          <cell r="K1000">
            <v>0</v>
          </cell>
          <cell r="L1000" t="str">
            <v>0.00%</v>
          </cell>
          <cell r="M1000">
            <v>0</v>
          </cell>
          <cell r="N1000">
            <v>0</v>
          </cell>
          <cell r="O1000" t="str">
            <v>0.00%</v>
          </cell>
          <cell r="P1000">
            <v>4.8</v>
          </cell>
          <cell r="Q1000">
            <v>119.136</v>
          </cell>
          <cell r="R1000">
            <v>1</v>
          </cell>
        </row>
        <row r="1001">
          <cell r="A1001" t="str">
            <v>13.06.02</v>
          </cell>
          <cell r="B1001" t="str">
            <v>CIELORRASOS</v>
          </cell>
          <cell r="C1001">
            <v>0</v>
          </cell>
          <cell r="D1001">
            <v>0</v>
          </cell>
          <cell r="E1001">
            <v>0</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row>
        <row r="1002">
          <cell r="A1002" t="str">
            <v>13.06.02.01</v>
          </cell>
          <cell r="B1002" t="str">
            <v>CIELORRASOS CON MEZCLA C:A 1:5 e= 1.5 CM</v>
          </cell>
          <cell r="C1002" t="str">
            <v>m2</v>
          </cell>
          <cell r="D1002">
            <v>14.34</v>
          </cell>
          <cell r="E1002">
            <v>41.21</v>
          </cell>
          <cell r="F1002">
            <v>590.95140000000004</v>
          </cell>
          <cell r="G1002">
            <v>0</v>
          </cell>
          <cell r="H1002">
            <v>0</v>
          </cell>
          <cell r="I1002" t="str">
            <v>0.00%</v>
          </cell>
          <cell r="J1002">
            <v>0</v>
          </cell>
          <cell r="K1002">
            <v>0</v>
          </cell>
          <cell r="L1002" t="str">
            <v>0.00%</v>
          </cell>
          <cell r="M1002">
            <v>0</v>
          </cell>
          <cell r="N1002">
            <v>0</v>
          </cell>
          <cell r="O1002" t="str">
            <v>0.00%</v>
          </cell>
          <cell r="P1002">
            <v>14.34</v>
          </cell>
          <cell r="Q1002">
            <v>590.95140000000004</v>
          </cell>
          <cell r="R1002">
            <v>1</v>
          </cell>
        </row>
        <row r="1003">
          <cell r="A1003" t="str">
            <v>13.06.03</v>
          </cell>
          <cell r="B1003" t="str">
            <v>PISOS Y PAVIMENTOS</v>
          </cell>
          <cell r="C1003">
            <v>0</v>
          </cell>
          <cell r="D1003">
            <v>0</v>
          </cell>
          <cell r="E1003">
            <v>0</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row>
        <row r="1004">
          <cell r="A1004" t="str">
            <v>13.06.03.01</v>
          </cell>
          <cell r="B1004" t="str">
            <v>FALSO PISO DE 4" DE CONCRETO 1:10</v>
          </cell>
          <cell r="C1004" t="str">
            <v>m2</v>
          </cell>
          <cell r="D1004">
            <v>3.66</v>
          </cell>
          <cell r="E1004">
            <v>34.700000000000003</v>
          </cell>
          <cell r="F1004">
            <v>127.00200000000001</v>
          </cell>
          <cell r="G1004">
            <v>0</v>
          </cell>
          <cell r="H1004">
            <v>0</v>
          </cell>
          <cell r="I1004" t="str">
            <v>0.00%</v>
          </cell>
          <cell r="J1004">
            <v>0</v>
          </cell>
          <cell r="K1004">
            <v>0</v>
          </cell>
          <cell r="L1004" t="str">
            <v>0.00%</v>
          </cell>
          <cell r="M1004">
            <v>0</v>
          </cell>
          <cell r="N1004">
            <v>0</v>
          </cell>
          <cell r="O1004" t="str">
            <v>0.00%</v>
          </cell>
          <cell r="P1004">
            <v>3.66</v>
          </cell>
          <cell r="Q1004">
            <v>127.00200000000001</v>
          </cell>
          <cell r="R1004">
            <v>1</v>
          </cell>
        </row>
        <row r="1005">
          <cell r="A1005" t="str">
            <v>13.06.03.02</v>
          </cell>
          <cell r="B1005" t="str">
            <v>PISO DE CEMENTO PULIDO CON PIEDRA LAVADA S/ COLOREAR  BRUÑADO</v>
          </cell>
          <cell r="C1005" t="str">
            <v>m2</v>
          </cell>
          <cell r="D1005">
            <v>3.66</v>
          </cell>
          <cell r="E1005">
            <v>40</v>
          </cell>
          <cell r="F1005">
            <v>146.4</v>
          </cell>
          <cell r="G1005">
            <v>0</v>
          </cell>
          <cell r="H1005">
            <v>0</v>
          </cell>
          <cell r="I1005" t="str">
            <v>0.00%</v>
          </cell>
          <cell r="J1005">
            <v>0</v>
          </cell>
          <cell r="K1005">
            <v>0</v>
          </cell>
          <cell r="L1005" t="str">
            <v>0.00%</v>
          </cell>
          <cell r="M1005">
            <v>0</v>
          </cell>
          <cell r="N1005">
            <v>0</v>
          </cell>
          <cell r="O1005" t="str">
            <v>0.00%</v>
          </cell>
          <cell r="P1005">
            <v>3.66</v>
          </cell>
          <cell r="Q1005">
            <v>146.4</v>
          </cell>
          <cell r="R1005">
            <v>1</v>
          </cell>
        </row>
        <row r="1006">
          <cell r="A1006" t="str">
            <v>13.06.04</v>
          </cell>
          <cell r="B1006" t="str">
            <v>ZOCALOS Y CONTRAZOCALOS</v>
          </cell>
          <cell r="C1006">
            <v>0</v>
          </cell>
          <cell r="D1006">
            <v>0</v>
          </cell>
          <cell r="E1006">
            <v>0</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row>
        <row r="1007">
          <cell r="A1007" t="str">
            <v>13.06.04.01</v>
          </cell>
          <cell r="B1007" t="str">
            <v>ZOCALO DE CEMENTO PULIDO C/MORTERO 1:5 DE 2CM. DE H= 30 CM. - EXTERIOR</v>
          </cell>
          <cell r="C1007" t="str">
            <v>m</v>
          </cell>
          <cell r="D1007">
            <v>0.6</v>
          </cell>
          <cell r="E1007">
            <v>13.08</v>
          </cell>
          <cell r="F1007">
            <v>7.8479999999999999</v>
          </cell>
          <cell r="G1007">
            <v>0</v>
          </cell>
          <cell r="H1007">
            <v>0</v>
          </cell>
          <cell r="I1007" t="str">
            <v>0.00%</v>
          </cell>
          <cell r="J1007">
            <v>0</v>
          </cell>
          <cell r="K1007">
            <v>0</v>
          </cell>
          <cell r="L1007" t="str">
            <v>0.00%</v>
          </cell>
          <cell r="M1007">
            <v>0</v>
          </cell>
          <cell r="N1007">
            <v>0</v>
          </cell>
          <cell r="O1007" t="str">
            <v>0.00%</v>
          </cell>
          <cell r="P1007">
            <v>0.6</v>
          </cell>
          <cell r="Q1007">
            <v>7.8479999999999999</v>
          </cell>
          <cell r="R1007">
            <v>1</v>
          </cell>
        </row>
        <row r="1008">
          <cell r="A1008" t="str">
            <v>13.06.05</v>
          </cell>
          <cell r="B1008" t="str">
            <v>CARPINTERIA METALICA</v>
          </cell>
          <cell r="C1008">
            <v>0</v>
          </cell>
          <cell r="D1008">
            <v>0</v>
          </cell>
          <cell r="E1008">
            <v>0</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row>
        <row r="1009">
          <cell r="A1009" t="str">
            <v>13.06.05.01</v>
          </cell>
          <cell r="B1009" t="str">
            <v>PUERTA METALICA LAC 1/16" C/MARCO INC/ ACCESORIOS, PINTURA Y COLOCADO</v>
          </cell>
          <cell r="C1009" t="str">
            <v>m2</v>
          </cell>
          <cell r="D1009">
            <v>1.92</v>
          </cell>
          <cell r="E1009">
            <v>520</v>
          </cell>
          <cell r="F1009">
            <v>998.4</v>
          </cell>
          <cell r="G1009">
            <v>0</v>
          </cell>
          <cell r="H1009">
            <v>0</v>
          </cell>
          <cell r="I1009" t="str">
            <v>0.00%</v>
          </cell>
          <cell r="J1009">
            <v>0</v>
          </cell>
          <cell r="K1009">
            <v>0</v>
          </cell>
          <cell r="L1009" t="str">
            <v>0.00%</v>
          </cell>
          <cell r="M1009">
            <v>0</v>
          </cell>
          <cell r="N1009">
            <v>0</v>
          </cell>
          <cell r="O1009" t="str">
            <v>0.00%</v>
          </cell>
          <cell r="P1009">
            <v>1.92</v>
          </cell>
          <cell r="Q1009">
            <v>998.4</v>
          </cell>
          <cell r="R1009">
            <v>1</v>
          </cell>
        </row>
        <row r="1010">
          <cell r="A1010" t="str">
            <v>13.06.05.02</v>
          </cell>
          <cell r="B1010" t="str">
            <v>ESCALERA METALICA TIPO GATO INC/ ACCESORIOS, PINTURA Y COLOCADO</v>
          </cell>
          <cell r="C1010" t="str">
            <v>und</v>
          </cell>
          <cell r="D1010">
            <v>1</v>
          </cell>
          <cell r="E1010">
            <v>450</v>
          </cell>
          <cell r="F1010">
            <v>450</v>
          </cell>
          <cell r="G1010">
            <v>0</v>
          </cell>
          <cell r="H1010">
            <v>0</v>
          </cell>
          <cell r="I1010" t="str">
            <v>0.00%</v>
          </cell>
          <cell r="J1010">
            <v>0</v>
          </cell>
          <cell r="K1010">
            <v>0</v>
          </cell>
          <cell r="L1010" t="str">
            <v>0.00%</v>
          </cell>
          <cell r="M1010">
            <v>0</v>
          </cell>
          <cell r="N1010">
            <v>0</v>
          </cell>
          <cell r="O1010" t="str">
            <v>0.00%</v>
          </cell>
          <cell r="P1010">
            <v>1</v>
          </cell>
          <cell r="Q1010">
            <v>450</v>
          </cell>
          <cell r="R1010">
            <v>1</v>
          </cell>
        </row>
        <row r="1011">
          <cell r="A1011" t="str">
            <v>13.06.06</v>
          </cell>
          <cell r="B1011" t="str">
            <v>PINTURA</v>
          </cell>
          <cell r="C1011">
            <v>0</v>
          </cell>
          <cell r="D1011">
            <v>0</v>
          </cell>
          <cell r="E1011">
            <v>0</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row>
        <row r="1012">
          <cell r="A1012" t="str">
            <v>13.06.06.01</v>
          </cell>
          <cell r="B1012" t="str">
            <v>PINTURA EN CIELORRASO</v>
          </cell>
          <cell r="C1012" t="str">
            <v>m2</v>
          </cell>
          <cell r="D1012">
            <v>14.34</v>
          </cell>
          <cell r="E1012">
            <v>12.59</v>
          </cell>
          <cell r="F1012">
            <v>180.54059999999998</v>
          </cell>
          <cell r="G1012">
            <v>0</v>
          </cell>
          <cell r="H1012">
            <v>0</v>
          </cell>
          <cell r="I1012" t="str">
            <v>0.00%</v>
          </cell>
          <cell r="J1012">
            <v>0</v>
          </cell>
          <cell r="K1012">
            <v>0</v>
          </cell>
          <cell r="L1012" t="str">
            <v>0.00%</v>
          </cell>
          <cell r="M1012">
            <v>0</v>
          </cell>
          <cell r="N1012">
            <v>0</v>
          </cell>
          <cell r="O1012" t="str">
            <v>0.00%</v>
          </cell>
          <cell r="P1012">
            <v>14.34</v>
          </cell>
          <cell r="Q1012">
            <v>180.54059999999998</v>
          </cell>
          <cell r="R1012">
            <v>1</v>
          </cell>
        </row>
        <row r="1013">
          <cell r="A1013" t="str">
            <v>13.06.06.02</v>
          </cell>
          <cell r="B1013" t="str">
            <v>PINTURA EN EXTERIORES</v>
          </cell>
          <cell r="C1013" t="str">
            <v>m2</v>
          </cell>
          <cell r="D1013">
            <v>17.96</v>
          </cell>
          <cell r="E1013">
            <v>19.04</v>
          </cell>
          <cell r="F1013">
            <v>341.95839999999998</v>
          </cell>
          <cell r="G1013">
            <v>0</v>
          </cell>
          <cell r="H1013">
            <v>0</v>
          </cell>
          <cell r="I1013" t="str">
            <v>0.00%</v>
          </cell>
          <cell r="J1013">
            <v>0</v>
          </cell>
          <cell r="K1013">
            <v>0</v>
          </cell>
          <cell r="L1013" t="str">
            <v>0.00%</v>
          </cell>
          <cell r="M1013">
            <v>0</v>
          </cell>
          <cell r="N1013">
            <v>0</v>
          </cell>
          <cell r="O1013" t="str">
            <v>0.00%</v>
          </cell>
          <cell r="P1013">
            <v>17.96</v>
          </cell>
          <cell r="Q1013">
            <v>341.95839999999998</v>
          </cell>
          <cell r="R1013">
            <v>1</v>
          </cell>
        </row>
        <row r="1014">
          <cell r="A1014" t="str">
            <v>13.06.06.03</v>
          </cell>
          <cell r="B1014" t="str">
            <v xml:space="preserve">PINTURA EN INTERIORES </v>
          </cell>
          <cell r="C1014" t="str">
            <v>m2</v>
          </cell>
          <cell r="D1014">
            <v>32.29</v>
          </cell>
          <cell r="E1014">
            <v>9.6999999999999993</v>
          </cell>
          <cell r="F1014">
            <v>313.21299999999997</v>
          </cell>
          <cell r="G1014">
            <v>0</v>
          </cell>
          <cell r="H1014">
            <v>0</v>
          </cell>
          <cell r="I1014" t="str">
            <v>0.00%</v>
          </cell>
          <cell r="J1014">
            <v>0</v>
          </cell>
          <cell r="K1014">
            <v>0</v>
          </cell>
          <cell r="L1014" t="str">
            <v>0.00%</v>
          </cell>
          <cell r="M1014">
            <v>0</v>
          </cell>
          <cell r="N1014">
            <v>0</v>
          </cell>
          <cell r="O1014" t="str">
            <v>0.00%</v>
          </cell>
          <cell r="P1014">
            <v>32.29</v>
          </cell>
          <cell r="Q1014">
            <v>313.21299999999997</v>
          </cell>
          <cell r="R1014">
            <v>1</v>
          </cell>
        </row>
        <row r="1015">
          <cell r="A1015" t="str">
            <v>13.06.06.04</v>
          </cell>
          <cell r="B1015" t="str">
            <v>PINTURA EN CONTRAZOCALOS Y ZOCALOS H= 0.40M C/ESMALTE</v>
          </cell>
          <cell r="C1015" t="str">
            <v>m</v>
          </cell>
          <cell r="D1015">
            <v>0.6</v>
          </cell>
          <cell r="E1015">
            <v>7.19</v>
          </cell>
          <cell r="F1015">
            <v>4.3140000000000001</v>
          </cell>
          <cell r="G1015">
            <v>0</v>
          </cell>
          <cell r="H1015">
            <v>0</v>
          </cell>
          <cell r="I1015" t="str">
            <v>0.00%</v>
          </cell>
          <cell r="J1015">
            <v>0</v>
          </cell>
          <cell r="K1015">
            <v>0</v>
          </cell>
          <cell r="L1015" t="str">
            <v>0.00%</v>
          </cell>
          <cell r="M1015">
            <v>0</v>
          </cell>
          <cell r="N1015">
            <v>0</v>
          </cell>
          <cell r="O1015" t="str">
            <v>0.00%</v>
          </cell>
          <cell r="P1015">
            <v>0.6</v>
          </cell>
          <cell r="Q1015">
            <v>4.3140000000000001</v>
          </cell>
          <cell r="R1015">
            <v>1</v>
          </cell>
        </row>
        <row r="1016">
          <cell r="A1016" t="str">
            <v>13.07</v>
          </cell>
          <cell r="B1016" t="str">
            <v>ATRIO DE INGRESO Y CONTROL</v>
          </cell>
          <cell r="C1016">
            <v>0</v>
          </cell>
          <cell r="D1016">
            <v>0</v>
          </cell>
          <cell r="E1016">
            <v>0</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row>
        <row r="1017">
          <cell r="A1017" t="str">
            <v>13.07.01</v>
          </cell>
          <cell r="B1017" t="str">
            <v>MUROS Y TABIQUES</v>
          </cell>
          <cell r="C1017">
            <v>0</v>
          </cell>
          <cell r="D1017">
            <v>0</v>
          </cell>
          <cell r="E1017">
            <v>0</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row>
        <row r="1018">
          <cell r="A1018" t="str">
            <v>13.07.01.01</v>
          </cell>
          <cell r="B1018" t="str">
            <v>MURO DE SOGA LADRILLO KIN-KONG DE ARCILLA</v>
          </cell>
          <cell r="C1018" t="str">
            <v>m2</v>
          </cell>
          <cell r="D1018">
            <v>18.670000000000002</v>
          </cell>
          <cell r="E1018">
            <v>99.24</v>
          </cell>
          <cell r="F1018">
            <v>1852.8108</v>
          </cell>
          <cell r="G1018">
            <v>0</v>
          </cell>
          <cell r="H1018">
            <v>0</v>
          </cell>
          <cell r="I1018" t="str">
            <v>0.00%</v>
          </cell>
          <cell r="J1018">
            <v>0</v>
          </cell>
          <cell r="K1018">
            <v>0</v>
          </cell>
          <cell r="L1018" t="str">
            <v>0.00%</v>
          </cell>
          <cell r="M1018">
            <v>0</v>
          </cell>
          <cell r="N1018">
            <v>0</v>
          </cell>
          <cell r="O1018" t="str">
            <v>0.00%</v>
          </cell>
          <cell r="P1018">
            <v>18.670000000000002</v>
          </cell>
          <cell r="Q1018">
            <v>1852.8108</v>
          </cell>
          <cell r="R1018">
            <v>1</v>
          </cell>
        </row>
        <row r="1019">
          <cell r="A1019" t="str">
            <v>13.07.02</v>
          </cell>
          <cell r="B1019" t="str">
            <v>REVOQUES ENLUCIDOS Y MOLDURAS</v>
          </cell>
          <cell r="C1019">
            <v>0</v>
          </cell>
          <cell r="D1019">
            <v>0</v>
          </cell>
          <cell r="E1019">
            <v>0</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row>
        <row r="1020">
          <cell r="A1020" t="str">
            <v>13.07.02.01</v>
          </cell>
          <cell r="B1020" t="str">
            <v>TARRAJEO EN MUROS EXTERIORES MEZCLA 1:5 CEMENTO:ARENA</v>
          </cell>
          <cell r="C1020" t="str">
            <v>m2</v>
          </cell>
          <cell r="D1020">
            <v>18.670000000000002</v>
          </cell>
          <cell r="E1020">
            <v>33.57</v>
          </cell>
          <cell r="F1020">
            <v>626.75190000000009</v>
          </cell>
          <cell r="G1020">
            <v>0</v>
          </cell>
          <cell r="H1020">
            <v>0</v>
          </cell>
          <cell r="I1020" t="str">
            <v>0.00%</v>
          </cell>
          <cell r="J1020">
            <v>0</v>
          </cell>
          <cell r="K1020">
            <v>0</v>
          </cell>
          <cell r="L1020" t="str">
            <v>0.00%</v>
          </cell>
          <cell r="M1020">
            <v>0</v>
          </cell>
          <cell r="N1020">
            <v>0</v>
          </cell>
          <cell r="O1020" t="str">
            <v>0.00%</v>
          </cell>
          <cell r="P1020">
            <v>18.670000000000002</v>
          </cell>
          <cell r="Q1020">
            <v>626.75190000000009</v>
          </cell>
          <cell r="R1020">
            <v>1</v>
          </cell>
        </row>
        <row r="1021">
          <cell r="A1021" t="str">
            <v>13.07.02.02</v>
          </cell>
          <cell r="B1021" t="str">
            <v>TARRAJEO EN MUROS INTERIORES MEZCLA 1:5 CEMENTO:ARENA</v>
          </cell>
          <cell r="C1021" t="str">
            <v>m2</v>
          </cell>
          <cell r="D1021">
            <v>18.670000000000002</v>
          </cell>
          <cell r="E1021">
            <v>26.91</v>
          </cell>
          <cell r="F1021">
            <v>502.40970000000004</v>
          </cell>
          <cell r="G1021">
            <v>0</v>
          </cell>
          <cell r="H1021">
            <v>0</v>
          </cell>
          <cell r="I1021" t="str">
            <v>0.00%</v>
          </cell>
          <cell r="J1021">
            <v>0</v>
          </cell>
          <cell r="K1021">
            <v>0</v>
          </cell>
          <cell r="L1021" t="str">
            <v>0.00%</v>
          </cell>
          <cell r="M1021">
            <v>0</v>
          </cell>
          <cell r="N1021">
            <v>0</v>
          </cell>
          <cell r="O1021" t="str">
            <v>0.00%</v>
          </cell>
          <cell r="P1021">
            <v>18.670000000000002</v>
          </cell>
          <cell r="Q1021">
            <v>502.40970000000004</v>
          </cell>
          <cell r="R1021">
            <v>1</v>
          </cell>
        </row>
        <row r="1022">
          <cell r="A1022" t="str">
            <v>13.07.02.03</v>
          </cell>
          <cell r="B1022" t="str">
            <v>TARRAJEO DE SUPERFICIE COLUMNAS INCL. ARISTAS MEZCLA 1:5 CEMENTO:ARENA</v>
          </cell>
          <cell r="C1022" t="str">
            <v>m2</v>
          </cell>
          <cell r="D1022">
            <v>16.809999999999999</v>
          </cell>
          <cell r="E1022">
            <v>29.04</v>
          </cell>
          <cell r="F1022">
            <v>488.16239999999993</v>
          </cell>
          <cell r="G1022">
            <v>0</v>
          </cell>
          <cell r="H1022">
            <v>0</v>
          </cell>
          <cell r="I1022" t="str">
            <v>0.00%</v>
          </cell>
          <cell r="J1022">
            <v>0</v>
          </cell>
          <cell r="K1022">
            <v>0</v>
          </cell>
          <cell r="L1022" t="str">
            <v>0.00%</v>
          </cell>
          <cell r="M1022">
            <v>0</v>
          </cell>
          <cell r="N1022">
            <v>0</v>
          </cell>
          <cell r="O1022" t="str">
            <v>0.00%</v>
          </cell>
          <cell r="P1022">
            <v>16.809999999999999</v>
          </cell>
          <cell r="Q1022">
            <v>488.16239999999993</v>
          </cell>
          <cell r="R1022">
            <v>1</v>
          </cell>
        </row>
        <row r="1023">
          <cell r="A1023" t="str">
            <v>13.07.02.04</v>
          </cell>
          <cell r="B1023" t="str">
            <v>TARRAJEO DE SUPERF.VIGAS INCL.ARISTAS, MEZCLA 1:5 CEMENTO:ARENA</v>
          </cell>
          <cell r="C1023" t="str">
            <v>m2</v>
          </cell>
          <cell r="D1023">
            <v>13.09</v>
          </cell>
          <cell r="E1023">
            <v>34.25</v>
          </cell>
          <cell r="F1023">
            <v>448.33249999999998</v>
          </cell>
          <cell r="G1023">
            <v>0</v>
          </cell>
          <cell r="H1023">
            <v>0</v>
          </cell>
          <cell r="I1023" t="str">
            <v>0.00%</v>
          </cell>
          <cell r="J1023">
            <v>0</v>
          </cell>
          <cell r="K1023">
            <v>0</v>
          </cell>
          <cell r="L1023" t="str">
            <v>0.00%</v>
          </cell>
          <cell r="M1023">
            <v>0</v>
          </cell>
          <cell r="N1023">
            <v>0</v>
          </cell>
          <cell r="O1023" t="str">
            <v>0.00%</v>
          </cell>
          <cell r="P1023">
            <v>13.09</v>
          </cell>
          <cell r="Q1023">
            <v>448.33249999999998</v>
          </cell>
          <cell r="R1023">
            <v>1</v>
          </cell>
        </row>
        <row r="1024">
          <cell r="A1024" t="str">
            <v>13.07.02.05</v>
          </cell>
          <cell r="B1024" t="str">
            <v>TARRAJEO CON IMPERMEABILIZANTE EN COBERTURAS</v>
          </cell>
          <cell r="C1024" t="str">
            <v>m2</v>
          </cell>
          <cell r="D1024">
            <v>15.16</v>
          </cell>
          <cell r="E1024">
            <v>60.76</v>
          </cell>
          <cell r="F1024">
            <v>921.12159999999994</v>
          </cell>
          <cell r="G1024">
            <v>0</v>
          </cell>
          <cell r="H1024">
            <v>0</v>
          </cell>
          <cell r="I1024" t="str">
            <v>0.00%</v>
          </cell>
          <cell r="J1024">
            <v>0</v>
          </cell>
          <cell r="K1024">
            <v>0</v>
          </cell>
          <cell r="L1024" t="str">
            <v>0.00%</v>
          </cell>
          <cell r="M1024">
            <v>0</v>
          </cell>
          <cell r="N1024">
            <v>0</v>
          </cell>
          <cell r="O1024" t="str">
            <v>0.00%</v>
          </cell>
          <cell r="P1024">
            <v>15.16</v>
          </cell>
          <cell r="Q1024">
            <v>921.12159999999994</v>
          </cell>
          <cell r="R1024">
            <v>1</v>
          </cell>
        </row>
        <row r="1025">
          <cell r="A1025" t="str">
            <v>13.07.02.06</v>
          </cell>
          <cell r="B1025" t="str">
            <v>TARRAJEO EN SUPERFICIE ARISTAS EN PARAPETO</v>
          </cell>
          <cell r="C1025" t="str">
            <v>m2</v>
          </cell>
          <cell r="D1025">
            <v>4.57</v>
          </cell>
          <cell r="E1025">
            <v>32.01</v>
          </cell>
          <cell r="F1025">
            <v>146.28569999999999</v>
          </cell>
          <cell r="G1025">
            <v>0</v>
          </cell>
          <cell r="H1025">
            <v>0</v>
          </cell>
          <cell r="I1025" t="str">
            <v>0.00%</v>
          </cell>
          <cell r="J1025">
            <v>0</v>
          </cell>
          <cell r="K1025">
            <v>0</v>
          </cell>
          <cell r="L1025" t="str">
            <v>0.00%</v>
          </cell>
          <cell r="M1025">
            <v>0</v>
          </cell>
          <cell r="N1025">
            <v>0</v>
          </cell>
          <cell r="O1025" t="str">
            <v>0.00%</v>
          </cell>
          <cell r="P1025">
            <v>4.57</v>
          </cell>
          <cell r="Q1025">
            <v>146.28569999999999</v>
          </cell>
          <cell r="R1025">
            <v>1</v>
          </cell>
        </row>
        <row r="1026">
          <cell r="A1026" t="str">
            <v>13.07.02.07</v>
          </cell>
          <cell r="B1026" t="str">
            <v xml:space="preserve">VESTIDURA DE DERRAMES </v>
          </cell>
          <cell r="C1026" t="str">
            <v>m</v>
          </cell>
          <cell r="D1026">
            <v>11.44</v>
          </cell>
          <cell r="E1026">
            <v>24.82</v>
          </cell>
          <cell r="F1026">
            <v>283.94079999999997</v>
          </cell>
          <cell r="G1026">
            <v>0</v>
          </cell>
          <cell r="H1026">
            <v>0</v>
          </cell>
          <cell r="I1026" t="str">
            <v>0.00%</v>
          </cell>
          <cell r="J1026">
            <v>0</v>
          </cell>
          <cell r="K1026">
            <v>0</v>
          </cell>
          <cell r="L1026" t="str">
            <v>0.00%</v>
          </cell>
          <cell r="M1026">
            <v>0</v>
          </cell>
          <cell r="N1026">
            <v>0</v>
          </cell>
          <cell r="O1026" t="str">
            <v>0.00%</v>
          </cell>
          <cell r="P1026">
            <v>11.44</v>
          </cell>
          <cell r="Q1026">
            <v>283.94079999999997</v>
          </cell>
          <cell r="R1026">
            <v>1</v>
          </cell>
        </row>
        <row r="1027">
          <cell r="A1027" t="str">
            <v>13.07.02.08</v>
          </cell>
          <cell r="B1027" t="str">
            <v>BRUÑA DE 1CM ENTRE MUROS Y ESTRUCTURAS</v>
          </cell>
          <cell r="C1027" t="str">
            <v>m</v>
          </cell>
          <cell r="D1027">
            <v>156</v>
          </cell>
          <cell r="E1027">
            <v>2.08</v>
          </cell>
          <cell r="F1027">
            <v>324.48</v>
          </cell>
          <cell r="G1027">
            <v>0</v>
          </cell>
          <cell r="H1027">
            <v>0</v>
          </cell>
          <cell r="I1027" t="str">
            <v>0.00%</v>
          </cell>
          <cell r="J1027">
            <v>0</v>
          </cell>
          <cell r="K1027">
            <v>0</v>
          </cell>
          <cell r="L1027" t="str">
            <v>0.00%</v>
          </cell>
          <cell r="M1027">
            <v>0</v>
          </cell>
          <cell r="N1027">
            <v>0</v>
          </cell>
          <cell r="O1027" t="str">
            <v>0.00%</v>
          </cell>
          <cell r="P1027">
            <v>156</v>
          </cell>
          <cell r="Q1027">
            <v>324.48</v>
          </cell>
          <cell r="R1027">
            <v>1</v>
          </cell>
        </row>
        <row r="1028">
          <cell r="A1028" t="str">
            <v>13.07.03</v>
          </cell>
          <cell r="B1028" t="str">
            <v>CIELORRASOS</v>
          </cell>
          <cell r="C1028">
            <v>0</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row>
        <row r="1029">
          <cell r="A1029" t="str">
            <v>13.07.03.01</v>
          </cell>
          <cell r="B1029" t="str">
            <v>CIELORRASOS CON MEZCLA C:A 1:5 e= 1.5 CM</v>
          </cell>
          <cell r="C1029" t="str">
            <v>m2</v>
          </cell>
          <cell r="D1029">
            <v>15.16</v>
          </cell>
          <cell r="E1029">
            <v>41.21</v>
          </cell>
          <cell r="F1029">
            <v>624.74360000000001</v>
          </cell>
          <cell r="G1029">
            <v>0</v>
          </cell>
          <cell r="H1029">
            <v>0</v>
          </cell>
          <cell r="I1029" t="str">
            <v>0.00%</v>
          </cell>
          <cell r="J1029">
            <v>0</v>
          </cell>
          <cell r="K1029">
            <v>0</v>
          </cell>
          <cell r="L1029" t="str">
            <v>0.00%</v>
          </cell>
          <cell r="M1029">
            <v>0</v>
          </cell>
          <cell r="N1029">
            <v>0</v>
          </cell>
          <cell r="O1029" t="str">
            <v>0.00%</v>
          </cell>
          <cell r="P1029">
            <v>15.16</v>
          </cell>
          <cell r="Q1029">
            <v>624.74360000000001</v>
          </cell>
          <cell r="R1029">
            <v>1</v>
          </cell>
        </row>
        <row r="1030">
          <cell r="A1030" t="str">
            <v>13.07.04</v>
          </cell>
          <cell r="B1030" t="str">
            <v>PISOS Y PAVIMENTOS</v>
          </cell>
          <cell r="C1030">
            <v>0</v>
          </cell>
          <cell r="D1030">
            <v>0</v>
          </cell>
          <cell r="E1030">
            <v>0</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row>
        <row r="1031">
          <cell r="A1031" t="str">
            <v>13.07.04.01</v>
          </cell>
          <cell r="B1031" t="str">
            <v>FALSO PISO DE 4" DE CONCRETO 1:10</v>
          </cell>
          <cell r="C1031" t="str">
            <v>m2</v>
          </cell>
          <cell r="D1031">
            <v>3.8</v>
          </cell>
          <cell r="E1031">
            <v>34.700000000000003</v>
          </cell>
          <cell r="F1031">
            <v>131.86000000000001</v>
          </cell>
          <cell r="G1031">
            <v>0</v>
          </cell>
          <cell r="H1031">
            <v>0</v>
          </cell>
          <cell r="I1031" t="str">
            <v>0.00%</v>
          </cell>
          <cell r="J1031">
            <v>0</v>
          </cell>
          <cell r="K1031">
            <v>0</v>
          </cell>
          <cell r="L1031" t="str">
            <v>0.00%</v>
          </cell>
          <cell r="M1031">
            <v>0</v>
          </cell>
          <cell r="N1031">
            <v>0</v>
          </cell>
          <cell r="O1031" t="str">
            <v>0.00%</v>
          </cell>
          <cell r="P1031">
            <v>3.8</v>
          </cell>
          <cell r="Q1031">
            <v>131.86000000000001</v>
          </cell>
          <cell r="R1031">
            <v>1</v>
          </cell>
        </row>
        <row r="1032">
          <cell r="A1032" t="str">
            <v>13.07.04.02</v>
          </cell>
          <cell r="B1032" t="str">
            <v>CONTRAPISO DE 48 MM.</v>
          </cell>
          <cell r="C1032" t="str">
            <v>m2</v>
          </cell>
          <cell r="D1032">
            <v>3.8</v>
          </cell>
          <cell r="E1032">
            <v>33.57</v>
          </cell>
          <cell r="F1032">
            <v>127.56599999999999</v>
          </cell>
          <cell r="G1032">
            <v>0</v>
          </cell>
          <cell r="H1032">
            <v>0</v>
          </cell>
          <cell r="I1032" t="str">
            <v>0.00%</v>
          </cell>
          <cell r="J1032">
            <v>0</v>
          </cell>
          <cell r="K1032">
            <v>0</v>
          </cell>
          <cell r="L1032" t="str">
            <v>0.00%</v>
          </cell>
          <cell r="M1032">
            <v>0</v>
          </cell>
          <cell r="N1032">
            <v>0</v>
          </cell>
          <cell r="O1032" t="str">
            <v>0.00%</v>
          </cell>
          <cell r="P1032">
            <v>3.8</v>
          </cell>
          <cell r="Q1032">
            <v>127.56599999999999</v>
          </cell>
          <cell r="R1032">
            <v>1</v>
          </cell>
        </row>
        <row r="1033">
          <cell r="A1033" t="str">
            <v>13.07.04.03</v>
          </cell>
          <cell r="B1033" t="str">
            <v>PISO DE CERAMICO ANTIDESLIZANTE AT. 0.40x0.40 M</v>
          </cell>
          <cell r="C1033" t="str">
            <v>m2</v>
          </cell>
          <cell r="D1033">
            <v>3.8</v>
          </cell>
          <cell r="E1033">
            <v>56.63</v>
          </cell>
          <cell r="F1033">
            <v>215.19399999999999</v>
          </cell>
          <cell r="G1033">
            <v>0</v>
          </cell>
          <cell r="H1033">
            <v>0</v>
          </cell>
          <cell r="I1033" t="str">
            <v>0.00%</v>
          </cell>
          <cell r="J1033">
            <v>0</v>
          </cell>
          <cell r="K1033">
            <v>0</v>
          </cell>
          <cell r="L1033" t="str">
            <v>0.00%</v>
          </cell>
          <cell r="M1033">
            <v>0</v>
          </cell>
          <cell r="N1033">
            <v>0</v>
          </cell>
          <cell r="O1033" t="str">
            <v>0.00%</v>
          </cell>
          <cell r="P1033">
            <v>3.8</v>
          </cell>
          <cell r="Q1033">
            <v>215.19399999999999</v>
          </cell>
          <cell r="R1033">
            <v>1</v>
          </cell>
        </row>
        <row r="1034">
          <cell r="A1034" t="str">
            <v>13.07.04.04</v>
          </cell>
          <cell r="B1034" t="str">
            <v>PISO DE CEMENTO FROTACHADO BRUÑADO</v>
          </cell>
          <cell r="C1034" t="str">
            <v>m2</v>
          </cell>
          <cell r="D1034">
            <v>9.5500000000000007</v>
          </cell>
          <cell r="E1034">
            <v>18.29</v>
          </cell>
          <cell r="F1034">
            <v>174.6695</v>
          </cell>
          <cell r="G1034">
            <v>0</v>
          </cell>
          <cell r="H1034">
            <v>0</v>
          </cell>
          <cell r="I1034" t="str">
            <v>0.00%</v>
          </cell>
          <cell r="J1034">
            <v>0</v>
          </cell>
          <cell r="K1034">
            <v>0</v>
          </cell>
          <cell r="L1034" t="str">
            <v>0.00%</v>
          </cell>
          <cell r="M1034">
            <v>0</v>
          </cell>
          <cell r="N1034">
            <v>0</v>
          </cell>
          <cell r="O1034" t="str">
            <v>0.00%</v>
          </cell>
          <cell r="P1034">
            <v>9.5500000000000007</v>
          </cell>
          <cell r="Q1034">
            <v>174.6695</v>
          </cell>
          <cell r="R1034">
            <v>1</v>
          </cell>
        </row>
        <row r="1035">
          <cell r="A1035" t="str">
            <v>13.07.05</v>
          </cell>
          <cell r="B1035" t="str">
            <v>VEREDA</v>
          </cell>
          <cell r="C1035">
            <v>0</v>
          </cell>
          <cell r="D1035">
            <v>0</v>
          </cell>
          <cell r="E1035">
            <v>0</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row>
        <row r="1036">
          <cell r="A1036" t="str">
            <v>13.07.05.01</v>
          </cell>
          <cell r="B1036" t="str">
            <v>AFIRMADO DE 4" PARA VEREDAS</v>
          </cell>
          <cell r="C1036" t="str">
            <v>m2</v>
          </cell>
          <cell r="D1036">
            <v>9.5500000000000007</v>
          </cell>
          <cell r="E1036">
            <v>11.27</v>
          </cell>
          <cell r="F1036">
            <v>107.6285</v>
          </cell>
          <cell r="G1036">
            <v>0</v>
          </cell>
          <cell r="H1036">
            <v>0</v>
          </cell>
          <cell r="I1036" t="str">
            <v>0.00%</v>
          </cell>
          <cell r="J1036">
            <v>0</v>
          </cell>
          <cell r="K1036">
            <v>0</v>
          </cell>
          <cell r="L1036" t="str">
            <v>0.00%</v>
          </cell>
          <cell r="M1036">
            <v>0</v>
          </cell>
          <cell r="N1036">
            <v>0</v>
          </cell>
          <cell r="O1036" t="str">
            <v>0.00%</v>
          </cell>
          <cell r="P1036">
            <v>9.5500000000000007</v>
          </cell>
          <cell r="Q1036">
            <v>107.6285</v>
          </cell>
          <cell r="R1036">
            <v>1</v>
          </cell>
        </row>
        <row r="1037">
          <cell r="A1037" t="str">
            <v>13.07.05.02</v>
          </cell>
          <cell r="B1037" t="str">
            <v>VEREDA DE CONCRETO F'C= 175 KG/CM2.</v>
          </cell>
          <cell r="C1037" t="str">
            <v>m2</v>
          </cell>
          <cell r="D1037">
            <v>9.5500000000000007</v>
          </cell>
          <cell r="E1037">
            <v>64.63</v>
          </cell>
          <cell r="F1037">
            <v>617.2165</v>
          </cell>
          <cell r="G1037">
            <v>0</v>
          </cell>
          <cell r="H1037">
            <v>0</v>
          </cell>
          <cell r="I1037" t="str">
            <v>0.00%</v>
          </cell>
          <cell r="J1037">
            <v>0</v>
          </cell>
          <cell r="K1037">
            <v>0</v>
          </cell>
          <cell r="L1037" t="str">
            <v>0.00%</v>
          </cell>
          <cell r="M1037">
            <v>0</v>
          </cell>
          <cell r="N1037">
            <v>0</v>
          </cell>
          <cell r="O1037" t="str">
            <v>0.00%</v>
          </cell>
          <cell r="P1037">
            <v>9.5500000000000007</v>
          </cell>
          <cell r="Q1037">
            <v>617.2165</v>
          </cell>
          <cell r="R1037">
            <v>1</v>
          </cell>
        </row>
        <row r="1038">
          <cell r="A1038" t="str">
            <v>13.07.05.03</v>
          </cell>
          <cell r="B1038" t="str">
            <v>ENCOFRADO Y DESENCOFRADO DE VEREDA</v>
          </cell>
          <cell r="C1038" t="str">
            <v>m2</v>
          </cell>
          <cell r="D1038">
            <v>0.92</v>
          </cell>
          <cell r="E1038">
            <v>45.51</v>
          </cell>
          <cell r="F1038">
            <v>41.869199999999999</v>
          </cell>
          <cell r="G1038">
            <v>0</v>
          </cell>
          <cell r="H1038">
            <v>0</v>
          </cell>
          <cell r="I1038" t="str">
            <v>0.00%</v>
          </cell>
          <cell r="J1038">
            <v>0</v>
          </cell>
          <cell r="K1038">
            <v>0</v>
          </cell>
          <cell r="L1038" t="str">
            <v>0.00%</v>
          </cell>
          <cell r="M1038">
            <v>0</v>
          </cell>
          <cell r="N1038">
            <v>0</v>
          </cell>
          <cell r="O1038" t="str">
            <v>0.00%</v>
          </cell>
          <cell r="P1038">
            <v>0.92</v>
          </cell>
          <cell r="Q1038">
            <v>41.869199999999999</v>
          </cell>
          <cell r="R1038">
            <v>1</v>
          </cell>
        </row>
        <row r="1039">
          <cell r="A1039" t="str">
            <v>13.07.06</v>
          </cell>
          <cell r="B1039" t="str">
            <v>RAMPA</v>
          </cell>
          <cell r="C1039">
            <v>0</v>
          </cell>
          <cell r="D1039">
            <v>0</v>
          </cell>
          <cell r="E1039">
            <v>0</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row>
        <row r="1040">
          <cell r="A1040" t="str">
            <v>13.07.06.01</v>
          </cell>
          <cell r="B1040" t="str">
            <v>AFIRMADO DE 4" PARA RAMPA</v>
          </cell>
          <cell r="C1040" t="str">
            <v>m2</v>
          </cell>
          <cell r="D1040">
            <v>14.41</v>
          </cell>
          <cell r="E1040">
            <v>11.21</v>
          </cell>
          <cell r="F1040">
            <v>161.5361</v>
          </cell>
          <cell r="G1040">
            <v>0</v>
          </cell>
          <cell r="H1040">
            <v>0</v>
          </cell>
          <cell r="I1040" t="str">
            <v>0.00%</v>
          </cell>
          <cell r="J1040">
            <v>0</v>
          </cell>
          <cell r="K1040">
            <v>0</v>
          </cell>
          <cell r="L1040" t="str">
            <v>0.00%</v>
          </cell>
          <cell r="M1040">
            <v>0</v>
          </cell>
          <cell r="N1040">
            <v>0</v>
          </cell>
          <cell r="O1040" t="str">
            <v>0.00%</v>
          </cell>
          <cell r="P1040">
            <v>14.41</v>
          </cell>
          <cell r="Q1040">
            <v>161.5361</v>
          </cell>
          <cell r="R1040">
            <v>1</v>
          </cell>
        </row>
        <row r="1041">
          <cell r="A1041" t="str">
            <v>13.07.06.02</v>
          </cell>
          <cell r="B1041" t="str">
            <v>CONCRETO F'C= 175KG/CM2 EN RAMPA</v>
          </cell>
          <cell r="C1041" t="str">
            <v>m3</v>
          </cell>
          <cell r="D1041">
            <v>14.41</v>
          </cell>
          <cell r="E1041">
            <v>328.03</v>
          </cell>
          <cell r="F1041">
            <v>4726.9123</v>
          </cell>
          <cell r="G1041">
            <v>0</v>
          </cell>
          <cell r="H1041">
            <v>0</v>
          </cell>
          <cell r="I1041" t="str">
            <v>0.00%</v>
          </cell>
          <cell r="J1041">
            <v>0</v>
          </cell>
          <cell r="K1041">
            <v>0</v>
          </cell>
          <cell r="L1041" t="str">
            <v>0.00%</v>
          </cell>
          <cell r="M1041">
            <v>0</v>
          </cell>
          <cell r="N1041">
            <v>0</v>
          </cell>
          <cell r="O1041" t="str">
            <v>0.00%</v>
          </cell>
          <cell r="P1041">
            <v>14.41</v>
          </cell>
          <cell r="Q1041">
            <v>4726.9123</v>
          </cell>
          <cell r="R1041">
            <v>1</v>
          </cell>
        </row>
        <row r="1042">
          <cell r="A1042" t="str">
            <v>13.07.06.03</v>
          </cell>
          <cell r="B1042" t="str">
            <v>ENCOFRADO Y DESENCOFRADO EN RAMPA</v>
          </cell>
          <cell r="C1042" t="str">
            <v>m2</v>
          </cell>
          <cell r="D1042">
            <v>1.04</v>
          </cell>
          <cell r="E1042">
            <v>16.55</v>
          </cell>
          <cell r="F1042">
            <v>17.212</v>
          </cell>
          <cell r="G1042">
            <v>0</v>
          </cell>
          <cell r="H1042">
            <v>0</v>
          </cell>
          <cell r="I1042" t="str">
            <v>0.00%</v>
          </cell>
          <cell r="J1042">
            <v>0</v>
          </cell>
          <cell r="K1042">
            <v>0</v>
          </cell>
          <cell r="L1042" t="str">
            <v>0.00%</v>
          </cell>
          <cell r="M1042">
            <v>0</v>
          </cell>
          <cell r="N1042">
            <v>0</v>
          </cell>
          <cell r="O1042" t="str">
            <v>0.00%</v>
          </cell>
          <cell r="P1042">
            <v>1.04</v>
          </cell>
          <cell r="Q1042">
            <v>17.212</v>
          </cell>
          <cell r="R1042">
            <v>1</v>
          </cell>
        </row>
        <row r="1043">
          <cell r="A1043" t="str">
            <v>13.07.07</v>
          </cell>
          <cell r="B1043" t="str">
            <v xml:space="preserve">JUNTAS </v>
          </cell>
          <cell r="C1043">
            <v>0</v>
          </cell>
          <cell r="D1043">
            <v>0</v>
          </cell>
          <cell r="E1043">
            <v>0</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row>
        <row r="1044">
          <cell r="A1044" t="str">
            <v>13.07.07.01</v>
          </cell>
          <cell r="B1044" t="str">
            <v xml:space="preserve">JUNTAS ASFALTICAS </v>
          </cell>
          <cell r="C1044" t="str">
            <v>m</v>
          </cell>
          <cell r="D1044">
            <v>11.58</v>
          </cell>
          <cell r="E1044">
            <v>10.09</v>
          </cell>
          <cell r="F1044">
            <v>116.84220000000001</v>
          </cell>
          <cell r="G1044">
            <v>0</v>
          </cell>
          <cell r="H1044">
            <v>0</v>
          </cell>
          <cell r="I1044" t="str">
            <v>0.00%</v>
          </cell>
          <cell r="J1044">
            <v>0</v>
          </cell>
          <cell r="K1044">
            <v>0</v>
          </cell>
          <cell r="L1044" t="str">
            <v>0.00%</v>
          </cell>
          <cell r="M1044">
            <v>0</v>
          </cell>
          <cell r="N1044">
            <v>0</v>
          </cell>
          <cell r="O1044" t="str">
            <v>0.00%</v>
          </cell>
          <cell r="P1044">
            <v>11.58</v>
          </cell>
          <cell r="Q1044">
            <v>116.84220000000001</v>
          </cell>
          <cell r="R1044">
            <v>1</v>
          </cell>
        </row>
        <row r="1045">
          <cell r="A1045" t="str">
            <v>13.07.08</v>
          </cell>
          <cell r="B1045" t="str">
            <v>ZOCALOS Y CONTRAZOCALOS</v>
          </cell>
          <cell r="C1045">
            <v>0</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row>
        <row r="1046">
          <cell r="A1046" t="str">
            <v>13.07.08.01</v>
          </cell>
          <cell r="B1046" t="str">
            <v>ZOCALO DE CEMENTO PULIDO C/MORTERO 1:5 DE 2CM. DE H= 30 CM. - EXTERIOR</v>
          </cell>
          <cell r="C1046" t="str">
            <v>m</v>
          </cell>
          <cell r="D1046">
            <v>2.88</v>
          </cell>
          <cell r="E1046">
            <v>13.08</v>
          </cell>
          <cell r="F1046">
            <v>37.670400000000001</v>
          </cell>
          <cell r="G1046">
            <v>0</v>
          </cell>
          <cell r="H1046">
            <v>0</v>
          </cell>
          <cell r="I1046" t="str">
            <v>0.00%</v>
          </cell>
          <cell r="J1046">
            <v>0</v>
          </cell>
          <cell r="K1046">
            <v>0</v>
          </cell>
          <cell r="L1046" t="str">
            <v>0.00%</v>
          </cell>
          <cell r="M1046">
            <v>0</v>
          </cell>
          <cell r="N1046">
            <v>0</v>
          </cell>
          <cell r="O1046" t="str">
            <v>0.00%</v>
          </cell>
          <cell r="P1046">
            <v>2.88</v>
          </cell>
          <cell r="Q1046">
            <v>37.670400000000001</v>
          </cell>
          <cell r="R1046">
            <v>1</v>
          </cell>
        </row>
        <row r="1047">
          <cell r="A1047" t="str">
            <v>13.07.08.02</v>
          </cell>
          <cell r="B1047" t="str">
            <v>CONTRAZOCALO DE CERAMICO DE 40 x 40 CM. H=10CM. - INTERIOR</v>
          </cell>
          <cell r="C1047" t="str">
            <v>m</v>
          </cell>
          <cell r="D1047">
            <v>6.11</v>
          </cell>
          <cell r="E1047">
            <v>14.75</v>
          </cell>
          <cell r="F1047">
            <v>90.122500000000002</v>
          </cell>
          <cell r="G1047">
            <v>0</v>
          </cell>
          <cell r="H1047">
            <v>0</v>
          </cell>
          <cell r="I1047" t="str">
            <v>0.00%</v>
          </cell>
          <cell r="J1047">
            <v>0</v>
          </cell>
          <cell r="K1047">
            <v>0</v>
          </cell>
          <cell r="L1047" t="str">
            <v>0.00%</v>
          </cell>
          <cell r="M1047">
            <v>0</v>
          </cell>
          <cell r="N1047">
            <v>0</v>
          </cell>
          <cell r="O1047" t="str">
            <v>0.00%</v>
          </cell>
          <cell r="P1047">
            <v>6.11</v>
          </cell>
          <cell r="Q1047">
            <v>90.122500000000002</v>
          </cell>
          <cell r="R1047">
            <v>1</v>
          </cell>
        </row>
        <row r="1048">
          <cell r="A1048" t="str">
            <v>13.07.09</v>
          </cell>
          <cell r="B1048" t="str">
            <v>CARPINTERIA METALICA</v>
          </cell>
          <cell r="C1048">
            <v>0</v>
          </cell>
          <cell r="D1048">
            <v>0</v>
          </cell>
          <cell r="E1048">
            <v>0</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row>
        <row r="1049">
          <cell r="A1049" t="str">
            <v>13.07.09.01</v>
          </cell>
          <cell r="B1049" t="str">
            <v>PUERTA METALICA DE REJAS SEGUN DISEÑO 3.00 x 3.00 mts. INC/ COLOCACION, PINTURA Y ACCESORIOS</v>
          </cell>
          <cell r="C1049" t="str">
            <v>und</v>
          </cell>
          <cell r="D1049">
            <v>1</v>
          </cell>
          <cell r="E1049">
            <v>3350</v>
          </cell>
          <cell r="F1049">
            <v>3350</v>
          </cell>
          <cell r="G1049">
            <v>0</v>
          </cell>
          <cell r="H1049">
            <v>0</v>
          </cell>
          <cell r="I1049" t="str">
            <v>0.00%</v>
          </cell>
          <cell r="J1049">
            <v>0</v>
          </cell>
          <cell r="K1049">
            <v>0</v>
          </cell>
          <cell r="L1049" t="str">
            <v>0.00%</v>
          </cell>
          <cell r="M1049">
            <v>0</v>
          </cell>
          <cell r="N1049">
            <v>0</v>
          </cell>
          <cell r="O1049" t="str">
            <v>0.00%</v>
          </cell>
          <cell r="P1049">
            <v>1</v>
          </cell>
          <cell r="Q1049">
            <v>3350</v>
          </cell>
          <cell r="R1049">
            <v>1</v>
          </cell>
        </row>
        <row r="1050">
          <cell r="A1050" t="str">
            <v>13.07.09.02</v>
          </cell>
          <cell r="B1050" t="str">
            <v>PUERTA METALICA DE REJAS SEGUN DISEÑO 1.10 x 3.00 mts. INC/ COLOCACION, PINTURA Y ACCESORIOS</v>
          </cell>
          <cell r="C1050" t="str">
            <v>und</v>
          </cell>
          <cell r="D1050">
            <v>1</v>
          </cell>
          <cell r="E1050">
            <v>546.70000000000005</v>
          </cell>
          <cell r="F1050">
            <v>546.70000000000005</v>
          </cell>
          <cell r="G1050">
            <v>0</v>
          </cell>
          <cell r="H1050">
            <v>0</v>
          </cell>
          <cell r="I1050" t="str">
            <v>0.00%</v>
          </cell>
          <cell r="J1050">
            <v>0</v>
          </cell>
          <cell r="K1050">
            <v>0</v>
          </cell>
          <cell r="L1050" t="str">
            <v>0.00%</v>
          </cell>
          <cell r="M1050">
            <v>0</v>
          </cell>
          <cell r="N1050">
            <v>0</v>
          </cell>
          <cell r="O1050" t="str">
            <v>0.00%</v>
          </cell>
          <cell r="P1050">
            <v>1</v>
          </cell>
          <cell r="Q1050">
            <v>546.70000000000005</v>
          </cell>
          <cell r="R1050">
            <v>1</v>
          </cell>
        </row>
        <row r="1051">
          <cell r="A1051" t="str">
            <v>13.07.09.03</v>
          </cell>
          <cell r="B1051" t="str">
            <v>COLOCADO Y PINTADO DE LETRAS DE BRONCE (SEGUN DISEÑO)</v>
          </cell>
          <cell r="C1051" t="str">
            <v>GLB</v>
          </cell>
          <cell r="D1051">
            <v>1</v>
          </cell>
          <cell r="E1051">
            <v>2500</v>
          </cell>
          <cell r="F1051">
            <v>2500</v>
          </cell>
          <cell r="G1051">
            <v>0</v>
          </cell>
          <cell r="H1051">
            <v>0</v>
          </cell>
          <cell r="I1051" t="str">
            <v>0.00%</v>
          </cell>
          <cell r="J1051">
            <v>0</v>
          </cell>
          <cell r="K1051">
            <v>0</v>
          </cell>
          <cell r="L1051" t="str">
            <v>0.00%</v>
          </cell>
          <cell r="M1051">
            <v>0</v>
          </cell>
          <cell r="N1051">
            <v>0</v>
          </cell>
          <cell r="O1051" t="str">
            <v>0.00%</v>
          </cell>
          <cell r="P1051">
            <v>1</v>
          </cell>
          <cell r="Q1051">
            <v>2500</v>
          </cell>
          <cell r="R1051">
            <v>1</v>
          </cell>
        </row>
        <row r="1052">
          <cell r="A1052" t="str">
            <v>13.07.09.04</v>
          </cell>
          <cell r="B1052" t="str">
            <v>TIJERAL TIPO - IV CON TUBO RECTANGULAR LAC (SEGUN DISEÑO)</v>
          </cell>
          <cell r="C1052" t="str">
            <v>und</v>
          </cell>
          <cell r="D1052">
            <v>1</v>
          </cell>
          <cell r="E1052">
            <v>3560</v>
          </cell>
          <cell r="F1052">
            <v>3560</v>
          </cell>
          <cell r="G1052">
            <v>0</v>
          </cell>
          <cell r="H1052">
            <v>0</v>
          </cell>
          <cell r="I1052" t="str">
            <v>0.00%</v>
          </cell>
          <cell r="J1052">
            <v>0</v>
          </cell>
          <cell r="K1052">
            <v>0</v>
          </cell>
          <cell r="L1052" t="str">
            <v>0.00%</v>
          </cell>
          <cell r="M1052">
            <v>0</v>
          </cell>
          <cell r="N1052">
            <v>0</v>
          </cell>
          <cell r="O1052" t="str">
            <v>0.00%</v>
          </cell>
          <cell r="P1052">
            <v>1</v>
          </cell>
          <cell r="Q1052">
            <v>3560</v>
          </cell>
          <cell r="R1052">
            <v>1</v>
          </cell>
        </row>
        <row r="1053">
          <cell r="A1053" t="str">
            <v>13.07.10</v>
          </cell>
          <cell r="B1053" t="str">
            <v>VIDRIOS, CRISTALES Y SIMILARES</v>
          </cell>
          <cell r="C1053">
            <v>0</v>
          </cell>
          <cell r="D1053">
            <v>0</v>
          </cell>
          <cell r="E1053">
            <v>0</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row>
        <row r="1054">
          <cell r="A1054" t="str">
            <v>13.07.10.01</v>
          </cell>
          <cell r="B1054" t="str">
            <v>VIDRIO SISTEMA NOVA INC. ACCESORIOS Y PROTEC. METALICA</v>
          </cell>
          <cell r="C1054" t="str">
            <v>p2</v>
          </cell>
          <cell r="D1054">
            <v>18.079999999999998</v>
          </cell>
          <cell r="E1054">
            <v>18.54</v>
          </cell>
          <cell r="F1054">
            <v>335.20319999999998</v>
          </cell>
          <cell r="G1054">
            <v>0</v>
          </cell>
          <cell r="H1054">
            <v>0</v>
          </cell>
          <cell r="I1054" t="str">
            <v>0.00%</v>
          </cell>
          <cell r="J1054">
            <v>0</v>
          </cell>
          <cell r="K1054">
            <v>0</v>
          </cell>
          <cell r="L1054" t="str">
            <v>0.00%</v>
          </cell>
          <cell r="M1054">
            <v>0</v>
          </cell>
          <cell r="N1054">
            <v>0</v>
          </cell>
          <cell r="O1054" t="str">
            <v>0.00%</v>
          </cell>
          <cell r="P1054">
            <v>18.079999999999998</v>
          </cell>
          <cell r="Q1054">
            <v>335.20319999999998</v>
          </cell>
          <cell r="R1054">
            <v>1</v>
          </cell>
        </row>
        <row r="1055">
          <cell r="A1055" t="str">
            <v>13.07.11</v>
          </cell>
          <cell r="B1055" t="str">
            <v>PINTURA</v>
          </cell>
          <cell r="C1055">
            <v>0</v>
          </cell>
          <cell r="D1055">
            <v>0</v>
          </cell>
          <cell r="E1055">
            <v>0</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row>
        <row r="1056">
          <cell r="A1056" t="str">
            <v>13.07.11.01</v>
          </cell>
          <cell r="B1056" t="str">
            <v>PINTURA EN CIELORRASO</v>
          </cell>
          <cell r="C1056" t="str">
            <v>m2</v>
          </cell>
          <cell r="D1056">
            <v>15.16</v>
          </cell>
          <cell r="E1056">
            <v>12.59</v>
          </cell>
          <cell r="F1056">
            <v>190.86439999999999</v>
          </cell>
          <cell r="G1056">
            <v>0</v>
          </cell>
          <cell r="H1056">
            <v>0</v>
          </cell>
          <cell r="I1056" t="str">
            <v>0.00%</v>
          </cell>
          <cell r="J1056">
            <v>0</v>
          </cell>
          <cell r="K1056">
            <v>0</v>
          </cell>
          <cell r="L1056" t="str">
            <v>0.00%</v>
          </cell>
          <cell r="M1056">
            <v>0</v>
          </cell>
          <cell r="N1056">
            <v>0</v>
          </cell>
          <cell r="O1056" t="str">
            <v>0.00%</v>
          </cell>
          <cell r="P1056">
            <v>15.16</v>
          </cell>
          <cell r="Q1056">
            <v>190.86439999999999</v>
          </cell>
          <cell r="R1056">
            <v>1</v>
          </cell>
        </row>
        <row r="1057">
          <cell r="A1057" t="str">
            <v>13.07.11.02</v>
          </cell>
          <cell r="B1057" t="str">
            <v>PINTURA EN EXTERIORES</v>
          </cell>
          <cell r="C1057" t="str">
            <v>m2</v>
          </cell>
          <cell r="D1057">
            <v>18.670000000000002</v>
          </cell>
          <cell r="E1057">
            <v>19.04</v>
          </cell>
          <cell r="F1057">
            <v>355.47680000000003</v>
          </cell>
          <cell r="G1057">
            <v>0</v>
          </cell>
          <cell r="H1057">
            <v>0</v>
          </cell>
          <cell r="I1057" t="str">
            <v>0.00%</v>
          </cell>
          <cell r="J1057">
            <v>0</v>
          </cell>
          <cell r="K1057">
            <v>0</v>
          </cell>
          <cell r="L1057" t="str">
            <v>0.00%</v>
          </cell>
          <cell r="M1057">
            <v>0</v>
          </cell>
          <cell r="N1057">
            <v>0</v>
          </cell>
          <cell r="O1057" t="str">
            <v>0.00%</v>
          </cell>
          <cell r="P1057">
            <v>18.670000000000002</v>
          </cell>
          <cell r="Q1057">
            <v>355.47680000000003</v>
          </cell>
          <cell r="R1057">
            <v>1</v>
          </cell>
        </row>
        <row r="1058">
          <cell r="A1058" t="str">
            <v>13.07.11.03</v>
          </cell>
          <cell r="B1058" t="str">
            <v xml:space="preserve">PINTURA EN INTERIORES </v>
          </cell>
          <cell r="C1058" t="str">
            <v>m2</v>
          </cell>
          <cell r="D1058">
            <v>18.670000000000002</v>
          </cell>
          <cell r="E1058">
            <v>9.6999999999999993</v>
          </cell>
          <cell r="F1058">
            <v>181.09899999999999</v>
          </cell>
          <cell r="G1058">
            <v>0</v>
          </cell>
          <cell r="H1058">
            <v>0</v>
          </cell>
          <cell r="I1058" t="str">
            <v>0.00%</v>
          </cell>
          <cell r="J1058">
            <v>0</v>
          </cell>
          <cell r="K1058">
            <v>0</v>
          </cell>
          <cell r="L1058" t="str">
            <v>0.00%</v>
          </cell>
          <cell r="M1058">
            <v>0</v>
          </cell>
          <cell r="N1058">
            <v>0</v>
          </cell>
          <cell r="O1058" t="str">
            <v>0.00%</v>
          </cell>
          <cell r="P1058">
            <v>18.670000000000002</v>
          </cell>
          <cell r="Q1058">
            <v>181.09899999999999</v>
          </cell>
          <cell r="R1058">
            <v>1</v>
          </cell>
        </row>
        <row r="1059">
          <cell r="A1059" t="str">
            <v>13.07.11.04</v>
          </cell>
          <cell r="B1059" t="str">
            <v>PINTURA EN COLUMNAS</v>
          </cell>
          <cell r="C1059" t="str">
            <v>m2</v>
          </cell>
          <cell r="D1059">
            <v>16.809999999999999</v>
          </cell>
          <cell r="E1059">
            <v>10.35</v>
          </cell>
          <cell r="F1059">
            <v>173.98349999999999</v>
          </cell>
          <cell r="G1059">
            <v>0</v>
          </cell>
          <cell r="H1059">
            <v>0</v>
          </cell>
          <cell r="I1059" t="str">
            <v>0.00%</v>
          </cell>
          <cell r="J1059">
            <v>0</v>
          </cell>
          <cell r="K1059">
            <v>0</v>
          </cell>
          <cell r="L1059" t="str">
            <v>0.00%</v>
          </cell>
          <cell r="M1059">
            <v>0</v>
          </cell>
          <cell r="N1059">
            <v>0</v>
          </cell>
          <cell r="O1059" t="str">
            <v>0.00%</v>
          </cell>
          <cell r="P1059">
            <v>16.809999999999999</v>
          </cell>
          <cell r="Q1059">
            <v>173.98349999999999</v>
          </cell>
          <cell r="R1059">
            <v>1</v>
          </cell>
        </row>
        <row r="1060">
          <cell r="A1060" t="str">
            <v>13.07.11.05</v>
          </cell>
          <cell r="B1060" t="str">
            <v>PINTURA EN VIGA</v>
          </cell>
          <cell r="C1060" t="str">
            <v>m2</v>
          </cell>
          <cell r="D1060">
            <v>13.09</v>
          </cell>
          <cell r="E1060">
            <v>10.35</v>
          </cell>
          <cell r="F1060">
            <v>135.48149999999998</v>
          </cell>
          <cell r="G1060">
            <v>0</v>
          </cell>
          <cell r="H1060">
            <v>0</v>
          </cell>
          <cell r="I1060" t="str">
            <v>0.00%</v>
          </cell>
          <cell r="J1060">
            <v>0</v>
          </cell>
          <cell r="K1060">
            <v>0</v>
          </cell>
          <cell r="L1060" t="str">
            <v>0.00%</v>
          </cell>
          <cell r="M1060">
            <v>0</v>
          </cell>
          <cell r="N1060">
            <v>0</v>
          </cell>
          <cell r="O1060" t="str">
            <v>0.00%</v>
          </cell>
          <cell r="P1060">
            <v>13.09</v>
          </cell>
          <cell r="Q1060">
            <v>135.48149999999998</v>
          </cell>
          <cell r="R1060">
            <v>1</v>
          </cell>
        </row>
        <row r="1061">
          <cell r="A1061" t="str">
            <v>13.07.11.06</v>
          </cell>
          <cell r="B1061" t="str">
            <v>PINTURA EN CONTRAZOCALOS Y ZOCALOS H= 0.40M C/ESMALTE</v>
          </cell>
          <cell r="C1061" t="str">
            <v>m</v>
          </cell>
          <cell r="D1061">
            <v>6.11</v>
          </cell>
          <cell r="E1061">
            <v>7.19</v>
          </cell>
          <cell r="F1061">
            <v>43.930900000000001</v>
          </cell>
          <cell r="G1061">
            <v>0</v>
          </cell>
          <cell r="H1061">
            <v>0</v>
          </cell>
          <cell r="I1061" t="str">
            <v>0.00%</v>
          </cell>
          <cell r="J1061">
            <v>0</v>
          </cell>
          <cell r="K1061">
            <v>0</v>
          </cell>
          <cell r="L1061" t="str">
            <v>0.00%</v>
          </cell>
          <cell r="M1061">
            <v>0</v>
          </cell>
          <cell r="N1061">
            <v>0</v>
          </cell>
          <cell r="O1061" t="str">
            <v>0.00%</v>
          </cell>
          <cell r="P1061">
            <v>6.11</v>
          </cell>
          <cell r="Q1061">
            <v>43.930900000000001</v>
          </cell>
          <cell r="R1061">
            <v>1</v>
          </cell>
        </row>
        <row r="1062">
          <cell r="A1062" t="str">
            <v>13.08</v>
          </cell>
          <cell r="B1062" t="str">
            <v xml:space="preserve">CERCO PERIMETRICO </v>
          </cell>
          <cell r="C1062">
            <v>0</v>
          </cell>
          <cell r="D1062">
            <v>0</v>
          </cell>
          <cell r="E1062">
            <v>0</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row>
        <row r="1063">
          <cell r="A1063" t="str">
            <v>13.08.01</v>
          </cell>
          <cell r="B1063" t="str">
            <v>MUROS Y TABIQUES</v>
          </cell>
          <cell r="C1063">
            <v>0</v>
          </cell>
          <cell r="D1063">
            <v>0</v>
          </cell>
          <cell r="E1063">
            <v>0</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row>
        <row r="1064">
          <cell r="A1064" t="str">
            <v>13.08.01.01</v>
          </cell>
          <cell r="B1064" t="str">
            <v>MURO DE CABEZA LADRILLO KIN-KONG DE ARCILLA</v>
          </cell>
          <cell r="C1064" t="str">
            <v>m2</v>
          </cell>
          <cell r="D1064">
            <v>134.25</v>
          </cell>
          <cell r="E1064">
            <v>151.13999999999999</v>
          </cell>
          <cell r="F1064">
            <v>20290.544999999998</v>
          </cell>
          <cell r="G1064">
            <v>0</v>
          </cell>
          <cell r="H1064">
            <v>0</v>
          </cell>
          <cell r="I1064" t="str">
            <v>0.00%</v>
          </cell>
          <cell r="J1064">
            <v>0</v>
          </cell>
          <cell r="K1064">
            <v>0</v>
          </cell>
          <cell r="L1064" t="str">
            <v>0.00%</v>
          </cell>
          <cell r="M1064">
            <v>0</v>
          </cell>
          <cell r="N1064">
            <v>0</v>
          </cell>
          <cell r="O1064" t="str">
            <v>0.00%</v>
          </cell>
          <cell r="P1064">
            <v>134.25</v>
          </cell>
          <cell r="Q1064">
            <v>20290.544999999998</v>
          </cell>
          <cell r="R1064">
            <v>1</v>
          </cell>
        </row>
        <row r="1065">
          <cell r="A1065" t="str">
            <v>13.08.02</v>
          </cell>
          <cell r="B1065" t="str">
            <v>REVOQUES ENLUCIDOS Y MOLDURAS</v>
          </cell>
          <cell r="C1065">
            <v>0</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row>
        <row r="1066">
          <cell r="A1066" t="str">
            <v>13.08.02.01</v>
          </cell>
          <cell r="B1066" t="str">
            <v>TARRAJEO EN MUROS EXTERIORES MEZCLA 1:5 CEMENTO:ARENA</v>
          </cell>
          <cell r="C1066" t="str">
            <v>m2</v>
          </cell>
          <cell r="D1066">
            <v>134.25</v>
          </cell>
          <cell r="E1066">
            <v>33.57</v>
          </cell>
          <cell r="F1066">
            <v>4506.7725</v>
          </cell>
          <cell r="G1066">
            <v>0</v>
          </cell>
          <cell r="H1066">
            <v>0</v>
          </cell>
          <cell r="I1066" t="str">
            <v>0.00%</v>
          </cell>
          <cell r="J1066">
            <v>0</v>
          </cell>
          <cell r="K1066">
            <v>0</v>
          </cell>
          <cell r="L1066" t="str">
            <v>0.00%</v>
          </cell>
          <cell r="M1066">
            <v>0</v>
          </cell>
          <cell r="N1066">
            <v>0</v>
          </cell>
          <cell r="O1066" t="str">
            <v>0.00%</v>
          </cell>
          <cell r="P1066">
            <v>134.25</v>
          </cell>
          <cell r="Q1066">
            <v>4506.7725</v>
          </cell>
          <cell r="R1066">
            <v>1</v>
          </cell>
        </row>
        <row r="1067">
          <cell r="A1067" t="str">
            <v>13.08.02.02</v>
          </cell>
          <cell r="B1067" t="str">
            <v>TARRAJEO EN MUROS INTERIORES MEZCLA 1:5 CEMENTO:ARENA</v>
          </cell>
          <cell r="C1067" t="str">
            <v>m2</v>
          </cell>
          <cell r="D1067">
            <v>134.25</v>
          </cell>
          <cell r="E1067">
            <v>26.91</v>
          </cell>
          <cell r="F1067">
            <v>3612.6675</v>
          </cell>
          <cell r="G1067">
            <v>0</v>
          </cell>
          <cell r="H1067">
            <v>0</v>
          </cell>
          <cell r="I1067" t="str">
            <v>0.00%</v>
          </cell>
          <cell r="J1067">
            <v>0</v>
          </cell>
          <cell r="K1067">
            <v>0</v>
          </cell>
          <cell r="L1067" t="str">
            <v>0.00%</v>
          </cell>
          <cell r="M1067">
            <v>0</v>
          </cell>
          <cell r="N1067">
            <v>0</v>
          </cell>
          <cell r="O1067" t="str">
            <v>0.00%</v>
          </cell>
          <cell r="P1067">
            <v>134.25</v>
          </cell>
          <cell r="Q1067">
            <v>3612.6675</v>
          </cell>
          <cell r="R1067">
            <v>1</v>
          </cell>
        </row>
        <row r="1068">
          <cell r="A1068" t="str">
            <v>13.08.02.03</v>
          </cell>
          <cell r="B1068" t="str">
            <v>TARRAJEO DE SUPERFICIE COLUMNAS INCL. ARISTAS MEZCLA 1:5 CEMENTO:ARENA</v>
          </cell>
          <cell r="C1068" t="str">
            <v>m2</v>
          </cell>
          <cell r="D1068">
            <v>72.8</v>
          </cell>
          <cell r="E1068">
            <v>29.04</v>
          </cell>
          <cell r="F1068">
            <v>2114.1120000000001</v>
          </cell>
          <cell r="G1068">
            <v>0</v>
          </cell>
          <cell r="H1068">
            <v>0</v>
          </cell>
          <cell r="I1068" t="str">
            <v>0.00%</v>
          </cell>
          <cell r="J1068">
            <v>0</v>
          </cell>
          <cell r="K1068">
            <v>0</v>
          </cell>
          <cell r="L1068" t="str">
            <v>0.00%</v>
          </cell>
          <cell r="M1068">
            <v>0</v>
          </cell>
          <cell r="N1068">
            <v>0</v>
          </cell>
          <cell r="O1068" t="str">
            <v>0.00%</v>
          </cell>
          <cell r="P1068">
            <v>72.8</v>
          </cell>
          <cell r="Q1068">
            <v>2114.1120000000001</v>
          </cell>
          <cell r="R1068">
            <v>1</v>
          </cell>
        </row>
        <row r="1069">
          <cell r="A1069" t="str">
            <v>13.08.02.04</v>
          </cell>
          <cell r="B1069" t="str">
            <v>TARRAJEO DE SUPERF.VIGAS INCL.ARISTAS, MEZCLA 1:5 CEMENTO:ARENA</v>
          </cell>
          <cell r="C1069" t="str">
            <v>m2</v>
          </cell>
          <cell r="D1069">
            <v>71.900000000000006</v>
          </cell>
          <cell r="E1069">
            <v>34.25</v>
          </cell>
          <cell r="F1069">
            <v>2462.5750000000003</v>
          </cell>
          <cell r="G1069">
            <v>0</v>
          </cell>
          <cell r="H1069">
            <v>0</v>
          </cell>
          <cell r="I1069" t="str">
            <v>0.00%</v>
          </cell>
          <cell r="J1069">
            <v>0</v>
          </cell>
          <cell r="K1069">
            <v>0</v>
          </cell>
          <cell r="L1069" t="str">
            <v>0.00%</v>
          </cell>
          <cell r="M1069">
            <v>0</v>
          </cell>
          <cell r="N1069">
            <v>0</v>
          </cell>
          <cell r="O1069" t="str">
            <v>0.00%</v>
          </cell>
          <cell r="P1069">
            <v>71.900000000000006</v>
          </cell>
          <cell r="Q1069">
            <v>2462.5750000000003</v>
          </cell>
          <cell r="R1069">
            <v>1</v>
          </cell>
        </row>
        <row r="1070">
          <cell r="A1070" t="str">
            <v>13.08.02.05</v>
          </cell>
          <cell r="B1070" t="str">
            <v>BRUÑA DE 1CM ENTRE MUROS Y ESTRUCTURAS</v>
          </cell>
          <cell r="C1070" t="str">
            <v>m</v>
          </cell>
          <cell r="D1070">
            <v>235.08</v>
          </cell>
          <cell r="E1070">
            <v>2.08</v>
          </cell>
          <cell r="F1070">
            <v>488.96640000000002</v>
          </cell>
          <cell r="G1070">
            <v>0</v>
          </cell>
          <cell r="H1070">
            <v>0</v>
          </cell>
          <cell r="I1070" t="str">
            <v>0.00%</v>
          </cell>
          <cell r="J1070">
            <v>0</v>
          </cell>
          <cell r="K1070">
            <v>0</v>
          </cell>
          <cell r="L1070" t="str">
            <v>0.00%</v>
          </cell>
          <cell r="M1070">
            <v>0</v>
          </cell>
          <cell r="N1070">
            <v>0</v>
          </cell>
          <cell r="O1070" t="str">
            <v>0.00%</v>
          </cell>
          <cell r="P1070">
            <v>235.08</v>
          </cell>
          <cell r="Q1070">
            <v>488.96640000000002</v>
          </cell>
          <cell r="R1070">
            <v>1</v>
          </cell>
        </row>
        <row r="1071">
          <cell r="A1071" t="str">
            <v>13.08.03</v>
          </cell>
          <cell r="B1071" t="str">
            <v>PISOS Y PAVIMENTOS</v>
          </cell>
          <cell r="C1071">
            <v>0</v>
          </cell>
          <cell r="D1071">
            <v>0</v>
          </cell>
          <cell r="E1071">
            <v>0</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row>
        <row r="1072">
          <cell r="A1072" t="str">
            <v>13.08.03.01</v>
          </cell>
          <cell r="B1072" t="str">
            <v>PISO DE CEMENTO FROTACHADO BRUÑADO</v>
          </cell>
          <cell r="C1072" t="str">
            <v>m2</v>
          </cell>
          <cell r="D1072">
            <v>9.5500000000000007</v>
          </cell>
          <cell r="E1072">
            <v>18.29</v>
          </cell>
          <cell r="F1072">
            <v>174.6695</v>
          </cell>
          <cell r="G1072">
            <v>0</v>
          </cell>
          <cell r="H1072">
            <v>0</v>
          </cell>
          <cell r="I1072" t="str">
            <v>0.00%</v>
          </cell>
          <cell r="J1072">
            <v>0</v>
          </cell>
          <cell r="K1072">
            <v>0</v>
          </cell>
          <cell r="L1072" t="str">
            <v>0.00%</v>
          </cell>
          <cell r="M1072">
            <v>0</v>
          </cell>
          <cell r="N1072">
            <v>0</v>
          </cell>
          <cell r="O1072" t="str">
            <v>0.00%</v>
          </cell>
          <cell r="P1072">
            <v>9.5500000000000007</v>
          </cell>
          <cell r="Q1072">
            <v>174.6695</v>
          </cell>
          <cell r="R1072">
            <v>1</v>
          </cell>
        </row>
        <row r="1073">
          <cell r="A1073" t="str">
            <v>13.08.04</v>
          </cell>
          <cell r="B1073" t="str">
            <v>VEREDA</v>
          </cell>
          <cell r="C1073">
            <v>0</v>
          </cell>
          <cell r="D1073">
            <v>0</v>
          </cell>
          <cell r="E1073">
            <v>0</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row>
        <row r="1074">
          <cell r="A1074" t="str">
            <v>13.08.04.01</v>
          </cell>
          <cell r="B1074" t="str">
            <v>AFIRMADO DE 4" PARA VEREDAS</v>
          </cell>
          <cell r="C1074" t="str">
            <v>m2</v>
          </cell>
          <cell r="D1074">
            <v>128.84</v>
          </cell>
          <cell r="E1074">
            <v>11.27</v>
          </cell>
          <cell r="F1074">
            <v>1452.0268000000001</v>
          </cell>
          <cell r="G1074">
            <v>0</v>
          </cell>
          <cell r="H1074">
            <v>0</v>
          </cell>
          <cell r="I1074" t="str">
            <v>0.00%</v>
          </cell>
          <cell r="J1074">
            <v>0</v>
          </cell>
          <cell r="K1074">
            <v>0</v>
          </cell>
          <cell r="L1074" t="str">
            <v>0.00%</v>
          </cell>
          <cell r="M1074">
            <v>0</v>
          </cell>
          <cell r="N1074">
            <v>0</v>
          </cell>
          <cell r="O1074" t="str">
            <v>0.00%</v>
          </cell>
          <cell r="P1074">
            <v>128.84</v>
          </cell>
          <cell r="Q1074">
            <v>1452.0268000000001</v>
          </cell>
          <cell r="R1074">
            <v>1</v>
          </cell>
        </row>
        <row r="1075">
          <cell r="A1075" t="str">
            <v>13.08.04.02</v>
          </cell>
          <cell r="B1075" t="str">
            <v>VEREDA DE CONCRETO F'C= 175 KG/CM2.</v>
          </cell>
          <cell r="C1075" t="str">
            <v>m2</v>
          </cell>
          <cell r="D1075">
            <v>128.84</v>
          </cell>
          <cell r="E1075">
            <v>64.63</v>
          </cell>
          <cell r="F1075">
            <v>8326.9292000000005</v>
          </cell>
          <cell r="G1075">
            <v>0</v>
          </cell>
          <cell r="H1075">
            <v>0</v>
          </cell>
          <cell r="I1075" t="str">
            <v>0.00%</v>
          </cell>
          <cell r="J1075">
            <v>0</v>
          </cell>
          <cell r="K1075">
            <v>0</v>
          </cell>
          <cell r="L1075" t="str">
            <v>0.00%</v>
          </cell>
          <cell r="M1075">
            <v>0</v>
          </cell>
          <cell r="N1075">
            <v>0</v>
          </cell>
          <cell r="O1075" t="str">
            <v>0.00%</v>
          </cell>
          <cell r="P1075">
            <v>128.84</v>
          </cell>
          <cell r="Q1075">
            <v>8326.9292000000005</v>
          </cell>
          <cell r="R1075">
            <v>1</v>
          </cell>
        </row>
        <row r="1076">
          <cell r="A1076" t="str">
            <v>13.08.04.03</v>
          </cell>
          <cell r="B1076" t="str">
            <v>ENCOFRADO Y DESENCOFRADO DE VEREDA</v>
          </cell>
          <cell r="C1076" t="str">
            <v>m2</v>
          </cell>
          <cell r="D1076">
            <v>25.12</v>
          </cell>
          <cell r="E1076">
            <v>45.51</v>
          </cell>
          <cell r="F1076">
            <v>1143.2112</v>
          </cell>
          <cell r="G1076">
            <v>0</v>
          </cell>
          <cell r="H1076">
            <v>0</v>
          </cell>
          <cell r="I1076" t="str">
            <v>0.00%</v>
          </cell>
          <cell r="J1076">
            <v>0</v>
          </cell>
          <cell r="K1076">
            <v>0</v>
          </cell>
          <cell r="L1076" t="str">
            <v>0.00%</v>
          </cell>
          <cell r="M1076">
            <v>0</v>
          </cell>
          <cell r="N1076">
            <v>0</v>
          </cell>
          <cell r="O1076" t="str">
            <v>0.00%</v>
          </cell>
          <cell r="P1076">
            <v>25.12</v>
          </cell>
          <cell r="Q1076">
            <v>1143.2112</v>
          </cell>
          <cell r="R1076">
            <v>1</v>
          </cell>
        </row>
        <row r="1077">
          <cell r="A1077" t="str">
            <v>13.08.05</v>
          </cell>
          <cell r="B1077" t="str">
            <v xml:space="preserve">JUNTAS </v>
          </cell>
          <cell r="C1077">
            <v>0</v>
          </cell>
          <cell r="D1077">
            <v>0</v>
          </cell>
          <cell r="E1077">
            <v>0</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row>
        <row r="1078">
          <cell r="A1078" t="str">
            <v>13.08.05.01</v>
          </cell>
          <cell r="B1078" t="str">
            <v xml:space="preserve">JUNTAS ASFALTICAS </v>
          </cell>
          <cell r="C1078" t="str">
            <v>m</v>
          </cell>
          <cell r="D1078">
            <v>34.5</v>
          </cell>
          <cell r="E1078">
            <v>10.09</v>
          </cell>
          <cell r="F1078">
            <v>348.10500000000002</v>
          </cell>
          <cell r="G1078">
            <v>0</v>
          </cell>
          <cell r="H1078">
            <v>0</v>
          </cell>
          <cell r="I1078" t="str">
            <v>0.00%</v>
          </cell>
          <cell r="J1078">
            <v>0</v>
          </cell>
          <cell r="K1078">
            <v>0</v>
          </cell>
          <cell r="L1078" t="str">
            <v>0.00%</v>
          </cell>
          <cell r="M1078">
            <v>0</v>
          </cell>
          <cell r="N1078">
            <v>0</v>
          </cell>
          <cell r="O1078" t="str">
            <v>0.00%</v>
          </cell>
          <cell r="P1078">
            <v>34.5</v>
          </cell>
          <cell r="Q1078">
            <v>348.10500000000002</v>
          </cell>
          <cell r="R1078">
            <v>1</v>
          </cell>
        </row>
        <row r="1079">
          <cell r="A1079" t="str">
            <v>13.08.06</v>
          </cell>
          <cell r="B1079" t="str">
            <v>ZOCALOS Y CONTRAZOCALOS</v>
          </cell>
          <cell r="C1079">
            <v>0</v>
          </cell>
          <cell r="D1079">
            <v>0</v>
          </cell>
          <cell r="E1079">
            <v>0</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row>
        <row r="1080">
          <cell r="A1080" t="str">
            <v>13.08.06.01</v>
          </cell>
          <cell r="B1080" t="str">
            <v>CONTRAZOCALO CEMENTO S/COLOREAR H = 30 CM</v>
          </cell>
          <cell r="C1080" t="str">
            <v>m</v>
          </cell>
          <cell r="D1080">
            <v>110.61</v>
          </cell>
          <cell r="E1080">
            <v>10.72</v>
          </cell>
          <cell r="F1080">
            <v>1185.7392</v>
          </cell>
          <cell r="G1080">
            <v>0</v>
          </cell>
          <cell r="H1080">
            <v>0</v>
          </cell>
          <cell r="I1080" t="str">
            <v>0.00%</v>
          </cell>
          <cell r="J1080">
            <v>0</v>
          </cell>
          <cell r="K1080">
            <v>0</v>
          </cell>
          <cell r="L1080" t="str">
            <v>0.00%</v>
          </cell>
          <cell r="M1080">
            <v>0</v>
          </cell>
          <cell r="N1080">
            <v>0</v>
          </cell>
          <cell r="O1080" t="str">
            <v>0.00%</v>
          </cell>
          <cell r="P1080">
            <v>110.61</v>
          </cell>
          <cell r="Q1080">
            <v>1185.7392</v>
          </cell>
          <cell r="R1080">
            <v>1</v>
          </cell>
        </row>
        <row r="1081">
          <cell r="A1081" t="str">
            <v>13.08.07</v>
          </cell>
          <cell r="B1081" t="str">
            <v>CARPINTERIA METALICA</v>
          </cell>
          <cell r="C1081">
            <v>0</v>
          </cell>
          <cell r="D1081">
            <v>0</v>
          </cell>
          <cell r="E1081">
            <v>0</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row>
        <row r="1082">
          <cell r="A1082" t="str">
            <v>13.08.07.01</v>
          </cell>
          <cell r="B1082" t="str">
            <v>VENTANA CON TUBO RECTANGULAR LAC 1.40 x 1.55 M.</v>
          </cell>
          <cell r="C1082" t="str">
            <v>und</v>
          </cell>
          <cell r="D1082">
            <v>18</v>
          </cell>
          <cell r="E1082">
            <v>616.67999999999995</v>
          </cell>
          <cell r="F1082">
            <v>11100.24</v>
          </cell>
          <cell r="G1082">
            <v>0</v>
          </cell>
          <cell r="H1082">
            <v>0</v>
          </cell>
          <cell r="I1082" t="str">
            <v>0.00%</v>
          </cell>
          <cell r="J1082">
            <v>0</v>
          </cell>
          <cell r="K1082">
            <v>0</v>
          </cell>
          <cell r="L1082" t="str">
            <v>0.00%</v>
          </cell>
          <cell r="M1082">
            <v>0</v>
          </cell>
          <cell r="N1082">
            <v>0</v>
          </cell>
          <cell r="O1082" t="str">
            <v>0.00%</v>
          </cell>
          <cell r="P1082">
            <v>18</v>
          </cell>
          <cell r="Q1082">
            <v>11100.24</v>
          </cell>
          <cell r="R1082">
            <v>1</v>
          </cell>
        </row>
        <row r="1083">
          <cell r="A1083" t="str">
            <v>13.08.08</v>
          </cell>
          <cell r="B1083" t="str">
            <v>PINTURA</v>
          </cell>
          <cell r="C1083">
            <v>0</v>
          </cell>
          <cell r="D1083">
            <v>0</v>
          </cell>
          <cell r="E1083">
            <v>0</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row>
        <row r="1084">
          <cell r="A1084" t="str">
            <v>13.08.08.01</v>
          </cell>
          <cell r="B1084" t="str">
            <v>PINTURA EN EXTERIORES</v>
          </cell>
          <cell r="C1084" t="str">
            <v>m2</v>
          </cell>
          <cell r="D1084">
            <v>134.25</v>
          </cell>
          <cell r="E1084">
            <v>19.04</v>
          </cell>
          <cell r="F1084">
            <v>2556.12</v>
          </cell>
          <cell r="G1084">
            <v>0</v>
          </cell>
          <cell r="H1084">
            <v>0</v>
          </cell>
          <cell r="I1084" t="str">
            <v>0.00%</v>
          </cell>
          <cell r="J1084">
            <v>0</v>
          </cell>
          <cell r="K1084">
            <v>0</v>
          </cell>
          <cell r="L1084" t="str">
            <v>0.00%</v>
          </cell>
          <cell r="M1084">
            <v>0</v>
          </cell>
          <cell r="N1084">
            <v>0</v>
          </cell>
          <cell r="O1084" t="str">
            <v>0.00%</v>
          </cell>
          <cell r="P1084">
            <v>134.25</v>
          </cell>
          <cell r="Q1084">
            <v>2556.12</v>
          </cell>
          <cell r="R1084">
            <v>1</v>
          </cell>
        </row>
        <row r="1085">
          <cell r="A1085" t="str">
            <v>13.08.08.02</v>
          </cell>
          <cell r="B1085" t="str">
            <v xml:space="preserve">PINTURA EN INTERIORES </v>
          </cell>
          <cell r="C1085" t="str">
            <v>m2</v>
          </cell>
          <cell r="D1085">
            <v>134.25</v>
          </cell>
          <cell r="E1085">
            <v>9.6999999999999993</v>
          </cell>
          <cell r="F1085">
            <v>1302.2249999999999</v>
          </cell>
          <cell r="G1085">
            <v>0</v>
          </cell>
          <cell r="H1085">
            <v>0</v>
          </cell>
          <cell r="I1085" t="str">
            <v>0.00%</v>
          </cell>
          <cell r="J1085">
            <v>0</v>
          </cell>
          <cell r="K1085">
            <v>0</v>
          </cell>
          <cell r="L1085" t="str">
            <v>0.00%</v>
          </cell>
          <cell r="M1085">
            <v>0</v>
          </cell>
          <cell r="N1085">
            <v>0</v>
          </cell>
          <cell r="O1085" t="str">
            <v>0.00%</v>
          </cell>
          <cell r="P1085">
            <v>134.25</v>
          </cell>
          <cell r="Q1085">
            <v>1302.2249999999999</v>
          </cell>
          <cell r="R1085">
            <v>1</v>
          </cell>
        </row>
        <row r="1086">
          <cell r="A1086" t="str">
            <v>13.08.08.03</v>
          </cell>
          <cell r="B1086" t="str">
            <v>PINTURA EN COLUMNAS CON ESMALTE</v>
          </cell>
          <cell r="C1086" t="str">
            <v>m2</v>
          </cell>
          <cell r="D1086">
            <v>72.8</v>
          </cell>
          <cell r="E1086">
            <v>8.39</v>
          </cell>
          <cell r="F1086">
            <v>610.79200000000003</v>
          </cell>
          <cell r="G1086">
            <v>0</v>
          </cell>
          <cell r="H1086">
            <v>0</v>
          </cell>
          <cell r="I1086" t="str">
            <v>0.00%</v>
          </cell>
          <cell r="J1086">
            <v>0</v>
          </cell>
          <cell r="K1086">
            <v>0</v>
          </cell>
          <cell r="L1086" t="str">
            <v>0.00%</v>
          </cell>
          <cell r="M1086">
            <v>0</v>
          </cell>
          <cell r="N1086">
            <v>0</v>
          </cell>
          <cell r="O1086" t="str">
            <v>0.00%</v>
          </cell>
          <cell r="P1086">
            <v>72.8</v>
          </cell>
          <cell r="Q1086">
            <v>610.79200000000003</v>
          </cell>
          <cell r="R1086">
            <v>1</v>
          </cell>
        </row>
        <row r="1087">
          <cell r="A1087" t="str">
            <v>13.08.08.04</v>
          </cell>
          <cell r="B1087" t="str">
            <v>PINTURA EN VIGA CON ESMALTE</v>
          </cell>
          <cell r="C1087" t="str">
            <v>m2</v>
          </cell>
          <cell r="D1087">
            <v>71.900000000000006</v>
          </cell>
          <cell r="E1087">
            <v>8.39</v>
          </cell>
          <cell r="F1087">
            <v>603.2410000000001</v>
          </cell>
          <cell r="G1087">
            <v>0</v>
          </cell>
          <cell r="H1087">
            <v>0</v>
          </cell>
          <cell r="I1087" t="str">
            <v>0.00%</v>
          </cell>
          <cell r="J1087">
            <v>0</v>
          </cell>
          <cell r="K1087">
            <v>0</v>
          </cell>
          <cell r="L1087" t="str">
            <v>0.00%</v>
          </cell>
          <cell r="M1087">
            <v>0</v>
          </cell>
          <cell r="N1087">
            <v>0</v>
          </cell>
          <cell r="O1087" t="str">
            <v>0.00%</v>
          </cell>
          <cell r="P1087">
            <v>71.900000000000006</v>
          </cell>
          <cell r="Q1087">
            <v>603.2410000000001</v>
          </cell>
          <cell r="R1087">
            <v>1</v>
          </cell>
        </row>
        <row r="1088">
          <cell r="A1088" t="str">
            <v>13.08.08.05</v>
          </cell>
          <cell r="B1088" t="str">
            <v>PINTURA EN CONTRAZOCALOS Y ZOCALOS H= 0.40M C/ESMALTE</v>
          </cell>
          <cell r="C1088" t="str">
            <v>m</v>
          </cell>
          <cell r="D1088">
            <v>110.61</v>
          </cell>
          <cell r="E1088">
            <v>7.19</v>
          </cell>
          <cell r="F1088">
            <v>795.28590000000008</v>
          </cell>
          <cell r="G1088">
            <v>0</v>
          </cell>
          <cell r="H1088">
            <v>0</v>
          </cell>
          <cell r="I1088" t="str">
            <v>0.00%</v>
          </cell>
          <cell r="J1088">
            <v>0</v>
          </cell>
          <cell r="K1088">
            <v>0</v>
          </cell>
          <cell r="L1088" t="str">
            <v>0.00%</v>
          </cell>
          <cell r="M1088">
            <v>0</v>
          </cell>
          <cell r="N1088">
            <v>0</v>
          </cell>
          <cell r="O1088" t="str">
            <v>0.00%</v>
          </cell>
          <cell r="P1088">
            <v>110.61</v>
          </cell>
          <cell r="Q1088">
            <v>795.28590000000008</v>
          </cell>
          <cell r="R1088">
            <v>1</v>
          </cell>
        </row>
        <row r="1089">
          <cell r="A1089" t="str">
            <v>13.08.09</v>
          </cell>
          <cell r="B1089" t="str">
            <v>OBRAS VARIAS</v>
          </cell>
          <cell r="C1089">
            <v>0</v>
          </cell>
          <cell r="D1089">
            <v>0</v>
          </cell>
          <cell r="E1089">
            <v>0</v>
          </cell>
          <cell r="F1089">
            <v>0</v>
          </cell>
          <cell r="G1089">
            <v>0</v>
          </cell>
          <cell r="H1089">
            <v>0</v>
          </cell>
          <cell r="I1089">
            <v>0</v>
          </cell>
          <cell r="J1089">
            <v>0</v>
          </cell>
          <cell r="K1089">
            <v>0</v>
          </cell>
          <cell r="L1089">
            <v>0</v>
          </cell>
          <cell r="M1089">
            <v>0</v>
          </cell>
          <cell r="N1089">
            <v>0</v>
          </cell>
          <cell r="O1089">
            <v>0</v>
          </cell>
          <cell r="P1089">
            <v>0</v>
          </cell>
          <cell r="Q1089">
            <v>0</v>
          </cell>
          <cell r="R1089">
            <v>0</v>
          </cell>
        </row>
        <row r="1090">
          <cell r="A1090" t="str">
            <v>13.08.09.01</v>
          </cell>
          <cell r="B1090" t="str">
            <v xml:space="preserve">TAPA JUNTA EN VANOS MUROS/COLUMNA
</v>
          </cell>
          <cell r="C1090" t="str">
            <v>m</v>
          </cell>
          <cell r="D1090">
            <v>91.6</v>
          </cell>
          <cell r="E1090">
            <v>13.49</v>
          </cell>
          <cell r="F1090">
            <v>1235.684</v>
          </cell>
          <cell r="G1090">
            <v>0</v>
          </cell>
          <cell r="H1090">
            <v>0</v>
          </cell>
          <cell r="I1090" t="str">
            <v>0.00%</v>
          </cell>
          <cell r="J1090">
            <v>0</v>
          </cell>
          <cell r="K1090">
            <v>0</v>
          </cell>
          <cell r="L1090" t="str">
            <v>0.00%</v>
          </cell>
          <cell r="M1090">
            <v>0</v>
          </cell>
          <cell r="N1090">
            <v>0</v>
          </cell>
          <cell r="O1090" t="str">
            <v>0.00%</v>
          </cell>
          <cell r="P1090">
            <v>91.6</v>
          </cell>
          <cell r="Q1090">
            <v>1235.684</v>
          </cell>
          <cell r="R1090">
            <v>1</v>
          </cell>
        </row>
        <row r="1091">
          <cell r="A1091" t="str">
            <v>14</v>
          </cell>
          <cell r="B1091" t="str">
            <v>VARIOS, LIMPIEZA Y JARDINERIA</v>
          </cell>
          <cell r="C1091">
            <v>0</v>
          </cell>
          <cell r="D1091">
            <v>0</v>
          </cell>
          <cell r="E1091">
            <v>0</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row>
        <row r="1092">
          <cell r="A1092" t="str">
            <v>14.01</v>
          </cell>
          <cell r="B1092" t="str">
            <v>REHABILITACION DE GRUTA</v>
          </cell>
          <cell r="C1092" t="str">
            <v>GLB</v>
          </cell>
          <cell r="D1092">
            <v>1</v>
          </cell>
          <cell r="E1092">
            <v>5000</v>
          </cell>
          <cell r="F1092">
            <v>5000</v>
          </cell>
          <cell r="G1092">
            <v>0</v>
          </cell>
          <cell r="H1092">
            <v>0</v>
          </cell>
          <cell r="I1092" t="str">
            <v>0.00%</v>
          </cell>
          <cell r="J1092">
            <v>0</v>
          </cell>
          <cell r="K1092">
            <v>0</v>
          </cell>
          <cell r="L1092" t="str">
            <v>0.00%</v>
          </cell>
          <cell r="M1092">
            <v>0</v>
          </cell>
          <cell r="N1092">
            <v>0</v>
          </cell>
          <cell r="O1092" t="str">
            <v>0.00%</v>
          </cell>
          <cell r="P1092">
            <v>1</v>
          </cell>
          <cell r="Q1092">
            <v>5000</v>
          </cell>
          <cell r="R1092">
            <v>1</v>
          </cell>
        </row>
        <row r="1093">
          <cell r="A1093" t="str">
            <v>14.02</v>
          </cell>
          <cell r="B1093" t="str">
            <v>SISTEMA DE SEGURIDAD Y SEÑALIZACION</v>
          </cell>
          <cell r="C1093" t="str">
            <v>GLB</v>
          </cell>
          <cell r="D1093">
            <v>1</v>
          </cell>
          <cell r="E1093">
            <v>10414.75</v>
          </cell>
          <cell r="F1093">
            <v>10414.75</v>
          </cell>
          <cell r="G1093">
            <v>0</v>
          </cell>
          <cell r="H1093">
            <v>0</v>
          </cell>
          <cell r="I1093" t="str">
            <v>0.00%</v>
          </cell>
          <cell r="J1093">
            <v>0</v>
          </cell>
          <cell r="K1093">
            <v>0</v>
          </cell>
          <cell r="L1093" t="str">
            <v>0.00%</v>
          </cell>
          <cell r="M1093">
            <v>0</v>
          </cell>
          <cell r="N1093">
            <v>0</v>
          </cell>
          <cell r="O1093" t="str">
            <v>0.00%</v>
          </cell>
          <cell r="P1093">
            <v>1</v>
          </cell>
          <cell r="Q1093">
            <v>10414.75</v>
          </cell>
          <cell r="R1093">
            <v>1</v>
          </cell>
        </row>
        <row r="1094">
          <cell r="A1094" t="str">
            <v>14.03</v>
          </cell>
          <cell r="B1094" t="str">
            <v>SEMBRADO DE GRASS</v>
          </cell>
          <cell r="C1094" t="str">
            <v>m2</v>
          </cell>
          <cell r="D1094">
            <v>216.96</v>
          </cell>
          <cell r="E1094">
            <v>4.26</v>
          </cell>
          <cell r="F1094">
            <v>924.24959999999999</v>
          </cell>
          <cell r="G1094">
            <v>0</v>
          </cell>
          <cell r="H1094">
            <v>0</v>
          </cell>
          <cell r="I1094" t="str">
            <v>0.00%</v>
          </cell>
          <cell r="J1094">
            <v>0</v>
          </cell>
          <cell r="K1094">
            <v>0</v>
          </cell>
          <cell r="L1094" t="str">
            <v>0.00%</v>
          </cell>
          <cell r="M1094">
            <v>0</v>
          </cell>
          <cell r="N1094">
            <v>0</v>
          </cell>
          <cell r="O1094" t="str">
            <v>0.00%</v>
          </cell>
          <cell r="P1094">
            <v>216.96</v>
          </cell>
          <cell r="Q1094">
            <v>924.24959999999999</v>
          </cell>
          <cell r="R1094">
            <v>1</v>
          </cell>
        </row>
        <row r="1095">
          <cell r="A1095" t="str">
            <v>14.04</v>
          </cell>
          <cell r="B1095" t="str">
            <v>LIMPIEZA PERMANENTE DE LA OBRA</v>
          </cell>
          <cell r="C1095" t="str">
            <v>m2</v>
          </cell>
          <cell r="D1095">
            <v>1850.48</v>
          </cell>
          <cell r="E1095">
            <v>1.42</v>
          </cell>
          <cell r="F1095">
            <v>2627.6815999999999</v>
          </cell>
          <cell r="G1095">
            <v>0</v>
          </cell>
          <cell r="H1095">
            <v>0</v>
          </cell>
          <cell r="I1095" t="str">
            <v>0.00%</v>
          </cell>
          <cell r="J1095">
            <v>0</v>
          </cell>
          <cell r="K1095">
            <v>0</v>
          </cell>
          <cell r="L1095" t="str">
            <v>0.00%</v>
          </cell>
          <cell r="M1095">
            <v>0</v>
          </cell>
          <cell r="N1095">
            <v>0</v>
          </cell>
          <cell r="O1095" t="str">
            <v>0.00%</v>
          </cell>
          <cell r="P1095">
            <v>1850.48</v>
          </cell>
          <cell r="Q1095">
            <v>2627.6815999999999</v>
          </cell>
          <cell r="R1095">
            <v>1</v>
          </cell>
        </row>
        <row r="1096">
          <cell r="A1096" t="str">
            <v>14.05</v>
          </cell>
          <cell r="B1096" t="str">
            <v>ENCERADO Y LIMPIEZA DE PISOS</v>
          </cell>
          <cell r="C1096" t="str">
            <v>m2</v>
          </cell>
          <cell r="D1096">
            <v>1553.82</v>
          </cell>
          <cell r="E1096">
            <v>5.51</v>
          </cell>
          <cell r="F1096">
            <v>8561.5481999999993</v>
          </cell>
          <cell r="G1096">
            <v>0</v>
          </cell>
          <cell r="H1096">
            <v>0</v>
          </cell>
          <cell r="I1096" t="str">
            <v>0.00%</v>
          </cell>
          <cell r="J1096">
            <v>0</v>
          </cell>
          <cell r="K1096">
            <v>0</v>
          </cell>
          <cell r="L1096" t="str">
            <v>0.00%</v>
          </cell>
          <cell r="M1096">
            <v>0</v>
          </cell>
          <cell r="N1096">
            <v>0</v>
          </cell>
          <cell r="O1096" t="str">
            <v>0.00%</v>
          </cell>
          <cell r="P1096">
            <v>1553.82</v>
          </cell>
          <cell r="Q1096">
            <v>8561.5481999999993</v>
          </cell>
          <cell r="R1096">
            <v>1</v>
          </cell>
        </row>
        <row r="1097">
          <cell r="A1097" t="str">
            <v>14.06</v>
          </cell>
          <cell r="B1097" t="str">
            <v>LIMPIEZA DE VIDRIOS</v>
          </cell>
          <cell r="C1097" t="str">
            <v>m2</v>
          </cell>
          <cell r="D1097">
            <v>318.04000000000002</v>
          </cell>
          <cell r="E1097">
            <v>2.65</v>
          </cell>
          <cell r="F1097">
            <v>842.80600000000004</v>
          </cell>
          <cell r="G1097">
            <v>0</v>
          </cell>
          <cell r="H1097">
            <v>0</v>
          </cell>
          <cell r="I1097" t="str">
            <v>0.00%</v>
          </cell>
          <cell r="J1097">
            <v>0</v>
          </cell>
          <cell r="K1097">
            <v>0</v>
          </cell>
          <cell r="L1097" t="str">
            <v>0.00%</v>
          </cell>
          <cell r="M1097">
            <v>0</v>
          </cell>
          <cell r="N1097">
            <v>0</v>
          </cell>
          <cell r="O1097" t="str">
            <v>0.00%</v>
          </cell>
          <cell r="P1097">
            <v>318.04000000000002</v>
          </cell>
          <cell r="Q1097">
            <v>842.80600000000004</v>
          </cell>
          <cell r="R1097">
            <v>1</v>
          </cell>
        </row>
        <row r="1098">
          <cell r="A1098">
            <v>0</v>
          </cell>
          <cell r="B1098">
            <v>0</v>
          </cell>
          <cell r="C1098">
            <v>0</v>
          </cell>
          <cell r="D1098">
            <v>0</v>
          </cell>
          <cell r="E1098">
            <v>0</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row>
        <row r="1099">
          <cell r="A1099">
            <v>0</v>
          </cell>
          <cell r="B1099" t="str">
            <v>COSTO ARQUITECTURA</v>
          </cell>
          <cell r="C1099">
            <v>0</v>
          </cell>
          <cell r="D1099">
            <v>0</v>
          </cell>
          <cell r="E1099">
            <v>0</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row>
        <row r="1100">
          <cell r="A1100">
            <v>0</v>
          </cell>
          <cell r="B1100">
            <v>0</v>
          </cell>
          <cell r="C1100">
            <v>0</v>
          </cell>
          <cell r="D1100">
            <v>0</v>
          </cell>
          <cell r="E1100">
            <v>0</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row>
        <row r="1101">
          <cell r="A1101">
            <v>0</v>
          </cell>
          <cell r="B1101" t="str">
            <v>COSTO DIRECTO</v>
          </cell>
          <cell r="C1101">
            <v>0</v>
          </cell>
          <cell r="D1101">
            <v>0</v>
          </cell>
          <cell r="E1101">
            <v>0</v>
          </cell>
          <cell r="F1101">
            <v>1462280.6017999998</v>
          </cell>
          <cell r="G1101">
            <v>0</v>
          </cell>
          <cell r="H1101">
            <v>96847.059479999982</v>
          </cell>
          <cell r="I1101">
            <v>6.6230147182959095E-2</v>
          </cell>
          <cell r="J1101">
            <v>0</v>
          </cell>
          <cell r="K1101">
            <v>93187.617932999987</v>
          </cell>
          <cell r="L1101">
            <v>6.3727589505249774E-2</v>
          </cell>
          <cell r="M1101">
            <v>0</v>
          </cell>
          <cell r="N1101">
            <v>190034.677413</v>
          </cell>
          <cell r="O1101">
            <v>0.12995773668820887</v>
          </cell>
          <cell r="P1101">
            <v>0</v>
          </cell>
          <cell r="Q1101">
            <v>1272245.924387</v>
          </cell>
          <cell r="R1101">
            <v>0.87004226331179124</v>
          </cell>
        </row>
        <row r="1102">
          <cell r="A1102">
            <v>0</v>
          </cell>
          <cell r="B1102" t="str">
            <v xml:space="preserve">GASTOS GENERALES   </v>
          </cell>
          <cell r="C1102">
            <v>0</v>
          </cell>
          <cell r="D1102">
            <v>0.1087</v>
          </cell>
          <cell r="E1102">
            <v>0</v>
          </cell>
          <cell r="F1102">
            <v>158949.90141565999</v>
          </cell>
          <cell r="G1102">
            <v>0</v>
          </cell>
          <cell r="H1102">
            <v>10527.275365475998</v>
          </cell>
          <cell r="I1102">
            <v>6.6230147182959082E-2</v>
          </cell>
          <cell r="J1102">
            <v>0</v>
          </cell>
          <cell r="K1102">
            <v>10129.494069317099</v>
          </cell>
          <cell r="L1102">
            <v>6.3727589505249774E-2</v>
          </cell>
          <cell r="M1102">
            <v>0</v>
          </cell>
          <cell r="N1102">
            <v>20656.769434793099</v>
          </cell>
          <cell r="O1102">
            <v>0.12995773668820887</v>
          </cell>
          <cell r="P1102">
            <v>0</v>
          </cell>
          <cell r="Q1102">
            <v>138293.13198086692</v>
          </cell>
          <cell r="R1102">
            <v>0.87004226331179135</v>
          </cell>
        </row>
        <row r="1103">
          <cell r="A1103">
            <v>0</v>
          </cell>
          <cell r="B1103" t="str">
            <v xml:space="preserve">GASTOS DE SUPERVISION    </v>
          </cell>
          <cell r="C1103">
            <v>0</v>
          </cell>
          <cell r="D1103">
            <v>4.4999999999999998E-2</v>
          </cell>
          <cell r="E1103">
            <v>0</v>
          </cell>
          <cell r="F1103">
            <v>65802.627080999984</v>
          </cell>
          <cell r="G1103">
            <v>0</v>
          </cell>
          <cell r="H1103">
            <v>4358.117676599999</v>
          </cell>
          <cell r="I1103">
            <v>6.6230147182959095E-2</v>
          </cell>
          <cell r="J1103">
            <v>0</v>
          </cell>
          <cell r="K1103">
            <v>4193.4428069849992</v>
          </cell>
          <cell r="L1103">
            <v>6.3727589505249774E-2</v>
          </cell>
          <cell r="M1103">
            <v>0</v>
          </cell>
          <cell r="N1103">
            <v>8551.560483584999</v>
          </cell>
          <cell r="O1103">
            <v>0.12995773668820887</v>
          </cell>
          <cell r="P1103">
            <v>0</v>
          </cell>
          <cell r="Q1103">
            <v>57251.066597414996</v>
          </cell>
          <cell r="R1103">
            <v>0.87004226331179124</v>
          </cell>
        </row>
        <row r="1104">
          <cell r="A1104">
            <v>0</v>
          </cell>
          <cell r="B1104">
            <v>0</v>
          </cell>
          <cell r="C1104">
            <v>0</v>
          </cell>
          <cell r="D1104">
            <v>0</v>
          </cell>
          <cell r="E1104">
            <v>0</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row>
        <row r="1105">
          <cell r="A1105">
            <v>0</v>
          </cell>
          <cell r="B1105" t="str">
            <v>SUB TOTAL</v>
          </cell>
          <cell r="C1105">
            <v>0</v>
          </cell>
          <cell r="D1105">
            <v>0</v>
          </cell>
          <cell r="E1105">
            <v>0</v>
          </cell>
          <cell r="F1105">
            <v>1687033.1302966599</v>
          </cell>
          <cell r="G1105">
            <v>0</v>
          </cell>
          <cell r="H1105">
            <v>111732.45252207598</v>
          </cell>
          <cell r="I1105">
            <v>6.6230147182959095E-2</v>
          </cell>
          <cell r="J1105">
            <v>0</v>
          </cell>
          <cell r="K1105">
            <v>107510.55480930208</v>
          </cell>
          <cell r="L1105">
            <v>6.372758950524976E-2</v>
          </cell>
          <cell r="M1105">
            <v>0</v>
          </cell>
          <cell r="N1105">
            <v>219243.00733137809</v>
          </cell>
          <cell r="O1105">
            <v>0.12995773668820887</v>
          </cell>
          <cell r="P1105">
            <v>0</v>
          </cell>
          <cell r="Q1105">
            <v>1467790.1229652818</v>
          </cell>
          <cell r="R1105">
            <v>0.87004226331179113</v>
          </cell>
        </row>
        <row r="1106">
          <cell r="A1106">
            <v>0</v>
          </cell>
          <cell r="B1106">
            <v>0</v>
          </cell>
          <cell r="C1106">
            <v>0</v>
          </cell>
          <cell r="D1106">
            <v>0</v>
          </cell>
          <cell r="E1106">
            <v>0</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row>
        <row r="1107">
          <cell r="A1107">
            <v>0</v>
          </cell>
          <cell r="B1107" t="str">
            <v>SUB PRESUPUESTO 004 INSTALACIONES SANITARIAS</v>
          </cell>
          <cell r="C1107">
            <v>0</v>
          </cell>
          <cell r="D1107">
            <v>0</v>
          </cell>
          <cell r="E1107">
            <v>0</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row>
        <row r="1108">
          <cell r="A1108" t="str">
            <v>15</v>
          </cell>
          <cell r="B1108" t="str">
            <v>BLOQUE - 1</v>
          </cell>
          <cell r="C1108">
            <v>0</v>
          </cell>
          <cell r="D1108">
            <v>0</v>
          </cell>
          <cell r="E1108">
            <v>0</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row>
        <row r="1109">
          <cell r="A1109" t="str">
            <v>15.01</v>
          </cell>
          <cell r="B1109" t="str">
            <v>APARATOS SANITARIOS Y ACCESORIOS</v>
          </cell>
          <cell r="C1109">
            <v>0</v>
          </cell>
          <cell r="D1109">
            <v>0</v>
          </cell>
          <cell r="E1109">
            <v>0</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row>
        <row r="1110">
          <cell r="A1110" t="str">
            <v>15.01.01</v>
          </cell>
          <cell r="B1110" t="str">
            <v>SUMINISTRO DE APARATO SANITARIOS</v>
          </cell>
          <cell r="C1110">
            <v>0</v>
          </cell>
          <cell r="D1110">
            <v>0</v>
          </cell>
          <cell r="E1110">
            <v>0</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row>
        <row r="1111">
          <cell r="A1111" t="str">
            <v>15.01.01.01</v>
          </cell>
          <cell r="B1111" t="str">
            <v>INODORO BABY FRESH COLOR BLANCO</v>
          </cell>
          <cell r="C1111" t="str">
            <v>und</v>
          </cell>
          <cell r="D1111">
            <v>8</v>
          </cell>
          <cell r="E1111">
            <v>280</v>
          </cell>
          <cell r="F1111">
            <v>2240</v>
          </cell>
          <cell r="G1111">
            <v>0</v>
          </cell>
          <cell r="H1111">
            <v>0</v>
          </cell>
          <cell r="I1111" t="str">
            <v>0.00%</v>
          </cell>
          <cell r="J1111">
            <v>0</v>
          </cell>
          <cell r="K1111">
            <v>0</v>
          </cell>
          <cell r="L1111" t="str">
            <v>0.00%</v>
          </cell>
          <cell r="M1111">
            <v>0</v>
          </cell>
          <cell r="N1111">
            <v>0</v>
          </cell>
          <cell r="O1111" t="str">
            <v>0.00%</v>
          </cell>
          <cell r="P1111">
            <v>8</v>
          </cell>
          <cell r="Q1111">
            <v>2240</v>
          </cell>
          <cell r="R1111">
            <v>1</v>
          </cell>
        </row>
        <row r="1112">
          <cell r="A1112" t="str">
            <v>15.01.01.02</v>
          </cell>
          <cell r="B1112" t="str">
            <v xml:space="preserve">URINARIO BAMBI DE LOSA BLANCO </v>
          </cell>
          <cell r="C1112" t="str">
            <v>und</v>
          </cell>
          <cell r="D1112">
            <v>4</v>
          </cell>
          <cell r="E1112">
            <v>150</v>
          </cell>
          <cell r="F1112">
            <v>600</v>
          </cell>
          <cell r="G1112">
            <v>0</v>
          </cell>
          <cell r="H1112">
            <v>0</v>
          </cell>
          <cell r="I1112" t="str">
            <v>0.00%</v>
          </cell>
          <cell r="J1112">
            <v>0</v>
          </cell>
          <cell r="K1112">
            <v>0</v>
          </cell>
          <cell r="L1112" t="str">
            <v>0.00%</v>
          </cell>
          <cell r="M1112">
            <v>0</v>
          </cell>
          <cell r="N1112">
            <v>0</v>
          </cell>
          <cell r="O1112" t="str">
            <v>0.00%</v>
          </cell>
          <cell r="P1112">
            <v>4</v>
          </cell>
          <cell r="Q1112">
            <v>600</v>
          </cell>
          <cell r="R1112">
            <v>1</v>
          </cell>
        </row>
        <row r="1113">
          <cell r="A1113" t="str">
            <v>15.01.01.03</v>
          </cell>
          <cell r="B1113" t="str">
            <v>LAVATORIO OVALIN TIPO SONNET BLANCO</v>
          </cell>
          <cell r="C1113" t="str">
            <v>und</v>
          </cell>
          <cell r="D1113">
            <v>8</v>
          </cell>
          <cell r="E1113">
            <v>190</v>
          </cell>
          <cell r="F1113">
            <v>1520</v>
          </cell>
          <cell r="G1113">
            <v>0</v>
          </cell>
          <cell r="H1113">
            <v>0</v>
          </cell>
          <cell r="I1113" t="str">
            <v>0.00%</v>
          </cell>
          <cell r="J1113">
            <v>0</v>
          </cell>
          <cell r="K1113">
            <v>0</v>
          </cell>
          <cell r="L1113" t="str">
            <v>0.00%</v>
          </cell>
          <cell r="M1113">
            <v>0</v>
          </cell>
          <cell r="N1113">
            <v>0</v>
          </cell>
          <cell r="O1113" t="str">
            <v>0.00%</v>
          </cell>
          <cell r="P1113">
            <v>8</v>
          </cell>
          <cell r="Q1113">
            <v>1520</v>
          </cell>
          <cell r="R1113">
            <v>1</v>
          </cell>
        </row>
        <row r="1114">
          <cell r="A1114" t="str">
            <v>15.01.02</v>
          </cell>
          <cell r="B1114" t="str">
            <v>SUMINISTRO DE ACCESORIOS</v>
          </cell>
          <cell r="C1114">
            <v>0</v>
          </cell>
          <cell r="D1114">
            <v>0</v>
          </cell>
          <cell r="E1114">
            <v>0</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row>
        <row r="1115">
          <cell r="A1115" t="str">
            <v>15.01.02.01</v>
          </cell>
          <cell r="B1115" t="str">
            <v>PAPELERA DE LOSA COLOR BLANCO</v>
          </cell>
          <cell r="C1115" t="str">
            <v>und</v>
          </cell>
          <cell r="D1115">
            <v>8</v>
          </cell>
          <cell r="E1115">
            <v>35</v>
          </cell>
          <cell r="F1115">
            <v>280</v>
          </cell>
          <cell r="G1115">
            <v>0</v>
          </cell>
          <cell r="H1115">
            <v>0</v>
          </cell>
          <cell r="I1115" t="str">
            <v>0.00%</v>
          </cell>
          <cell r="J1115">
            <v>0</v>
          </cell>
          <cell r="K1115">
            <v>0</v>
          </cell>
          <cell r="L1115" t="str">
            <v>0.00%</v>
          </cell>
          <cell r="M1115">
            <v>0</v>
          </cell>
          <cell r="N1115">
            <v>0</v>
          </cell>
          <cell r="O1115" t="str">
            <v>0.00%</v>
          </cell>
          <cell r="P1115">
            <v>8</v>
          </cell>
          <cell r="Q1115">
            <v>280</v>
          </cell>
          <cell r="R1115">
            <v>1</v>
          </cell>
        </row>
        <row r="1116">
          <cell r="A1116" t="str">
            <v>15.01.02.02</v>
          </cell>
          <cell r="B1116" t="str">
            <v>JABONERA DE LOSA COLOR BLANCO</v>
          </cell>
          <cell r="C1116" t="str">
            <v>und</v>
          </cell>
          <cell r="D1116">
            <v>8</v>
          </cell>
          <cell r="E1116">
            <v>20</v>
          </cell>
          <cell r="F1116">
            <v>160</v>
          </cell>
          <cell r="G1116">
            <v>0</v>
          </cell>
          <cell r="H1116">
            <v>0</v>
          </cell>
          <cell r="I1116" t="str">
            <v>0.00%</v>
          </cell>
          <cell r="J1116">
            <v>0</v>
          </cell>
          <cell r="K1116">
            <v>0</v>
          </cell>
          <cell r="L1116" t="str">
            <v>0.00%</v>
          </cell>
          <cell r="M1116">
            <v>0</v>
          </cell>
          <cell r="N1116">
            <v>0</v>
          </cell>
          <cell r="O1116" t="str">
            <v>0.00%</v>
          </cell>
          <cell r="P1116">
            <v>8</v>
          </cell>
          <cell r="Q1116">
            <v>160</v>
          </cell>
          <cell r="R1116">
            <v>1</v>
          </cell>
        </row>
        <row r="1117">
          <cell r="A1117" t="str">
            <v>15.01.02.03</v>
          </cell>
          <cell r="B1117" t="str">
            <v>ESPEJO DE 4MM DE 1.20 x 0.50M.</v>
          </cell>
          <cell r="C1117" t="str">
            <v>und</v>
          </cell>
          <cell r="D1117">
            <v>4</v>
          </cell>
          <cell r="E1117">
            <v>35</v>
          </cell>
          <cell r="F1117">
            <v>140</v>
          </cell>
          <cell r="G1117">
            <v>0</v>
          </cell>
          <cell r="H1117">
            <v>0</v>
          </cell>
          <cell r="I1117" t="str">
            <v>0.00%</v>
          </cell>
          <cell r="J1117">
            <v>0</v>
          </cell>
          <cell r="K1117">
            <v>0</v>
          </cell>
          <cell r="L1117" t="str">
            <v>0.00%</v>
          </cell>
          <cell r="M1117">
            <v>0</v>
          </cell>
          <cell r="N1117">
            <v>0</v>
          </cell>
          <cell r="O1117" t="str">
            <v>0.00%</v>
          </cell>
          <cell r="P1117">
            <v>4</v>
          </cell>
          <cell r="Q1117">
            <v>140</v>
          </cell>
          <cell r="R1117">
            <v>1</v>
          </cell>
        </row>
        <row r="1118">
          <cell r="A1118" t="str">
            <v>15.01.03</v>
          </cell>
          <cell r="B1118" t="str">
            <v xml:space="preserve">INSTALACION DE APARATOS SANITARIOS  </v>
          </cell>
          <cell r="C1118">
            <v>0</v>
          </cell>
          <cell r="D1118">
            <v>0</v>
          </cell>
          <cell r="E1118">
            <v>0</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row>
        <row r="1119">
          <cell r="A1119" t="str">
            <v>15.01.03.01</v>
          </cell>
          <cell r="B1119" t="str">
            <v xml:space="preserve">COLOCACION DE APARATOS SANITARIOS </v>
          </cell>
          <cell r="C1119" t="str">
            <v>und</v>
          </cell>
          <cell r="D1119">
            <v>20</v>
          </cell>
          <cell r="E1119">
            <v>52.08</v>
          </cell>
          <cell r="F1119">
            <v>1041.5999999999999</v>
          </cell>
          <cell r="G1119">
            <v>0</v>
          </cell>
          <cell r="H1119">
            <v>0</v>
          </cell>
          <cell r="I1119" t="str">
            <v>0.00%</v>
          </cell>
          <cell r="J1119">
            <v>0</v>
          </cell>
          <cell r="K1119">
            <v>0</v>
          </cell>
          <cell r="L1119" t="str">
            <v>0.00%</v>
          </cell>
          <cell r="M1119">
            <v>0</v>
          </cell>
          <cell r="N1119">
            <v>0</v>
          </cell>
          <cell r="O1119" t="str">
            <v>0.00%</v>
          </cell>
          <cell r="P1119">
            <v>20</v>
          </cell>
          <cell r="Q1119">
            <v>1041.5999999999999</v>
          </cell>
          <cell r="R1119">
            <v>1</v>
          </cell>
        </row>
        <row r="1120">
          <cell r="A1120" t="str">
            <v>15.01.04</v>
          </cell>
          <cell r="B1120" t="str">
            <v>INSTALACION DE ACCESORIOS</v>
          </cell>
          <cell r="C1120">
            <v>0</v>
          </cell>
          <cell r="D1120">
            <v>0</v>
          </cell>
          <cell r="E1120">
            <v>0</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row>
        <row r="1121">
          <cell r="A1121" t="str">
            <v>15.01.04.01</v>
          </cell>
          <cell r="B1121" t="str">
            <v>COLOCACION DE ACCESORIOS SANITARIOS</v>
          </cell>
          <cell r="C1121" t="str">
            <v>und</v>
          </cell>
          <cell r="D1121">
            <v>20</v>
          </cell>
          <cell r="E1121">
            <v>26.04</v>
          </cell>
          <cell r="F1121">
            <v>520.79999999999995</v>
          </cell>
          <cell r="G1121">
            <v>0</v>
          </cell>
          <cell r="H1121">
            <v>0</v>
          </cell>
          <cell r="I1121" t="str">
            <v>0.00%</v>
          </cell>
          <cell r="J1121">
            <v>0</v>
          </cell>
          <cell r="K1121">
            <v>0</v>
          </cell>
          <cell r="L1121" t="str">
            <v>0.00%</v>
          </cell>
          <cell r="M1121">
            <v>0</v>
          </cell>
          <cell r="N1121">
            <v>0</v>
          </cell>
          <cell r="O1121" t="str">
            <v>0.00%</v>
          </cell>
          <cell r="P1121">
            <v>20</v>
          </cell>
          <cell r="Q1121">
            <v>520.79999999999995</v>
          </cell>
          <cell r="R1121">
            <v>1</v>
          </cell>
        </row>
        <row r="1122">
          <cell r="A1122" t="str">
            <v>15.02</v>
          </cell>
          <cell r="B1122" t="str">
            <v>SISTEMA DE AGUA FRIA Y ALIMENTADORES</v>
          </cell>
          <cell r="C1122">
            <v>0</v>
          </cell>
          <cell r="D1122">
            <v>0</v>
          </cell>
          <cell r="E1122">
            <v>0</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row>
        <row r="1123">
          <cell r="A1123" t="str">
            <v>15.02.01</v>
          </cell>
          <cell r="B1123" t="str">
            <v>SALIDA DE AGUA FRIA</v>
          </cell>
          <cell r="C1123">
            <v>0</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row>
        <row r="1124">
          <cell r="A1124" t="str">
            <v>15.02.01.01</v>
          </cell>
          <cell r="B1124" t="str">
            <v>SALIDA DE AGUA FRIA CON TUBERIA DE PVC-SAP 1/2"</v>
          </cell>
          <cell r="C1124" t="str">
            <v>pto</v>
          </cell>
          <cell r="D1124">
            <v>10</v>
          </cell>
          <cell r="E1124">
            <v>41.53</v>
          </cell>
          <cell r="F1124">
            <v>415.3</v>
          </cell>
          <cell r="G1124">
            <v>0</v>
          </cell>
          <cell r="H1124">
            <v>0</v>
          </cell>
          <cell r="I1124" t="str">
            <v>0.00%</v>
          </cell>
          <cell r="J1124">
            <v>5</v>
          </cell>
          <cell r="K1124">
            <v>207.65</v>
          </cell>
          <cell r="L1124">
            <v>0.5</v>
          </cell>
          <cell r="M1124">
            <v>5</v>
          </cell>
          <cell r="N1124">
            <v>207.65</v>
          </cell>
          <cell r="O1124">
            <v>0.5</v>
          </cell>
          <cell r="P1124">
            <v>5</v>
          </cell>
          <cell r="Q1124">
            <v>207.65</v>
          </cell>
          <cell r="R1124">
            <v>0.5</v>
          </cell>
        </row>
        <row r="1125">
          <cell r="A1125" t="str">
            <v>15.02.02</v>
          </cell>
          <cell r="B1125" t="str">
            <v>REDES DE DISTRIBUCION DE AGUA FRIA</v>
          </cell>
          <cell r="C1125">
            <v>0</v>
          </cell>
          <cell r="D1125">
            <v>0</v>
          </cell>
          <cell r="E1125">
            <v>0</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row>
        <row r="1126">
          <cell r="A1126" t="str">
            <v>15.02.02.01</v>
          </cell>
          <cell r="B1126" t="str">
            <v>RED DE DISTRIBUCION TUBERIA PVC SAP C-10 Ø DE 1/2"</v>
          </cell>
          <cell r="C1126" t="str">
            <v>m</v>
          </cell>
          <cell r="D1126">
            <v>35.46</v>
          </cell>
          <cell r="E1126">
            <v>20.36</v>
          </cell>
          <cell r="F1126">
            <v>721.96559999999999</v>
          </cell>
          <cell r="G1126">
            <v>0</v>
          </cell>
          <cell r="H1126">
            <v>0</v>
          </cell>
          <cell r="I1126" t="str">
            <v>0.00%</v>
          </cell>
          <cell r="J1126">
            <v>0</v>
          </cell>
          <cell r="K1126">
            <v>0</v>
          </cell>
          <cell r="L1126" t="str">
            <v>0.00%</v>
          </cell>
          <cell r="M1126">
            <v>0</v>
          </cell>
          <cell r="N1126">
            <v>0</v>
          </cell>
          <cell r="O1126" t="str">
            <v>0.00%</v>
          </cell>
          <cell r="P1126">
            <v>35.46</v>
          </cell>
          <cell r="Q1126">
            <v>721.96559999999999</v>
          </cell>
          <cell r="R1126">
            <v>1</v>
          </cell>
        </row>
        <row r="1127">
          <cell r="A1127" t="str">
            <v>15.02.02.02</v>
          </cell>
          <cell r="B1127" t="str">
            <v>RED DE DISTRIBUCION TUBERIA PVC SAP C-10 Ø DE 3/4"</v>
          </cell>
          <cell r="C1127" t="str">
            <v>m</v>
          </cell>
          <cell r="D1127">
            <v>11.34</v>
          </cell>
          <cell r="E1127">
            <v>31.76</v>
          </cell>
          <cell r="F1127">
            <v>360.15840000000003</v>
          </cell>
          <cell r="G1127">
            <v>0</v>
          </cell>
          <cell r="H1127">
            <v>0</v>
          </cell>
          <cell r="I1127" t="str">
            <v>0.00%</v>
          </cell>
          <cell r="J1127">
            <v>0</v>
          </cell>
          <cell r="K1127">
            <v>0</v>
          </cell>
          <cell r="L1127" t="str">
            <v>0.00%</v>
          </cell>
          <cell r="M1127">
            <v>0</v>
          </cell>
          <cell r="N1127">
            <v>0</v>
          </cell>
          <cell r="O1127" t="str">
            <v>0.00%</v>
          </cell>
          <cell r="P1127">
            <v>11.34</v>
          </cell>
          <cell r="Q1127">
            <v>360.15840000000003</v>
          </cell>
          <cell r="R1127">
            <v>1</v>
          </cell>
        </row>
        <row r="1128">
          <cell r="A1128" t="str">
            <v>15.02.02.03</v>
          </cell>
          <cell r="B1128" t="str">
            <v>RED DE DISTRIBUCION TUBERIA PVC SAP C-10 Ø DE 1"</v>
          </cell>
          <cell r="C1128" t="str">
            <v>m</v>
          </cell>
          <cell r="D1128">
            <v>3.55</v>
          </cell>
          <cell r="E1128">
            <v>34.159999999999997</v>
          </cell>
          <cell r="F1128">
            <v>121.26799999999999</v>
          </cell>
          <cell r="G1128">
            <v>0</v>
          </cell>
          <cell r="H1128">
            <v>0</v>
          </cell>
          <cell r="I1128" t="str">
            <v>0.00%</v>
          </cell>
          <cell r="J1128">
            <v>3.55</v>
          </cell>
          <cell r="K1128">
            <v>121.26799999999999</v>
          </cell>
          <cell r="L1128">
            <v>1</v>
          </cell>
          <cell r="M1128">
            <v>3.55</v>
          </cell>
          <cell r="N1128">
            <v>121.26799999999999</v>
          </cell>
          <cell r="O1128">
            <v>1</v>
          </cell>
          <cell r="P1128">
            <v>0</v>
          </cell>
          <cell r="Q1128">
            <v>0</v>
          </cell>
          <cell r="R1128" t="str">
            <v>0.00%</v>
          </cell>
        </row>
        <row r="1129">
          <cell r="A1129" t="str">
            <v>15.02.03</v>
          </cell>
          <cell r="B1129" t="str">
            <v>VALVULA Y ACCESORIOS DE AGUA FRIA</v>
          </cell>
          <cell r="C1129">
            <v>0</v>
          </cell>
          <cell r="D1129">
            <v>0</v>
          </cell>
          <cell r="E1129">
            <v>0</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row>
        <row r="1130">
          <cell r="A1130" t="str">
            <v>15.02.03.01</v>
          </cell>
          <cell r="B1130" t="str">
            <v>VALVULA COMPUERTA DE BRONCE  Ø 1/2"</v>
          </cell>
          <cell r="C1130" t="str">
            <v>und</v>
          </cell>
          <cell r="D1130">
            <v>4</v>
          </cell>
          <cell r="E1130">
            <v>147.4</v>
          </cell>
          <cell r="F1130">
            <v>589.6</v>
          </cell>
          <cell r="G1130">
            <v>0</v>
          </cell>
          <cell r="H1130">
            <v>0</v>
          </cell>
          <cell r="I1130" t="str">
            <v>0.00%</v>
          </cell>
          <cell r="J1130">
            <v>2</v>
          </cell>
          <cell r="K1130">
            <v>294.8</v>
          </cell>
          <cell r="L1130">
            <v>0.5</v>
          </cell>
          <cell r="M1130">
            <v>2</v>
          </cell>
          <cell r="N1130">
            <v>294.8</v>
          </cell>
          <cell r="O1130">
            <v>0.5</v>
          </cell>
          <cell r="P1130">
            <v>2</v>
          </cell>
          <cell r="Q1130">
            <v>294.8</v>
          </cell>
          <cell r="R1130">
            <v>0.5</v>
          </cell>
        </row>
        <row r="1131">
          <cell r="A1131" t="str">
            <v>15.02.03.02</v>
          </cell>
          <cell r="B1131" t="str">
            <v>VALVULA COMPUERTA DE BRONCE  Ø 3/4"</v>
          </cell>
          <cell r="C1131" t="str">
            <v>und</v>
          </cell>
          <cell r="D1131">
            <v>4</v>
          </cell>
          <cell r="E1131">
            <v>188.9</v>
          </cell>
          <cell r="F1131">
            <v>755.6</v>
          </cell>
          <cell r="G1131">
            <v>0</v>
          </cell>
          <cell r="H1131">
            <v>0</v>
          </cell>
          <cell r="I1131" t="str">
            <v>0.00%</v>
          </cell>
          <cell r="J1131">
            <v>2</v>
          </cell>
          <cell r="K1131">
            <v>377.8</v>
          </cell>
          <cell r="L1131">
            <v>0.5</v>
          </cell>
          <cell r="M1131">
            <v>2</v>
          </cell>
          <cell r="N1131">
            <v>377.8</v>
          </cell>
          <cell r="O1131">
            <v>0.5</v>
          </cell>
          <cell r="P1131">
            <v>2</v>
          </cell>
          <cell r="Q1131">
            <v>377.8</v>
          </cell>
          <cell r="R1131">
            <v>0.5</v>
          </cell>
        </row>
        <row r="1132">
          <cell r="A1132" t="str">
            <v>15.02.04</v>
          </cell>
          <cell r="B1132" t="str">
            <v>PRUEBAS HIDRAULICA</v>
          </cell>
          <cell r="C1132">
            <v>0</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row>
        <row r="1133">
          <cell r="A1133" t="str">
            <v>15.02.04.01</v>
          </cell>
          <cell r="B1133" t="str">
            <v>PRUEBA HIDRAULICA TUBERIA DE AGUA FRIA</v>
          </cell>
          <cell r="C1133" t="str">
            <v>GLB</v>
          </cell>
          <cell r="D1133">
            <v>1</v>
          </cell>
          <cell r="E1133">
            <v>450</v>
          </cell>
          <cell r="F1133">
            <v>450</v>
          </cell>
          <cell r="G1133">
            <v>0</v>
          </cell>
          <cell r="H1133">
            <v>0</v>
          </cell>
          <cell r="I1133" t="str">
            <v>0.00%</v>
          </cell>
          <cell r="J1133">
            <v>0</v>
          </cell>
          <cell r="K1133">
            <v>0</v>
          </cell>
          <cell r="L1133" t="str">
            <v>0.00%</v>
          </cell>
          <cell r="M1133">
            <v>0</v>
          </cell>
          <cell r="N1133">
            <v>0</v>
          </cell>
          <cell r="O1133" t="str">
            <v>0.00%</v>
          </cell>
          <cell r="P1133">
            <v>1</v>
          </cell>
          <cell r="Q1133">
            <v>450</v>
          </cell>
          <cell r="R1133">
            <v>1</v>
          </cell>
        </row>
        <row r="1134">
          <cell r="A1134" t="str">
            <v>15.03</v>
          </cell>
          <cell r="B1134" t="str">
            <v xml:space="preserve">SISTEMA DE DESAGUE Y VENTILACION </v>
          </cell>
          <cell r="C1134">
            <v>0</v>
          </cell>
          <cell r="D1134">
            <v>0</v>
          </cell>
          <cell r="E1134">
            <v>0</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row>
        <row r="1135">
          <cell r="A1135" t="str">
            <v>15.03.01</v>
          </cell>
          <cell r="B1135" t="str">
            <v>SALIDA DE DESAGUE Y VENTILACION</v>
          </cell>
          <cell r="C1135">
            <v>0</v>
          </cell>
          <cell r="D1135">
            <v>0</v>
          </cell>
          <cell r="E1135">
            <v>0</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row>
        <row r="1136">
          <cell r="A1136" t="str">
            <v>15.03.01.01</v>
          </cell>
          <cell r="B1136" t="str">
            <v>SALIDAS DE PVC SAL PARA DESAGUE DE 2"</v>
          </cell>
          <cell r="C1136" t="str">
            <v>pto</v>
          </cell>
          <cell r="D1136">
            <v>20</v>
          </cell>
          <cell r="E1136">
            <v>92.04</v>
          </cell>
          <cell r="F1136">
            <v>1840.8000000000002</v>
          </cell>
          <cell r="G1136">
            <v>20</v>
          </cell>
          <cell r="H1136">
            <v>1840.8000000000002</v>
          </cell>
          <cell r="I1136">
            <v>1</v>
          </cell>
          <cell r="J1136">
            <v>0</v>
          </cell>
          <cell r="K1136">
            <v>0</v>
          </cell>
          <cell r="L1136" t="str">
            <v>0.00%</v>
          </cell>
          <cell r="M1136">
            <v>20</v>
          </cell>
          <cell r="N1136">
            <v>1840.8000000000002</v>
          </cell>
          <cell r="O1136">
            <v>1</v>
          </cell>
          <cell r="P1136">
            <v>0</v>
          </cell>
          <cell r="Q1136">
            <v>0</v>
          </cell>
          <cell r="R1136" t="str">
            <v>0.00%</v>
          </cell>
        </row>
        <row r="1137">
          <cell r="A1137" t="str">
            <v>15.03.01.02</v>
          </cell>
          <cell r="B1137" t="str">
            <v>SALIDAS DE PVC SAL PARA DESAGUE DE 4"</v>
          </cell>
          <cell r="C1137" t="str">
            <v>pto</v>
          </cell>
          <cell r="D1137">
            <v>8</v>
          </cell>
          <cell r="E1137">
            <v>56.34</v>
          </cell>
          <cell r="F1137">
            <v>450.72</v>
          </cell>
          <cell r="G1137">
            <v>8</v>
          </cell>
          <cell r="H1137">
            <v>450.72</v>
          </cell>
          <cell r="I1137">
            <v>1</v>
          </cell>
          <cell r="J1137">
            <v>0</v>
          </cell>
          <cell r="K1137">
            <v>0</v>
          </cell>
          <cell r="L1137" t="str">
            <v>0.00%</v>
          </cell>
          <cell r="M1137">
            <v>8</v>
          </cell>
          <cell r="N1137">
            <v>450.72</v>
          </cell>
          <cell r="O1137">
            <v>1</v>
          </cell>
          <cell r="P1137">
            <v>0</v>
          </cell>
          <cell r="Q1137">
            <v>0</v>
          </cell>
          <cell r="R1137" t="str">
            <v>0.00%</v>
          </cell>
        </row>
        <row r="1138">
          <cell r="A1138" t="str">
            <v>15.03.01.03</v>
          </cell>
          <cell r="B1138" t="str">
            <v>SALIDAS DE PVC SAL PARA VENTILACION DE 2"</v>
          </cell>
          <cell r="C1138" t="str">
            <v>pto</v>
          </cell>
          <cell r="D1138">
            <v>16</v>
          </cell>
          <cell r="E1138">
            <v>85.76</v>
          </cell>
          <cell r="F1138">
            <v>1372.16</v>
          </cell>
          <cell r="G1138">
            <v>16</v>
          </cell>
          <cell r="H1138">
            <v>1372.16</v>
          </cell>
          <cell r="I1138">
            <v>1</v>
          </cell>
          <cell r="J1138">
            <v>0</v>
          </cell>
          <cell r="K1138">
            <v>0</v>
          </cell>
          <cell r="L1138" t="str">
            <v>0.00%</v>
          </cell>
          <cell r="M1138">
            <v>16</v>
          </cell>
          <cell r="N1138">
            <v>1372.16</v>
          </cell>
          <cell r="O1138">
            <v>1</v>
          </cell>
          <cell r="P1138">
            <v>0</v>
          </cell>
          <cell r="Q1138">
            <v>0</v>
          </cell>
          <cell r="R1138" t="str">
            <v>0.00%</v>
          </cell>
        </row>
        <row r="1139">
          <cell r="A1139" t="str">
            <v>15.03.01.04</v>
          </cell>
          <cell r="B1139" t="str">
            <v>SOMBRERO VENTILACION PVC DE 2"</v>
          </cell>
          <cell r="C1139" t="str">
            <v>pza</v>
          </cell>
          <cell r="D1139">
            <v>1</v>
          </cell>
          <cell r="E1139">
            <v>11.19</v>
          </cell>
          <cell r="F1139">
            <v>11.19</v>
          </cell>
          <cell r="G1139">
            <v>0</v>
          </cell>
          <cell r="H1139">
            <v>0</v>
          </cell>
          <cell r="I1139" t="str">
            <v>0.00%</v>
          </cell>
          <cell r="J1139">
            <v>0</v>
          </cell>
          <cell r="K1139">
            <v>0</v>
          </cell>
          <cell r="L1139" t="str">
            <v>0.00%</v>
          </cell>
          <cell r="M1139">
            <v>0</v>
          </cell>
          <cell r="N1139">
            <v>0</v>
          </cell>
          <cell r="O1139" t="str">
            <v>0.00%</v>
          </cell>
          <cell r="P1139">
            <v>1</v>
          </cell>
          <cell r="Q1139">
            <v>11.19</v>
          </cell>
          <cell r="R1139">
            <v>1</v>
          </cell>
        </row>
        <row r="1140">
          <cell r="A1140" t="str">
            <v>15.03.02</v>
          </cell>
          <cell r="B1140" t="str">
            <v>REDES DE DERIVACION</v>
          </cell>
          <cell r="C1140">
            <v>0</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row>
        <row r="1141">
          <cell r="A1141" t="str">
            <v>15.03.02.01</v>
          </cell>
          <cell r="B1141" t="str">
            <v>RED DE DESAGUE TUBERIA PVC DE 2"</v>
          </cell>
          <cell r="C1141" t="str">
            <v>m</v>
          </cell>
          <cell r="D1141">
            <v>17.48</v>
          </cell>
          <cell r="E1141">
            <v>15.56</v>
          </cell>
          <cell r="F1141">
            <v>271.98880000000003</v>
          </cell>
          <cell r="G1141">
            <v>0</v>
          </cell>
          <cell r="H1141">
            <v>0</v>
          </cell>
          <cell r="I1141" t="str">
            <v>0.00%</v>
          </cell>
          <cell r="J1141">
            <v>8.74</v>
          </cell>
          <cell r="K1141">
            <v>135.99440000000001</v>
          </cell>
          <cell r="L1141">
            <v>0.5</v>
          </cell>
          <cell r="M1141">
            <v>8.74</v>
          </cell>
          <cell r="N1141">
            <v>135.99440000000001</v>
          </cell>
          <cell r="O1141">
            <v>0.5</v>
          </cell>
          <cell r="P1141">
            <v>8.74</v>
          </cell>
          <cell r="Q1141">
            <v>135.99440000000001</v>
          </cell>
          <cell r="R1141">
            <v>0.5</v>
          </cell>
        </row>
        <row r="1142">
          <cell r="A1142" t="str">
            <v>15.03.02.02</v>
          </cell>
          <cell r="B1142" t="str">
            <v>RED DE DESAGUE TUBERIA PVC DE 4"</v>
          </cell>
          <cell r="C1142" t="str">
            <v>m</v>
          </cell>
          <cell r="D1142">
            <v>39.46</v>
          </cell>
          <cell r="E1142">
            <v>20.329999999999998</v>
          </cell>
          <cell r="F1142">
            <v>802.22179999999992</v>
          </cell>
          <cell r="G1142">
            <v>0</v>
          </cell>
          <cell r="H1142">
            <v>0</v>
          </cell>
          <cell r="I1142" t="str">
            <v>0.00%</v>
          </cell>
          <cell r="J1142">
            <v>20.759999999999998</v>
          </cell>
          <cell r="K1142">
            <v>422.05079999999992</v>
          </cell>
          <cell r="L1142">
            <v>0.52610238215914851</v>
          </cell>
          <cell r="M1142">
            <v>20.759999999999998</v>
          </cell>
          <cell r="N1142">
            <v>422.05079999999992</v>
          </cell>
          <cell r="O1142">
            <v>0.52610238215914851</v>
          </cell>
          <cell r="P1142">
            <v>18.700000000000003</v>
          </cell>
          <cell r="Q1142">
            <v>380.17099999999999</v>
          </cell>
          <cell r="R1142">
            <v>0.47389761784085155</v>
          </cell>
        </row>
        <row r="1143">
          <cell r="A1143" t="str">
            <v>15.03.03</v>
          </cell>
          <cell r="B1143" t="str">
            <v>REGISTRO Y SUMIDEROS</v>
          </cell>
          <cell r="C1143">
            <v>0</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row>
        <row r="1144">
          <cell r="A1144" t="str">
            <v>15.03.03.01</v>
          </cell>
          <cell r="B1144" t="str">
            <v>REGISTROS DE BRONCE DE 2"</v>
          </cell>
          <cell r="C1144" t="str">
            <v>pza</v>
          </cell>
          <cell r="D1144">
            <v>4</v>
          </cell>
          <cell r="E1144">
            <v>58.08</v>
          </cell>
          <cell r="F1144">
            <v>232.32</v>
          </cell>
          <cell r="G1144">
            <v>0</v>
          </cell>
          <cell r="H1144">
            <v>0</v>
          </cell>
          <cell r="I1144" t="str">
            <v>0.00%</v>
          </cell>
          <cell r="J1144">
            <v>0</v>
          </cell>
          <cell r="K1144">
            <v>0</v>
          </cell>
          <cell r="L1144" t="str">
            <v>0.00%</v>
          </cell>
          <cell r="M1144">
            <v>0</v>
          </cell>
          <cell r="N1144">
            <v>0</v>
          </cell>
          <cell r="O1144" t="str">
            <v>0.00%</v>
          </cell>
          <cell r="P1144">
            <v>4</v>
          </cell>
          <cell r="Q1144">
            <v>232.32</v>
          </cell>
          <cell r="R1144">
            <v>1</v>
          </cell>
        </row>
        <row r="1145">
          <cell r="A1145" t="str">
            <v>15.03.03.02</v>
          </cell>
          <cell r="B1145" t="str">
            <v>REGISTROS DE BRONCE DE 4"</v>
          </cell>
          <cell r="C1145" t="str">
            <v>pza</v>
          </cell>
          <cell r="D1145">
            <v>16</v>
          </cell>
          <cell r="E1145">
            <v>34.130000000000003</v>
          </cell>
          <cell r="F1145">
            <v>546.08000000000004</v>
          </cell>
          <cell r="G1145">
            <v>0</v>
          </cell>
          <cell r="H1145">
            <v>0</v>
          </cell>
          <cell r="I1145" t="str">
            <v>0.00%</v>
          </cell>
          <cell r="J1145">
            <v>0</v>
          </cell>
          <cell r="K1145">
            <v>0</v>
          </cell>
          <cell r="L1145" t="str">
            <v>0.00%</v>
          </cell>
          <cell r="M1145">
            <v>0</v>
          </cell>
          <cell r="N1145">
            <v>0</v>
          </cell>
          <cell r="O1145" t="str">
            <v>0.00%</v>
          </cell>
          <cell r="P1145">
            <v>16</v>
          </cell>
          <cell r="Q1145">
            <v>546.08000000000004</v>
          </cell>
          <cell r="R1145">
            <v>1</v>
          </cell>
        </row>
        <row r="1146">
          <cell r="A1146" t="str">
            <v>15.03.03.03</v>
          </cell>
          <cell r="B1146" t="str">
            <v>SUMIDEROS DE 2"</v>
          </cell>
          <cell r="C1146" t="str">
            <v>pza</v>
          </cell>
          <cell r="D1146">
            <v>4</v>
          </cell>
          <cell r="E1146">
            <v>68.38</v>
          </cell>
          <cell r="F1146">
            <v>273.52</v>
          </cell>
          <cell r="G1146">
            <v>0</v>
          </cell>
          <cell r="H1146">
            <v>0</v>
          </cell>
          <cell r="I1146" t="str">
            <v>0.00%</v>
          </cell>
          <cell r="J1146">
            <v>0</v>
          </cell>
          <cell r="K1146">
            <v>0</v>
          </cell>
          <cell r="L1146" t="str">
            <v>0.00%</v>
          </cell>
          <cell r="M1146">
            <v>0</v>
          </cell>
          <cell r="N1146">
            <v>0</v>
          </cell>
          <cell r="O1146" t="str">
            <v>0.00%</v>
          </cell>
          <cell r="P1146">
            <v>4</v>
          </cell>
          <cell r="Q1146">
            <v>273.52</v>
          </cell>
          <cell r="R1146">
            <v>1</v>
          </cell>
        </row>
        <row r="1147">
          <cell r="A1147" t="str">
            <v>15.03.04</v>
          </cell>
          <cell r="B1147" t="str">
            <v>CAJAS DE INSPECCION Y RETENCION</v>
          </cell>
          <cell r="C1147">
            <v>0</v>
          </cell>
          <cell r="D1147">
            <v>0</v>
          </cell>
          <cell r="E1147">
            <v>0</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row>
        <row r="1148">
          <cell r="A1148" t="str">
            <v>15.03.04.01</v>
          </cell>
          <cell r="B1148" t="str">
            <v>CAJA DE REGISTRO DE DESAGUE 12" X 24" - CONSTRUCION</v>
          </cell>
          <cell r="C1148" t="str">
            <v>und</v>
          </cell>
          <cell r="D1148">
            <v>1</v>
          </cell>
          <cell r="E1148">
            <v>140.52000000000001</v>
          </cell>
          <cell r="F1148">
            <v>140.52000000000001</v>
          </cell>
          <cell r="G1148">
            <v>0</v>
          </cell>
          <cell r="H1148">
            <v>0</v>
          </cell>
          <cell r="I1148" t="str">
            <v>0.00%</v>
          </cell>
          <cell r="J1148">
            <v>0</v>
          </cell>
          <cell r="K1148">
            <v>0</v>
          </cell>
          <cell r="L1148" t="str">
            <v>0.00%</v>
          </cell>
          <cell r="M1148">
            <v>0</v>
          </cell>
          <cell r="N1148">
            <v>0</v>
          </cell>
          <cell r="O1148" t="str">
            <v>0.00%</v>
          </cell>
          <cell r="P1148">
            <v>1</v>
          </cell>
          <cell r="Q1148">
            <v>140.52000000000001</v>
          </cell>
          <cell r="R1148">
            <v>1</v>
          </cell>
        </row>
        <row r="1149">
          <cell r="A1149" t="str">
            <v>15.03.05</v>
          </cell>
          <cell r="B1149" t="str">
            <v>PRUEBAS HIDRAULICA</v>
          </cell>
          <cell r="C1149">
            <v>0</v>
          </cell>
          <cell r="D1149">
            <v>0</v>
          </cell>
          <cell r="E1149">
            <v>0</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row>
        <row r="1150">
          <cell r="A1150" t="str">
            <v>15.03.05.01</v>
          </cell>
          <cell r="B1150" t="str">
            <v>PRUEBA HIDRAULICA TUBERIA DE DESAGUE</v>
          </cell>
          <cell r="C1150" t="str">
            <v>und</v>
          </cell>
          <cell r="D1150">
            <v>1</v>
          </cell>
          <cell r="E1150">
            <v>450</v>
          </cell>
          <cell r="F1150">
            <v>450</v>
          </cell>
          <cell r="G1150">
            <v>0</v>
          </cell>
          <cell r="H1150">
            <v>0</v>
          </cell>
          <cell r="I1150" t="str">
            <v>0.00%</v>
          </cell>
          <cell r="J1150">
            <v>0</v>
          </cell>
          <cell r="K1150">
            <v>0</v>
          </cell>
          <cell r="L1150" t="str">
            <v>0.00%</v>
          </cell>
          <cell r="M1150">
            <v>0</v>
          </cell>
          <cell r="N1150">
            <v>0</v>
          </cell>
          <cell r="O1150" t="str">
            <v>0.00%</v>
          </cell>
          <cell r="P1150">
            <v>1</v>
          </cell>
          <cell r="Q1150">
            <v>450</v>
          </cell>
          <cell r="R1150">
            <v>1</v>
          </cell>
        </row>
        <row r="1151">
          <cell r="A1151" t="str">
            <v>15.04</v>
          </cell>
          <cell r="B1151" t="str">
            <v>SISTEMA DE DRENAJE PLUVIAL</v>
          </cell>
          <cell r="C1151">
            <v>0</v>
          </cell>
          <cell r="D1151">
            <v>0</v>
          </cell>
          <cell r="E1151">
            <v>0</v>
          </cell>
          <cell r="F1151">
            <v>0</v>
          </cell>
          <cell r="G1151">
            <v>0</v>
          </cell>
          <cell r="H1151">
            <v>0</v>
          </cell>
          <cell r="I1151">
            <v>0</v>
          </cell>
          <cell r="J1151">
            <v>0</v>
          </cell>
          <cell r="K1151">
            <v>0</v>
          </cell>
          <cell r="L1151">
            <v>0</v>
          </cell>
          <cell r="M1151">
            <v>0</v>
          </cell>
          <cell r="N1151">
            <v>0</v>
          </cell>
          <cell r="O1151">
            <v>0</v>
          </cell>
          <cell r="P1151">
            <v>0</v>
          </cell>
          <cell r="Q1151">
            <v>0</v>
          </cell>
          <cell r="R1151">
            <v>0</v>
          </cell>
        </row>
        <row r="1152">
          <cell r="A1152" t="str">
            <v>15.04.01</v>
          </cell>
          <cell r="B1152" t="str">
            <v>SISTEMA DE BAJADA MONTANTE (PLUVIAL)</v>
          </cell>
          <cell r="C1152">
            <v>0</v>
          </cell>
          <cell r="D1152">
            <v>0</v>
          </cell>
          <cell r="E1152">
            <v>0</v>
          </cell>
          <cell r="F1152">
            <v>0</v>
          </cell>
          <cell r="G1152">
            <v>0</v>
          </cell>
          <cell r="H1152">
            <v>0</v>
          </cell>
          <cell r="I1152">
            <v>0</v>
          </cell>
          <cell r="J1152">
            <v>0</v>
          </cell>
          <cell r="K1152">
            <v>0</v>
          </cell>
          <cell r="L1152">
            <v>0</v>
          </cell>
          <cell r="M1152">
            <v>0</v>
          </cell>
          <cell r="N1152">
            <v>0</v>
          </cell>
          <cell r="O1152">
            <v>0</v>
          </cell>
          <cell r="P1152">
            <v>0</v>
          </cell>
          <cell r="Q1152">
            <v>0</v>
          </cell>
          <cell r="R1152">
            <v>0</v>
          </cell>
        </row>
        <row r="1153">
          <cell r="A1153" t="str">
            <v>15.04.01.01</v>
          </cell>
          <cell r="B1153" t="str">
            <v>CANALETA DE EVACUACION PLUVIAL</v>
          </cell>
          <cell r="C1153" t="str">
            <v>m</v>
          </cell>
          <cell r="D1153">
            <v>15.8</v>
          </cell>
          <cell r="E1153">
            <v>33.79</v>
          </cell>
          <cell r="F1153">
            <v>533.88200000000006</v>
          </cell>
          <cell r="G1153">
            <v>0</v>
          </cell>
          <cell r="H1153">
            <v>0</v>
          </cell>
          <cell r="I1153" t="str">
            <v>0.00%</v>
          </cell>
          <cell r="J1153">
            <v>15.8</v>
          </cell>
          <cell r="K1153">
            <v>533.88200000000006</v>
          </cell>
          <cell r="L1153">
            <v>1</v>
          </cell>
          <cell r="M1153">
            <v>15.8</v>
          </cell>
          <cell r="N1153">
            <v>533.88200000000006</v>
          </cell>
          <cell r="O1153">
            <v>1</v>
          </cell>
          <cell r="P1153">
            <v>0</v>
          </cell>
          <cell r="Q1153">
            <v>0</v>
          </cell>
          <cell r="R1153" t="str">
            <v>0.00%</v>
          </cell>
        </row>
        <row r="1154">
          <cell r="A1154" t="str">
            <v>15.04.01.02</v>
          </cell>
          <cell r="B1154" t="str">
            <v>ABRAZADERA DE FIJACION DE TUBO</v>
          </cell>
          <cell r="C1154" t="str">
            <v>und</v>
          </cell>
          <cell r="D1154">
            <v>30</v>
          </cell>
          <cell r="E1154">
            <v>41.02</v>
          </cell>
          <cell r="F1154">
            <v>1230.6000000000001</v>
          </cell>
          <cell r="G1154">
            <v>0</v>
          </cell>
          <cell r="H1154">
            <v>0</v>
          </cell>
          <cell r="I1154" t="str">
            <v>0.00%</v>
          </cell>
          <cell r="J1154">
            <v>0</v>
          </cell>
          <cell r="K1154">
            <v>0</v>
          </cell>
          <cell r="L1154" t="str">
            <v>0.00%</v>
          </cell>
          <cell r="M1154">
            <v>0</v>
          </cell>
          <cell r="N1154">
            <v>0</v>
          </cell>
          <cell r="O1154" t="str">
            <v>0.00%</v>
          </cell>
          <cell r="P1154">
            <v>30</v>
          </cell>
          <cell r="Q1154">
            <v>1230.6000000000001</v>
          </cell>
          <cell r="R1154">
            <v>1</v>
          </cell>
        </row>
        <row r="1155">
          <cell r="A1155" t="str">
            <v>15.04.01.03</v>
          </cell>
          <cell r="B1155" t="str">
            <v>INSTALACION DE TUB. PVC SAP C-10 Ø 4"</v>
          </cell>
          <cell r="C1155" t="str">
            <v>m</v>
          </cell>
          <cell r="D1155">
            <v>38.700000000000003</v>
          </cell>
          <cell r="E1155">
            <v>9.93</v>
          </cell>
          <cell r="F1155">
            <v>384.291</v>
          </cell>
          <cell r="G1155">
            <v>0</v>
          </cell>
          <cell r="H1155">
            <v>0</v>
          </cell>
          <cell r="I1155" t="str">
            <v>0.00%</v>
          </cell>
          <cell r="J1155">
            <v>0</v>
          </cell>
          <cell r="K1155">
            <v>0</v>
          </cell>
          <cell r="L1155" t="str">
            <v>0.00%</v>
          </cell>
          <cell r="M1155">
            <v>0</v>
          </cell>
          <cell r="N1155">
            <v>0</v>
          </cell>
          <cell r="O1155" t="str">
            <v>0.00%</v>
          </cell>
          <cell r="P1155">
            <v>38.700000000000003</v>
          </cell>
          <cell r="Q1155">
            <v>384.291</v>
          </cell>
          <cell r="R1155">
            <v>1</v>
          </cell>
        </row>
        <row r="1156">
          <cell r="A1156" t="str">
            <v>15.04.01.04</v>
          </cell>
          <cell r="B1156" t="str">
            <v>CONCRETO FC=175 KG/CM2 EN COLUMNETAS</v>
          </cell>
          <cell r="C1156" t="str">
            <v>m3</v>
          </cell>
          <cell r="D1156">
            <v>0.24</v>
          </cell>
          <cell r="E1156">
            <v>466.52</v>
          </cell>
          <cell r="F1156">
            <v>111.9648</v>
          </cell>
          <cell r="G1156">
            <v>0</v>
          </cell>
          <cell r="H1156">
            <v>0</v>
          </cell>
          <cell r="I1156" t="str">
            <v>0.00%</v>
          </cell>
          <cell r="J1156">
            <v>0</v>
          </cell>
          <cell r="K1156">
            <v>0</v>
          </cell>
          <cell r="L1156" t="str">
            <v>0.00%</v>
          </cell>
          <cell r="M1156">
            <v>0</v>
          </cell>
          <cell r="N1156">
            <v>0</v>
          </cell>
          <cell r="O1156" t="str">
            <v>0.00%</v>
          </cell>
          <cell r="P1156">
            <v>0.24</v>
          </cell>
          <cell r="Q1156">
            <v>111.9648</v>
          </cell>
          <cell r="R1156">
            <v>1</v>
          </cell>
        </row>
        <row r="1157">
          <cell r="A1157" t="str">
            <v>15.04.01.05</v>
          </cell>
          <cell r="B1157" t="str">
            <v>ACERO F'Y=4200 KG/CM2 GRADO 60 EN COLUMNETAS</v>
          </cell>
          <cell r="C1157" t="str">
            <v>kg</v>
          </cell>
          <cell r="D1157">
            <v>42.52</v>
          </cell>
          <cell r="E1157">
            <v>4.4400000000000004</v>
          </cell>
          <cell r="F1157">
            <v>188.78880000000004</v>
          </cell>
          <cell r="G1157">
            <v>0</v>
          </cell>
          <cell r="H1157">
            <v>0</v>
          </cell>
          <cell r="I1157" t="str">
            <v>0.00%</v>
          </cell>
          <cell r="J1157">
            <v>0</v>
          </cell>
          <cell r="K1157">
            <v>0</v>
          </cell>
          <cell r="L1157" t="str">
            <v>0.00%</v>
          </cell>
          <cell r="M1157">
            <v>0</v>
          </cell>
          <cell r="N1157">
            <v>0</v>
          </cell>
          <cell r="O1157" t="str">
            <v>0.00%</v>
          </cell>
          <cell r="P1157">
            <v>42.52</v>
          </cell>
          <cell r="Q1157">
            <v>188.78880000000004</v>
          </cell>
          <cell r="R1157">
            <v>1</v>
          </cell>
        </row>
        <row r="1158">
          <cell r="A1158" t="str">
            <v>15.04.01.06</v>
          </cell>
          <cell r="B1158" t="str">
            <v>ENCOFRADO Y DESENCOFRADO NORMAL  EN COLUMNETAS</v>
          </cell>
          <cell r="C1158" t="str">
            <v>m2</v>
          </cell>
          <cell r="D1158">
            <v>3.6</v>
          </cell>
          <cell r="E1158">
            <v>44.19</v>
          </cell>
          <cell r="F1158">
            <v>159.084</v>
          </cell>
          <cell r="G1158">
            <v>0</v>
          </cell>
          <cell r="H1158">
            <v>0</v>
          </cell>
          <cell r="I1158" t="str">
            <v>0.00%</v>
          </cell>
          <cell r="J1158">
            <v>0</v>
          </cell>
          <cell r="K1158">
            <v>0</v>
          </cell>
          <cell r="L1158" t="str">
            <v>0.00%</v>
          </cell>
          <cell r="M1158">
            <v>0</v>
          </cell>
          <cell r="N1158">
            <v>0</v>
          </cell>
          <cell r="O1158" t="str">
            <v>0.00%</v>
          </cell>
          <cell r="P1158">
            <v>3.6</v>
          </cell>
          <cell r="Q1158">
            <v>159.084</v>
          </cell>
          <cell r="R1158">
            <v>1</v>
          </cell>
        </row>
        <row r="1159">
          <cell r="A1159" t="str">
            <v>15.04.01.07</v>
          </cell>
          <cell r="B1159" t="str">
            <v>TARRAJEO DE SUPERFICIE COLUMNETAS INCL. ARISTAS MEZCLA 1:5 CEMENTO:ARENA</v>
          </cell>
          <cell r="C1159" t="str">
            <v>m2</v>
          </cell>
          <cell r="D1159">
            <v>3.6</v>
          </cell>
          <cell r="E1159">
            <v>31.33</v>
          </cell>
          <cell r="F1159">
            <v>112.788</v>
          </cell>
          <cell r="G1159">
            <v>0</v>
          </cell>
          <cell r="H1159">
            <v>0</v>
          </cell>
          <cell r="I1159" t="str">
            <v>0.00%</v>
          </cell>
          <cell r="J1159">
            <v>0</v>
          </cell>
          <cell r="K1159">
            <v>0</v>
          </cell>
          <cell r="L1159" t="str">
            <v>0.00%</v>
          </cell>
          <cell r="M1159">
            <v>0</v>
          </cell>
          <cell r="N1159">
            <v>0</v>
          </cell>
          <cell r="O1159" t="str">
            <v>0.00%</v>
          </cell>
          <cell r="P1159">
            <v>3.6</v>
          </cell>
          <cell r="Q1159">
            <v>112.788</v>
          </cell>
          <cell r="R1159">
            <v>1</v>
          </cell>
        </row>
        <row r="1160">
          <cell r="A1160" t="str">
            <v>15.04.02</v>
          </cell>
          <cell r="B1160" t="str">
            <v>SISTEMA DE EVACUACION PLUVIAL</v>
          </cell>
          <cell r="C1160">
            <v>0</v>
          </cell>
          <cell r="D1160">
            <v>0</v>
          </cell>
          <cell r="E1160">
            <v>0</v>
          </cell>
          <cell r="F1160">
            <v>0</v>
          </cell>
          <cell r="G1160">
            <v>0</v>
          </cell>
          <cell r="H1160">
            <v>0</v>
          </cell>
          <cell r="I1160">
            <v>0</v>
          </cell>
          <cell r="J1160">
            <v>0</v>
          </cell>
          <cell r="K1160">
            <v>0</v>
          </cell>
          <cell r="L1160">
            <v>0</v>
          </cell>
          <cell r="M1160">
            <v>0</v>
          </cell>
          <cell r="N1160">
            <v>0</v>
          </cell>
          <cell r="O1160">
            <v>0</v>
          </cell>
          <cell r="P1160">
            <v>0</v>
          </cell>
          <cell r="Q1160">
            <v>0</v>
          </cell>
          <cell r="R1160">
            <v>0</v>
          </cell>
        </row>
        <row r="1161">
          <cell r="A1161" t="str">
            <v>15.04.02.01</v>
          </cell>
          <cell r="B1161" t="str">
            <v>RED COLECTORA PARA AGUAS PLUVIALES TUB. PVC UF Ø DE 4"</v>
          </cell>
          <cell r="C1161" t="str">
            <v>m</v>
          </cell>
          <cell r="D1161">
            <v>35.58</v>
          </cell>
          <cell r="E1161">
            <v>27.03</v>
          </cell>
          <cell r="F1161">
            <v>961.72739999999999</v>
          </cell>
          <cell r="G1161">
            <v>0</v>
          </cell>
          <cell r="H1161">
            <v>0</v>
          </cell>
          <cell r="I1161" t="str">
            <v>0.00%</v>
          </cell>
          <cell r="J1161">
            <v>0</v>
          </cell>
          <cell r="K1161">
            <v>0</v>
          </cell>
          <cell r="L1161" t="str">
            <v>0.00%</v>
          </cell>
          <cell r="M1161">
            <v>0</v>
          </cell>
          <cell r="N1161">
            <v>0</v>
          </cell>
          <cell r="O1161" t="str">
            <v>0.00%</v>
          </cell>
          <cell r="P1161">
            <v>35.58</v>
          </cell>
          <cell r="Q1161">
            <v>961.72739999999999</v>
          </cell>
          <cell r="R1161">
            <v>1</v>
          </cell>
        </row>
        <row r="1162">
          <cell r="A1162" t="str">
            <v>15.04.02.02</v>
          </cell>
          <cell r="B1162" t="str">
            <v>DRENAJE CON TUB. CRIBADA DE 2"</v>
          </cell>
          <cell r="C1162" t="str">
            <v>m</v>
          </cell>
          <cell r="D1162">
            <v>14.73</v>
          </cell>
          <cell r="E1162">
            <v>21.03</v>
          </cell>
          <cell r="F1162">
            <v>309.77190000000002</v>
          </cell>
          <cell r="G1162">
            <v>0</v>
          </cell>
          <cell r="H1162">
            <v>0</v>
          </cell>
          <cell r="I1162" t="str">
            <v>0.00%</v>
          </cell>
          <cell r="J1162">
            <v>0</v>
          </cell>
          <cell r="K1162">
            <v>0</v>
          </cell>
          <cell r="L1162" t="str">
            <v>0.00%</v>
          </cell>
          <cell r="M1162">
            <v>0</v>
          </cell>
          <cell r="N1162">
            <v>0</v>
          </cell>
          <cell r="O1162" t="str">
            <v>0.00%</v>
          </cell>
          <cell r="P1162">
            <v>14.73</v>
          </cell>
          <cell r="Q1162">
            <v>309.77190000000002</v>
          </cell>
          <cell r="R1162">
            <v>1</v>
          </cell>
        </row>
        <row r="1163">
          <cell r="A1163" t="str">
            <v>15.04.02.03</v>
          </cell>
          <cell r="B1163" t="str">
            <v>CAJA DE REGISTRO DE DESAGUE 12" X 24" - CONSTRUCION</v>
          </cell>
          <cell r="C1163" t="str">
            <v>und</v>
          </cell>
          <cell r="D1163">
            <v>6</v>
          </cell>
          <cell r="E1163">
            <v>140.52000000000001</v>
          </cell>
          <cell r="F1163">
            <v>843.12000000000012</v>
          </cell>
          <cell r="G1163">
            <v>0</v>
          </cell>
          <cell r="H1163">
            <v>0</v>
          </cell>
          <cell r="I1163" t="str">
            <v>0.00%</v>
          </cell>
          <cell r="J1163">
            <v>0</v>
          </cell>
          <cell r="K1163">
            <v>0</v>
          </cell>
          <cell r="L1163" t="str">
            <v>0.00%</v>
          </cell>
          <cell r="M1163">
            <v>0</v>
          </cell>
          <cell r="N1163">
            <v>0</v>
          </cell>
          <cell r="O1163" t="str">
            <v>0.00%</v>
          </cell>
          <cell r="P1163">
            <v>6</v>
          </cell>
          <cell r="Q1163">
            <v>843.12000000000012</v>
          </cell>
          <cell r="R1163">
            <v>1</v>
          </cell>
        </row>
        <row r="1164">
          <cell r="A1164" t="str">
            <v>16</v>
          </cell>
          <cell r="B1164" t="str">
            <v xml:space="preserve">BLOQUE - 2 </v>
          </cell>
          <cell r="C1164">
            <v>0</v>
          </cell>
          <cell r="D1164">
            <v>0</v>
          </cell>
          <cell r="E1164">
            <v>0</v>
          </cell>
          <cell r="F1164">
            <v>0</v>
          </cell>
          <cell r="G1164">
            <v>0</v>
          </cell>
          <cell r="H1164">
            <v>0</v>
          </cell>
          <cell r="I1164">
            <v>0</v>
          </cell>
          <cell r="J1164">
            <v>0</v>
          </cell>
          <cell r="K1164">
            <v>0</v>
          </cell>
          <cell r="L1164">
            <v>0</v>
          </cell>
          <cell r="M1164">
            <v>0</v>
          </cell>
          <cell r="N1164">
            <v>0</v>
          </cell>
          <cell r="O1164">
            <v>0</v>
          </cell>
          <cell r="P1164">
            <v>0</v>
          </cell>
          <cell r="Q1164">
            <v>0</v>
          </cell>
          <cell r="R1164">
            <v>0</v>
          </cell>
        </row>
        <row r="1165">
          <cell r="A1165" t="str">
            <v>16.01</v>
          </cell>
          <cell r="B1165" t="str">
            <v>APARATOS SANITARIOS Y ACCESORIOS</v>
          </cell>
          <cell r="C1165">
            <v>0</v>
          </cell>
          <cell r="D1165">
            <v>0</v>
          </cell>
          <cell r="E1165">
            <v>0</v>
          </cell>
          <cell r="F1165">
            <v>0</v>
          </cell>
          <cell r="G1165">
            <v>0</v>
          </cell>
          <cell r="H1165">
            <v>0</v>
          </cell>
          <cell r="I1165">
            <v>0</v>
          </cell>
          <cell r="J1165">
            <v>0</v>
          </cell>
          <cell r="K1165">
            <v>0</v>
          </cell>
          <cell r="L1165">
            <v>0</v>
          </cell>
          <cell r="M1165">
            <v>0</v>
          </cell>
          <cell r="N1165">
            <v>0</v>
          </cell>
          <cell r="O1165">
            <v>0</v>
          </cell>
          <cell r="P1165">
            <v>0</v>
          </cell>
          <cell r="Q1165">
            <v>0</v>
          </cell>
          <cell r="R1165">
            <v>0</v>
          </cell>
        </row>
        <row r="1166">
          <cell r="A1166" t="str">
            <v>16.01.01</v>
          </cell>
          <cell r="B1166" t="str">
            <v>SUMINISTRO DE APARATO SANITARIOS</v>
          </cell>
          <cell r="C1166">
            <v>0</v>
          </cell>
          <cell r="D1166">
            <v>0</v>
          </cell>
          <cell r="E1166">
            <v>0</v>
          </cell>
          <cell r="F1166">
            <v>0</v>
          </cell>
          <cell r="G1166">
            <v>0</v>
          </cell>
          <cell r="H1166">
            <v>0</v>
          </cell>
          <cell r="I1166">
            <v>0</v>
          </cell>
          <cell r="J1166">
            <v>0</v>
          </cell>
          <cell r="K1166">
            <v>0</v>
          </cell>
          <cell r="L1166">
            <v>0</v>
          </cell>
          <cell r="M1166">
            <v>0</v>
          </cell>
          <cell r="N1166">
            <v>0</v>
          </cell>
          <cell r="O1166">
            <v>0</v>
          </cell>
          <cell r="P1166">
            <v>0</v>
          </cell>
          <cell r="Q1166">
            <v>0</v>
          </cell>
          <cell r="R1166">
            <v>0</v>
          </cell>
        </row>
        <row r="1167">
          <cell r="A1167" t="str">
            <v>16.01.01.01</v>
          </cell>
          <cell r="B1167" t="str">
            <v>INODORO BABY FRESH COLOR BLANCO</v>
          </cell>
          <cell r="C1167" t="str">
            <v>und</v>
          </cell>
          <cell r="D1167">
            <v>8</v>
          </cell>
          <cell r="E1167">
            <v>280</v>
          </cell>
          <cell r="F1167">
            <v>2240</v>
          </cell>
          <cell r="G1167">
            <v>0</v>
          </cell>
          <cell r="H1167">
            <v>0</v>
          </cell>
          <cell r="I1167" t="str">
            <v>0.00%</v>
          </cell>
          <cell r="J1167">
            <v>0</v>
          </cell>
          <cell r="K1167">
            <v>0</v>
          </cell>
          <cell r="L1167" t="str">
            <v>0.00%</v>
          </cell>
          <cell r="M1167">
            <v>0</v>
          </cell>
          <cell r="N1167">
            <v>0</v>
          </cell>
          <cell r="O1167" t="str">
            <v>0.00%</v>
          </cell>
          <cell r="P1167">
            <v>8</v>
          </cell>
          <cell r="Q1167">
            <v>2240</v>
          </cell>
          <cell r="R1167">
            <v>1</v>
          </cell>
        </row>
        <row r="1168">
          <cell r="A1168" t="str">
            <v>16.01.01.02</v>
          </cell>
          <cell r="B1168" t="str">
            <v xml:space="preserve">URINARIO BAMBI DE LOSA BLANCO </v>
          </cell>
          <cell r="C1168" t="str">
            <v>und</v>
          </cell>
          <cell r="D1168">
            <v>4</v>
          </cell>
          <cell r="E1168">
            <v>150</v>
          </cell>
          <cell r="F1168">
            <v>600</v>
          </cell>
          <cell r="G1168">
            <v>0</v>
          </cell>
          <cell r="H1168">
            <v>0</v>
          </cell>
          <cell r="I1168" t="str">
            <v>0.00%</v>
          </cell>
          <cell r="J1168">
            <v>0</v>
          </cell>
          <cell r="K1168">
            <v>0</v>
          </cell>
          <cell r="L1168" t="str">
            <v>0.00%</v>
          </cell>
          <cell r="M1168">
            <v>0</v>
          </cell>
          <cell r="N1168">
            <v>0</v>
          </cell>
          <cell r="O1168" t="str">
            <v>0.00%</v>
          </cell>
          <cell r="P1168">
            <v>4</v>
          </cell>
          <cell r="Q1168">
            <v>600</v>
          </cell>
          <cell r="R1168">
            <v>1</v>
          </cell>
        </row>
        <row r="1169">
          <cell r="A1169" t="str">
            <v>16.01.01.03</v>
          </cell>
          <cell r="B1169" t="str">
            <v>LAVATORIO OVALIN TIPO SONNET BLANCO</v>
          </cell>
          <cell r="C1169" t="str">
            <v>und</v>
          </cell>
          <cell r="D1169">
            <v>8</v>
          </cell>
          <cell r="E1169">
            <v>190</v>
          </cell>
          <cell r="F1169">
            <v>1520</v>
          </cell>
          <cell r="G1169">
            <v>0</v>
          </cell>
          <cell r="H1169">
            <v>0</v>
          </cell>
          <cell r="I1169" t="str">
            <v>0.00%</v>
          </cell>
          <cell r="J1169">
            <v>0</v>
          </cell>
          <cell r="K1169">
            <v>0</v>
          </cell>
          <cell r="L1169" t="str">
            <v>0.00%</v>
          </cell>
          <cell r="M1169">
            <v>0</v>
          </cell>
          <cell r="N1169">
            <v>0</v>
          </cell>
          <cell r="O1169" t="str">
            <v>0.00%</v>
          </cell>
          <cell r="P1169">
            <v>8</v>
          </cell>
          <cell r="Q1169">
            <v>1520</v>
          </cell>
          <cell r="R1169">
            <v>1</v>
          </cell>
        </row>
        <row r="1170">
          <cell r="A1170" t="str">
            <v>16.01.02</v>
          </cell>
          <cell r="B1170" t="str">
            <v>SUMINISTRO DE ACCESORIOS</v>
          </cell>
          <cell r="C1170">
            <v>0</v>
          </cell>
          <cell r="D1170">
            <v>0</v>
          </cell>
          <cell r="E1170">
            <v>0</v>
          </cell>
          <cell r="F1170">
            <v>0</v>
          </cell>
          <cell r="G1170">
            <v>0</v>
          </cell>
          <cell r="H1170">
            <v>0</v>
          </cell>
          <cell r="I1170">
            <v>0</v>
          </cell>
          <cell r="J1170">
            <v>0</v>
          </cell>
          <cell r="K1170">
            <v>0</v>
          </cell>
          <cell r="L1170">
            <v>0</v>
          </cell>
          <cell r="M1170">
            <v>0</v>
          </cell>
          <cell r="N1170">
            <v>0</v>
          </cell>
          <cell r="O1170">
            <v>0</v>
          </cell>
          <cell r="P1170">
            <v>0</v>
          </cell>
          <cell r="Q1170">
            <v>0</v>
          </cell>
          <cell r="R1170">
            <v>0</v>
          </cell>
        </row>
        <row r="1171">
          <cell r="A1171" t="str">
            <v>16.01.02.01</v>
          </cell>
          <cell r="B1171" t="str">
            <v>PAPELERA DE LOSA COLOR BLANCO</v>
          </cell>
          <cell r="C1171" t="str">
            <v>und</v>
          </cell>
          <cell r="D1171">
            <v>8</v>
          </cell>
          <cell r="E1171">
            <v>35</v>
          </cell>
          <cell r="F1171">
            <v>280</v>
          </cell>
          <cell r="G1171">
            <v>0</v>
          </cell>
          <cell r="H1171">
            <v>0</v>
          </cell>
          <cell r="I1171" t="str">
            <v>0.00%</v>
          </cell>
          <cell r="J1171">
            <v>0</v>
          </cell>
          <cell r="K1171">
            <v>0</v>
          </cell>
          <cell r="L1171" t="str">
            <v>0.00%</v>
          </cell>
          <cell r="M1171">
            <v>0</v>
          </cell>
          <cell r="N1171">
            <v>0</v>
          </cell>
          <cell r="O1171" t="str">
            <v>0.00%</v>
          </cell>
          <cell r="P1171">
            <v>8</v>
          </cell>
          <cell r="Q1171">
            <v>280</v>
          </cell>
          <cell r="R1171">
            <v>1</v>
          </cell>
        </row>
        <row r="1172">
          <cell r="A1172" t="str">
            <v>16.01.02.02</v>
          </cell>
          <cell r="B1172" t="str">
            <v>JABONERA DE LOSA COLOR BLANCO</v>
          </cell>
          <cell r="C1172" t="str">
            <v>und</v>
          </cell>
          <cell r="D1172">
            <v>8</v>
          </cell>
          <cell r="E1172">
            <v>20</v>
          </cell>
          <cell r="F1172">
            <v>160</v>
          </cell>
          <cell r="G1172">
            <v>0</v>
          </cell>
          <cell r="H1172">
            <v>0</v>
          </cell>
          <cell r="I1172" t="str">
            <v>0.00%</v>
          </cell>
          <cell r="J1172">
            <v>0</v>
          </cell>
          <cell r="K1172">
            <v>0</v>
          </cell>
          <cell r="L1172" t="str">
            <v>0.00%</v>
          </cell>
          <cell r="M1172">
            <v>0</v>
          </cell>
          <cell r="N1172">
            <v>0</v>
          </cell>
          <cell r="O1172" t="str">
            <v>0.00%</v>
          </cell>
          <cell r="P1172">
            <v>8</v>
          </cell>
          <cell r="Q1172">
            <v>160</v>
          </cell>
          <cell r="R1172">
            <v>1</v>
          </cell>
        </row>
        <row r="1173">
          <cell r="A1173" t="str">
            <v>16.01.02.03</v>
          </cell>
          <cell r="B1173" t="str">
            <v>ESPEJO DE 4MM DE 1.20 x 0.50M.</v>
          </cell>
          <cell r="C1173" t="str">
            <v>und</v>
          </cell>
          <cell r="D1173">
            <v>4</v>
          </cell>
          <cell r="E1173">
            <v>35</v>
          </cell>
          <cell r="F1173">
            <v>140</v>
          </cell>
          <cell r="G1173">
            <v>0</v>
          </cell>
          <cell r="H1173">
            <v>0</v>
          </cell>
          <cell r="I1173" t="str">
            <v>0.00%</v>
          </cell>
          <cell r="J1173">
            <v>0</v>
          </cell>
          <cell r="K1173">
            <v>0</v>
          </cell>
          <cell r="L1173" t="str">
            <v>0.00%</v>
          </cell>
          <cell r="M1173">
            <v>0</v>
          </cell>
          <cell r="N1173">
            <v>0</v>
          </cell>
          <cell r="O1173" t="str">
            <v>0.00%</v>
          </cell>
          <cell r="P1173">
            <v>4</v>
          </cell>
          <cell r="Q1173">
            <v>140</v>
          </cell>
          <cell r="R1173">
            <v>1</v>
          </cell>
        </row>
        <row r="1174">
          <cell r="A1174" t="str">
            <v>16.01.03</v>
          </cell>
          <cell r="B1174" t="str">
            <v xml:space="preserve">INSTALACION DE APARATOS SANITARIOS  </v>
          </cell>
          <cell r="C1174">
            <v>0</v>
          </cell>
          <cell r="D1174">
            <v>0</v>
          </cell>
          <cell r="E1174">
            <v>0</v>
          </cell>
          <cell r="F1174">
            <v>0</v>
          </cell>
          <cell r="G1174">
            <v>0</v>
          </cell>
          <cell r="H1174">
            <v>0</v>
          </cell>
          <cell r="I1174">
            <v>0</v>
          </cell>
          <cell r="J1174">
            <v>0</v>
          </cell>
          <cell r="K1174">
            <v>0</v>
          </cell>
          <cell r="L1174">
            <v>0</v>
          </cell>
          <cell r="M1174">
            <v>0</v>
          </cell>
          <cell r="N1174">
            <v>0</v>
          </cell>
          <cell r="O1174">
            <v>0</v>
          </cell>
          <cell r="P1174">
            <v>0</v>
          </cell>
          <cell r="Q1174">
            <v>0</v>
          </cell>
          <cell r="R1174">
            <v>0</v>
          </cell>
        </row>
        <row r="1175">
          <cell r="A1175" t="str">
            <v>16.01.03.01</v>
          </cell>
          <cell r="B1175" t="str">
            <v xml:space="preserve">COLOCACION DE APARATOS SANITARIOS </v>
          </cell>
          <cell r="C1175" t="str">
            <v>und</v>
          </cell>
          <cell r="D1175">
            <v>20</v>
          </cell>
          <cell r="E1175">
            <v>52.08</v>
          </cell>
          <cell r="F1175">
            <v>1041.5999999999999</v>
          </cell>
          <cell r="G1175">
            <v>0</v>
          </cell>
          <cell r="H1175">
            <v>0</v>
          </cell>
          <cell r="I1175" t="str">
            <v>0.00%</v>
          </cell>
          <cell r="J1175">
            <v>0</v>
          </cell>
          <cell r="K1175">
            <v>0</v>
          </cell>
          <cell r="L1175" t="str">
            <v>0.00%</v>
          </cell>
          <cell r="M1175">
            <v>0</v>
          </cell>
          <cell r="N1175">
            <v>0</v>
          </cell>
          <cell r="O1175" t="str">
            <v>0.00%</v>
          </cell>
          <cell r="P1175">
            <v>20</v>
          </cell>
          <cell r="Q1175">
            <v>1041.5999999999999</v>
          </cell>
          <cell r="R1175">
            <v>1</v>
          </cell>
        </row>
        <row r="1176">
          <cell r="A1176" t="str">
            <v>16.01.04</v>
          </cell>
          <cell r="B1176" t="str">
            <v>INSTALACION DE ACCESORIOS</v>
          </cell>
          <cell r="C1176">
            <v>0</v>
          </cell>
          <cell r="D1176">
            <v>0</v>
          </cell>
          <cell r="E1176">
            <v>0</v>
          </cell>
          <cell r="F1176">
            <v>0</v>
          </cell>
          <cell r="G1176">
            <v>0</v>
          </cell>
          <cell r="H1176">
            <v>0</v>
          </cell>
          <cell r="I1176">
            <v>0</v>
          </cell>
          <cell r="J1176">
            <v>0</v>
          </cell>
          <cell r="K1176">
            <v>0</v>
          </cell>
          <cell r="L1176">
            <v>0</v>
          </cell>
          <cell r="M1176">
            <v>0</v>
          </cell>
          <cell r="N1176">
            <v>0</v>
          </cell>
          <cell r="O1176">
            <v>0</v>
          </cell>
          <cell r="P1176">
            <v>0</v>
          </cell>
          <cell r="Q1176">
            <v>0</v>
          </cell>
          <cell r="R1176">
            <v>0</v>
          </cell>
        </row>
        <row r="1177">
          <cell r="A1177" t="str">
            <v>16.01.04.01</v>
          </cell>
          <cell r="B1177" t="str">
            <v>COLOCACION DE ACCESORIOS SANITARIOS</v>
          </cell>
          <cell r="C1177" t="str">
            <v>und</v>
          </cell>
          <cell r="D1177">
            <v>20</v>
          </cell>
          <cell r="E1177">
            <v>26.04</v>
          </cell>
          <cell r="F1177">
            <v>520.79999999999995</v>
          </cell>
          <cell r="G1177">
            <v>0</v>
          </cell>
          <cell r="H1177">
            <v>0</v>
          </cell>
          <cell r="I1177" t="str">
            <v>0.00%</v>
          </cell>
          <cell r="J1177">
            <v>0</v>
          </cell>
          <cell r="K1177">
            <v>0</v>
          </cell>
          <cell r="L1177" t="str">
            <v>0.00%</v>
          </cell>
          <cell r="M1177">
            <v>0</v>
          </cell>
          <cell r="N1177">
            <v>0</v>
          </cell>
          <cell r="O1177" t="str">
            <v>0.00%</v>
          </cell>
          <cell r="P1177">
            <v>20</v>
          </cell>
          <cell r="Q1177">
            <v>520.79999999999995</v>
          </cell>
          <cell r="R1177">
            <v>1</v>
          </cell>
        </row>
        <row r="1178">
          <cell r="A1178" t="str">
            <v>16.02</v>
          </cell>
          <cell r="B1178" t="str">
            <v>SISTEMA DE AGUA FRIA Y ALIMENTADORES</v>
          </cell>
          <cell r="C1178">
            <v>0</v>
          </cell>
          <cell r="D1178">
            <v>0</v>
          </cell>
          <cell r="E1178">
            <v>0</v>
          </cell>
          <cell r="F1178">
            <v>0</v>
          </cell>
          <cell r="G1178">
            <v>0</v>
          </cell>
          <cell r="H1178">
            <v>0</v>
          </cell>
          <cell r="I1178">
            <v>0</v>
          </cell>
          <cell r="J1178">
            <v>0</v>
          </cell>
          <cell r="K1178">
            <v>0</v>
          </cell>
          <cell r="L1178">
            <v>0</v>
          </cell>
          <cell r="M1178">
            <v>0</v>
          </cell>
          <cell r="N1178">
            <v>0</v>
          </cell>
          <cell r="O1178">
            <v>0</v>
          </cell>
          <cell r="P1178">
            <v>0</v>
          </cell>
          <cell r="Q1178">
            <v>0</v>
          </cell>
          <cell r="R1178">
            <v>0</v>
          </cell>
        </row>
        <row r="1179">
          <cell r="A1179" t="str">
            <v>16.02.01</v>
          </cell>
          <cell r="B1179" t="str">
            <v>SALIDA DE AGUA FRIA</v>
          </cell>
          <cell r="C1179">
            <v>0</v>
          </cell>
          <cell r="D1179">
            <v>0</v>
          </cell>
          <cell r="E1179">
            <v>0</v>
          </cell>
          <cell r="F1179">
            <v>0</v>
          </cell>
          <cell r="G1179">
            <v>0</v>
          </cell>
          <cell r="H1179">
            <v>0</v>
          </cell>
          <cell r="I1179">
            <v>0</v>
          </cell>
          <cell r="J1179">
            <v>0</v>
          </cell>
          <cell r="K1179">
            <v>0</v>
          </cell>
          <cell r="L1179">
            <v>0</v>
          </cell>
          <cell r="M1179">
            <v>0</v>
          </cell>
          <cell r="N1179">
            <v>0</v>
          </cell>
          <cell r="O1179">
            <v>0</v>
          </cell>
          <cell r="P1179">
            <v>0</v>
          </cell>
          <cell r="Q1179">
            <v>0</v>
          </cell>
          <cell r="R1179">
            <v>0</v>
          </cell>
        </row>
        <row r="1180">
          <cell r="A1180" t="str">
            <v>16.02.01.01</v>
          </cell>
          <cell r="B1180" t="str">
            <v>SALIDA DE AGUA FRIA CON TUBERIA DE PVC-SAP 1/2"</v>
          </cell>
          <cell r="C1180" t="str">
            <v>pto</v>
          </cell>
          <cell r="D1180">
            <v>10</v>
          </cell>
          <cell r="E1180">
            <v>41.53</v>
          </cell>
          <cell r="F1180">
            <v>415.3</v>
          </cell>
          <cell r="G1180">
            <v>0</v>
          </cell>
          <cell r="H1180">
            <v>0</v>
          </cell>
          <cell r="I1180" t="str">
            <v>0.00%</v>
          </cell>
          <cell r="J1180">
            <v>5</v>
          </cell>
          <cell r="K1180">
            <v>207.65</v>
          </cell>
          <cell r="L1180">
            <v>0.5</v>
          </cell>
          <cell r="M1180">
            <v>5</v>
          </cell>
          <cell r="N1180">
            <v>207.65</v>
          </cell>
          <cell r="O1180">
            <v>0.5</v>
          </cell>
          <cell r="P1180">
            <v>5</v>
          </cell>
          <cell r="Q1180">
            <v>207.65</v>
          </cell>
          <cell r="R1180">
            <v>0.5</v>
          </cell>
        </row>
        <row r="1181">
          <cell r="A1181" t="str">
            <v>16.02.02</v>
          </cell>
          <cell r="B1181" t="str">
            <v>REDES DE DISTRIBUCION DE AGUA FRIA</v>
          </cell>
          <cell r="C1181">
            <v>0</v>
          </cell>
          <cell r="D1181">
            <v>0</v>
          </cell>
          <cell r="E1181">
            <v>0</v>
          </cell>
          <cell r="F1181">
            <v>0</v>
          </cell>
          <cell r="G1181">
            <v>0</v>
          </cell>
          <cell r="H1181">
            <v>0</v>
          </cell>
          <cell r="I1181">
            <v>0</v>
          </cell>
          <cell r="J1181">
            <v>0</v>
          </cell>
          <cell r="K1181">
            <v>0</v>
          </cell>
          <cell r="L1181">
            <v>0</v>
          </cell>
          <cell r="M1181">
            <v>0</v>
          </cell>
          <cell r="N1181">
            <v>0</v>
          </cell>
          <cell r="O1181">
            <v>0</v>
          </cell>
          <cell r="P1181">
            <v>0</v>
          </cell>
          <cell r="Q1181">
            <v>0</v>
          </cell>
          <cell r="R1181">
            <v>0</v>
          </cell>
        </row>
        <row r="1182">
          <cell r="A1182" t="str">
            <v>16.02.02.01</v>
          </cell>
          <cell r="B1182" t="str">
            <v>RED DE DISTRIBUCION TUBERIA PVC SAP C-10 Ø DE 1/2"</v>
          </cell>
          <cell r="C1182" t="str">
            <v>m</v>
          </cell>
          <cell r="D1182">
            <v>10.92</v>
          </cell>
          <cell r="E1182">
            <v>20.36</v>
          </cell>
          <cell r="F1182">
            <v>222.3312</v>
          </cell>
          <cell r="G1182">
            <v>0</v>
          </cell>
          <cell r="H1182">
            <v>0</v>
          </cell>
          <cell r="I1182" t="str">
            <v>0.00%</v>
          </cell>
          <cell r="J1182">
            <v>0</v>
          </cell>
          <cell r="K1182">
            <v>0</v>
          </cell>
          <cell r="L1182" t="str">
            <v>0.00%</v>
          </cell>
          <cell r="M1182">
            <v>0</v>
          </cell>
          <cell r="N1182">
            <v>0</v>
          </cell>
          <cell r="O1182" t="str">
            <v>0.00%</v>
          </cell>
          <cell r="P1182">
            <v>10.92</v>
          </cell>
          <cell r="Q1182">
            <v>222.3312</v>
          </cell>
          <cell r="R1182">
            <v>1</v>
          </cell>
        </row>
        <row r="1183">
          <cell r="A1183" t="str">
            <v>16.02.02.02</v>
          </cell>
          <cell r="B1183" t="str">
            <v>RED DE DISTRIBUCION TUBERIA PVC SAP C-10 Ø DE 3/4"</v>
          </cell>
          <cell r="C1183" t="str">
            <v>m</v>
          </cell>
          <cell r="D1183">
            <v>21.5</v>
          </cell>
          <cell r="E1183">
            <v>31.76</v>
          </cell>
          <cell r="F1183">
            <v>682.84</v>
          </cell>
          <cell r="G1183">
            <v>0</v>
          </cell>
          <cell r="H1183">
            <v>0</v>
          </cell>
          <cell r="I1183" t="str">
            <v>0.00%</v>
          </cell>
          <cell r="J1183">
            <v>0</v>
          </cell>
          <cell r="K1183">
            <v>0</v>
          </cell>
          <cell r="L1183" t="str">
            <v>0.00%</v>
          </cell>
          <cell r="M1183">
            <v>0</v>
          </cell>
          <cell r="N1183">
            <v>0</v>
          </cell>
          <cell r="O1183" t="str">
            <v>0.00%</v>
          </cell>
          <cell r="P1183">
            <v>21.5</v>
          </cell>
          <cell r="Q1183">
            <v>682.84</v>
          </cell>
          <cell r="R1183">
            <v>1</v>
          </cell>
        </row>
        <row r="1184">
          <cell r="A1184" t="str">
            <v>16.02.02.03</v>
          </cell>
          <cell r="B1184" t="str">
            <v>RED DE DISTRIBUCION TUBERIA PVC SAP C-10 Ø DE 1"</v>
          </cell>
          <cell r="C1184" t="str">
            <v>m</v>
          </cell>
          <cell r="D1184">
            <v>8.99</v>
          </cell>
          <cell r="E1184">
            <v>34.159999999999997</v>
          </cell>
          <cell r="F1184">
            <v>307.09839999999997</v>
          </cell>
          <cell r="G1184">
            <v>0</v>
          </cell>
          <cell r="H1184">
            <v>0</v>
          </cell>
          <cell r="I1184" t="str">
            <v>0.00%</v>
          </cell>
          <cell r="J1184">
            <v>6.27</v>
          </cell>
          <cell r="K1184">
            <v>214.18319999999997</v>
          </cell>
          <cell r="L1184">
            <v>0.69744160177975523</v>
          </cell>
          <cell r="M1184">
            <v>6.27</v>
          </cell>
          <cell r="N1184">
            <v>214.18319999999997</v>
          </cell>
          <cell r="O1184">
            <v>0.69744160177975523</v>
          </cell>
          <cell r="P1184">
            <v>2.7200000000000006</v>
          </cell>
          <cell r="Q1184">
            <v>92.915199999999999</v>
          </cell>
          <cell r="R1184">
            <v>0.30255839822024472</v>
          </cell>
        </row>
        <row r="1185">
          <cell r="A1185" t="str">
            <v>16.02.03</v>
          </cell>
          <cell r="B1185" t="str">
            <v>VALVULA Y ACCESORIOS DE AGUA FRIA</v>
          </cell>
          <cell r="C1185">
            <v>0</v>
          </cell>
          <cell r="D1185">
            <v>0</v>
          </cell>
          <cell r="E1185">
            <v>0</v>
          </cell>
          <cell r="F1185">
            <v>0</v>
          </cell>
          <cell r="G1185">
            <v>0</v>
          </cell>
          <cell r="H1185">
            <v>0</v>
          </cell>
          <cell r="I1185">
            <v>0</v>
          </cell>
          <cell r="J1185">
            <v>0</v>
          </cell>
          <cell r="K1185">
            <v>0</v>
          </cell>
          <cell r="L1185">
            <v>0</v>
          </cell>
          <cell r="M1185">
            <v>0</v>
          </cell>
          <cell r="N1185">
            <v>0</v>
          </cell>
          <cell r="O1185">
            <v>0</v>
          </cell>
          <cell r="P1185">
            <v>0</v>
          </cell>
          <cell r="Q1185">
            <v>0</v>
          </cell>
          <cell r="R1185">
            <v>0</v>
          </cell>
        </row>
        <row r="1186">
          <cell r="A1186" t="str">
            <v>16.02.03.01</v>
          </cell>
          <cell r="B1186" t="str">
            <v>VALVULA COMPUERTA DE BRONCE  Ø 1/2"</v>
          </cell>
          <cell r="C1186" t="str">
            <v>und</v>
          </cell>
          <cell r="D1186">
            <v>4</v>
          </cell>
          <cell r="E1186">
            <v>147.4</v>
          </cell>
          <cell r="F1186">
            <v>589.6</v>
          </cell>
          <cell r="G1186">
            <v>0</v>
          </cell>
          <cell r="H1186">
            <v>0</v>
          </cell>
          <cell r="I1186" t="str">
            <v>0.00%</v>
          </cell>
          <cell r="J1186">
            <v>2</v>
          </cell>
          <cell r="K1186">
            <v>294.8</v>
          </cell>
          <cell r="L1186">
            <v>0.5</v>
          </cell>
          <cell r="M1186">
            <v>2</v>
          </cell>
          <cell r="N1186">
            <v>294.8</v>
          </cell>
          <cell r="O1186">
            <v>0.5</v>
          </cell>
          <cell r="P1186">
            <v>2</v>
          </cell>
          <cell r="Q1186">
            <v>294.8</v>
          </cell>
          <cell r="R1186">
            <v>0.5</v>
          </cell>
        </row>
        <row r="1187">
          <cell r="A1187" t="str">
            <v>16.02.03.02</v>
          </cell>
          <cell r="B1187" t="str">
            <v>VALVULA COMPUERTA DE BRONCE  Ø 3/4"</v>
          </cell>
          <cell r="C1187" t="str">
            <v>und</v>
          </cell>
          <cell r="D1187">
            <v>4</v>
          </cell>
          <cell r="E1187">
            <v>188.9</v>
          </cell>
          <cell r="F1187">
            <v>755.6</v>
          </cell>
          <cell r="G1187">
            <v>0</v>
          </cell>
          <cell r="H1187">
            <v>0</v>
          </cell>
          <cell r="I1187" t="str">
            <v>0.00%</v>
          </cell>
          <cell r="J1187">
            <v>2</v>
          </cell>
          <cell r="K1187">
            <v>377.8</v>
          </cell>
          <cell r="L1187">
            <v>0.5</v>
          </cell>
          <cell r="M1187">
            <v>2</v>
          </cell>
          <cell r="N1187">
            <v>377.8</v>
          </cell>
          <cell r="O1187">
            <v>0.5</v>
          </cell>
          <cell r="P1187">
            <v>2</v>
          </cell>
          <cell r="Q1187">
            <v>377.8</v>
          </cell>
          <cell r="R1187">
            <v>0.5</v>
          </cell>
        </row>
        <row r="1188">
          <cell r="A1188" t="str">
            <v>16.02.04</v>
          </cell>
          <cell r="B1188" t="str">
            <v>PRUEBAS HIDRAULICA</v>
          </cell>
          <cell r="C1188">
            <v>0</v>
          </cell>
          <cell r="D1188">
            <v>0</v>
          </cell>
          <cell r="E1188">
            <v>0</v>
          </cell>
          <cell r="F1188">
            <v>0</v>
          </cell>
          <cell r="G1188">
            <v>0</v>
          </cell>
          <cell r="H1188">
            <v>0</v>
          </cell>
          <cell r="I1188">
            <v>0</v>
          </cell>
          <cell r="J1188">
            <v>0</v>
          </cell>
          <cell r="K1188">
            <v>0</v>
          </cell>
          <cell r="L1188">
            <v>0</v>
          </cell>
          <cell r="M1188">
            <v>0</v>
          </cell>
          <cell r="N1188">
            <v>0</v>
          </cell>
          <cell r="O1188">
            <v>0</v>
          </cell>
          <cell r="P1188">
            <v>0</v>
          </cell>
          <cell r="Q1188">
            <v>0</v>
          </cell>
          <cell r="R1188">
            <v>0</v>
          </cell>
        </row>
        <row r="1189">
          <cell r="A1189" t="str">
            <v>16.02.04.01</v>
          </cell>
          <cell r="B1189" t="str">
            <v>PRUEBA HIDRAULICA TUBERIA DE AGUA FRIA</v>
          </cell>
          <cell r="C1189" t="str">
            <v>GLB</v>
          </cell>
          <cell r="D1189">
            <v>1</v>
          </cell>
          <cell r="E1189">
            <v>450</v>
          </cell>
          <cell r="F1189">
            <v>450</v>
          </cell>
          <cell r="G1189">
            <v>0</v>
          </cell>
          <cell r="H1189">
            <v>0</v>
          </cell>
          <cell r="I1189" t="str">
            <v>0.00%</v>
          </cell>
          <cell r="J1189">
            <v>0</v>
          </cell>
          <cell r="K1189">
            <v>0</v>
          </cell>
          <cell r="L1189" t="str">
            <v>0.00%</v>
          </cell>
          <cell r="M1189">
            <v>0</v>
          </cell>
          <cell r="N1189">
            <v>0</v>
          </cell>
          <cell r="O1189" t="str">
            <v>0.00%</v>
          </cell>
          <cell r="P1189">
            <v>1</v>
          </cell>
          <cell r="Q1189">
            <v>450</v>
          </cell>
          <cell r="R1189">
            <v>1</v>
          </cell>
        </row>
        <row r="1190">
          <cell r="A1190" t="str">
            <v>16.03</v>
          </cell>
          <cell r="B1190" t="str">
            <v xml:space="preserve">SISTEMA DE DESAGUE Y VENTILACION </v>
          </cell>
          <cell r="C1190">
            <v>0</v>
          </cell>
          <cell r="D1190">
            <v>0</v>
          </cell>
          <cell r="E1190">
            <v>0</v>
          </cell>
          <cell r="F1190">
            <v>0</v>
          </cell>
          <cell r="G1190">
            <v>0</v>
          </cell>
          <cell r="H1190">
            <v>0</v>
          </cell>
          <cell r="I1190">
            <v>0</v>
          </cell>
          <cell r="J1190">
            <v>0</v>
          </cell>
          <cell r="K1190">
            <v>0</v>
          </cell>
          <cell r="L1190">
            <v>0</v>
          </cell>
          <cell r="M1190">
            <v>0</v>
          </cell>
          <cell r="N1190">
            <v>0</v>
          </cell>
          <cell r="O1190">
            <v>0</v>
          </cell>
          <cell r="P1190">
            <v>0</v>
          </cell>
          <cell r="Q1190">
            <v>0</v>
          </cell>
          <cell r="R1190">
            <v>0</v>
          </cell>
        </row>
        <row r="1191">
          <cell r="A1191" t="str">
            <v>16.03.01</v>
          </cell>
          <cell r="B1191" t="str">
            <v>SALIDA DE DESAGUE Y VENTILACION</v>
          </cell>
          <cell r="C1191">
            <v>0</v>
          </cell>
          <cell r="D1191">
            <v>0</v>
          </cell>
          <cell r="E1191">
            <v>0</v>
          </cell>
          <cell r="F1191">
            <v>0</v>
          </cell>
          <cell r="G1191">
            <v>0</v>
          </cell>
          <cell r="H1191">
            <v>0</v>
          </cell>
          <cell r="I1191">
            <v>0</v>
          </cell>
          <cell r="J1191">
            <v>0</v>
          </cell>
          <cell r="K1191">
            <v>0</v>
          </cell>
          <cell r="L1191">
            <v>0</v>
          </cell>
          <cell r="M1191">
            <v>0</v>
          </cell>
          <cell r="N1191">
            <v>0</v>
          </cell>
          <cell r="O1191">
            <v>0</v>
          </cell>
          <cell r="P1191">
            <v>0</v>
          </cell>
          <cell r="Q1191">
            <v>0</v>
          </cell>
          <cell r="R1191">
            <v>0</v>
          </cell>
        </row>
        <row r="1192">
          <cell r="A1192" t="str">
            <v>16.03.01.01</v>
          </cell>
          <cell r="B1192" t="str">
            <v>SALIDAS DE PVC SAL PARA DESAGUE DE 2"</v>
          </cell>
          <cell r="C1192" t="str">
            <v>pto</v>
          </cell>
          <cell r="D1192">
            <v>20</v>
          </cell>
          <cell r="E1192">
            <v>92.04</v>
          </cell>
          <cell r="F1192">
            <v>1840.8000000000002</v>
          </cell>
          <cell r="G1192">
            <v>20</v>
          </cell>
          <cell r="H1192">
            <v>1840.8000000000002</v>
          </cell>
          <cell r="I1192">
            <v>1</v>
          </cell>
          <cell r="J1192">
            <v>0</v>
          </cell>
          <cell r="K1192">
            <v>0</v>
          </cell>
          <cell r="L1192" t="str">
            <v>0.00%</v>
          </cell>
          <cell r="M1192">
            <v>20</v>
          </cell>
          <cell r="N1192">
            <v>1840.8000000000002</v>
          </cell>
          <cell r="O1192">
            <v>1</v>
          </cell>
          <cell r="P1192">
            <v>0</v>
          </cell>
          <cell r="Q1192">
            <v>0</v>
          </cell>
          <cell r="R1192" t="str">
            <v>0.00%</v>
          </cell>
        </row>
        <row r="1193">
          <cell r="A1193" t="str">
            <v>16.03.01.02</v>
          </cell>
          <cell r="B1193" t="str">
            <v>SALIDAS DE PVC SAL PARA DESAGUE DE 4"</v>
          </cell>
          <cell r="C1193" t="str">
            <v>pto</v>
          </cell>
          <cell r="D1193">
            <v>8</v>
          </cell>
          <cell r="E1193">
            <v>56.34</v>
          </cell>
          <cell r="F1193">
            <v>450.72</v>
          </cell>
          <cell r="G1193">
            <v>8</v>
          </cell>
          <cell r="H1193">
            <v>450.72</v>
          </cell>
          <cell r="I1193">
            <v>1</v>
          </cell>
          <cell r="J1193">
            <v>0</v>
          </cell>
          <cell r="K1193">
            <v>0</v>
          </cell>
          <cell r="L1193" t="str">
            <v>0.00%</v>
          </cell>
          <cell r="M1193">
            <v>8</v>
          </cell>
          <cell r="N1193">
            <v>450.72</v>
          </cell>
          <cell r="O1193">
            <v>1</v>
          </cell>
          <cell r="P1193">
            <v>0</v>
          </cell>
          <cell r="Q1193">
            <v>0</v>
          </cell>
          <cell r="R1193" t="str">
            <v>0.00%</v>
          </cell>
        </row>
        <row r="1194">
          <cell r="A1194" t="str">
            <v>16.03.01.03</v>
          </cell>
          <cell r="B1194" t="str">
            <v>SALIDAS DE PVC SAL PARA VENTILACION DE 2"</v>
          </cell>
          <cell r="C1194" t="str">
            <v>pto</v>
          </cell>
          <cell r="D1194">
            <v>16</v>
          </cell>
          <cell r="E1194">
            <v>85.76</v>
          </cell>
          <cell r="F1194">
            <v>1372.16</v>
          </cell>
          <cell r="G1194">
            <v>16</v>
          </cell>
          <cell r="H1194">
            <v>1372.16</v>
          </cell>
          <cell r="I1194">
            <v>1</v>
          </cell>
          <cell r="J1194">
            <v>0</v>
          </cell>
          <cell r="K1194">
            <v>0</v>
          </cell>
          <cell r="L1194" t="str">
            <v>0.00%</v>
          </cell>
          <cell r="M1194">
            <v>16</v>
          </cell>
          <cell r="N1194">
            <v>1372.16</v>
          </cell>
          <cell r="O1194">
            <v>1</v>
          </cell>
          <cell r="P1194">
            <v>0</v>
          </cell>
          <cell r="Q1194">
            <v>0</v>
          </cell>
          <cell r="R1194" t="str">
            <v>0.00%</v>
          </cell>
        </row>
        <row r="1195">
          <cell r="A1195" t="str">
            <v>16.03.01.04</v>
          </cell>
          <cell r="B1195" t="str">
            <v>SOMBRERO VENTILACION PVC DE 2"</v>
          </cell>
          <cell r="C1195" t="str">
            <v>pza</v>
          </cell>
          <cell r="D1195">
            <v>1</v>
          </cell>
          <cell r="E1195">
            <v>11.19</v>
          </cell>
          <cell r="F1195">
            <v>11.19</v>
          </cell>
          <cell r="G1195">
            <v>0</v>
          </cell>
          <cell r="H1195">
            <v>0</v>
          </cell>
          <cell r="I1195" t="str">
            <v>0.00%</v>
          </cell>
          <cell r="J1195">
            <v>0</v>
          </cell>
          <cell r="K1195">
            <v>0</v>
          </cell>
          <cell r="L1195" t="str">
            <v>0.00%</v>
          </cell>
          <cell r="M1195">
            <v>0</v>
          </cell>
          <cell r="N1195">
            <v>0</v>
          </cell>
          <cell r="O1195" t="str">
            <v>0.00%</v>
          </cell>
          <cell r="P1195">
            <v>1</v>
          </cell>
          <cell r="Q1195">
            <v>11.19</v>
          </cell>
          <cell r="R1195">
            <v>1</v>
          </cell>
        </row>
        <row r="1196">
          <cell r="A1196" t="str">
            <v>16.03.02</v>
          </cell>
          <cell r="B1196" t="str">
            <v>REDES DE DERIVACION</v>
          </cell>
          <cell r="C1196">
            <v>0</v>
          </cell>
          <cell r="D1196">
            <v>0</v>
          </cell>
          <cell r="E1196">
            <v>0</v>
          </cell>
          <cell r="F1196">
            <v>0</v>
          </cell>
          <cell r="G1196">
            <v>0</v>
          </cell>
          <cell r="H1196">
            <v>0</v>
          </cell>
          <cell r="I1196">
            <v>0</v>
          </cell>
          <cell r="J1196">
            <v>0</v>
          </cell>
          <cell r="K1196">
            <v>0</v>
          </cell>
          <cell r="L1196">
            <v>0</v>
          </cell>
          <cell r="M1196">
            <v>0</v>
          </cell>
          <cell r="N1196">
            <v>0</v>
          </cell>
          <cell r="O1196">
            <v>0</v>
          </cell>
          <cell r="P1196">
            <v>0</v>
          </cell>
          <cell r="Q1196">
            <v>0</v>
          </cell>
          <cell r="R1196">
            <v>0</v>
          </cell>
        </row>
        <row r="1197">
          <cell r="A1197" t="str">
            <v>16.03.02.01</v>
          </cell>
          <cell r="B1197" t="str">
            <v>RED DE DESAGUE TUBERIA PVC DE 2"</v>
          </cell>
          <cell r="C1197" t="str">
            <v>m</v>
          </cell>
          <cell r="D1197">
            <v>17.48</v>
          </cell>
          <cell r="E1197">
            <v>15.56</v>
          </cell>
          <cell r="F1197">
            <v>271.98880000000003</v>
          </cell>
          <cell r="G1197">
            <v>0</v>
          </cell>
          <cell r="H1197">
            <v>0</v>
          </cell>
          <cell r="I1197" t="str">
            <v>0.00%</v>
          </cell>
          <cell r="J1197">
            <v>8.74</v>
          </cell>
          <cell r="K1197">
            <v>135.99440000000001</v>
          </cell>
          <cell r="L1197">
            <v>0.5</v>
          </cell>
          <cell r="M1197">
            <v>8.74</v>
          </cell>
          <cell r="N1197">
            <v>135.99440000000001</v>
          </cell>
          <cell r="O1197">
            <v>0.5</v>
          </cell>
          <cell r="P1197">
            <v>8.74</v>
          </cell>
          <cell r="Q1197">
            <v>135.99440000000001</v>
          </cell>
          <cell r="R1197">
            <v>0.5</v>
          </cell>
        </row>
        <row r="1198">
          <cell r="A1198" t="str">
            <v>16.03.02.02</v>
          </cell>
          <cell r="B1198" t="str">
            <v>RED DE DESAGUE TUBERIA PVC DE 4"</v>
          </cell>
          <cell r="C1198" t="str">
            <v>m</v>
          </cell>
          <cell r="D1198">
            <v>39.46</v>
          </cell>
          <cell r="E1198">
            <v>20.329999999999998</v>
          </cell>
          <cell r="F1198">
            <v>802.22179999999992</v>
          </cell>
          <cell r="G1198">
            <v>0</v>
          </cell>
          <cell r="H1198">
            <v>0</v>
          </cell>
          <cell r="I1198" t="str">
            <v>0.00%</v>
          </cell>
          <cell r="J1198">
            <v>20.759999999999998</v>
          </cell>
          <cell r="K1198">
            <v>422.05079999999992</v>
          </cell>
          <cell r="L1198">
            <v>0.52610238215914851</v>
          </cell>
          <cell r="M1198">
            <v>20.759999999999998</v>
          </cell>
          <cell r="N1198">
            <v>422.05079999999992</v>
          </cell>
          <cell r="O1198">
            <v>0.52610238215914851</v>
          </cell>
          <cell r="P1198">
            <v>18.700000000000003</v>
          </cell>
          <cell r="Q1198">
            <v>380.17099999999999</v>
          </cell>
          <cell r="R1198">
            <v>0.47389761784085155</v>
          </cell>
        </row>
        <row r="1199">
          <cell r="A1199" t="str">
            <v>16.03.03</v>
          </cell>
          <cell r="B1199" t="str">
            <v>REGISTRO Y SUMIDEROS</v>
          </cell>
          <cell r="C1199">
            <v>0</v>
          </cell>
          <cell r="D1199">
            <v>0</v>
          </cell>
          <cell r="E1199">
            <v>0</v>
          </cell>
          <cell r="F1199">
            <v>0</v>
          </cell>
          <cell r="G1199">
            <v>0</v>
          </cell>
          <cell r="H1199">
            <v>0</v>
          </cell>
          <cell r="I1199">
            <v>0</v>
          </cell>
          <cell r="J1199">
            <v>0</v>
          </cell>
          <cell r="K1199">
            <v>0</v>
          </cell>
          <cell r="L1199">
            <v>0</v>
          </cell>
          <cell r="M1199">
            <v>0</v>
          </cell>
          <cell r="N1199">
            <v>0</v>
          </cell>
          <cell r="O1199">
            <v>0</v>
          </cell>
          <cell r="P1199">
            <v>0</v>
          </cell>
          <cell r="Q1199">
            <v>0</v>
          </cell>
          <cell r="R1199">
            <v>0</v>
          </cell>
        </row>
        <row r="1200">
          <cell r="A1200" t="str">
            <v>16.03.03.01</v>
          </cell>
          <cell r="B1200" t="str">
            <v>REGISTROS DE BRONCE DE 2"</v>
          </cell>
          <cell r="C1200" t="str">
            <v>pza</v>
          </cell>
          <cell r="D1200">
            <v>4</v>
          </cell>
          <cell r="E1200">
            <v>58.08</v>
          </cell>
          <cell r="F1200">
            <v>232.32</v>
          </cell>
          <cell r="G1200">
            <v>0</v>
          </cell>
          <cell r="H1200">
            <v>0</v>
          </cell>
          <cell r="I1200" t="str">
            <v>0.00%</v>
          </cell>
          <cell r="J1200">
            <v>0</v>
          </cell>
          <cell r="K1200">
            <v>0</v>
          </cell>
          <cell r="L1200" t="str">
            <v>0.00%</v>
          </cell>
          <cell r="M1200">
            <v>0</v>
          </cell>
          <cell r="N1200">
            <v>0</v>
          </cell>
          <cell r="O1200" t="str">
            <v>0.00%</v>
          </cell>
          <cell r="P1200">
            <v>4</v>
          </cell>
          <cell r="Q1200">
            <v>232.32</v>
          </cell>
          <cell r="R1200">
            <v>1</v>
          </cell>
        </row>
        <row r="1201">
          <cell r="A1201" t="str">
            <v>16.03.03.02</v>
          </cell>
          <cell r="B1201" t="str">
            <v>REGISTROS DE BRONCE DE 4"</v>
          </cell>
          <cell r="C1201" t="str">
            <v>pza</v>
          </cell>
          <cell r="D1201">
            <v>16</v>
          </cell>
          <cell r="E1201">
            <v>34.130000000000003</v>
          </cell>
          <cell r="F1201">
            <v>546.08000000000004</v>
          </cell>
          <cell r="G1201">
            <v>0</v>
          </cell>
          <cell r="H1201">
            <v>0</v>
          </cell>
          <cell r="I1201" t="str">
            <v>0.00%</v>
          </cell>
          <cell r="J1201">
            <v>0</v>
          </cell>
          <cell r="K1201">
            <v>0</v>
          </cell>
          <cell r="L1201" t="str">
            <v>0.00%</v>
          </cell>
          <cell r="M1201">
            <v>0</v>
          </cell>
          <cell r="N1201">
            <v>0</v>
          </cell>
          <cell r="O1201" t="str">
            <v>0.00%</v>
          </cell>
          <cell r="P1201">
            <v>16</v>
          </cell>
          <cell r="Q1201">
            <v>546.08000000000004</v>
          </cell>
          <cell r="R1201">
            <v>1</v>
          </cell>
        </row>
        <row r="1202">
          <cell r="A1202" t="str">
            <v>16.03.03.03</v>
          </cell>
          <cell r="B1202" t="str">
            <v>SUMIDEROS DE 2"</v>
          </cell>
          <cell r="C1202" t="str">
            <v>pza</v>
          </cell>
          <cell r="D1202">
            <v>4</v>
          </cell>
          <cell r="E1202">
            <v>68.38</v>
          </cell>
          <cell r="F1202">
            <v>273.52</v>
          </cell>
          <cell r="G1202">
            <v>0</v>
          </cell>
          <cell r="H1202">
            <v>0</v>
          </cell>
          <cell r="I1202" t="str">
            <v>0.00%</v>
          </cell>
          <cell r="J1202">
            <v>0</v>
          </cell>
          <cell r="K1202">
            <v>0</v>
          </cell>
          <cell r="L1202" t="str">
            <v>0.00%</v>
          </cell>
          <cell r="M1202">
            <v>0</v>
          </cell>
          <cell r="N1202">
            <v>0</v>
          </cell>
          <cell r="O1202" t="str">
            <v>0.00%</v>
          </cell>
          <cell r="P1202">
            <v>4</v>
          </cell>
          <cell r="Q1202">
            <v>273.52</v>
          </cell>
          <cell r="R1202">
            <v>1</v>
          </cell>
        </row>
        <row r="1203">
          <cell r="A1203" t="str">
            <v>16.03.04</v>
          </cell>
          <cell r="B1203" t="str">
            <v>CAJAS DE INSPECCION Y RETENCION</v>
          </cell>
          <cell r="C1203">
            <v>0</v>
          </cell>
          <cell r="D1203">
            <v>0</v>
          </cell>
          <cell r="E1203">
            <v>0</v>
          </cell>
          <cell r="F1203">
            <v>0</v>
          </cell>
          <cell r="G1203">
            <v>0</v>
          </cell>
          <cell r="H1203">
            <v>0</v>
          </cell>
          <cell r="I1203">
            <v>0</v>
          </cell>
          <cell r="J1203">
            <v>0</v>
          </cell>
          <cell r="K1203">
            <v>0</v>
          </cell>
          <cell r="L1203">
            <v>0</v>
          </cell>
          <cell r="M1203">
            <v>0</v>
          </cell>
          <cell r="N1203">
            <v>0</v>
          </cell>
          <cell r="O1203">
            <v>0</v>
          </cell>
          <cell r="P1203">
            <v>0</v>
          </cell>
          <cell r="Q1203">
            <v>0</v>
          </cell>
          <cell r="R1203">
            <v>0</v>
          </cell>
        </row>
        <row r="1204">
          <cell r="A1204" t="str">
            <v>16.03.04.01</v>
          </cell>
          <cell r="B1204" t="str">
            <v>CAJA DE REGISTRO DE DESAGUE 12" X 24" - CONSTRUCION</v>
          </cell>
          <cell r="C1204" t="str">
            <v>und</v>
          </cell>
          <cell r="D1204">
            <v>1</v>
          </cell>
          <cell r="E1204">
            <v>140.52000000000001</v>
          </cell>
          <cell r="F1204">
            <v>140.52000000000001</v>
          </cell>
          <cell r="G1204">
            <v>0</v>
          </cell>
          <cell r="H1204">
            <v>0</v>
          </cell>
          <cell r="I1204" t="str">
            <v>0.00%</v>
          </cell>
          <cell r="J1204">
            <v>0</v>
          </cell>
          <cell r="K1204">
            <v>0</v>
          </cell>
          <cell r="L1204" t="str">
            <v>0.00%</v>
          </cell>
          <cell r="M1204">
            <v>0</v>
          </cell>
          <cell r="N1204">
            <v>0</v>
          </cell>
          <cell r="O1204" t="str">
            <v>0.00%</v>
          </cell>
          <cell r="P1204">
            <v>1</v>
          </cell>
          <cell r="Q1204">
            <v>140.52000000000001</v>
          </cell>
          <cell r="R1204">
            <v>1</v>
          </cell>
        </row>
        <row r="1205">
          <cell r="A1205" t="str">
            <v>16.03.05</v>
          </cell>
          <cell r="B1205" t="str">
            <v>PRUEBAS HIDRAULICA</v>
          </cell>
          <cell r="C1205">
            <v>0</v>
          </cell>
          <cell r="D1205">
            <v>0</v>
          </cell>
          <cell r="E1205">
            <v>0</v>
          </cell>
          <cell r="F1205">
            <v>0</v>
          </cell>
          <cell r="G1205">
            <v>0</v>
          </cell>
          <cell r="H1205">
            <v>0</v>
          </cell>
          <cell r="I1205">
            <v>0</v>
          </cell>
          <cell r="J1205">
            <v>0</v>
          </cell>
          <cell r="K1205">
            <v>0</v>
          </cell>
          <cell r="L1205">
            <v>0</v>
          </cell>
          <cell r="M1205">
            <v>0</v>
          </cell>
          <cell r="N1205">
            <v>0</v>
          </cell>
          <cell r="O1205">
            <v>0</v>
          </cell>
          <cell r="P1205">
            <v>0</v>
          </cell>
          <cell r="Q1205">
            <v>0</v>
          </cell>
          <cell r="R1205">
            <v>0</v>
          </cell>
        </row>
        <row r="1206">
          <cell r="A1206" t="str">
            <v>16.03.05.01</v>
          </cell>
          <cell r="B1206" t="str">
            <v>PRUEBA HIDRAULICA TUBERIA DE DESAGUE</v>
          </cell>
          <cell r="C1206" t="str">
            <v>und</v>
          </cell>
          <cell r="D1206">
            <v>1</v>
          </cell>
          <cell r="E1206">
            <v>450</v>
          </cell>
          <cell r="F1206">
            <v>450</v>
          </cell>
          <cell r="G1206">
            <v>0</v>
          </cell>
          <cell r="H1206">
            <v>0</v>
          </cell>
          <cell r="I1206" t="str">
            <v>0.00%</v>
          </cell>
          <cell r="J1206">
            <v>0</v>
          </cell>
          <cell r="K1206">
            <v>0</v>
          </cell>
          <cell r="L1206" t="str">
            <v>0.00%</v>
          </cell>
          <cell r="M1206">
            <v>0</v>
          </cell>
          <cell r="N1206">
            <v>0</v>
          </cell>
          <cell r="O1206" t="str">
            <v>0.00%</v>
          </cell>
          <cell r="P1206">
            <v>1</v>
          </cell>
          <cell r="Q1206">
            <v>450</v>
          </cell>
          <cell r="R1206">
            <v>1</v>
          </cell>
        </row>
        <row r="1207">
          <cell r="A1207" t="str">
            <v>16.04</v>
          </cell>
          <cell r="B1207" t="str">
            <v>SISTEMA DE DRENAJE PLUVIAL</v>
          </cell>
          <cell r="C1207">
            <v>0</v>
          </cell>
          <cell r="D1207">
            <v>0</v>
          </cell>
          <cell r="E1207">
            <v>0</v>
          </cell>
          <cell r="F1207">
            <v>0</v>
          </cell>
          <cell r="G1207">
            <v>0</v>
          </cell>
          <cell r="H1207">
            <v>0</v>
          </cell>
          <cell r="I1207">
            <v>0</v>
          </cell>
          <cell r="J1207">
            <v>0</v>
          </cell>
          <cell r="K1207">
            <v>0</v>
          </cell>
          <cell r="L1207">
            <v>0</v>
          </cell>
          <cell r="M1207">
            <v>0</v>
          </cell>
          <cell r="N1207">
            <v>0</v>
          </cell>
          <cell r="O1207">
            <v>0</v>
          </cell>
          <cell r="P1207">
            <v>0</v>
          </cell>
          <cell r="Q1207">
            <v>0</v>
          </cell>
          <cell r="R1207">
            <v>0</v>
          </cell>
        </row>
        <row r="1208">
          <cell r="A1208" t="str">
            <v>16.04.01</v>
          </cell>
          <cell r="B1208" t="str">
            <v>SISTEMA DE BAJADA MONTANTE (PLUVIAL)</v>
          </cell>
          <cell r="C1208">
            <v>0</v>
          </cell>
          <cell r="D1208">
            <v>0</v>
          </cell>
          <cell r="E1208">
            <v>0</v>
          </cell>
          <cell r="F1208">
            <v>0</v>
          </cell>
          <cell r="G1208">
            <v>0</v>
          </cell>
          <cell r="H1208">
            <v>0</v>
          </cell>
          <cell r="I1208">
            <v>0</v>
          </cell>
          <cell r="J1208">
            <v>0</v>
          </cell>
          <cell r="K1208">
            <v>0</v>
          </cell>
          <cell r="L1208">
            <v>0</v>
          </cell>
          <cell r="M1208">
            <v>0</v>
          </cell>
          <cell r="N1208">
            <v>0</v>
          </cell>
          <cell r="O1208">
            <v>0</v>
          </cell>
          <cell r="P1208">
            <v>0</v>
          </cell>
          <cell r="Q1208">
            <v>0</v>
          </cell>
          <cell r="R1208">
            <v>0</v>
          </cell>
        </row>
        <row r="1209">
          <cell r="A1209" t="str">
            <v>16.04.01.01</v>
          </cell>
          <cell r="B1209" t="str">
            <v>CANALETA DE EVACUACION PLUVIAL</v>
          </cell>
          <cell r="C1209" t="str">
            <v>m</v>
          </cell>
          <cell r="D1209">
            <v>15.8</v>
          </cell>
          <cell r="E1209">
            <v>33.79</v>
          </cell>
          <cell r="F1209">
            <v>533.88200000000006</v>
          </cell>
          <cell r="G1209">
            <v>0</v>
          </cell>
          <cell r="H1209">
            <v>0</v>
          </cell>
          <cell r="I1209" t="str">
            <v>0.00%</v>
          </cell>
          <cell r="J1209">
            <v>15.8</v>
          </cell>
          <cell r="K1209">
            <v>533.88200000000006</v>
          </cell>
          <cell r="L1209">
            <v>1</v>
          </cell>
          <cell r="M1209">
            <v>15.8</v>
          </cell>
          <cell r="N1209">
            <v>533.88200000000006</v>
          </cell>
          <cell r="O1209">
            <v>1</v>
          </cell>
          <cell r="P1209">
            <v>0</v>
          </cell>
          <cell r="Q1209">
            <v>0</v>
          </cell>
          <cell r="R1209" t="str">
            <v>0.00%</v>
          </cell>
        </row>
        <row r="1210">
          <cell r="A1210" t="str">
            <v>16.04.01.02</v>
          </cell>
          <cell r="B1210" t="str">
            <v>ABRAZADERA DE FIJACION DE TUBO</v>
          </cell>
          <cell r="C1210" t="str">
            <v>und</v>
          </cell>
          <cell r="D1210">
            <v>40</v>
          </cell>
          <cell r="E1210">
            <v>41.02</v>
          </cell>
          <cell r="F1210">
            <v>1640.8000000000002</v>
          </cell>
          <cell r="G1210">
            <v>0</v>
          </cell>
          <cell r="H1210">
            <v>0</v>
          </cell>
          <cell r="I1210" t="str">
            <v>0.00%</v>
          </cell>
          <cell r="J1210">
            <v>0</v>
          </cell>
          <cell r="K1210">
            <v>0</v>
          </cell>
          <cell r="L1210" t="str">
            <v>0.00%</v>
          </cell>
          <cell r="M1210">
            <v>0</v>
          </cell>
          <cell r="N1210">
            <v>0</v>
          </cell>
          <cell r="O1210" t="str">
            <v>0.00%</v>
          </cell>
          <cell r="P1210">
            <v>40</v>
          </cell>
          <cell r="Q1210">
            <v>1640.8000000000002</v>
          </cell>
          <cell r="R1210">
            <v>1</v>
          </cell>
        </row>
        <row r="1211">
          <cell r="A1211" t="str">
            <v>16.04.01.03</v>
          </cell>
          <cell r="B1211" t="str">
            <v>INSTALACION DE TUB. PVC SAP C-10 Ø 4"</v>
          </cell>
          <cell r="C1211" t="str">
            <v>m</v>
          </cell>
          <cell r="D1211">
            <v>51.6</v>
          </cell>
          <cell r="E1211">
            <v>9.93</v>
          </cell>
          <cell r="F1211">
            <v>512.38800000000003</v>
          </cell>
          <cell r="G1211">
            <v>0</v>
          </cell>
          <cell r="H1211">
            <v>0</v>
          </cell>
          <cell r="I1211" t="str">
            <v>0.00%</v>
          </cell>
          <cell r="J1211">
            <v>0</v>
          </cell>
          <cell r="K1211">
            <v>0</v>
          </cell>
          <cell r="L1211" t="str">
            <v>0.00%</v>
          </cell>
          <cell r="M1211">
            <v>0</v>
          </cell>
          <cell r="N1211">
            <v>0</v>
          </cell>
          <cell r="O1211" t="str">
            <v>0.00%</v>
          </cell>
          <cell r="P1211">
            <v>51.6</v>
          </cell>
          <cell r="Q1211">
            <v>512.38800000000003</v>
          </cell>
          <cell r="R1211">
            <v>1</v>
          </cell>
        </row>
        <row r="1212">
          <cell r="A1212" t="str">
            <v>16.04.01.04</v>
          </cell>
          <cell r="B1212" t="str">
            <v>CONCRETO FC=175 KG/CM2 EN COLUMNETAS</v>
          </cell>
          <cell r="C1212" t="str">
            <v>m3</v>
          </cell>
          <cell r="D1212">
            <v>0.32</v>
          </cell>
          <cell r="E1212">
            <v>466.52</v>
          </cell>
          <cell r="F1212">
            <v>149.28639999999999</v>
          </cell>
          <cell r="G1212">
            <v>0</v>
          </cell>
          <cell r="H1212">
            <v>0</v>
          </cell>
          <cell r="I1212" t="str">
            <v>0.00%</v>
          </cell>
          <cell r="J1212">
            <v>0</v>
          </cell>
          <cell r="K1212">
            <v>0</v>
          </cell>
          <cell r="L1212" t="str">
            <v>0.00%</v>
          </cell>
          <cell r="M1212">
            <v>0</v>
          </cell>
          <cell r="N1212">
            <v>0</v>
          </cell>
          <cell r="O1212" t="str">
            <v>0.00%</v>
          </cell>
          <cell r="P1212">
            <v>0.32</v>
          </cell>
          <cell r="Q1212">
            <v>149.28639999999999</v>
          </cell>
          <cell r="R1212">
            <v>1</v>
          </cell>
        </row>
        <row r="1213">
          <cell r="A1213" t="str">
            <v>16.04.01.05</v>
          </cell>
          <cell r="B1213" t="str">
            <v>ACERO F'Y=4200 KG/CM2 GRADO 60 EN COLUMNETAS</v>
          </cell>
          <cell r="C1213" t="str">
            <v>kg</v>
          </cell>
          <cell r="D1213">
            <v>56.69</v>
          </cell>
          <cell r="E1213">
            <v>4.4400000000000004</v>
          </cell>
          <cell r="F1213">
            <v>251.70360000000002</v>
          </cell>
          <cell r="G1213">
            <v>0</v>
          </cell>
          <cell r="H1213">
            <v>0</v>
          </cell>
          <cell r="I1213" t="str">
            <v>0.00%</v>
          </cell>
          <cell r="J1213">
            <v>0</v>
          </cell>
          <cell r="K1213">
            <v>0</v>
          </cell>
          <cell r="L1213" t="str">
            <v>0.00%</v>
          </cell>
          <cell r="M1213">
            <v>0</v>
          </cell>
          <cell r="N1213">
            <v>0</v>
          </cell>
          <cell r="O1213" t="str">
            <v>0.00%</v>
          </cell>
          <cell r="P1213">
            <v>56.69</v>
          </cell>
          <cell r="Q1213">
            <v>251.70360000000002</v>
          </cell>
          <cell r="R1213">
            <v>1</v>
          </cell>
        </row>
        <row r="1214">
          <cell r="A1214" t="str">
            <v>16.04.01.06</v>
          </cell>
          <cell r="B1214" t="str">
            <v>ENCOFRADO Y DESENCOFRADO NORMAL  EN COLUMNETAS</v>
          </cell>
          <cell r="C1214" t="str">
            <v>m2</v>
          </cell>
          <cell r="D1214">
            <v>4.8</v>
          </cell>
          <cell r="E1214">
            <v>44.19</v>
          </cell>
          <cell r="F1214">
            <v>212.11199999999999</v>
          </cell>
          <cell r="G1214">
            <v>0</v>
          </cell>
          <cell r="H1214">
            <v>0</v>
          </cell>
          <cell r="I1214" t="str">
            <v>0.00%</v>
          </cell>
          <cell r="J1214">
            <v>0</v>
          </cell>
          <cell r="K1214">
            <v>0</v>
          </cell>
          <cell r="L1214" t="str">
            <v>0.00%</v>
          </cell>
          <cell r="M1214">
            <v>0</v>
          </cell>
          <cell r="N1214">
            <v>0</v>
          </cell>
          <cell r="O1214" t="str">
            <v>0.00%</v>
          </cell>
          <cell r="P1214">
            <v>4.8</v>
          </cell>
          <cell r="Q1214">
            <v>212.11199999999999</v>
          </cell>
          <cell r="R1214">
            <v>1</v>
          </cell>
        </row>
        <row r="1215">
          <cell r="A1215" t="str">
            <v>16.04.01.07</v>
          </cell>
          <cell r="B1215" t="str">
            <v>TARRAJEO DE SUPERFICIE COLUMNETAS INCL. ARISTAS MEZCLA 1:5 CEMENTO:ARENA</v>
          </cell>
          <cell r="C1215" t="str">
            <v>m2</v>
          </cell>
          <cell r="D1215">
            <v>4.8</v>
          </cell>
          <cell r="E1215">
            <v>31.33</v>
          </cell>
          <cell r="F1215">
            <v>150.38399999999999</v>
          </cell>
          <cell r="G1215">
            <v>0</v>
          </cell>
          <cell r="H1215">
            <v>0</v>
          </cell>
          <cell r="I1215" t="str">
            <v>0.00%</v>
          </cell>
          <cell r="J1215">
            <v>0</v>
          </cell>
          <cell r="K1215">
            <v>0</v>
          </cell>
          <cell r="L1215" t="str">
            <v>0.00%</v>
          </cell>
          <cell r="M1215">
            <v>0</v>
          </cell>
          <cell r="N1215">
            <v>0</v>
          </cell>
          <cell r="O1215" t="str">
            <v>0.00%</v>
          </cell>
          <cell r="P1215">
            <v>4.8</v>
          </cell>
          <cell r="Q1215">
            <v>150.38399999999999</v>
          </cell>
          <cell r="R1215">
            <v>1</v>
          </cell>
        </row>
        <row r="1216">
          <cell r="A1216" t="str">
            <v>16.04.02</v>
          </cell>
          <cell r="B1216" t="str">
            <v>SISTEMA DE EVACUACION PLUVIAL</v>
          </cell>
          <cell r="C1216">
            <v>0</v>
          </cell>
          <cell r="D1216">
            <v>0</v>
          </cell>
          <cell r="E1216">
            <v>0</v>
          </cell>
          <cell r="F1216">
            <v>0</v>
          </cell>
          <cell r="G1216">
            <v>0</v>
          </cell>
          <cell r="H1216">
            <v>0</v>
          </cell>
          <cell r="I1216">
            <v>0</v>
          </cell>
          <cell r="J1216">
            <v>0</v>
          </cell>
          <cell r="K1216">
            <v>0</v>
          </cell>
          <cell r="L1216">
            <v>0</v>
          </cell>
          <cell r="M1216">
            <v>0</v>
          </cell>
          <cell r="N1216">
            <v>0</v>
          </cell>
          <cell r="O1216">
            <v>0</v>
          </cell>
          <cell r="P1216">
            <v>0</v>
          </cell>
          <cell r="Q1216">
            <v>0</v>
          </cell>
          <cell r="R1216">
            <v>0</v>
          </cell>
        </row>
        <row r="1217">
          <cell r="A1217" t="str">
            <v>16.04.02.01</v>
          </cell>
          <cell r="B1217" t="str">
            <v>RED COLECTORA PARA AGUAS PLUVIALES TUB. PVC UF Ø DE 4"</v>
          </cell>
          <cell r="C1217" t="str">
            <v>m</v>
          </cell>
          <cell r="D1217">
            <v>58.9</v>
          </cell>
          <cell r="E1217">
            <v>27.03</v>
          </cell>
          <cell r="F1217">
            <v>1592.067</v>
          </cell>
          <cell r="G1217">
            <v>0</v>
          </cell>
          <cell r="H1217">
            <v>0</v>
          </cell>
          <cell r="I1217" t="str">
            <v>0.00%</v>
          </cell>
          <cell r="J1217">
            <v>0</v>
          </cell>
          <cell r="K1217">
            <v>0</v>
          </cell>
          <cell r="L1217" t="str">
            <v>0.00%</v>
          </cell>
          <cell r="M1217">
            <v>0</v>
          </cell>
          <cell r="N1217">
            <v>0</v>
          </cell>
          <cell r="O1217" t="str">
            <v>0.00%</v>
          </cell>
          <cell r="P1217">
            <v>58.9</v>
          </cell>
          <cell r="Q1217">
            <v>1592.067</v>
          </cell>
          <cell r="R1217">
            <v>1</v>
          </cell>
        </row>
        <row r="1218">
          <cell r="A1218" t="str">
            <v>16.04.02.02</v>
          </cell>
          <cell r="B1218" t="str">
            <v>DRENAJE CON TUB. CRIBADA DE 2"</v>
          </cell>
          <cell r="C1218" t="str">
            <v>m</v>
          </cell>
          <cell r="D1218">
            <v>27.09</v>
          </cell>
          <cell r="E1218">
            <v>21.03</v>
          </cell>
          <cell r="F1218">
            <v>569.70270000000005</v>
          </cell>
          <cell r="G1218">
            <v>0</v>
          </cell>
          <cell r="H1218">
            <v>0</v>
          </cell>
          <cell r="I1218" t="str">
            <v>0.00%</v>
          </cell>
          <cell r="J1218">
            <v>0</v>
          </cell>
          <cell r="K1218">
            <v>0</v>
          </cell>
          <cell r="L1218" t="str">
            <v>0.00%</v>
          </cell>
          <cell r="M1218">
            <v>0</v>
          </cell>
          <cell r="N1218">
            <v>0</v>
          </cell>
          <cell r="O1218" t="str">
            <v>0.00%</v>
          </cell>
          <cell r="P1218">
            <v>27.09</v>
          </cell>
          <cell r="Q1218">
            <v>569.70270000000005</v>
          </cell>
          <cell r="R1218">
            <v>1</v>
          </cell>
        </row>
        <row r="1219">
          <cell r="A1219" t="str">
            <v>16.04.02.03</v>
          </cell>
          <cell r="B1219" t="str">
            <v>CAJA DE REGISTRO DE DESAGUE 12" X 24" - CONSTRUCION</v>
          </cell>
          <cell r="C1219" t="str">
            <v>und</v>
          </cell>
          <cell r="D1219">
            <v>7</v>
          </cell>
          <cell r="E1219">
            <v>140.52000000000001</v>
          </cell>
          <cell r="F1219">
            <v>983.6400000000001</v>
          </cell>
          <cell r="G1219">
            <v>0</v>
          </cell>
          <cell r="H1219">
            <v>0</v>
          </cell>
          <cell r="I1219" t="str">
            <v>0.00%</v>
          </cell>
          <cell r="J1219">
            <v>0</v>
          </cell>
          <cell r="K1219">
            <v>0</v>
          </cell>
          <cell r="L1219" t="str">
            <v>0.00%</v>
          </cell>
          <cell r="M1219">
            <v>0</v>
          </cell>
          <cell r="N1219">
            <v>0</v>
          </cell>
          <cell r="O1219" t="str">
            <v>0.00%</v>
          </cell>
          <cell r="P1219">
            <v>7</v>
          </cell>
          <cell r="Q1219">
            <v>983.6400000000001</v>
          </cell>
          <cell r="R1219">
            <v>1</v>
          </cell>
        </row>
        <row r="1220">
          <cell r="A1220" t="str">
            <v>17</v>
          </cell>
          <cell r="B1220" t="str">
            <v>BLOQUE - 3</v>
          </cell>
          <cell r="C1220">
            <v>0</v>
          </cell>
          <cell r="D1220">
            <v>0</v>
          </cell>
          <cell r="E1220">
            <v>0</v>
          </cell>
          <cell r="F1220">
            <v>0</v>
          </cell>
          <cell r="G1220">
            <v>0</v>
          </cell>
          <cell r="H1220">
            <v>0</v>
          </cell>
          <cell r="I1220">
            <v>0</v>
          </cell>
          <cell r="J1220">
            <v>0</v>
          </cell>
          <cell r="K1220">
            <v>0</v>
          </cell>
          <cell r="L1220">
            <v>0</v>
          </cell>
          <cell r="M1220">
            <v>0</v>
          </cell>
          <cell r="N1220">
            <v>0</v>
          </cell>
          <cell r="O1220">
            <v>0</v>
          </cell>
          <cell r="P1220">
            <v>0</v>
          </cell>
          <cell r="Q1220">
            <v>0</v>
          </cell>
          <cell r="R1220">
            <v>0</v>
          </cell>
        </row>
        <row r="1221">
          <cell r="A1221" t="str">
            <v>17.01</v>
          </cell>
          <cell r="B1221" t="str">
            <v>APARATOS SANITARIOS Y ACCESORIOS</v>
          </cell>
          <cell r="C1221">
            <v>0</v>
          </cell>
          <cell r="D1221">
            <v>0</v>
          </cell>
          <cell r="E1221">
            <v>0</v>
          </cell>
          <cell r="F1221">
            <v>0</v>
          </cell>
          <cell r="G1221">
            <v>0</v>
          </cell>
          <cell r="H1221">
            <v>0</v>
          </cell>
          <cell r="I1221">
            <v>0</v>
          </cell>
          <cell r="J1221">
            <v>0</v>
          </cell>
          <cell r="K1221">
            <v>0</v>
          </cell>
          <cell r="L1221">
            <v>0</v>
          </cell>
          <cell r="M1221">
            <v>0</v>
          </cell>
          <cell r="N1221">
            <v>0</v>
          </cell>
          <cell r="O1221">
            <v>0</v>
          </cell>
          <cell r="P1221">
            <v>0</v>
          </cell>
          <cell r="Q1221">
            <v>0</v>
          </cell>
          <cell r="R1221">
            <v>0</v>
          </cell>
        </row>
        <row r="1222">
          <cell r="A1222" t="str">
            <v>17.01.01</v>
          </cell>
          <cell r="B1222" t="str">
            <v>SUMINISTRO DE APARATO SANITARIOS</v>
          </cell>
          <cell r="C1222">
            <v>0</v>
          </cell>
          <cell r="D1222">
            <v>0</v>
          </cell>
          <cell r="E1222">
            <v>0</v>
          </cell>
          <cell r="F1222">
            <v>0</v>
          </cell>
          <cell r="G1222">
            <v>0</v>
          </cell>
          <cell r="H1222">
            <v>0</v>
          </cell>
          <cell r="I1222">
            <v>0</v>
          </cell>
          <cell r="J1222">
            <v>0</v>
          </cell>
          <cell r="K1222">
            <v>0</v>
          </cell>
          <cell r="L1222">
            <v>0</v>
          </cell>
          <cell r="M1222">
            <v>0</v>
          </cell>
          <cell r="N1222">
            <v>0</v>
          </cell>
          <cell r="O1222">
            <v>0</v>
          </cell>
          <cell r="P1222">
            <v>0</v>
          </cell>
          <cell r="Q1222">
            <v>0</v>
          </cell>
          <cell r="R1222">
            <v>0</v>
          </cell>
        </row>
        <row r="1223">
          <cell r="A1223" t="str">
            <v>17.01.01.01</v>
          </cell>
          <cell r="B1223" t="str">
            <v xml:space="preserve">INODORO SIFON JEET COLOR BLANCO </v>
          </cell>
          <cell r="C1223" t="str">
            <v>und</v>
          </cell>
          <cell r="D1223">
            <v>1</v>
          </cell>
          <cell r="E1223">
            <v>300</v>
          </cell>
          <cell r="F1223">
            <v>300</v>
          </cell>
          <cell r="G1223">
            <v>0</v>
          </cell>
          <cell r="H1223">
            <v>0</v>
          </cell>
          <cell r="I1223" t="str">
            <v>0.00%</v>
          </cell>
          <cell r="J1223">
            <v>0</v>
          </cell>
          <cell r="K1223">
            <v>0</v>
          </cell>
          <cell r="L1223" t="str">
            <v>0.00%</v>
          </cell>
          <cell r="M1223">
            <v>0</v>
          </cell>
          <cell r="N1223">
            <v>0</v>
          </cell>
          <cell r="O1223" t="str">
            <v>0.00%</v>
          </cell>
          <cell r="P1223">
            <v>1</v>
          </cell>
          <cell r="Q1223">
            <v>300</v>
          </cell>
          <cell r="R1223">
            <v>1</v>
          </cell>
        </row>
        <row r="1224">
          <cell r="A1224" t="str">
            <v>17.01.01.02</v>
          </cell>
          <cell r="B1224" t="str">
            <v xml:space="preserve">URINARIO BAMBI DE LOSA BLANCO </v>
          </cell>
          <cell r="C1224" t="str">
            <v>und</v>
          </cell>
          <cell r="D1224">
            <v>1</v>
          </cell>
          <cell r="E1224">
            <v>150</v>
          </cell>
          <cell r="F1224">
            <v>150</v>
          </cell>
          <cell r="G1224">
            <v>0</v>
          </cell>
          <cell r="H1224">
            <v>0</v>
          </cell>
          <cell r="I1224" t="str">
            <v>0.00%</v>
          </cell>
          <cell r="J1224">
            <v>0</v>
          </cell>
          <cell r="K1224">
            <v>0</v>
          </cell>
          <cell r="L1224" t="str">
            <v>0.00%</v>
          </cell>
          <cell r="M1224">
            <v>0</v>
          </cell>
          <cell r="N1224">
            <v>0</v>
          </cell>
          <cell r="O1224" t="str">
            <v>0.00%</v>
          </cell>
          <cell r="P1224">
            <v>1</v>
          </cell>
          <cell r="Q1224">
            <v>150</v>
          </cell>
          <cell r="R1224">
            <v>1</v>
          </cell>
        </row>
        <row r="1225">
          <cell r="A1225" t="str">
            <v>17.01.01.03</v>
          </cell>
          <cell r="B1225" t="str">
            <v>LAVATORIO TIPO ESTANDAR BLANCO</v>
          </cell>
          <cell r="C1225" t="str">
            <v>und</v>
          </cell>
          <cell r="D1225">
            <v>2</v>
          </cell>
          <cell r="E1225">
            <v>190</v>
          </cell>
          <cell r="F1225">
            <v>380</v>
          </cell>
          <cell r="G1225">
            <v>0</v>
          </cell>
          <cell r="H1225">
            <v>0</v>
          </cell>
          <cell r="I1225" t="str">
            <v>0.00%</v>
          </cell>
          <cell r="J1225">
            <v>0</v>
          </cell>
          <cell r="K1225">
            <v>0</v>
          </cell>
          <cell r="L1225" t="str">
            <v>0.00%</v>
          </cell>
          <cell r="M1225">
            <v>0</v>
          </cell>
          <cell r="N1225">
            <v>0</v>
          </cell>
          <cell r="O1225" t="str">
            <v>0.00%</v>
          </cell>
          <cell r="P1225">
            <v>2</v>
          </cell>
          <cell r="Q1225">
            <v>380</v>
          </cell>
          <cell r="R1225">
            <v>1</v>
          </cell>
        </row>
        <row r="1226">
          <cell r="A1226" t="str">
            <v>17.01.01.04</v>
          </cell>
          <cell r="B1226" t="str">
            <v>LAVADERO DE COCINA DE ACERO INOXIDABLE (INCLUYE ACCESORIOS)</v>
          </cell>
          <cell r="C1226" t="str">
            <v>und</v>
          </cell>
          <cell r="D1226">
            <v>2</v>
          </cell>
          <cell r="E1226">
            <v>150</v>
          </cell>
          <cell r="F1226">
            <v>300</v>
          </cell>
          <cell r="G1226">
            <v>0</v>
          </cell>
          <cell r="H1226">
            <v>0</v>
          </cell>
          <cell r="I1226" t="str">
            <v>0.00%</v>
          </cell>
          <cell r="J1226">
            <v>0</v>
          </cell>
          <cell r="K1226">
            <v>0</v>
          </cell>
          <cell r="L1226" t="str">
            <v>0.00%</v>
          </cell>
          <cell r="M1226">
            <v>0</v>
          </cell>
          <cell r="N1226">
            <v>0</v>
          </cell>
          <cell r="O1226" t="str">
            <v>0.00%</v>
          </cell>
          <cell r="P1226">
            <v>2</v>
          </cell>
          <cell r="Q1226">
            <v>300</v>
          </cell>
          <cell r="R1226">
            <v>1</v>
          </cell>
        </row>
        <row r="1227">
          <cell r="A1227" t="str">
            <v>17.01.02</v>
          </cell>
          <cell r="B1227" t="str">
            <v>SUMINISTRO DE ACCESORIOS</v>
          </cell>
          <cell r="C1227">
            <v>0</v>
          </cell>
          <cell r="D1227">
            <v>0</v>
          </cell>
          <cell r="E1227">
            <v>0</v>
          </cell>
          <cell r="F1227">
            <v>0</v>
          </cell>
          <cell r="G1227">
            <v>0</v>
          </cell>
          <cell r="H1227">
            <v>0</v>
          </cell>
          <cell r="I1227">
            <v>0</v>
          </cell>
          <cell r="J1227">
            <v>0</v>
          </cell>
          <cell r="K1227">
            <v>0</v>
          </cell>
          <cell r="L1227">
            <v>0</v>
          </cell>
          <cell r="M1227">
            <v>0</v>
          </cell>
          <cell r="N1227">
            <v>0</v>
          </cell>
          <cell r="O1227">
            <v>0</v>
          </cell>
          <cell r="P1227">
            <v>0</v>
          </cell>
          <cell r="Q1227">
            <v>0</v>
          </cell>
          <cell r="R1227">
            <v>0</v>
          </cell>
        </row>
        <row r="1228">
          <cell r="A1228" t="str">
            <v>17.01.02.01</v>
          </cell>
          <cell r="B1228" t="str">
            <v>PAPELERA DE LOSA COLOR BLANCO</v>
          </cell>
          <cell r="C1228" t="str">
            <v>und</v>
          </cell>
          <cell r="D1228">
            <v>1</v>
          </cell>
          <cell r="E1228">
            <v>35</v>
          </cell>
          <cell r="F1228">
            <v>35</v>
          </cell>
          <cell r="G1228">
            <v>0</v>
          </cell>
          <cell r="H1228">
            <v>0</v>
          </cell>
          <cell r="I1228" t="str">
            <v>0.00%</v>
          </cell>
          <cell r="J1228">
            <v>0</v>
          </cell>
          <cell r="K1228">
            <v>0</v>
          </cell>
          <cell r="L1228" t="str">
            <v>0.00%</v>
          </cell>
          <cell r="M1228">
            <v>0</v>
          </cell>
          <cell r="N1228">
            <v>0</v>
          </cell>
          <cell r="O1228" t="str">
            <v>0.00%</v>
          </cell>
          <cell r="P1228">
            <v>1</v>
          </cell>
          <cell r="Q1228">
            <v>35</v>
          </cell>
          <cell r="R1228">
            <v>1</v>
          </cell>
        </row>
        <row r="1229">
          <cell r="A1229" t="str">
            <v>17.01.02.02</v>
          </cell>
          <cell r="B1229" t="str">
            <v>JABONERA DE LOSA COLOR BLANCO</v>
          </cell>
          <cell r="C1229" t="str">
            <v>und</v>
          </cell>
          <cell r="D1229">
            <v>2</v>
          </cell>
          <cell r="E1229">
            <v>20</v>
          </cell>
          <cell r="F1229">
            <v>40</v>
          </cell>
          <cell r="G1229">
            <v>0</v>
          </cell>
          <cell r="H1229">
            <v>0</v>
          </cell>
          <cell r="I1229" t="str">
            <v>0.00%</v>
          </cell>
          <cell r="J1229">
            <v>0</v>
          </cell>
          <cell r="K1229">
            <v>0</v>
          </cell>
          <cell r="L1229" t="str">
            <v>0.00%</v>
          </cell>
          <cell r="M1229">
            <v>0</v>
          </cell>
          <cell r="N1229">
            <v>0</v>
          </cell>
          <cell r="O1229" t="str">
            <v>0.00%</v>
          </cell>
          <cell r="P1229">
            <v>2</v>
          </cell>
          <cell r="Q1229">
            <v>40</v>
          </cell>
          <cell r="R1229">
            <v>1</v>
          </cell>
        </row>
        <row r="1230">
          <cell r="A1230" t="str">
            <v>17.01.02.03</v>
          </cell>
          <cell r="B1230" t="str">
            <v>TOALLERA C/SOPORTE DE LOSA Y BARRA PLASTICA, COLOR BLANCO</v>
          </cell>
          <cell r="C1230" t="str">
            <v>und</v>
          </cell>
          <cell r="D1230">
            <v>1</v>
          </cell>
          <cell r="E1230">
            <v>30</v>
          </cell>
          <cell r="F1230">
            <v>30</v>
          </cell>
          <cell r="G1230">
            <v>0</v>
          </cell>
          <cell r="H1230">
            <v>0</v>
          </cell>
          <cell r="I1230" t="str">
            <v>0.00%</v>
          </cell>
          <cell r="J1230">
            <v>0</v>
          </cell>
          <cell r="K1230">
            <v>0</v>
          </cell>
          <cell r="L1230" t="str">
            <v>0.00%</v>
          </cell>
          <cell r="M1230">
            <v>0</v>
          </cell>
          <cell r="N1230">
            <v>0</v>
          </cell>
          <cell r="O1230" t="str">
            <v>0.00%</v>
          </cell>
          <cell r="P1230">
            <v>1</v>
          </cell>
          <cell r="Q1230">
            <v>30</v>
          </cell>
          <cell r="R1230">
            <v>1</v>
          </cell>
        </row>
        <row r="1231">
          <cell r="A1231" t="str">
            <v>17.01.02.04</v>
          </cell>
          <cell r="B1231" t="str">
            <v>DUCHAS CROMADAS</v>
          </cell>
          <cell r="C1231" t="str">
            <v>und</v>
          </cell>
          <cell r="D1231">
            <v>1</v>
          </cell>
          <cell r="E1231">
            <v>85</v>
          </cell>
          <cell r="F1231">
            <v>85</v>
          </cell>
          <cell r="G1231">
            <v>0</v>
          </cell>
          <cell r="H1231">
            <v>0</v>
          </cell>
          <cell r="I1231" t="str">
            <v>0.00%</v>
          </cell>
          <cell r="J1231">
            <v>0</v>
          </cell>
          <cell r="K1231">
            <v>0</v>
          </cell>
          <cell r="L1231" t="str">
            <v>0.00%</v>
          </cell>
          <cell r="M1231">
            <v>0</v>
          </cell>
          <cell r="N1231">
            <v>0</v>
          </cell>
          <cell r="O1231" t="str">
            <v>0.00%</v>
          </cell>
          <cell r="P1231">
            <v>1</v>
          </cell>
          <cell r="Q1231">
            <v>85</v>
          </cell>
          <cell r="R1231">
            <v>1</v>
          </cell>
        </row>
        <row r="1232">
          <cell r="A1232" t="str">
            <v>17.01.02.05</v>
          </cell>
          <cell r="B1232" t="str">
            <v>ESPEJO DE 4MM DE 0.60 x 0.90 M.</v>
          </cell>
          <cell r="C1232" t="str">
            <v>und</v>
          </cell>
          <cell r="D1232">
            <v>1</v>
          </cell>
          <cell r="E1232">
            <v>30</v>
          </cell>
          <cell r="F1232">
            <v>30</v>
          </cell>
          <cell r="G1232">
            <v>0</v>
          </cell>
          <cell r="H1232">
            <v>0</v>
          </cell>
          <cell r="I1232" t="str">
            <v>0.00%</v>
          </cell>
          <cell r="J1232">
            <v>0</v>
          </cell>
          <cell r="K1232">
            <v>0</v>
          </cell>
          <cell r="L1232" t="str">
            <v>0.00%</v>
          </cell>
          <cell r="M1232">
            <v>0</v>
          </cell>
          <cell r="N1232">
            <v>0</v>
          </cell>
          <cell r="O1232" t="str">
            <v>0.00%</v>
          </cell>
          <cell r="P1232">
            <v>1</v>
          </cell>
          <cell r="Q1232">
            <v>30</v>
          </cell>
          <cell r="R1232">
            <v>1</v>
          </cell>
        </row>
        <row r="1233">
          <cell r="A1233" t="str">
            <v>17.01.03</v>
          </cell>
          <cell r="B1233" t="str">
            <v xml:space="preserve">INSTALACION DE APARATOS SANITARIOS  </v>
          </cell>
          <cell r="C1233">
            <v>0</v>
          </cell>
          <cell r="D1233">
            <v>0</v>
          </cell>
          <cell r="E1233">
            <v>0</v>
          </cell>
          <cell r="F1233">
            <v>0</v>
          </cell>
          <cell r="G1233">
            <v>0</v>
          </cell>
          <cell r="H1233">
            <v>0</v>
          </cell>
          <cell r="I1233">
            <v>0</v>
          </cell>
          <cell r="J1233">
            <v>0</v>
          </cell>
          <cell r="K1233">
            <v>0</v>
          </cell>
          <cell r="L1233">
            <v>0</v>
          </cell>
          <cell r="M1233">
            <v>0</v>
          </cell>
          <cell r="N1233">
            <v>0</v>
          </cell>
          <cell r="O1233">
            <v>0</v>
          </cell>
          <cell r="P1233">
            <v>0</v>
          </cell>
          <cell r="Q1233">
            <v>0</v>
          </cell>
          <cell r="R1233">
            <v>0</v>
          </cell>
        </row>
        <row r="1234">
          <cell r="A1234" t="str">
            <v>17.01.03.01</v>
          </cell>
          <cell r="B1234" t="str">
            <v xml:space="preserve">COLOCACION DE APARATOS SANITARIOS </v>
          </cell>
          <cell r="C1234" t="str">
            <v>und</v>
          </cell>
          <cell r="D1234">
            <v>6</v>
          </cell>
          <cell r="E1234">
            <v>52.08</v>
          </cell>
          <cell r="F1234">
            <v>312.48</v>
          </cell>
          <cell r="G1234">
            <v>0</v>
          </cell>
          <cell r="H1234">
            <v>0</v>
          </cell>
          <cell r="I1234" t="str">
            <v>0.00%</v>
          </cell>
          <cell r="J1234">
            <v>0</v>
          </cell>
          <cell r="K1234">
            <v>0</v>
          </cell>
          <cell r="L1234" t="str">
            <v>0.00%</v>
          </cell>
          <cell r="M1234">
            <v>0</v>
          </cell>
          <cell r="N1234">
            <v>0</v>
          </cell>
          <cell r="O1234" t="str">
            <v>0.00%</v>
          </cell>
          <cell r="P1234">
            <v>6</v>
          </cell>
          <cell r="Q1234">
            <v>312.48</v>
          </cell>
          <cell r="R1234">
            <v>1</v>
          </cell>
        </row>
        <row r="1235">
          <cell r="A1235" t="str">
            <v>17.01.04</v>
          </cell>
          <cell r="B1235" t="str">
            <v>INSTALACION DE ACCESORIOS</v>
          </cell>
          <cell r="C1235">
            <v>0</v>
          </cell>
          <cell r="D1235">
            <v>0</v>
          </cell>
          <cell r="E1235">
            <v>0</v>
          </cell>
          <cell r="F1235">
            <v>0</v>
          </cell>
          <cell r="G1235">
            <v>0</v>
          </cell>
          <cell r="H1235">
            <v>0</v>
          </cell>
          <cell r="I1235">
            <v>0</v>
          </cell>
          <cell r="J1235">
            <v>0</v>
          </cell>
          <cell r="K1235">
            <v>0</v>
          </cell>
          <cell r="L1235">
            <v>0</v>
          </cell>
          <cell r="M1235">
            <v>0</v>
          </cell>
          <cell r="N1235">
            <v>0</v>
          </cell>
          <cell r="O1235">
            <v>0</v>
          </cell>
          <cell r="P1235">
            <v>0</v>
          </cell>
          <cell r="Q1235">
            <v>0</v>
          </cell>
          <cell r="R1235">
            <v>0</v>
          </cell>
        </row>
        <row r="1236">
          <cell r="A1236" t="str">
            <v>17.01.04.01</v>
          </cell>
          <cell r="B1236" t="str">
            <v>COLOCACION DE ACCESORIOS SANITARIOS</v>
          </cell>
          <cell r="C1236" t="str">
            <v>und</v>
          </cell>
          <cell r="D1236">
            <v>6</v>
          </cell>
          <cell r="E1236">
            <v>26.04</v>
          </cell>
          <cell r="F1236">
            <v>156.24</v>
          </cell>
          <cell r="G1236">
            <v>0</v>
          </cell>
          <cell r="H1236">
            <v>0</v>
          </cell>
          <cell r="I1236" t="str">
            <v>0.00%</v>
          </cell>
          <cell r="J1236">
            <v>0</v>
          </cell>
          <cell r="K1236">
            <v>0</v>
          </cell>
          <cell r="L1236" t="str">
            <v>0.00%</v>
          </cell>
          <cell r="M1236">
            <v>0</v>
          </cell>
          <cell r="N1236">
            <v>0</v>
          </cell>
          <cell r="O1236" t="str">
            <v>0.00%</v>
          </cell>
          <cell r="P1236">
            <v>6</v>
          </cell>
          <cell r="Q1236">
            <v>156.24</v>
          </cell>
          <cell r="R1236">
            <v>1</v>
          </cell>
        </row>
        <row r="1237">
          <cell r="A1237" t="str">
            <v>17.02</v>
          </cell>
          <cell r="B1237" t="str">
            <v>SISTEMA DE AGUA FRIA Y ALIMENTADORES</v>
          </cell>
          <cell r="C1237">
            <v>0</v>
          </cell>
          <cell r="D1237">
            <v>0</v>
          </cell>
          <cell r="E1237">
            <v>0</v>
          </cell>
          <cell r="F1237">
            <v>0</v>
          </cell>
          <cell r="G1237">
            <v>0</v>
          </cell>
          <cell r="H1237">
            <v>0</v>
          </cell>
          <cell r="I1237">
            <v>0</v>
          </cell>
          <cell r="J1237">
            <v>0</v>
          </cell>
          <cell r="K1237">
            <v>0</v>
          </cell>
          <cell r="L1237">
            <v>0</v>
          </cell>
          <cell r="M1237">
            <v>0</v>
          </cell>
          <cell r="N1237">
            <v>0</v>
          </cell>
          <cell r="O1237">
            <v>0</v>
          </cell>
          <cell r="P1237">
            <v>0</v>
          </cell>
          <cell r="Q1237">
            <v>0</v>
          </cell>
          <cell r="R1237">
            <v>0</v>
          </cell>
        </row>
        <row r="1238">
          <cell r="A1238" t="str">
            <v>17.02.01</v>
          </cell>
          <cell r="B1238" t="str">
            <v>SALIDA DE AGUA FRIA</v>
          </cell>
          <cell r="C1238">
            <v>0</v>
          </cell>
          <cell r="D1238">
            <v>0</v>
          </cell>
          <cell r="E1238">
            <v>0</v>
          </cell>
          <cell r="F1238">
            <v>0</v>
          </cell>
          <cell r="G1238">
            <v>0</v>
          </cell>
          <cell r="H1238">
            <v>0</v>
          </cell>
          <cell r="I1238">
            <v>0</v>
          </cell>
          <cell r="J1238">
            <v>0</v>
          </cell>
          <cell r="K1238">
            <v>0</v>
          </cell>
          <cell r="L1238">
            <v>0</v>
          </cell>
          <cell r="M1238">
            <v>0</v>
          </cell>
          <cell r="N1238">
            <v>0</v>
          </cell>
          <cell r="O1238">
            <v>0</v>
          </cell>
          <cell r="P1238">
            <v>0</v>
          </cell>
          <cell r="Q1238">
            <v>0</v>
          </cell>
          <cell r="R1238">
            <v>0</v>
          </cell>
        </row>
        <row r="1239">
          <cell r="A1239" t="str">
            <v>17.02.01.01</v>
          </cell>
          <cell r="B1239" t="str">
            <v>SALIDA DE AGUA FRIA CON TUBERIA DE PVC-SAP 1/2"</v>
          </cell>
          <cell r="C1239" t="str">
            <v>pto</v>
          </cell>
          <cell r="D1239">
            <v>6</v>
          </cell>
          <cell r="E1239">
            <v>41.53</v>
          </cell>
          <cell r="F1239">
            <v>249.18</v>
          </cell>
          <cell r="G1239">
            <v>0</v>
          </cell>
          <cell r="H1239">
            <v>0</v>
          </cell>
          <cell r="I1239" t="str">
            <v>0.00%</v>
          </cell>
          <cell r="J1239">
            <v>3</v>
          </cell>
          <cell r="K1239">
            <v>124.59</v>
          </cell>
          <cell r="L1239">
            <v>0.5</v>
          </cell>
          <cell r="M1239">
            <v>3</v>
          </cell>
          <cell r="N1239">
            <v>124.59</v>
          </cell>
          <cell r="O1239">
            <v>0.5</v>
          </cell>
          <cell r="P1239">
            <v>3</v>
          </cell>
          <cell r="Q1239">
            <v>124.59</v>
          </cell>
          <cell r="R1239">
            <v>0.5</v>
          </cell>
        </row>
        <row r="1240">
          <cell r="A1240" t="str">
            <v>17.02.02</v>
          </cell>
          <cell r="B1240" t="str">
            <v>REDES DE DISTRIBUCION DE AGUA FRIA</v>
          </cell>
          <cell r="C1240">
            <v>0</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row>
        <row r="1241">
          <cell r="A1241" t="str">
            <v>17.02.02.01</v>
          </cell>
          <cell r="B1241" t="str">
            <v>RED DE DISTRIBUCION TUBERIA PVC SAP C-10 Ø DE 1/2"</v>
          </cell>
          <cell r="C1241" t="str">
            <v>m</v>
          </cell>
          <cell r="D1241">
            <v>18.989999999999998</v>
          </cell>
          <cell r="E1241">
            <v>20.36</v>
          </cell>
          <cell r="F1241">
            <v>386.63639999999998</v>
          </cell>
          <cell r="G1241">
            <v>0</v>
          </cell>
          <cell r="H1241">
            <v>0</v>
          </cell>
          <cell r="I1241" t="str">
            <v>0.00%</v>
          </cell>
          <cell r="J1241">
            <v>13.39</v>
          </cell>
          <cell r="K1241">
            <v>272.62040000000002</v>
          </cell>
          <cell r="L1241">
            <v>0.7051079515534493</v>
          </cell>
          <cell r="M1241">
            <v>13.39</v>
          </cell>
          <cell r="N1241">
            <v>272.62040000000002</v>
          </cell>
          <cell r="O1241">
            <v>0.7051079515534493</v>
          </cell>
          <cell r="P1241">
            <v>5.5999999999999979</v>
          </cell>
          <cell r="Q1241">
            <v>114.01599999999996</v>
          </cell>
          <cell r="R1241">
            <v>0.29489204844655076</v>
          </cell>
        </row>
        <row r="1242">
          <cell r="A1242" t="str">
            <v>17.02.02.02</v>
          </cell>
          <cell r="B1242" t="str">
            <v>RED DE DISTRIBUCION TUBERIA PVC SAP C-10 Ø DE 3/4"</v>
          </cell>
          <cell r="C1242" t="str">
            <v>m</v>
          </cell>
          <cell r="D1242">
            <v>8.25</v>
          </cell>
          <cell r="E1242">
            <v>31.76</v>
          </cell>
          <cell r="F1242">
            <v>262.02000000000004</v>
          </cell>
          <cell r="G1242">
            <v>0</v>
          </cell>
          <cell r="H1242">
            <v>0</v>
          </cell>
          <cell r="I1242" t="str">
            <v>0.00%</v>
          </cell>
          <cell r="J1242">
            <v>3.55</v>
          </cell>
          <cell r="K1242">
            <v>112.748</v>
          </cell>
          <cell r="L1242">
            <v>0.43030303030303024</v>
          </cell>
          <cell r="M1242">
            <v>3.55</v>
          </cell>
          <cell r="N1242">
            <v>112.748</v>
          </cell>
          <cell r="O1242">
            <v>0.43030303030303024</v>
          </cell>
          <cell r="P1242">
            <v>4.7</v>
          </cell>
          <cell r="Q1242">
            <v>149.27200000000005</v>
          </cell>
          <cell r="R1242">
            <v>0.56969696969696981</v>
          </cell>
        </row>
        <row r="1243">
          <cell r="A1243" t="str">
            <v>17.02.03</v>
          </cell>
          <cell r="B1243" t="str">
            <v>VALVULA Y ACCESORIOS DE AGUA FRIA</v>
          </cell>
          <cell r="C1243">
            <v>0</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row>
        <row r="1244">
          <cell r="A1244" t="str">
            <v>17.02.03.01</v>
          </cell>
          <cell r="B1244" t="str">
            <v>VALVULA COMPUERTA DE BRONCE  Ø 1/2"</v>
          </cell>
          <cell r="C1244" t="str">
            <v>und</v>
          </cell>
          <cell r="D1244">
            <v>1</v>
          </cell>
          <cell r="E1244">
            <v>147.4</v>
          </cell>
          <cell r="F1244">
            <v>147.4</v>
          </cell>
          <cell r="G1244">
            <v>0</v>
          </cell>
          <cell r="H1244">
            <v>0</v>
          </cell>
          <cell r="I1244" t="str">
            <v>0.00%</v>
          </cell>
          <cell r="J1244">
            <v>1</v>
          </cell>
          <cell r="K1244">
            <v>147.4</v>
          </cell>
          <cell r="L1244">
            <v>1</v>
          </cell>
          <cell r="M1244">
            <v>1</v>
          </cell>
          <cell r="N1244">
            <v>147.4</v>
          </cell>
          <cell r="O1244">
            <v>1</v>
          </cell>
          <cell r="P1244">
            <v>0</v>
          </cell>
          <cell r="Q1244">
            <v>0</v>
          </cell>
          <cell r="R1244" t="str">
            <v>0.00%</v>
          </cell>
        </row>
        <row r="1245">
          <cell r="A1245" t="str">
            <v>17.02.04</v>
          </cell>
          <cell r="B1245" t="str">
            <v>PRUEBAS HIDRAULICA</v>
          </cell>
          <cell r="C1245">
            <v>0</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row>
        <row r="1246">
          <cell r="A1246" t="str">
            <v>17.02.04.01</v>
          </cell>
          <cell r="B1246" t="str">
            <v>PRUEBA HIDRAULICA TUBERIA DE AGUA FRIA</v>
          </cell>
          <cell r="C1246" t="str">
            <v>GLB</v>
          </cell>
          <cell r="D1246">
            <v>1</v>
          </cell>
          <cell r="E1246">
            <v>450</v>
          </cell>
          <cell r="F1246">
            <v>450</v>
          </cell>
          <cell r="G1246">
            <v>0</v>
          </cell>
          <cell r="H1246">
            <v>0</v>
          </cell>
          <cell r="I1246" t="str">
            <v>0.00%</v>
          </cell>
          <cell r="J1246">
            <v>0</v>
          </cell>
          <cell r="K1246">
            <v>0</v>
          </cell>
          <cell r="L1246" t="str">
            <v>0.00%</v>
          </cell>
          <cell r="M1246">
            <v>0</v>
          </cell>
          <cell r="N1246">
            <v>0</v>
          </cell>
          <cell r="O1246" t="str">
            <v>0.00%</v>
          </cell>
          <cell r="P1246">
            <v>1</v>
          </cell>
          <cell r="Q1246">
            <v>450</v>
          </cell>
          <cell r="R1246">
            <v>1</v>
          </cell>
        </row>
        <row r="1247">
          <cell r="A1247" t="str">
            <v>17.03</v>
          </cell>
          <cell r="B1247" t="str">
            <v xml:space="preserve">SISTEMA DE DESAGUE Y VENTILACION </v>
          </cell>
          <cell r="C1247">
            <v>0</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row>
        <row r="1248">
          <cell r="A1248" t="str">
            <v>17.03.01</v>
          </cell>
          <cell r="B1248" t="str">
            <v>SALIDA DE DESAGUE Y VENTILACION</v>
          </cell>
          <cell r="C1248">
            <v>0</v>
          </cell>
          <cell r="D1248">
            <v>0</v>
          </cell>
          <cell r="E1248">
            <v>0</v>
          </cell>
          <cell r="F1248">
            <v>0</v>
          </cell>
          <cell r="G1248">
            <v>0</v>
          </cell>
          <cell r="H1248">
            <v>0</v>
          </cell>
          <cell r="I1248">
            <v>0</v>
          </cell>
          <cell r="J1248">
            <v>0</v>
          </cell>
          <cell r="K1248">
            <v>0</v>
          </cell>
          <cell r="L1248">
            <v>0</v>
          </cell>
          <cell r="M1248">
            <v>0</v>
          </cell>
          <cell r="N1248">
            <v>0</v>
          </cell>
          <cell r="O1248">
            <v>0</v>
          </cell>
          <cell r="P1248">
            <v>0</v>
          </cell>
          <cell r="Q1248">
            <v>0</v>
          </cell>
          <cell r="R1248">
            <v>0</v>
          </cell>
        </row>
        <row r="1249">
          <cell r="A1249" t="str">
            <v>17.03.01.01</v>
          </cell>
          <cell r="B1249" t="str">
            <v>SALIDAS DE PVC SAL PARA DESAGUE DE 2"</v>
          </cell>
          <cell r="C1249" t="str">
            <v>pto</v>
          </cell>
          <cell r="D1249">
            <v>11</v>
          </cell>
          <cell r="E1249">
            <v>92.04</v>
          </cell>
          <cell r="F1249">
            <v>1012.44</v>
          </cell>
          <cell r="G1249">
            <v>11</v>
          </cell>
          <cell r="H1249">
            <v>1012.44</v>
          </cell>
          <cell r="I1249">
            <v>1</v>
          </cell>
          <cell r="J1249">
            <v>0</v>
          </cell>
          <cell r="K1249">
            <v>0</v>
          </cell>
          <cell r="L1249" t="str">
            <v>0.00%</v>
          </cell>
          <cell r="M1249">
            <v>11</v>
          </cell>
          <cell r="N1249">
            <v>1012.44</v>
          </cell>
          <cell r="O1249">
            <v>1</v>
          </cell>
          <cell r="P1249">
            <v>0</v>
          </cell>
          <cell r="Q1249">
            <v>0</v>
          </cell>
          <cell r="R1249" t="str">
            <v>0.00%</v>
          </cell>
        </row>
        <row r="1250">
          <cell r="A1250" t="str">
            <v>17.03.01.02</v>
          </cell>
          <cell r="B1250" t="str">
            <v>SALIDAS DE PVC SAL PARA DESAGUE DE 4"</v>
          </cell>
          <cell r="C1250" t="str">
            <v>pto</v>
          </cell>
          <cell r="D1250">
            <v>3</v>
          </cell>
          <cell r="E1250">
            <v>56.34</v>
          </cell>
          <cell r="F1250">
            <v>169.02</v>
          </cell>
          <cell r="G1250">
            <v>3</v>
          </cell>
          <cell r="H1250">
            <v>169.02</v>
          </cell>
          <cell r="I1250">
            <v>1</v>
          </cell>
          <cell r="J1250">
            <v>0</v>
          </cell>
          <cell r="K1250">
            <v>0</v>
          </cell>
          <cell r="L1250" t="str">
            <v>0.00%</v>
          </cell>
          <cell r="M1250">
            <v>3</v>
          </cell>
          <cell r="N1250">
            <v>169.02</v>
          </cell>
          <cell r="O1250">
            <v>1</v>
          </cell>
          <cell r="P1250">
            <v>0</v>
          </cell>
          <cell r="Q1250">
            <v>0</v>
          </cell>
          <cell r="R1250" t="str">
            <v>0.00%</v>
          </cell>
        </row>
        <row r="1251">
          <cell r="A1251" t="str">
            <v>17.03.01.03</v>
          </cell>
          <cell r="B1251" t="str">
            <v>SALIDAS DE PVC SAL PARA VENTILACION DE 2"</v>
          </cell>
          <cell r="C1251" t="str">
            <v>pto</v>
          </cell>
          <cell r="D1251">
            <v>16</v>
          </cell>
          <cell r="E1251">
            <v>85.76</v>
          </cell>
          <cell r="F1251">
            <v>1372.16</v>
          </cell>
          <cell r="G1251">
            <v>16</v>
          </cell>
          <cell r="H1251">
            <v>1372.16</v>
          </cell>
          <cell r="I1251">
            <v>1</v>
          </cell>
          <cell r="J1251">
            <v>0</v>
          </cell>
          <cell r="K1251">
            <v>0</v>
          </cell>
          <cell r="L1251" t="str">
            <v>0.00%</v>
          </cell>
          <cell r="M1251">
            <v>16</v>
          </cell>
          <cell r="N1251">
            <v>1372.16</v>
          </cell>
          <cell r="O1251">
            <v>1</v>
          </cell>
          <cell r="P1251">
            <v>0</v>
          </cell>
          <cell r="Q1251">
            <v>0</v>
          </cell>
          <cell r="R1251" t="str">
            <v>0.00%</v>
          </cell>
        </row>
        <row r="1252">
          <cell r="A1252" t="str">
            <v>17.03.01.04</v>
          </cell>
          <cell r="B1252" t="str">
            <v>SOMBRERO VENTILACION PVC DE 2"</v>
          </cell>
          <cell r="C1252" t="str">
            <v>pza</v>
          </cell>
          <cell r="D1252">
            <v>2</v>
          </cell>
          <cell r="E1252">
            <v>11.19</v>
          </cell>
          <cell r="F1252">
            <v>22.38</v>
          </cell>
          <cell r="G1252">
            <v>0</v>
          </cell>
          <cell r="H1252">
            <v>0</v>
          </cell>
          <cell r="I1252" t="str">
            <v>0.00%</v>
          </cell>
          <cell r="J1252">
            <v>0</v>
          </cell>
          <cell r="K1252">
            <v>0</v>
          </cell>
          <cell r="L1252" t="str">
            <v>0.00%</v>
          </cell>
          <cell r="M1252">
            <v>0</v>
          </cell>
          <cell r="N1252">
            <v>0</v>
          </cell>
          <cell r="O1252" t="str">
            <v>0.00%</v>
          </cell>
          <cell r="P1252">
            <v>2</v>
          </cell>
          <cell r="Q1252">
            <v>22.38</v>
          </cell>
          <cell r="R1252">
            <v>1</v>
          </cell>
        </row>
        <row r="1253">
          <cell r="A1253" t="str">
            <v>17.03.02</v>
          </cell>
          <cell r="B1253" t="str">
            <v>REDES DE DERIVACION</v>
          </cell>
          <cell r="C1253">
            <v>0</v>
          </cell>
          <cell r="D1253">
            <v>0</v>
          </cell>
          <cell r="E1253">
            <v>0</v>
          </cell>
          <cell r="F1253">
            <v>0</v>
          </cell>
          <cell r="G1253">
            <v>0</v>
          </cell>
          <cell r="H1253">
            <v>0</v>
          </cell>
          <cell r="I1253">
            <v>0</v>
          </cell>
          <cell r="J1253">
            <v>0</v>
          </cell>
          <cell r="K1253">
            <v>0</v>
          </cell>
          <cell r="L1253">
            <v>0</v>
          </cell>
          <cell r="M1253">
            <v>0</v>
          </cell>
          <cell r="N1253">
            <v>0</v>
          </cell>
          <cell r="O1253">
            <v>0</v>
          </cell>
          <cell r="P1253">
            <v>0</v>
          </cell>
          <cell r="Q1253">
            <v>0</v>
          </cell>
          <cell r="R1253">
            <v>0</v>
          </cell>
        </row>
        <row r="1254">
          <cell r="A1254" t="str">
            <v>17.03.02.01</v>
          </cell>
          <cell r="B1254" t="str">
            <v>RED DE DESAGUE TUBERIA PVC DE 2"</v>
          </cell>
          <cell r="C1254" t="str">
            <v>m</v>
          </cell>
          <cell r="D1254">
            <v>6.91</v>
          </cell>
          <cell r="E1254">
            <v>15.56</v>
          </cell>
          <cell r="F1254">
            <v>107.51960000000001</v>
          </cell>
          <cell r="G1254">
            <v>0</v>
          </cell>
          <cell r="H1254">
            <v>0</v>
          </cell>
          <cell r="I1254" t="str">
            <v>0.00%</v>
          </cell>
          <cell r="J1254">
            <v>4.04</v>
          </cell>
          <cell r="K1254">
            <v>62.862400000000001</v>
          </cell>
          <cell r="L1254">
            <v>0.58465991316931976</v>
          </cell>
          <cell r="M1254">
            <v>4.04</v>
          </cell>
          <cell r="N1254">
            <v>62.862400000000001</v>
          </cell>
          <cell r="O1254">
            <v>0.58465991316931976</v>
          </cell>
          <cell r="P1254">
            <v>2.87</v>
          </cell>
          <cell r="Q1254">
            <v>44.65720000000001</v>
          </cell>
          <cell r="R1254">
            <v>0.41534008683068024</v>
          </cell>
        </row>
        <row r="1255">
          <cell r="A1255" t="str">
            <v>17.03.02.02</v>
          </cell>
          <cell r="B1255" t="str">
            <v>RED DE DESAGUE TUBERIA PVC DE 4"</v>
          </cell>
          <cell r="C1255" t="str">
            <v>m</v>
          </cell>
          <cell r="D1255">
            <v>27.2</v>
          </cell>
          <cell r="E1255">
            <v>20.329999999999998</v>
          </cell>
          <cell r="F1255">
            <v>552.97599999999989</v>
          </cell>
          <cell r="G1255">
            <v>0</v>
          </cell>
          <cell r="H1255">
            <v>0</v>
          </cell>
          <cell r="I1255" t="str">
            <v>0.00%</v>
          </cell>
          <cell r="J1255">
            <v>16.149999999999999</v>
          </cell>
          <cell r="K1255">
            <v>328.32949999999994</v>
          </cell>
          <cell r="L1255">
            <v>0.59375</v>
          </cell>
          <cell r="M1255">
            <v>16.149999999999999</v>
          </cell>
          <cell r="N1255">
            <v>328.32949999999994</v>
          </cell>
          <cell r="O1255">
            <v>0.59375</v>
          </cell>
          <cell r="P1255">
            <v>11.05</v>
          </cell>
          <cell r="Q1255">
            <v>224.64649999999995</v>
          </cell>
          <cell r="R1255">
            <v>0.40625</v>
          </cell>
        </row>
        <row r="1256">
          <cell r="A1256" t="str">
            <v>17.03.03</v>
          </cell>
          <cell r="B1256" t="str">
            <v>REGISTRO Y SUMIDEROS</v>
          </cell>
          <cell r="C1256">
            <v>0</v>
          </cell>
          <cell r="D1256">
            <v>0</v>
          </cell>
          <cell r="E1256">
            <v>0</v>
          </cell>
          <cell r="F1256">
            <v>0</v>
          </cell>
          <cell r="G1256">
            <v>0</v>
          </cell>
          <cell r="H1256">
            <v>0</v>
          </cell>
          <cell r="I1256">
            <v>0</v>
          </cell>
          <cell r="J1256">
            <v>0</v>
          </cell>
          <cell r="K1256">
            <v>0</v>
          </cell>
          <cell r="L1256">
            <v>0</v>
          </cell>
          <cell r="M1256">
            <v>0</v>
          </cell>
          <cell r="N1256">
            <v>0</v>
          </cell>
          <cell r="O1256">
            <v>0</v>
          </cell>
          <cell r="P1256">
            <v>0</v>
          </cell>
          <cell r="Q1256">
            <v>0</v>
          </cell>
          <cell r="R1256">
            <v>0</v>
          </cell>
        </row>
        <row r="1257">
          <cell r="A1257" t="str">
            <v>17.03.03.01</v>
          </cell>
          <cell r="B1257" t="str">
            <v>REGISTROS DE BRONCE DE 2"</v>
          </cell>
          <cell r="C1257" t="str">
            <v>pza</v>
          </cell>
          <cell r="D1257">
            <v>3</v>
          </cell>
          <cell r="E1257">
            <v>58.08</v>
          </cell>
          <cell r="F1257">
            <v>174.24</v>
          </cell>
          <cell r="G1257">
            <v>0</v>
          </cell>
          <cell r="H1257">
            <v>0</v>
          </cell>
          <cell r="I1257" t="str">
            <v>0.00%</v>
          </cell>
          <cell r="J1257">
            <v>0</v>
          </cell>
          <cell r="K1257">
            <v>0</v>
          </cell>
          <cell r="L1257" t="str">
            <v>0.00%</v>
          </cell>
          <cell r="M1257">
            <v>0</v>
          </cell>
          <cell r="N1257">
            <v>0</v>
          </cell>
          <cell r="O1257" t="str">
            <v>0.00%</v>
          </cell>
          <cell r="P1257">
            <v>3</v>
          </cell>
          <cell r="Q1257">
            <v>174.24</v>
          </cell>
          <cell r="R1257">
            <v>1</v>
          </cell>
        </row>
        <row r="1258">
          <cell r="A1258" t="str">
            <v>17.03.03.02</v>
          </cell>
          <cell r="B1258" t="str">
            <v>REGISTROS DE BRONCE DE 4"</v>
          </cell>
          <cell r="C1258" t="str">
            <v>pza</v>
          </cell>
          <cell r="D1258">
            <v>2</v>
          </cell>
          <cell r="E1258">
            <v>34.130000000000003</v>
          </cell>
          <cell r="F1258">
            <v>68.260000000000005</v>
          </cell>
          <cell r="G1258">
            <v>0</v>
          </cell>
          <cell r="H1258">
            <v>0</v>
          </cell>
          <cell r="I1258" t="str">
            <v>0.00%</v>
          </cell>
          <cell r="J1258">
            <v>0</v>
          </cell>
          <cell r="K1258">
            <v>0</v>
          </cell>
          <cell r="L1258" t="str">
            <v>0.00%</v>
          </cell>
          <cell r="M1258">
            <v>0</v>
          </cell>
          <cell r="N1258">
            <v>0</v>
          </cell>
          <cell r="O1258" t="str">
            <v>0.00%</v>
          </cell>
          <cell r="P1258">
            <v>2</v>
          </cell>
          <cell r="Q1258">
            <v>68.260000000000005</v>
          </cell>
          <cell r="R1258">
            <v>1</v>
          </cell>
        </row>
        <row r="1259">
          <cell r="A1259" t="str">
            <v>17.03.03.03</v>
          </cell>
          <cell r="B1259" t="str">
            <v>SUMIDEROS DE 2"</v>
          </cell>
          <cell r="C1259" t="str">
            <v>pza</v>
          </cell>
          <cell r="D1259">
            <v>4</v>
          </cell>
          <cell r="E1259">
            <v>68.38</v>
          </cell>
          <cell r="F1259">
            <v>273.52</v>
          </cell>
          <cell r="G1259">
            <v>0</v>
          </cell>
          <cell r="H1259">
            <v>0</v>
          </cell>
          <cell r="I1259" t="str">
            <v>0.00%</v>
          </cell>
          <cell r="J1259">
            <v>0</v>
          </cell>
          <cell r="K1259">
            <v>0</v>
          </cell>
          <cell r="L1259" t="str">
            <v>0.00%</v>
          </cell>
          <cell r="M1259">
            <v>0</v>
          </cell>
          <cell r="N1259">
            <v>0</v>
          </cell>
          <cell r="O1259" t="str">
            <v>0.00%</v>
          </cell>
          <cell r="P1259">
            <v>4</v>
          </cell>
          <cell r="Q1259">
            <v>273.52</v>
          </cell>
          <cell r="R1259">
            <v>1</v>
          </cell>
        </row>
        <row r="1260">
          <cell r="A1260" t="str">
            <v>17.03.04</v>
          </cell>
          <cell r="B1260" t="str">
            <v>CAJAS DE INSPECCION Y RETENCION</v>
          </cell>
          <cell r="C1260">
            <v>0</v>
          </cell>
          <cell r="D1260">
            <v>0</v>
          </cell>
          <cell r="E1260">
            <v>0</v>
          </cell>
          <cell r="F1260">
            <v>0</v>
          </cell>
          <cell r="G1260">
            <v>0</v>
          </cell>
          <cell r="H1260">
            <v>0</v>
          </cell>
          <cell r="I1260">
            <v>0</v>
          </cell>
          <cell r="J1260">
            <v>0</v>
          </cell>
          <cell r="K1260">
            <v>0</v>
          </cell>
          <cell r="L1260">
            <v>0</v>
          </cell>
          <cell r="M1260">
            <v>0</v>
          </cell>
          <cell r="N1260">
            <v>0</v>
          </cell>
          <cell r="O1260">
            <v>0</v>
          </cell>
          <cell r="P1260">
            <v>0</v>
          </cell>
          <cell r="Q1260">
            <v>0</v>
          </cell>
          <cell r="R1260">
            <v>0</v>
          </cell>
        </row>
        <row r="1261">
          <cell r="A1261" t="str">
            <v>17.03.04.01</v>
          </cell>
          <cell r="B1261" t="str">
            <v>CAJA DE REGISTRO DE DESAGUE 12" X 24" - CONSTRUCION</v>
          </cell>
          <cell r="C1261" t="str">
            <v>und</v>
          </cell>
          <cell r="D1261">
            <v>1</v>
          </cell>
          <cell r="E1261">
            <v>140.52000000000001</v>
          </cell>
          <cell r="F1261">
            <v>140.52000000000001</v>
          </cell>
          <cell r="G1261">
            <v>0</v>
          </cell>
          <cell r="H1261">
            <v>0</v>
          </cell>
          <cell r="I1261" t="str">
            <v>0.00%</v>
          </cell>
          <cell r="J1261">
            <v>0</v>
          </cell>
          <cell r="K1261">
            <v>0</v>
          </cell>
          <cell r="L1261" t="str">
            <v>0.00%</v>
          </cell>
          <cell r="M1261">
            <v>0</v>
          </cell>
          <cell r="N1261">
            <v>0</v>
          </cell>
          <cell r="O1261" t="str">
            <v>0.00%</v>
          </cell>
          <cell r="P1261">
            <v>1</v>
          </cell>
          <cell r="Q1261">
            <v>140.52000000000001</v>
          </cell>
          <cell r="R1261">
            <v>1</v>
          </cell>
        </row>
        <row r="1262">
          <cell r="A1262" t="str">
            <v>17.03.05</v>
          </cell>
          <cell r="B1262" t="str">
            <v>PRUEBAS HIDRAULICA</v>
          </cell>
          <cell r="C1262">
            <v>0</v>
          </cell>
          <cell r="D1262">
            <v>0</v>
          </cell>
          <cell r="E1262">
            <v>0</v>
          </cell>
          <cell r="F1262">
            <v>0</v>
          </cell>
          <cell r="G1262">
            <v>0</v>
          </cell>
          <cell r="H1262">
            <v>0</v>
          </cell>
          <cell r="I1262">
            <v>0</v>
          </cell>
          <cell r="J1262">
            <v>0</v>
          </cell>
          <cell r="K1262">
            <v>0</v>
          </cell>
          <cell r="L1262">
            <v>0</v>
          </cell>
          <cell r="M1262">
            <v>0</v>
          </cell>
          <cell r="N1262">
            <v>0</v>
          </cell>
          <cell r="O1262">
            <v>0</v>
          </cell>
          <cell r="P1262">
            <v>0</v>
          </cell>
          <cell r="Q1262">
            <v>0</v>
          </cell>
          <cell r="R1262">
            <v>0</v>
          </cell>
        </row>
        <row r="1263">
          <cell r="A1263" t="str">
            <v>17.03.05.01</v>
          </cell>
          <cell r="B1263" t="str">
            <v>PRUEBA HIDRAULICA TUBERIA DE DESAGUE</v>
          </cell>
          <cell r="C1263" t="str">
            <v>und</v>
          </cell>
          <cell r="D1263">
            <v>1</v>
          </cell>
          <cell r="E1263">
            <v>450</v>
          </cell>
          <cell r="F1263">
            <v>450</v>
          </cell>
          <cell r="G1263">
            <v>0</v>
          </cell>
          <cell r="H1263">
            <v>0</v>
          </cell>
          <cell r="I1263" t="str">
            <v>0.00%</v>
          </cell>
          <cell r="J1263">
            <v>0</v>
          </cell>
          <cell r="K1263">
            <v>0</v>
          </cell>
          <cell r="L1263" t="str">
            <v>0.00%</v>
          </cell>
          <cell r="M1263">
            <v>0</v>
          </cell>
          <cell r="N1263">
            <v>0</v>
          </cell>
          <cell r="O1263" t="str">
            <v>0.00%</v>
          </cell>
          <cell r="P1263">
            <v>1</v>
          </cell>
          <cell r="Q1263">
            <v>450</v>
          </cell>
          <cell r="R1263">
            <v>1</v>
          </cell>
        </row>
        <row r="1264">
          <cell r="A1264" t="str">
            <v>17.04</v>
          </cell>
          <cell r="B1264" t="str">
            <v>SISTEMA DE DRENAJE PLUVIAL</v>
          </cell>
          <cell r="C1264">
            <v>0</v>
          </cell>
          <cell r="D1264">
            <v>0</v>
          </cell>
          <cell r="E1264">
            <v>0</v>
          </cell>
          <cell r="F1264">
            <v>0</v>
          </cell>
          <cell r="G1264">
            <v>0</v>
          </cell>
          <cell r="H1264">
            <v>0</v>
          </cell>
          <cell r="I1264">
            <v>0</v>
          </cell>
          <cell r="J1264">
            <v>0</v>
          </cell>
          <cell r="K1264">
            <v>0</v>
          </cell>
          <cell r="L1264">
            <v>0</v>
          </cell>
          <cell r="M1264">
            <v>0</v>
          </cell>
          <cell r="N1264">
            <v>0</v>
          </cell>
          <cell r="O1264">
            <v>0</v>
          </cell>
          <cell r="P1264">
            <v>0</v>
          </cell>
          <cell r="Q1264">
            <v>0</v>
          </cell>
          <cell r="R1264">
            <v>0</v>
          </cell>
        </row>
        <row r="1265">
          <cell r="A1265" t="str">
            <v>17.04.01</v>
          </cell>
          <cell r="B1265" t="str">
            <v>SISTEMA DE BAJADA MONTANTE (PLUVIAL)</v>
          </cell>
          <cell r="C1265">
            <v>0</v>
          </cell>
          <cell r="D1265">
            <v>0</v>
          </cell>
          <cell r="E1265">
            <v>0</v>
          </cell>
          <cell r="F1265">
            <v>0</v>
          </cell>
          <cell r="G1265">
            <v>0</v>
          </cell>
          <cell r="H1265">
            <v>0</v>
          </cell>
          <cell r="I1265">
            <v>0</v>
          </cell>
          <cell r="J1265">
            <v>0</v>
          </cell>
          <cell r="K1265">
            <v>0</v>
          </cell>
          <cell r="L1265">
            <v>0</v>
          </cell>
          <cell r="M1265">
            <v>0</v>
          </cell>
          <cell r="N1265">
            <v>0</v>
          </cell>
          <cell r="O1265">
            <v>0</v>
          </cell>
          <cell r="P1265">
            <v>0</v>
          </cell>
          <cell r="Q1265">
            <v>0</v>
          </cell>
          <cell r="R1265">
            <v>0</v>
          </cell>
        </row>
        <row r="1266">
          <cell r="A1266" t="str">
            <v>17.04.01.01</v>
          </cell>
          <cell r="B1266" t="str">
            <v>ABRAZADERA DE FIJACION DE TUBO</v>
          </cell>
          <cell r="C1266" t="str">
            <v>und</v>
          </cell>
          <cell r="D1266">
            <v>25</v>
          </cell>
          <cell r="E1266">
            <v>41.02</v>
          </cell>
          <cell r="F1266">
            <v>1025.5</v>
          </cell>
          <cell r="G1266">
            <v>0</v>
          </cell>
          <cell r="H1266">
            <v>0</v>
          </cell>
          <cell r="I1266" t="str">
            <v>0.00%</v>
          </cell>
          <cell r="J1266">
            <v>0</v>
          </cell>
          <cell r="K1266">
            <v>0</v>
          </cell>
          <cell r="L1266" t="str">
            <v>0.00%</v>
          </cell>
          <cell r="M1266">
            <v>0</v>
          </cell>
          <cell r="N1266">
            <v>0</v>
          </cell>
          <cell r="O1266" t="str">
            <v>0.00%</v>
          </cell>
          <cell r="P1266">
            <v>25</v>
          </cell>
          <cell r="Q1266">
            <v>1025.5</v>
          </cell>
          <cell r="R1266">
            <v>1</v>
          </cell>
        </row>
        <row r="1267">
          <cell r="A1267" t="str">
            <v>17.04.01.02</v>
          </cell>
          <cell r="B1267" t="str">
            <v>INSTALACION DE TUB. PVC SAP C-10 Ø 4"</v>
          </cell>
          <cell r="C1267" t="str">
            <v>m</v>
          </cell>
          <cell r="D1267">
            <v>32.25</v>
          </cell>
          <cell r="E1267">
            <v>9.93</v>
          </cell>
          <cell r="F1267">
            <v>320.24250000000001</v>
          </cell>
          <cell r="G1267">
            <v>0</v>
          </cell>
          <cell r="H1267">
            <v>0</v>
          </cell>
          <cell r="I1267" t="str">
            <v>0.00%</v>
          </cell>
          <cell r="J1267">
            <v>0</v>
          </cell>
          <cell r="K1267">
            <v>0</v>
          </cell>
          <cell r="L1267" t="str">
            <v>0.00%</v>
          </cell>
          <cell r="M1267">
            <v>0</v>
          </cell>
          <cell r="N1267">
            <v>0</v>
          </cell>
          <cell r="O1267" t="str">
            <v>0.00%</v>
          </cell>
          <cell r="P1267">
            <v>32.25</v>
          </cell>
          <cell r="Q1267">
            <v>320.24250000000001</v>
          </cell>
          <cell r="R1267">
            <v>1</v>
          </cell>
        </row>
        <row r="1268">
          <cell r="A1268" t="str">
            <v>17.04.01.03</v>
          </cell>
          <cell r="B1268" t="str">
            <v>CONCRETO FC=175 KG/CM2 EN COLUMNETAS</v>
          </cell>
          <cell r="C1268" t="str">
            <v>m3</v>
          </cell>
          <cell r="D1268">
            <v>0.2</v>
          </cell>
          <cell r="E1268">
            <v>466.52</v>
          </cell>
          <cell r="F1268">
            <v>93.304000000000002</v>
          </cell>
          <cell r="G1268">
            <v>0</v>
          </cell>
          <cell r="H1268">
            <v>0</v>
          </cell>
          <cell r="I1268" t="str">
            <v>0.00%</v>
          </cell>
          <cell r="J1268">
            <v>0</v>
          </cell>
          <cell r="K1268">
            <v>0</v>
          </cell>
          <cell r="L1268" t="str">
            <v>0.00%</v>
          </cell>
          <cell r="M1268">
            <v>0</v>
          </cell>
          <cell r="N1268">
            <v>0</v>
          </cell>
          <cell r="O1268" t="str">
            <v>0.00%</v>
          </cell>
          <cell r="P1268">
            <v>0.2</v>
          </cell>
          <cell r="Q1268">
            <v>93.304000000000002</v>
          </cell>
          <cell r="R1268">
            <v>1</v>
          </cell>
        </row>
        <row r="1269">
          <cell r="A1269" t="str">
            <v>17.04.01.04</v>
          </cell>
          <cell r="B1269" t="str">
            <v>ACERO F'Y=4200 KG/CM2 GRADO 60 EN COLUMNETAS</v>
          </cell>
          <cell r="C1269" t="str">
            <v>kg</v>
          </cell>
          <cell r="D1269">
            <v>35.43</v>
          </cell>
          <cell r="E1269">
            <v>4.4400000000000004</v>
          </cell>
          <cell r="F1269">
            <v>157.3092</v>
          </cell>
          <cell r="G1269">
            <v>0</v>
          </cell>
          <cell r="H1269">
            <v>0</v>
          </cell>
          <cell r="I1269" t="str">
            <v>0.00%</v>
          </cell>
          <cell r="J1269">
            <v>0</v>
          </cell>
          <cell r="K1269">
            <v>0</v>
          </cell>
          <cell r="L1269" t="str">
            <v>0.00%</v>
          </cell>
          <cell r="M1269">
            <v>0</v>
          </cell>
          <cell r="N1269">
            <v>0</v>
          </cell>
          <cell r="O1269" t="str">
            <v>0.00%</v>
          </cell>
          <cell r="P1269">
            <v>35.43</v>
          </cell>
          <cell r="Q1269">
            <v>157.3092</v>
          </cell>
          <cell r="R1269">
            <v>1</v>
          </cell>
        </row>
        <row r="1270">
          <cell r="A1270" t="str">
            <v>17.04.01.05</v>
          </cell>
          <cell r="B1270" t="str">
            <v>ENCOFRADO Y DESENCOFRADO NORMAL  EN COLUMNETAS</v>
          </cell>
          <cell r="C1270" t="str">
            <v>m2</v>
          </cell>
          <cell r="D1270">
            <v>3</v>
          </cell>
          <cell r="E1270">
            <v>44.19</v>
          </cell>
          <cell r="F1270">
            <v>132.57</v>
          </cell>
          <cell r="G1270">
            <v>0</v>
          </cell>
          <cell r="H1270">
            <v>0</v>
          </cell>
          <cell r="I1270" t="str">
            <v>0.00%</v>
          </cell>
          <cell r="J1270">
            <v>0</v>
          </cell>
          <cell r="K1270">
            <v>0</v>
          </cell>
          <cell r="L1270" t="str">
            <v>0.00%</v>
          </cell>
          <cell r="M1270">
            <v>0</v>
          </cell>
          <cell r="N1270">
            <v>0</v>
          </cell>
          <cell r="O1270" t="str">
            <v>0.00%</v>
          </cell>
          <cell r="P1270">
            <v>3</v>
          </cell>
          <cell r="Q1270">
            <v>132.57</v>
          </cell>
          <cell r="R1270">
            <v>1</v>
          </cell>
        </row>
        <row r="1271">
          <cell r="A1271" t="str">
            <v>17.04.01.06</v>
          </cell>
          <cell r="B1271" t="str">
            <v>TARRAJEO DE SUPERFICIE COLUMNETAS INCL. ARISTAS MEZCLA 1:5 CEMENTO:ARENA</v>
          </cell>
          <cell r="C1271" t="str">
            <v>m2</v>
          </cell>
          <cell r="D1271">
            <v>3</v>
          </cell>
          <cell r="E1271">
            <v>31.33</v>
          </cell>
          <cell r="F1271">
            <v>93.99</v>
          </cell>
          <cell r="G1271">
            <v>0</v>
          </cell>
          <cell r="H1271">
            <v>0</v>
          </cell>
          <cell r="I1271" t="str">
            <v>0.00%</v>
          </cell>
          <cell r="J1271">
            <v>0</v>
          </cell>
          <cell r="K1271">
            <v>0</v>
          </cell>
          <cell r="L1271" t="str">
            <v>0.00%</v>
          </cell>
          <cell r="M1271">
            <v>0</v>
          </cell>
          <cell r="N1271">
            <v>0</v>
          </cell>
          <cell r="O1271" t="str">
            <v>0.00%</v>
          </cell>
          <cell r="P1271">
            <v>3</v>
          </cell>
          <cell r="Q1271">
            <v>93.99</v>
          </cell>
          <cell r="R1271">
            <v>1</v>
          </cell>
        </row>
        <row r="1272">
          <cell r="A1272" t="str">
            <v>17.04.02</v>
          </cell>
          <cell r="B1272" t="str">
            <v>SISTEMA DE EVACUACION PLUVIAL</v>
          </cell>
          <cell r="C1272">
            <v>0</v>
          </cell>
          <cell r="D1272">
            <v>0</v>
          </cell>
          <cell r="E1272">
            <v>0</v>
          </cell>
          <cell r="F1272">
            <v>0</v>
          </cell>
          <cell r="G1272">
            <v>0</v>
          </cell>
          <cell r="H1272">
            <v>0</v>
          </cell>
          <cell r="I1272">
            <v>0</v>
          </cell>
          <cell r="J1272">
            <v>0</v>
          </cell>
          <cell r="K1272">
            <v>0</v>
          </cell>
          <cell r="L1272">
            <v>0</v>
          </cell>
          <cell r="M1272">
            <v>0</v>
          </cell>
          <cell r="N1272">
            <v>0</v>
          </cell>
          <cell r="O1272">
            <v>0</v>
          </cell>
          <cell r="P1272">
            <v>0</v>
          </cell>
          <cell r="Q1272">
            <v>0</v>
          </cell>
          <cell r="R1272">
            <v>0</v>
          </cell>
        </row>
        <row r="1273">
          <cell r="A1273" t="str">
            <v>17.04.02.01</v>
          </cell>
          <cell r="B1273" t="str">
            <v>RED COLECTORA PARA AGUAS PLUVIALES TUB. PVC UF Ø DE 4"</v>
          </cell>
          <cell r="C1273" t="str">
            <v>m</v>
          </cell>
          <cell r="D1273">
            <v>2.12</v>
          </cell>
          <cell r="E1273">
            <v>27.03</v>
          </cell>
          <cell r="F1273">
            <v>57.303600000000003</v>
          </cell>
          <cell r="G1273">
            <v>0</v>
          </cell>
          <cell r="H1273">
            <v>0</v>
          </cell>
          <cell r="I1273" t="str">
            <v>0.00%</v>
          </cell>
          <cell r="J1273">
            <v>0</v>
          </cell>
          <cell r="K1273">
            <v>0</v>
          </cell>
          <cell r="L1273" t="str">
            <v>0.00%</v>
          </cell>
          <cell r="M1273">
            <v>0</v>
          </cell>
          <cell r="N1273">
            <v>0</v>
          </cell>
          <cell r="O1273" t="str">
            <v>0.00%</v>
          </cell>
          <cell r="P1273">
            <v>2.12</v>
          </cell>
          <cell r="Q1273">
            <v>57.303600000000003</v>
          </cell>
          <cell r="R1273">
            <v>1</v>
          </cell>
        </row>
        <row r="1274">
          <cell r="A1274" t="str">
            <v>18</v>
          </cell>
          <cell r="B1274" t="str">
            <v>BLOQUE - 4</v>
          </cell>
          <cell r="C1274">
            <v>0</v>
          </cell>
          <cell r="D1274">
            <v>0</v>
          </cell>
          <cell r="E1274">
            <v>0</v>
          </cell>
          <cell r="F1274">
            <v>0</v>
          </cell>
          <cell r="G1274">
            <v>0</v>
          </cell>
          <cell r="H1274">
            <v>0</v>
          </cell>
          <cell r="I1274">
            <v>0</v>
          </cell>
          <cell r="J1274">
            <v>0</v>
          </cell>
          <cell r="K1274">
            <v>0</v>
          </cell>
          <cell r="L1274">
            <v>0</v>
          </cell>
          <cell r="M1274">
            <v>0</v>
          </cell>
          <cell r="N1274">
            <v>0</v>
          </cell>
          <cell r="O1274">
            <v>0</v>
          </cell>
          <cell r="P1274">
            <v>0</v>
          </cell>
          <cell r="Q1274">
            <v>0</v>
          </cell>
          <cell r="R1274">
            <v>0</v>
          </cell>
        </row>
        <row r="1275">
          <cell r="A1275" t="str">
            <v>18.01</v>
          </cell>
          <cell r="B1275" t="str">
            <v>APARATOS SANITARIOS Y ACCESORIOS</v>
          </cell>
          <cell r="C1275">
            <v>0</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row>
        <row r="1276">
          <cell r="A1276" t="str">
            <v>18.01.01</v>
          </cell>
          <cell r="B1276" t="str">
            <v>SUMINISTRO DE APARATO SANITARIOS</v>
          </cell>
          <cell r="C1276">
            <v>0</v>
          </cell>
          <cell r="D1276">
            <v>0</v>
          </cell>
          <cell r="E1276">
            <v>0</v>
          </cell>
          <cell r="F1276">
            <v>0</v>
          </cell>
          <cell r="G1276">
            <v>0</v>
          </cell>
          <cell r="H1276">
            <v>0</v>
          </cell>
          <cell r="I1276">
            <v>0</v>
          </cell>
          <cell r="J1276">
            <v>0</v>
          </cell>
          <cell r="K1276">
            <v>0</v>
          </cell>
          <cell r="L1276">
            <v>0</v>
          </cell>
          <cell r="M1276">
            <v>0</v>
          </cell>
          <cell r="N1276">
            <v>0</v>
          </cell>
          <cell r="O1276">
            <v>0</v>
          </cell>
          <cell r="P1276">
            <v>0</v>
          </cell>
          <cell r="Q1276">
            <v>0</v>
          </cell>
          <cell r="R1276">
            <v>0</v>
          </cell>
        </row>
        <row r="1277">
          <cell r="A1277" t="str">
            <v>18.01.01.01</v>
          </cell>
          <cell r="B1277" t="str">
            <v xml:space="preserve">INODORO SIFON JEET COLOR BLANCO </v>
          </cell>
          <cell r="C1277" t="str">
            <v>und</v>
          </cell>
          <cell r="D1277">
            <v>2</v>
          </cell>
          <cell r="E1277">
            <v>300</v>
          </cell>
          <cell r="F1277">
            <v>600</v>
          </cell>
          <cell r="G1277">
            <v>0</v>
          </cell>
          <cell r="H1277">
            <v>0</v>
          </cell>
          <cell r="I1277" t="str">
            <v>0.00%</v>
          </cell>
          <cell r="J1277">
            <v>0</v>
          </cell>
          <cell r="K1277">
            <v>0</v>
          </cell>
          <cell r="L1277" t="str">
            <v>0.00%</v>
          </cell>
          <cell r="M1277">
            <v>0</v>
          </cell>
          <cell r="N1277">
            <v>0</v>
          </cell>
          <cell r="O1277" t="str">
            <v>0.00%</v>
          </cell>
          <cell r="P1277">
            <v>2</v>
          </cell>
          <cell r="Q1277">
            <v>600</v>
          </cell>
          <cell r="R1277">
            <v>1</v>
          </cell>
        </row>
        <row r="1278">
          <cell r="A1278" t="str">
            <v>18.01.01.02</v>
          </cell>
          <cell r="B1278" t="str">
            <v xml:space="preserve">URINARIO BAMBI DE LOSA BLANCO </v>
          </cell>
          <cell r="C1278" t="str">
            <v>und</v>
          </cell>
          <cell r="D1278">
            <v>1</v>
          </cell>
          <cell r="E1278">
            <v>150</v>
          </cell>
          <cell r="F1278">
            <v>150</v>
          </cell>
          <cell r="G1278">
            <v>0</v>
          </cell>
          <cell r="H1278">
            <v>0</v>
          </cell>
          <cell r="I1278" t="str">
            <v>0.00%</v>
          </cell>
          <cell r="J1278">
            <v>0</v>
          </cell>
          <cell r="K1278">
            <v>0</v>
          </cell>
          <cell r="L1278" t="str">
            <v>0.00%</v>
          </cell>
          <cell r="M1278">
            <v>0</v>
          </cell>
          <cell r="N1278">
            <v>0</v>
          </cell>
          <cell r="O1278" t="str">
            <v>0.00%</v>
          </cell>
          <cell r="P1278">
            <v>1</v>
          </cell>
          <cell r="Q1278">
            <v>150</v>
          </cell>
          <cell r="R1278">
            <v>1</v>
          </cell>
        </row>
        <row r="1279">
          <cell r="A1279" t="str">
            <v>18.01.01.03</v>
          </cell>
          <cell r="B1279" t="str">
            <v>LAVATORIO TIPO ESTANDAR BLANCO</v>
          </cell>
          <cell r="C1279" t="str">
            <v>und</v>
          </cell>
          <cell r="D1279">
            <v>2</v>
          </cell>
          <cell r="E1279">
            <v>190</v>
          </cell>
          <cell r="F1279">
            <v>380</v>
          </cell>
          <cell r="G1279">
            <v>0</v>
          </cell>
          <cell r="H1279">
            <v>0</v>
          </cell>
          <cell r="I1279" t="str">
            <v>0.00%</v>
          </cell>
          <cell r="J1279">
            <v>0</v>
          </cell>
          <cell r="K1279">
            <v>0</v>
          </cell>
          <cell r="L1279" t="str">
            <v>0.00%</v>
          </cell>
          <cell r="M1279">
            <v>0</v>
          </cell>
          <cell r="N1279">
            <v>0</v>
          </cell>
          <cell r="O1279" t="str">
            <v>0.00%</v>
          </cell>
          <cell r="P1279">
            <v>2</v>
          </cell>
          <cell r="Q1279">
            <v>380</v>
          </cell>
          <cell r="R1279">
            <v>1</v>
          </cell>
        </row>
        <row r="1280">
          <cell r="A1280" t="str">
            <v>18.01.02</v>
          </cell>
          <cell r="B1280" t="str">
            <v>SUMINISTRO DE ACCESORIOS</v>
          </cell>
          <cell r="C1280">
            <v>0</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row>
        <row r="1281">
          <cell r="A1281" t="str">
            <v>18.01.02.01</v>
          </cell>
          <cell r="B1281" t="str">
            <v>PAPELERA DE LOSA COLOR BLANCO</v>
          </cell>
          <cell r="C1281" t="str">
            <v>und</v>
          </cell>
          <cell r="D1281">
            <v>2</v>
          </cell>
          <cell r="E1281">
            <v>35</v>
          </cell>
          <cell r="F1281">
            <v>70</v>
          </cell>
          <cell r="G1281">
            <v>0</v>
          </cell>
          <cell r="H1281">
            <v>0</v>
          </cell>
          <cell r="I1281" t="str">
            <v>0.00%</v>
          </cell>
          <cell r="J1281">
            <v>0</v>
          </cell>
          <cell r="K1281">
            <v>0</v>
          </cell>
          <cell r="L1281" t="str">
            <v>0.00%</v>
          </cell>
          <cell r="M1281">
            <v>0</v>
          </cell>
          <cell r="N1281">
            <v>0</v>
          </cell>
          <cell r="O1281" t="str">
            <v>0.00%</v>
          </cell>
          <cell r="P1281">
            <v>2</v>
          </cell>
          <cell r="Q1281">
            <v>70</v>
          </cell>
          <cell r="R1281">
            <v>1</v>
          </cell>
        </row>
        <row r="1282">
          <cell r="A1282" t="str">
            <v>18.01.02.02</v>
          </cell>
          <cell r="B1282" t="str">
            <v>JABONERA DE LOSA COLOR BLANCO</v>
          </cell>
          <cell r="C1282" t="str">
            <v>und</v>
          </cell>
          <cell r="D1282">
            <v>2</v>
          </cell>
          <cell r="E1282">
            <v>20</v>
          </cell>
          <cell r="F1282">
            <v>40</v>
          </cell>
          <cell r="G1282">
            <v>0</v>
          </cell>
          <cell r="H1282">
            <v>0</v>
          </cell>
          <cell r="I1282" t="str">
            <v>0.00%</v>
          </cell>
          <cell r="J1282">
            <v>0</v>
          </cell>
          <cell r="K1282">
            <v>0</v>
          </cell>
          <cell r="L1282" t="str">
            <v>0.00%</v>
          </cell>
          <cell r="M1282">
            <v>0</v>
          </cell>
          <cell r="N1282">
            <v>0</v>
          </cell>
          <cell r="O1282" t="str">
            <v>0.00%</v>
          </cell>
          <cell r="P1282">
            <v>2</v>
          </cell>
          <cell r="Q1282">
            <v>40</v>
          </cell>
          <cell r="R1282">
            <v>1</v>
          </cell>
        </row>
        <row r="1283">
          <cell r="A1283" t="str">
            <v>18.01.02.03</v>
          </cell>
          <cell r="B1283" t="str">
            <v>ESPEJO DE 4MM DE 0.60 x 0.90 M.</v>
          </cell>
          <cell r="C1283" t="str">
            <v>und</v>
          </cell>
          <cell r="D1283">
            <v>2</v>
          </cell>
          <cell r="E1283">
            <v>30</v>
          </cell>
          <cell r="F1283">
            <v>60</v>
          </cell>
          <cell r="G1283">
            <v>0</v>
          </cell>
          <cell r="H1283">
            <v>0</v>
          </cell>
          <cell r="I1283" t="str">
            <v>0.00%</v>
          </cell>
          <cell r="J1283">
            <v>0</v>
          </cell>
          <cell r="K1283">
            <v>0</v>
          </cell>
          <cell r="L1283" t="str">
            <v>0.00%</v>
          </cell>
          <cell r="M1283">
            <v>0</v>
          </cell>
          <cell r="N1283">
            <v>0</v>
          </cell>
          <cell r="O1283" t="str">
            <v>0.00%</v>
          </cell>
          <cell r="P1283">
            <v>2</v>
          </cell>
          <cell r="Q1283">
            <v>60</v>
          </cell>
          <cell r="R1283">
            <v>1</v>
          </cell>
        </row>
        <row r="1284">
          <cell r="A1284" t="str">
            <v>18.01.03</v>
          </cell>
          <cell r="B1284" t="str">
            <v xml:space="preserve">INSTALACION DE APARATOS SANITARIOS  </v>
          </cell>
          <cell r="C1284">
            <v>0</v>
          </cell>
          <cell r="D1284">
            <v>0</v>
          </cell>
          <cell r="E1284">
            <v>0</v>
          </cell>
          <cell r="F1284">
            <v>0</v>
          </cell>
          <cell r="G1284">
            <v>0</v>
          </cell>
          <cell r="H1284">
            <v>0</v>
          </cell>
          <cell r="I1284">
            <v>0</v>
          </cell>
          <cell r="J1284">
            <v>0</v>
          </cell>
          <cell r="K1284">
            <v>0</v>
          </cell>
          <cell r="L1284">
            <v>0</v>
          </cell>
          <cell r="M1284">
            <v>0</v>
          </cell>
          <cell r="N1284">
            <v>0</v>
          </cell>
          <cell r="O1284">
            <v>0</v>
          </cell>
          <cell r="P1284">
            <v>0</v>
          </cell>
          <cell r="Q1284">
            <v>0</v>
          </cell>
          <cell r="R1284">
            <v>0</v>
          </cell>
        </row>
        <row r="1285">
          <cell r="A1285" t="str">
            <v>18.01.03.01</v>
          </cell>
          <cell r="B1285" t="str">
            <v xml:space="preserve">COLOCACION DE APARATOS SANITARIOS </v>
          </cell>
          <cell r="C1285" t="str">
            <v>und</v>
          </cell>
          <cell r="D1285">
            <v>5</v>
          </cell>
          <cell r="E1285">
            <v>52.08</v>
          </cell>
          <cell r="F1285">
            <v>260.39999999999998</v>
          </cell>
          <cell r="G1285">
            <v>0</v>
          </cell>
          <cell r="H1285">
            <v>0</v>
          </cell>
          <cell r="I1285" t="str">
            <v>0.00%</v>
          </cell>
          <cell r="J1285">
            <v>0</v>
          </cell>
          <cell r="K1285">
            <v>0</v>
          </cell>
          <cell r="L1285" t="str">
            <v>0.00%</v>
          </cell>
          <cell r="M1285">
            <v>0</v>
          </cell>
          <cell r="N1285">
            <v>0</v>
          </cell>
          <cell r="O1285" t="str">
            <v>0.00%</v>
          </cell>
          <cell r="P1285">
            <v>5</v>
          </cell>
          <cell r="Q1285">
            <v>260.39999999999998</v>
          </cell>
          <cell r="R1285">
            <v>1</v>
          </cell>
        </row>
        <row r="1286">
          <cell r="A1286" t="str">
            <v>18.01.04</v>
          </cell>
          <cell r="B1286" t="str">
            <v>INSTALACION DE ACCESORIOS</v>
          </cell>
          <cell r="C1286">
            <v>0</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row>
        <row r="1287">
          <cell r="A1287" t="str">
            <v>18.01.04.01</v>
          </cell>
          <cell r="B1287" t="str">
            <v>COLOCACION DE ACCESORIOS SANITARIOS</v>
          </cell>
          <cell r="C1287" t="str">
            <v>und</v>
          </cell>
          <cell r="D1287">
            <v>6</v>
          </cell>
          <cell r="E1287">
            <v>26.04</v>
          </cell>
          <cell r="F1287">
            <v>156.24</v>
          </cell>
          <cell r="G1287">
            <v>0</v>
          </cell>
          <cell r="H1287">
            <v>0</v>
          </cell>
          <cell r="I1287" t="str">
            <v>0.00%</v>
          </cell>
          <cell r="J1287">
            <v>0</v>
          </cell>
          <cell r="K1287">
            <v>0</v>
          </cell>
          <cell r="L1287" t="str">
            <v>0.00%</v>
          </cell>
          <cell r="M1287">
            <v>0</v>
          </cell>
          <cell r="N1287">
            <v>0</v>
          </cell>
          <cell r="O1287" t="str">
            <v>0.00%</v>
          </cell>
          <cell r="P1287">
            <v>6</v>
          </cell>
          <cell r="Q1287">
            <v>156.24</v>
          </cell>
          <cell r="R1287">
            <v>1</v>
          </cell>
        </row>
        <row r="1288">
          <cell r="A1288" t="str">
            <v>18.02</v>
          </cell>
          <cell r="B1288" t="str">
            <v>SISTEMA DE AGUA FRIA Y ALIMENTADORES</v>
          </cell>
          <cell r="C1288">
            <v>0</v>
          </cell>
          <cell r="D1288">
            <v>0</v>
          </cell>
          <cell r="E1288">
            <v>0</v>
          </cell>
          <cell r="F1288">
            <v>0</v>
          </cell>
          <cell r="G1288">
            <v>0</v>
          </cell>
          <cell r="H1288">
            <v>0</v>
          </cell>
          <cell r="I1288">
            <v>0</v>
          </cell>
          <cell r="J1288">
            <v>0</v>
          </cell>
          <cell r="K1288">
            <v>0</v>
          </cell>
          <cell r="L1288">
            <v>0</v>
          </cell>
          <cell r="M1288">
            <v>0</v>
          </cell>
          <cell r="N1288">
            <v>0</v>
          </cell>
          <cell r="O1288">
            <v>0</v>
          </cell>
          <cell r="P1288">
            <v>0</v>
          </cell>
          <cell r="Q1288">
            <v>0</v>
          </cell>
          <cell r="R1288">
            <v>0</v>
          </cell>
        </row>
        <row r="1289">
          <cell r="A1289" t="str">
            <v>18.02.01</v>
          </cell>
          <cell r="B1289" t="str">
            <v>SALIDA DE AGUA FRIA</v>
          </cell>
          <cell r="C1289">
            <v>0</v>
          </cell>
          <cell r="D1289">
            <v>0</v>
          </cell>
          <cell r="E1289">
            <v>0</v>
          </cell>
          <cell r="F1289">
            <v>0</v>
          </cell>
          <cell r="G1289">
            <v>0</v>
          </cell>
          <cell r="H1289">
            <v>0</v>
          </cell>
          <cell r="I1289">
            <v>0</v>
          </cell>
          <cell r="J1289">
            <v>0</v>
          </cell>
          <cell r="K1289">
            <v>0</v>
          </cell>
          <cell r="L1289">
            <v>0</v>
          </cell>
          <cell r="M1289">
            <v>0</v>
          </cell>
          <cell r="N1289">
            <v>0</v>
          </cell>
          <cell r="O1289">
            <v>0</v>
          </cell>
          <cell r="P1289">
            <v>0</v>
          </cell>
          <cell r="Q1289">
            <v>0</v>
          </cell>
          <cell r="R1289">
            <v>0</v>
          </cell>
        </row>
        <row r="1290">
          <cell r="A1290" t="str">
            <v>18.02.01.01</v>
          </cell>
          <cell r="B1290" t="str">
            <v>SALIDA DE AGUA FRIA CON TUBERIA DE PVC-SAP 1/2"</v>
          </cell>
          <cell r="C1290" t="str">
            <v>pto</v>
          </cell>
          <cell r="D1290">
            <v>5</v>
          </cell>
          <cell r="E1290">
            <v>41.53</v>
          </cell>
          <cell r="F1290">
            <v>207.65</v>
          </cell>
          <cell r="G1290">
            <v>0</v>
          </cell>
          <cell r="H1290">
            <v>0</v>
          </cell>
          <cell r="I1290" t="str">
            <v>0.00%</v>
          </cell>
          <cell r="J1290">
            <v>0</v>
          </cell>
          <cell r="K1290">
            <v>0</v>
          </cell>
          <cell r="L1290" t="str">
            <v>0.00%</v>
          </cell>
          <cell r="M1290">
            <v>0</v>
          </cell>
          <cell r="N1290">
            <v>0</v>
          </cell>
          <cell r="O1290" t="str">
            <v>0.00%</v>
          </cell>
          <cell r="P1290">
            <v>5</v>
          </cell>
          <cell r="Q1290">
            <v>207.65</v>
          </cell>
          <cell r="R1290">
            <v>1</v>
          </cell>
        </row>
        <row r="1291">
          <cell r="A1291" t="str">
            <v>18.02.02</v>
          </cell>
          <cell r="B1291" t="str">
            <v>REDES DE DISTRIBUCION DE AGUA FRIA</v>
          </cell>
          <cell r="C1291">
            <v>0</v>
          </cell>
          <cell r="D1291">
            <v>0</v>
          </cell>
          <cell r="E1291">
            <v>0</v>
          </cell>
          <cell r="F1291">
            <v>0</v>
          </cell>
          <cell r="G1291">
            <v>0</v>
          </cell>
          <cell r="H1291">
            <v>0</v>
          </cell>
          <cell r="I1291">
            <v>0</v>
          </cell>
          <cell r="J1291">
            <v>0</v>
          </cell>
          <cell r="K1291">
            <v>0</v>
          </cell>
          <cell r="L1291">
            <v>0</v>
          </cell>
          <cell r="M1291">
            <v>0</v>
          </cell>
          <cell r="N1291">
            <v>0</v>
          </cell>
          <cell r="O1291">
            <v>0</v>
          </cell>
          <cell r="P1291">
            <v>0</v>
          </cell>
          <cell r="Q1291">
            <v>0</v>
          </cell>
          <cell r="R1291">
            <v>0</v>
          </cell>
        </row>
        <row r="1292">
          <cell r="A1292" t="str">
            <v>18.02.02.01</v>
          </cell>
          <cell r="B1292" t="str">
            <v>RED DE DISTRIBUCION TUBERIA PVC SAP C-10 Ø DE 1/2"</v>
          </cell>
          <cell r="C1292" t="str">
            <v>m</v>
          </cell>
          <cell r="D1292">
            <v>4.4000000000000004</v>
          </cell>
          <cell r="E1292">
            <v>20.36</v>
          </cell>
          <cell r="F1292">
            <v>89.584000000000003</v>
          </cell>
          <cell r="G1292">
            <v>0</v>
          </cell>
          <cell r="H1292">
            <v>0</v>
          </cell>
          <cell r="I1292" t="str">
            <v>0.00%</v>
          </cell>
          <cell r="J1292">
            <v>0</v>
          </cell>
          <cell r="K1292">
            <v>0</v>
          </cell>
          <cell r="L1292" t="str">
            <v>0.00%</v>
          </cell>
          <cell r="M1292">
            <v>0</v>
          </cell>
          <cell r="N1292">
            <v>0</v>
          </cell>
          <cell r="O1292" t="str">
            <v>0.00%</v>
          </cell>
          <cell r="P1292">
            <v>4.4000000000000004</v>
          </cell>
          <cell r="Q1292">
            <v>89.584000000000003</v>
          </cell>
          <cell r="R1292">
            <v>1</v>
          </cell>
        </row>
        <row r="1293">
          <cell r="A1293" t="str">
            <v>18.02.02.02</v>
          </cell>
          <cell r="B1293" t="str">
            <v>RED DE DISTRIBUCION TUBERIA PVC SAP C-10 Ø DE 3/4"</v>
          </cell>
          <cell r="C1293" t="str">
            <v>m</v>
          </cell>
          <cell r="D1293">
            <v>5.74</v>
          </cell>
          <cell r="E1293">
            <v>31.76</v>
          </cell>
          <cell r="F1293">
            <v>182.30240000000001</v>
          </cell>
          <cell r="G1293">
            <v>0</v>
          </cell>
          <cell r="H1293">
            <v>0</v>
          </cell>
          <cell r="I1293" t="str">
            <v>0.00%</v>
          </cell>
          <cell r="J1293">
            <v>0</v>
          </cell>
          <cell r="K1293">
            <v>0</v>
          </cell>
          <cell r="L1293" t="str">
            <v>0.00%</v>
          </cell>
          <cell r="M1293">
            <v>0</v>
          </cell>
          <cell r="N1293">
            <v>0</v>
          </cell>
          <cell r="O1293" t="str">
            <v>0.00%</v>
          </cell>
          <cell r="P1293">
            <v>5.74</v>
          </cell>
          <cell r="Q1293">
            <v>182.30240000000001</v>
          </cell>
          <cell r="R1293">
            <v>1</v>
          </cell>
        </row>
        <row r="1294">
          <cell r="A1294" t="str">
            <v>18.02.03</v>
          </cell>
          <cell r="B1294" t="str">
            <v>VALVULA Y ACCESORIOS DE AGUA FRIA</v>
          </cell>
          <cell r="C1294">
            <v>0</v>
          </cell>
          <cell r="D1294">
            <v>0</v>
          </cell>
          <cell r="E1294">
            <v>0</v>
          </cell>
          <cell r="F1294">
            <v>0</v>
          </cell>
          <cell r="G1294">
            <v>0</v>
          </cell>
          <cell r="H1294">
            <v>0</v>
          </cell>
          <cell r="I1294">
            <v>0</v>
          </cell>
          <cell r="J1294">
            <v>0</v>
          </cell>
          <cell r="K1294">
            <v>0</v>
          </cell>
          <cell r="L1294">
            <v>0</v>
          </cell>
          <cell r="M1294">
            <v>0</v>
          </cell>
          <cell r="N1294">
            <v>0</v>
          </cell>
          <cell r="O1294">
            <v>0</v>
          </cell>
          <cell r="P1294">
            <v>0</v>
          </cell>
          <cell r="Q1294">
            <v>0</v>
          </cell>
          <cell r="R1294">
            <v>0</v>
          </cell>
        </row>
        <row r="1295">
          <cell r="A1295" t="str">
            <v>18.02.03.01</v>
          </cell>
          <cell r="B1295" t="str">
            <v>VALVULA COMPUERTA DE BRONCE  Ø 3/4"</v>
          </cell>
          <cell r="C1295" t="str">
            <v>und</v>
          </cell>
          <cell r="D1295">
            <v>3</v>
          </cell>
          <cell r="E1295">
            <v>188.9</v>
          </cell>
          <cell r="F1295">
            <v>566.70000000000005</v>
          </cell>
          <cell r="G1295">
            <v>0</v>
          </cell>
          <cell r="H1295">
            <v>0</v>
          </cell>
          <cell r="I1295" t="str">
            <v>0.00%</v>
          </cell>
          <cell r="J1295">
            <v>0</v>
          </cell>
          <cell r="K1295">
            <v>0</v>
          </cell>
          <cell r="L1295" t="str">
            <v>0.00%</v>
          </cell>
          <cell r="M1295">
            <v>0</v>
          </cell>
          <cell r="N1295">
            <v>0</v>
          </cell>
          <cell r="O1295" t="str">
            <v>0.00%</v>
          </cell>
          <cell r="P1295">
            <v>3</v>
          </cell>
          <cell r="Q1295">
            <v>566.70000000000005</v>
          </cell>
          <cell r="R1295">
            <v>1</v>
          </cell>
        </row>
        <row r="1296">
          <cell r="A1296" t="str">
            <v>18.02.04</v>
          </cell>
          <cell r="B1296" t="str">
            <v>PRUEBAS HIDRAULICA</v>
          </cell>
          <cell r="C1296">
            <v>0</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row>
        <row r="1297">
          <cell r="A1297" t="str">
            <v>18.02.04.01</v>
          </cell>
          <cell r="B1297" t="str">
            <v>PRUEBA HIDRAULICA TUBERIA DE AGUA FRIA</v>
          </cell>
          <cell r="C1297" t="str">
            <v>GLB</v>
          </cell>
          <cell r="D1297">
            <v>1</v>
          </cell>
          <cell r="E1297">
            <v>450</v>
          </cell>
          <cell r="F1297">
            <v>450</v>
          </cell>
          <cell r="G1297">
            <v>0</v>
          </cell>
          <cell r="H1297">
            <v>0</v>
          </cell>
          <cell r="I1297" t="str">
            <v>0.00%</v>
          </cell>
          <cell r="J1297">
            <v>0</v>
          </cell>
          <cell r="K1297">
            <v>0</v>
          </cell>
          <cell r="L1297" t="str">
            <v>0.00%</v>
          </cell>
          <cell r="M1297">
            <v>0</v>
          </cell>
          <cell r="N1297">
            <v>0</v>
          </cell>
          <cell r="O1297" t="str">
            <v>0.00%</v>
          </cell>
          <cell r="P1297">
            <v>1</v>
          </cell>
          <cell r="Q1297">
            <v>450</v>
          </cell>
          <cell r="R1297">
            <v>1</v>
          </cell>
        </row>
        <row r="1298">
          <cell r="A1298" t="str">
            <v>18.03</v>
          </cell>
          <cell r="B1298" t="str">
            <v xml:space="preserve">SISTEMA DE DESAGUE Y VENTILACION </v>
          </cell>
          <cell r="C1298">
            <v>0</v>
          </cell>
          <cell r="D1298">
            <v>0</v>
          </cell>
          <cell r="E1298">
            <v>0</v>
          </cell>
          <cell r="F1298">
            <v>0</v>
          </cell>
          <cell r="G1298">
            <v>0</v>
          </cell>
          <cell r="H1298">
            <v>0</v>
          </cell>
          <cell r="I1298">
            <v>0</v>
          </cell>
          <cell r="J1298">
            <v>0</v>
          </cell>
          <cell r="K1298">
            <v>0</v>
          </cell>
          <cell r="L1298">
            <v>0</v>
          </cell>
          <cell r="M1298">
            <v>0</v>
          </cell>
          <cell r="N1298">
            <v>0</v>
          </cell>
          <cell r="O1298">
            <v>0</v>
          </cell>
          <cell r="P1298">
            <v>0</v>
          </cell>
          <cell r="Q1298">
            <v>0</v>
          </cell>
          <cell r="R1298">
            <v>0</v>
          </cell>
        </row>
        <row r="1299">
          <cell r="A1299" t="str">
            <v>18.03.01</v>
          </cell>
          <cell r="B1299" t="str">
            <v>SALIDA DE DESAGUE Y VENTILACION</v>
          </cell>
          <cell r="C1299">
            <v>0</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0</v>
          </cell>
        </row>
        <row r="1300">
          <cell r="A1300" t="str">
            <v>18.03.01.01</v>
          </cell>
          <cell r="B1300" t="str">
            <v>SALIDAS DE PVC SAL PARA DESAGUE DE 2"</v>
          </cell>
          <cell r="C1300" t="str">
            <v>pto</v>
          </cell>
          <cell r="D1300">
            <v>11</v>
          </cell>
          <cell r="E1300">
            <v>92.04</v>
          </cell>
          <cell r="F1300">
            <v>1012.44</v>
          </cell>
          <cell r="G1300">
            <v>11</v>
          </cell>
          <cell r="H1300">
            <v>1012.44</v>
          </cell>
          <cell r="I1300">
            <v>1</v>
          </cell>
          <cell r="J1300">
            <v>0</v>
          </cell>
          <cell r="K1300">
            <v>0</v>
          </cell>
          <cell r="L1300" t="str">
            <v>0.00%</v>
          </cell>
          <cell r="M1300">
            <v>11</v>
          </cell>
          <cell r="N1300">
            <v>1012.44</v>
          </cell>
          <cell r="O1300">
            <v>1</v>
          </cell>
          <cell r="P1300">
            <v>0</v>
          </cell>
          <cell r="Q1300">
            <v>0</v>
          </cell>
          <cell r="R1300" t="str">
            <v>0.00%</v>
          </cell>
        </row>
        <row r="1301">
          <cell r="A1301" t="str">
            <v>18.03.01.02</v>
          </cell>
          <cell r="B1301" t="str">
            <v>SALIDAS DE PVC SAL PARA DESAGUE DE 4"</v>
          </cell>
          <cell r="C1301" t="str">
            <v>pto</v>
          </cell>
          <cell r="D1301">
            <v>3</v>
          </cell>
          <cell r="E1301">
            <v>56.34</v>
          </cell>
          <cell r="F1301">
            <v>169.02</v>
          </cell>
          <cell r="G1301">
            <v>3</v>
          </cell>
          <cell r="H1301">
            <v>169.02</v>
          </cell>
          <cell r="I1301">
            <v>1</v>
          </cell>
          <cell r="J1301">
            <v>0</v>
          </cell>
          <cell r="K1301">
            <v>0</v>
          </cell>
          <cell r="L1301" t="str">
            <v>0.00%</v>
          </cell>
          <cell r="M1301">
            <v>3</v>
          </cell>
          <cell r="N1301">
            <v>169.02</v>
          </cell>
          <cell r="O1301">
            <v>1</v>
          </cell>
          <cell r="P1301">
            <v>0</v>
          </cell>
          <cell r="Q1301">
            <v>0</v>
          </cell>
          <cell r="R1301" t="str">
            <v>0.00%</v>
          </cell>
        </row>
        <row r="1302">
          <cell r="A1302" t="str">
            <v>18.03.01.03</v>
          </cell>
          <cell r="B1302" t="str">
            <v>SALIDAS DE PVC SAL PARA VENTILACION DE 2"</v>
          </cell>
          <cell r="C1302" t="str">
            <v>pto</v>
          </cell>
          <cell r="D1302">
            <v>1</v>
          </cell>
          <cell r="E1302">
            <v>85.76</v>
          </cell>
          <cell r="F1302">
            <v>85.76</v>
          </cell>
          <cell r="G1302">
            <v>1</v>
          </cell>
          <cell r="H1302">
            <v>85.76</v>
          </cell>
          <cell r="I1302">
            <v>1</v>
          </cell>
          <cell r="J1302">
            <v>0</v>
          </cell>
          <cell r="K1302">
            <v>0</v>
          </cell>
          <cell r="L1302" t="str">
            <v>0.00%</v>
          </cell>
          <cell r="M1302">
            <v>1</v>
          </cell>
          <cell r="N1302">
            <v>85.76</v>
          </cell>
          <cell r="O1302">
            <v>1</v>
          </cell>
          <cell r="P1302">
            <v>0</v>
          </cell>
          <cell r="Q1302">
            <v>0</v>
          </cell>
          <cell r="R1302" t="str">
            <v>0.00%</v>
          </cell>
        </row>
        <row r="1303">
          <cell r="A1303" t="str">
            <v>18.03.01.04</v>
          </cell>
          <cell r="B1303" t="str">
            <v>SOMBRERO VENTILACION PVC DE 2"</v>
          </cell>
          <cell r="C1303" t="str">
            <v>pza</v>
          </cell>
          <cell r="D1303">
            <v>1</v>
          </cell>
          <cell r="E1303">
            <v>11.19</v>
          </cell>
          <cell r="F1303">
            <v>11.19</v>
          </cell>
          <cell r="G1303">
            <v>0</v>
          </cell>
          <cell r="H1303">
            <v>0</v>
          </cell>
          <cell r="I1303" t="str">
            <v>0.00%</v>
          </cell>
          <cell r="J1303">
            <v>0</v>
          </cell>
          <cell r="K1303">
            <v>0</v>
          </cell>
          <cell r="L1303" t="str">
            <v>0.00%</v>
          </cell>
          <cell r="M1303">
            <v>0</v>
          </cell>
          <cell r="N1303">
            <v>0</v>
          </cell>
          <cell r="O1303" t="str">
            <v>0.00%</v>
          </cell>
          <cell r="P1303">
            <v>1</v>
          </cell>
          <cell r="Q1303">
            <v>11.19</v>
          </cell>
          <cell r="R1303">
            <v>1</v>
          </cell>
        </row>
        <row r="1304">
          <cell r="A1304" t="str">
            <v>18.03.02</v>
          </cell>
          <cell r="B1304" t="str">
            <v>REDES DE DERIVACION</v>
          </cell>
          <cell r="C1304">
            <v>0</v>
          </cell>
          <cell r="D1304">
            <v>0</v>
          </cell>
          <cell r="E1304">
            <v>0</v>
          </cell>
          <cell r="F1304">
            <v>0</v>
          </cell>
          <cell r="G1304">
            <v>0</v>
          </cell>
          <cell r="H1304">
            <v>0</v>
          </cell>
          <cell r="I1304">
            <v>0</v>
          </cell>
          <cell r="J1304">
            <v>0</v>
          </cell>
          <cell r="K1304">
            <v>0</v>
          </cell>
          <cell r="L1304">
            <v>0</v>
          </cell>
          <cell r="M1304">
            <v>0</v>
          </cell>
          <cell r="N1304">
            <v>0</v>
          </cell>
          <cell r="O1304">
            <v>0</v>
          </cell>
          <cell r="P1304">
            <v>0</v>
          </cell>
          <cell r="Q1304">
            <v>0</v>
          </cell>
          <cell r="R1304">
            <v>0</v>
          </cell>
        </row>
        <row r="1305">
          <cell r="A1305" t="str">
            <v>18.03.02.01</v>
          </cell>
          <cell r="B1305" t="str">
            <v>RED DE DESAGUE TUBERIA PVC DE 2"</v>
          </cell>
          <cell r="C1305" t="str">
            <v>m</v>
          </cell>
          <cell r="D1305">
            <v>2.62</v>
          </cell>
          <cell r="E1305">
            <v>15.56</v>
          </cell>
          <cell r="F1305">
            <v>40.767200000000003</v>
          </cell>
          <cell r="G1305">
            <v>0</v>
          </cell>
          <cell r="H1305">
            <v>0</v>
          </cell>
          <cell r="I1305" t="str">
            <v>0.00%</v>
          </cell>
          <cell r="J1305">
            <v>0</v>
          </cell>
          <cell r="K1305">
            <v>0</v>
          </cell>
          <cell r="L1305" t="str">
            <v>0.00%</v>
          </cell>
          <cell r="M1305">
            <v>0</v>
          </cell>
          <cell r="N1305">
            <v>0</v>
          </cell>
          <cell r="O1305" t="str">
            <v>0.00%</v>
          </cell>
          <cell r="P1305">
            <v>2.62</v>
          </cell>
          <cell r="Q1305">
            <v>40.767200000000003</v>
          </cell>
          <cell r="R1305">
            <v>1</v>
          </cell>
        </row>
        <row r="1306">
          <cell r="A1306" t="str">
            <v>18.03.02.02</v>
          </cell>
          <cell r="B1306" t="str">
            <v>RED DE DESAGUE TUBERIA PVC DE 4"</v>
          </cell>
          <cell r="C1306" t="str">
            <v>m</v>
          </cell>
          <cell r="D1306">
            <v>11.31</v>
          </cell>
          <cell r="E1306">
            <v>20.329999999999998</v>
          </cell>
          <cell r="F1306">
            <v>229.9323</v>
          </cell>
          <cell r="G1306">
            <v>0</v>
          </cell>
          <cell r="H1306">
            <v>0</v>
          </cell>
          <cell r="I1306" t="str">
            <v>0.00%</v>
          </cell>
          <cell r="J1306">
            <v>0</v>
          </cell>
          <cell r="K1306">
            <v>0</v>
          </cell>
          <cell r="L1306" t="str">
            <v>0.00%</v>
          </cell>
          <cell r="M1306">
            <v>0</v>
          </cell>
          <cell r="N1306">
            <v>0</v>
          </cell>
          <cell r="O1306" t="str">
            <v>0.00%</v>
          </cell>
          <cell r="P1306">
            <v>11.31</v>
          </cell>
          <cell r="Q1306">
            <v>229.9323</v>
          </cell>
          <cell r="R1306">
            <v>1</v>
          </cell>
        </row>
        <row r="1307">
          <cell r="A1307" t="str">
            <v>18.03.03</v>
          </cell>
          <cell r="B1307" t="str">
            <v>REGISTRO Y SUMIDEROS</v>
          </cell>
          <cell r="C1307">
            <v>0</v>
          </cell>
          <cell r="D1307">
            <v>0</v>
          </cell>
          <cell r="E1307">
            <v>0</v>
          </cell>
          <cell r="F1307">
            <v>0</v>
          </cell>
          <cell r="G1307">
            <v>0</v>
          </cell>
          <cell r="H1307">
            <v>0</v>
          </cell>
          <cell r="I1307">
            <v>0</v>
          </cell>
          <cell r="J1307">
            <v>0</v>
          </cell>
          <cell r="K1307">
            <v>0</v>
          </cell>
          <cell r="L1307">
            <v>0</v>
          </cell>
          <cell r="M1307">
            <v>0</v>
          </cell>
          <cell r="N1307">
            <v>0</v>
          </cell>
          <cell r="O1307">
            <v>0</v>
          </cell>
          <cell r="P1307">
            <v>0</v>
          </cell>
          <cell r="Q1307">
            <v>0</v>
          </cell>
          <cell r="R1307">
            <v>0</v>
          </cell>
        </row>
        <row r="1308">
          <cell r="A1308" t="str">
            <v>18.03.03.01</v>
          </cell>
          <cell r="B1308" t="str">
            <v>REGISTROS DE BRONCE DE 2"</v>
          </cell>
          <cell r="C1308" t="str">
            <v>pza</v>
          </cell>
          <cell r="D1308">
            <v>2</v>
          </cell>
          <cell r="E1308">
            <v>58.08</v>
          </cell>
          <cell r="F1308">
            <v>116.16</v>
          </cell>
          <cell r="G1308">
            <v>0</v>
          </cell>
          <cell r="H1308">
            <v>0</v>
          </cell>
          <cell r="I1308" t="str">
            <v>0.00%</v>
          </cell>
          <cell r="J1308">
            <v>0</v>
          </cell>
          <cell r="K1308">
            <v>0</v>
          </cell>
          <cell r="L1308" t="str">
            <v>0.00%</v>
          </cell>
          <cell r="M1308">
            <v>0</v>
          </cell>
          <cell r="N1308">
            <v>0</v>
          </cell>
          <cell r="O1308" t="str">
            <v>0.00%</v>
          </cell>
          <cell r="P1308">
            <v>2</v>
          </cell>
          <cell r="Q1308">
            <v>116.16</v>
          </cell>
          <cell r="R1308">
            <v>1</v>
          </cell>
        </row>
        <row r="1309">
          <cell r="A1309" t="str">
            <v>18.03.03.02</v>
          </cell>
          <cell r="B1309" t="str">
            <v>REGISTROS DE BRONCE DE 4"</v>
          </cell>
          <cell r="C1309" t="str">
            <v>pza</v>
          </cell>
          <cell r="D1309">
            <v>2</v>
          </cell>
          <cell r="E1309">
            <v>34.130000000000003</v>
          </cell>
          <cell r="F1309">
            <v>68.260000000000005</v>
          </cell>
          <cell r="G1309">
            <v>0</v>
          </cell>
          <cell r="H1309">
            <v>0</v>
          </cell>
          <cell r="I1309" t="str">
            <v>0.00%</v>
          </cell>
          <cell r="J1309">
            <v>0</v>
          </cell>
          <cell r="K1309">
            <v>0</v>
          </cell>
          <cell r="L1309" t="str">
            <v>0.00%</v>
          </cell>
          <cell r="M1309">
            <v>0</v>
          </cell>
          <cell r="N1309">
            <v>0</v>
          </cell>
          <cell r="O1309" t="str">
            <v>0.00%</v>
          </cell>
          <cell r="P1309">
            <v>2</v>
          </cell>
          <cell r="Q1309">
            <v>68.260000000000005</v>
          </cell>
          <cell r="R1309">
            <v>1</v>
          </cell>
        </row>
        <row r="1310">
          <cell r="A1310" t="str">
            <v>18.03.03.03</v>
          </cell>
          <cell r="B1310" t="str">
            <v>SUMIDEROS DE 2"</v>
          </cell>
          <cell r="C1310" t="str">
            <v>pza</v>
          </cell>
          <cell r="D1310">
            <v>2</v>
          </cell>
          <cell r="E1310">
            <v>68.38</v>
          </cell>
          <cell r="F1310">
            <v>136.76</v>
          </cell>
          <cell r="G1310">
            <v>0</v>
          </cell>
          <cell r="H1310">
            <v>0</v>
          </cell>
          <cell r="I1310" t="str">
            <v>0.00%</v>
          </cell>
          <cell r="J1310">
            <v>0</v>
          </cell>
          <cell r="K1310">
            <v>0</v>
          </cell>
          <cell r="L1310" t="str">
            <v>0.00%</v>
          </cell>
          <cell r="M1310">
            <v>0</v>
          </cell>
          <cell r="N1310">
            <v>0</v>
          </cell>
          <cell r="O1310" t="str">
            <v>0.00%</v>
          </cell>
          <cell r="P1310">
            <v>2</v>
          </cell>
          <cell r="Q1310">
            <v>136.76</v>
          </cell>
          <cell r="R1310">
            <v>1</v>
          </cell>
        </row>
        <row r="1311">
          <cell r="A1311" t="str">
            <v>18.03.04</v>
          </cell>
          <cell r="B1311" t="str">
            <v>CAJAS DE INSPECCION Y RETENCION</v>
          </cell>
          <cell r="C1311">
            <v>0</v>
          </cell>
          <cell r="D1311">
            <v>0</v>
          </cell>
          <cell r="E1311">
            <v>0</v>
          </cell>
          <cell r="F1311">
            <v>0</v>
          </cell>
          <cell r="G1311">
            <v>0</v>
          </cell>
          <cell r="H1311">
            <v>0</v>
          </cell>
          <cell r="I1311">
            <v>0</v>
          </cell>
          <cell r="J1311">
            <v>0</v>
          </cell>
          <cell r="K1311">
            <v>0</v>
          </cell>
          <cell r="L1311">
            <v>0</v>
          </cell>
          <cell r="M1311">
            <v>0</v>
          </cell>
          <cell r="N1311">
            <v>0</v>
          </cell>
          <cell r="O1311">
            <v>0</v>
          </cell>
          <cell r="P1311">
            <v>0</v>
          </cell>
          <cell r="Q1311">
            <v>0</v>
          </cell>
          <cell r="R1311">
            <v>0</v>
          </cell>
        </row>
        <row r="1312">
          <cell r="A1312" t="str">
            <v>18.03.04.01</v>
          </cell>
          <cell r="B1312" t="str">
            <v>CAJA DE REGISTRO DE DESAGUE 12" X 24" - CONSTRUCION</v>
          </cell>
          <cell r="C1312" t="str">
            <v>und</v>
          </cell>
          <cell r="D1312">
            <v>1</v>
          </cell>
          <cell r="E1312">
            <v>140.52000000000001</v>
          </cell>
          <cell r="F1312">
            <v>140.52000000000001</v>
          </cell>
          <cell r="G1312">
            <v>0</v>
          </cell>
          <cell r="H1312">
            <v>0</v>
          </cell>
          <cell r="I1312" t="str">
            <v>0.00%</v>
          </cell>
          <cell r="J1312">
            <v>0</v>
          </cell>
          <cell r="K1312">
            <v>0</v>
          </cell>
          <cell r="L1312" t="str">
            <v>0.00%</v>
          </cell>
          <cell r="M1312">
            <v>0</v>
          </cell>
          <cell r="N1312">
            <v>0</v>
          </cell>
          <cell r="O1312" t="str">
            <v>0.00%</v>
          </cell>
          <cell r="P1312">
            <v>1</v>
          </cell>
          <cell r="Q1312">
            <v>140.52000000000001</v>
          </cell>
          <cell r="R1312">
            <v>1</v>
          </cell>
        </row>
        <row r="1313">
          <cell r="A1313" t="str">
            <v>18.03.05</v>
          </cell>
          <cell r="B1313" t="str">
            <v>PRUEBAS HIDRAULICA</v>
          </cell>
          <cell r="C1313">
            <v>0</v>
          </cell>
          <cell r="D1313">
            <v>0</v>
          </cell>
          <cell r="E1313">
            <v>0</v>
          </cell>
          <cell r="F1313">
            <v>0</v>
          </cell>
          <cell r="G1313">
            <v>0</v>
          </cell>
          <cell r="H1313">
            <v>0</v>
          </cell>
          <cell r="I1313">
            <v>0</v>
          </cell>
          <cell r="J1313">
            <v>0</v>
          </cell>
          <cell r="K1313">
            <v>0</v>
          </cell>
          <cell r="L1313">
            <v>0</v>
          </cell>
          <cell r="M1313">
            <v>0</v>
          </cell>
          <cell r="N1313">
            <v>0</v>
          </cell>
          <cell r="O1313">
            <v>0</v>
          </cell>
          <cell r="P1313">
            <v>0</v>
          </cell>
          <cell r="Q1313">
            <v>0</v>
          </cell>
          <cell r="R1313">
            <v>0</v>
          </cell>
        </row>
        <row r="1314">
          <cell r="A1314" t="str">
            <v>18.03.05.01</v>
          </cell>
          <cell r="B1314" t="str">
            <v>PRUEBA HIDRAULICA TUBERIA DE DESAGUE</v>
          </cell>
          <cell r="C1314" t="str">
            <v>und</v>
          </cell>
          <cell r="D1314">
            <v>1</v>
          </cell>
          <cell r="E1314">
            <v>450</v>
          </cell>
          <cell r="F1314">
            <v>450</v>
          </cell>
          <cell r="G1314">
            <v>0</v>
          </cell>
          <cell r="H1314">
            <v>0</v>
          </cell>
          <cell r="I1314" t="str">
            <v>0.00%</v>
          </cell>
          <cell r="J1314">
            <v>0</v>
          </cell>
          <cell r="K1314">
            <v>0</v>
          </cell>
          <cell r="L1314" t="str">
            <v>0.00%</v>
          </cell>
          <cell r="M1314">
            <v>0</v>
          </cell>
          <cell r="N1314">
            <v>0</v>
          </cell>
          <cell r="O1314" t="str">
            <v>0.00%</v>
          </cell>
          <cell r="P1314">
            <v>1</v>
          </cell>
          <cell r="Q1314">
            <v>450</v>
          </cell>
          <cell r="R1314">
            <v>1</v>
          </cell>
        </row>
        <row r="1315">
          <cell r="A1315" t="str">
            <v>18.04</v>
          </cell>
          <cell r="B1315" t="str">
            <v>SISTEMA DE DRENAJE PLUVIAL</v>
          </cell>
          <cell r="C1315">
            <v>0</v>
          </cell>
          <cell r="D1315">
            <v>0</v>
          </cell>
          <cell r="E1315">
            <v>0</v>
          </cell>
          <cell r="F1315">
            <v>0</v>
          </cell>
          <cell r="G1315">
            <v>0</v>
          </cell>
          <cell r="H1315">
            <v>0</v>
          </cell>
          <cell r="I1315">
            <v>0</v>
          </cell>
          <cell r="J1315">
            <v>0</v>
          </cell>
          <cell r="K1315">
            <v>0</v>
          </cell>
          <cell r="L1315">
            <v>0</v>
          </cell>
          <cell r="M1315">
            <v>0</v>
          </cell>
          <cell r="N1315">
            <v>0</v>
          </cell>
          <cell r="O1315">
            <v>0</v>
          </cell>
          <cell r="P1315">
            <v>0</v>
          </cell>
          <cell r="Q1315">
            <v>0</v>
          </cell>
          <cell r="R1315">
            <v>0</v>
          </cell>
        </row>
        <row r="1316">
          <cell r="A1316" t="str">
            <v>18.04.01</v>
          </cell>
          <cell r="B1316" t="str">
            <v>SISTEMA DE BAJADA MONTANTE (PLUVIAL)</v>
          </cell>
          <cell r="C1316">
            <v>0</v>
          </cell>
          <cell r="D1316">
            <v>0</v>
          </cell>
          <cell r="E1316">
            <v>0</v>
          </cell>
          <cell r="F1316">
            <v>0</v>
          </cell>
          <cell r="G1316">
            <v>0</v>
          </cell>
          <cell r="H1316">
            <v>0</v>
          </cell>
          <cell r="I1316">
            <v>0</v>
          </cell>
          <cell r="J1316">
            <v>0</v>
          </cell>
          <cell r="K1316">
            <v>0</v>
          </cell>
          <cell r="L1316">
            <v>0</v>
          </cell>
          <cell r="M1316">
            <v>0</v>
          </cell>
          <cell r="N1316">
            <v>0</v>
          </cell>
          <cell r="O1316">
            <v>0</v>
          </cell>
          <cell r="P1316">
            <v>0</v>
          </cell>
          <cell r="Q1316">
            <v>0</v>
          </cell>
          <cell r="R1316">
            <v>0</v>
          </cell>
        </row>
        <row r="1317">
          <cell r="A1317" t="str">
            <v>18.04.01.01</v>
          </cell>
          <cell r="B1317" t="str">
            <v>ABRAZADERA DE FIJACION DE TUBO</v>
          </cell>
          <cell r="C1317" t="str">
            <v>und</v>
          </cell>
          <cell r="D1317">
            <v>16</v>
          </cell>
          <cell r="E1317">
            <v>41.02</v>
          </cell>
          <cell r="F1317">
            <v>656.32</v>
          </cell>
          <cell r="G1317">
            <v>0</v>
          </cell>
          <cell r="H1317">
            <v>0</v>
          </cell>
          <cell r="I1317" t="str">
            <v>0.00%</v>
          </cell>
          <cell r="J1317">
            <v>0</v>
          </cell>
          <cell r="K1317">
            <v>0</v>
          </cell>
          <cell r="L1317" t="str">
            <v>0.00%</v>
          </cell>
          <cell r="M1317">
            <v>0</v>
          </cell>
          <cell r="N1317">
            <v>0</v>
          </cell>
          <cell r="O1317" t="str">
            <v>0.00%</v>
          </cell>
          <cell r="P1317">
            <v>16</v>
          </cell>
          <cell r="Q1317">
            <v>656.32</v>
          </cell>
          <cell r="R1317">
            <v>1</v>
          </cell>
        </row>
        <row r="1318">
          <cell r="A1318" t="str">
            <v>18.04.01.02</v>
          </cell>
          <cell r="B1318" t="str">
            <v>INSTALACION DE TUB. PVC SAP C-10 Ø 4"</v>
          </cell>
          <cell r="C1318" t="str">
            <v>m</v>
          </cell>
          <cell r="D1318">
            <v>13.8</v>
          </cell>
          <cell r="E1318">
            <v>9.93</v>
          </cell>
          <cell r="F1318">
            <v>137.03399999999999</v>
          </cell>
          <cell r="G1318">
            <v>0</v>
          </cell>
          <cell r="H1318">
            <v>0</v>
          </cell>
          <cell r="I1318" t="str">
            <v>0.00%</v>
          </cell>
          <cell r="J1318">
            <v>0</v>
          </cell>
          <cell r="K1318">
            <v>0</v>
          </cell>
          <cell r="L1318" t="str">
            <v>0.00%</v>
          </cell>
          <cell r="M1318">
            <v>0</v>
          </cell>
          <cell r="N1318">
            <v>0</v>
          </cell>
          <cell r="O1318" t="str">
            <v>0.00%</v>
          </cell>
          <cell r="P1318">
            <v>13.8</v>
          </cell>
          <cell r="Q1318">
            <v>137.03399999999999</v>
          </cell>
          <cell r="R1318">
            <v>1</v>
          </cell>
        </row>
        <row r="1319">
          <cell r="A1319" t="str">
            <v>18.04.01.03</v>
          </cell>
          <cell r="B1319" t="str">
            <v>CONCRETO FC=175 KG/CM2 EN COLUMNETAS</v>
          </cell>
          <cell r="C1319" t="str">
            <v>m3</v>
          </cell>
          <cell r="D1319">
            <v>0.16</v>
          </cell>
          <cell r="E1319">
            <v>466.52</v>
          </cell>
          <cell r="F1319">
            <v>74.643199999999993</v>
          </cell>
          <cell r="G1319">
            <v>0</v>
          </cell>
          <cell r="H1319">
            <v>0</v>
          </cell>
          <cell r="I1319" t="str">
            <v>0.00%</v>
          </cell>
          <cell r="J1319">
            <v>0</v>
          </cell>
          <cell r="K1319">
            <v>0</v>
          </cell>
          <cell r="L1319" t="str">
            <v>0.00%</v>
          </cell>
          <cell r="M1319">
            <v>0</v>
          </cell>
          <cell r="N1319">
            <v>0</v>
          </cell>
          <cell r="O1319" t="str">
            <v>0.00%</v>
          </cell>
          <cell r="P1319">
            <v>0.16</v>
          </cell>
          <cell r="Q1319">
            <v>74.643199999999993</v>
          </cell>
          <cell r="R1319">
            <v>1</v>
          </cell>
        </row>
        <row r="1320">
          <cell r="A1320" t="str">
            <v>18.04.01.04</v>
          </cell>
          <cell r="B1320" t="str">
            <v>ACERO F'Y=4200 KG/CM2 GRADO 60 EN COLUMNETAS</v>
          </cell>
          <cell r="C1320" t="str">
            <v>kg</v>
          </cell>
          <cell r="D1320">
            <v>28.34</v>
          </cell>
          <cell r="E1320">
            <v>4.4400000000000004</v>
          </cell>
          <cell r="F1320">
            <v>125.82960000000001</v>
          </cell>
          <cell r="G1320">
            <v>0</v>
          </cell>
          <cell r="H1320">
            <v>0</v>
          </cell>
          <cell r="I1320" t="str">
            <v>0.00%</v>
          </cell>
          <cell r="J1320">
            <v>0</v>
          </cell>
          <cell r="K1320">
            <v>0</v>
          </cell>
          <cell r="L1320" t="str">
            <v>0.00%</v>
          </cell>
          <cell r="M1320">
            <v>0</v>
          </cell>
          <cell r="N1320">
            <v>0</v>
          </cell>
          <cell r="O1320" t="str">
            <v>0.00%</v>
          </cell>
          <cell r="P1320">
            <v>28.34</v>
          </cell>
          <cell r="Q1320">
            <v>125.82960000000001</v>
          </cell>
          <cell r="R1320">
            <v>1</v>
          </cell>
        </row>
        <row r="1321">
          <cell r="A1321" t="str">
            <v>18.04.01.05</v>
          </cell>
          <cell r="B1321" t="str">
            <v>ENCOFRADO Y DESENCOFRADO NORMAL  EN COLUMNETAS</v>
          </cell>
          <cell r="C1321" t="str">
            <v>m2</v>
          </cell>
          <cell r="D1321">
            <v>2.4</v>
          </cell>
          <cell r="E1321">
            <v>44.19</v>
          </cell>
          <cell r="F1321">
            <v>106.056</v>
          </cell>
          <cell r="G1321">
            <v>0</v>
          </cell>
          <cell r="H1321">
            <v>0</v>
          </cell>
          <cell r="I1321" t="str">
            <v>0.00%</v>
          </cell>
          <cell r="J1321">
            <v>0</v>
          </cell>
          <cell r="K1321">
            <v>0</v>
          </cell>
          <cell r="L1321" t="str">
            <v>0.00%</v>
          </cell>
          <cell r="M1321">
            <v>0</v>
          </cell>
          <cell r="N1321">
            <v>0</v>
          </cell>
          <cell r="O1321" t="str">
            <v>0.00%</v>
          </cell>
          <cell r="P1321">
            <v>2.4</v>
          </cell>
          <cell r="Q1321">
            <v>106.056</v>
          </cell>
          <cell r="R1321">
            <v>1</v>
          </cell>
        </row>
        <row r="1322">
          <cell r="A1322" t="str">
            <v>18.04.01.06</v>
          </cell>
          <cell r="B1322" t="str">
            <v>TARRAJEO DE SUPERFICIE COLUMNETAS INCL. ARISTAS MEZCLA 1:5 CEMENTO:ARENA</v>
          </cell>
          <cell r="C1322" t="str">
            <v>m2</v>
          </cell>
          <cell r="D1322">
            <v>2.4</v>
          </cell>
          <cell r="E1322">
            <v>31.33</v>
          </cell>
          <cell r="F1322">
            <v>75.191999999999993</v>
          </cell>
          <cell r="G1322">
            <v>0</v>
          </cell>
          <cell r="H1322">
            <v>0</v>
          </cell>
          <cell r="I1322" t="str">
            <v>0.00%</v>
          </cell>
          <cell r="J1322">
            <v>0</v>
          </cell>
          <cell r="K1322">
            <v>0</v>
          </cell>
          <cell r="L1322" t="str">
            <v>0.00%</v>
          </cell>
          <cell r="M1322">
            <v>0</v>
          </cell>
          <cell r="N1322">
            <v>0</v>
          </cell>
          <cell r="O1322" t="str">
            <v>0.00%</v>
          </cell>
          <cell r="P1322">
            <v>2.4</v>
          </cell>
          <cell r="Q1322">
            <v>75.191999999999993</v>
          </cell>
          <cell r="R1322">
            <v>1</v>
          </cell>
        </row>
        <row r="1323">
          <cell r="A1323" t="str">
            <v>18.04.02</v>
          </cell>
          <cell r="B1323" t="str">
            <v>SISTEMA DE EVACUACION PLUVIAL</v>
          </cell>
          <cell r="C1323">
            <v>0</v>
          </cell>
          <cell r="D1323">
            <v>0</v>
          </cell>
          <cell r="E1323">
            <v>0</v>
          </cell>
          <cell r="F1323">
            <v>0</v>
          </cell>
          <cell r="G1323">
            <v>0</v>
          </cell>
          <cell r="H1323">
            <v>0</v>
          </cell>
          <cell r="I1323">
            <v>0</v>
          </cell>
          <cell r="J1323">
            <v>0</v>
          </cell>
          <cell r="K1323">
            <v>0</v>
          </cell>
          <cell r="L1323">
            <v>0</v>
          </cell>
          <cell r="M1323">
            <v>0</v>
          </cell>
          <cell r="N1323">
            <v>0</v>
          </cell>
          <cell r="O1323">
            <v>0</v>
          </cell>
          <cell r="P1323">
            <v>0</v>
          </cell>
          <cell r="Q1323">
            <v>0</v>
          </cell>
          <cell r="R1323">
            <v>0</v>
          </cell>
        </row>
        <row r="1324">
          <cell r="A1324" t="str">
            <v>18.04.02.01</v>
          </cell>
          <cell r="B1324" t="str">
            <v>RED COLECTORA PARA AGUAS PLUVIALES TUB. PVC UF Ø DE 4"</v>
          </cell>
          <cell r="C1324" t="str">
            <v>m</v>
          </cell>
          <cell r="D1324">
            <v>21.36</v>
          </cell>
          <cell r="E1324">
            <v>27.03</v>
          </cell>
          <cell r="F1324">
            <v>577.36080000000004</v>
          </cell>
          <cell r="G1324">
            <v>0</v>
          </cell>
          <cell r="H1324">
            <v>0</v>
          </cell>
          <cell r="I1324" t="str">
            <v>0.00%</v>
          </cell>
          <cell r="J1324">
            <v>0</v>
          </cell>
          <cell r="K1324">
            <v>0</v>
          </cell>
          <cell r="L1324" t="str">
            <v>0.00%</v>
          </cell>
          <cell r="M1324">
            <v>0</v>
          </cell>
          <cell r="N1324">
            <v>0</v>
          </cell>
          <cell r="O1324" t="str">
            <v>0.00%</v>
          </cell>
          <cell r="P1324">
            <v>21.36</v>
          </cell>
          <cell r="Q1324">
            <v>577.36080000000004</v>
          </cell>
          <cell r="R1324">
            <v>1</v>
          </cell>
        </row>
        <row r="1325">
          <cell r="A1325" t="str">
            <v>18.04.02.02</v>
          </cell>
          <cell r="B1325" t="str">
            <v>CAJA DE REGISTRO DE DESAGUE 12" X 24" - CONSTRUCION</v>
          </cell>
          <cell r="C1325" t="str">
            <v>und</v>
          </cell>
          <cell r="D1325">
            <v>4</v>
          </cell>
          <cell r="E1325">
            <v>140.52000000000001</v>
          </cell>
          <cell r="F1325">
            <v>562.08000000000004</v>
          </cell>
          <cell r="G1325">
            <v>0</v>
          </cell>
          <cell r="H1325">
            <v>0</v>
          </cell>
          <cell r="I1325" t="str">
            <v>0.00%</v>
          </cell>
          <cell r="J1325">
            <v>0</v>
          </cell>
          <cell r="K1325">
            <v>0</v>
          </cell>
          <cell r="L1325" t="str">
            <v>0.00%</v>
          </cell>
          <cell r="M1325">
            <v>0</v>
          </cell>
          <cell r="N1325">
            <v>0</v>
          </cell>
          <cell r="O1325" t="str">
            <v>0.00%</v>
          </cell>
          <cell r="P1325">
            <v>4</v>
          </cell>
          <cell r="Q1325">
            <v>562.08000000000004</v>
          </cell>
          <cell r="R1325">
            <v>1</v>
          </cell>
        </row>
        <row r="1326">
          <cell r="A1326" t="str">
            <v>19</v>
          </cell>
          <cell r="B1326" t="str">
            <v>BLOQUE - 5</v>
          </cell>
          <cell r="C1326">
            <v>0</v>
          </cell>
          <cell r="D1326">
            <v>0</v>
          </cell>
          <cell r="E1326">
            <v>0</v>
          </cell>
          <cell r="F1326">
            <v>0</v>
          </cell>
          <cell r="G1326">
            <v>0</v>
          </cell>
          <cell r="H1326">
            <v>0</v>
          </cell>
          <cell r="I1326">
            <v>0</v>
          </cell>
          <cell r="J1326">
            <v>0</v>
          </cell>
          <cell r="K1326">
            <v>0</v>
          </cell>
          <cell r="L1326">
            <v>0</v>
          </cell>
          <cell r="M1326">
            <v>0</v>
          </cell>
          <cell r="N1326">
            <v>0</v>
          </cell>
          <cell r="O1326">
            <v>0</v>
          </cell>
          <cell r="P1326">
            <v>0</v>
          </cell>
          <cell r="Q1326">
            <v>0</v>
          </cell>
          <cell r="R1326">
            <v>0</v>
          </cell>
        </row>
        <row r="1327">
          <cell r="A1327" t="str">
            <v>19.01</v>
          </cell>
          <cell r="B1327" t="str">
            <v>APARATOS SANITARIOS Y ACCESORIOS</v>
          </cell>
          <cell r="C1327">
            <v>0</v>
          </cell>
          <cell r="D1327">
            <v>0</v>
          </cell>
          <cell r="E1327">
            <v>0</v>
          </cell>
          <cell r="F1327">
            <v>0</v>
          </cell>
          <cell r="G1327">
            <v>0</v>
          </cell>
          <cell r="H1327">
            <v>0</v>
          </cell>
          <cell r="I1327">
            <v>0</v>
          </cell>
          <cell r="J1327">
            <v>0</v>
          </cell>
          <cell r="K1327">
            <v>0</v>
          </cell>
          <cell r="L1327">
            <v>0</v>
          </cell>
          <cell r="M1327">
            <v>0</v>
          </cell>
          <cell r="N1327">
            <v>0</v>
          </cell>
          <cell r="O1327">
            <v>0</v>
          </cell>
          <cell r="P1327">
            <v>0</v>
          </cell>
          <cell r="Q1327">
            <v>0</v>
          </cell>
          <cell r="R1327">
            <v>0</v>
          </cell>
        </row>
        <row r="1328">
          <cell r="A1328" t="str">
            <v>19.01.01</v>
          </cell>
          <cell r="B1328" t="str">
            <v>SUMINISTRO DE APARATO SANITARIOS</v>
          </cell>
          <cell r="C1328">
            <v>0</v>
          </cell>
          <cell r="D1328">
            <v>0</v>
          </cell>
          <cell r="E1328">
            <v>0</v>
          </cell>
          <cell r="F1328">
            <v>0</v>
          </cell>
          <cell r="G1328">
            <v>0</v>
          </cell>
          <cell r="H1328">
            <v>0</v>
          </cell>
          <cell r="I1328">
            <v>0</v>
          </cell>
          <cell r="J1328">
            <v>0</v>
          </cell>
          <cell r="K1328">
            <v>0</v>
          </cell>
          <cell r="L1328">
            <v>0</v>
          </cell>
          <cell r="M1328">
            <v>0</v>
          </cell>
          <cell r="N1328">
            <v>0</v>
          </cell>
          <cell r="O1328">
            <v>0</v>
          </cell>
          <cell r="P1328">
            <v>0</v>
          </cell>
          <cell r="Q1328">
            <v>0</v>
          </cell>
          <cell r="R1328">
            <v>0</v>
          </cell>
        </row>
        <row r="1329">
          <cell r="A1329" t="str">
            <v>19.01.01.01</v>
          </cell>
          <cell r="B1329" t="str">
            <v>INODORO BABY FRESH COLOR BLANCO</v>
          </cell>
          <cell r="C1329" t="str">
            <v>und</v>
          </cell>
          <cell r="D1329">
            <v>4</v>
          </cell>
          <cell r="E1329">
            <v>280</v>
          </cell>
          <cell r="F1329">
            <v>1120</v>
          </cell>
          <cell r="G1329">
            <v>0</v>
          </cell>
          <cell r="H1329">
            <v>0</v>
          </cell>
          <cell r="I1329" t="str">
            <v>0.00%</v>
          </cell>
          <cell r="J1329">
            <v>0</v>
          </cell>
          <cell r="K1329">
            <v>0</v>
          </cell>
          <cell r="L1329" t="str">
            <v>0.00%</v>
          </cell>
          <cell r="M1329">
            <v>0</v>
          </cell>
          <cell r="N1329">
            <v>0</v>
          </cell>
          <cell r="O1329" t="str">
            <v>0.00%</v>
          </cell>
          <cell r="P1329">
            <v>4</v>
          </cell>
          <cell r="Q1329">
            <v>1120</v>
          </cell>
          <cell r="R1329">
            <v>1</v>
          </cell>
        </row>
        <row r="1330">
          <cell r="A1330" t="str">
            <v>19.01.01.02</v>
          </cell>
          <cell r="B1330" t="str">
            <v xml:space="preserve">URINARIO BAMBI DE LOSA BLANCO </v>
          </cell>
          <cell r="C1330" t="str">
            <v>und</v>
          </cell>
          <cell r="D1330">
            <v>2</v>
          </cell>
          <cell r="E1330">
            <v>150</v>
          </cell>
          <cell r="F1330">
            <v>300</v>
          </cell>
          <cell r="G1330">
            <v>0</v>
          </cell>
          <cell r="H1330">
            <v>0</v>
          </cell>
          <cell r="I1330" t="str">
            <v>0.00%</v>
          </cell>
          <cell r="J1330">
            <v>0</v>
          </cell>
          <cell r="K1330">
            <v>0</v>
          </cell>
          <cell r="L1330" t="str">
            <v>0.00%</v>
          </cell>
          <cell r="M1330">
            <v>0</v>
          </cell>
          <cell r="N1330">
            <v>0</v>
          </cell>
          <cell r="O1330" t="str">
            <v>0.00%</v>
          </cell>
          <cell r="P1330">
            <v>2</v>
          </cell>
          <cell r="Q1330">
            <v>300</v>
          </cell>
          <cell r="R1330">
            <v>1</v>
          </cell>
        </row>
        <row r="1331">
          <cell r="A1331" t="str">
            <v>19.01.01.03</v>
          </cell>
          <cell r="B1331" t="str">
            <v>LAVATORIO OVALIN TIPO SONNET BLANCO</v>
          </cell>
          <cell r="C1331" t="str">
            <v>und</v>
          </cell>
          <cell r="D1331">
            <v>4</v>
          </cell>
          <cell r="E1331">
            <v>190</v>
          </cell>
          <cell r="F1331">
            <v>760</v>
          </cell>
          <cell r="G1331">
            <v>0</v>
          </cell>
          <cell r="H1331">
            <v>0</v>
          </cell>
          <cell r="I1331" t="str">
            <v>0.00%</v>
          </cell>
          <cell r="J1331">
            <v>0</v>
          </cell>
          <cell r="K1331">
            <v>0</v>
          </cell>
          <cell r="L1331" t="str">
            <v>0.00%</v>
          </cell>
          <cell r="M1331">
            <v>0</v>
          </cell>
          <cell r="N1331">
            <v>0</v>
          </cell>
          <cell r="O1331" t="str">
            <v>0.00%</v>
          </cell>
          <cell r="P1331">
            <v>4</v>
          </cell>
          <cell r="Q1331">
            <v>760</v>
          </cell>
          <cell r="R1331">
            <v>1</v>
          </cell>
        </row>
        <row r="1332">
          <cell r="A1332" t="str">
            <v>19.01.02</v>
          </cell>
          <cell r="B1332" t="str">
            <v>SUMINISTRO DE ACCESORIOS</v>
          </cell>
          <cell r="C1332">
            <v>0</v>
          </cell>
          <cell r="D1332">
            <v>0</v>
          </cell>
          <cell r="E1332">
            <v>0</v>
          </cell>
          <cell r="F1332">
            <v>0</v>
          </cell>
          <cell r="G1332">
            <v>0</v>
          </cell>
          <cell r="H1332">
            <v>0</v>
          </cell>
          <cell r="I1332">
            <v>0</v>
          </cell>
          <cell r="J1332">
            <v>0</v>
          </cell>
          <cell r="K1332">
            <v>0</v>
          </cell>
          <cell r="L1332">
            <v>0</v>
          </cell>
          <cell r="M1332">
            <v>0</v>
          </cell>
          <cell r="N1332">
            <v>0</v>
          </cell>
          <cell r="O1332">
            <v>0</v>
          </cell>
          <cell r="P1332">
            <v>0</v>
          </cell>
          <cell r="Q1332">
            <v>0</v>
          </cell>
          <cell r="R1332">
            <v>0</v>
          </cell>
        </row>
        <row r="1333">
          <cell r="A1333" t="str">
            <v>19.01.02.01</v>
          </cell>
          <cell r="B1333" t="str">
            <v>PAPELERA DE LOSA COLOR BLANCO</v>
          </cell>
          <cell r="C1333" t="str">
            <v>und</v>
          </cell>
          <cell r="D1333">
            <v>4</v>
          </cell>
          <cell r="E1333">
            <v>35</v>
          </cell>
          <cell r="F1333">
            <v>140</v>
          </cell>
          <cell r="G1333">
            <v>0</v>
          </cell>
          <cell r="H1333">
            <v>0</v>
          </cell>
          <cell r="I1333" t="str">
            <v>0.00%</v>
          </cell>
          <cell r="J1333">
            <v>0</v>
          </cell>
          <cell r="K1333">
            <v>0</v>
          </cell>
          <cell r="L1333" t="str">
            <v>0.00%</v>
          </cell>
          <cell r="M1333">
            <v>0</v>
          </cell>
          <cell r="N1333">
            <v>0</v>
          </cell>
          <cell r="O1333" t="str">
            <v>0.00%</v>
          </cell>
          <cell r="P1333">
            <v>4</v>
          </cell>
          <cell r="Q1333">
            <v>140</v>
          </cell>
          <cell r="R1333">
            <v>1</v>
          </cell>
        </row>
        <row r="1334">
          <cell r="A1334" t="str">
            <v>19.01.02.02</v>
          </cell>
          <cell r="B1334" t="str">
            <v>JABONERA DE LOSA COLOR BLANCO</v>
          </cell>
          <cell r="C1334" t="str">
            <v>und</v>
          </cell>
          <cell r="D1334">
            <v>4</v>
          </cell>
          <cell r="E1334">
            <v>20</v>
          </cell>
          <cell r="F1334">
            <v>80</v>
          </cell>
          <cell r="G1334">
            <v>0</v>
          </cell>
          <cell r="H1334">
            <v>0</v>
          </cell>
          <cell r="I1334" t="str">
            <v>0.00%</v>
          </cell>
          <cell r="J1334">
            <v>0</v>
          </cell>
          <cell r="K1334">
            <v>0</v>
          </cell>
          <cell r="L1334" t="str">
            <v>0.00%</v>
          </cell>
          <cell r="M1334">
            <v>0</v>
          </cell>
          <cell r="N1334">
            <v>0</v>
          </cell>
          <cell r="O1334" t="str">
            <v>0.00%</v>
          </cell>
          <cell r="P1334">
            <v>4</v>
          </cell>
          <cell r="Q1334">
            <v>80</v>
          </cell>
          <cell r="R1334">
            <v>1</v>
          </cell>
        </row>
        <row r="1335">
          <cell r="A1335" t="str">
            <v>19.01.02.03</v>
          </cell>
          <cell r="B1335" t="str">
            <v>ESPEJO DE 4MM DE 1.20 x 0.50M.</v>
          </cell>
          <cell r="C1335" t="str">
            <v>und</v>
          </cell>
          <cell r="D1335">
            <v>2</v>
          </cell>
          <cell r="E1335">
            <v>35</v>
          </cell>
          <cell r="F1335">
            <v>70</v>
          </cell>
          <cell r="G1335">
            <v>0</v>
          </cell>
          <cell r="H1335">
            <v>0</v>
          </cell>
          <cell r="I1335" t="str">
            <v>0.00%</v>
          </cell>
          <cell r="J1335">
            <v>0</v>
          </cell>
          <cell r="K1335">
            <v>0</v>
          </cell>
          <cell r="L1335" t="str">
            <v>0.00%</v>
          </cell>
          <cell r="M1335">
            <v>0</v>
          </cell>
          <cell r="N1335">
            <v>0</v>
          </cell>
          <cell r="O1335" t="str">
            <v>0.00%</v>
          </cell>
          <cell r="P1335">
            <v>2</v>
          </cell>
          <cell r="Q1335">
            <v>70</v>
          </cell>
          <cell r="R1335">
            <v>1</v>
          </cell>
        </row>
        <row r="1336">
          <cell r="A1336" t="str">
            <v>19.01.03</v>
          </cell>
          <cell r="B1336" t="str">
            <v xml:space="preserve">INSTALACION DE APARATOS SANITARIOS  </v>
          </cell>
          <cell r="C1336">
            <v>0</v>
          </cell>
          <cell r="D1336">
            <v>0</v>
          </cell>
          <cell r="E1336">
            <v>0</v>
          </cell>
          <cell r="F1336">
            <v>0</v>
          </cell>
          <cell r="G1336">
            <v>0</v>
          </cell>
          <cell r="H1336">
            <v>0</v>
          </cell>
          <cell r="I1336">
            <v>0</v>
          </cell>
          <cell r="J1336">
            <v>0</v>
          </cell>
          <cell r="K1336">
            <v>0</v>
          </cell>
          <cell r="L1336">
            <v>0</v>
          </cell>
          <cell r="M1336">
            <v>0</v>
          </cell>
          <cell r="N1336">
            <v>0</v>
          </cell>
          <cell r="O1336">
            <v>0</v>
          </cell>
          <cell r="P1336">
            <v>0</v>
          </cell>
          <cell r="Q1336">
            <v>0</v>
          </cell>
          <cell r="R1336">
            <v>0</v>
          </cell>
        </row>
        <row r="1337">
          <cell r="A1337" t="str">
            <v>19.01.03.01</v>
          </cell>
          <cell r="B1337" t="str">
            <v xml:space="preserve">COLOCACION DE APARATOS SANITARIOS </v>
          </cell>
          <cell r="C1337" t="str">
            <v>und</v>
          </cell>
          <cell r="D1337">
            <v>10</v>
          </cell>
          <cell r="E1337">
            <v>52.08</v>
          </cell>
          <cell r="F1337">
            <v>520.79999999999995</v>
          </cell>
          <cell r="G1337">
            <v>0</v>
          </cell>
          <cell r="H1337">
            <v>0</v>
          </cell>
          <cell r="I1337" t="str">
            <v>0.00%</v>
          </cell>
          <cell r="J1337">
            <v>0</v>
          </cell>
          <cell r="K1337">
            <v>0</v>
          </cell>
          <cell r="L1337" t="str">
            <v>0.00%</v>
          </cell>
          <cell r="M1337">
            <v>0</v>
          </cell>
          <cell r="N1337">
            <v>0</v>
          </cell>
          <cell r="O1337" t="str">
            <v>0.00%</v>
          </cell>
          <cell r="P1337">
            <v>10</v>
          </cell>
          <cell r="Q1337">
            <v>520.79999999999995</v>
          </cell>
          <cell r="R1337">
            <v>1</v>
          </cell>
        </row>
        <row r="1338">
          <cell r="A1338" t="str">
            <v>19.01.04</v>
          </cell>
          <cell r="B1338" t="str">
            <v>INSTALACION DE ACCESORIOS</v>
          </cell>
          <cell r="C1338">
            <v>0</v>
          </cell>
          <cell r="D1338">
            <v>0</v>
          </cell>
          <cell r="E1338">
            <v>0</v>
          </cell>
          <cell r="F1338">
            <v>0</v>
          </cell>
          <cell r="G1338">
            <v>0</v>
          </cell>
          <cell r="H1338">
            <v>0</v>
          </cell>
          <cell r="I1338">
            <v>0</v>
          </cell>
          <cell r="J1338">
            <v>0</v>
          </cell>
          <cell r="K1338">
            <v>0</v>
          </cell>
          <cell r="L1338">
            <v>0</v>
          </cell>
          <cell r="M1338">
            <v>0</v>
          </cell>
          <cell r="N1338">
            <v>0</v>
          </cell>
          <cell r="O1338">
            <v>0</v>
          </cell>
          <cell r="P1338">
            <v>0</v>
          </cell>
          <cell r="Q1338">
            <v>0</v>
          </cell>
          <cell r="R1338">
            <v>0</v>
          </cell>
        </row>
        <row r="1339">
          <cell r="A1339" t="str">
            <v>19.01.04.01</v>
          </cell>
          <cell r="B1339" t="str">
            <v>COLOCACION DE ACCESORIOS SANITARIOS</v>
          </cell>
          <cell r="C1339" t="str">
            <v>und</v>
          </cell>
          <cell r="D1339">
            <v>8</v>
          </cell>
          <cell r="E1339">
            <v>26.04</v>
          </cell>
          <cell r="F1339">
            <v>208.32</v>
          </cell>
          <cell r="G1339">
            <v>0</v>
          </cell>
          <cell r="H1339">
            <v>0</v>
          </cell>
          <cell r="I1339" t="str">
            <v>0.00%</v>
          </cell>
          <cell r="J1339">
            <v>0</v>
          </cell>
          <cell r="K1339">
            <v>0</v>
          </cell>
          <cell r="L1339" t="str">
            <v>0.00%</v>
          </cell>
          <cell r="M1339">
            <v>0</v>
          </cell>
          <cell r="N1339">
            <v>0</v>
          </cell>
          <cell r="O1339" t="str">
            <v>0.00%</v>
          </cell>
          <cell r="P1339">
            <v>8</v>
          </cell>
          <cell r="Q1339">
            <v>208.32</v>
          </cell>
          <cell r="R1339">
            <v>1</v>
          </cell>
        </row>
        <row r="1340">
          <cell r="A1340" t="str">
            <v>19.02</v>
          </cell>
          <cell r="B1340" t="str">
            <v>SISTEMA DE AGUA FRIA Y ALIMENTADORES</v>
          </cell>
          <cell r="C1340">
            <v>0</v>
          </cell>
          <cell r="D1340">
            <v>0</v>
          </cell>
          <cell r="E1340">
            <v>0</v>
          </cell>
          <cell r="F1340">
            <v>0</v>
          </cell>
          <cell r="G1340">
            <v>0</v>
          </cell>
          <cell r="H1340">
            <v>0</v>
          </cell>
          <cell r="I1340">
            <v>0</v>
          </cell>
          <cell r="J1340">
            <v>0</v>
          </cell>
          <cell r="K1340">
            <v>0</v>
          </cell>
          <cell r="L1340">
            <v>0</v>
          </cell>
          <cell r="M1340">
            <v>0</v>
          </cell>
          <cell r="N1340">
            <v>0</v>
          </cell>
          <cell r="O1340">
            <v>0</v>
          </cell>
          <cell r="P1340">
            <v>0</v>
          </cell>
          <cell r="Q1340">
            <v>0</v>
          </cell>
          <cell r="R1340">
            <v>0</v>
          </cell>
        </row>
        <row r="1341">
          <cell r="A1341" t="str">
            <v>19.02.01</v>
          </cell>
          <cell r="B1341" t="str">
            <v>SALIDA DE AGUA FRIA</v>
          </cell>
          <cell r="C1341">
            <v>0</v>
          </cell>
          <cell r="D1341">
            <v>0</v>
          </cell>
          <cell r="E1341">
            <v>0</v>
          </cell>
          <cell r="F1341">
            <v>0</v>
          </cell>
          <cell r="G1341">
            <v>0</v>
          </cell>
          <cell r="H1341">
            <v>0</v>
          </cell>
          <cell r="I1341">
            <v>0</v>
          </cell>
          <cell r="J1341">
            <v>0</v>
          </cell>
          <cell r="K1341">
            <v>0</v>
          </cell>
          <cell r="L1341">
            <v>0</v>
          </cell>
          <cell r="M1341">
            <v>0</v>
          </cell>
          <cell r="N1341">
            <v>0</v>
          </cell>
          <cell r="O1341">
            <v>0</v>
          </cell>
          <cell r="P1341">
            <v>0</v>
          </cell>
          <cell r="Q1341">
            <v>0</v>
          </cell>
          <cell r="R1341">
            <v>0</v>
          </cell>
        </row>
        <row r="1342">
          <cell r="A1342" t="str">
            <v>19.02.01.01</v>
          </cell>
          <cell r="B1342" t="str">
            <v>SALIDA DE AGUA FRIA CON TUBERIA DE PVC-SAP 1/2"</v>
          </cell>
          <cell r="C1342" t="str">
            <v>pto</v>
          </cell>
          <cell r="D1342">
            <v>10</v>
          </cell>
          <cell r="E1342">
            <v>41.53</v>
          </cell>
          <cell r="F1342">
            <v>415.3</v>
          </cell>
          <cell r="G1342">
            <v>0</v>
          </cell>
          <cell r="H1342">
            <v>0</v>
          </cell>
          <cell r="I1342" t="str">
            <v>0.00%</v>
          </cell>
          <cell r="J1342">
            <v>0</v>
          </cell>
          <cell r="K1342">
            <v>0</v>
          </cell>
          <cell r="L1342" t="str">
            <v>0.00%</v>
          </cell>
          <cell r="M1342">
            <v>0</v>
          </cell>
          <cell r="N1342">
            <v>0</v>
          </cell>
          <cell r="O1342" t="str">
            <v>0.00%</v>
          </cell>
          <cell r="P1342">
            <v>10</v>
          </cell>
          <cell r="Q1342">
            <v>415.3</v>
          </cell>
          <cell r="R1342">
            <v>1</v>
          </cell>
        </row>
        <row r="1343">
          <cell r="A1343" t="str">
            <v>19.02.02</v>
          </cell>
          <cell r="B1343" t="str">
            <v>REDES DE DISTRIBUCION DE AGUA FRIA</v>
          </cell>
          <cell r="C1343">
            <v>0</v>
          </cell>
          <cell r="D1343">
            <v>0</v>
          </cell>
          <cell r="E1343">
            <v>0</v>
          </cell>
          <cell r="F1343">
            <v>0</v>
          </cell>
          <cell r="G1343">
            <v>0</v>
          </cell>
          <cell r="H1343">
            <v>0</v>
          </cell>
          <cell r="I1343">
            <v>0</v>
          </cell>
          <cell r="J1343">
            <v>0</v>
          </cell>
          <cell r="K1343">
            <v>0</v>
          </cell>
          <cell r="L1343">
            <v>0</v>
          </cell>
          <cell r="M1343">
            <v>0</v>
          </cell>
          <cell r="N1343">
            <v>0</v>
          </cell>
          <cell r="O1343">
            <v>0</v>
          </cell>
          <cell r="P1343">
            <v>0</v>
          </cell>
          <cell r="Q1343">
            <v>0</v>
          </cell>
          <cell r="R1343">
            <v>0</v>
          </cell>
        </row>
        <row r="1344">
          <cell r="A1344" t="str">
            <v>19.02.02.01</v>
          </cell>
          <cell r="B1344" t="str">
            <v>RED DE DISTRIBUCION TUBERIA PVC SAP C-10 Ø DE 1/2"</v>
          </cell>
          <cell r="C1344" t="str">
            <v>m</v>
          </cell>
          <cell r="D1344">
            <v>7.75</v>
          </cell>
          <cell r="E1344">
            <v>20.36</v>
          </cell>
          <cell r="F1344">
            <v>157.79</v>
          </cell>
          <cell r="G1344">
            <v>0</v>
          </cell>
          <cell r="H1344">
            <v>0</v>
          </cell>
          <cell r="I1344" t="str">
            <v>0.00%</v>
          </cell>
          <cell r="J1344">
            <v>0</v>
          </cell>
          <cell r="K1344">
            <v>0</v>
          </cell>
          <cell r="L1344" t="str">
            <v>0.00%</v>
          </cell>
          <cell r="M1344">
            <v>0</v>
          </cell>
          <cell r="N1344">
            <v>0</v>
          </cell>
          <cell r="O1344" t="str">
            <v>0.00%</v>
          </cell>
          <cell r="P1344">
            <v>7.75</v>
          </cell>
          <cell r="Q1344">
            <v>157.79</v>
          </cell>
          <cell r="R1344">
            <v>1</v>
          </cell>
        </row>
        <row r="1345">
          <cell r="A1345" t="str">
            <v>19.02.02.02</v>
          </cell>
          <cell r="B1345" t="str">
            <v>RED DE DISTRIBUCION TUBERIA PVC SAP C-10 Ø DE 3/4"</v>
          </cell>
          <cell r="C1345" t="str">
            <v>m</v>
          </cell>
          <cell r="D1345">
            <v>7.02</v>
          </cell>
          <cell r="E1345">
            <v>31.76</v>
          </cell>
          <cell r="F1345">
            <v>222.95519999999999</v>
          </cell>
          <cell r="G1345">
            <v>0</v>
          </cell>
          <cell r="H1345">
            <v>0</v>
          </cell>
          <cell r="I1345" t="str">
            <v>0.00%</v>
          </cell>
          <cell r="J1345">
            <v>0</v>
          </cell>
          <cell r="K1345">
            <v>0</v>
          </cell>
          <cell r="L1345" t="str">
            <v>0.00%</v>
          </cell>
          <cell r="M1345">
            <v>0</v>
          </cell>
          <cell r="N1345">
            <v>0</v>
          </cell>
          <cell r="O1345" t="str">
            <v>0.00%</v>
          </cell>
          <cell r="P1345">
            <v>7.02</v>
          </cell>
          <cell r="Q1345">
            <v>222.95519999999999</v>
          </cell>
          <cell r="R1345">
            <v>1</v>
          </cell>
        </row>
        <row r="1346">
          <cell r="A1346" t="str">
            <v>19.02.03</v>
          </cell>
          <cell r="B1346" t="str">
            <v>VALVULA Y ACCESORIOS DE AGUA FRIA</v>
          </cell>
          <cell r="C1346">
            <v>0</v>
          </cell>
          <cell r="D1346">
            <v>0</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row>
        <row r="1347">
          <cell r="A1347" t="str">
            <v>19.02.03.01</v>
          </cell>
          <cell r="B1347" t="str">
            <v>VALVULA COMPUERTA DE BRONCE  Ø 1/2"</v>
          </cell>
          <cell r="C1347" t="str">
            <v>und</v>
          </cell>
          <cell r="D1347">
            <v>2</v>
          </cell>
          <cell r="E1347">
            <v>147.4</v>
          </cell>
          <cell r="F1347">
            <v>294.8</v>
          </cell>
          <cell r="G1347">
            <v>0</v>
          </cell>
          <cell r="H1347">
            <v>0</v>
          </cell>
          <cell r="I1347" t="str">
            <v>0.00%</v>
          </cell>
          <cell r="J1347">
            <v>0</v>
          </cell>
          <cell r="K1347">
            <v>0</v>
          </cell>
          <cell r="L1347" t="str">
            <v>0.00%</v>
          </cell>
          <cell r="M1347">
            <v>0</v>
          </cell>
          <cell r="N1347">
            <v>0</v>
          </cell>
          <cell r="O1347" t="str">
            <v>0.00%</v>
          </cell>
          <cell r="P1347">
            <v>2</v>
          </cell>
          <cell r="Q1347">
            <v>294.8</v>
          </cell>
          <cell r="R1347">
            <v>1</v>
          </cell>
        </row>
        <row r="1348">
          <cell r="A1348" t="str">
            <v>19.02.03.02</v>
          </cell>
          <cell r="B1348" t="str">
            <v>VALVULA COMPUERTA DE BRONCE  Ø 3/4"</v>
          </cell>
          <cell r="C1348" t="str">
            <v>und</v>
          </cell>
          <cell r="D1348">
            <v>2</v>
          </cell>
          <cell r="E1348">
            <v>188.9</v>
          </cell>
          <cell r="F1348">
            <v>377.8</v>
          </cell>
          <cell r="G1348">
            <v>0</v>
          </cell>
          <cell r="H1348">
            <v>0</v>
          </cell>
          <cell r="I1348" t="str">
            <v>0.00%</v>
          </cell>
          <cell r="J1348">
            <v>0</v>
          </cell>
          <cell r="K1348">
            <v>0</v>
          </cell>
          <cell r="L1348" t="str">
            <v>0.00%</v>
          </cell>
          <cell r="M1348">
            <v>0</v>
          </cell>
          <cell r="N1348">
            <v>0</v>
          </cell>
          <cell r="O1348" t="str">
            <v>0.00%</v>
          </cell>
          <cell r="P1348">
            <v>2</v>
          </cell>
          <cell r="Q1348">
            <v>377.8</v>
          </cell>
          <cell r="R1348">
            <v>1</v>
          </cell>
        </row>
        <row r="1349">
          <cell r="A1349" t="str">
            <v>19.02.04</v>
          </cell>
          <cell r="B1349" t="str">
            <v>PRUEBAS HIDRAULICA</v>
          </cell>
          <cell r="C1349">
            <v>0</v>
          </cell>
          <cell r="D1349">
            <v>0</v>
          </cell>
          <cell r="E1349">
            <v>0</v>
          </cell>
          <cell r="F1349">
            <v>0</v>
          </cell>
          <cell r="G1349">
            <v>0</v>
          </cell>
          <cell r="H1349">
            <v>0</v>
          </cell>
          <cell r="I1349">
            <v>0</v>
          </cell>
          <cell r="J1349">
            <v>0</v>
          </cell>
          <cell r="K1349">
            <v>0</v>
          </cell>
          <cell r="L1349">
            <v>0</v>
          </cell>
          <cell r="M1349">
            <v>0</v>
          </cell>
          <cell r="N1349">
            <v>0</v>
          </cell>
          <cell r="O1349">
            <v>0</v>
          </cell>
          <cell r="P1349">
            <v>0</v>
          </cell>
          <cell r="Q1349">
            <v>0</v>
          </cell>
          <cell r="R1349">
            <v>0</v>
          </cell>
        </row>
        <row r="1350">
          <cell r="A1350" t="str">
            <v>19.02.04.01</v>
          </cell>
          <cell r="B1350" t="str">
            <v>PRUEBA HIDRAULICA TUBERIA DE AGUA FRIA</v>
          </cell>
          <cell r="C1350" t="str">
            <v>GLB</v>
          </cell>
          <cell r="D1350">
            <v>1</v>
          </cell>
          <cell r="E1350">
            <v>450</v>
          </cell>
          <cell r="F1350">
            <v>450</v>
          </cell>
          <cell r="G1350">
            <v>0</v>
          </cell>
          <cell r="H1350">
            <v>0</v>
          </cell>
          <cell r="I1350" t="str">
            <v>0.00%</v>
          </cell>
          <cell r="J1350">
            <v>0</v>
          </cell>
          <cell r="K1350">
            <v>0</v>
          </cell>
          <cell r="L1350" t="str">
            <v>0.00%</v>
          </cell>
          <cell r="M1350">
            <v>0</v>
          </cell>
          <cell r="N1350">
            <v>0</v>
          </cell>
          <cell r="O1350" t="str">
            <v>0.00%</v>
          </cell>
          <cell r="P1350">
            <v>1</v>
          </cell>
          <cell r="Q1350">
            <v>450</v>
          </cell>
          <cell r="R1350">
            <v>1</v>
          </cell>
        </row>
        <row r="1351">
          <cell r="A1351" t="str">
            <v>19.03</v>
          </cell>
          <cell r="B1351" t="str">
            <v xml:space="preserve">SISTEMA DE DESAGUE Y VENTILACION </v>
          </cell>
          <cell r="C1351">
            <v>0</v>
          </cell>
          <cell r="D1351">
            <v>0</v>
          </cell>
          <cell r="E1351">
            <v>0</v>
          </cell>
          <cell r="F1351">
            <v>0</v>
          </cell>
          <cell r="G1351">
            <v>0</v>
          </cell>
          <cell r="H1351">
            <v>0</v>
          </cell>
          <cell r="I1351">
            <v>0</v>
          </cell>
          <cell r="J1351">
            <v>0</v>
          </cell>
          <cell r="K1351">
            <v>0</v>
          </cell>
          <cell r="L1351">
            <v>0</v>
          </cell>
          <cell r="M1351">
            <v>0</v>
          </cell>
          <cell r="N1351">
            <v>0</v>
          </cell>
          <cell r="O1351">
            <v>0</v>
          </cell>
          <cell r="P1351">
            <v>0</v>
          </cell>
          <cell r="Q1351">
            <v>0</v>
          </cell>
          <cell r="R1351">
            <v>0</v>
          </cell>
        </row>
        <row r="1352">
          <cell r="A1352" t="str">
            <v>19.03.01</v>
          </cell>
          <cell r="B1352" t="str">
            <v>SALIDA DE DESAGUE Y VENTILACION</v>
          </cell>
          <cell r="C1352">
            <v>0</v>
          </cell>
          <cell r="D1352">
            <v>0</v>
          </cell>
          <cell r="E1352">
            <v>0</v>
          </cell>
          <cell r="F1352">
            <v>0</v>
          </cell>
          <cell r="G1352">
            <v>0</v>
          </cell>
          <cell r="H1352">
            <v>0</v>
          </cell>
          <cell r="I1352">
            <v>0</v>
          </cell>
          <cell r="J1352">
            <v>0</v>
          </cell>
          <cell r="K1352">
            <v>0</v>
          </cell>
          <cell r="L1352">
            <v>0</v>
          </cell>
          <cell r="M1352">
            <v>0</v>
          </cell>
          <cell r="N1352">
            <v>0</v>
          </cell>
          <cell r="O1352">
            <v>0</v>
          </cell>
          <cell r="P1352">
            <v>0</v>
          </cell>
          <cell r="Q1352">
            <v>0</v>
          </cell>
          <cell r="R1352">
            <v>0</v>
          </cell>
        </row>
        <row r="1353">
          <cell r="A1353" t="str">
            <v>19.03.01.01</v>
          </cell>
          <cell r="B1353" t="str">
            <v>SALIDAS DE PVC SAL PARA DESAGUE DE 2"</v>
          </cell>
          <cell r="C1353" t="str">
            <v>pto</v>
          </cell>
          <cell r="D1353">
            <v>8</v>
          </cell>
          <cell r="E1353">
            <v>92.04</v>
          </cell>
          <cell r="F1353">
            <v>736.32</v>
          </cell>
          <cell r="G1353">
            <v>0</v>
          </cell>
          <cell r="H1353">
            <v>0</v>
          </cell>
          <cell r="I1353" t="str">
            <v>0.00%</v>
          </cell>
          <cell r="J1353">
            <v>0</v>
          </cell>
          <cell r="K1353">
            <v>0</v>
          </cell>
          <cell r="L1353" t="str">
            <v>0.00%</v>
          </cell>
          <cell r="M1353">
            <v>0</v>
          </cell>
          <cell r="N1353">
            <v>0</v>
          </cell>
          <cell r="O1353" t="str">
            <v>0.00%</v>
          </cell>
          <cell r="P1353">
            <v>8</v>
          </cell>
          <cell r="Q1353">
            <v>736.32</v>
          </cell>
          <cell r="R1353">
            <v>1</v>
          </cell>
        </row>
        <row r="1354">
          <cell r="A1354" t="str">
            <v>19.03.01.02</v>
          </cell>
          <cell r="B1354" t="str">
            <v>SALIDAS DE PVC SAL PARA DESAGUE DE 4"</v>
          </cell>
          <cell r="C1354" t="str">
            <v>pto</v>
          </cell>
          <cell r="D1354">
            <v>8</v>
          </cell>
          <cell r="E1354">
            <v>56.34</v>
          </cell>
          <cell r="F1354">
            <v>450.72</v>
          </cell>
          <cell r="G1354">
            <v>0</v>
          </cell>
          <cell r="H1354">
            <v>0</v>
          </cell>
          <cell r="I1354" t="str">
            <v>0.00%</v>
          </cell>
          <cell r="J1354">
            <v>0</v>
          </cell>
          <cell r="K1354">
            <v>0</v>
          </cell>
          <cell r="L1354" t="str">
            <v>0.00%</v>
          </cell>
          <cell r="M1354">
            <v>0</v>
          </cell>
          <cell r="N1354">
            <v>0</v>
          </cell>
          <cell r="O1354" t="str">
            <v>0.00%</v>
          </cell>
          <cell r="P1354">
            <v>8</v>
          </cell>
          <cell r="Q1354">
            <v>450.72</v>
          </cell>
          <cell r="R1354">
            <v>1</v>
          </cell>
        </row>
        <row r="1355">
          <cell r="A1355" t="str">
            <v>19.03.01.03</v>
          </cell>
          <cell r="B1355" t="str">
            <v>SALIDAS DE PVC SAL PARA VENTILACION DE 2"</v>
          </cell>
          <cell r="C1355" t="str">
            <v>pto</v>
          </cell>
          <cell r="D1355">
            <v>1</v>
          </cell>
          <cell r="E1355">
            <v>85.76</v>
          </cell>
          <cell r="F1355">
            <v>85.76</v>
          </cell>
          <cell r="G1355">
            <v>0</v>
          </cell>
          <cell r="H1355">
            <v>0</v>
          </cell>
          <cell r="I1355" t="str">
            <v>0.00%</v>
          </cell>
          <cell r="J1355">
            <v>0</v>
          </cell>
          <cell r="K1355">
            <v>0</v>
          </cell>
          <cell r="L1355" t="str">
            <v>0.00%</v>
          </cell>
          <cell r="M1355">
            <v>0</v>
          </cell>
          <cell r="N1355">
            <v>0</v>
          </cell>
          <cell r="O1355" t="str">
            <v>0.00%</v>
          </cell>
          <cell r="P1355">
            <v>1</v>
          </cell>
          <cell r="Q1355">
            <v>85.76</v>
          </cell>
          <cell r="R1355">
            <v>1</v>
          </cell>
        </row>
        <row r="1356">
          <cell r="A1356" t="str">
            <v>19.03.01.04</v>
          </cell>
          <cell r="B1356" t="str">
            <v>SOMBRERO VENTILACION PVC DE 2"</v>
          </cell>
          <cell r="C1356" t="str">
            <v>pza</v>
          </cell>
          <cell r="D1356">
            <v>1</v>
          </cell>
          <cell r="E1356">
            <v>11.19</v>
          </cell>
          <cell r="F1356">
            <v>11.19</v>
          </cell>
          <cell r="G1356">
            <v>0</v>
          </cell>
          <cell r="H1356">
            <v>0</v>
          </cell>
          <cell r="I1356" t="str">
            <v>0.00%</v>
          </cell>
          <cell r="J1356">
            <v>0</v>
          </cell>
          <cell r="K1356">
            <v>0</v>
          </cell>
          <cell r="L1356" t="str">
            <v>0.00%</v>
          </cell>
          <cell r="M1356">
            <v>0</v>
          </cell>
          <cell r="N1356">
            <v>0</v>
          </cell>
          <cell r="O1356" t="str">
            <v>0.00%</v>
          </cell>
          <cell r="P1356">
            <v>1</v>
          </cell>
          <cell r="Q1356">
            <v>11.19</v>
          </cell>
          <cell r="R1356">
            <v>1</v>
          </cell>
        </row>
        <row r="1357">
          <cell r="A1357" t="str">
            <v>19.03.02</v>
          </cell>
          <cell r="B1357" t="str">
            <v>REDES DE DERIVACION</v>
          </cell>
          <cell r="C1357">
            <v>0</v>
          </cell>
          <cell r="D1357">
            <v>0</v>
          </cell>
          <cell r="E1357">
            <v>0</v>
          </cell>
          <cell r="F1357">
            <v>0</v>
          </cell>
          <cell r="G1357">
            <v>0</v>
          </cell>
          <cell r="H1357">
            <v>0</v>
          </cell>
          <cell r="I1357">
            <v>0</v>
          </cell>
          <cell r="J1357">
            <v>0</v>
          </cell>
          <cell r="K1357">
            <v>0</v>
          </cell>
          <cell r="L1357">
            <v>0</v>
          </cell>
          <cell r="M1357">
            <v>0</v>
          </cell>
          <cell r="N1357">
            <v>0</v>
          </cell>
          <cell r="O1357">
            <v>0</v>
          </cell>
          <cell r="P1357">
            <v>0</v>
          </cell>
          <cell r="Q1357">
            <v>0</v>
          </cell>
          <cell r="R1357">
            <v>0</v>
          </cell>
        </row>
        <row r="1358">
          <cell r="A1358" t="str">
            <v>19.03.02.01</v>
          </cell>
          <cell r="B1358" t="str">
            <v>RED DE DESAGUE TUBERIA PVC DE 2"</v>
          </cell>
          <cell r="C1358" t="str">
            <v>m</v>
          </cell>
          <cell r="D1358">
            <v>7.05</v>
          </cell>
          <cell r="E1358">
            <v>15.56</v>
          </cell>
          <cell r="F1358">
            <v>109.69800000000001</v>
          </cell>
          <cell r="G1358">
            <v>0</v>
          </cell>
          <cell r="H1358">
            <v>0</v>
          </cell>
          <cell r="I1358" t="str">
            <v>0.00%</v>
          </cell>
          <cell r="J1358">
            <v>0</v>
          </cell>
          <cell r="K1358">
            <v>0</v>
          </cell>
          <cell r="L1358" t="str">
            <v>0.00%</v>
          </cell>
          <cell r="M1358">
            <v>0</v>
          </cell>
          <cell r="N1358">
            <v>0</v>
          </cell>
          <cell r="O1358" t="str">
            <v>0.00%</v>
          </cell>
          <cell r="P1358">
            <v>7.05</v>
          </cell>
          <cell r="Q1358">
            <v>109.69800000000001</v>
          </cell>
          <cell r="R1358">
            <v>1</v>
          </cell>
        </row>
        <row r="1359">
          <cell r="A1359" t="str">
            <v>19.03.02.02</v>
          </cell>
          <cell r="B1359" t="str">
            <v>RED DE DESAGUE TUBERIA PVC DE 4"</v>
          </cell>
          <cell r="C1359" t="str">
            <v>m</v>
          </cell>
          <cell r="D1359">
            <v>17.600000000000001</v>
          </cell>
          <cell r="E1359">
            <v>20.329999999999998</v>
          </cell>
          <cell r="F1359">
            <v>357.80799999999999</v>
          </cell>
          <cell r="G1359">
            <v>0</v>
          </cell>
          <cell r="H1359">
            <v>0</v>
          </cell>
          <cell r="I1359" t="str">
            <v>0.00%</v>
          </cell>
          <cell r="J1359">
            <v>0</v>
          </cell>
          <cell r="K1359">
            <v>0</v>
          </cell>
          <cell r="L1359" t="str">
            <v>0.00%</v>
          </cell>
          <cell r="M1359">
            <v>0</v>
          </cell>
          <cell r="N1359">
            <v>0</v>
          </cell>
          <cell r="O1359" t="str">
            <v>0.00%</v>
          </cell>
          <cell r="P1359">
            <v>17.600000000000001</v>
          </cell>
          <cell r="Q1359">
            <v>357.80799999999999</v>
          </cell>
          <cell r="R1359">
            <v>1</v>
          </cell>
        </row>
        <row r="1360">
          <cell r="A1360" t="str">
            <v>19.03.03</v>
          </cell>
          <cell r="B1360" t="str">
            <v>REGISTRO Y SUMIDEROS</v>
          </cell>
          <cell r="C1360">
            <v>0</v>
          </cell>
          <cell r="D1360">
            <v>0</v>
          </cell>
          <cell r="E1360">
            <v>0</v>
          </cell>
          <cell r="F1360">
            <v>0</v>
          </cell>
          <cell r="G1360">
            <v>0</v>
          </cell>
          <cell r="H1360">
            <v>0</v>
          </cell>
          <cell r="I1360">
            <v>0</v>
          </cell>
          <cell r="J1360">
            <v>0</v>
          </cell>
          <cell r="K1360">
            <v>0</v>
          </cell>
          <cell r="L1360">
            <v>0</v>
          </cell>
          <cell r="M1360">
            <v>0</v>
          </cell>
          <cell r="N1360">
            <v>0</v>
          </cell>
          <cell r="O1360">
            <v>0</v>
          </cell>
          <cell r="P1360">
            <v>0</v>
          </cell>
          <cell r="Q1360">
            <v>0</v>
          </cell>
          <cell r="R1360">
            <v>0</v>
          </cell>
        </row>
        <row r="1361">
          <cell r="A1361" t="str">
            <v>19.03.03.01</v>
          </cell>
          <cell r="B1361" t="str">
            <v>REGISTROS DE BRONCE DE 4"</v>
          </cell>
          <cell r="C1361" t="str">
            <v>pza</v>
          </cell>
          <cell r="D1361">
            <v>4</v>
          </cell>
          <cell r="E1361">
            <v>34.130000000000003</v>
          </cell>
          <cell r="F1361">
            <v>136.52000000000001</v>
          </cell>
          <cell r="G1361">
            <v>0</v>
          </cell>
          <cell r="H1361">
            <v>0</v>
          </cell>
          <cell r="I1361" t="str">
            <v>0.00%</v>
          </cell>
          <cell r="J1361">
            <v>0</v>
          </cell>
          <cell r="K1361">
            <v>0</v>
          </cell>
          <cell r="L1361" t="str">
            <v>0.00%</v>
          </cell>
          <cell r="M1361">
            <v>0</v>
          </cell>
          <cell r="N1361">
            <v>0</v>
          </cell>
          <cell r="O1361" t="str">
            <v>0.00%</v>
          </cell>
          <cell r="P1361">
            <v>4</v>
          </cell>
          <cell r="Q1361">
            <v>136.52000000000001</v>
          </cell>
          <cell r="R1361">
            <v>1</v>
          </cell>
        </row>
        <row r="1362">
          <cell r="A1362" t="str">
            <v>19.03.03.02</v>
          </cell>
          <cell r="B1362" t="str">
            <v>SUMIDEROS DE 2"</v>
          </cell>
          <cell r="C1362" t="str">
            <v>pza</v>
          </cell>
          <cell r="D1362">
            <v>2</v>
          </cell>
          <cell r="E1362">
            <v>68.38</v>
          </cell>
          <cell r="F1362">
            <v>136.76</v>
          </cell>
          <cell r="G1362">
            <v>0</v>
          </cell>
          <cell r="H1362">
            <v>0</v>
          </cell>
          <cell r="I1362" t="str">
            <v>0.00%</v>
          </cell>
          <cell r="J1362">
            <v>0</v>
          </cell>
          <cell r="K1362">
            <v>0</v>
          </cell>
          <cell r="L1362" t="str">
            <v>0.00%</v>
          </cell>
          <cell r="M1362">
            <v>0</v>
          </cell>
          <cell r="N1362">
            <v>0</v>
          </cell>
          <cell r="O1362" t="str">
            <v>0.00%</v>
          </cell>
          <cell r="P1362">
            <v>2</v>
          </cell>
          <cell r="Q1362">
            <v>136.76</v>
          </cell>
          <cell r="R1362">
            <v>1</v>
          </cell>
        </row>
        <row r="1363">
          <cell r="A1363" t="str">
            <v>19.03.04</v>
          </cell>
          <cell r="B1363" t="str">
            <v>CAJAS DE INSPECCION Y RETENCION</v>
          </cell>
          <cell r="C1363">
            <v>0</v>
          </cell>
          <cell r="D1363">
            <v>0</v>
          </cell>
          <cell r="E1363">
            <v>0</v>
          </cell>
          <cell r="F1363">
            <v>0</v>
          </cell>
          <cell r="G1363">
            <v>0</v>
          </cell>
          <cell r="H1363">
            <v>0</v>
          </cell>
          <cell r="I1363">
            <v>0</v>
          </cell>
          <cell r="J1363">
            <v>0</v>
          </cell>
          <cell r="K1363">
            <v>0</v>
          </cell>
          <cell r="L1363">
            <v>0</v>
          </cell>
          <cell r="M1363">
            <v>0</v>
          </cell>
          <cell r="N1363">
            <v>0</v>
          </cell>
          <cell r="O1363">
            <v>0</v>
          </cell>
          <cell r="P1363">
            <v>0</v>
          </cell>
          <cell r="Q1363">
            <v>0</v>
          </cell>
          <cell r="R1363">
            <v>0</v>
          </cell>
        </row>
        <row r="1364">
          <cell r="A1364" t="str">
            <v>19.03.04.01</v>
          </cell>
          <cell r="B1364" t="str">
            <v>CAJA DE REGISTRO DE DESAGUE 12" X 24" - CONSTRUCION</v>
          </cell>
          <cell r="C1364" t="str">
            <v>und</v>
          </cell>
          <cell r="D1364">
            <v>1</v>
          </cell>
          <cell r="E1364">
            <v>140.52000000000001</v>
          </cell>
          <cell r="F1364">
            <v>140.52000000000001</v>
          </cell>
          <cell r="G1364">
            <v>0</v>
          </cell>
          <cell r="H1364">
            <v>0</v>
          </cell>
          <cell r="I1364" t="str">
            <v>0.00%</v>
          </cell>
          <cell r="J1364">
            <v>0</v>
          </cell>
          <cell r="K1364">
            <v>0</v>
          </cell>
          <cell r="L1364" t="str">
            <v>0.00%</v>
          </cell>
          <cell r="M1364">
            <v>0</v>
          </cell>
          <cell r="N1364">
            <v>0</v>
          </cell>
          <cell r="O1364" t="str">
            <v>0.00%</v>
          </cell>
          <cell r="P1364">
            <v>1</v>
          </cell>
          <cell r="Q1364">
            <v>140.52000000000001</v>
          </cell>
          <cell r="R1364">
            <v>1</v>
          </cell>
        </row>
        <row r="1365">
          <cell r="A1365" t="str">
            <v>19.03.05</v>
          </cell>
          <cell r="B1365" t="str">
            <v>PRUEBAS HIDRAULICA</v>
          </cell>
          <cell r="C1365">
            <v>0</v>
          </cell>
          <cell r="D1365">
            <v>0</v>
          </cell>
          <cell r="E1365">
            <v>0</v>
          </cell>
          <cell r="F1365">
            <v>0</v>
          </cell>
          <cell r="G1365">
            <v>0</v>
          </cell>
          <cell r="H1365">
            <v>0</v>
          </cell>
          <cell r="I1365">
            <v>0</v>
          </cell>
          <cell r="J1365">
            <v>0</v>
          </cell>
          <cell r="K1365">
            <v>0</v>
          </cell>
          <cell r="L1365">
            <v>0</v>
          </cell>
          <cell r="M1365">
            <v>0</v>
          </cell>
          <cell r="N1365">
            <v>0</v>
          </cell>
          <cell r="O1365">
            <v>0</v>
          </cell>
          <cell r="P1365">
            <v>0</v>
          </cell>
          <cell r="Q1365">
            <v>0</v>
          </cell>
          <cell r="R1365">
            <v>0</v>
          </cell>
        </row>
        <row r="1366">
          <cell r="A1366" t="str">
            <v>19.03.05.01</v>
          </cell>
          <cell r="B1366" t="str">
            <v>PRUEBA HIDRAULICA TUBERIA DE DESAGUE</v>
          </cell>
          <cell r="C1366" t="str">
            <v>und</v>
          </cell>
          <cell r="D1366">
            <v>1</v>
          </cell>
          <cell r="E1366">
            <v>450</v>
          </cell>
          <cell r="F1366">
            <v>450</v>
          </cell>
          <cell r="G1366">
            <v>0</v>
          </cell>
          <cell r="H1366">
            <v>0</v>
          </cell>
          <cell r="I1366" t="str">
            <v>0.00%</v>
          </cell>
          <cell r="J1366">
            <v>0</v>
          </cell>
          <cell r="K1366">
            <v>0</v>
          </cell>
          <cell r="L1366" t="str">
            <v>0.00%</v>
          </cell>
          <cell r="M1366">
            <v>0</v>
          </cell>
          <cell r="N1366">
            <v>0</v>
          </cell>
          <cell r="O1366" t="str">
            <v>0.00%</v>
          </cell>
          <cell r="P1366">
            <v>1</v>
          </cell>
          <cell r="Q1366">
            <v>450</v>
          </cell>
          <cell r="R1366">
            <v>1</v>
          </cell>
        </row>
        <row r="1367">
          <cell r="A1367" t="str">
            <v>19.04</v>
          </cell>
          <cell r="B1367" t="str">
            <v>SISTEMA DE DRENAJE PLUVIAL</v>
          </cell>
          <cell r="C1367">
            <v>0</v>
          </cell>
          <cell r="D1367">
            <v>0</v>
          </cell>
          <cell r="E1367">
            <v>0</v>
          </cell>
          <cell r="F1367">
            <v>0</v>
          </cell>
          <cell r="G1367">
            <v>0</v>
          </cell>
          <cell r="H1367">
            <v>0</v>
          </cell>
          <cell r="I1367">
            <v>0</v>
          </cell>
          <cell r="J1367">
            <v>0</v>
          </cell>
          <cell r="K1367">
            <v>0</v>
          </cell>
          <cell r="L1367">
            <v>0</v>
          </cell>
          <cell r="M1367">
            <v>0</v>
          </cell>
          <cell r="N1367">
            <v>0</v>
          </cell>
          <cell r="O1367">
            <v>0</v>
          </cell>
          <cell r="P1367">
            <v>0</v>
          </cell>
          <cell r="Q1367">
            <v>0</v>
          </cell>
          <cell r="R1367">
            <v>0</v>
          </cell>
        </row>
        <row r="1368">
          <cell r="A1368" t="str">
            <v>19.04.01</v>
          </cell>
          <cell r="B1368" t="str">
            <v>SISTEMA DE BAJADA MONTANTE (PLUVIAL)</v>
          </cell>
          <cell r="C1368">
            <v>0</v>
          </cell>
          <cell r="D1368">
            <v>0</v>
          </cell>
          <cell r="E1368">
            <v>0</v>
          </cell>
          <cell r="F1368">
            <v>0</v>
          </cell>
          <cell r="G1368">
            <v>0</v>
          </cell>
          <cell r="H1368">
            <v>0</v>
          </cell>
          <cell r="I1368">
            <v>0</v>
          </cell>
          <cell r="J1368">
            <v>0</v>
          </cell>
          <cell r="K1368">
            <v>0</v>
          </cell>
          <cell r="L1368">
            <v>0</v>
          </cell>
          <cell r="M1368">
            <v>0</v>
          </cell>
          <cell r="N1368">
            <v>0</v>
          </cell>
          <cell r="O1368">
            <v>0</v>
          </cell>
          <cell r="P1368">
            <v>0</v>
          </cell>
          <cell r="Q1368">
            <v>0</v>
          </cell>
          <cell r="R1368">
            <v>0</v>
          </cell>
        </row>
        <row r="1369">
          <cell r="A1369" t="str">
            <v>19.04.01.01</v>
          </cell>
          <cell r="B1369" t="str">
            <v>ABRAZADERA DE FIJACION DE TUBO</v>
          </cell>
          <cell r="C1369" t="str">
            <v>und</v>
          </cell>
          <cell r="D1369">
            <v>25</v>
          </cell>
          <cell r="E1369">
            <v>41.02</v>
          </cell>
          <cell r="F1369">
            <v>1025.5</v>
          </cell>
          <cell r="G1369">
            <v>0</v>
          </cell>
          <cell r="H1369">
            <v>0</v>
          </cell>
          <cell r="I1369" t="str">
            <v>0.00%</v>
          </cell>
          <cell r="J1369">
            <v>0</v>
          </cell>
          <cell r="K1369">
            <v>0</v>
          </cell>
          <cell r="L1369" t="str">
            <v>0.00%</v>
          </cell>
          <cell r="M1369">
            <v>0</v>
          </cell>
          <cell r="N1369">
            <v>0</v>
          </cell>
          <cell r="O1369" t="str">
            <v>0.00%</v>
          </cell>
          <cell r="P1369">
            <v>25</v>
          </cell>
          <cell r="Q1369">
            <v>1025.5</v>
          </cell>
          <cell r="R1369">
            <v>1</v>
          </cell>
        </row>
        <row r="1370">
          <cell r="A1370" t="str">
            <v>19.04.01.02</v>
          </cell>
          <cell r="B1370" t="str">
            <v>INSTALACION DE TUB. PVC SAP C-10 Ø 4"</v>
          </cell>
          <cell r="C1370" t="str">
            <v>m</v>
          </cell>
          <cell r="D1370">
            <v>12.5</v>
          </cell>
          <cell r="E1370">
            <v>9.93</v>
          </cell>
          <cell r="F1370">
            <v>124.125</v>
          </cell>
          <cell r="G1370">
            <v>0</v>
          </cell>
          <cell r="H1370">
            <v>0</v>
          </cell>
          <cell r="I1370" t="str">
            <v>0.00%</v>
          </cell>
          <cell r="J1370">
            <v>0</v>
          </cell>
          <cell r="K1370">
            <v>0</v>
          </cell>
          <cell r="L1370" t="str">
            <v>0.00%</v>
          </cell>
          <cell r="M1370">
            <v>0</v>
          </cell>
          <cell r="N1370">
            <v>0</v>
          </cell>
          <cell r="O1370" t="str">
            <v>0.00%</v>
          </cell>
          <cell r="P1370">
            <v>12.5</v>
          </cell>
          <cell r="Q1370">
            <v>124.125</v>
          </cell>
          <cell r="R1370">
            <v>1</v>
          </cell>
        </row>
        <row r="1371">
          <cell r="A1371" t="str">
            <v>19.04.01.03</v>
          </cell>
          <cell r="B1371" t="str">
            <v>CONCRETO FC=175 KG/CM2 EN COLUMNETAS</v>
          </cell>
          <cell r="C1371" t="str">
            <v>m3</v>
          </cell>
          <cell r="D1371">
            <v>0.2</v>
          </cell>
          <cell r="E1371">
            <v>466.52</v>
          </cell>
          <cell r="F1371">
            <v>93.304000000000002</v>
          </cell>
          <cell r="G1371">
            <v>0</v>
          </cell>
          <cell r="H1371">
            <v>0</v>
          </cell>
          <cell r="I1371" t="str">
            <v>0.00%</v>
          </cell>
          <cell r="J1371">
            <v>0</v>
          </cell>
          <cell r="K1371">
            <v>0</v>
          </cell>
          <cell r="L1371" t="str">
            <v>0.00%</v>
          </cell>
          <cell r="M1371">
            <v>0</v>
          </cell>
          <cell r="N1371">
            <v>0</v>
          </cell>
          <cell r="O1371" t="str">
            <v>0.00%</v>
          </cell>
          <cell r="P1371">
            <v>0.2</v>
          </cell>
          <cell r="Q1371">
            <v>93.304000000000002</v>
          </cell>
          <cell r="R1371">
            <v>1</v>
          </cell>
        </row>
        <row r="1372">
          <cell r="A1372" t="str">
            <v>19.04.01.04</v>
          </cell>
          <cell r="B1372" t="str">
            <v>ACERO F'Y=4200 KG/CM2 GRADO 60 EN COLUMNETAS</v>
          </cell>
          <cell r="C1372" t="str">
            <v>kg</v>
          </cell>
          <cell r="D1372">
            <v>35.43</v>
          </cell>
          <cell r="E1372">
            <v>4.4400000000000004</v>
          </cell>
          <cell r="F1372">
            <v>157.3092</v>
          </cell>
          <cell r="G1372">
            <v>0</v>
          </cell>
          <cell r="H1372">
            <v>0</v>
          </cell>
          <cell r="I1372" t="str">
            <v>0.00%</v>
          </cell>
          <cell r="J1372">
            <v>0</v>
          </cell>
          <cell r="K1372">
            <v>0</v>
          </cell>
          <cell r="L1372" t="str">
            <v>0.00%</v>
          </cell>
          <cell r="M1372">
            <v>0</v>
          </cell>
          <cell r="N1372">
            <v>0</v>
          </cell>
          <cell r="O1372" t="str">
            <v>0.00%</v>
          </cell>
          <cell r="P1372">
            <v>35.43</v>
          </cell>
          <cell r="Q1372">
            <v>157.3092</v>
          </cell>
          <cell r="R1372">
            <v>1</v>
          </cell>
        </row>
        <row r="1373">
          <cell r="A1373" t="str">
            <v>19.04.01.05</v>
          </cell>
          <cell r="B1373" t="str">
            <v>ENCOFRADO Y DESENCOFRADO NORMAL  EN COLUMNETAS</v>
          </cell>
          <cell r="C1373" t="str">
            <v>m2</v>
          </cell>
          <cell r="D1373">
            <v>3</v>
          </cell>
          <cell r="E1373">
            <v>44.19</v>
          </cell>
          <cell r="F1373">
            <v>132.57</v>
          </cell>
          <cell r="G1373">
            <v>0</v>
          </cell>
          <cell r="H1373">
            <v>0</v>
          </cell>
          <cell r="I1373" t="str">
            <v>0.00%</v>
          </cell>
          <cell r="J1373">
            <v>0</v>
          </cell>
          <cell r="K1373">
            <v>0</v>
          </cell>
          <cell r="L1373" t="str">
            <v>0.00%</v>
          </cell>
          <cell r="M1373">
            <v>0</v>
          </cell>
          <cell r="N1373">
            <v>0</v>
          </cell>
          <cell r="O1373" t="str">
            <v>0.00%</v>
          </cell>
          <cell r="P1373">
            <v>3</v>
          </cell>
          <cell r="Q1373">
            <v>132.57</v>
          </cell>
          <cell r="R1373">
            <v>1</v>
          </cell>
        </row>
        <row r="1374">
          <cell r="A1374" t="str">
            <v>19.04.01.06</v>
          </cell>
          <cell r="B1374" t="str">
            <v>TARRAJEO DE SUPERFICIE COLUMNETAS INCL. ARISTAS MEZCLA 1:5 CEMENTO:ARENA</v>
          </cell>
          <cell r="C1374" t="str">
            <v>m2</v>
          </cell>
          <cell r="D1374">
            <v>3</v>
          </cell>
          <cell r="E1374">
            <v>31.33</v>
          </cell>
          <cell r="F1374">
            <v>93.99</v>
          </cell>
          <cell r="G1374">
            <v>0</v>
          </cell>
          <cell r="H1374">
            <v>0</v>
          </cell>
          <cell r="I1374" t="str">
            <v>0.00%</v>
          </cell>
          <cell r="J1374">
            <v>0</v>
          </cell>
          <cell r="K1374">
            <v>0</v>
          </cell>
          <cell r="L1374" t="str">
            <v>0.00%</v>
          </cell>
          <cell r="M1374">
            <v>0</v>
          </cell>
          <cell r="N1374">
            <v>0</v>
          </cell>
          <cell r="O1374" t="str">
            <v>0.00%</v>
          </cell>
          <cell r="P1374">
            <v>3</v>
          </cell>
          <cell r="Q1374">
            <v>93.99</v>
          </cell>
          <cell r="R1374">
            <v>1</v>
          </cell>
        </row>
        <row r="1375">
          <cell r="A1375" t="str">
            <v>19.04.02</v>
          </cell>
          <cell r="B1375" t="str">
            <v>SISTEMA DE EVACUACION PLUVIAL</v>
          </cell>
          <cell r="C1375">
            <v>0</v>
          </cell>
          <cell r="D1375">
            <v>0</v>
          </cell>
          <cell r="E1375">
            <v>0</v>
          </cell>
          <cell r="F1375">
            <v>0</v>
          </cell>
          <cell r="G1375">
            <v>0</v>
          </cell>
          <cell r="H1375">
            <v>0</v>
          </cell>
          <cell r="I1375">
            <v>0</v>
          </cell>
          <cell r="J1375">
            <v>0</v>
          </cell>
          <cell r="K1375">
            <v>0</v>
          </cell>
          <cell r="L1375">
            <v>0</v>
          </cell>
          <cell r="M1375">
            <v>0</v>
          </cell>
          <cell r="N1375">
            <v>0</v>
          </cell>
          <cell r="O1375">
            <v>0</v>
          </cell>
          <cell r="P1375">
            <v>0</v>
          </cell>
          <cell r="Q1375">
            <v>0</v>
          </cell>
          <cell r="R1375">
            <v>0</v>
          </cell>
        </row>
        <row r="1376">
          <cell r="A1376" t="str">
            <v>19.04.02.01</v>
          </cell>
          <cell r="B1376" t="str">
            <v>RED COLECTORA PARA AGUAS PLUVIALES TUB. PVC UF Ø DE 4"</v>
          </cell>
          <cell r="C1376" t="str">
            <v>m</v>
          </cell>
          <cell r="D1376">
            <v>21.29</v>
          </cell>
          <cell r="E1376">
            <v>27.03</v>
          </cell>
          <cell r="F1376">
            <v>575.46870000000001</v>
          </cell>
          <cell r="G1376">
            <v>0</v>
          </cell>
          <cell r="H1376">
            <v>0</v>
          </cell>
          <cell r="I1376" t="str">
            <v>0.00%</v>
          </cell>
          <cell r="J1376">
            <v>0</v>
          </cell>
          <cell r="K1376">
            <v>0</v>
          </cell>
          <cell r="L1376" t="str">
            <v>0.00%</v>
          </cell>
          <cell r="M1376">
            <v>0</v>
          </cell>
          <cell r="N1376">
            <v>0</v>
          </cell>
          <cell r="O1376" t="str">
            <v>0.00%</v>
          </cell>
          <cell r="P1376">
            <v>21.29</v>
          </cell>
          <cell r="Q1376">
            <v>575.46870000000001</v>
          </cell>
          <cell r="R1376">
            <v>1</v>
          </cell>
        </row>
        <row r="1377">
          <cell r="A1377" t="str">
            <v>19.04.02.02</v>
          </cell>
          <cell r="B1377" t="str">
            <v>CAJA DE REGISTRO DE DESAGUE 12" X 24" - CONSTRUCION</v>
          </cell>
          <cell r="C1377" t="str">
            <v>und</v>
          </cell>
          <cell r="D1377">
            <v>2</v>
          </cell>
          <cell r="E1377">
            <v>140.52000000000001</v>
          </cell>
          <cell r="F1377">
            <v>281.04000000000002</v>
          </cell>
          <cell r="G1377">
            <v>0</v>
          </cell>
          <cell r="H1377">
            <v>0</v>
          </cell>
          <cell r="I1377" t="str">
            <v>0.00%</v>
          </cell>
          <cell r="J1377">
            <v>0</v>
          </cell>
          <cell r="K1377">
            <v>0</v>
          </cell>
          <cell r="L1377" t="str">
            <v>0.00%</v>
          </cell>
          <cell r="M1377">
            <v>0</v>
          </cell>
          <cell r="N1377">
            <v>0</v>
          </cell>
          <cell r="O1377" t="str">
            <v>0.00%</v>
          </cell>
          <cell r="P1377">
            <v>2</v>
          </cell>
          <cell r="Q1377">
            <v>281.04000000000002</v>
          </cell>
          <cell r="R1377">
            <v>1</v>
          </cell>
        </row>
        <row r="1378">
          <cell r="A1378" t="str">
            <v>20</v>
          </cell>
          <cell r="B1378" t="str">
            <v>OBRAS EXTERIORES</v>
          </cell>
          <cell r="C1378">
            <v>0</v>
          </cell>
          <cell r="D1378">
            <v>0</v>
          </cell>
          <cell r="E1378">
            <v>0</v>
          </cell>
          <cell r="F1378">
            <v>0</v>
          </cell>
          <cell r="G1378">
            <v>0</v>
          </cell>
          <cell r="H1378">
            <v>0</v>
          </cell>
          <cell r="I1378">
            <v>0</v>
          </cell>
          <cell r="J1378">
            <v>0</v>
          </cell>
          <cell r="K1378">
            <v>0</v>
          </cell>
          <cell r="L1378">
            <v>0</v>
          </cell>
          <cell r="M1378">
            <v>0</v>
          </cell>
          <cell r="N1378">
            <v>0</v>
          </cell>
          <cell r="O1378">
            <v>0</v>
          </cell>
          <cell r="P1378">
            <v>0</v>
          </cell>
          <cell r="Q1378">
            <v>0</v>
          </cell>
          <cell r="R1378">
            <v>0</v>
          </cell>
        </row>
        <row r="1379">
          <cell r="A1379" t="str">
            <v>20.01</v>
          </cell>
          <cell r="B1379" t="str">
            <v>SISTEMA DE AGUA FRIA</v>
          </cell>
          <cell r="C1379">
            <v>0</v>
          </cell>
          <cell r="D1379">
            <v>0</v>
          </cell>
          <cell r="E1379">
            <v>0</v>
          </cell>
          <cell r="F1379">
            <v>0</v>
          </cell>
          <cell r="G1379">
            <v>0</v>
          </cell>
          <cell r="H1379">
            <v>0</v>
          </cell>
          <cell r="I1379">
            <v>0</v>
          </cell>
          <cell r="J1379">
            <v>0</v>
          </cell>
          <cell r="K1379">
            <v>0</v>
          </cell>
          <cell r="L1379">
            <v>0</v>
          </cell>
          <cell r="M1379">
            <v>0</v>
          </cell>
          <cell r="N1379">
            <v>0</v>
          </cell>
          <cell r="O1379">
            <v>0</v>
          </cell>
          <cell r="P1379">
            <v>0</v>
          </cell>
          <cell r="Q1379">
            <v>0</v>
          </cell>
          <cell r="R1379">
            <v>0</v>
          </cell>
        </row>
        <row r="1380">
          <cell r="A1380" t="str">
            <v>20.01.01</v>
          </cell>
          <cell r="B1380" t="str">
            <v>INSTALACIONES EXTERIORES</v>
          </cell>
          <cell r="C1380">
            <v>0</v>
          </cell>
          <cell r="D1380">
            <v>0</v>
          </cell>
          <cell r="E1380">
            <v>0</v>
          </cell>
          <cell r="F1380">
            <v>0</v>
          </cell>
          <cell r="G1380">
            <v>0</v>
          </cell>
          <cell r="H1380">
            <v>0</v>
          </cell>
          <cell r="I1380">
            <v>0</v>
          </cell>
          <cell r="J1380">
            <v>0</v>
          </cell>
          <cell r="K1380">
            <v>0</v>
          </cell>
          <cell r="L1380">
            <v>0</v>
          </cell>
          <cell r="M1380">
            <v>0</v>
          </cell>
          <cell r="N1380">
            <v>0</v>
          </cell>
          <cell r="O1380">
            <v>0</v>
          </cell>
          <cell r="P1380">
            <v>0</v>
          </cell>
          <cell r="Q1380">
            <v>0</v>
          </cell>
          <cell r="R1380">
            <v>0</v>
          </cell>
        </row>
        <row r="1381">
          <cell r="A1381" t="str">
            <v>20.01.01.01</v>
          </cell>
          <cell r="B1381" t="str">
            <v>TRAZO Y REPLANTEO</v>
          </cell>
          <cell r="C1381" t="str">
            <v>m</v>
          </cell>
          <cell r="D1381">
            <v>110.04</v>
          </cell>
          <cell r="E1381">
            <v>2.92</v>
          </cell>
          <cell r="F1381">
            <v>321.3168</v>
          </cell>
          <cell r="G1381">
            <v>0</v>
          </cell>
          <cell r="H1381">
            <v>0</v>
          </cell>
          <cell r="I1381" t="str">
            <v>0.00%</v>
          </cell>
          <cell r="J1381">
            <v>0</v>
          </cell>
          <cell r="K1381">
            <v>0</v>
          </cell>
          <cell r="L1381" t="str">
            <v>0.00%</v>
          </cell>
          <cell r="M1381">
            <v>0</v>
          </cell>
          <cell r="N1381">
            <v>0</v>
          </cell>
          <cell r="O1381" t="str">
            <v>0.00%</v>
          </cell>
          <cell r="P1381">
            <v>110.04</v>
          </cell>
          <cell r="Q1381">
            <v>321.3168</v>
          </cell>
          <cell r="R1381">
            <v>1</v>
          </cell>
        </row>
        <row r="1382">
          <cell r="A1382" t="str">
            <v>20.01.01.02</v>
          </cell>
          <cell r="B1382" t="str">
            <v>EXCAVACION DE ZANJAS REFINE Y CAMA DE APOYO</v>
          </cell>
          <cell r="C1382" t="str">
            <v>m</v>
          </cell>
          <cell r="D1382">
            <v>110.04</v>
          </cell>
          <cell r="E1382">
            <v>23.66</v>
          </cell>
          <cell r="F1382">
            <v>2603.5464000000002</v>
          </cell>
          <cell r="G1382">
            <v>0</v>
          </cell>
          <cell r="H1382">
            <v>0</v>
          </cell>
          <cell r="I1382" t="str">
            <v>0.00%</v>
          </cell>
          <cell r="J1382">
            <v>0</v>
          </cell>
          <cell r="K1382">
            <v>0</v>
          </cell>
          <cell r="L1382" t="str">
            <v>0.00%</v>
          </cell>
          <cell r="M1382">
            <v>0</v>
          </cell>
          <cell r="N1382">
            <v>0</v>
          </cell>
          <cell r="O1382" t="str">
            <v>0.00%</v>
          </cell>
          <cell r="P1382">
            <v>110.04</v>
          </cell>
          <cell r="Q1382">
            <v>2603.5464000000002</v>
          </cell>
          <cell r="R1382">
            <v>1</v>
          </cell>
        </row>
        <row r="1383">
          <cell r="A1383" t="str">
            <v>20.01.01.03</v>
          </cell>
          <cell r="B1383" t="str">
            <v>RELLENO CON MATERIAL PROPIO</v>
          </cell>
          <cell r="C1383" t="str">
            <v>m</v>
          </cell>
          <cell r="D1383">
            <v>110.04</v>
          </cell>
          <cell r="E1383">
            <v>13.05</v>
          </cell>
          <cell r="F1383">
            <v>1436.0220000000002</v>
          </cell>
          <cell r="G1383">
            <v>0</v>
          </cell>
          <cell r="H1383">
            <v>0</v>
          </cell>
          <cell r="I1383" t="str">
            <v>0.00%</v>
          </cell>
          <cell r="J1383">
            <v>0</v>
          </cell>
          <cell r="K1383">
            <v>0</v>
          </cell>
          <cell r="L1383" t="str">
            <v>0.00%</v>
          </cell>
          <cell r="M1383">
            <v>0</v>
          </cell>
          <cell r="N1383">
            <v>0</v>
          </cell>
          <cell r="O1383" t="str">
            <v>0.00%</v>
          </cell>
          <cell r="P1383">
            <v>110.04</v>
          </cell>
          <cell r="Q1383">
            <v>1436.0220000000002</v>
          </cell>
          <cell r="R1383">
            <v>1</v>
          </cell>
        </row>
        <row r="1384">
          <cell r="A1384" t="str">
            <v>20.01.01.04</v>
          </cell>
          <cell r="B1384" t="str">
            <v>INSTALACION DE TUB. PVC SAP C-10 Ø 1 1/2"</v>
          </cell>
          <cell r="C1384" t="str">
            <v>m</v>
          </cell>
          <cell r="D1384">
            <v>90.96</v>
          </cell>
          <cell r="E1384">
            <v>6.32</v>
          </cell>
          <cell r="F1384">
            <v>574.86720000000003</v>
          </cell>
          <cell r="G1384">
            <v>0</v>
          </cell>
          <cell r="H1384">
            <v>0</v>
          </cell>
          <cell r="I1384" t="str">
            <v>0.00%</v>
          </cell>
          <cell r="J1384">
            <v>0</v>
          </cell>
          <cell r="K1384">
            <v>0</v>
          </cell>
          <cell r="L1384" t="str">
            <v>0.00%</v>
          </cell>
          <cell r="M1384">
            <v>0</v>
          </cell>
          <cell r="N1384">
            <v>0</v>
          </cell>
          <cell r="O1384" t="str">
            <v>0.00%</v>
          </cell>
          <cell r="P1384">
            <v>90.96</v>
          </cell>
          <cell r="Q1384">
            <v>574.86720000000003</v>
          </cell>
          <cell r="R1384">
            <v>1</v>
          </cell>
        </row>
        <row r="1385">
          <cell r="A1385" t="str">
            <v>20.01.01.05</v>
          </cell>
          <cell r="B1385" t="str">
            <v>INSTALACION DE TUB. PVC SAP C-10 Ø 1"</v>
          </cell>
          <cell r="C1385" t="str">
            <v>m</v>
          </cell>
          <cell r="D1385">
            <v>12.93</v>
          </cell>
          <cell r="E1385">
            <v>4.3600000000000003</v>
          </cell>
          <cell r="F1385">
            <v>56.3748</v>
          </cell>
          <cell r="G1385">
            <v>0</v>
          </cell>
          <cell r="H1385">
            <v>0</v>
          </cell>
          <cell r="I1385" t="str">
            <v>0.00%</v>
          </cell>
          <cell r="J1385">
            <v>0</v>
          </cell>
          <cell r="K1385">
            <v>0</v>
          </cell>
          <cell r="L1385" t="str">
            <v>0.00%</v>
          </cell>
          <cell r="M1385">
            <v>0</v>
          </cell>
          <cell r="N1385">
            <v>0</v>
          </cell>
          <cell r="O1385" t="str">
            <v>0.00%</v>
          </cell>
          <cell r="P1385">
            <v>12.93</v>
          </cell>
          <cell r="Q1385">
            <v>56.3748</v>
          </cell>
          <cell r="R1385">
            <v>1</v>
          </cell>
        </row>
        <row r="1386">
          <cell r="A1386" t="str">
            <v>20.01.01.06</v>
          </cell>
          <cell r="B1386" t="str">
            <v>INSTALACION DE TUB. PVC SAP C-10 Ø 3/4"</v>
          </cell>
          <cell r="C1386" t="str">
            <v>m</v>
          </cell>
          <cell r="D1386">
            <v>6.15</v>
          </cell>
          <cell r="E1386">
            <v>19.190000000000001</v>
          </cell>
          <cell r="F1386">
            <v>118.01850000000002</v>
          </cell>
          <cell r="G1386">
            <v>0</v>
          </cell>
          <cell r="H1386">
            <v>0</v>
          </cell>
          <cell r="I1386" t="str">
            <v>0.00%</v>
          </cell>
          <cell r="J1386">
            <v>0</v>
          </cell>
          <cell r="K1386">
            <v>0</v>
          </cell>
          <cell r="L1386" t="str">
            <v>0.00%</v>
          </cell>
          <cell r="M1386">
            <v>0</v>
          </cell>
          <cell r="N1386">
            <v>0</v>
          </cell>
          <cell r="O1386" t="str">
            <v>0.00%</v>
          </cell>
          <cell r="P1386">
            <v>6.15</v>
          </cell>
          <cell r="Q1386">
            <v>118.01850000000002</v>
          </cell>
          <cell r="R1386">
            <v>1</v>
          </cell>
        </row>
        <row r="1387">
          <cell r="A1387" t="str">
            <v>20.01.01.07</v>
          </cell>
          <cell r="B1387" t="str">
            <v>VALVULA COMPUERTA DE BRONCE  Ø 1 1/2"</v>
          </cell>
          <cell r="C1387" t="str">
            <v>und</v>
          </cell>
          <cell r="D1387">
            <v>4</v>
          </cell>
          <cell r="E1387">
            <v>396.25</v>
          </cell>
          <cell r="F1387">
            <v>1585</v>
          </cell>
          <cell r="G1387">
            <v>0</v>
          </cell>
          <cell r="H1387">
            <v>0</v>
          </cell>
          <cell r="I1387" t="str">
            <v>0.00%</v>
          </cell>
          <cell r="J1387">
            <v>0</v>
          </cell>
          <cell r="K1387">
            <v>0</v>
          </cell>
          <cell r="L1387" t="str">
            <v>0.00%</v>
          </cell>
          <cell r="M1387">
            <v>0</v>
          </cell>
          <cell r="N1387">
            <v>0</v>
          </cell>
          <cell r="O1387" t="str">
            <v>0.00%</v>
          </cell>
          <cell r="P1387">
            <v>4</v>
          </cell>
          <cell r="Q1387">
            <v>1585</v>
          </cell>
          <cell r="R1387">
            <v>1</v>
          </cell>
        </row>
        <row r="1388">
          <cell r="A1388" t="str">
            <v>20.01.01.08</v>
          </cell>
          <cell r="B1388" t="str">
            <v>GRIFO DE RIEGO STANDARD - LLAVE DE 1/2"</v>
          </cell>
          <cell r="C1388" t="str">
            <v>und</v>
          </cell>
          <cell r="D1388">
            <v>1</v>
          </cell>
          <cell r="E1388">
            <v>35</v>
          </cell>
          <cell r="F1388">
            <v>35</v>
          </cell>
          <cell r="G1388">
            <v>0</v>
          </cell>
          <cell r="H1388">
            <v>0</v>
          </cell>
          <cell r="I1388" t="str">
            <v>0.00%</v>
          </cell>
          <cell r="J1388">
            <v>0</v>
          </cell>
          <cell r="K1388">
            <v>0</v>
          </cell>
          <cell r="L1388" t="str">
            <v>0.00%</v>
          </cell>
          <cell r="M1388">
            <v>0</v>
          </cell>
          <cell r="N1388">
            <v>0</v>
          </cell>
          <cell r="O1388" t="str">
            <v>0.00%</v>
          </cell>
          <cell r="P1388">
            <v>1</v>
          </cell>
          <cell r="Q1388">
            <v>35</v>
          </cell>
          <cell r="R1388">
            <v>1</v>
          </cell>
        </row>
        <row r="1389">
          <cell r="A1389" t="str">
            <v>20.02</v>
          </cell>
          <cell r="B1389" t="str">
            <v>SISTEMA DE DESAGUE</v>
          </cell>
          <cell r="C1389">
            <v>0</v>
          </cell>
          <cell r="D1389">
            <v>0</v>
          </cell>
          <cell r="E1389">
            <v>0</v>
          </cell>
          <cell r="F1389">
            <v>0</v>
          </cell>
          <cell r="G1389">
            <v>0</v>
          </cell>
          <cell r="H1389">
            <v>0</v>
          </cell>
          <cell r="I1389">
            <v>0</v>
          </cell>
          <cell r="J1389">
            <v>0</v>
          </cell>
          <cell r="K1389">
            <v>0</v>
          </cell>
          <cell r="L1389">
            <v>0</v>
          </cell>
          <cell r="M1389">
            <v>0</v>
          </cell>
          <cell r="N1389">
            <v>0</v>
          </cell>
          <cell r="O1389">
            <v>0</v>
          </cell>
          <cell r="P1389">
            <v>0</v>
          </cell>
          <cell r="Q1389">
            <v>0</v>
          </cell>
          <cell r="R1389">
            <v>0</v>
          </cell>
        </row>
        <row r="1390">
          <cell r="A1390" t="str">
            <v>20.02.01</v>
          </cell>
          <cell r="B1390" t="str">
            <v>REDES DE DESAGUE</v>
          </cell>
          <cell r="C1390">
            <v>0</v>
          </cell>
          <cell r="D1390">
            <v>0</v>
          </cell>
          <cell r="E1390">
            <v>0</v>
          </cell>
          <cell r="F1390">
            <v>0</v>
          </cell>
          <cell r="G1390">
            <v>0</v>
          </cell>
          <cell r="H1390">
            <v>0</v>
          </cell>
          <cell r="I1390">
            <v>0</v>
          </cell>
          <cell r="J1390">
            <v>0</v>
          </cell>
          <cell r="K1390">
            <v>0</v>
          </cell>
          <cell r="L1390">
            <v>0</v>
          </cell>
          <cell r="M1390">
            <v>0</v>
          </cell>
          <cell r="N1390">
            <v>0</v>
          </cell>
          <cell r="O1390">
            <v>0</v>
          </cell>
          <cell r="P1390">
            <v>0</v>
          </cell>
          <cell r="Q1390">
            <v>0</v>
          </cell>
          <cell r="R1390">
            <v>0</v>
          </cell>
        </row>
        <row r="1391">
          <cell r="A1391" t="str">
            <v>20.02.01.01</v>
          </cell>
          <cell r="B1391" t="str">
            <v>TRAZO Y REPLANTEO</v>
          </cell>
          <cell r="C1391" t="str">
            <v>m</v>
          </cell>
          <cell r="D1391">
            <v>98.1</v>
          </cell>
          <cell r="E1391">
            <v>2.92</v>
          </cell>
          <cell r="F1391">
            <v>286.452</v>
          </cell>
          <cell r="G1391">
            <v>0</v>
          </cell>
          <cell r="H1391">
            <v>0</v>
          </cell>
          <cell r="I1391" t="str">
            <v>0.00%</v>
          </cell>
          <cell r="J1391">
            <v>0</v>
          </cell>
          <cell r="K1391">
            <v>0</v>
          </cell>
          <cell r="L1391" t="str">
            <v>0.00%</v>
          </cell>
          <cell r="M1391">
            <v>0</v>
          </cell>
          <cell r="N1391">
            <v>0</v>
          </cell>
          <cell r="O1391" t="str">
            <v>0.00%</v>
          </cell>
          <cell r="P1391">
            <v>98.1</v>
          </cell>
          <cell r="Q1391">
            <v>286.452</v>
          </cell>
          <cell r="R1391">
            <v>1</v>
          </cell>
        </row>
        <row r="1392">
          <cell r="A1392" t="str">
            <v>20.02.01.02</v>
          </cell>
          <cell r="B1392" t="str">
            <v>EXCAVACION DE ZANJA MANUAL</v>
          </cell>
          <cell r="C1392" t="str">
            <v>m3</v>
          </cell>
          <cell r="D1392">
            <v>70.63</v>
          </cell>
          <cell r="E1392">
            <v>45.62</v>
          </cell>
          <cell r="F1392">
            <v>3222.1405999999997</v>
          </cell>
          <cell r="G1392">
            <v>0</v>
          </cell>
          <cell r="H1392">
            <v>0</v>
          </cell>
          <cell r="I1392" t="str">
            <v>0.00%</v>
          </cell>
          <cell r="J1392">
            <v>0</v>
          </cell>
          <cell r="K1392">
            <v>0</v>
          </cell>
          <cell r="L1392" t="str">
            <v>0.00%</v>
          </cell>
          <cell r="M1392">
            <v>0</v>
          </cell>
          <cell r="N1392">
            <v>0</v>
          </cell>
          <cell r="O1392" t="str">
            <v>0.00%</v>
          </cell>
          <cell r="P1392">
            <v>70.63</v>
          </cell>
          <cell r="Q1392">
            <v>3222.1405999999997</v>
          </cell>
          <cell r="R1392">
            <v>1</v>
          </cell>
        </row>
        <row r="1393">
          <cell r="A1393" t="str">
            <v>20.02.01.03</v>
          </cell>
          <cell r="B1393" t="str">
            <v>RELLENO CON MATERIAL PROPIO SELECCIONADO</v>
          </cell>
          <cell r="C1393" t="str">
            <v>m3</v>
          </cell>
          <cell r="D1393">
            <v>64.75</v>
          </cell>
          <cell r="E1393">
            <v>29.12</v>
          </cell>
          <cell r="F1393">
            <v>1885.52</v>
          </cell>
          <cell r="G1393">
            <v>0</v>
          </cell>
          <cell r="H1393">
            <v>0</v>
          </cell>
          <cell r="I1393" t="str">
            <v>0.00%</v>
          </cell>
          <cell r="J1393">
            <v>0</v>
          </cell>
          <cell r="K1393">
            <v>0</v>
          </cell>
          <cell r="L1393" t="str">
            <v>0.00%</v>
          </cell>
          <cell r="M1393">
            <v>0</v>
          </cell>
          <cell r="N1393">
            <v>0</v>
          </cell>
          <cell r="O1393" t="str">
            <v>0.00%</v>
          </cell>
          <cell r="P1393">
            <v>64.75</v>
          </cell>
          <cell r="Q1393">
            <v>1885.52</v>
          </cell>
          <cell r="R1393">
            <v>1</v>
          </cell>
        </row>
        <row r="1394">
          <cell r="A1394" t="str">
            <v>20.02.01.04</v>
          </cell>
          <cell r="B1394" t="str">
            <v>RED DE DESAGUE TUBERIA PVC UF Ø DE 4"</v>
          </cell>
          <cell r="C1394" t="str">
            <v>m</v>
          </cell>
          <cell r="D1394">
            <v>98.1</v>
          </cell>
          <cell r="E1394">
            <v>17.48</v>
          </cell>
          <cell r="F1394">
            <v>1714.788</v>
          </cell>
          <cell r="G1394">
            <v>0</v>
          </cell>
          <cell r="H1394">
            <v>0</v>
          </cell>
          <cell r="I1394" t="str">
            <v>0.00%</v>
          </cell>
          <cell r="J1394">
            <v>0</v>
          </cell>
          <cell r="K1394">
            <v>0</v>
          </cell>
          <cell r="L1394" t="str">
            <v>0.00%</v>
          </cell>
          <cell r="M1394">
            <v>0</v>
          </cell>
          <cell r="N1394">
            <v>0</v>
          </cell>
          <cell r="O1394" t="str">
            <v>0.00%</v>
          </cell>
          <cell r="P1394">
            <v>98.1</v>
          </cell>
          <cell r="Q1394">
            <v>1714.788</v>
          </cell>
          <cell r="R1394">
            <v>1</v>
          </cell>
        </row>
        <row r="1395">
          <cell r="A1395" t="str">
            <v>20.02.02</v>
          </cell>
          <cell r="B1395" t="str">
            <v>CAJAS DE INSPECCION Y RETENCION</v>
          </cell>
          <cell r="C1395">
            <v>0</v>
          </cell>
          <cell r="D1395">
            <v>0</v>
          </cell>
          <cell r="E1395">
            <v>0</v>
          </cell>
          <cell r="F1395">
            <v>0</v>
          </cell>
          <cell r="G1395">
            <v>0</v>
          </cell>
          <cell r="H1395">
            <v>0</v>
          </cell>
          <cell r="I1395">
            <v>0</v>
          </cell>
          <cell r="J1395">
            <v>0</v>
          </cell>
          <cell r="K1395">
            <v>0</v>
          </cell>
          <cell r="L1395">
            <v>0</v>
          </cell>
          <cell r="M1395">
            <v>0</v>
          </cell>
          <cell r="N1395">
            <v>0</v>
          </cell>
          <cell r="O1395">
            <v>0</v>
          </cell>
          <cell r="P1395">
            <v>0</v>
          </cell>
          <cell r="Q1395">
            <v>0</v>
          </cell>
          <cell r="R1395">
            <v>0</v>
          </cell>
        </row>
        <row r="1396">
          <cell r="A1396" t="str">
            <v>20.02.02.01</v>
          </cell>
          <cell r="B1396" t="str">
            <v>CAJA DE REGISTRO DE DESAGUE 24" X 24" - CONSTRUCION</v>
          </cell>
          <cell r="C1396" t="str">
            <v>und</v>
          </cell>
          <cell r="D1396">
            <v>8</v>
          </cell>
          <cell r="E1396">
            <v>197.15</v>
          </cell>
          <cell r="F1396">
            <v>1577.2</v>
          </cell>
          <cell r="G1396">
            <v>0</v>
          </cell>
          <cell r="H1396">
            <v>0</v>
          </cell>
          <cell r="I1396" t="str">
            <v>0.00%</v>
          </cell>
          <cell r="J1396">
            <v>0</v>
          </cell>
          <cell r="K1396">
            <v>0</v>
          </cell>
          <cell r="L1396" t="str">
            <v>0.00%</v>
          </cell>
          <cell r="M1396">
            <v>0</v>
          </cell>
          <cell r="N1396">
            <v>0</v>
          </cell>
          <cell r="O1396" t="str">
            <v>0.00%</v>
          </cell>
          <cell r="P1396">
            <v>8</v>
          </cell>
          <cell r="Q1396">
            <v>1577.2</v>
          </cell>
          <cell r="R1396">
            <v>1</v>
          </cell>
        </row>
        <row r="1397">
          <cell r="A1397" t="str">
            <v>20.02.03</v>
          </cell>
          <cell r="B1397" t="str">
            <v>INSTALACION A LA RED COLECTORA PUBLICA</v>
          </cell>
          <cell r="C1397">
            <v>0</v>
          </cell>
          <cell r="D1397">
            <v>0</v>
          </cell>
          <cell r="E1397">
            <v>0</v>
          </cell>
          <cell r="F1397">
            <v>0</v>
          </cell>
          <cell r="G1397">
            <v>0</v>
          </cell>
          <cell r="H1397">
            <v>0</v>
          </cell>
          <cell r="I1397">
            <v>0</v>
          </cell>
          <cell r="J1397">
            <v>0</v>
          </cell>
          <cell r="K1397">
            <v>0</v>
          </cell>
          <cell r="L1397">
            <v>0</v>
          </cell>
          <cell r="M1397">
            <v>0</v>
          </cell>
          <cell r="N1397">
            <v>0</v>
          </cell>
          <cell r="O1397">
            <v>0</v>
          </cell>
          <cell r="P1397">
            <v>0</v>
          </cell>
          <cell r="Q1397">
            <v>0</v>
          </cell>
          <cell r="R1397">
            <v>0</v>
          </cell>
        </row>
        <row r="1398">
          <cell r="A1398" t="str">
            <v>20.02.03.01</v>
          </cell>
          <cell r="B1398" t="str">
            <v>INSTALACION A LA RED COLECTORA PUBLICA ( EMUSAP)</v>
          </cell>
          <cell r="C1398" t="str">
            <v>GLB</v>
          </cell>
          <cell r="D1398">
            <v>1</v>
          </cell>
          <cell r="E1398">
            <v>1770</v>
          </cell>
          <cell r="F1398">
            <v>1770</v>
          </cell>
          <cell r="G1398">
            <v>0</v>
          </cell>
          <cell r="H1398">
            <v>0</v>
          </cell>
          <cell r="I1398" t="str">
            <v>0.00%</v>
          </cell>
          <cell r="J1398">
            <v>0</v>
          </cell>
          <cell r="K1398">
            <v>0</v>
          </cell>
          <cell r="L1398" t="str">
            <v>0.00%</v>
          </cell>
          <cell r="M1398">
            <v>0</v>
          </cell>
          <cell r="N1398">
            <v>0</v>
          </cell>
          <cell r="O1398" t="str">
            <v>0.00%</v>
          </cell>
          <cell r="P1398">
            <v>1</v>
          </cell>
          <cell r="Q1398">
            <v>1770</v>
          </cell>
          <cell r="R1398">
            <v>1</v>
          </cell>
        </row>
        <row r="1399">
          <cell r="A1399" t="str">
            <v>20.03</v>
          </cell>
          <cell r="B1399" t="str">
            <v>SISTEMA DE EVACUACION DE AGUAS PLUVIALES</v>
          </cell>
          <cell r="C1399">
            <v>0</v>
          </cell>
          <cell r="D1399">
            <v>0</v>
          </cell>
          <cell r="E1399">
            <v>0</v>
          </cell>
          <cell r="F1399">
            <v>0</v>
          </cell>
          <cell r="G1399">
            <v>0</v>
          </cell>
          <cell r="H1399">
            <v>0</v>
          </cell>
          <cell r="I1399">
            <v>0</v>
          </cell>
          <cell r="J1399">
            <v>0</v>
          </cell>
          <cell r="K1399">
            <v>0</v>
          </cell>
          <cell r="L1399">
            <v>0</v>
          </cell>
          <cell r="M1399">
            <v>0</v>
          </cell>
          <cell r="N1399">
            <v>0</v>
          </cell>
          <cell r="O1399">
            <v>0</v>
          </cell>
          <cell r="P1399">
            <v>0</v>
          </cell>
          <cell r="Q1399">
            <v>0</v>
          </cell>
          <cell r="R1399">
            <v>0</v>
          </cell>
        </row>
        <row r="1400">
          <cell r="A1400" t="str">
            <v>20.03.01</v>
          </cell>
          <cell r="B1400" t="str">
            <v>AGUAS PLUVIALES</v>
          </cell>
          <cell r="C1400">
            <v>0</v>
          </cell>
          <cell r="D1400">
            <v>0</v>
          </cell>
          <cell r="E1400">
            <v>0</v>
          </cell>
          <cell r="F1400">
            <v>0</v>
          </cell>
          <cell r="G1400">
            <v>0</v>
          </cell>
          <cell r="H1400">
            <v>0</v>
          </cell>
          <cell r="I1400">
            <v>0</v>
          </cell>
          <cell r="J1400">
            <v>0</v>
          </cell>
          <cell r="K1400">
            <v>0</v>
          </cell>
          <cell r="L1400">
            <v>0</v>
          </cell>
          <cell r="M1400">
            <v>0</v>
          </cell>
          <cell r="N1400">
            <v>0</v>
          </cell>
          <cell r="O1400">
            <v>0</v>
          </cell>
          <cell r="P1400">
            <v>0</v>
          </cell>
          <cell r="Q1400">
            <v>0</v>
          </cell>
          <cell r="R1400">
            <v>0</v>
          </cell>
        </row>
        <row r="1401">
          <cell r="A1401" t="str">
            <v>20.03.01.01</v>
          </cell>
          <cell r="B1401" t="str">
            <v>RED COLECTORA PARA AGUAS PLUVIALES TUB. PVC UF Ø DE 4"</v>
          </cell>
          <cell r="C1401" t="str">
            <v>m</v>
          </cell>
          <cell r="D1401">
            <v>25.11</v>
          </cell>
          <cell r="E1401">
            <v>27.03</v>
          </cell>
          <cell r="F1401">
            <v>678.72329999999999</v>
          </cell>
          <cell r="G1401">
            <v>0</v>
          </cell>
          <cell r="H1401">
            <v>0</v>
          </cell>
          <cell r="I1401" t="str">
            <v>0.00%</v>
          </cell>
          <cell r="J1401">
            <v>0</v>
          </cell>
          <cell r="K1401">
            <v>0</v>
          </cell>
          <cell r="L1401" t="str">
            <v>0.00%</v>
          </cell>
          <cell r="M1401">
            <v>0</v>
          </cell>
          <cell r="N1401">
            <v>0</v>
          </cell>
          <cell r="O1401" t="str">
            <v>0.00%</v>
          </cell>
          <cell r="P1401">
            <v>25.11</v>
          </cell>
          <cell r="Q1401">
            <v>678.72329999999999</v>
          </cell>
          <cell r="R1401">
            <v>1</v>
          </cell>
        </row>
        <row r="1402">
          <cell r="A1402" t="str">
            <v>20.03.01.02</v>
          </cell>
          <cell r="B1402" t="str">
            <v>CAJA DE REGISTRO DE DESAGUE 12" X 24"</v>
          </cell>
          <cell r="C1402" t="str">
            <v>pza</v>
          </cell>
          <cell r="D1402">
            <v>3</v>
          </cell>
          <cell r="E1402">
            <v>246.12</v>
          </cell>
          <cell r="F1402">
            <v>738.36</v>
          </cell>
          <cell r="G1402">
            <v>0</v>
          </cell>
          <cell r="H1402">
            <v>0</v>
          </cell>
          <cell r="I1402" t="str">
            <v>0.00%</v>
          </cell>
          <cell r="J1402">
            <v>0</v>
          </cell>
          <cell r="K1402">
            <v>0</v>
          </cell>
          <cell r="L1402" t="str">
            <v>0.00%</v>
          </cell>
          <cell r="M1402">
            <v>0</v>
          </cell>
          <cell r="N1402">
            <v>0</v>
          </cell>
          <cell r="O1402" t="str">
            <v>0.00%</v>
          </cell>
          <cell r="P1402">
            <v>3</v>
          </cell>
          <cell r="Q1402">
            <v>738.36</v>
          </cell>
          <cell r="R1402">
            <v>1</v>
          </cell>
        </row>
        <row r="1403">
          <cell r="A1403" t="str">
            <v>20.03.01.03</v>
          </cell>
          <cell r="B1403" t="str">
            <v>CONCRETO EN CUNETA F'C= 175KG/CM2</v>
          </cell>
          <cell r="C1403" t="str">
            <v>m3</v>
          </cell>
          <cell r="D1403">
            <v>4.01</v>
          </cell>
          <cell r="E1403">
            <v>470.02</v>
          </cell>
          <cell r="F1403">
            <v>1884.7801999999999</v>
          </cell>
          <cell r="G1403">
            <v>0</v>
          </cell>
          <cell r="H1403">
            <v>0</v>
          </cell>
          <cell r="I1403" t="str">
            <v>0.00%</v>
          </cell>
          <cell r="J1403">
            <v>0</v>
          </cell>
          <cell r="K1403">
            <v>0</v>
          </cell>
          <cell r="L1403" t="str">
            <v>0.00%</v>
          </cell>
          <cell r="M1403">
            <v>0</v>
          </cell>
          <cell r="N1403">
            <v>0</v>
          </cell>
          <cell r="O1403" t="str">
            <v>0.00%</v>
          </cell>
          <cell r="P1403">
            <v>4.01</v>
          </cell>
          <cell r="Q1403">
            <v>1884.7801999999999</v>
          </cell>
          <cell r="R1403">
            <v>1</v>
          </cell>
        </row>
        <row r="1404">
          <cell r="A1404" t="str">
            <v>20.03.01.04</v>
          </cell>
          <cell r="B1404" t="str">
            <v>ENCOFRADO Y DESENCOFRADO PARA CUNETA</v>
          </cell>
          <cell r="C1404" t="str">
            <v>m2</v>
          </cell>
          <cell r="D1404">
            <v>36.049999999999997</v>
          </cell>
          <cell r="E1404">
            <v>45.51</v>
          </cell>
          <cell r="F1404">
            <v>1640.6354999999999</v>
          </cell>
          <cell r="G1404">
            <v>0</v>
          </cell>
          <cell r="H1404">
            <v>0</v>
          </cell>
          <cell r="I1404" t="str">
            <v>0.00%</v>
          </cell>
          <cell r="J1404">
            <v>0</v>
          </cell>
          <cell r="K1404">
            <v>0</v>
          </cell>
          <cell r="L1404" t="str">
            <v>0.00%</v>
          </cell>
          <cell r="M1404">
            <v>0</v>
          </cell>
          <cell r="N1404">
            <v>0</v>
          </cell>
          <cell r="O1404" t="str">
            <v>0.00%</v>
          </cell>
          <cell r="P1404">
            <v>36.049999999999997</v>
          </cell>
          <cell r="Q1404">
            <v>1640.6354999999999</v>
          </cell>
          <cell r="R1404">
            <v>1</v>
          </cell>
        </row>
        <row r="1405">
          <cell r="A1405" t="str">
            <v>20.03.01.05</v>
          </cell>
          <cell r="B1405" t="str">
            <v>TARRAJEO EN CUNETAS DE EVACUACION PLUVIAL</v>
          </cell>
          <cell r="C1405" t="str">
            <v>m2</v>
          </cell>
          <cell r="D1405">
            <v>44.06</v>
          </cell>
          <cell r="E1405">
            <v>30.23</v>
          </cell>
          <cell r="F1405">
            <v>1331.9338</v>
          </cell>
          <cell r="G1405">
            <v>0</v>
          </cell>
          <cell r="H1405">
            <v>0</v>
          </cell>
          <cell r="I1405" t="str">
            <v>0.00%</v>
          </cell>
          <cell r="J1405">
            <v>0</v>
          </cell>
          <cell r="K1405">
            <v>0</v>
          </cell>
          <cell r="L1405" t="str">
            <v>0.00%</v>
          </cell>
          <cell r="M1405">
            <v>0</v>
          </cell>
          <cell r="N1405">
            <v>0</v>
          </cell>
          <cell r="O1405" t="str">
            <v>0.00%</v>
          </cell>
          <cell r="P1405">
            <v>44.06</v>
          </cell>
          <cell r="Q1405">
            <v>1331.9338</v>
          </cell>
          <cell r="R1405">
            <v>1</v>
          </cell>
        </row>
        <row r="1406">
          <cell r="A1406" t="str">
            <v>20.03.01.06</v>
          </cell>
          <cell r="B1406" t="str">
            <v>REJILLA DE FIERRO PARA CANAL EVACUACION</v>
          </cell>
          <cell r="C1406" t="str">
            <v>m</v>
          </cell>
          <cell r="D1406">
            <v>40.049999999999997</v>
          </cell>
          <cell r="E1406">
            <v>58.51</v>
          </cell>
          <cell r="F1406">
            <v>2343.3254999999999</v>
          </cell>
          <cell r="G1406">
            <v>0</v>
          </cell>
          <cell r="H1406">
            <v>0</v>
          </cell>
          <cell r="I1406" t="str">
            <v>0.00%</v>
          </cell>
          <cell r="J1406">
            <v>0</v>
          </cell>
          <cell r="K1406">
            <v>0</v>
          </cell>
          <cell r="L1406" t="str">
            <v>0.00%</v>
          </cell>
          <cell r="M1406">
            <v>0</v>
          </cell>
          <cell r="N1406">
            <v>0</v>
          </cell>
          <cell r="O1406" t="str">
            <v>0.00%</v>
          </cell>
          <cell r="P1406">
            <v>40.049999999999997</v>
          </cell>
          <cell r="Q1406">
            <v>2343.3254999999999</v>
          </cell>
          <cell r="R1406">
            <v>1</v>
          </cell>
        </row>
        <row r="1407">
          <cell r="A1407" t="str">
            <v>20.03.02</v>
          </cell>
          <cell r="B1407" t="str">
            <v>DRENAJE DE AGUAS PLUVIALES</v>
          </cell>
          <cell r="C1407">
            <v>0</v>
          </cell>
          <cell r="D1407">
            <v>0</v>
          </cell>
          <cell r="E1407">
            <v>0</v>
          </cell>
          <cell r="F1407">
            <v>0</v>
          </cell>
          <cell r="G1407">
            <v>0</v>
          </cell>
          <cell r="H1407">
            <v>0</v>
          </cell>
          <cell r="I1407">
            <v>0</v>
          </cell>
          <cell r="J1407">
            <v>0</v>
          </cell>
          <cell r="K1407">
            <v>0</v>
          </cell>
          <cell r="L1407">
            <v>0</v>
          </cell>
          <cell r="M1407">
            <v>0</v>
          </cell>
          <cell r="N1407">
            <v>0</v>
          </cell>
          <cell r="O1407">
            <v>0</v>
          </cell>
          <cell r="P1407">
            <v>0</v>
          </cell>
          <cell r="Q1407">
            <v>0</v>
          </cell>
          <cell r="R1407">
            <v>0</v>
          </cell>
        </row>
        <row r="1408">
          <cell r="A1408" t="str">
            <v>20.03.02.01</v>
          </cell>
          <cell r="B1408" t="str">
            <v>TRAZO Y REPLANTEO</v>
          </cell>
          <cell r="C1408" t="str">
            <v>m</v>
          </cell>
          <cell r="D1408">
            <v>40.049999999999997</v>
          </cell>
          <cell r="E1408">
            <v>2.92</v>
          </cell>
          <cell r="F1408">
            <v>116.94599999999998</v>
          </cell>
          <cell r="G1408">
            <v>0</v>
          </cell>
          <cell r="H1408">
            <v>0</v>
          </cell>
          <cell r="I1408" t="str">
            <v>0.00%</v>
          </cell>
          <cell r="J1408">
            <v>0</v>
          </cell>
          <cell r="K1408">
            <v>0</v>
          </cell>
          <cell r="L1408" t="str">
            <v>0.00%</v>
          </cell>
          <cell r="M1408">
            <v>0</v>
          </cell>
          <cell r="N1408">
            <v>0</v>
          </cell>
          <cell r="O1408" t="str">
            <v>0.00%</v>
          </cell>
          <cell r="P1408">
            <v>40.049999999999997</v>
          </cell>
          <cell r="Q1408">
            <v>116.94599999999998</v>
          </cell>
          <cell r="R1408">
            <v>1</v>
          </cell>
        </row>
        <row r="1409">
          <cell r="A1409" t="str">
            <v>20.03.02.02</v>
          </cell>
          <cell r="B1409" t="str">
            <v>EXCAVACION DE ZANJA PARA EVACUACION PLUVIAL</v>
          </cell>
          <cell r="C1409" t="str">
            <v>m3</v>
          </cell>
          <cell r="D1409">
            <v>6.41</v>
          </cell>
          <cell r="E1409">
            <v>9.1300000000000008</v>
          </cell>
          <cell r="F1409">
            <v>58.523300000000006</v>
          </cell>
          <cell r="G1409">
            <v>0</v>
          </cell>
          <cell r="H1409">
            <v>0</v>
          </cell>
          <cell r="I1409" t="str">
            <v>0.00%</v>
          </cell>
          <cell r="J1409">
            <v>0</v>
          </cell>
          <cell r="K1409">
            <v>0</v>
          </cell>
          <cell r="L1409" t="str">
            <v>0.00%</v>
          </cell>
          <cell r="M1409">
            <v>0</v>
          </cell>
          <cell r="N1409">
            <v>0</v>
          </cell>
          <cell r="O1409" t="str">
            <v>0.00%</v>
          </cell>
          <cell r="P1409">
            <v>6.41</v>
          </cell>
          <cell r="Q1409">
            <v>58.523300000000006</v>
          </cell>
          <cell r="R1409">
            <v>1</v>
          </cell>
        </row>
        <row r="1410">
          <cell r="A1410" t="str">
            <v>20.03.02.03</v>
          </cell>
          <cell r="B1410" t="str">
            <v>RELLENO CON MATERIAL PROPIO</v>
          </cell>
          <cell r="C1410" t="str">
            <v>m</v>
          </cell>
          <cell r="D1410">
            <v>40.049999999999997</v>
          </cell>
          <cell r="E1410">
            <v>13.05</v>
          </cell>
          <cell r="F1410">
            <v>522.65250000000003</v>
          </cell>
          <cell r="G1410">
            <v>0</v>
          </cell>
          <cell r="H1410">
            <v>0</v>
          </cell>
          <cell r="I1410" t="str">
            <v>0.00%</v>
          </cell>
          <cell r="J1410">
            <v>0</v>
          </cell>
          <cell r="K1410">
            <v>0</v>
          </cell>
          <cell r="L1410" t="str">
            <v>0.00%</v>
          </cell>
          <cell r="M1410">
            <v>0</v>
          </cell>
          <cell r="N1410">
            <v>0</v>
          </cell>
          <cell r="O1410" t="str">
            <v>0.00%</v>
          </cell>
          <cell r="P1410">
            <v>40.049999999999997</v>
          </cell>
          <cell r="Q1410">
            <v>522.65250000000003</v>
          </cell>
          <cell r="R1410">
            <v>1</v>
          </cell>
        </row>
        <row r="1411">
          <cell r="A1411" t="str">
            <v>21</v>
          </cell>
          <cell r="B1411" t="str">
            <v>SISTEMA DE BOMBEO</v>
          </cell>
          <cell r="C1411">
            <v>0</v>
          </cell>
          <cell r="D1411">
            <v>0</v>
          </cell>
          <cell r="E1411">
            <v>0</v>
          </cell>
          <cell r="F1411">
            <v>0</v>
          </cell>
          <cell r="G1411">
            <v>0</v>
          </cell>
          <cell r="H1411">
            <v>0</v>
          </cell>
          <cell r="I1411">
            <v>0</v>
          </cell>
          <cell r="J1411">
            <v>0</v>
          </cell>
          <cell r="K1411">
            <v>0</v>
          </cell>
          <cell r="L1411">
            <v>0</v>
          </cell>
          <cell r="M1411">
            <v>0</v>
          </cell>
          <cell r="N1411">
            <v>0</v>
          </cell>
          <cell r="O1411">
            <v>0</v>
          </cell>
          <cell r="P1411">
            <v>0</v>
          </cell>
          <cell r="Q1411">
            <v>0</v>
          </cell>
          <cell r="R1411">
            <v>0</v>
          </cell>
        </row>
        <row r="1412">
          <cell r="A1412" t="str">
            <v>21.01</v>
          </cell>
          <cell r="B1412" t="str">
            <v xml:space="preserve">TANQUE CISTERNA </v>
          </cell>
          <cell r="C1412">
            <v>0</v>
          </cell>
          <cell r="D1412">
            <v>0</v>
          </cell>
          <cell r="E1412">
            <v>0</v>
          </cell>
          <cell r="F1412">
            <v>0</v>
          </cell>
          <cell r="G1412">
            <v>0</v>
          </cell>
          <cell r="H1412">
            <v>0</v>
          </cell>
          <cell r="I1412">
            <v>0</v>
          </cell>
          <cell r="J1412">
            <v>0</v>
          </cell>
          <cell r="K1412">
            <v>0</v>
          </cell>
          <cell r="L1412">
            <v>0</v>
          </cell>
          <cell r="M1412">
            <v>0</v>
          </cell>
          <cell r="N1412">
            <v>0</v>
          </cell>
          <cell r="O1412">
            <v>0</v>
          </cell>
          <cell r="P1412">
            <v>0</v>
          </cell>
          <cell r="Q1412">
            <v>0</v>
          </cell>
          <cell r="R1412">
            <v>0</v>
          </cell>
        </row>
        <row r="1413">
          <cell r="A1413" t="str">
            <v>21.01.01</v>
          </cell>
          <cell r="B1413" t="str">
            <v>INSTALACION DE SISTEMA HIDRONEUMATICO</v>
          </cell>
          <cell r="C1413" t="str">
            <v>und</v>
          </cell>
          <cell r="D1413">
            <v>1</v>
          </cell>
          <cell r="E1413">
            <v>6753.2</v>
          </cell>
          <cell r="F1413">
            <v>6753.2</v>
          </cell>
          <cell r="G1413">
            <v>0</v>
          </cell>
          <cell r="H1413">
            <v>0</v>
          </cell>
          <cell r="I1413" t="str">
            <v>0.00%</v>
          </cell>
          <cell r="J1413">
            <v>0</v>
          </cell>
          <cell r="K1413">
            <v>0</v>
          </cell>
          <cell r="L1413" t="str">
            <v>0.00%</v>
          </cell>
          <cell r="M1413">
            <v>0</v>
          </cell>
          <cell r="N1413">
            <v>0</v>
          </cell>
          <cell r="O1413" t="str">
            <v>0.00%</v>
          </cell>
          <cell r="P1413">
            <v>1</v>
          </cell>
          <cell r="Q1413">
            <v>6753.2</v>
          </cell>
          <cell r="R1413">
            <v>1</v>
          </cell>
        </row>
        <row r="1414">
          <cell r="A1414" t="str">
            <v>21.01.02</v>
          </cell>
          <cell r="B1414" t="str">
            <v>INSTALACION DE ACCSESORIOS DE SISTEMA HIDRONEUMATICO</v>
          </cell>
          <cell r="C1414" t="str">
            <v>GLB</v>
          </cell>
          <cell r="D1414">
            <v>1</v>
          </cell>
          <cell r="E1414">
            <v>1200</v>
          </cell>
          <cell r="F1414">
            <v>1200</v>
          </cell>
          <cell r="G1414">
            <v>0</v>
          </cell>
          <cell r="H1414">
            <v>0</v>
          </cell>
          <cell r="I1414" t="str">
            <v>0.00%</v>
          </cell>
          <cell r="J1414">
            <v>0</v>
          </cell>
          <cell r="K1414">
            <v>0</v>
          </cell>
          <cell r="L1414" t="str">
            <v>0.00%</v>
          </cell>
          <cell r="M1414">
            <v>0</v>
          </cell>
          <cell r="N1414">
            <v>0</v>
          </cell>
          <cell r="O1414" t="str">
            <v>0.00%</v>
          </cell>
          <cell r="P1414">
            <v>1</v>
          </cell>
          <cell r="Q1414">
            <v>1200</v>
          </cell>
          <cell r="R1414">
            <v>1</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cell r="N1415">
            <v>0</v>
          </cell>
          <cell r="O1415">
            <v>0</v>
          </cell>
          <cell r="P1415">
            <v>0</v>
          </cell>
          <cell r="Q1415">
            <v>0</v>
          </cell>
          <cell r="R1415">
            <v>0</v>
          </cell>
        </row>
        <row r="1416">
          <cell r="A1416">
            <v>0</v>
          </cell>
          <cell r="B1416" t="str">
            <v>COSTO INSTALACIONES SANITARIAS</v>
          </cell>
          <cell r="C1416">
            <v>0</v>
          </cell>
          <cell r="D1416">
            <v>0</v>
          </cell>
          <cell r="E1416">
            <v>0</v>
          </cell>
          <cell r="F1416">
            <v>0</v>
          </cell>
          <cell r="G1416">
            <v>0</v>
          </cell>
          <cell r="H1416">
            <v>0</v>
          </cell>
          <cell r="I1416">
            <v>0</v>
          </cell>
          <cell r="J1416">
            <v>0</v>
          </cell>
          <cell r="K1416">
            <v>0</v>
          </cell>
          <cell r="L1416">
            <v>0</v>
          </cell>
          <cell r="M1416">
            <v>0</v>
          </cell>
          <cell r="N1416">
            <v>0</v>
          </cell>
          <cell r="O1416">
            <v>0</v>
          </cell>
          <cell r="P1416">
            <v>0</v>
          </cell>
          <cell r="Q1416">
            <v>0</v>
          </cell>
          <cell r="R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cell r="N1417">
            <v>0</v>
          </cell>
          <cell r="O1417">
            <v>0</v>
          </cell>
          <cell r="P1417">
            <v>0</v>
          </cell>
          <cell r="Q1417">
            <v>0</v>
          </cell>
          <cell r="R1417">
            <v>0</v>
          </cell>
        </row>
        <row r="1418">
          <cell r="A1418">
            <v>0</v>
          </cell>
          <cell r="B1418" t="str">
            <v>COSTO DIRECTO</v>
          </cell>
          <cell r="C1418">
            <v>0</v>
          </cell>
          <cell r="D1418">
            <v>0</v>
          </cell>
          <cell r="E1418">
            <v>0</v>
          </cell>
          <cell r="F1418">
            <v>106253.59370000004</v>
          </cell>
          <cell r="G1418">
            <v>0</v>
          </cell>
          <cell r="H1418">
            <v>11148.200000000003</v>
          </cell>
          <cell r="I1418">
            <v>0.10492068655556445</v>
          </cell>
          <cell r="J1418">
            <v>0</v>
          </cell>
          <cell r="K1418">
            <v>5328.3558999999996</v>
          </cell>
          <cell r="L1418">
            <v>5.0147535856944835E-2</v>
          </cell>
          <cell r="M1418">
            <v>0</v>
          </cell>
          <cell r="N1418">
            <v>16476.555899999996</v>
          </cell>
          <cell r="O1418">
            <v>0.15506822241250923</v>
          </cell>
          <cell r="P1418">
            <v>0</v>
          </cell>
          <cell r="Q1418">
            <v>89777.037799999991</v>
          </cell>
          <cell r="R1418">
            <v>0.84493177758749027</v>
          </cell>
        </row>
        <row r="1419">
          <cell r="A1419">
            <v>0</v>
          </cell>
          <cell r="B1419" t="str">
            <v xml:space="preserve">GASTOS GENERALES   </v>
          </cell>
          <cell r="C1419">
            <v>0</v>
          </cell>
          <cell r="D1419">
            <v>0.1087</v>
          </cell>
          <cell r="E1419">
            <v>0</v>
          </cell>
          <cell r="F1419">
            <v>11549.765635190004</v>
          </cell>
          <cell r="G1419">
            <v>0</v>
          </cell>
          <cell r="H1419">
            <v>1211.8093400000002</v>
          </cell>
          <cell r="I1419">
            <v>0.10492068655556445</v>
          </cell>
          <cell r="J1419">
            <v>0</v>
          </cell>
          <cell r="K1419">
            <v>579.19228633</v>
          </cell>
          <cell r="L1419">
            <v>5.0147535856944835E-2</v>
          </cell>
          <cell r="M1419">
            <v>0</v>
          </cell>
          <cell r="N1419">
            <v>1791.0016263299997</v>
          </cell>
          <cell r="O1419">
            <v>0.15506822241250925</v>
          </cell>
          <cell r="P1419">
            <v>0</v>
          </cell>
          <cell r="Q1419">
            <v>9758.7640088600001</v>
          </cell>
          <cell r="R1419">
            <v>0.84493177758749038</v>
          </cell>
        </row>
        <row r="1420">
          <cell r="A1420">
            <v>0</v>
          </cell>
          <cell r="B1420" t="str">
            <v xml:space="preserve">GASTOS DE SUPERVISION    </v>
          </cell>
          <cell r="C1420">
            <v>0</v>
          </cell>
          <cell r="D1420">
            <v>4.4999999999999998E-2</v>
          </cell>
          <cell r="E1420">
            <v>0</v>
          </cell>
          <cell r="F1420">
            <v>4781.4117165000016</v>
          </cell>
          <cell r="G1420">
            <v>0</v>
          </cell>
          <cell r="H1420">
            <v>501.6690000000001</v>
          </cell>
          <cell r="I1420">
            <v>0.10492068655556445</v>
          </cell>
          <cell r="J1420">
            <v>0</v>
          </cell>
          <cell r="K1420">
            <v>239.77601549999997</v>
          </cell>
          <cell r="L1420">
            <v>5.0147535856944835E-2</v>
          </cell>
          <cell r="M1420">
            <v>0</v>
          </cell>
          <cell r="N1420">
            <v>741.44501549999973</v>
          </cell>
          <cell r="O1420">
            <v>0.15506822241250923</v>
          </cell>
          <cell r="P1420">
            <v>0</v>
          </cell>
          <cell r="Q1420">
            <v>4039.9667009999994</v>
          </cell>
          <cell r="R1420">
            <v>0.84493177758749027</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cell r="N1421">
            <v>0</v>
          </cell>
          <cell r="O1421">
            <v>0</v>
          </cell>
          <cell r="P1421">
            <v>0</v>
          </cell>
          <cell r="Q1421">
            <v>0</v>
          </cell>
          <cell r="R1421">
            <v>0</v>
          </cell>
        </row>
        <row r="1422">
          <cell r="A1422">
            <v>0</v>
          </cell>
          <cell r="B1422" t="str">
            <v>SUB TOTAL</v>
          </cell>
          <cell r="C1422">
            <v>0</v>
          </cell>
          <cell r="D1422">
            <v>0</v>
          </cell>
          <cell r="E1422">
            <v>0</v>
          </cell>
          <cell r="F1422">
            <v>122584.77105169006</v>
          </cell>
          <cell r="G1422">
            <v>0</v>
          </cell>
          <cell r="H1422">
            <v>12861.678340000002</v>
          </cell>
          <cell r="I1422">
            <v>0.10492068655556444</v>
          </cell>
          <cell r="J1422">
            <v>0</v>
          </cell>
          <cell r="K1422">
            <v>6147.3242018299989</v>
          </cell>
          <cell r="L1422">
            <v>5.0147535856944821E-2</v>
          </cell>
          <cell r="M1422">
            <v>0</v>
          </cell>
          <cell r="N1422">
            <v>19009.002541829996</v>
          </cell>
          <cell r="O1422">
            <v>0.15506822241250923</v>
          </cell>
          <cell r="P1422">
            <v>0</v>
          </cell>
          <cell r="Q1422">
            <v>103575.76850985999</v>
          </cell>
          <cell r="R1422">
            <v>0.84493177758749016</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cell r="N1423">
            <v>0</v>
          </cell>
          <cell r="O1423">
            <v>0</v>
          </cell>
          <cell r="P1423">
            <v>0</v>
          </cell>
          <cell r="Q1423">
            <v>0</v>
          </cell>
          <cell r="R1423">
            <v>0</v>
          </cell>
        </row>
        <row r="1424">
          <cell r="A1424">
            <v>0</v>
          </cell>
          <cell r="B1424" t="str">
            <v>SUB PRESUPUESTO 005 INSTALACIONES ELECTRICAS</v>
          </cell>
          <cell r="C1424">
            <v>0</v>
          </cell>
          <cell r="D1424">
            <v>0</v>
          </cell>
          <cell r="E1424">
            <v>0</v>
          </cell>
          <cell r="F1424">
            <v>0</v>
          </cell>
          <cell r="G1424">
            <v>0</v>
          </cell>
          <cell r="H1424">
            <v>0</v>
          </cell>
          <cell r="I1424">
            <v>0</v>
          </cell>
          <cell r="J1424">
            <v>0</v>
          </cell>
          <cell r="K1424">
            <v>0</v>
          </cell>
          <cell r="L1424">
            <v>0</v>
          </cell>
          <cell r="M1424">
            <v>0</v>
          </cell>
          <cell r="N1424">
            <v>0</v>
          </cell>
          <cell r="O1424">
            <v>0</v>
          </cell>
          <cell r="P1424">
            <v>0</v>
          </cell>
          <cell r="Q1424">
            <v>0</v>
          </cell>
          <cell r="R1424">
            <v>0</v>
          </cell>
        </row>
        <row r="1425">
          <cell r="A1425" t="str">
            <v>22</v>
          </cell>
          <cell r="B1425" t="str">
            <v>BLOQUE - 1, 2 y 3</v>
          </cell>
          <cell r="C1425">
            <v>0</v>
          </cell>
          <cell r="D1425">
            <v>0</v>
          </cell>
          <cell r="E1425">
            <v>0</v>
          </cell>
          <cell r="F1425">
            <v>0</v>
          </cell>
          <cell r="G1425">
            <v>0</v>
          </cell>
          <cell r="H1425">
            <v>0</v>
          </cell>
          <cell r="I1425">
            <v>0</v>
          </cell>
          <cell r="J1425">
            <v>0</v>
          </cell>
          <cell r="K1425">
            <v>0</v>
          </cell>
          <cell r="L1425">
            <v>0</v>
          </cell>
          <cell r="M1425">
            <v>0</v>
          </cell>
          <cell r="N1425">
            <v>0</v>
          </cell>
          <cell r="O1425">
            <v>0</v>
          </cell>
          <cell r="P1425">
            <v>0</v>
          </cell>
          <cell r="Q1425">
            <v>0</v>
          </cell>
          <cell r="R1425">
            <v>0</v>
          </cell>
        </row>
        <row r="1426">
          <cell r="A1426" t="str">
            <v>22.01</v>
          </cell>
          <cell r="B1426" t="str">
            <v>INSTALACIONES ELECTRICAS</v>
          </cell>
          <cell r="C1426">
            <v>0</v>
          </cell>
          <cell r="D1426">
            <v>0</v>
          </cell>
          <cell r="E1426">
            <v>0</v>
          </cell>
          <cell r="F1426">
            <v>0</v>
          </cell>
          <cell r="G1426">
            <v>0</v>
          </cell>
          <cell r="H1426">
            <v>0</v>
          </cell>
          <cell r="I1426">
            <v>0</v>
          </cell>
          <cell r="J1426">
            <v>0</v>
          </cell>
          <cell r="K1426">
            <v>0</v>
          </cell>
          <cell r="L1426">
            <v>0</v>
          </cell>
          <cell r="M1426">
            <v>0</v>
          </cell>
          <cell r="N1426">
            <v>0</v>
          </cell>
          <cell r="O1426">
            <v>0</v>
          </cell>
          <cell r="P1426">
            <v>0</v>
          </cell>
          <cell r="Q1426">
            <v>0</v>
          </cell>
          <cell r="R1426">
            <v>0</v>
          </cell>
        </row>
        <row r="1427">
          <cell r="A1427" t="str">
            <v>22.01.01</v>
          </cell>
          <cell r="B1427" t="str">
            <v>TABLEROS</v>
          </cell>
          <cell r="C1427">
            <v>0</v>
          </cell>
          <cell r="D1427">
            <v>0</v>
          </cell>
          <cell r="E1427">
            <v>0</v>
          </cell>
          <cell r="F1427">
            <v>0</v>
          </cell>
          <cell r="G1427">
            <v>0</v>
          </cell>
          <cell r="H1427">
            <v>0</v>
          </cell>
          <cell r="I1427">
            <v>0</v>
          </cell>
          <cell r="J1427">
            <v>0</v>
          </cell>
          <cell r="K1427">
            <v>0</v>
          </cell>
          <cell r="L1427">
            <v>0</v>
          </cell>
          <cell r="M1427">
            <v>0</v>
          </cell>
          <cell r="N1427">
            <v>0</v>
          </cell>
          <cell r="O1427">
            <v>0</v>
          </cell>
          <cell r="P1427">
            <v>0</v>
          </cell>
          <cell r="Q1427">
            <v>0</v>
          </cell>
          <cell r="R1427">
            <v>0</v>
          </cell>
        </row>
        <row r="1428">
          <cell r="A1428" t="str">
            <v>22.01.01.01</v>
          </cell>
          <cell r="B1428" t="str">
            <v>TABLERO DE DISTRIBUCION TD - 01</v>
          </cell>
          <cell r="C1428" t="str">
            <v>Eqp</v>
          </cell>
          <cell r="D1428">
            <v>1</v>
          </cell>
          <cell r="E1428">
            <v>2023.05</v>
          </cell>
          <cell r="F1428">
            <v>2023.05</v>
          </cell>
          <cell r="G1428">
            <v>0</v>
          </cell>
          <cell r="H1428">
            <v>0</v>
          </cell>
          <cell r="I1428" t="str">
            <v>0.00%</v>
          </cell>
          <cell r="J1428">
            <v>0</v>
          </cell>
          <cell r="K1428">
            <v>0</v>
          </cell>
          <cell r="L1428" t="str">
            <v>0.00%</v>
          </cell>
          <cell r="M1428">
            <v>0</v>
          </cell>
          <cell r="N1428">
            <v>0</v>
          </cell>
          <cell r="O1428" t="str">
            <v>0.00%</v>
          </cell>
          <cell r="P1428">
            <v>1</v>
          </cell>
          <cell r="Q1428">
            <v>2023.05</v>
          </cell>
          <cell r="R1428">
            <v>1</v>
          </cell>
        </row>
        <row r="1429">
          <cell r="A1429" t="str">
            <v>22.01.01.02</v>
          </cell>
          <cell r="B1429" t="str">
            <v>TABLERO DE DISTRIBUCION TD - 02</v>
          </cell>
          <cell r="C1429" t="str">
            <v>Eqp</v>
          </cell>
          <cell r="D1429">
            <v>1</v>
          </cell>
          <cell r="E1429">
            <v>2023.05</v>
          </cell>
          <cell r="F1429">
            <v>2023.05</v>
          </cell>
          <cell r="G1429">
            <v>0</v>
          </cell>
          <cell r="H1429">
            <v>0</v>
          </cell>
          <cell r="I1429" t="str">
            <v>0.00%</v>
          </cell>
          <cell r="J1429">
            <v>0</v>
          </cell>
          <cell r="K1429">
            <v>0</v>
          </cell>
          <cell r="L1429" t="str">
            <v>0.00%</v>
          </cell>
          <cell r="M1429">
            <v>0</v>
          </cell>
          <cell r="N1429">
            <v>0</v>
          </cell>
          <cell r="O1429" t="str">
            <v>0.00%</v>
          </cell>
          <cell r="P1429">
            <v>1</v>
          </cell>
          <cell r="Q1429">
            <v>2023.05</v>
          </cell>
          <cell r="R1429">
            <v>1</v>
          </cell>
        </row>
        <row r="1430">
          <cell r="A1430" t="str">
            <v>22.01.02</v>
          </cell>
          <cell r="B1430" t="str">
            <v>SALIDA PARA CENTRO DE LUZ</v>
          </cell>
          <cell r="C1430">
            <v>0</v>
          </cell>
          <cell r="D1430">
            <v>0</v>
          </cell>
          <cell r="E1430">
            <v>0</v>
          </cell>
          <cell r="F1430">
            <v>0</v>
          </cell>
          <cell r="G1430">
            <v>0</v>
          </cell>
          <cell r="H1430">
            <v>0</v>
          </cell>
          <cell r="I1430">
            <v>0</v>
          </cell>
          <cell r="J1430">
            <v>0</v>
          </cell>
          <cell r="K1430">
            <v>0</v>
          </cell>
          <cell r="L1430">
            <v>0</v>
          </cell>
          <cell r="M1430">
            <v>0</v>
          </cell>
          <cell r="N1430">
            <v>0</v>
          </cell>
          <cell r="O1430">
            <v>0</v>
          </cell>
          <cell r="P1430">
            <v>0</v>
          </cell>
          <cell r="Q1430">
            <v>0</v>
          </cell>
          <cell r="R1430">
            <v>0</v>
          </cell>
        </row>
        <row r="1431">
          <cell r="A1431" t="str">
            <v>22.01.02.01</v>
          </cell>
          <cell r="B1431" t="str">
            <v xml:space="preserve">SALIDA PARA CENTRO DE LUZ  </v>
          </cell>
          <cell r="C1431" t="str">
            <v>pto</v>
          </cell>
          <cell r="D1431">
            <v>124</v>
          </cell>
          <cell r="E1431">
            <v>68.55</v>
          </cell>
          <cell r="F1431">
            <v>8500.1999999999989</v>
          </cell>
          <cell r="G1431">
            <v>124</v>
          </cell>
          <cell r="H1431">
            <v>8500.1999999999989</v>
          </cell>
          <cell r="I1431">
            <v>1</v>
          </cell>
          <cell r="J1431">
            <v>0</v>
          </cell>
          <cell r="K1431">
            <v>0</v>
          </cell>
          <cell r="L1431" t="str">
            <v>0.00%</v>
          </cell>
          <cell r="M1431">
            <v>124</v>
          </cell>
          <cell r="N1431">
            <v>8500.1999999999989</v>
          </cell>
          <cell r="O1431">
            <v>1</v>
          </cell>
          <cell r="P1431">
            <v>0</v>
          </cell>
          <cell r="Q1431">
            <v>0</v>
          </cell>
          <cell r="R1431" t="str">
            <v>0.00%</v>
          </cell>
        </row>
        <row r="1432">
          <cell r="A1432" t="str">
            <v>22.01.02.02</v>
          </cell>
          <cell r="B1432" t="str">
            <v>SALIDA PARA LUZ DE EMERGENCIA</v>
          </cell>
          <cell r="C1432" t="str">
            <v>pto</v>
          </cell>
          <cell r="D1432">
            <v>8</v>
          </cell>
          <cell r="E1432">
            <v>115.82</v>
          </cell>
          <cell r="F1432">
            <v>926.56</v>
          </cell>
          <cell r="G1432">
            <v>8</v>
          </cell>
          <cell r="H1432">
            <v>926.56</v>
          </cell>
          <cell r="I1432">
            <v>1</v>
          </cell>
          <cell r="J1432">
            <v>0</v>
          </cell>
          <cell r="K1432">
            <v>0</v>
          </cell>
          <cell r="L1432" t="str">
            <v>0.00%</v>
          </cell>
          <cell r="M1432">
            <v>8</v>
          </cell>
          <cell r="N1432">
            <v>926.56</v>
          </cell>
          <cell r="O1432">
            <v>1</v>
          </cell>
          <cell r="P1432">
            <v>0</v>
          </cell>
          <cell r="Q1432">
            <v>0</v>
          </cell>
          <cell r="R1432" t="str">
            <v>0.00%</v>
          </cell>
        </row>
        <row r="1433">
          <cell r="A1433" t="str">
            <v>22.01.03</v>
          </cell>
          <cell r="B1433" t="str">
            <v>ARTEFACTOS DE ILUMINACION</v>
          </cell>
          <cell r="C1433">
            <v>0</v>
          </cell>
          <cell r="D1433">
            <v>0</v>
          </cell>
          <cell r="E1433">
            <v>0</v>
          </cell>
          <cell r="F1433">
            <v>0</v>
          </cell>
          <cell r="G1433">
            <v>0</v>
          </cell>
          <cell r="H1433">
            <v>0</v>
          </cell>
          <cell r="I1433">
            <v>0</v>
          </cell>
          <cell r="J1433">
            <v>0</v>
          </cell>
          <cell r="K1433">
            <v>0</v>
          </cell>
          <cell r="L1433">
            <v>0</v>
          </cell>
          <cell r="M1433">
            <v>0</v>
          </cell>
          <cell r="N1433">
            <v>0</v>
          </cell>
          <cell r="O1433">
            <v>0</v>
          </cell>
          <cell r="P1433">
            <v>0</v>
          </cell>
          <cell r="Q1433">
            <v>0</v>
          </cell>
          <cell r="R1433">
            <v>0</v>
          </cell>
        </row>
        <row r="1434">
          <cell r="A1434" t="str">
            <v>22.01.03.01</v>
          </cell>
          <cell r="B1434" t="str">
            <v>Artefacto para adosar, con 02 fluorecente lineales de 36W, con rejilla y sistema optico parabolico</v>
          </cell>
          <cell r="C1434" t="str">
            <v>und</v>
          </cell>
          <cell r="D1434">
            <v>99</v>
          </cell>
          <cell r="E1434">
            <v>108.62</v>
          </cell>
          <cell r="F1434">
            <v>10753.380000000001</v>
          </cell>
          <cell r="G1434">
            <v>0</v>
          </cell>
          <cell r="H1434">
            <v>0</v>
          </cell>
          <cell r="I1434" t="str">
            <v>0.00%</v>
          </cell>
          <cell r="J1434">
            <v>0</v>
          </cell>
          <cell r="K1434">
            <v>0</v>
          </cell>
          <cell r="L1434" t="str">
            <v>0.00%</v>
          </cell>
          <cell r="M1434">
            <v>0</v>
          </cell>
          <cell r="N1434">
            <v>0</v>
          </cell>
          <cell r="O1434" t="str">
            <v>0.00%</v>
          </cell>
          <cell r="P1434">
            <v>99</v>
          </cell>
          <cell r="Q1434">
            <v>10753.380000000001</v>
          </cell>
          <cell r="R1434">
            <v>1</v>
          </cell>
        </row>
        <row r="1435">
          <cell r="A1435" t="str">
            <v>22.01.03.02</v>
          </cell>
          <cell r="B1435" t="str">
            <v>Artefacto para adosar, con 02 fluorecente lineales de 18W, con rejilla y sistema optico semiparabolico</v>
          </cell>
          <cell r="C1435" t="str">
            <v>und</v>
          </cell>
          <cell r="D1435">
            <v>17</v>
          </cell>
          <cell r="E1435">
            <v>70.62</v>
          </cell>
          <cell r="F1435">
            <v>1200.54</v>
          </cell>
          <cell r="G1435">
            <v>0</v>
          </cell>
          <cell r="H1435">
            <v>0</v>
          </cell>
          <cell r="I1435" t="str">
            <v>0.00%</v>
          </cell>
          <cell r="J1435">
            <v>0</v>
          </cell>
          <cell r="K1435">
            <v>0</v>
          </cell>
          <cell r="L1435" t="str">
            <v>0.00%</v>
          </cell>
          <cell r="M1435">
            <v>0</v>
          </cell>
          <cell r="N1435">
            <v>0</v>
          </cell>
          <cell r="O1435" t="str">
            <v>0.00%</v>
          </cell>
          <cell r="P1435">
            <v>17</v>
          </cell>
          <cell r="Q1435">
            <v>1200.54</v>
          </cell>
          <cell r="R1435">
            <v>1</v>
          </cell>
        </row>
        <row r="1436">
          <cell r="A1436" t="str">
            <v>22.01.03.03</v>
          </cell>
          <cell r="B1436" t="str">
            <v>Luminaria para empotrar em techo tipo LED, lampara Led de 61W.</v>
          </cell>
          <cell r="C1436" t="str">
            <v>und</v>
          </cell>
          <cell r="D1436">
            <v>8</v>
          </cell>
          <cell r="E1436">
            <v>105.62</v>
          </cell>
          <cell r="F1436">
            <v>844.96</v>
          </cell>
          <cell r="G1436">
            <v>0</v>
          </cell>
          <cell r="H1436">
            <v>0</v>
          </cell>
          <cell r="I1436" t="str">
            <v>0.00%</v>
          </cell>
          <cell r="J1436">
            <v>0</v>
          </cell>
          <cell r="K1436">
            <v>0</v>
          </cell>
          <cell r="L1436" t="str">
            <v>0.00%</v>
          </cell>
          <cell r="M1436">
            <v>0</v>
          </cell>
          <cell r="N1436">
            <v>0</v>
          </cell>
          <cell r="O1436" t="str">
            <v>0.00%</v>
          </cell>
          <cell r="P1436">
            <v>8</v>
          </cell>
          <cell r="Q1436">
            <v>844.96</v>
          </cell>
          <cell r="R1436">
            <v>1</v>
          </cell>
        </row>
        <row r="1437">
          <cell r="A1437" t="str">
            <v>22.01.03.04</v>
          </cell>
          <cell r="B1437" t="str">
            <v>Artefacto de iluminacion EM luz de emergencia</v>
          </cell>
          <cell r="C1437" t="str">
            <v>und</v>
          </cell>
          <cell r="D1437">
            <v>8</v>
          </cell>
          <cell r="E1437">
            <v>128.33000000000001</v>
          </cell>
          <cell r="F1437">
            <v>1026.6400000000001</v>
          </cell>
          <cell r="G1437">
            <v>0</v>
          </cell>
          <cell r="H1437">
            <v>0</v>
          </cell>
          <cell r="I1437" t="str">
            <v>0.00%</v>
          </cell>
          <cell r="J1437">
            <v>0</v>
          </cell>
          <cell r="K1437">
            <v>0</v>
          </cell>
          <cell r="L1437" t="str">
            <v>0.00%</v>
          </cell>
          <cell r="M1437">
            <v>0</v>
          </cell>
          <cell r="N1437">
            <v>0</v>
          </cell>
          <cell r="O1437" t="str">
            <v>0.00%</v>
          </cell>
          <cell r="P1437">
            <v>8</v>
          </cell>
          <cell r="Q1437">
            <v>1026.6400000000001</v>
          </cell>
          <cell r="R1437">
            <v>1</v>
          </cell>
        </row>
        <row r="1438">
          <cell r="A1438" t="str">
            <v>22.01.04</v>
          </cell>
          <cell r="B1438" t="str">
            <v>INTERRUPTORES</v>
          </cell>
          <cell r="C1438">
            <v>0</v>
          </cell>
          <cell r="D1438">
            <v>0</v>
          </cell>
          <cell r="E1438">
            <v>0</v>
          </cell>
          <cell r="F1438">
            <v>0</v>
          </cell>
          <cell r="G1438">
            <v>0</v>
          </cell>
          <cell r="H1438">
            <v>0</v>
          </cell>
          <cell r="I1438">
            <v>0</v>
          </cell>
          <cell r="J1438">
            <v>0</v>
          </cell>
          <cell r="K1438">
            <v>0</v>
          </cell>
          <cell r="L1438">
            <v>0</v>
          </cell>
          <cell r="M1438">
            <v>0</v>
          </cell>
          <cell r="N1438">
            <v>0</v>
          </cell>
          <cell r="O1438">
            <v>0</v>
          </cell>
          <cell r="P1438">
            <v>0</v>
          </cell>
          <cell r="Q1438">
            <v>0</v>
          </cell>
          <cell r="R1438">
            <v>0</v>
          </cell>
        </row>
        <row r="1439">
          <cell r="A1439" t="str">
            <v>22.01.04.01</v>
          </cell>
          <cell r="B1439" t="str">
            <v>SALIDA PARA INTERRUPTOR SIMPLE, INCLUYE INSTALACION DE INTERRUPTOR</v>
          </cell>
          <cell r="C1439" t="str">
            <v>pto</v>
          </cell>
          <cell r="D1439">
            <v>28</v>
          </cell>
          <cell r="E1439">
            <v>53.98</v>
          </cell>
          <cell r="F1439">
            <v>1511.4399999999998</v>
          </cell>
          <cell r="G1439">
            <v>0</v>
          </cell>
          <cell r="H1439">
            <v>0</v>
          </cell>
          <cell r="I1439" t="str">
            <v>0.00%</v>
          </cell>
          <cell r="J1439">
            <v>14</v>
          </cell>
          <cell r="K1439">
            <v>755.71999999999991</v>
          </cell>
          <cell r="L1439">
            <v>0.5</v>
          </cell>
          <cell r="M1439">
            <v>14</v>
          </cell>
          <cell r="N1439">
            <v>755.71999999999991</v>
          </cell>
          <cell r="O1439">
            <v>0.5</v>
          </cell>
          <cell r="P1439">
            <v>14</v>
          </cell>
          <cell r="Q1439">
            <v>755.71999999999991</v>
          </cell>
          <cell r="R1439">
            <v>0.5</v>
          </cell>
        </row>
        <row r="1440">
          <cell r="A1440" t="str">
            <v>22.01.04.02</v>
          </cell>
          <cell r="B1440" t="str">
            <v>SALIDA PARA INTERRUPTOR DOBLE, INCLUYE INSTALACION DE INTERRUPTOR</v>
          </cell>
          <cell r="C1440" t="str">
            <v>pto</v>
          </cell>
          <cell r="D1440">
            <v>18</v>
          </cell>
          <cell r="E1440">
            <v>55.98</v>
          </cell>
          <cell r="F1440">
            <v>1007.64</v>
          </cell>
          <cell r="G1440">
            <v>0</v>
          </cell>
          <cell r="H1440">
            <v>0</v>
          </cell>
          <cell r="I1440" t="str">
            <v>0.00%</v>
          </cell>
          <cell r="J1440">
            <v>9</v>
          </cell>
          <cell r="K1440">
            <v>503.82</v>
          </cell>
          <cell r="L1440">
            <v>0.5</v>
          </cell>
          <cell r="M1440">
            <v>9</v>
          </cell>
          <cell r="N1440">
            <v>503.82</v>
          </cell>
          <cell r="O1440">
            <v>0.5</v>
          </cell>
          <cell r="P1440">
            <v>9</v>
          </cell>
          <cell r="Q1440">
            <v>503.82</v>
          </cell>
          <cell r="R1440">
            <v>0.5</v>
          </cell>
        </row>
        <row r="1441">
          <cell r="A1441" t="str">
            <v>22.01.04.03</v>
          </cell>
          <cell r="B1441" t="str">
            <v>SALIDA PARA INTERRUPTOR DE CONMUTACION SIMPLE, INCLUYE INSTALACION DE IN TERRUPTOR</v>
          </cell>
          <cell r="C1441" t="str">
            <v>pto</v>
          </cell>
          <cell r="D1441">
            <v>4</v>
          </cell>
          <cell r="E1441">
            <v>66.44</v>
          </cell>
          <cell r="F1441">
            <v>265.76</v>
          </cell>
          <cell r="G1441">
            <v>0</v>
          </cell>
          <cell r="H1441">
            <v>0</v>
          </cell>
          <cell r="I1441" t="str">
            <v>0.00%</v>
          </cell>
          <cell r="J1441">
            <v>2</v>
          </cell>
          <cell r="K1441">
            <v>132.88</v>
          </cell>
          <cell r="L1441">
            <v>0.5</v>
          </cell>
          <cell r="M1441">
            <v>2</v>
          </cell>
          <cell r="N1441">
            <v>132.88</v>
          </cell>
          <cell r="O1441">
            <v>0.5</v>
          </cell>
          <cell r="P1441">
            <v>2</v>
          </cell>
          <cell r="Q1441">
            <v>132.88</v>
          </cell>
          <cell r="R1441">
            <v>0.5</v>
          </cell>
        </row>
        <row r="1442">
          <cell r="A1442" t="str">
            <v>22.01.05</v>
          </cell>
          <cell r="B1442" t="str">
            <v>TOMACORRIENTES</v>
          </cell>
          <cell r="C1442">
            <v>0</v>
          </cell>
          <cell r="D1442">
            <v>0</v>
          </cell>
          <cell r="E1442">
            <v>0</v>
          </cell>
          <cell r="F1442">
            <v>0</v>
          </cell>
          <cell r="G1442">
            <v>0</v>
          </cell>
          <cell r="H1442">
            <v>0</v>
          </cell>
          <cell r="I1442">
            <v>0</v>
          </cell>
          <cell r="J1442">
            <v>0</v>
          </cell>
          <cell r="K1442">
            <v>0</v>
          </cell>
          <cell r="L1442">
            <v>0</v>
          </cell>
          <cell r="M1442">
            <v>0</v>
          </cell>
          <cell r="N1442">
            <v>0</v>
          </cell>
          <cell r="O1442">
            <v>0</v>
          </cell>
          <cell r="P1442">
            <v>0</v>
          </cell>
          <cell r="Q1442">
            <v>0</v>
          </cell>
          <cell r="R1442">
            <v>0</v>
          </cell>
        </row>
        <row r="1443">
          <cell r="A1443" t="str">
            <v>22.01.05.01</v>
          </cell>
          <cell r="B1443" t="str">
            <v>SALIDA PARA TOMACORRIENTES DOBLE CON PUESTA TIERRA, INCLUYE INSTALACION DE TOMACORRIENTE</v>
          </cell>
          <cell r="C1443" t="str">
            <v>pto</v>
          </cell>
          <cell r="D1443">
            <v>99</v>
          </cell>
          <cell r="E1443">
            <v>95.35</v>
          </cell>
          <cell r="F1443">
            <v>9439.65</v>
          </cell>
          <cell r="G1443">
            <v>0</v>
          </cell>
          <cell r="H1443">
            <v>0</v>
          </cell>
          <cell r="I1443" t="str">
            <v>0.00%</v>
          </cell>
          <cell r="J1443">
            <v>50</v>
          </cell>
          <cell r="K1443">
            <v>4767.5</v>
          </cell>
          <cell r="L1443">
            <v>0.50505050505050508</v>
          </cell>
          <cell r="M1443">
            <v>50</v>
          </cell>
          <cell r="N1443">
            <v>4767.5</v>
          </cell>
          <cell r="O1443">
            <v>0.50505050505050508</v>
          </cell>
          <cell r="P1443">
            <v>49</v>
          </cell>
          <cell r="Q1443">
            <v>4672.1499999999996</v>
          </cell>
          <cell r="R1443">
            <v>0.49494949494949492</v>
          </cell>
        </row>
        <row r="1444">
          <cell r="A1444" t="str">
            <v>22.02</v>
          </cell>
          <cell r="B1444" t="str">
            <v>SISTEMAS ESPECIALES</v>
          </cell>
          <cell r="C1444">
            <v>0</v>
          </cell>
          <cell r="D1444">
            <v>0</v>
          </cell>
          <cell r="E1444">
            <v>0</v>
          </cell>
          <cell r="F1444">
            <v>0</v>
          </cell>
          <cell r="G1444">
            <v>0</v>
          </cell>
          <cell r="H1444">
            <v>0</v>
          </cell>
          <cell r="I1444">
            <v>0</v>
          </cell>
          <cell r="J1444">
            <v>0</v>
          </cell>
          <cell r="K1444">
            <v>0</v>
          </cell>
          <cell r="L1444">
            <v>0</v>
          </cell>
          <cell r="M1444">
            <v>0</v>
          </cell>
          <cell r="N1444">
            <v>0</v>
          </cell>
          <cell r="O1444">
            <v>0</v>
          </cell>
          <cell r="P1444">
            <v>0</v>
          </cell>
          <cell r="Q1444">
            <v>0</v>
          </cell>
          <cell r="R1444">
            <v>0</v>
          </cell>
        </row>
        <row r="1445">
          <cell r="A1445" t="str">
            <v>22.02.01</v>
          </cell>
          <cell r="B1445" t="str">
            <v>SALIDAS DE SISTEMAS ESPECIALES</v>
          </cell>
          <cell r="C1445">
            <v>0</v>
          </cell>
          <cell r="D1445">
            <v>0</v>
          </cell>
          <cell r="E1445">
            <v>0</v>
          </cell>
          <cell r="F1445">
            <v>0</v>
          </cell>
          <cell r="G1445">
            <v>0</v>
          </cell>
          <cell r="H1445">
            <v>0</v>
          </cell>
          <cell r="I1445">
            <v>0</v>
          </cell>
          <cell r="J1445">
            <v>0</v>
          </cell>
          <cell r="K1445">
            <v>0</v>
          </cell>
          <cell r="L1445">
            <v>0</v>
          </cell>
          <cell r="M1445">
            <v>0</v>
          </cell>
          <cell r="N1445">
            <v>0</v>
          </cell>
          <cell r="O1445">
            <v>0</v>
          </cell>
          <cell r="P1445">
            <v>0</v>
          </cell>
          <cell r="Q1445">
            <v>0</v>
          </cell>
          <cell r="R1445">
            <v>0</v>
          </cell>
        </row>
        <row r="1446">
          <cell r="A1446" t="str">
            <v>22.02.01.01</v>
          </cell>
          <cell r="B1446" t="str">
            <v>SALIDA SIMPLE PARA RED DE DATOS</v>
          </cell>
          <cell r="C1446" t="str">
            <v>pto</v>
          </cell>
          <cell r="D1446">
            <v>12</v>
          </cell>
          <cell r="E1446">
            <v>270.77999999999997</v>
          </cell>
          <cell r="F1446">
            <v>3249.3599999999997</v>
          </cell>
          <cell r="G1446">
            <v>12</v>
          </cell>
          <cell r="H1446">
            <v>3249.3599999999997</v>
          </cell>
          <cell r="I1446">
            <v>1</v>
          </cell>
          <cell r="J1446">
            <v>0</v>
          </cell>
          <cell r="K1446">
            <v>0</v>
          </cell>
          <cell r="L1446" t="str">
            <v>0.00%</v>
          </cell>
          <cell r="M1446">
            <v>12</v>
          </cell>
          <cell r="N1446">
            <v>3249.3599999999997</v>
          </cell>
          <cell r="O1446">
            <v>1</v>
          </cell>
          <cell r="P1446">
            <v>0</v>
          </cell>
          <cell r="Q1446">
            <v>0</v>
          </cell>
          <cell r="R1446" t="str">
            <v>0.00%</v>
          </cell>
        </row>
        <row r="1447">
          <cell r="A1447" t="str">
            <v>22.02.01.02</v>
          </cell>
          <cell r="B1447" t="str">
            <v>SALIDA DOBLE PARA RED DE DATOS</v>
          </cell>
          <cell r="C1447" t="str">
            <v>pto</v>
          </cell>
          <cell r="D1447">
            <v>12</v>
          </cell>
          <cell r="E1447">
            <v>199.28</v>
          </cell>
          <cell r="F1447">
            <v>2391.36</v>
          </cell>
          <cell r="G1447">
            <v>12</v>
          </cell>
          <cell r="H1447">
            <v>2391.36</v>
          </cell>
          <cell r="I1447">
            <v>1</v>
          </cell>
          <cell r="J1447">
            <v>0</v>
          </cell>
          <cell r="K1447">
            <v>0</v>
          </cell>
          <cell r="L1447" t="str">
            <v>0.00%</v>
          </cell>
          <cell r="M1447">
            <v>12</v>
          </cell>
          <cell r="N1447">
            <v>2391.36</v>
          </cell>
          <cell r="O1447">
            <v>1</v>
          </cell>
          <cell r="P1447">
            <v>0</v>
          </cell>
          <cell r="Q1447">
            <v>0</v>
          </cell>
          <cell r="R1447" t="str">
            <v>0.00%</v>
          </cell>
        </row>
        <row r="1448">
          <cell r="A1448" t="str">
            <v>22.02.01.03</v>
          </cell>
          <cell r="B1448" t="str">
            <v>SALIDA PARA PROYECTOR MULTIMEDIA</v>
          </cell>
          <cell r="C1448" t="str">
            <v>pto</v>
          </cell>
          <cell r="D1448">
            <v>4</v>
          </cell>
          <cell r="E1448">
            <v>307.97000000000003</v>
          </cell>
          <cell r="F1448">
            <v>1231.8800000000001</v>
          </cell>
          <cell r="G1448">
            <v>4</v>
          </cell>
          <cell r="H1448">
            <v>1231.8800000000001</v>
          </cell>
          <cell r="I1448">
            <v>1</v>
          </cell>
          <cell r="J1448">
            <v>0</v>
          </cell>
          <cell r="K1448">
            <v>0</v>
          </cell>
          <cell r="L1448" t="str">
            <v>0.00%</v>
          </cell>
          <cell r="M1448">
            <v>4</v>
          </cell>
          <cell r="N1448">
            <v>1231.8800000000001</v>
          </cell>
          <cell r="O1448">
            <v>1</v>
          </cell>
          <cell r="P1448">
            <v>0</v>
          </cell>
          <cell r="Q1448">
            <v>0</v>
          </cell>
          <cell r="R1448" t="str">
            <v>0.00%</v>
          </cell>
        </row>
        <row r="1449">
          <cell r="A1449" t="str">
            <v>22.02.01.04</v>
          </cell>
          <cell r="B1449" t="str">
            <v>SALIDA PARA DETECTORES DE HUMO</v>
          </cell>
          <cell r="C1449" t="str">
            <v>pto</v>
          </cell>
          <cell r="D1449">
            <v>28</v>
          </cell>
          <cell r="E1449">
            <v>143.56</v>
          </cell>
          <cell r="F1449">
            <v>4019.6800000000003</v>
          </cell>
          <cell r="G1449">
            <v>28</v>
          </cell>
          <cell r="H1449">
            <v>4019.6800000000003</v>
          </cell>
          <cell r="I1449">
            <v>1</v>
          </cell>
          <cell r="J1449">
            <v>0</v>
          </cell>
          <cell r="K1449">
            <v>0</v>
          </cell>
          <cell r="L1449" t="str">
            <v>0.00%</v>
          </cell>
          <cell r="M1449">
            <v>28</v>
          </cell>
          <cell r="N1449">
            <v>4019.6800000000003</v>
          </cell>
          <cell r="O1449">
            <v>1</v>
          </cell>
          <cell r="P1449">
            <v>0</v>
          </cell>
          <cell r="Q1449">
            <v>0</v>
          </cell>
          <cell r="R1449" t="str">
            <v>0.00%</v>
          </cell>
        </row>
        <row r="1450">
          <cell r="A1450" t="str">
            <v>22.02.01.05</v>
          </cell>
          <cell r="B1450" t="str">
            <v>SALIDA PARA ESTACION MANUAL DE ALARMA CONTRA INCENDIO, PULSADOR Y ALARMA SONORA CONTRA INCENDIO.</v>
          </cell>
          <cell r="C1450" t="str">
            <v>pto</v>
          </cell>
          <cell r="D1450">
            <v>1</v>
          </cell>
          <cell r="E1450">
            <v>97.52</v>
          </cell>
          <cell r="F1450">
            <v>97.52</v>
          </cell>
          <cell r="G1450">
            <v>1</v>
          </cell>
          <cell r="H1450">
            <v>97.52</v>
          </cell>
          <cell r="I1450">
            <v>1</v>
          </cell>
          <cell r="J1450">
            <v>0</v>
          </cell>
          <cell r="K1450">
            <v>0</v>
          </cell>
          <cell r="L1450" t="str">
            <v>0.00%</v>
          </cell>
          <cell r="M1450">
            <v>1</v>
          </cell>
          <cell r="N1450">
            <v>97.52</v>
          </cell>
          <cell r="O1450">
            <v>1</v>
          </cell>
          <cell r="P1450">
            <v>0</v>
          </cell>
          <cell r="Q1450">
            <v>0</v>
          </cell>
          <cell r="R1450" t="str">
            <v>0.00%</v>
          </cell>
        </row>
        <row r="1451">
          <cell r="A1451" t="str">
            <v>22.02.01.06</v>
          </cell>
          <cell r="B1451" t="str">
            <v>SALIDA PARA PUNTO DE TV-CABLE, INCLUYE INSTALACION DE TAPA CIEGA</v>
          </cell>
          <cell r="C1451" t="str">
            <v>pto</v>
          </cell>
          <cell r="D1451">
            <v>10</v>
          </cell>
          <cell r="E1451">
            <v>102.44</v>
          </cell>
          <cell r="F1451">
            <v>1024.4000000000001</v>
          </cell>
          <cell r="G1451">
            <v>10</v>
          </cell>
          <cell r="H1451">
            <v>1024.4000000000001</v>
          </cell>
          <cell r="I1451">
            <v>1</v>
          </cell>
          <cell r="J1451">
            <v>0</v>
          </cell>
          <cell r="K1451">
            <v>0</v>
          </cell>
          <cell r="L1451" t="str">
            <v>0.00%</v>
          </cell>
          <cell r="M1451">
            <v>10</v>
          </cell>
          <cell r="N1451">
            <v>1024.4000000000001</v>
          </cell>
          <cell r="O1451">
            <v>1</v>
          </cell>
          <cell r="P1451">
            <v>0</v>
          </cell>
          <cell r="Q1451">
            <v>0</v>
          </cell>
          <cell r="R1451" t="str">
            <v>0.00%</v>
          </cell>
        </row>
        <row r="1452">
          <cell r="A1452" t="str">
            <v>22.02.02</v>
          </cell>
          <cell r="B1452" t="str">
            <v>CAJAS DE PASE</v>
          </cell>
          <cell r="C1452">
            <v>0</v>
          </cell>
          <cell r="D1452">
            <v>0</v>
          </cell>
          <cell r="E1452">
            <v>0</v>
          </cell>
          <cell r="F1452">
            <v>0</v>
          </cell>
          <cell r="G1452">
            <v>0</v>
          </cell>
          <cell r="H1452">
            <v>0</v>
          </cell>
          <cell r="I1452">
            <v>0</v>
          </cell>
          <cell r="J1452">
            <v>0</v>
          </cell>
          <cell r="K1452">
            <v>0</v>
          </cell>
          <cell r="L1452">
            <v>0</v>
          </cell>
          <cell r="M1452">
            <v>0</v>
          </cell>
          <cell r="N1452">
            <v>0</v>
          </cell>
          <cell r="O1452">
            <v>0</v>
          </cell>
          <cell r="P1452">
            <v>0</v>
          </cell>
          <cell r="Q1452">
            <v>0</v>
          </cell>
          <cell r="R1452">
            <v>0</v>
          </cell>
        </row>
        <row r="1453">
          <cell r="A1453" t="str">
            <v>22.02.02.01</v>
          </cell>
          <cell r="B1453" t="str">
            <v>INSTALACION DE CAJA DE PASO DE 15x15X8cm.</v>
          </cell>
          <cell r="C1453" t="str">
            <v>und</v>
          </cell>
          <cell r="D1453">
            <v>9</v>
          </cell>
          <cell r="E1453">
            <v>79.64</v>
          </cell>
          <cell r="F1453">
            <v>716.76</v>
          </cell>
          <cell r="G1453">
            <v>0</v>
          </cell>
          <cell r="H1453">
            <v>0</v>
          </cell>
          <cell r="I1453" t="str">
            <v>0.00%</v>
          </cell>
          <cell r="J1453">
            <v>0</v>
          </cell>
          <cell r="K1453">
            <v>0</v>
          </cell>
          <cell r="L1453" t="str">
            <v>0.00%</v>
          </cell>
          <cell r="M1453">
            <v>0</v>
          </cell>
          <cell r="N1453">
            <v>0</v>
          </cell>
          <cell r="O1453" t="str">
            <v>0.00%</v>
          </cell>
          <cell r="P1453">
            <v>9</v>
          </cell>
          <cell r="Q1453">
            <v>716.76</v>
          </cell>
          <cell r="R1453">
            <v>1</v>
          </cell>
        </row>
        <row r="1454">
          <cell r="A1454" t="str">
            <v>22.02.02.02</v>
          </cell>
          <cell r="B1454" t="str">
            <v>INSTALACION DE CAJA DE PASO DE 20x20X10cm.</v>
          </cell>
          <cell r="C1454" t="str">
            <v>und</v>
          </cell>
          <cell r="D1454">
            <v>1</v>
          </cell>
          <cell r="E1454">
            <v>79.64</v>
          </cell>
          <cell r="F1454">
            <v>79.64</v>
          </cell>
          <cell r="G1454">
            <v>0</v>
          </cell>
          <cell r="H1454">
            <v>0</v>
          </cell>
          <cell r="I1454" t="str">
            <v>0.00%</v>
          </cell>
          <cell r="J1454">
            <v>0</v>
          </cell>
          <cell r="K1454">
            <v>0</v>
          </cell>
          <cell r="L1454" t="str">
            <v>0.00%</v>
          </cell>
          <cell r="M1454">
            <v>0</v>
          </cell>
          <cell r="N1454">
            <v>0</v>
          </cell>
          <cell r="O1454" t="str">
            <v>0.00%</v>
          </cell>
          <cell r="P1454">
            <v>1</v>
          </cell>
          <cell r="Q1454">
            <v>79.64</v>
          </cell>
          <cell r="R1454">
            <v>1</v>
          </cell>
        </row>
        <row r="1455">
          <cell r="A1455" t="str">
            <v>23</v>
          </cell>
          <cell r="B1455" t="str">
            <v>BLOQUE - 4</v>
          </cell>
          <cell r="C1455">
            <v>0</v>
          </cell>
          <cell r="D1455">
            <v>0</v>
          </cell>
          <cell r="E1455">
            <v>0</v>
          </cell>
          <cell r="F1455">
            <v>0</v>
          </cell>
          <cell r="G1455">
            <v>0</v>
          </cell>
          <cell r="H1455">
            <v>0</v>
          </cell>
          <cell r="I1455">
            <v>0</v>
          </cell>
          <cell r="J1455">
            <v>0</v>
          </cell>
          <cell r="K1455">
            <v>0</v>
          </cell>
          <cell r="L1455">
            <v>0</v>
          </cell>
          <cell r="M1455">
            <v>0</v>
          </cell>
          <cell r="N1455">
            <v>0</v>
          </cell>
          <cell r="O1455">
            <v>0</v>
          </cell>
          <cell r="P1455">
            <v>0</v>
          </cell>
          <cell r="Q1455">
            <v>0</v>
          </cell>
          <cell r="R1455">
            <v>0</v>
          </cell>
        </row>
        <row r="1456">
          <cell r="A1456" t="str">
            <v>23.01</v>
          </cell>
          <cell r="B1456" t="str">
            <v>INSTALACIONES ELECTRICAS</v>
          </cell>
          <cell r="C1456">
            <v>0</v>
          </cell>
          <cell r="D1456">
            <v>0</v>
          </cell>
          <cell r="E1456">
            <v>0</v>
          </cell>
          <cell r="F1456">
            <v>0</v>
          </cell>
          <cell r="G1456">
            <v>0</v>
          </cell>
          <cell r="H1456">
            <v>0</v>
          </cell>
          <cell r="I1456">
            <v>0</v>
          </cell>
          <cell r="J1456">
            <v>0</v>
          </cell>
          <cell r="K1456">
            <v>0</v>
          </cell>
          <cell r="L1456">
            <v>0</v>
          </cell>
          <cell r="M1456">
            <v>0</v>
          </cell>
          <cell r="N1456">
            <v>0</v>
          </cell>
          <cell r="O1456">
            <v>0</v>
          </cell>
          <cell r="P1456">
            <v>0</v>
          </cell>
          <cell r="Q1456">
            <v>0</v>
          </cell>
          <cell r="R1456">
            <v>0</v>
          </cell>
        </row>
        <row r="1457">
          <cell r="A1457" t="str">
            <v>23.01.01</v>
          </cell>
          <cell r="B1457" t="str">
            <v>TABLEROS</v>
          </cell>
          <cell r="C1457">
            <v>0</v>
          </cell>
          <cell r="D1457">
            <v>0</v>
          </cell>
          <cell r="E1457">
            <v>0</v>
          </cell>
          <cell r="F1457">
            <v>0</v>
          </cell>
          <cell r="G1457">
            <v>0</v>
          </cell>
          <cell r="H1457">
            <v>0</v>
          </cell>
          <cell r="I1457">
            <v>0</v>
          </cell>
          <cell r="J1457">
            <v>0</v>
          </cell>
          <cell r="K1457">
            <v>0</v>
          </cell>
          <cell r="L1457">
            <v>0</v>
          </cell>
          <cell r="M1457">
            <v>0</v>
          </cell>
          <cell r="N1457">
            <v>0</v>
          </cell>
          <cell r="O1457">
            <v>0</v>
          </cell>
          <cell r="P1457">
            <v>0</v>
          </cell>
          <cell r="Q1457">
            <v>0</v>
          </cell>
          <cell r="R1457">
            <v>0</v>
          </cell>
        </row>
        <row r="1458">
          <cell r="A1458" t="str">
            <v>23.01.01.01</v>
          </cell>
          <cell r="B1458" t="str">
            <v>TABLERO DE DISTRIBUCION T.D - 04</v>
          </cell>
          <cell r="C1458" t="str">
            <v>Eqp</v>
          </cell>
          <cell r="D1458">
            <v>1</v>
          </cell>
          <cell r="E1458">
            <v>1855.05</v>
          </cell>
          <cell r="F1458">
            <v>1855.05</v>
          </cell>
          <cell r="G1458">
            <v>0</v>
          </cell>
          <cell r="H1458">
            <v>0</v>
          </cell>
          <cell r="I1458" t="str">
            <v>0.00%</v>
          </cell>
          <cell r="J1458">
            <v>0</v>
          </cell>
          <cell r="K1458">
            <v>0</v>
          </cell>
          <cell r="L1458" t="str">
            <v>0.00%</v>
          </cell>
          <cell r="M1458">
            <v>0</v>
          </cell>
          <cell r="N1458">
            <v>0</v>
          </cell>
          <cell r="O1458" t="str">
            <v>0.00%</v>
          </cell>
          <cell r="P1458">
            <v>1</v>
          </cell>
          <cell r="Q1458">
            <v>1855.05</v>
          </cell>
          <cell r="R1458">
            <v>1</v>
          </cell>
        </row>
        <row r="1459">
          <cell r="A1459" t="str">
            <v>23.01.01.02</v>
          </cell>
          <cell r="B1459" t="str">
            <v>TABLERO DE DISTRIBUCION TD - 05</v>
          </cell>
          <cell r="C1459" t="str">
            <v>Eqp</v>
          </cell>
          <cell r="D1459">
            <v>1</v>
          </cell>
          <cell r="E1459">
            <v>1281.05</v>
          </cell>
          <cell r="F1459">
            <v>1281.05</v>
          </cell>
          <cell r="G1459">
            <v>0</v>
          </cell>
          <cell r="H1459">
            <v>0</v>
          </cell>
          <cell r="I1459" t="str">
            <v>0.00%</v>
          </cell>
          <cell r="J1459">
            <v>0</v>
          </cell>
          <cell r="K1459">
            <v>0</v>
          </cell>
          <cell r="L1459" t="str">
            <v>0.00%</v>
          </cell>
          <cell r="M1459">
            <v>0</v>
          </cell>
          <cell r="N1459">
            <v>0</v>
          </cell>
          <cell r="O1459" t="str">
            <v>0.00%</v>
          </cell>
          <cell r="P1459">
            <v>1</v>
          </cell>
          <cell r="Q1459">
            <v>1281.05</v>
          </cell>
          <cell r="R1459">
            <v>1</v>
          </cell>
        </row>
        <row r="1460">
          <cell r="A1460" t="str">
            <v>23.01.02</v>
          </cell>
          <cell r="B1460" t="str">
            <v>SALIDA PARA CENTRO DE LUZ</v>
          </cell>
          <cell r="C1460">
            <v>0</v>
          </cell>
          <cell r="D1460">
            <v>0</v>
          </cell>
          <cell r="E1460">
            <v>0</v>
          </cell>
          <cell r="F1460">
            <v>0</v>
          </cell>
          <cell r="G1460">
            <v>0</v>
          </cell>
          <cell r="H1460">
            <v>0</v>
          </cell>
          <cell r="I1460">
            <v>0</v>
          </cell>
          <cell r="J1460">
            <v>0</v>
          </cell>
          <cell r="K1460">
            <v>0</v>
          </cell>
          <cell r="L1460">
            <v>0</v>
          </cell>
          <cell r="M1460">
            <v>0</v>
          </cell>
          <cell r="N1460">
            <v>0</v>
          </cell>
          <cell r="O1460">
            <v>0</v>
          </cell>
          <cell r="P1460">
            <v>0</v>
          </cell>
          <cell r="Q1460">
            <v>0</v>
          </cell>
          <cell r="R1460">
            <v>0</v>
          </cell>
        </row>
        <row r="1461">
          <cell r="A1461" t="str">
            <v>23.01.02.01</v>
          </cell>
          <cell r="B1461" t="str">
            <v xml:space="preserve">SALIDA PARA CENTRO DE LUZ  </v>
          </cell>
          <cell r="C1461" t="str">
            <v>pto</v>
          </cell>
          <cell r="D1461">
            <v>29</v>
          </cell>
          <cell r="E1461">
            <v>68.55</v>
          </cell>
          <cell r="F1461">
            <v>1987.9499999999998</v>
          </cell>
          <cell r="G1461">
            <v>15</v>
          </cell>
          <cell r="H1461">
            <v>1028.25</v>
          </cell>
          <cell r="I1461">
            <v>0.51724137931034486</v>
          </cell>
          <cell r="J1461">
            <v>14</v>
          </cell>
          <cell r="K1461">
            <v>959.69999999999993</v>
          </cell>
          <cell r="L1461">
            <v>0.48275862068965519</v>
          </cell>
          <cell r="M1461">
            <v>29</v>
          </cell>
          <cell r="N1461">
            <v>1987.9499999999998</v>
          </cell>
          <cell r="O1461">
            <v>1</v>
          </cell>
          <cell r="P1461">
            <v>0</v>
          </cell>
          <cell r="Q1461">
            <v>0</v>
          </cell>
          <cell r="R1461" t="str">
            <v>0.00%</v>
          </cell>
        </row>
        <row r="1462">
          <cell r="A1462" t="str">
            <v>23.01.02.02</v>
          </cell>
          <cell r="B1462" t="str">
            <v>SALIDA PARA LUZ DE EMERGENCIA</v>
          </cell>
          <cell r="C1462" t="str">
            <v>pto</v>
          </cell>
          <cell r="D1462">
            <v>3</v>
          </cell>
          <cell r="E1462">
            <v>115.82</v>
          </cell>
          <cell r="F1462">
            <v>347.46</v>
          </cell>
          <cell r="G1462">
            <v>3</v>
          </cell>
          <cell r="H1462">
            <v>347.46</v>
          </cell>
          <cell r="I1462">
            <v>1</v>
          </cell>
          <cell r="J1462">
            <v>0</v>
          </cell>
          <cell r="K1462">
            <v>0</v>
          </cell>
          <cell r="L1462" t="str">
            <v>0.00%</v>
          </cell>
          <cell r="M1462">
            <v>3</v>
          </cell>
          <cell r="N1462">
            <v>347.46</v>
          </cell>
          <cell r="O1462">
            <v>1</v>
          </cell>
          <cell r="P1462">
            <v>0</v>
          </cell>
          <cell r="Q1462">
            <v>0</v>
          </cell>
          <cell r="R1462" t="str">
            <v>0.00%</v>
          </cell>
        </row>
        <row r="1463">
          <cell r="A1463" t="str">
            <v>23.01.03</v>
          </cell>
          <cell r="B1463" t="str">
            <v>ARTEFACTOS DE ILUMINACION</v>
          </cell>
          <cell r="C1463">
            <v>0</v>
          </cell>
          <cell r="D1463">
            <v>0</v>
          </cell>
          <cell r="E1463">
            <v>0</v>
          </cell>
          <cell r="F1463">
            <v>0</v>
          </cell>
          <cell r="G1463">
            <v>0</v>
          </cell>
          <cell r="H1463">
            <v>0</v>
          </cell>
          <cell r="I1463">
            <v>0</v>
          </cell>
          <cell r="J1463">
            <v>0</v>
          </cell>
          <cell r="K1463">
            <v>0</v>
          </cell>
          <cell r="L1463">
            <v>0</v>
          </cell>
          <cell r="M1463">
            <v>0</v>
          </cell>
          <cell r="N1463">
            <v>0</v>
          </cell>
          <cell r="O1463">
            <v>0</v>
          </cell>
          <cell r="P1463">
            <v>0</v>
          </cell>
          <cell r="Q1463">
            <v>0</v>
          </cell>
          <cell r="R1463">
            <v>0</v>
          </cell>
        </row>
        <row r="1464">
          <cell r="A1464" t="str">
            <v>23.01.03.01</v>
          </cell>
          <cell r="B1464" t="str">
            <v>Artefacto para adosar, con 02 fluorecente lineales de 36W, con rejilla y sistema optico parabolico</v>
          </cell>
          <cell r="C1464" t="str">
            <v>und</v>
          </cell>
          <cell r="D1464">
            <v>13</v>
          </cell>
          <cell r="E1464">
            <v>108.62</v>
          </cell>
          <cell r="F1464">
            <v>1412.06</v>
          </cell>
          <cell r="G1464">
            <v>0</v>
          </cell>
          <cell r="H1464">
            <v>0</v>
          </cell>
          <cell r="I1464" t="str">
            <v>0.00%</v>
          </cell>
          <cell r="J1464">
            <v>0</v>
          </cell>
          <cell r="K1464">
            <v>0</v>
          </cell>
          <cell r="L1464" t="str">
            <v>0.00%</v>
          </cell>
          <cell r="M1464">
            <v>0</v>
          </cell>
          <cell r="N1464">
            <v>0</v>
          </cell>
          <cell r="O1464" t="str">
            <v>0.00%</v>
          </cell>
          <cell r="P1464">
            <v>13</v>
          </cell>
          <cell r="Q1464">
            <v>1412.06</v>
          </cell>
          <cell r="R1464">
            <v>1</v>
          </cell>
        </row>
        <row r="1465">
          <cell r="A1465" t="str">
            <v>23.01.03.02</v>
          </cell>
          <cell r="B1465" t="str">
            <v>Artefacto para adosar, con 02 fluorecente lineales de 18W, con rejilla y sistema optico semiparabolico</v>
          </cell>
          <cell r="C1465" t="str">
            <v>und</v>
          </cell>
          <cell r="D1465">
            <v>7</v>
          </cell>
          <cell r="E1465">
            <v>70.62</v>
          </cell>
          <cell r="F1465">
            <v>494.34000000000003</v>
          </cell>
          <cell r="G1465">
            <v>0</v>
          </cell>
          <cell r="H1465">
            <v>0</v>
          </cell>
          <cell r="I1465" t="str">
            <v>0.00%</v>
          </cell>
          <cell r="J1465">
            <v>0</v>
          </cell>
          <cell r="K1465">
            <v>0</v>
          </cell>
          <cell r="L1465" t="str">
            <v>0.00%</v>
          </cell>
          <cell r="M1465">
            <v>0</v>
          </cell>
          <cell r="N1465">
            <v>0</v>
          </cell>
          <cell r="O1465" t="str">
            <v>0.00%</v>
          </cell>
          <cell r="P1465">
            <v>7</v>
          </cell>
          <cell r="Q1465">
            <v>494.34000000000003</v>
          </cell>
          <cell r="R1465">
            <v>1</v>
          </cell>
        </row>
        <row r="1466">
          <cell r="A1466" t="str">
            <v>23.01.03.03</v>
          </cell>
          <cell r="B1466" t="str">
            <v>Artefacto para adosar, con 02 lamparas ahorradoras de 18W, modelo RSP/CES-P5464 120</v>
          </cell>
          <cell r="C1466" t="str">
            <v>und</v>
          </cell>
          <cell r="D1466">
            <v>4</v>
          </cell>
          <cell r="E1466">
            <v>65.62</v>
          </cell>
          <cell r="F1466">
            <v>262.48</v>
          </cell>
          <cell r="G1466">
            <v>0</v>
          </cell>
          <cell r="H1466">
            <v>0</v>
          </cell>
          <cell r="I1466" t="str">
            <v>0.00%</v>
          </cell>
          <cell r="J1466">
            <v>0</v>
          </cell>
          <cell r="K1466">
            <v>0</v>
          </cell>
          <cell r="L1466" t="str">
            <v>0.00%</v>
          </cell>
          <cell r="M1466">
            <v>0</v>
          </cell>
          <cell r="N1466">
            <v>0</v>
          </cell>
          <cell r="O1466" t="str">
            <v>0.00%</v>
          </cell>
          <cell r="P1466">
            <v>4</v>
          </cell>
          <cell r="Q1466">
            <v>262.48</v>
          </cell>
          <cell r="R1466">
            <v>1</v>
          </cell>
        </row>
        <row r="1467">
          <cell r="A1467" t="str">
            <v>23.01.03.04</v>
          </cell>
          <cell r="B1467" t="str">
            <v>Artefacto para enpotrar, con 02 lamparas ahorradoras de 18W, modelo FBS 120</v>
          </cell>
          <cell r="C1467" t="str">
            <v>und</v>
          </cell>
          <cell r="D1467">
            <v>5</v>
          </cell>
          <cell r="E1467">
            <v>106.62</v>
          </cell>
          <cell r="F1467">
            <v>533.1</v>
          </cell>
          <cell r="G1467">
            <v>0</v>
          </cell>
          <cell r="H1467">
            <v>0</v>
          </cell>
          <cell r="I1467" t="str">
            <v>0.00%</v>
          </cell>
          <cell r="J1467">
            <v>0</v>
          </cell>
          <cell r="K1467">
            <v>0</v>
          </cell>
          <cell r="L1467" t="str">
            <v>0.00%</v>
          </cell>
          <cell r="M1467">
            <v>0</v>
          </cell>
          <cell r="N1467">
            <v>0</v>
          </cell>
          <cell r="O1467" t="str">
            <v>0.00%</v>
          </cell>
          <cell r="P1467">
            <v>5</v>
          </cell>
          <cell r="Q1467">
            <v>533.1</v>
          </cell>
          <cell r="R1467">
            <v>1</v>
          </cell>
        </row>
        <row r="1468">
          <cell r="A1468" t="str">
            <v>23.01.03.05</v>
          </cell>
          <cell r="B1468" t="str">
            <v>Artefacto de iluminacion EM luz de emergencia</v>
          </cell>
          <cell r="C1468" t="str">
            <v>und</v>
          </cell>
          <cell r="D1468">
            <v>3</v>
          </cell>
          <cell r="E1468">
            <v>128.33000000000001</v>
          </cell>
          <cell r="F1468">
            <v>384.99</v>
          </cell>
          <cell r="G1468">
            <v>0</v>
          </cell>
          <cell r="H1468">
            <v>0</v>
          </cell>
          <cell r="I1468" t="str">
            <v>0.00%</v>
          </cell>
          <cell r="J1468">
            <v>0</v>
          </cell>
          <cell r="K1468">
            <v>0</v>
          </cell>
          <cell r="L1468" t="str">
            <v>0.00%</v>
          </cell>
          <cell r="M1468">
            <v>0</v>
          </cell>
          <cell r="N1468">
            <v>0</v>
          </cell>
          <cell r="O1468" t="str">
            <v>0.00%</v>
          </cell>
          <cell r="P1468">
            <v>3</v>
          </cell>
          <cell r="Q1468">
            <v>384.99</v>
          </cell>
          <cell r="R1468">
            <v>1</v>
          </cell>
        </row>
        <row r="1469">
          <cell r="A1469" t="str">
            <v>23.01.04</v>
          </cell>
          <cell r="B1469" t="str">
            <v>INTERRUPTORES</v>
          </cell>
          <cell r="C1469">
            <v>0</v>
          </cell>
          <cell r="D1469">
            <v>0</v>
          </cell>
          <cell r="E1469">
            <v>0</v>
          </cell>
          <cell r="F1469">
            <v>0</v>
          </cell>
          <cell r="G1469">
            <v>0</v>
          </cell>
          <cell r="H1469">
            <v>0</v>
          </cell>
          <cell r="I1469">
            <v>0</v>
          </cell>
          <cell r="J1469">
            <v>0</v>
          </cell>
          <cell r="K1469">
            <v>0</v>
          </cell>
          <cell r="L1469">
            <v>0</v>
          </cell>
          <cell r="M1469">
            <v>0</v>
          </cell>
          <cell r="N1469">
            <v>0</v>
          </cell>
          <cell r="O1469">
            <v>0</v>
          </cell>
          <cell r="P1469">
            <v>0</v>
          </cell>
          <cell r="Q1469">
            <v>0</v>
          </cell>
          <cell r="R1469">
            <v>0</v>
          </cell>
        </row>
        <row r="1470">
          <cell r="A1470" t="str">
            <v>23.01.04.01</v>
          </cell>
          <cell r="B1470" t="str">
            <v>SALIDA PARA INTERRUPTOR SIMPLE, INCLUYE INSTALACION DE INTERRUPTOR</v>
          </cell>
          <cell r="C1470" t="str">
            <v>pto</v>
          </cell>
          <cell r="D1470">
            <v>10</v>
          </cell>
          <cell r="E1470">
            <v>53.98</v>
          </cell>
          <cell r="F1470">
            <v>539.79999999999995</v>
          </cell>
          <cell r="G1470">
            <v>0</v>
          </cell>
          <cell r="H1470">
            <v>0</v>
          </cell>
          <cell r="I1470" t="str">
            <v>0.00%</v>
          </cell>
          <cell r="J1470">
            <v>0</v>
          </cell>
          <cell r="K1470">
            <v>0</v>
          </cell>
          <cell r="L1470" t="str">
            <v>0.00%</v>
          </cell>
          <cell r="M1470">
            <v>0</v>
          </cell>
          <cell r="N1470">
            <v>0</v>
          </cell>
          <cell r="O1470" t="str">
            <v>0.00%</v>
          </cell>
          <cell r="P1470">
            <v>10</v>
          </cell>
          <cell r="Q1470">
            <v>539.79999999999995</v>
          </cell>
          <cell r="R1470">
            <v>1</v>
          </cell>
        </row>
        <row r="1471">
          <cell r="A1471" t="str">
            <v>23.01.04.02</v>
          </cell>
          <cell r="B1471" t="str">
            <v>SALIDA PARA INTERRUPTOR DE CONMUTACION SIMPLE, INCLUYE INSTALACION DE IN TERRUPTOR</v>
          </cell>
          <cell r="C1471" t="str">
            <v>pto</v>
          </cell>
          <cell r="D1471">
            <v>2</v>
          </cell>
          <cell r="E1471">
            <v>66.44</v>
          </cell>
          <cell r="F1471">
            <v>132.88</v>
          </cell>
          <cell r="G1471">
            <v>0</v>
          </cell>
          <cell r="H1471">
            <v>0</v>
          </cell>
          <cell r="I1471" t="str">
            <v>0.00%</v>
          </cell>
          <cell r="J1471">
            <v>0</v>
          </cell>
          <cell r="K1471">
            <v>0</v>
          </cell>
          <cell r="L1471" t="str">
            <v>0.00%</v>
          </cell>
          <cell r="M1471">
            <v>0</v>
          </cell>
          <cell r="N1471">
            <v>0</v>
          </cell>
          <cell r="O1471" t="str">
            <v>0.00%</v>
          </cell>
          <cell r="P1471">
            <v>2</v>
          </cell>
          <cell r="Q1471">
            <v>132.88</v>
          </cell>
          <cell r="R1471">
            <v>1</v>
          </cell>
        </row>
        <row r="1472">
          <cell r="A1472" t="str">
            <v>23.01.05</v>
          </cell>
          <cell r="B1472" t="str">
            <v>TOMACORRIENTES</v>
          </cell>
          <cell r="C1472">
            <v>0</v>
          </cell>
          <cell r="D1472">
            <v>0</v>
          </cell>
          <cell r="E1472">
            <v>0</v>
          </cell>
          <cell r="F1472">
            <v>0</v>
          </cell>
          <cell r="G1472">
            <v>0</v>
          </cell>
          <cell r="H1472">
            <v>0</v>
          </cell>
          <cell r="I1472">
            <v>0</v>
          </cell>
          <cell r="J1472">
            <v>0</v>
          </cell>
          <cell r="K1472">
            <v>0</v>
          </cell>
          <cell r="L1472">
            <v>0</v>
          </cell>
          <cell r="M1472">
            <v>0</v>
          </cell>
          <cell r="N1472">
            <v>0</v>
          </cell>
          <cell r="O1472">
            <v>0</v>
          </cell>
          <cell r="P1472">
            <v>0</v>
          </cell>
          <cell r="Q1472">
            <v>0</v>
          </cell>
          <cell r="R1472">
            <v>0</v>
          </cell>
        </row>
        <row r="1473">
          <cell r="A1473" t="str">
            <v>23.01.05.01</v>
          </cell>
          <cell r="B1473" t="str">
            <v>SALIDA PARA TOMACORRIENTES DOBLE CON PUESTA TIERRA, INCLUYE INSTALACION DE TOMACORRIENTE</v>
          </cell>
          <cell r="C1473" t="str">
            <v>pto</v>
          </cell>
          <cell r="D1473">
            <v>23</v>
          </cell>
          <cell r="E1473">
            <v>95.35</v>
          </cell>
          <cell r="F1473">
            <v>2193.0499999999997</v>
          </cell>
          <cell r="G1473">
            <v>0</v>
          </cell>
          <cell r="H1473">
            <v>0</v>
          </cell>
          <cell r="I1473" t="str">
            <v>0.00%</v>
          </cell>
          <cell r="J1473">
            <v>0</v>
          </cell>
          <cell r="K1473">
            <v>0</v>
          </cell>
          <cell r="L1473" t="str">
            <v>0.00%</v>
          </cell>
          <cell r="M1473">
            <v>0</v>
          </cell>
          <cell r="N1473">
            <v>0</v>
          </cell>
          <cell r="O1473" t="str">
            <v>0.00%</v>
          </cell>
          <cell r="P1473">
            <v>23</v>
          </cell>
          <cell r="Q1473">
            <v>2193.0499999999997</v>
          </cell>
          <cell r="R1473">
            <v>1</v>
          </cell>
        </row>
        <row r="1474">
          <cell r="A1474" t="str">
            <v>23.02</v>
          </cell>
          <cell r="B1474" t="str">
            <v>SISTEMAS ESPECIALES</v>
          </cell>
          <cell r="C1474">
            <v>0</v>
          </cell>
          <cell r="D1474">
            <v>0</v>
          </cell>
          <cell r="E1474">
            <v>0</v>
          </cell>
          <cell r="F1474">
            <v>0</v>
          </cell>
          <cell r="G1474">
            <v>0</v>
          </cell>
          <cell r="H1474">
            <v>0</v>
          </cell>
          <cell r="I1474">
            <v>0</v>
          </cell>
          <cell r="J1474">
            <v>0</v>
          </cell>
          <cell r="K1474">
            <v>0</v>
          </cell>
          <cell r="L1474">
            <v>0</v>
          </cell>
          <cell r="M1474">
            <v>0</v>
          </cell>
          <cell r="N1474">
            <v>0</v>
          </cell>
          <cell r="O1474">
            <v>0</v>
          </cell>
          <cell r="P1474">
            <v>0</v>
          </cell>
          <cell r="Q1474">
            <v>0</v>
          </cell>
          <cell r="R1474">
            <v>0</v>
          </cell>
        </row>
        <row r="1475">
          <cell r="A1475" t="str">
            <v>23.02.01</v>
          </cell>
          <cell r="B1475" t="str">
            <v>SALIDAS DE SISTEMAS ESPECIALES</v>
          </cell>
          <cell r="C1475">
            <v>0</v>
          </cell>
          <cell r="D1475">
            <v>0</v>
          </cell>
          <cell r="E1475">
            <v>0</v>
          </cell>
          <cell r="F1475">
            <v>0</v>
          </cell>
          <cell r="G1475">
            <v>0</v>
          </cell>
          <cell r="H1475">
            <v>0</v>
          </cell>
          <cell r="I1475">
            <v>0</v>
          </cell>
          <cell r="J1475">
            <v>0</v>
          </cell>
          <cell r="K1475">
            <v>0</v>
          </cell>
          <cell r="L1475">
            <v>0</v>
          </cell>
          <cell r="M1475">
            <v>0</v>
          </cell>
          <cell r="N1475">
            <v>0</v>
          </cell>
          <cell r="O1475">
            <v>0</v>
          </cell>
          <cell r="P1475">
            <v>0</v>
          </cell>
          <cell r="Q1475">
            <v>0</v>
          </cell>
          <cell r="R1475">
            <v>0</v>
          </cell>
        </row>
        <row r="1476">
          <cell r="A1476" t="str">
            <v>23.02.01.01</v>
          </cell>
          <cell r="B1476" t="str">
            <v>SALIDA DOBLE PARA RED DE DATOS</v>
          </cell>
          <cell r="C1476" t="str">
            <v>pto</v>
          </cell>
          <cell r="D1476">
            <v>3</v>
          </cell>
          <cell r="E1476">
            <v>199.28</v>
          </cell>
          <cell r="F1476">
            <v>597.84</v>
          </cell>
          <cell r="G1476">
            <v>2</v>
          </cell>
          <cell r="H1476">
            <v>398.56</v>
          </cell>
          <cell r="I1476">
            <v>0.66666666666666663</v>
          </cell>
          <cell r="J1476">
            <v>1</v>
          </cell>
          <cell r="K1476">
            <v>199.28</v>
          </cell>
          <cell r="L1476">
            <v>0.33333333333333331</v>
          </cell>
          <cell r="M1476">
            <v>3</v>
          </cell>
          <cell r="N1476">
            <v>597.84</v>
          </cell>
          <cell r="O1476">
            <v>1</v>
          </cell>
          <cell r="P1476">
            <v>0</v>
          </cell>
          <cell r="Q1476">
            <v>0</v>
          </cell>
          <cell r="R1476" t="str">
            <v>0.00%</v>
          </cell>
        </row>
        <row r="1477">
          <cell r="A1477" t="str">
            <v>23.02.01.02</v>
          </cell>
          <cell r="B1477" t="str">
            <v>INSTALACION DE GABINETE METALICO RACK DE DATOS, INCLUYE INSTALACION DE SWITCH, PATCH PANNEL Y ACCESORIOS</v>
          </cell>
          <cell r="C1477" t="str">
            <v>pto</v>
          </cell>
          <cell r="D1477">
            <v>1</v>
          </cell>
          <cell r="E1477">
            <v>132.66</v>
          </cell>
          <cell r="F1477">
            <v>132.66</v>
          </cell>
          <cell r="G1477">
            <v>0</v>
          </cell>
          <cell r="H1477">
            <v>0</v>
          </cell>
          <cell r="I1477" t="str">
            <v>0.00%</v>
          </cell>
          <cell r="J1477">
            <v>0</v>
          </cell>
          <cell r="K1477">
            <v>0</v>
          </cell>
          <cell r="L1477" t="str">
            <v>0.00%</v>
          </cell>
          <cell r="M1477">
            <v>0</v>
          </cell>
          <cell r="N1477">
            <v>0</v>
          </cell>
          <cell r="O1477" t="str">
            <v>0.00%</v>
          </cell>
          <cell r="P1477">
            <v>1</v>
          </cell>
          <cell r="Q1477">
            <v>132.66</v>
          </cell>
          <cell r="R1477">
            <v>1</v>
          </cell>
        </row>
        <row r="1478">
          <cell r="A1478" t="str">
            <v>23.02.01.03</v>
          </cell>
          <cell r="B1478" t="str">
            <v>SALIDA PARA PROYECTOR MULTIMEDIA</v>
          </cell>
          <cell r="C1478" t="str">
            <v>pto</v>
          </cell>
          <cell r="D1478">
            <v>4</v>
          </cell>
          <cell r="E1478">
            <v>307.97000000000003</v>
          </cell>
          <cell r="F1478">
            <v>1231.8800000000001</v>
          </cell>
          <cell r="G1478">
            <v>2</v>
          </cell>
          <cell r="H1478">
            <v>615.94000000000005</v>
          </cell>
          <cell r="I1478">
            <v>0.5</v>
          </cell>
          <cell r="J1478">
            <v>2</v>
          </cell>
          <cell r="K1478">
            <v>615.94000000000005</v>
          </cell>
          <cell r="L1478">
            <v>0.5</v>
          </cell>
          <cell r="M1478">
            <v>4</v>
          </cell>
          <cell r="N1478">
            <v>1231.8800000000001</v>
          </cell>
          <cell r="O1478">
            <v>1</v>
          </cell>
          <cell r="P1478">
            <v>0</v>
          </cell>
          <cell r="Q1478">
            <v>0</v>
          </cell>
          <cell r="R1478" t="str">
            <v>0.00%</v>
          </cell>
        </row>
        <row r="1479">
          <cell r="A1479" t="str">
            <v>23.02.01.04</v>
          </cell>
          <cell r="B1479" t="str">
            <v>SALIDA PARA CENTRAL DE ALARMA CONTRA INCENDIOS CACI</v>
          </cell>
          <cell r="C1479" t="str">
            <v>pto</v>
          </cell>
          <cell r="D1479">
            <v>1</v>
          </cell>
          <cell r="E1479">
            <v>69.099999999999994</v>
          </cell>
          <cell r="F1479">
            <v>69.099999999999994</v>
          </cell>
          <cell r="G1479">
            <v>1</v>
          </cell>
          <cell r="H1479">
            <v>69.099999999999994</v>
          </cell>
          <cell r="I1479">
            <v>1</v>
          </cell>
          <cell r="J1479">
            <v>0</v>
          </cell>
          <cell r="K1479">
            <v>0</v>
          </cell>
          <cell r="L1479" t="str">
            <v>0.00%</v>
          </cell>
          <cell r="M1479">
            <v>1</v>
          </cell>
          <cell r="N1479">
            <v>69.099999999999994</v>
          </cell>
          <cell r="O1479">
            <v>1</v>
          </cell>
          <cell r="P1479">
            <v>0</v>
          </cell>
          <cell r="Q1479">
            <v>0</v>
          </cell>
          <cell r="R1479" t="str">
            <v>0.00%</v>
          </cell>
        </row>
        <row r="1480">
          <cell r="A1480" t="str">
            <v>23.02.01.05</v>
          </cell>
          <cell r="B1480" t="str">
            <v>SALIDA PARA DETECTORES DE HUMO</v>
          </cell>
          <cell r="C1480" t="str">
            <v>pto</v>
          </cell>
          <cell r="D1480">
            <v>8</v>
          </cell>
          <cell r="E1480">
            <v>143.56</v>
          </cell>
          <cell r="F1480">
            <v>1148.48</v>
          </cell>
          <cell r="G1480">
            <v>4</v>
          </cell>
          <cell r="H1480">
            <v>574.24</v>
          </cell>
          <cell r="I1480">
            <v>0.5</v>
          </cell>
          <cell r="J1480">
            <v>4</v>
          </cell>
          <cell r="K1480">
            <v>574.24</v>
          </cell>
          <cell r="L1480">
            <v>0.5</v>
          </cell>
          <cell r="M1480">
            <v>8</v>
          </cell>
          <cell r="N1480">
            <v>1148.48</v>
          </cell>
          <cell r="O1480">
            <v>1</v>
          </cell>
          <cell r="P1480">
            <v>0</v>
          </cell>
          <cell r="Q1480">
            <v>0</v>
          </cell>
          <cell r="R1480" t="str">
            <v>0.00%</v>
          </cell>
        </row>
        <row r="1481">
          <cell r="A1481" t="str">
            <v>23.02.01.06</v>
          </cell>
          <cell r="B1481" t="str">
            <v>SALIDA PARA ESTACION MANUAL DE ALARMA CONTRA INCENDIO, PULSADOR Y ALARMA SONORA CONTRA INCENDIO.</v>
          </cell>
          <cell r="C1481" t="str">
            <v>pto</v>
          </cell>
          <cell r="D1481">
            <v>1</v>
          </cell>
          <cell r="E1481">
            <v>97.52</v>
          </cell>
          <cell r="F1481">
            <v>97.52</v>
          </cell>
          <cell r="G1481">
            <v>1</v>
          </cell>
          <cell r="H1481">
            <v>97.52</v>
          </cell>
          <cell r="I1481">
            <v>1</v>
          </cell>
          <cell r="J1481">
            <v>0</v>
          </cell>
          <cell r="K1481">
            <v>0</v>
          </cell>
          <cell r="L1481" t="str">
            <v>0.00%</v>
          </cell>
          <cell r="M1481">
            <v>1</v>
          </cell>
          <cell r="N1481">
            <v>97.52</v>
          </cell>
          <cell r="O1481">
            <v>1</v>
          </cell>
          <cell r="P1481">
            <v>0</v>
          </cell>
          <cell r="Q1481">
            <v>0</v>
          </cell>
          <cell r="R1481" t="str">
            <v>0.00%</v>
          </cell>
        </row>
        <row r="1482">
          <cell r="A1482" t="str">
            <v>23.02.01.07</v>
          </cell>
          <cell r="B1482" t="str">
            <v>SALIDA PARA PUNTO DE TV-CABLE, INCLUYE INSTALACION DE TAPA CIEGA</v>
          </cell>
          <cell r="C1482" t="str">
            <v>pto</v>
          </cell>
          <cell r="D1482">
            <v>1</v>
          </cell>
          <cell r="E1482">
            <v>102.44</v>
          </cell>
          <cell r="F1482">
            <v>102.44</v>
          </cell>
          <cell r="G1482">
            <v>1</v>
          </cell>
          <cell r="H1482">
            <v>102.44</v>
          </cell>
          <cell r="I1482">
            <v>1</v>
          </cell>
          <cell r="J1482">
            <v>0</v>
          </cell>
          <cell r="K1482">
            <v>0</v>
          </cell>
          <cell r="L1482" t="str">
            <v>0.00%</v>
          </cell>
          <cell r="M1482">
            <v>1</v>
          </cell>
          <cell r="N1482">
            <v>102.44</v>
          </cell>
          <cell r="O1482">
            <v>1</v>
          </cell>
          <cell r="P1482">
            <v>0</v>
          </cell>
          <cell r="Q1482">
            <v>0</v>
          </cell>
          <cell r="R1482" t="str">
            <v>0.00%</v>
          </cell>
        </row>
        <row r="1483">
          <cell r="A1483" t="str">
            <v>23.02.02</v>
          </cell>
          <cell r="B1483" t="str">
            <v>CAJAS DE PASE</v>
          </cell>
          <cell r="C1483">
            <v>0</v>
          </cell>
          <cell r="D1483">
            <v>0</v>
          </cell>
          <cell r="E1483">
            <v>0</v>
          </cell>
          <cell r="F1483">
            <v>0</v>
          </cell>
          <cell r="G1483">
            <v>0</v>
          </cell>
          <cell r="H1483">
            <v>0</v>
          </cell>
          <cell r="I1483">
            <v>0</v>
          </cell>
          <cell r="J1483">
            <v>0</v>
          </cell>
          <cell r="K1483">
            <v>0</v>
          </cell>
          <cell r="L1483">
            <v>0</v>
          </cell>
          <cell r="M1483">
            <v>0</v>
          </cell>
          <cell r="N1483">
            <v>0</v>
          </cell>
          <cell r="O1483">
            <v>0</v>
          </cell>
          <cell r="P1483">
            <v>0</v>
          </cell>
          <cell r="Q1483">
            <v>0</v>
          </cell>
          <cell r="R1483">
            <v>0</v>
          </cell>
        </row>
        <row r="1484">
          <cell r="A1484" t="str">
            <v>23.02.02.01</v>
          </cell>
          <cell r="B1484" t="str">
            <v>INSTALACION DE CAJA DE PASO DE 15x15X8cm.</v>
          </cell>
          <cell r="C1484" t="str">
            <v>und</v>
          </cell>
          <cell r="D1484">
            <v>7</v>
          </cell>
          <cell r="E1484">
            <v>79.64</v>
          </cell>
          <cell r="F1484">
            <v>557.48</v>
          </cell>
          <cell r="G1484">
            <v>0</v>
          </cell>
          <cell r="H1484">
            <v>0</v>
          </cell>
          <cell r="I1484" t="str">
            <v>0.00%</v>
          </cell>
          <cell r="J1484">
            <v>0</v>
          </cell>
          <cell r="K1484">
            <v>0</v>
          </cell>
          <cell r="L1484" t="str">
            <v>0.00%</v>
          </cell>
          <cell r="M1484">
            <v>0</v>
          </cell>
          <cell r="N1484">
            <v>0</v>
          </cell>
          <cell r="O1484" t="str">
            <v>0.00%</v>
          </cell>
          <cell r="P1484">
            <v>7</v>
          </cell>
          <cell r="Q1484">
            <v>557.48</v>
          </cell>
          <cell r="R1484">
            <v>1</v>
          </cell>
        </row>
        <row r="1485">
          <cell r="A1485" t="str">
            <v>23.02.02.02</v>
          </cell>
          <cell r="B1485" t="str">
            <v>INSTALACION DE CAJA DE PASO DE 20x20X10cm.</v>
          </cell>
          <cell r="C1485" t="str">
            <v>und</v>
          </cell>
          <cell r="D1485">
            <v>2</v>
          </cell>
          <cell r="E1485">
            <v>79.64</v>
          </cell>
          <cell r="F1485">
            <v>159.28</v>
          </cell>
          <cell r="G1485">
            <v>0</v>
          </cell>
          <cell r="H1485">
            <v>0</v>
          </cell>
          <cell r="I1485" t="str">
            <v>0.00%</v>
          </cell>
          <cell r="J1485">
            <v>0</v>
          </cell>
          <cell r="K1485">
            <v>0</v>
          </cell>
          <cell r="L1485" t="str">
            <v>0.00%</v>
          </cell>
          <cell r="M1485">
            <v>0</v>
          </cell>
          <cell r="N1485">
            <v>0</v>
          </cell>
          <cell r="O1485" t="str">
            <v>0.00%</v>
          </cell>
          <cell r="P1485">
            <v>2</v>
          </cell>
          <cell r="Q1485">
            <v>159.28</v>
          </cell>
          <cell r="R1485">
            <v>1</v>
          </cell>
        </row>
        <row r="1486">
          <cell r="A1486" t="str">
            <v>24</v>
          </cell>
          <cell r="B1486" t="str">
            <v>BLOQUE - 5</v>
          </cell>
          <cell r="C1486">
            <v>0</v>
          </cell>
          <cell r="D1486">
            <v>0</v>
          </cell>
          <cell r="E1486">
            <v>0</v>
          </cell>
          <cell r="F1486">
            <v>0</v>
          </cell>
          <cell r="G1486">
            <v>0</v>
          </cell>
          <cell r="H1486">
            <v>0</v>
          </cell>
          <cell r="I1486">
            <v>0</v>
          </cell>
          <cell r="J1486">
            <v>0</v>
          </cell>
          <cell r="K1486">
            <v>0</v>
          </cell>
          <cell r="L1486">
            <v>0</v>
          </cell>
          <cell r="M1486">
            <v>0</v>
          </cell>
          <cell r="N1486">
            <v>0</v>
          </cell>
          <cell r="O1486">
            <v>0</v>
          </cell>
          <cell r="P1486">
            <v>0</v>
          </cell>
          <cell r="Q1486">
            <v>0</v>
          </cell>
          <cell r="R1486">
            <v>0</v>
          </cell>
        </row>
        <row r="1487">
          <cell r="A1487" t="str">
            <v>24.01</v>
          </cell>
          <cell r="B1487" t="str">
            <v>INSTALACIONES ELECTRICAS</v>
          </cell>
          <cell r="C1487">
            <v>0</v>
          </cell>
          <cell r="D1487">
            <v>0</v>
          </cell>
          <cell r="E1487">
            <v>0</v>
          </cell>
          <cell r="F1487">
            <v>0</v>
          </cell>
          <cell r="G1487">
            <v>0</v>
          </cell>
          <cell r="H1487">
            <v>0</v>
          </cell>
          <cell r="I1487">
            <v>0</v>
          </cell>
          <cell r="J1487">
            <v>0</v>
          </cell>
          <cell r="K1487">
            <v>0</v>
          </cell>
          <cell r="L1487">
            <v>0</v>
          </cell>
          <cell r="M1487">
            <v>0</v>
          </cell>
          <cell r="N1487">
            <v>0</v>
          </cell>
          <cell r="O1487">
            <v>0</v>
          </cell>
          <cell r="P1487">
            <v>0</v>
          </cell>
          <cell r="Q1487">
            <v>0</v>
          </cell>
          <cell r="R1487">
            <v>0</v>
          </cell>
        </row>
        <row r="1488">
          <cell r="A1488" t="str">
            <v>24.01.01</v>
          </cell>
          <cell r="B1488" t="str">
            <v>TABLEROS</v>
          </cell>
          <cell r="C1488">
            <v>0</v>
          </cell>
          <cell r="D1488">
            <v>0</v>
          </cell>
          <cell r="E1488">
            <v>0</v>
          </cell>
          <cell r="F1488">
            <v>0</v>
          </cell>
          <cell r="G1488">
            <v>0</v>
          </cell>
          <cell r="H1488">
            <v>0</v>
          </cell>
          <cell r="I1488">
            <v>0</v>
          </cell>
          <cell r="J1488">
            <v>0</v>
          </cell>
          <cell r="K1488">
            <v>0</v>
          </cell>
          <cell r="L1488">
            <v>0</v>
          </cell>
          <cell r="M1488">
            <v>0</v>
          </cell>
          <cell r="N1488">
            <v>0</v>
          </cell>
          <cell r="O1488">
            <v>0</v>
          </cell>
          <cell r="P1488">
            <v>0</v>
          </cell>
          <cell r="Q1488">
            <v>0</v>
          </cell>
          <cell r="R1488">
            <v>0</v>
          </cell>
        </row>
        <row r="1489">
          <cell r="A1489" t="str">
            <v>24.01.01.01</v>
          </cell>
          <cell r="B1489" t="str">
            <v>TABLERO DE DISTRIBUCION TD - 3</v>
          </cell>
          <cell r="C1489" t="str">
            <v>Eqp</v>
          </cell>
          <cell r="D1489">
            <v>1</v>
          </cell>
          <cell r="E1489">
            <v>1281.05</v>
          </cell>
          <cell r="F1489">
            <v>1281.05</v>
          </cell>
          <cell r="G1489">
            <v>0</v>
          </cell>
          <cell r="H1489">
            <v>0</v>
          </cell>
          <cell r="I1489" t="str">
            <v>0.00%</v>
          </cell>
          <cell r="J1489">
            <v>0</v>
          </cell>
          <cell r="K1489">
            <v>0</v>
          </cell>
          <cell r="L1489" t="str">
            <v>0.00%</v>
          </cell>
          <cell r="M1489">
            <v>0</v>
          </cell>
          <cell r="N1489">
            <v>0</v>
          </cell>
          <cell r="O1489" t="str">
            <v>0.00%</v>
          </cell>
          <cell r="P1489">
            <v>1</v>
          </cell>
          <cell r="Q1489">
            <v>1281.05</v>
          </cell>
          <cell r="R1489">
            <v>1</v>
          </cell>
        </row>
        <row r="1490">
          <cell r="A1490" t="str">
            <v>24.01.02</v>
          </cell>
          <cell r="B1490" t="str">
            <v>SALIDA PARA CENTRO DE LUZ</v>
          </cell>
          <cell r="C1490">
            <v>0</v>
          </cell>
          <cell r="D1490">
            <v>0</v>
          </cell>
          <cell r="E1490">
            <v>0</v>
          </cell>
          <cell r="F1490">
            <v>0</v>
          </cell>
          <cell r="G1490">
            <v>0</v>
          </cell>
          <cell r="H1490">
            <v>0</v>
          </cell>
          <cell r="I1490">
            <v>0</v>
          </cell>
          <cell r="J1490">
            <v>0</v>
          </cell>
          <cell r="K1490">
            <v>0</v>
          </cell>
          <cell r="L1490">
            <v>0</v>
          </cell>
          <cell r="M1490">
            <v>0</v>
          </cell>
          <cell r="N1490">
            <v>0</v>
          </cell>
          <cell r="O1490">
            <v>0</v>
          </cell>
          <cell r="P1490">
            <v>0</v>
          </cell>
          <cell r="Q1490">
            <v>0</v>
          </cell>
          <cell r="R1490">
            <v>0</v>
          </cell>
        </row>
        <row r="1491">
          <cell r="A1491" t="str">
            <v>24.01.02.01</v>
          </cell>
          <cell r="B1491" t="str">
            <v xml:space="preserve">SALIDA PARA CENTRO DE LUZ  </v>
          </cell>
          <cell r="C1491" t="str">
            <v>pto</v>
          </cell>
          <cell r="D1491">
            <v>21</v>
          </cell>
          <cell r="E1491">
            <v>68.55</v>
          </cell>
          <cell r="F1491">
            <v>1439.55</v>
          </cell>
          <cell r="G1491">
            <v>0</v>
          </cell>
          <cell r="H1491">
            <v>0</v>
          </cell>
          <cell r="I1491" t="str">
            <v>0.00%</v>
          </cell>
          <cell r="J1491">
            <v>0</v>
          </cell>
          <cell r="K1491">
            <v>0</v>
          </cell>
          <cell r="L1491" t="str">
            <v>0.00%</v>
          </cell>
          <cell r="M1491">
            <v>0</v>
          </cell>
          <cell r="N1491">
            <v>0</v>
          </cell>
          <cell r="O1491" t="str">
            <v>0.00%</v>
          </cell>
          <cell r="P1491">
            <v>21</v>
          </cell>
          <cell r="Q1491">
            <v>1439.55</v>
          </cell>
          <cell r="R1491">
            <v>1</v>
          </cell>
        </row>
        <row r="1492">
          <cell r="A1492" t="str">
            <v>24.01.02.02</v>
          </cell>
          <cell r="B1492" t="str">
            <v>SALIDA PARA LUZ DE EMERGENCIA</v>
          </cell>
          <cell r="C1492" t="str">
            <v>pto</v>
          </cell>
          <cell r="D1492">
            <v>2</v>
          </cell>
          <cell r="E1492">
            <v>115.82</v>
          </cell>
          <cell r="F1492">
            <v>231.64</v>
          </cell>
          <cell r="G1492">
            <v>0</v>
          </cell>
          <cell r="H1492">
            <v>0</v>
          </cell>
          <cell r="I1492" t="str">
            <v>0.00%</v>
          </cell>
          <cell r="J1492">
            <v>0</v>
          </cell>
          <cell r="K1492">
            <v>0</v>
          </cell>
          <cell r="L1492" t="str">
            <v>0.00%</v>
          </cell>
          <cell r="M1492">
            <v>0</v>
          </cell>
          <cell r="N1492">
            <v>0</v>
          </cell>
          <cell r="O1492" t="str">
            <v>0.00%</v>
          </cell>
          <cell r="P1492">
            <v>2</v>
          </cell>
          <cell r="Q1492">
            <v>231.64</v>
          </cell>
          <cell r="R1492">
            <v>1</v>
          </cell>
        </row>
        <row r="1493">
          <cell r="A1493" t="str">
            <v>24.01.03</v>
          </cell>
          <cell r="B1493" t="str">
            <v>ARTEFACTOS DE ILUMINACION</v>
          </cell>
          <cell r="C1493">
            <v>0</v>
          </cell>
          <cell r="D1493">
            <v>0</v>
          </cell>
          <cell r="E1493">
            <v>0</v>
          </cell>
          <cell r="F1493">
            <v>0</v>
          </cell>
          <cell r="G1493">
            <v>0</v>
          </cell>
          <cell r="H1493">
            <v>0</v>
          </cell>
          <cell r="I1493">
            <v>0</v>
          </cell>
          <cell r="J1493">
            <v>0</v>
          </cell>
          <cell r="K1493">
            <v>0</v>
          </cell>
          <cell r="L1493">
            <v>0</v>
          </cell>
          <cell r="M1493">
            <v>0</v>
          </cell>
          <cell r="N1493">
            <v>0</v>
          </cell>
          <cell r="O1493">
            <v>0</v>
          </cell>
          <cell r="P1493">
            <v>0</v>
          </cell>
          <cell r="Q1493">
            <v>0</v>
          </cell>
          <cell r="R1493">
            <v>0</v>
          </cell>
        </row>
        <row r="1494">
          <cell r="A1494" t="str">
            <v>24.01.03.01</v>
          </cell>
          <cell r="B1494" t="str">
            <v>Artefacto para adosar, con 02 fluorecente lineales de 36W, con rejilla y sistema optico parabolico</v>
          </cell>
          <cell r="C1494" t="str">
            <v>und</v>
          </cell>
          <cell r="D1494">
            <v>17</v>
          </cell>
          <cell r="E1494">
            <v>108.62</v>
          </cell>
          <cell r="F1494">
            <v>1846.54</v>
          </cell>
          <cell r="G1494">
            <v>0</v>
          </cell>
          <cell r="H1494">
            <v>0</v>
          </cell>
          <cell r="I1494" t="str">
            <v>0.00%</v>
          </cell>
          <cell r="J1494">
            <v>0</v>
          </cell>
          <cell r="K1494">
            <v>0</v>
          </cell>
          <cell r="L1494" t="str">
            <v>0.00%</v>
          </cell>
          <cell r="M1494">
            <v>0</v>
          </cell>
          <cell r="N1494">
            <v>0</v>
          </cell>
          <cell r="O1494" t="str">
            <v>0.00%</v>
          </cell>
          <cell r="P1494">
            <v>17</v>
          </cell>
          <cell r="Q1494">
            <v>1846.54</v>
          </cell>
          <cell r="R1494">
            <v>1</v>
          </cell>
        </row>
        <row r="1495">
          <cell r="A1495" t="str">
            <v>24.01.03.02</v>
          </cell>
          <cell r="B1495" t="str">
            <v>Artefacto para adosar, con 02 fluorecente lineales de 18W, con rejilla y sistema optico semiparabolico</v>
          </cell>
          <cell r="C1495" t="str">
            <v>und</v>
          </cell>
          <cell r="D1495">
            <v>4</v>
          </cell>
          <cell r="E1495">
            <v>70.62</v>
          </cell>
          <cell r="F1495">
            <v>282.48</v>
          </cell>
          <cell r="G1495">
            <v>0</v>
          </cell>
          <cell r="H1495">
            <v>0</v>
          </cell>
          <cell r="I1495" t="str">
            <v>0.00%</v>
          </cell>
          <cell r="J1495">
            <v>0</v>
          </cell>
          <cell r="K1495">
            <v>0</v>
          </cell>
          <cell r="L1495" t="str">
            <v>0.00%</v>
          </cell>
          <cell r="M1495">
            <v>0</v>
          </cell>
          <cell r="N1495">
            <v>0</v>
          </cell>
          <cell r="O1495" t="str">
            <v>0.00%</v>
          </cell>
          <cell r="P1495">
            <v>4</v>
          </cell>
          <cell r="Q1495">
            <v>282.48</v>
          </cell>
          <cell r="R1495">
            <v>1</v>
          </cell>
        </row>
        <row r="1496">
          <cell r="A1496" t="str">
            <v>24.01.03.03</v>
          </cell>
          <cell r="B1496" t="str">
            <v>Artefacto de iluminacion EM luz de emergencia</v>
          </cell>
          <cell r="C1496" t="str">
            <v>und</v>
          </cell>
          <cell r="D1496">
            <v>2</v>
          </cell>
          <cell r="E1496">
            <v>128.33000000000001</v>
          </cell>
          <cell r="F1496">
            <v>256.66000000000003</v>
          </cell>
          <cell r="G1496">
            <v>0</v>
          </cell>
          <cell r="H1496">
            <v>0</v>
          </cell>
          <cell r="I1496" t="str">
            <v>0.00%</v>
          </cell>
          <cell r="J1496">
            <v>0</v>
          </cell>
          <cell r="K1496">
            <v>0</v>
          </cell>
          <cell r="L1496" t="str">
            <v>0.00%</v>
          </cell>
          <cell r="M1496">
            <v>0</v>
          </cell>
          <cell r="N1496">
            <v>0</v>
          </cell>
          <cell r="O1496" t="str">
            <v>0.00%</v>
          </cell>
          <cell r="P1496">
            <v>2</v>
          </cell>
          <cell r="Q1496">
            <v>256.66000000000003</v>
          </cell>
          <cell r="R1496">
            <v>1</v>
          </cell>
        </row>
        <row r="1497">
          <cell r="A1497" t="str">
            <v>24.01.04</v>
          </cell>
          <cell r="B1497" t="str">
            <v>INTERRUPTORES</v>
          </cell>
          <cell r="C1497">
            <v>0</v>
          </cell>
          <cell r="D1497">
            <v>0</v>
          </cell>
          <cell r="E1497">
            <v>0</v>
          </cell>
          <cell r="F1497">
            <v>0</v>
          </cell>
          <cell r="G1497">
            <v>0</v>
          </cell>
          <cell r="H1497">
            <v>0</v>
          </cell>
          <cell r="I1497">
            <v>0</v>
          </cell>
          <cell r="J1497">
            <v>0</v>
          </cell>
          <cell r="K1497">
            <v>0</v>
          </cell>
          <cell r="L1497">
            <v>0</v>
          </cell>
          <cell r="M1497">
            <v>0</v>
          </cell>
          <cell r="N1497">
            <v>0</v>
          </cell>
          <cell r="O1497">
            <v>0</v>
          </cell>
          <cell r="P1497">
            <v>0</v>
          </cell>
          <cell r="Q1497">
            <v>0</v>
          </cell>
          <cell r="R1497">
            <v>0</v>
          </cell>
        </row>
        <row r="1498">
          <cell r="A1498" t="str">
            <v>24.01.04.01</v>
          </cell>
          <cell r="B1498" t="str">
            <v>SALIDA PARA INTERRUPTOR SIMPLE, INCLUYE INSTALACION DE INTERRUPTOR</v>
          </cell>
          <cell r="C1498" t="str">
            <v>pto</v>
          </cell>
          <cell r="D1498">
            <v>5</v>
          </cell>
          <cell r="E1498">
            <v>53.98</v>
          </cell>
          <cell r="F1498">
            <v>269.89999999999998</v>
          </cell>
          <cell r="G1498">
            <v>0</v>
          </cell>
          <cell r="H1498">
            <v>0</v>
          </cell>
          <cell r="I1498" t="str">
            <v>0.00%</v>
          </cell>
          <cell r="J1498">
            <v>0</v>
          </cell>
          <cell r="K1498">
            <v>0</v>
          </cell>
          <cell r="L1498" t="str">
            <v>0.00%</v>
          </cell>
          <cell r="M1498">
            <v>0</v>
          </cell>
          <cell r="N1498">
            <v>0</v>
          </cell>
          <cell r="O1498" t="str">
            <v>0.00%</v>
          </cell>
          <cell r="P1498">
            <v>5</v>
          </cell>
          <cell r="Q1498">
            <v>269.89999999999998</v>
          </cell>
          <cell r="R1498">
            <v>1</v>
          </cell>
        </row>
        <row r="1499">
          <cell r="A1499" t="str">
            <v>24.01.04.02</v>
          </cell>
          <cell r="B1499" t="str">
            <v>SALIDA PARA INTERRUPTOR DOBLE, INCLUYE INSTALACION DE INTERRUPTOR</v>
          </cell>
          <cell r="C1499" t="str">
            <v>pto</v>
          </cell>
          <cell r="D1499">
            <v>2</v>
          </cell>
          <cell r="E1499">
            <v>55.98</v>
          </cell>
          <cell r="F1499">
            <v>111.96</v>
          </cell>
          <cell r="G1499">
            <v>0</v>
          </cell>
          <cell r="H1499">
            <v>0</v>
          </cell>
          <cell r="I1499" t="str">
            <v>0.00%</v>
          </cell>
          <cell r="J1499">
            <v>0</v>
          </cell>
          <cell r="K1499">
            <v>0</v>
          </cell>
          <cell r="L1499" t="str">
            <v>0.00%</v>
          </cell>
          <cell r="M1499">
            <v>0</v>
          </cell>
          <cell r="N1499">
            <v>0</v>
          </cell>
          <cell r="O1499" t="str">
            <v>0.00%</v>
          </cell>
          <cell r="P1499">
            <v>2</v>
          </cell>
          <cell r="Q1499">
            <v>111.96</v>
          </cell>
          <cell r="R1499">
            <v>1</v>
          </cell>
        </row>
        <row r="1500">
          <cell r="A1500" t="str">
            <v>24.01.05</v>
          </cell>
          <cell r="B1500" t="str">
            <v>TOMACORRIENTES</v>
          </cell>
          <cell r="C1500">
            <v>0</v>
          </cell>
          <cell r="D1500">
            <v>0</v>
          </cell>
          <cell r="E1500">
            <v>0</v>
          </cell>
          <cell r="F1500">
            <v>0</v>
          </cell>
          <cell r="G1500">
            <v>0</v>
          </cell>
          <cell r="H1500">
            <v>0</v>
          </cell>
          <cell r="I1500">
            <v>0</v>
          </cell>
          <cell r="J1500">
            <v>0</v>
          </cell>
          <cell r="K1500">
            <v>0</v>
          </cell>
          <cell r="L1500">
            <v>0</v>
          </cell>
          <cell r="M1500">
            <v>0</v>
          </cell>
          <cell r="N1500">
            <v>0</v>
          </cell>
          <cell r="O1500">
            <v>0</v>
          </cell>
          <cell r="P1500">
            <v>0</v>
          </cell>
          <cell r="Q1500">
            <v>0</v>
          </cell>
          <cell r="R1500">
            <v>0</v>
          </cell>
        </row>
        <row r="1501">
          <cell r="A1501" t="str">
            <v>24.01.05.01</v>
          </cell>
          <cell r="B1501" t="str">
            <v>SALIDA PARA TOMACORRIENTES DOBLE CON PUESTA TIERRA, INCLUYE INSTALACION DE TOMACORRIENTE</v>
          </cell>
          <cell r="C1501" t="str">
            <v>pto</v>
          </cell>
          <cell r="D1501">
            <v>17</v>
          </cell>
          <cell r="E1501">
            <v>95.35</v>
          </cell>
          <cell r="F1501">
            <v>1620.9499999999998</v>
          </cell>
          <cell r="G1501">
            <v>0</v>
          </cell>
          <cell r="H1501">
            <v>0</v>
          </cell>
          <cell r="I1501" t="str">
            <v>0.00%</v>
          </cell>
          <cell r="J1501">
            <v>0</v>
          </cell>
          <cell r="K1501">
            <v>0</v>
          </cell>
          <cell r="L1501" t="str">
            <v>0.00%</v>
          </cell>
          <cell r="M1501">
            <v>0</v>
          </cell>
          <cell r="N1501">
            <v>0</v>
          </cell>
          <cell r="O1501" t="str">
            <v>0.00%</v>
          </cell>
          <cell r="P1501">
            <v>17</v>
          </cell>
          <cell r="Q1501">
            <v>1620.9499999999998</v>
          </cell>
          <cell r="R1501">
            <v>1</v>
          </cell>
        </row>
        <row r="1502">
          <cell r="A1502" t="str">
            <v>24.02</v>
          </cell>
          <cell r="B1502" t="str">
            <v>SISTEMAS ESPECIALES</v>
          </cell>
          <cell r="C1502">
            <v>0</v>
          </cell>
          <cell r="D1502">
            <v>0</v>
          </cell>
          <cell r="E1502">
            <v>0</v>
          </cell>
          <cell r="F1502">
            <v>0</v>
          </cell>
          <cell r="G1502">
            <v>0</v>
          </cell>
          <cell r="H1502">
            <v>0</v>
          </cell>
          <cell r="I1502">
            <v>0</v>
          </cell>
          <cell r="J1502">
            <v>0</v>
          </cell>
          <cell r="K1502">
            <v>0</v>
          </cell>
          <cell r="L1502">
            <v>0</v>
          </cell>
          <cell r="M1502">
            <v>0</v>
          </cell>
          <cell r="N1502">
            <v>0</v>
          </cell>
          <cell r="O1502">
            <v>0</v>
          </cell>
          <cell r="P1502">
            <v>0</v>
          </cell>
          <cell r="Q1502">
            <v>0</v>
          </cell>
          <cell r="R1502">
            <v>0</v>
          </cell>
        </row>
        <row r="1503">
          <cell r="A1503" t="str">
            <v>24.02.01</v>
          </cell>
          <cell r="B1503" t="str">
            <v>SALIDAS DE SISTEMAS ESPECIALES</v>
          </cell>
          <cell r="C1503">
            <v>0</v>
          </cell>
          <cell r="D1503">
            <v>0</v>
          </cell>
          <cell r="E1503">
            <v>0</v>
          </cell>
          <cell r="F1503">
            <v>0</v>
          </cell>
          <cell r="G1503">
            <v>0</v>
          </cell>
          <cell r="H1503">
            <v>0</v>
          </cell>
          <cell r="I1503">
            <v>0</v>
          </cell>
          <cell r="J1503">
            <v>0</v>
          </cell>
          <cell r="K1503">
            <v>0</v>
          </cell>
          <cell r="L1503">
            <v>0</v>
          </cell>
          <cell r="M1503">
            <v>0</v>
          </cell>
          <cell r="N1503">
            <v>0</v>
          </cell>
          <cell r="O1503">
            <v>0</v>
          </cell>
          <cell r="P1503">
            <v>0</v>
          </cell>
          <cell r="Q1503">
            <v>0</v>
          </cell>
          <cell r="R1503">
            <v>0</v>
          </cell>
        </row>
        <row r="1504">
          <cell r="A1504" t="str">
            <v>24.02.01.01</v>
          </cell>
          <cell r="B1504" t="str">
            <v>SALIDA SIMPLE PARA RED DE DATOS</v>
          </cell>
          <cell r="C1504" t="str">
            <v>pto</v>
          </cell>
          <cell r="D1504">
            <v>2</v>
          </cell>
          <cell r="E1504">
            <v>270.77999999999997</v>
          </cell>
          <cell r="F1504">
            <v>541.55999999999995</v>
          </cell>
          <cell r="G1504">
            <v>0</v>
          </cell>
          <cell r="H1504">
            <v>0</v>
          </cell>
          <cell r="I1504" t="str">
            <v>0.00%</v>
          </cell>
          <cell r="J1504">
            <v>0</v>
          </cell>
          <cell r="K1504">
            <v>0</v>
          </cell>
          <cell r="L1504" t="str">
            <v>0.00%</v>
          </cell>
          <cell r="M1504">
            <v>0</v>
          </cell>
          <cell r="N1504">
            <v>0</v>
          </cell>
          <cell r="O1504" t="str">
            <v>0.00%</v>
          </cell>
          <cell r="P1504">
            <v>2</v>
          </cell>
          <cell r="Q1504">
            <v>541.55999999999995</v>
          </cell>
          <cell r="R1504">
            <v>1</v>
          </cell>
        </row>
        <row r="1505">
          <cell r="A1505" t="str">
            <v>24.02.01.02</v>
          </cell>
          <cell r="B1505" t="str">
            <v>SALIDA DOBLE PARA RED DE DATOS</v>
          </cell>
          <cell r="C1505" t="str">
            <v>pto</v>
          </cell>
          <cell r="D1505">
            <v>3</v>
          </cell>
          <cell r="E1505">
            <v>199.28</v>
          </cell>
          <cell r="F1505">
            <v>597.84</v>
          </cell>
          <cell r="G1505">
            <v>0</v>
          </cell>
          <cell r="H1505">
            <v>0</v>
          </cell>
          <cell r="I1505" t="str">
            <v>0.00%</v>
          </cell>
          <cell r="J1505">
            <v>0</v>
          </cell>
          <cell r="K1505">
            <v>0</v>
          </cell>
          <cell r="L1505" t="str">
            <v>0.00%</v>
          </cell>
          <cell r="M1505">
            <v>0</v>
          </cell>
          <cell r="N1505">
            <v>0</v>
          </cell>
          <cell r="O1505" t="str">
            <v>0.00%</v>
          </cell>
          <cell r="P1505">
            <v>3</v>
          </cell>
          <cell r="Q1505">
            <v>597.84</v>
          </cell>
          <cell r="R1505">
            <v>1</v>
          </cell>
        </row>
        <row r="1506">
          <cell r="A1506" t="str">
            <v>24.02.01.03</v>
          </cell>
          <cell r="B1506" t="str">
            <v>SALIDA PARA DETECTORES DE HUMO</v>
          </cell>
          <cell r="C1506" t="str">
            <v>pto</v>
          </cell>
          <cell r="D1506">
            <v>4</v>
          </cell>
          <cell r="E1506">
            <v>143.56</v>
          </cell>
          <cell r="F1506">
            <v>574.24</v>
          </cell>
          <cell r="G1506">
            <v>0</v>
          </cell>
          <cell r="H1506">
            <v>0</v>
          </cell>
          <cell r="I1506" t="str">
            <v>0.00%</v>
          </cell>
          <cell r="J1506">
            <v>0</v>
          </cell>
          <cell r="K1506">
            <v>0</v>
          </cell>
          <cell r="L1506" t="str">
            <v>0.00%</v>
          </cell>
          <cell r="M1506">
            <v>0</v>
          </cell>
          <cell r="N1506">
            <v>0</v>
          </cell>
          <cell r="O1506" t="str">
            <v>0.00%</v>
          </cell>
          <cell r="P1506">
            <v>4</v>
          </cell>
          <cell r="Q1506">
            <v>574.24</v>
          </cell>
          <cell r="R1506">
            <v>1</v>
          </cell>
        </row>
        <row r="1507">
          <cell r="A1507" t="str">
            <v>24.02.01.04</v>
          </cell>
          <cell r="B1507" t="str">
            <v>SALIDA PARA ESTACION MANUAL DE ALARMA CONTRA INCENDIO, PULSADOR Y ALARMA SONORA CONTRA INCENDIO.</v>
          </cell>
          <cell r="C1507" t="str">
            <v>pto</v>
          </cell>
          <cell r="D1507">
            <v>1</v>
          </cell>
          <cell r="E1507">
            <v>97.52</v>
          </cell>
          <cell r="F1507">
            <v>97.52</v>
          </cell>
          <cell r="G1507">
            <v>0</v>
          </cell>
          <cell r="H1507">
            <v>0</v>
          </cell>
          <cell r="I1507" t="str">
            <v>0.00%</v>
          </cell>
          <cell r="J1507">
            <v>0</v>
          </cell>
          <cell r="K1507">
            <v>0</v>
          </cell>
          <cell r="L1507" t="str">
            <v>0.00%</v>
          </cell>
          <cell r="M1507">
            <v>0</v>
          </cell>
          <cell r="N1507">
            <v>0</v>
          </cell>
          <cell r="O1507" t="str">
            <v>0.00%</v>
          </cell>
          <cell r="P1507">
            <v>1</v>
          </cell>
          <cell r="Q1507">
            <v>97.52</v>
          </cell>
          <cell r="R1507">
            <v>1</v>
          </cell>
        </row>
        <row r="1508">
          <cell r="A1508" t="str">
            <v>24.02.01.05</v>
          </cell>
          <cell r="B1508" t="str">
            <v>SALIDA PARA PUNTO DE TV-CABLE, INCLUYE INSTALACION DE TAPA CIEGA</v>
          </cell>
          <cell r="C1508" t="str">
            <v>pto</v>
          </cell>
          <cell r="D1508">
            <v>2</v>
          </cell>
          <cell r="E1508">
            <v>102.44</v>
          </cell>
          <cell r="F1508">
            <v>204.88</v>
          </cell>
          <cell r="G1508">
            <v>0</v>
          </cell>
          <cell r="H1508">
            <v>0</v>
          </cell>
          <cell r="I1508" t="str">
            <v>0.00%</v>
          </cell>
          <cell r="J1508">
            <v>0</v>
          </cell>
          <cell r="K1508">
            <v>0</v>
          </cell>
          <cell r="L1508" t="str">
            <v>0.00%</v>
          </cell>
          <cell r="M1508">
            <v>0</v>
          </cell>
          <cell r="N1508">
            <v>0</v>
          </cell>
          <cell r="O1508" t="str">
            <v>0.00%</v>
          </cell>
          <cell r="P1508">
            <v>2</v>
          </cell>
          <cell r="Q1508">
            <v>204.88</v>
          </cell>
          <cell r="R1508">
            <v>1</v>
          </cell>
        </row>
        <row r="1509">
          <cell r="A1509" t="str">
            <v>24.02.02</v>
          </cell>
          <cell r="B1509" t="str">
            <v>CAJAS DE PASE</v>
          </cell>
          <cell r="C1509">
            <v>0</v>
          </cell>
          <cell r="D1509">
            <v>0</v>
          </cell>
          <cell r="E1509">
            <v>0</v>
          </cell>
          <cell r="F1509">
            <v>0</v>
          </cell>
          <cell r="G1509">
            <v>0</v>
          </cell>
          <cell r="H1509">
            <v>0</v>
          </cell>
          <cell r="I1509">
            <v>0</v>
          </cell>
          <cell r="J1509">
            <v>0</v>
          </cell>
          <cell r="K1509">
            <v>0</v>
          </cell>
          <cell r="L1509">
            <v>0</v>
          </cell>
          <cell r="M1509">
            <v>0</v>
          </cell>
          <cell r="N1509">
            <v>0</v>
          </cell>
          <cell r="O1509">
            <v>0</v>
          </cell>
          <cell r="P1509">
            <v>0</v>
          </cell>
          <cell r="Q1509">
            <v>0</v>
          </cell>
          <cell r="R1509">
            <v>0</v>
          </cell>
        </row>
        <row r="1510">
          <cell r="A1510" t="str">
            <v>24.02.02.01</v>
          </cell>
          <cell r="B1510" t="str">
            <v>INSTALACION DE CAJA DE PASO DE 15x15X8cm.</v>
          </cell>
          <cell r="C1510" t="str">
            <v>und</v>
          </cell>
          <cell r="D1510">
            <v>4</v>
          </cell>
          <cell r="E1510">
            <v>79.64</v>
          </cell>
          <cell r="F1510">
            <v>318.56</v>
          </cell>
          <cell r="G1510">
            <v>0</v>
          </cell>
          <cell r="H1510">
            <v>0</v>
          </cell>
          <cell r="I1510" t="str">
            <v>0.00%</v>
          </cell>
          <cell r="J1510">
            <v>0</v>
          </cell>
          <cell r="K1510">
            <v>0</v>
          </cell>
          <cell r="L1510" t="str">
            <v>0.00%</v>
          </cell>
          <cell r="M1510">
            <v>0</v>
          </cell>
          <cell r="N1510">
            <v>0</v>
          </cell>
          <cell r="O1510" t="str">
            <v>0.00%</v>
          </cell>
          <cell r="P1510">
            <v>4</v>
          </cell>
          <cell r="Q1510">
            <v>318.56</v>
          </cell>
          <cell r="R1510">
            <v>1</v>
          </cell>
        </row>
        <row r="1511">
          <cell r="A1511" t="str">
            <v>25</v>
          </cell>
          <cell r="B1511" t="str">
            <v xml:space="preserve">CISTERNA SUBTERRANEA Y CASETA DE BOMBEO </v>
          </cell>
          <cell r="C1511">
            <v>0</v>
          </cell>
          <cell r="D1511">
            <v>0</v>
          </cell>
          <cell r="E1511">
            <v>0</v>
          </cell>
          <cell r="F1511">
            <v>0</v>
          </cell>
          <cell r="G1511">
            <v>0</v>
          </cell>
          <cell r="H1511">
            <v>0</v>
          </cell>
          <cell r="I1511">
            <v>0</v>
          </cell>
          <cell r="J1511">
            <v>0</v>
          </cell>
          <cell r="K1511">
            <v>0</v>
          </cell>
          <cell r="L1511">
            <v>0</v>
          </cell>
          <cell r="M1511">
            <v>0</v>
          </cell>
          <cell r="N1511">
            <v>0</v>
          </cell>
          <cell r="O1511">
            <v>0</v>
          </cell>
          <cell r="P1511">
            <v>0</v>
          </cell>
          <cell r="Q1511">
            <v>0</v>
          </cell>
          <cell r="R1511">
            <v>0</v>
          </cell>
        </row>
        <row r="1512">
          <cell r="A1512" t="str">
            <v>25.01</v>
          </cell>
          <cell r="B1512" t="str">
            <v>INSTALACIONES ELECTRICAS</v>
          </cell>
          <cell r="C1512">
            <v>0</v>
          </cell>
          <cell r="D1512">
            <v>0</v>
          </cell>
          <cell r="E1512">
            <v>0</v>
          </cell>
          <cell r="F1512">
            <v>0</v>
          </cell>
          <cell r="G1512">
            <v>0</v>
          </cell>
          <cell r="H1512">
            <v>0</v>
          </cell>
          <cell r="I1512">
            <v>0</v>
          </cell>
          <cell r="J1512">
            <v>0</v>
          </cell>
          <cell r="K1512">
            <v>0</v>
          </cell>
          <cell r="L1512">
            <v>0</v>
          </cell>
          <cell r="M1512">
            <v>0</v>
          </cell>
          <cell r="N1512">
            <v>0</v>
          </cell>
          <cell r="O1512">
            <v>0</v>
          </cell>
          <cell r="P1512">
            <v>0</v>
          </cell>
          <cell r="Q1512">
            <v>0</v>
          </cell>
          <cell r="R1512">
            <v>0</v>
          </cell>
        </row>
        <row r="1513">
          <cell r="A1513" t="str">
            <v>25.01.01</v>
          </cell>
          <cell r="B1513" t="str">
            <v>TABLEROS</v>
          </cell>
          <cell r="C1513">
            <v>0</v>
          </cell>
          <cell r="D1513">
            <v>0</v>
          </cell>
          <cell r="E1513">
            <v>0</v>
          </cell>
          <cell r="F1513">
            <v>0</v>
          </cell>
          <cell r="G1513">
            <v>0</v>
          </cell>
          <cell r="H1513">
            <v>0</v>
          </cell>
          <cell r="I1513">
            <v>0</v>
          </cell>
          <cell r="J1513">
            <v>0</v>
          </cell>
          <cell r="K1513">
            <v>0</v>
          </cell>
          <cell r="L1513">
            <v>0</v>
          </cell>
          <cell r="M1513">
            <v>0</v>
          </cell>
          <cell r="N1513">
            <v>0</v>
          </cell>
          <cell r="O1513">
            <v>0</v>
          </cell>
          <cell r="P1513">
            <v>0</v>
          </cell>
          <cell r="Q1513">
            <v>0</v>
          </cell>
          <cell r="R1513">
            <v>0</v>
          </cell>
        </row>
        <row r="1514">
          <cell r="A1514" t="str">
            <v>25.01.01.01</v>
          </cell>
          <cell r="B1514" t="str">
            <v>TABLERO DE DISTRIBUCION TD - 6</v>
          </cell>
          <cell r="C1514" t="str">
            <v>Eqp</v>
          </cell>
          <cell r="D1514">
            <v>1</v>
          </cell>
          <cell r="E1514">
            <v>1593.05</v>
          </cell>
          <cell r="F1514">
            <v>1593.05</v>
          </cell>
          <cell r="G1514">
            <v>0</v>
          </cell>
          <cell r="H1514">
            <v>0</v>
          </cell>
          <cell r="I1514" t="str">
            <v>0.00%</v>
          </cell>
          <cell r="J1514">
            <v>0</v>
          </cell>
          <cell r="K1514">
            <v>0</v>
          </cell>
          <cell r="L1514" t="str">
            <v>0.00%</v>
          </cell>
          <cell r="M1514">
            <v>0</v>
          </cell>
          <cell r="N1514">
            <v>0</v>
          </cell>
          <cell r="O1514" t="str">
            <v>0.00%</v>
          </cell>
          <cell r="P1514">
            <v>1</v>
          </cell>
          <cell r="Q1514">
            <v>1593.05</v>
          </cell>
          <cell r="R1514">
            <v>1</v>
          </cell>
        </row>
        <row r="1515">
          <cell r="A1515" t="str">
            <v>25.01.01.02</v>
          </cell>
          <cell r="B1515" t="str">
            <v>TABLERO DE CONTROL DE BOMBAS T-CBA</v>
          </cell>
          <cell r="C1515" t="str">
            <v>und</v>
          </cell>
          <cell r="D1515">
            <v>1</v>
          </cell>
          <cell r="E1515">
            <v>468.91</v>
          </cell>
          <cell r="F1515">
            <v>468.91</v>
          </cell>
          <cell r="G1515">
            <v>0</v>
          </cell>
          <cell r="H1515">
            <v>0</v>
          </cell>
          <cell r="I1515" t="str">
            <v>0.00%</v>
          </cell>
          <cell r="J1515">
            <v>0</v>
          </cell>
          <cell r="K1515">
            <v>0</v>
          </cell>
          <cell r="L1515" t="str">
            <v>0.00%</v>
          </cell>
          <cell r="M1515">
            <v>0</v>
          </cell>
          <cell r="N1515">
            <v>0</v>
          </cell>
          <cell r="O1515" t="str">
            <v>0.00%</v>
          </cell>
          <cell r="P1515">
            <v>1</v>
          </cell>
          <cell r="Q1515">
            <v>468.91</v>
          </cell>
          <cell r="R1515">
            <v>1</v>
          </cell>
        </row>
        <row r="1516">
          <cell r="A1516" t="str">
            <v>25.01.02</v>
          </cell>
          <cell r="B1516" t="str">
            <v>SALIDA PARA CENTRO DE LUZ</v>
          </cell>
          <cell r="C1516">
            <v>0</v>
          </cell>
          <cell r="D1516">
            <v>0</v>
          </cell>
          <cell r="E1516">
            <v>0</v>
          </cell>
          <cell r="F1516">
            <v>0</v>
          </cell>
          <cell r="G1516">
            <v>0</v>
          </cell>
          <cell r="H1516">
            <v>0</v>
          </cell>
          <cell r="I1516">
            <v>0</v>
          </cell>
          <cell r="J1516">
            <v>0</v>
          </cell>
          <cell r="K1516">
            <v>0</v>
          </cell>
          <cell r="L1516">
            <v>0</v>
          </cell>
          <cell r="M1516">
            <v>0</v>
          </cell>
          <cell r="N1516">
            <v>0</v>
          </cell>
          <cell r="O1516">
            <v>0</v>
          </cell>
          <cell r="P1516">
            <v>0</v>
          </cell>
          <cell r="Q1516">
            <v>0</v>
          </cell>
          <cell r="R1516">
            <v>0</v>
          </cell>
        </row>
        <row r="1517">
          <cell r="A1517" t="str">
            <v>25.01.02.01</v>
          </cell>
          <cell r="B1517" t="str">
            <v xml:space="preserve">SALIDA PARA CENTRO DE LUZ  </v>
          </cell>
          <cell r="C1517" t="str">
            <v>pto</v>
          </cell>
          <cell r="D1517">
            <v>4</v>
          </cell>
          <cell r="E1517">
            <v>68.55</v>
          </cell>
          <cell r="F1517">
            <v>274.2</v>
          </cell>
          <cell r="G1517">
            <v>0</v>
          </cell>
          <cell r="H1517">
            <v>0</v>
          </cell>
          <cell r="I1517" t="str">
            <v>0.00%</v>
          </cell>
          <cell r="J1517">
            <v>0</v>
          </cell>
          <cell r="K1517">
            <v>0</v>
          </cell>
          <cell r="L1517" t="str">
            <v>0.00%</v>
          </cell>
          <cell r="M1517">
            <v>0</v>
          </cell>
          <cell r="N1517">
            <v>0</v>
          </cell>
          <cell r="O1517" t="str">
            <v>0.00%</v>
          </cell>
          <cell r="P1517">
            <v>4</v>
          </cell>
          <cell r="Q1517">
            <v>274.2</v>
          </cell>
          <cell r="R1517">
            <v>1</v>
          </cell>
        </row>
        <row r="1518">
          <cell r="A1518" t="str">
            <v>25.01.02.02</v>
          </cell>
          <cell r="B1518" t="str">
            <v>SALIDA PARA LUZ DE EMERGENCIA</v>
          </cell>
          <cell r="C1518" t="str">
            <v>pto</v>
          </cell>
          <cell r="D1518">
            <v>1</v>
          </cell>
          <cell r="E1518">
            <v>115.82</v>
          </cell>
          <cell r="F1518">
            <v>115.82</v>
          </cell>
          <cell r="G1518">
            <v>0</v>
          </cell>
          <cell r="H1518">
            <v>0</v>
          </cell>
          <cell r="I1518" t="str">
            <v>0.00%</v>
          </cell>
          <cell r="J1518">
            <v>0</v>
          </cell>
          <cell r="K1518">
            <v>0</v>
          </cell>
          <cell r="L1518" t="str">
            <v>0.00%</v>
          </cell>
          <cell r="M1518">
            <v>0</v>
          </cell>
          <cell r="N1518">
            <v>0</v>
          </cell>
          <cell r="O1518" t="str">
            <v>0.00%</v>
          </cell>
          <cell r="P1518">
            <v>1</v>
          </cell>
          <cell r="Q1518">
            <v>115.82</v>
          </cell>
          <cell r="R1518">
            <v>1</v>
          </cell>
        </row>
        <row r="1519">
          <cell r="A1519" t="str">
            <v>25.01.03</v>
          </cell>
          <cell r="B1519" t="str">
            <v>ARTEFACTOS DE ILUMINACION</v>
          </cell>
          <cell r="C1519">
            <v>0</v>
          </cell>
          <cell r="D1519">
            <v>0</v>
          </cell>
          <cell r="E1519">
            <v>0</v>
          </cell>
          <cell r="F1519">
            <v>0</v>
          </cell>
          <cell r="G1519">
            <v>0</v>
          </cell>
          <cell r="H1519">
            <v>0</v>
          </cell>
          <cell r="I1519">
            <v>0</v>
          </cell>
          <cell r="J1519">
            <v>0</v>
          </cell>
          <cell r="K1519">
            <v>0</v>
          </cell>
          <cell r="L1519">
            <v>0</v>
          </cell>
          <cell r="M1519">
            <v>0</v>
          </cell>
          <cell r="N1519">
            <v>0</v>
          </cell>
          <cell r="O1519">
            <v>0</v>
          </cell>
          <cell r="P1519">
            <v>0</v>
          </cell>
          <cell r="Q1519">
            <v>0</v>
          </cell>
          <cell r="R1519">
            <v>0</v>
          </cell>
        </row>
        <row r="1520">
          <cell r="A1520" t="str">
            <v>25.01.03.01</v>
          </cell>
          <cell r="B1520" t="str">
            <v>Artefacto para adosar, con 02 fluorecente lineales de 18W, con rejilla y sistema optico semiparabolico</v>
          </cell>
          <cell r="C1520" t="str">
            <v>und</v>
          </cell>
          <cell r="D1520">
            <v>4</v>
          </cell>
          <cell r="E1520">
            <v>70.62</v>
          </cell>
          <cell r="F1520">
            <v>282.48</v>
          </cell>
          <cell r="G1520">
            <v>0</v>
          </cell>
          <cell r="H1520">
            <v>0</v>
          </cell>
          <cell r="I1520" t="str">
            <v>0.00%</v>
          </cell>
          <cell r="J1520">
            <v>0</v>
          </cell>
          <cell r="K1520">
            <v>0</v>
          </cell>
          <cell r="L1520" t="str">
            <v>0.00%</v>
          </cell>
          <cell r="M1520">
            <v>0</v>
          </cell>
          <cell r="N1520">
            <v>0</v>
          </cell>
          <cell r="O1520" t="str">
            <v>0.00%</v>
          </cell>
          <cell r="P1520">
            <v>4</v>
          </cell>
          <cell r="Q1520">
            <v>282.48</v>
          </cell>
          <cell r="R1520">
            <v>1</v>
          </cell>
        </row>
        <row r="1521">
          <cell r="A1521" t="str">
            <v>25.01.04</v>
          </cell>
          <cell r="B1521" t="str">
            <v>INTERRUPTORES</v>
          </cell>
          <cell r="C1521">
            <v>0</v>
          </cell>
          <cell r="D1521">
            <v>0</v>
          </cell>
          <cell r="E1521">
            <v>0</v>
          </cell>
          <cell r="F1521">
            <v>0</v>
          </cell>
          <cell r="G1521">
            <v>0</v>
          </cell>
          <cell r="H1521">
            <v>0</v>
          </cell>
          <cell r="I1521">
            <v>0</v>
          </cell>
          <cell r="J1521">
            <v>0</v>
          </cell>
          <cell r="K1521">
            <v>0</v>
          </cell>
          <cell r="L1521">
            <v>0</v>
          </cell>
          <cell r="M1521">
            <v>0</v>
          </cell>
          <cell r="N1521">
            <v>0</v>
          </cell>
          <cell r="O1521">
            <v>0</v>
          </cell>
          <cell r="P1521">
            <v>0</v>
          </cell>
          <cell r="Q1521">
            <v>0</v>
          </cell>
          <cell r="R1521">
            <v>0</v>
          </cell>
        </row>
        <row r="1522">
          <cell r="A1522" t="str">
            <v>25.01.04.01</v>
          </cell>
          <cell r="B1522" t="str">
            <v>SALIDA PARA INTERRUPTOR SIMPLE, INCLUYE INSTALACION DE INTERRUPTOR</v>
          </cell>
          <cell r="C1522" t="str">
            <v>pto</v>
          </cell>
          <cell r="D1522">
            <v>1</v>
          </cell>
          <cell r="E1522">
            <v>53.98</v>
          </cell>
          <cell r="F1522">
            <v>53.98</v>
          </cell>
          <cell r="G1522">
            <v>0</v>
          </cell>
          <cell r="H1522">
            <v>0</v>
          </cell>
          <cell r="I1522" t="str">
            <v>0.00%</v>
          </cell>
          <cell r="J1522">
            <v>0</v>
          </cell>
          <cell r="K1522">
            <v>0</v>
          </cell>
          <cell r="L1522" t="str">
            <v>0.00%</v>
          </cell>
          <cell r="M1522">
            <v>0</v>
          </cell>
          <cell r="N1522">
            <v>0</v>
          </cell>
          <cell r="O1522" t="str">
            <v>0.00%</v>
          </cell>
          <cell r="P1522">
            <v>1</v>
          </cell>
          <cell r="Q1522">
            <v>53.98</v>
          </cell>
          <cell r="R1522">
            <v>1</v>
          </cell>
        </row>
        <row r="1523">
          <cell r="A1523" t="str">
            <v>25.01.04.02</v>
          </cell>
          <cell r="B1523" t="str">
            <v>SALIDA PARA INTERRUPTOR DOBLE, INCLUYE INSTALACION DE INTERRUPTOR</v>
          </cell>
          <cell r="C1523" t="str">
            <v>pto</v>
          </cell>
          <cell r="D1523">
            <v>1</v>
          </cell>
          <cell r="E1523">
            <v>55.98</v>
          </cell>
          <cell r="F1523">
            <v>55.98</v>
          </cell>
          <cell r="G1523">
            <v>0</v>
          </cell>
          <cell r="H1523">
            <v>0</v>
          </cell>
          <cell r="I1523" t="str">
            <v>0.00%</v>
          </cell>
          <cell r="J1523">
            <v>0</v>
          </cell>
          <cell r="K1523">
            <v>0</v>
          </cell>
          <cell r="L1523" t="str">
            <v>0.00%</v>
          </cell>
          <cell r="M1523">
            <v>0</v>
          </cell>
          <cell r="N1523">
            <v>0</v>
          </cell>
          <cell r="O1523" t="str">
            <v>0.00%</v>
          </cell>
          <cell r="P1523">
            <v>1</v>
          </cell>
          <cell r="Q1523">
            <v>55.98</v>
          </cell>
          <cell r="R1523">
            <v>1</v>
          </cell>
        </row>
        <row r="1524">
          <cell r="A1524" t="str">
            <v>25.01.05</v>
          </cell>
          <cell r="B1524" t="str">
            <v>TOMACORRIENTES</v>
          </cell>
          <cell r="C1524">
            <v>0</v>
          </cell>
          <cell r="D1524">
            <v>0</v>
          </cell>
          <cell r="E1524">
            <v>0</v>
          </cell>
          <cell r="F1524">
            <v>0</v>
          </cell>
          <cell r="G1524">
            <v>0</v>
          </cell>
          <cell r="H1524">
            <v>0</v>
          </cell>
          <cell r="I1524">
            <v>0</v>
          </cell>
          <cell r="J1524">
            <v>0</v>
          </cell>
          <cell r="K1524">
            <v>0</v>
          </cell>
          <cell r="L1524">
            <v>0</v>
          </cell>
          <cell r="M1524">
            <v>0</v>
          </cell>
          <cell r="N1524">
            <v>0</v>
          </cell>
          <cell r="O1524">
            <v>0</v>
          </cell>
          <cell r="P1524">
            <v>0</v>
          </cell>
          <cell r="Q1524">
            <v>0</v>
          </cell>
          <cell r="R1524">
            <v>0</v>
          </cell>
        </row>
        <row r="1525">
          <cell r="A1525" t="str">
            <v>25.01.05.01</v>
          </cell>
          <cell r="B1525" t="str">
            <v>SALIDA PARA TOMACORRIENTES DOBLE CON PUESTA TIERRA, INCLUYE INSTALACION DE TOMACORRIENTE</v>
          </cell>
          <cell r="C1525" t="str">
            <v>pto</v>
          </cell>
          <cell r="D1525">
            <v>1</v>
          </cell>
          <cell r="E1525">
            <v>95.35</v>
          </cell>
          <cell r="F1525">
            <v>95.35</v>
          </cell>
          <cell r="G1525">
            <v>0</v>
          </cell>
          <cell r="H1525">
            <v>0</v>
          </cell>
          <cell r="I1525" t="str">
            <v>0.00%</v>
          </cell>
          <cell r="J1525">
            <v>0</v>
          </cell>
          <cell r="K1525">
            <v>0</v>
          </cell>
          <cell r="L1525" t="str">
            <v>0.00%</v>
          </cell>
          <cell r="M1525">
            <v>0</v>
          </cell>
          <cell r="N1525">
            <v>0</v>
          </cell>
          <cell r="O1525" t="str">
            <v>0.00%</v>
          </cell>
          <cell r="P1525">
            <v>1</v>
          </cell>
          <cell r="Q1525">
            <v>95.35</v>
          </cell>
          <cell r="R1525">
            <v>1</v>
          </cell>
        </row>
        <row r="1526">
          <cell r="A1526" t="str">
            <v>25.01.05.02</v>
          </cell>
          <cell r="B1526" t="str">
            <v>SALIDA PARA TOMACORRIENTE DE FUERZA PARA BOMBA DE AGUA Y CONTROL DE NIVEL, INCLUYE INSTALACION DE TOMACORRIENTE</v>
          </cell>
          <cell r="C1526" t="str">
            <v>pto</v>
          </cell>
          <cell r="D1526">
            <v>3</v>
          </cell>
          <cell r="E1526">
            <v>96.33</v>
          </cell>
          <cell r="F1526">
            <v>288.99</v>
          </cell>
          <cell r="G1526">
            <v>0</v>
          </cell>
          <cell r="H1526">
            <v>0</v>
          </cell>
          <cell r="I1526" t="str">
            <v>0.00%</v>
          </cell>
          <cell r="J1526">
            <v>0</v>
          </cell>
          <cell r="K1526">
            <v>0</v>
          </cell>
          <cell r="L1526" t="str">
            <v>0.00%</v>
          </cell>
          <cell r="M1526">
            <v>0</v>
          </cell>
          <cell r="N1526">
            <v>0</v>
          </cell>
          <cell r="O1526" t="str">
            <v>0.00%</v>
          </cell>
          <cell r="P1526">
            <v>3</v>
          </cell>
          <cell r="Q1526">
            <v>288.99</v>
          </cell>
          <cell r="R1526">
            <v>1</v>
          </cell>
        </row>
        <row r="1527">
          <cell r="A1527" t="str">
            <v>26</v>
          </cell>
          <cell r="B1527" t="str">
            <v>PATIO DE HONOR CON CUBIERTA</v>
          </cell>
          <cell r="C1527">
            <v>0</v>
          </cell>
          <cell r="D1527">
            <v>0</v>
          </cell>
          <cell r="E1527">
            <v>0</v>
          </cell>
          <cell r="F1527">
            <v>0</v>
          </cell>
          <cell r="G1527">
            <v>0</v>
          </cell>
          <cell r="H1527">
            <v>0</v>
          </cell>
          <cell r="I1527">
            <v>0</v>
          </cell>
          <cell r="J1527">
            <v>0</v>
          </cell>
          <cell r="K1527">
            <v>0</v>
          </cell>
          <cell r="L1527">
            <v>0</v>
          </cell>
          <cell r="M1527">
            <v>0</v>
          </cell>
          <cell r="N1527">
            <v>0</v>
          </cell>
          <cell r="O1527">
            <v>0</v>
          </cell>
          <cell r="P1527">
            <v>0</v>
          </cell>
          <cell r="Q1527">
            <v>0</v>
          </cell>
          <cell r="R1527">
            <v>0</v>
          </cell>
        </row>
        <row r="1528">
          <cell r="A1528" t="str">
            <v>26.01</v>
          </cell>
          <cell r="B1528" t="str">
            <v>INSTALACIONES ELECTRICAS</v>
          </cell>
          <cell r="C1528">
            <v>0</v>
          </cell>
          <cell r="D1528">
            <v>0</v>
          </cell>
          <cell r="E1528">
            <v>0</v>
          </cell>
          <cell r="F1528">
            <v>0</v>
          </cell>
          <cell r="G1528">
            <v>0</v>
          </cell>
          <cell r="H1528">
            <v>0</v>
          </cell>
          <cell r="I1528">
            <v>0</v>
          </cell>
          <cell r="J1528">
            <v>0</v>
          </cell>
          <cell r="K1528">
            <v>0</v>
          </cell>
          <cell r="L1528">
            <v>0</v>
          </cell>
          <cell r="M1528">
            <v>0</v>
          </cell>
          <cell r="N1528">
            <v>0</v>
          </cell>
          <cell r="O1528">
            <v>0</v>
          </cell>
          <cell r="P1528">
            <v>0</v>
          </cell>
          <cell r="Q1528">
            <v>0</v>
          </cell>
          <cell r="R1528">
            <v>0</v>
          </cell>
        </row>
        <row r="1529">
          <cell r="A1529" t="str">
            <v>26.01.01</v>
          </cell>
          <cell r="B1529" t="str">
            <v>EXCAVACION DE ZANJA</v>
          </cell>
          <cell r="C1529">
            <v>0</v>
          </cell>
          <cell r="D1529">
            <v>0</v>
          </cell>
          <cell r="E1529">
            <v>0</v>
          </cell>
          <cell r="F1529">
            <v>0</v>
          </cell>
          <cell r="G1529">
            <v>0</v>
          </cell>
          <cell r="H1529">
            <v>0</v>
          </cell>
          <cell r="I1529">
            <v>0</v>
          </cell>
          <cell r="J1529">
            <v>0</v>
          </cell>
          <cell r="K1529">
            <v>0</v>
          </cell>
          <cell r="L1529">
            <v>0</v>
          </cell>
          <cell r="M1529">
            <v>0</v>
          </cell>
          <cell r="N1529">
            <v>0</v>
          </cell>
          <cell r="O1529">
            <v>0</v>
          </cell>
          <cell r="P1529">
            <v>0</v>
          </cell>
          <cell r="Q1529">
            <v>0</v>
          </cell>
          <cell r="R1529">
            <v>0</v>
          </cell>
        </row>
        <row r="1530">
          <cell r="A1530" t="str">
            <v>26.01.01.01</v>
          </cell>
          <cell r="B1530" t="str">
            <v>CAVADO DE ZANJA, SEÑALIZACION, PROTECCION Y RELLENO DE ZANJA</v>
          </cell>
          <cell r="C1530" t="str">
            <v>m</v>
          </cell>
          <cell r="D1530">
            <v>25</v>
          </cell>
          <cell r="E1530">
            <v>71.78</v>
          </cell>
          <cell r="F1530">
            <v>1794.5</v>
          </cell>
          <cell r="G1530">
            <v>0</v>
          </cell>
          <cell r="H1530">
            <v>0</v>
          </cell>
          <cell r="I1530" t="str">
            <v>0.00%</v>
          </cell>
          <cell r="J1530">
            <v>0</v>
          </cell>
          <cell r="K1530">
            <v>0</v>
          </cell>
          <cell r="L1530" t="str">
            <v>0.00%</v>
          </cell>
          <cell r="M1530">
            <v>0</v>
          </cell>
          <cell r="N1530">
            <v>0</v>
          </cell>
          <cell r="O1530" t="str">
            <v>0.00%</v>
          </cell>
          <cell r="P1530">
            <v>25</v>
          </cell>
          <cell r="Q1530">
            <v>1794.5</v>
          </cell>
          <cell r="R1530">
            <v>1</v>
          </cell>
        </row>
        <row r="1531">
          <cell r="A1531" t="str">
            <v>26.01.02</v>
          </cell>
          <cell r="B1531" t="str">
            <v>CABLE SUBTERRANEO</v>
          </cell>
          <cell r="C1531">
            <v>0</v>
          </cell>
          <cell r="D1531">
            <v>0</v>
          </cell>
          <cell r="E1531">
            <v>0</v>
          </cell>
          <cell r="F1531">
            <v>0</v>
          </cell>
          <cell r="G1531">
            <v>0</v>
          </cell>
          <cell r="H1531">
            <v>0</v>
          </cell>
          <cell r="I1531">
            <v>0</v>
          </cell>
          <cell r="J1531">
            <v>0</v>
          </cell>
          <cell r="K1531">
            <v>0</v>
          </cell>
          <cell r="L1531">
            <v>0</v>
          </cell>
          <cell r="M1531">
            <v>0</v>
          </cell>
          <cell r="N1531">
            <v>0</v>
          </cell>
          <cell r="O1531">
            <v>0</v>
          </cell>
          <cell r="P1531">
            <v>0</v>
          </cell>
          <cell r="Q1531">
            <v>0</v>
          </cell>
          <cell r="R1531">
            <v>0</v>
          </cell>
        </row>
        <row r="1532">
          <cell r="A1532" t="str">
            <v>26.01.02.01</v>
          </cell>
          <cell r="B1532" t="str">
            <v>TENDIDO DE CABLE SUBTERRANEO  N2XOH (2-1x6+1x6 (T))mm2</v>
          </cell>
          <cell r="C1532" t="str">
            <v>m</v>
          </cell>
          <cell r="D1532">
            <v>70</v>
          </cell>
          <cell r="E1532">
            <v>15.48</v>
          </cell>
          <cell r="F1532">
            <v>1083.6000000000001</v>
          </cell>
          <cell r="G1532">
            <v>0</v>
          </cell>
          <cell r="H1532">
            <v>0</v>
          </cell>
          <cell r="I1532" t="str">
            <v>0.00%</v>
          </cell>
          <cell r="J1532">
            <v>0</v>
          </cell>
          <cell r="K1532">
            <v>0</v>
          </cell>
          <cell r="L1532" t="str">
            <v>0.00%</v>
          </cell>
          <cell r="M1532">
            <v>0</v>
          </cell>
          <cell r="N1532">
            <v>0</v>
          </cell>
          <cell r="O1532" t="str">
            <v>0.00%</v>
          </cell>
          <cell r="P1532">
            <v>70</v>
          </cell>
          <cell r="Q1532">
            <v>1083.6000000000001</v>
          </cell>
          <cell r="R1532">
            <v>1</v>
          </cell>
        </row>
        <row r="1533">
          <cell r="A1533" t="str">
            <v>26.01.03</v>
          </cell>
          <cell r="B1533" t="str">
            <v>DUCTOS O TUBERIAS</v>
          </cell>
          <cell r="C1533">
            <v>0</v>
          </cell>
          <cell r="D1533">
            <v>0</v>
          </cell>
          <cell r="E1533">
            <v>0</v>
          </cell>
          <cell r="F1533">
            <v>0</v>
          </cell>
          <cell r="G1533">
            <v>0</v>
          </cell>
          <cell r="H1533">
            <v>0</v>
          </cell>
          <cell r="I1533">
            <v>0</v>
          </cell>
          <cell r="J1533">
            <v>0</v>
          </cell>
          <cell r="K1533">
            <v>0</v>
          </cell>
          <cell r="L1533">
            <v>0</v>
          </cell>
          <cell r="M1533">
            <v>0</v>
          </cell>
          <cell r="N1533">
            <v>0</v>
          </cell>
          <cell r="O1533">
            <v>0</v>
          </cell>
          <cell r="P1533">
            <v>0</v>
          </cell>
          <cell r="Q1533">
            <v>0</v>
          </cell>
          <cell r="R1533">
            <v>0</v>
          </cell>
        </row>
        <row r="1534">
          <cell r="A1534" t="str">
            <v>26.01.03.01</v>
          </cell>
          <cell r="B1534" t="str">
            <v>TUBERIA PVC - P Ø 30 mm</v>
          </cell>
          <cell r="C1534" t="str">
            <v>m</v>
          </cell>
          <cell r="D1534">
            <v>25</v>
          </cell>
          <cell r="E1534">
            <v>8.25</v>
          </cell>
          <cell r="F1534">
            <v>206.25</v>
          </cell>
          <cell r="G1534">
            <v>0</v>
          </cell>
          <cell r="H1534">
            <v>0</v>
          </cell>
          <cell r="I1534" t="str">
            <v>0.00%</v>
          </cell>
          <cell r="J1534">
            <v>0</v>
          </cell>
          <cell r="K1534">
            <v>0</v>
          </cell>
          <cell r="L1534" t="str">
            <v>0.00%</v>
          </cell>
          <cell r="M1534">
            <v>0</v>
          </cell>
          <cell r="N1534">
            <v>0</v>
          </cell>
          <cell r="O1534" t="str">
            <v>0.00%</v>
          </cell>
          <cell r="P1534">
            <v>25</v>
          </cell>
          <cell r="Q1534">
            <v>206.25</v>
          </cell>
          <cell r="R1534">
            <v>1</v>
          </cell>
        </row>
        <row r="1535">
          <cell r="A1535" t="str">
            <v>26.01.03.02</v>
          </cell>
          <cell r="B1535" t="str">
            <v>TUBERIA CONDUIT Ø 19 mm.</v>
          </cell>
          <cell r="C1535" t="str">
            <v>m</v>
          </cell>
          <cell r="D1535">
            <v>45</v>
          </cell>
          <cell r="E1535">
            <v>17.559999999999999</v>
          </cell>
          <cell r="F1535">
            <v>790.19999999999993</v>
          </cell>
          <cell r="G1535">
            <v>0</v>
          </cell>
          <cell r="H1535">
            <v>0</v>
          </cell>
          <cell r="I1535" t="str">
            <v>0.00%</v>
          </cell>
          <cell r="J1535">
            <v>0</v>
          </cell>
          <cell r="K1535">
            <v>0</v>
          </cell>
          <cell r="L1535" t="str">
            <v>0.00%</v>
          </cell>
          <cell r="M1535">
            <v>0</v>
          </cell>
          <cell r="N1535">
            <v>0</v>
          </cell>
          <cell r="O1535" t="str">
            <v>0.00%</v>
          </cell>
          <cell r="P1535">
            <v>45</v>
          </cell>
          <cell r="Q1535">
            <v>790.19999999999993</v>
          </cell>
          <cell r="R1535">
            <v>1</v>
          </cell>
        </row>
        <row r="1536">
          <cell r="A1536" t="str">
            <v>26.01.04</v>
          </cell>
          <cell r="B1536" t="str">
            <v>ARMADO DE BUZON DE CONCRETO</v>
          </cell>
          <cell r="C1536">
            <v>0</v>
          </cell>
          <cell r="D1536">
            <v>0</v>
          </cell>
          <cell r="E1536">
            <v>0</v>
          </cell>
          <cell r="F1536">
            <v>0</v>
          </cell>
          <cell r="G1536">
            <v>0</v>
          </cell>
          <cell r="H1536">
            <v>0</v>
          </cell>
          <cell r="I1536">
            <v>0</v>
          </cell>
          <cell r="J1536">
            <v>0</v>
          </cell>
          <cell r="K1536">
            <v>0</v>
          </cell>
          <cell r="L1536">
            <v>0</v>
          </cell>
          <cell r="M1536">
            <v>0</v>
          </cell>
          <cell r="N1536">
            <v>0</v>
          </cell>
          <cell r="O1536">
            <v>0</v>
          </cell>
          <cell r="P1536">
            <v>0</v>
          </cell>
          <cell r="Q1536">
            <v>0</v>
          </cell>
          <cell r="R1536">
            <v>0</v>
          </cell>
        </row>
        <row r="1537">
          <cell r="A1537" t="str">
            <v>26.01.04.01</v>
          </cell>
          <cell r="B1537" t="str">
            <v>CAVADO Y ARMADO DE BUZON CUADRADO DE CONCRETO EN EL PISO CON TAPA DE CONCRETO</v>
          </cell>
          <cell r="C1537" t="str">
            <v>und</v>
          </cell>
          <cell r="D1537">
            <v>1</v>
          </cell>
          <cell r="E1537">
            <v>284.02999999999997</v>
          </cell>
          <cell r="F1537">
            <v>284.02999999999997</v>
          </cell>
          <cell r="G1537">
            <v>0</v>
          </cell>
          <cell r="H1537">
            <v>0</v>
          </cell>
          <cell r="I1537" t="str">
            <v>0.00%</v>
          </cell>
          <cell r="J1537">
            <v>0</v>
          </cell>
          <cell r="K1537">
            <v>0</v>
          </cell>
          <cell r="L1537" t="str">
            <v>0.00%</v>
          </cell>
          <cell r="M1537">
            <v>0</v>
          </cell>
          <cell r="N1537">
            <v>0</v>
          </cell>
          <cell r="O1537" t="str">
            <v>0.00%</v>
          </cell>
          <cell r="P1537">
            <v>1</v>
          </cell>
          <cell r="Q1537">
            <v>284.02999999999997</v>
          </cell>
          <cell r="R1537">
            <v>1</v>
          </cell>
        </row>
        <row r="1538">
          <cell r="A1538" t="str">
            <v>26.01.04.02</v>
          </cell>
          <cell r="B1538" t="str">
            <v>CAVADO Y ARMADO DE BUZON CIRCULAR DE CONCRETO EN EL PISO CON TAPA DE CONCRETO</v>
          </cell>
          <cell r="C1538" t="str">
            <v>und</v>
          </cell>
          <cell r="D1538">
            <v>2</v>
          </cell>
          <cell r="E1538">
            <v>287.52999999999997</v>
          </cell>
          <cell r="F1538">
            <v>575.05999999999995</v>
          </cell>
          <cell r="G1538">
            <v>0</v>
          </cell>
          <cell r="H1538">
            <v>0</v>
          </cell>
          <cell r="I1538" t="str">
            <v>0.00%</v>
          </cell>
          <cell r="J1538">
            <v>0</v>
          </cell>
          <cell r="K1538">
            <v>0</v>
          </cell>
          <cell r="L1538" t="str">
            <v>0.00%</v>
          </cell>
          <cell r="M1538">
            <v>0</v>
          </cell>
          <cell r="N1538">
            <v>0</v>
          </cell>
          <cell r="O1538" t="str">
            <v>0.00%</v>
          </cell>
          <cell r="P1538">
            <v>2</v>
          </cell>
          <cell r="Q1538">
            <v>575.05999999999995</v>
          </cell>
          <cell r="R1538">
            <v>1</v>
          </cell>
        </row>
        <row r="1539">
          <cell r="A1539" t="str">
            <v>26.01.05</v>
          </cell>
          <cell r="B1539" t="str">
            <v xml:space="preserve">SALIDA PARA REFLECTORES  </v>
          </cell>
          <cell r="C1539">
            <v>0</v>
          </cell>
          <cell r="D1539">
            <v>0</v>
          </cell>
          <cell r="E1539">
            <v>0</v>
          </cell>
          <cell r="F1539">
            <v>0</v>
          </cell>
          <cell r="G1539">
            <v>0</v>
          </cell>
          <cell r="H1539">
            <v>0</v>
          </cell>
          <cell r="I1539">
            <v>0</v>
          </cell>
          <cell r="J1539">
            <v>0</v>
          </cell>
          <cell r="K1539">
            <v>0</v>
          </cell>
          <cell r="L1539">
            <v>0</v>
          </cell>
          <cell r="M1539">
            <v>0</v>
          </cell>
          <cell r="N1539">
            <v>0</v>
          </cell>
          <cell r="O1539">
            <v>0</v>
          </cell>
          <cell r="P1539">
            <v>0</v>
          </cell>
          <cell r="Q1539">
            <v>0</v>
          </cell>
          <cell r="R1539">
            <v>0</v>
          </cell>
        </row>
        <row r="1540">
          <cell r="A1540" t="str">
            <v>26.01.05.01</v>
          </cell>
          <cell r="B1540" t="str">
            <v>SALIDA PARA CENTRO DE REFLECTOR</v>
          </cell>
          <cell r="C1540" t="str">
            <v>pto</v>
          </cell>
          <cell r="D1540">
            <v>4</v>
          </cell>
          <cell r="E1540">
            <v>92.14</v>
          </cell>
          <cell r="F1540">
            <v>368.56</v>
          </cell>
          <cell r="G1540">
            <v>0</v>
          </cell>
          <cell r="H1540">
            <v>0</v>
          </cell>
          <cell r="I1540" t="str">
            <v>0.00%</v>
          </cell>
          <cell r="J1540">
            <v>0</v>
          </cell>
          <cell r="K1540">
            <v>0</v>
          </cell>
          <cell r="L1540" t="str">
            <v>0.00%</v>
          </cell>
          <cell r="M1540">
            <v>0</v>
          </cell>
          <cell r="N1540">
            <v>0</v>
          </cell>
          <cell r="O1540" t="str">
            <v>0.00%</v>
          </cell>
          <cell r="P1540">
            <v>4</v>
          </cell>
          <cell r="Q1540">
            <v>368.56</v>
          </cell>
          <cell r="R1540">
            <v>1</v>
          </cell>
        </row>
        <row r="1541">
          <cell r="A1541" t="str">
            <v>26.01.06</v>
          </cell>
          <cell r="B1541" t="str">
            <v>ARTEFACTOS DE ILUMINACION</v>
          </cell>
          <cell r="C1541">
            <v>0</v>
          </cell>
          <cell r="D1541">
            <v>0</v>
          </cell>
          <cell r="E1541">
            <v>0</v>
          </cell>
          <cell r="F1541">
            <v>0</v>
          </cell>
          <cell r="G1541">
            <v>0</v>
          </cell>
          <cell r="H1541">
            <v>0</v>
          </cell>
          <cell r="I1541">
            <v>0</v>
          </cell>
          <cell r="J1541">
            <v>0</v>
          </cell>
          <cell r="K1541">
            <v>0</v>
          </cell>
          <cell r="L1541">
            <v>0</v>
          </cell>
          <cell r="M1541">
            <v>0</v>
          </cell>
          <cell r="N1541">
            <v>0</v>
          </cell>
          <cell r="O1541">
            <v>0</v>
          </cell>
          <cell r="P1541">
            <v>0</v>
          </cell>
          <cell r="Q1541">
            <v>0</v>
          </cell>
          <cell r="R1541">
            <v>0</v>
          </cell>
        </row>
        <row r="1542">
          <cell r="A1542" t="str">
            <v>26.01.06.01</v>
          </cell>
          <cell r="B1542" t="str">
            <v>Suminist. Inst. Reflector con lamp. 250 W. halogenuro metalico HPI plus-ovoide-data</v>
          </cell>
          <cell r="C1542" t="str">
            <v>und</v>
          </cell>
          <cell r="D1542">
            <v>4</v>
          </cell>
          <cell r="E1542">
            <v>392.9</v>
          </cell>
          <cell r="F1542">
            <v>1571.6</v>
          </cell>
          <cell r="G1542">
            <v>0</v>
          </cell>
          <cell r="H1542">
            <v>0</v>
          </cell>
          <cell r="I1542" t="str">
            <v>0.00%</v>
          </cell>
          <cell r="J1542">
            <v>0</v>
          </cell>
          <cell r="K1542">
            <v>0</v>
          </cell>
          <cell r="L1542" t="str">
            <v>0.00%</v>
          </cell>
          <cell r="M1542">
            <v>0</v>
          </cell>
          <cell r="N1542">
            <v>0</v>
          </cell>
          <cell r="O1542" t="str">
            <v>0.00%</v>
          </cell>
          <cell r="P1542">
            <v>4</v>
          </cell>
          <cell r="Q1542">
            <v>1571.6</v>
          </cell>
          <cell r="R1542">
            <v>1</v>
          </cell>
        </row>
        <row r="1543">
          <cell r="A1543" t="str">
            <v>27</v>
          </cell>
          <cell r="B1543" t="str">
            <v>ILUMINACION DE EXTERIORES</v>
          </cell>
          <cell r="C1543">
            <v>0</v>
          </cell>
          <cell r="D1543">
            <v>0</v>
          </cell>
          <cell r="E1543">
            <v>0</v>
          </cell>
          <cell r="F1543">
            <v>0</v>
          </cell>
          <cell r="G1543">
            <v>0</v>
          </cell>
          <cell r="H1543">
            <v>0</v>
          </cell>
          <cell r="I1543">
            <v>0</v>
          </cell>
          <cell r="J1543">
            <v>0</v>
          </cell>
          <cell r="K1543">
            <v>0</v>
          </cell>
          <cell r="L1543">
            <v>0</v>
          </cell>
          <cell r="M1543">
            <v>0</v>
          </cell>
          <cell r="N1543">
            <v>0</v>
          </cell>
          <cell r="O1543">
            <v>0</v>
          </cell>
          <cell r="P1543">
            <v>0</v>
          </cell>
          <cell r="Q1543">
            <v>0</v>
          </cell>
          <cell r="R1543">
            <v>0</v>
          </cell>
        </row>
        <row r="1544">
          <cell r="A1544" t="str">
            <v>27.01</v>
          </cell>
          <cell r="B1544" t="str">
            <v>INSTALACIONES ELECTRICAS</v>
          </cell>
          <cell r="C1544">
            <v>0</v>
          </cell>
          <cell r="D1544">
            <v>0</v>
          </cell>
          <cell r="E1544">
            <v>0</v>
          </cell>
          <cell r="F1544">
            <v>0</v>
          </cell>
          <cell r="G1544">
            <v>0</v>
          </cell>
          <cell r="H1544">
            <v>0</v>
          </cell>
          <cell r="I1544">
            <v>0</v>
          </cell>
          <cell r="J1544">
            <v>0</v>
          </cell>
          <cell r="K1544">
            <v>0</v>
          </cell>
          <cell r="L1544">
            <v>0</v>
          </cell>
          <cell r="M1544">
            <v>0</v>
          </cell>
          <cell r="N1544">
            <v>0</v>
          </cell>
          <cell r="O1544">
            <v>0</v>
          </cell>
          <cell r="P1544">
            <v>0</v>
          </cell>
          <cell r="Q1544">
            <v>0</v>
          </cell>
          <cell r="R1544">
            <v>0</v>
          </cell>
        </row>
        <row r="1545">
          <cell r="A1545" t="str">
            <v>27.01.01</v>
          </cell>
          <cell r="B1545" t="str">
            <v>EXCAVACION DE ZANJA</v>
          </cell>
          <cell r="C1545">
            <v>0</v>
          </cell>
          <cell r="D1545">
            <v>0</v>
          </cell>
          <cell r="E1545">
            <v>0</v>
          </cell>
          <cell r="F1545">
            <v>0</v>
          </cell>
          <cell r="G1545">
            <v>0</v>
          </cell>
          <cell r="H1545">
            <v>0</v>
          </cell>
          <cell r="I1545">
            <v>0</v>
          </cell>
          <cell r="J1545">
            <v>0</v>
          </cell>
          <cell r="K1545">
            <v>0</v>
          </cell>
          <cell r="L1545">
            <v>0</v>
          </cell>
          <cell r="M1545">
            <v>0</v>
          </cell>
          <cell r="N1545">
            <v>0</v>
          </cell>
          <cell r="O1545">
            <v>0</v>
          </cell>
          <cell r="P1545">
            <v>0</v>
          </cell>
          <cell r="Q1545">
            <v>0</v>
          </cell>
          <cell r="R1545">
            <v>0</v>
          </cell>
        </row>
        <row r="1546">
          <cell r="A1546" t="str">
            <v>27.01.01.01</v>
          </cell>
          <cell r="B1546" t="str">
            <v>CAVADO DE ZANJA, SEÑALIZACION, PROTECCION Y RELLENO DE ZANJA</v>
          </cell>
          <cell r="C1546" t="str">
            <v>m</v>
          </cell>
          <cell r="D1546">
            <v>56</v>
          </cell>
          <cell r="E1546">
            <v>71.78</v>
          </cell>
          <cell r="F1546">
            <v>4019.6800000000003</v>
          </cell>
          <cell r="G1546">
            <v>0</v>
          </cell>
          <cell r="H1546">
            <v>0</v>
          </cell>
          <cell r="I1546" t="str">
            <v>0.00%</v>
          </cell>
          <cell r="J1546">
            <v>0</v>
          </cell>
          <cell r="K1546">
            <v>0</v>
          </cell>
          <cell r="L1546" t="str">
            <v>0.00%</v>
          </cell>
          <cell r="M1546">
            <v>0</v>
          </cell>
          <cell r="N1546">
            <v>0</v>
          </cell>
          <cell r="O1546" t="str">
            <v>0.00%</v>
          </cell>
          <cell r="P1546">
            <v>56</v>
          </cell>
          <cell r="Q1546">
            <v>4019.6800000000003</v>
          </cell>
          <cell r="R1546">
            <v>1</v>
          </cell>
        </row>
        <row r="1547">
          <cell r="A1547" t="str">
            <v>27.01.02</v>
          </cell>
          <cell r="B1547" t="str">
            <v>CABLE SUBTERRANEO</v>
          </cell>
          <cell r="C1547">
            <v>0</v>
          </cell>
          <cell r="D1547">
            <v>0</v>
          </cell>
          <cell r="E1547">
            <v>0</v>
          </cell>
          <cell r="F1547">
            <v>0</v>
          </cell>
          <cell r="G1547">
            <v>0</v>
          </cell>
          <cell r="H1547">
            <v>0</v>
          </cell>
          <cell r="I1547">
            <v>0</v>
          </cell>
          <cell r="J1547">
            <v>0</v>
          </cell>
          <cell r="K1547">
            <v>0</v>
          </cell>
          <cell r="L1547">
            <v>0</v>
          </cell>
          <cell r="M1547">
            <v>0</v>
          </cell>
          <cell r="N1547">
            <v>0</v>
          </cell>
          <cell r="O1547">
            <v>0</v>
          </cell>
          <cell r="P1547">
            <v>0</v>
          </cell>
          <cell r="Q1547">
            <v>0</v>
          </cell>
          <cell r="R1547">
            <v>0</v>
          </cell>
        </row>
        <row r="1548">
          <cell r="A1548" t="str">
            <v>27.01.02.01</v>
          </cell>
          <cell r="B1548" t="str">
            <v>TENDIDO DE CABLE SUBTERRANEO N2XOH DE 2-1x4mm2</v>
          </cell>
          <cell r="C1548" t="str">
            <v>m</v>
          </cell>
          <cell r="D1548">
            <v>95</v>
          </cell>
          <cell r="E1548">
            <v>10.88</v>
          </cell>
          <cell r="F1548">
            <v>1033.6000000000001</v>
          </cell>
          <cell r="G1548">
            <v>0</v>
          </cell>
          <cell r="H1548">
            <v>0</v>
          </cell>
          <cell r="I1548" t="str">
            <v>0.00%</v>
          </cell>
          <cell r="J1548">
            <v>0</v>
          </cell>
          <cell r="K1548">
            <v>0</v>
          </cell>
          <cell r="L1548" t="str">
            <v>0.00%</v>
          </cell>
          <cell r="M1548">
            <v>0</v>
          </cell>
          <cell r="N1548">
            <v>0</v>
          </cell>
          <cell r="O1548" t="str">
            <v>0.00%</v>
          </cell>
          <cell r="P1548">
            <v>95</v>
          </cell>
          <cell r="Q1548">
            <v>1033.6000000000001</v>
          </cell>
          <cell r="R1548">
            <v>1</v>
          </cell>
        </row>
        <row r="1549">
          <cell r="A1549" t="str">
            <v>27.01.03</v>
          </cell>
          <cell r="B1549" t="str">
            <v>DUCTOS O TUBERIAS</v>
          </cell>
          <cell r="C1549">
            <v>0</v>
          </cell>
          <cell r="D1549">
            <v>0</v>
          </cell>
          <cell r="E1549">
            <v>0</v>
          </cell>
          <cell r="F1549">
            <v>0</v>
          </cell>
          <cell r="G1549">
            <v>0</v>
          </cell>
          <cell r="H1549">
            <v>0</v>
          </cell>
          <cell r="I1549">
            <v>0</v>
          </cell>
          <cell r="J1549">
            <v>0</v>
          </cell>
          <cell r="K1549">
            <v>0</v>
          </cell>
          <cell r="L1549">
            <v>0</v>
          </cell>
          <cell r="M1549">
            <v>0</v>
          </cell>
          <cell r="N1549">
            <v>0</v>
          </cell>
          <cell r="O1549">
            <v>0</v>
          </cell>
          <cell r="P1549">
            <v>0</v>
          </cell>
          <cell r="Q1549">
            <v>0</v>
          </cell>
          <cell r="R1549">
            <v>0</v>
          </cell>
        </row>
        <row r="1550">
          <cell r="A1550" t="str">
            <v>27.01.03.01</v>
          </cell>
          <cell r="B1550" t="str">
            <v>TUBERIA PVC - P Ø 25 mm</v>
          </cell>
          <cell r="C1550" t="str">
            <v>m</v>
          </cell>
          <cell r="D1550">
            <v>56</v>
          </cell>
          <cell r="E1550">
            <v>7.93</v>
          </cell>
          <cell r="F1550">
            <v>444.08</v>
          </cell>
          <cell r="G1550">
            <v>0</v>
          </cell>
          <cell r="H1550">
            <v>0</v>
          </cell>
          <cell r="I1550" t="str">
            <v>0.00%</v>
          </cell>
          <cell r="J1550">
            <v>0</v>
          </cell>
          <cell r="K1550">
            <v>0</v>
          </cell>
          <cell r="L1550" t="str">
            <v>0.00%</v>
          </cell>
          <cell r="M1550">
            <v>0</v>
          </cell>
          <cell r="N1550">
            <v>0</v>
          </cell>
          <cell r="O1550" t="str">
            <v>0.00%</v>
          </cell>
          <cell r="P1550">
            <v>56</v>
          </cell>
          <cell r="Q1550">
            <v>444.08</v>
          </cell>
          <cell r="R1550">
            <v>1</v>
          </cell>
        </row>
        <row r="1551">
          <cell r="A1551" t="str">
            <v>27.01.04</v>
          </cell>
          <cell r="B1551" t="str">
            <v>SUMINISTRO E INSTALACION DE POSTES</v>
          </cell>
          <cell r="C1551">
            <v>0</v>
          </cell>
          <cell r="D1551">
            <v>0</v>
          </cell>
          <cell r="E1551">
            <v>0</v>
          </cell>
          <cell r="F1551">
            <v>0</v>
          </cell>
          <cell r="G1551">
            <v>0</v>
          </cell>
          <cell r="H1551">
            <v>0</v>
          </cell>
          <cell r="I1551">
            <v>0</v>
          </cell>
          <cell r="J1551">
            <v>0</v>
          </cell>
          <cell r="K1551">
            <v>0</v>
          </cell>
          <cell r="L1551">
            <v>0</v>
          </cell>
          <cell r="M1551">
            <v>0</v>
          </cell>
          <cell r="N1551">
            <v>0</v>
          </cell>
          <cell r="O1551">
            <v>0</v>
          </cell>
          <cell r="P1551">
            <v>0</v>
          </cell>
          <cell r="Q1551">
            <v>0</v>
          </cell>
          <cell r="R1551">
            <v>0</v>
          </cell>
        </row>
        <row r="1552">
          <cell r="A1552" t="str">
            <v>27.01.04.01</v>
          </cell>
          <cell r="B1552" t="str">
            <v>APERTURA DE HOYO, IZAJE Y CIMENTACION DE POSTE METALICO DE Ø3" x 6m</v>
          </cell>
          <cell r="C1552" t="str">
            <v>und</v>
          </cell>
          <cell r="D1552">
            <v>6</v>
          </cell>
          <cell r="E1552">
            <v>569.35029999999995</v>
          </cell>
          <cell r="F1552">
            <v>3416.1017999999995</v>
          </cell>
          <cell r="G1552">
            <v>0</v>
          </cell>
          <cell r="H1552">
            <v>0</v>
          </cell>
          <cell r="I1552" t="str">
            <v>0.00%</v>
          </cell>
          <cell r="J1552">
            <v>0</v>
          </cell>
          <cell r="K1552">
            <v>0</v>
          </cell>
          <cell r="L1552" t="str">
            <v>0.00%</v>
          </cell>
          <cell r="M1552">
            <v>0</v>
          </cell>
          <cell r="N1552">
            <v>0</v>
          </cell>
          <cell r="O1552" t="str">
            <v>0.00%</v>
          </cell>
          <cell r="P1552">
            <v>6</v>
          </cell>
          <cell r="Q1552">
            <v>3416.1017999999995</v>
          </cell>
          <cell r="R1552">
            <v>1</v>
          </cell>
        </row>
        <row r="1553">
          <cell r="A1553" t="str">
            <v>27.01.05</v>
          </cell>
          <cell r="B1553" t="str">
            <v>EMPALME SUBTERRANEO</v>
          </cell>
          <cell r="C1553">
            <v>0</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row>
        <row r="1554">
          <cell r="A1554" t="str">
            <v>27.01.05.01</v>
          </cell>
          <cell r="B1554" t="str">
            <v>EJECUCION DE EMPALME SUBTERRANEO EN CABLE N2XOH DE 2-1x4mm2</v>
          </cell>
          <cell r="C1554" t="str">
            <v>pto</v>
          </cell>
          <cell r="D1554">
            <v>6</v>
          </cell>
          <cell r="E1554">
            <v>112.76</v>
          </cell>
          <cell r="F1554">
            <v>676.56000000000006</v>
          </cell>
          <cell r="G1554">
            <v>0</v>
          </cell>
          <cell r="H1554">
            <v>0</v>
          </cell>
          <cell r="I1554" t="str">
            <v>0.00%</v>
          </cell>
          <cell r="J1554">
            <v>0</v>
          </cell>
          <cell r="K1554">
            <v>0</v>
          </cell>
          <cell r="L1554" t="str">
            <v>0.00%</v>
          </cell>
          <cell r="M1554">
            <v>0</v>
          </cell>
          <cell r="N1554">
            <v>0</v>
          </cell>
          <cell r="O1554" t="str">
            <v>0.00%</v>
          </cell>
          <cell r="P1554">
            <v>6</v>
          </cell>
          <cell r="Q1554">
            <v>676.56000000000006</v>
          </cell>
          <cell r="R1554">
            <v>1</v>
          </cell>
        </row>
        <row r="1555">
          <cell r="A1555" t="str">
            <v>27.01.06</v>
          </cell>
          <cell r="B1555" t="str">
            <v>ARMADO DE BUZON DE CONCRETO</v>
          </cell>
          <cell r="C1555">
            <v>0</v>
          </cell>
          <cell r="D1555">
            <v>0</v>
          </cell>
          <cell r="E1555">
            <v>0</v>
          </cell>
          <cell r="F1555">
            <v>0</v>
          </cell>
          <cell r="G1555">
            <v>0</v>
          </cell>
          <cell r="H1555">
            <v>0</v>
          </cell>
          <cell r="I1555">
            <v>0</v>
          </cell>
          <cell r="J1555">
            <v>0</v>
          </cell>
          <cell r="K1555">
            <v>0</v>
          </cell>
          <cell r="L1555">
            <v>0</v>
          </cell>
          <cell r="M1555">
            <v>0</v>
          </cell>
          <cell r="N1555">
            <v>0</v>
          </cell>
          <cell r="O1555">
            <v>0</v>
          </cell>
          <cell r="P1555">
            <v>0</v>
          </cell>
          <cell r="Q1555">
            <v>0</v>
          </cell>
          <cell r="R1555">
            <v>0</v>
          </cell>
        </row>
        <row r="1556">
          <cell r="A1556" t="str">
            <v>27.01.06.01</v>
          </cell>
          <cell r="B1556" t="str">
            <v>CAVADO Y ARMADO DE BUZON CIRCULAR DE CONCRETO EN EL PISO CON TAPA DE CONCRETO</v>
          </cell>
          <cell r="C1556" t="str">
            <v>und</v>
          </cell>
          <cell r="D1556">
            <v>6</v>
          </cell>
          <cell r="E1556">
            <v>287.53030000000001</v>
          </cell>
          <cell r="F1556">
            <v>1725.1818000000001</v>
          </cell>
          <cell r="G1556">
            <v>0</v>
          </cell>
          <cell r="H1556">
            <v>0</v>
          </cell>
          <cell r="I1556" t="str">
            <v>0.00%</v>
          </cell>
          <cell r="J1556">
            <v>0</v>
          </cell>
          <cell r="K1556">
            <v>0</v>
          </cell>
          <cell r="L1556" t="str">
            <v>0.00%</v>
          </cell>
          <cell r="M1556">
            <v>0</v>
          </cell>
          <cell r="N1556">
            <v>0</v>
          </cell>
          <cell r="O1556" t="str">
            <v>0.00%</v>
          </cell>
          <cell r="P1556">
            <v>6</v>
          </cell>
          <cell r="Q1556">
            <v>1725.1818000000001</v>
          </cell>
          <cell r="R1556">
            <v>1</v>
          </cell>
        </row>
        <row r="1557">
          <cell r="A1557" t="str">
            <v>27.01.07</v>
          </cell>
          <cell r="B1557" t="str">
            <v>SALIDA PARA REFLECTORES</v>
          </cell>
          <cell r="C1557">
            <v>0</v>
          </cell>
          <cell r="D1557">
            <v>0</v>
          </cell>
          <cell r="E1557">
            <v>0</v>
          </cell>
          <cell r="F1557">
            <v>0</v>
          </cell>
          <cell r="G1557">
            <v>0</v>
          </cell>
          <cell r="H1557">
            <v>0</v>
          </cell>
          <cell r="I1557">
            <v>0</v>
          </cell>
          <cell r="J1557">
            <v>0</v>
          </cell>
          <cell r="K1557">
            <v>0</v>
          </cell>
          <cell r="L1557">
            <v>0</v>
          </cell>
          <cell r="M1557">
            <v>0</v>
          </cell>
          <cell r="N1557">
            <v>0</v>
          </cell>
          <cell r="O1557">
            <v>0</v>
          </cell>
          <cell r="P1557">
            <v>0</v>
          </cell>
          <cell r="Q1557">
            <v>0</v>
          </cell>
          <cell r="R1557">
            <v>0</v>
          </cell>
        </row>
        <row r="1558">
          <cell r="A1558" t="str">
            <v>27.01.07.01</v>
          </cell>
          <cell r="B1558" t="str">
            <v>SALIDA PARA FAROLA EN POSTE</v>
          </cell>
          <cell r="C1558" t="str">
            <v>pto</v>
          </cell>
          <cell r="D1558">
            <v>6</v>
          </cell>
          <cell r="E1558">
            <v>50.48</v>
          </cell>
          <cell r="F1558">
            <v>302.88</v>
          </cell>
          <cell r="G1558">
            <v>0</v>
          </cell>
          <cell r="H1558">
            <v>0</v>
          </cell>
          <cell r="I1558" t="str">
            <v>0.00%</v>
          </cell>
          <cell r="J1558">
            <v>0</v>
          </cell>
          <cell r="K1558">
            <v>0</v>
          </cell>
          <cell r="L1558" t="str">
            <v>0.00%</v>
          </cell>
          <cell r="M1558">
            <v>0</v>
          </cell>
          <cell r="N1558">
            <v>0</v>
          </cell>
          <cell r="O1558" t="str">
            <v>0.00%</v>
          </cell>
          <cell r="P1558">
            <v>6</v>
          </cell>
          <cell r="Q1558">
            <v>302.88</v>
          </cell>
          <cell r="R1558">
            <v>1</v>
          </cell>
        </row>
        <row r="1559">
          <cell r="A1559" t="str">
            <v>27.01.07.02</v>
          </cell>
          <cell r="B1559" t="str">
            <v>SALIDA PARA CENTRO DE REFLECTOR</v>
          </cell>
          <cell r="C1559" t="str">
            <v>pto</v>
          </cell>
          <cell r="D1559">
            <v>2</v>
          </cell>
          <cell r="E1559">
            <v>92.1404</v>
          </cell>
          <cell r="F1559">
            <v>184.2808</v>
          </cell>
          <cell r="G1559">
            <v>0</v>
          </cell>
          <cell r="H1559">
            <v>0</v>
          </cell>
          <cell r="I1559" t="str">
            <v>0.00%</v>
          </cell>
          <cell r="J1559">
            <v>0</v>
          </cell>
          <cell r="K1559">
            <v>0</v>
          </cell>
          <cell r="L1559" t="str">
            <v>0.00%</v>
          </cell>
          <cell r="M1559">
            <v>0</v>
          </cell>
          <cell r="N1559">
            <v>0</v>
          </cell>
          <cell r="O1559" t="str">
            <v>0.00%</v>
          </cell>
          <cell r="P1559">
            <v>2</v>
          </cell>
          <cell r="Q1559">
            <v>184.2808</v>
          </cell>
          <cell r="R1559">
            <v>1</v>
          </cell>
        </row>
        <row r="1560">
          <cell r="A1560" t="str">
            <v>27.01.08</v>
          </cell>
          <cell r="B1560" t="str">
            <v>ARTEFACTOS DE ILUMINACION</v>
          </cell>
          <cell r="C1560">
            <v>0</v>
          </cell>
          <cell r="D1560">
            <v>0</v>
          </cell>
          <cell r="E1560">
            <v>0</v>
          </cell>
          <cell r="F1560">
            <v>0</v>
          </cell>
          <cell r="G1560">
            <v>0</v>
          </cell>
          <cell r="H1560">
            <v>0</v>
          </cell>
          <cell r="I1560">
            <v>0</v>
          </cell>
          <cell r="J1560">
            <v>0</v>
          </cell>
          <cell r="K1560">
            <v>0</v>
          </cell>
          <cell r="L1560">
            <v>0</v>
          </cell>
          <cell r="M1560">
            <v>0</v>
          </cell>
          <cell r="N1560">
            <v>0</v>
          </cell>
          <cell r="O1560">
            <v>0</v>
          </cell>
          <cell r="P1560">
            <v>0</v>
          </cell>
          <cell r="Q1560">
            <v>0</v>
          </cell>
          <cell r="R1560">
            <v>0</v>
          </cell>
        </row>
        <row r="1561">
          <cell r="A1561" t="str">
            <v>27.01.08.01</v>
          </cell>
          <cell r="B1561" t="str">
            <v>Artefacto de iluminacion tipo farola</v>
          </cell>
          <cell r="C1561" t="str">
            <v>und</v>
          </cell>
          <cell r="D1561">
            <v>6</v>
          </cell>
          <cell r="E1561">
            <v>68.330500000000001</v>
          </cell>
          <cell r="F1561">
            <v>409.983</v>
          </cell>
          <cell r="G1561">
            <v>0</v>
          </cell>
          <cell r="H1561">
            <v>0</v>
          </cell>
          <cell r="I1561" t="str">
            <v>0.00%</v>
          </cell>
          <cell r="J1561">
            <v>0</v>
          </cell>
          <cell r="K1561">
            <v>0</v>
          </cell>
          <cell r="L1561" t="str">
            <v>0.00%</v>
          </cell>
          <cell r="M1561">
            <v>0</v>
          </cell>
          <cell r="N1561">
            <v>0</v>
          </cell>
          <cell r="O1561" t="str">
            <v>0.00%</v>
          </cell>
          <cell r="P1561">
            <v>6</v>
          </cell>
          <cell r="Q1561">
            <v>409.983</v>
          </cell>
          <cell r="R1561">
            <v>1</v>
          </cell>
        </row>
        <row r="1562">
          <cell r="A1562" t="str">
            <v>27.01.08.02</v>
          </cell>
          <cell r="B1562" t="str">
            <v>Suminist. Inst. Reflector con 2 lamp. 18 W. modelo RCP/CES - P5464 o similar</v>
          </cell>
          <cell r="C1562" t="str">
            <v>und</v>
          </cell>
          <cell r="D1562">
            <v>2</v>
          </cell>
          <cell r="E1562">
            <v>358.904</v>
          </cell>
          <cell r="F1562">
            <v>717.80799999999999</v>
          </cell>
          <cell r="G1562">
            <v>0</v>
          </cell>
          <cell r="H1562">
            <v>0</v>
          </cell>
          <cell r="I1562" t="str">
            <v>0.00%</v>
          </cell>
          <cell r="J1562">
            <v>0</v>
          </cell>
          <cell r="K1562">
            <v>0</v>
          </cell>
          <cell r="L1562" t="str">
            <v>0.00%</v>
          </cell>
          <cell r="M1562">
            <v>0</v>
          </cell>
          <cell r="N1562">
            <v>0</v>
          </cell>
          <cell r="O1562" t="str">
            <v>0.00%</v>
          </cell>
          <cell r="P1562">
            <v>2</v>
          </cell>
          <cell r="Q1562">
            <v>717.80799999999999</v>
          </cell>
          <cell r="R1562">
            <v>1</v>
          </cell>
        </row>
        <row r="1563">
          <cell r="A1563" t="str">
            <v>28</v>
          </cell>
          <cell r="B1563" t="str">
            <v>OBRAS EXTERIORES</v>
          </cell>
          <cell r="C1563">
            <v>0</v>
          </cell>
          <cell r="D1563">
            <v>0</v>
          </cell>
          <cell r="E1563">
            <v>0</v>
          </cell>
          <cell r="F1563">
            <v>0</v>
          </cell>
          <cell r="G1563">
            <v>0</v>
          </cell>
          <cell r="H1563">
            <v>0</v>
          </cell>
          <cell r="I1563">
            <v>0</v>
          </cell>
          <cell r="J1563">
            <v>0</v>
          </cell>
          <cell r="K1563">
            <v>0</v>
          </cell>
          <cell r="L1563">
            <v>0</v>
          </cell>
          <cell r="M1563">
            <v>0</v>
          </cell>
          <cell r="N1563">
            <v>0</v>
          </cell>
          <cell r="O1563">
            <v>0</v>
          </cell>
          <cell r="P1563">
            <v>0</v>
          </cell>
          <cell r="Q1563">
            <v>0</v>
          </cell>
          <cell r="R1563">
            <v>0</v>
          </cell>
        </row>
        <row r="1564">
          <cell r="A1564" t="str">
            <v>28.01</v>
          </cell>
          <cell r="B1564" t="str">
            <v>INSTALACIONES ELECTRICAS</v>
          </cell>
          <cell r="C1564">
            <v>0</v>
          </cell>
          <cell r="D1564">
            <v>0</v>
          </cell>
          <cell r="E1564">
            <v>0</v>
          </cell>
          <cell r="F1564">
            <v>0</v>
          </cell>
          <cell r="G1564">
            <v>0</v>
          </cell>
          <cell r="H1564">
            <v>0</v>
          </cell>
          <cell r="I1564">
            <v>0</v>
          </cell>
          <cell r="J1564">
            <v>0</v>
          </cell>
          <cell r="K1564">
            <v>0</v>
          </cell>
          <cell r="L1564">
            <v>0</v>
          </cell>
          <cell r="M1564">
            <v>0</v>
          </cell>
          <cell r="N1564">
            <v>0</v>
          </cell>
          <cell r="O1564">
            <v>0</v>
          </cell>
          <cell r="P1564">
            <v>0</v>
          </cell>
          <cell r="Q1564">
            <v>0</v>
          </cell>
          <cell r="R1564">
            <v>0</v>
          </cell>
        </row>
        <row r="1565">
          <cell r="A1565" t="str">
            <v>28.01.01</v>
          </cell>
          <cell r="B1565" t="str">
            <v>TABLERO GENERAL</v>
          </cell>
          <cell r="C1565">
            <v>0</v>
          </cell>
          <cell r="D1565">
            <v>0</v>
          </cell>
          <cell r="E1565">
            <v>0</v>
          </cell>
          <cell r="F1565">
            <v>0</v>
          </cell>
          <cell r="G1565">
            <v>0</v>
          </cell>
          <cell r="H1565">
            <v>0</v>
          </cell>
          <cell r="I1565">
            <v>0</v>
          </cell>
          <cell r="J1565">
            <v>0</v>
          </cell>
          <cell r="K1565">
            <v>0</v>
          </cell>
          <cell r="L1565">
            <v>0</v>
          </cell>
          <cell r="M1565">
            <v>0</v>
          </cell>
          <cell r="N1565">
            <v>0</v>
          </cell>
          <cell r="O1565">
            <v>0</v>
          </cell>
          <cell r="P1565">
            <v>0</v>
          </cell>
          <cell r="Q1565">
            <v>0</v>
          </cell>
          <cell r="R1565">
            <v>0</v>
          </cell>
        </row>
        <row r="1566">
          <cell r="A1566" t="str">
            <v>28.01.01.01</v>
          </cell>
          <cell r="B1566" t="str">
            <v>TABLERO GENERAL T.G.</v>
          </cell>
          <cell r="C1566" t="str">
            <v>Eqp</v>
          </cell>
          <cell r="D1566">
            <v>1</v>
          </cell>
          <cell r="E1566">
            <v>1348.1</v>
          </cell>
          <cell r="F1566">
            <v>1348.1</v>
          </cell>
          <cell r="G1566">
            <v>0</v>
          </cell>
          <cell r="H1566">
            <v>0</v>
          </cell>
          <cell r="I1566" t="str">
            <v>0.00%</v>
          </cell>
          <cell r="J1566">
            <v>0</v>
          </cell>
          <cell r="K1566">
            <v>0</v>
          </cell>
          <cell r="L1566" t="str">
            <v>0.00%</v>
          </cell>
          <cell r="M1566">
            <v>0</v>
          </cell>
          <cell r="N1566">
            <v>0</v>
          </cell>
          <cell r="O1566" t="str">
            <v>0.00%</v>
          </cell>
          <cell r="P1566">
            <v>1</v>
          </cell>
          <cell r="Q1566">
            <v>1348.1</v>
          </cell>
          <cell r="R1566">
            <v>1</v>
          </cell>
        </row>
        <row r="1567">
          <cell r="A1567" t="str">
            <v>28.01.02</v>
          </cell>
          <cell r="B1567" t="str">
            <v>SISTEMA DE PUESTA A TIERRA</v>
          </cell>
          <cell r="C1567">
            <v>0</v>
          </cell>
          <cell r="D1567">
            <v>0</v>
          </cell>
          <cell r="E1567">
            <v>0</v>
          </cell>
          <cell r="F1567">
            <v>0</v>
          </cell>
          <cell r="G1567">
            <v>0</v>
          </cell>
          <cell r="H1567">
            <v>0</v>
          </cell>
          <cell r="I1567">
            <v>0</v>
          </cell>
          <cell r="J1567">
            <v>0</v>
          </cell>
          <cell r="K1567">
            <v>0</v>
          </cell>
          <cell r="L1567">
            <v>0</v>
          </cell>
          <cell r="M1567">
            <v>0</v>
          </cell>
          <cell r="N1567">
            <v>0</v>
          </cell>
          <cell r="O1567">
            <v>0</v>
          </cell>
          <cell r="P1567">
            <v>0</v>
          </cell>
          <cell r="Q1567">
            <v>0</v>
          </cell>
          <cell r="R1567">
            <v>0</v>
          </cell>
        </row>
        <row r="1568">
          <cell r="A1568" t="str">
            <v>28.01.02.01</v>
          </cell>
          <cell r="B1568" t="str">
            <v>INSTALACION DE SISTEMA DE PUESTA A TIERRA</v>
          </cell>
          <cell r="C1568" t="str">
            <v>jgo</v>
          </cell>
          <cell r="D1568">
            <v>2</v>
          </cell>
          <cell r="E1568">
            <v>1207.8705</v>
          </cell>
          <cell r="F1568">
            <v>2415.741</v>
          </cell>
          <cell r="G1568">
            <v>0</v>
          </cell>
          <cell r="H1568">
            <v>0</v>
          </cell>
          <cell r="I1568" t="str">
            <v>0.00%</v>
          </cell>
          <cell r="J1568">
            <v>0</v>
          </cell>
          <cell r="K1568">
            <v>0</v>
          </cell>
          <cell r="L1568" t="str">
            <v>0.00%</v>
          </cell>
          <cell r="M1568">
            <v>0</v>
          </cell>
          <cell r="N1568">
            <v>0</v>
          </cell>
          <cell r="O1568" t="str">
            <v>0.00%</v>
          </cell>
          <cell r="P1568">
            <v>2</v>
          </cell>
          <cell r="Q1568">
            <v>2415.741</v>
          </cell>
          <cell r="R1568">
            <v>1</v>
          </cell>
        </row>
        <row r="1569">
          <cell r="A1569" t="str">
            <v>28.01.03</v>
          </cell>
          <cell r="B1569" t="str">
            <v>EXCAVACION DE ZANJA</v>
          </cell>
          <cell r="C1569">
            <v>0</v>
          </cell>
          <cell r="D1569">
            <v>0</v>
          </cell>
          <cell r="E1569">
            <v>0</v>
          </cell>
          <cell r="F1569">
            <v>0</v>
          </cell>
          <cell r="G1569">
            <v>0</v>
          </cell>
          <cell r="H1569">
            <v>0</v>
          </cell>
          <cell r="I1569">
            <v>0</v>
          </cell>
          <cell r="J1569">
            <v>0</v>
          </cell>
          <cell r="K1569">
            <v>0</v>
          </cell>
          <cell r="L1569">
            <v>0</v>
          </cell>
          <cell r="M1569">
            <v>0</v>
          </cell>
          <cell r="N1569">
            <v>0</v>
          </cell>
          <cell r="O1569">
            <v>0</v>
          </cell>
          <cell r="P1569">
            <v>0</v>
          </cell>
          <cell r="Q1569">
            <v>0</v>
          </cell>
          <cell r="R1569">
            <v>0</v>
          </cell>
        </row>
        <row r="1570">
          <cell r="A1570" t="str">
            <v>28.01.03.01</v>
          </cell>
          <cell r="B1570" t="str">
            <v>CAVADO DE ZANJA, SEÑALIZACION, PROTECCION Y RELLENO DE ZANJA</v>
          </cell>
          <cell r="C1570" t="str">
            <v>m</v>
          </cell>
          <cell r="D1570">
            <v>20</v>
          </cell>
          <cell r="E1570">
            <v>71.7804</v>
          </cell>
          <cell r="F1570">
            <v>1435.6079999999999</v>
          </cell>
          <cell r="G1570">
            <v>0</v>
          </cell>
          <cell r="H1570">
            <v>0</v>
          </cell>
          <cell r="I1570" t="str">
            <v>0.00%</v>
          </cell>
          <cell r="J1570">
            <v>0</v>
          </cell>
          <cell r="K1570">
            <v>0</v>
          </cell>
          <cell r="L1570" t="str">
            <v>0.00%</v>
          </cell>
          <cell r="M1570">
            <v>0</v>
          </cell>
          <cell r="N1570">
            <v>0</v>
          </cell>
          <cell r="O1570" t="str">
            <v>0.00%</v>
          </cell>
          <cell r="P1570">
            <v>20</v>
          </cell>
          <cell r="Q1570">
            <v>1435.6079999999999</v>
          </cell>
          <cell r="R1570">
            <v>1</v>
          </cell>
        </row>
        <row r="1571">
          <cell r="A1571" t="str">
            <v>28.01.04</v>
          </cell>
          <cell r="B1571" t="str">
            <v>CABLE SUBTERRANEO</v>
          </cell>
          <cell r="C1571">
            <v>0</v>
          </cell>
          <cell r="D1571">
            <v>0</v>
          </cell>
          <cell r="E1571">
            <v>0</v>
          </cell>
          <cell r="F1571">
            <v>0</v>
          </cell>
          <cell r="G1571">
            <v>0</v>
          </cell>
          <cell r="H1571">
            <v>0</v>
          </cell>
          <cell r="I1571">
            <v>0</v>
          </cell>
          <cell r="J1571">
            <v>0</v>
          </cell>
          <cell r="K1571">
            <v>0</v>
          </cell>
          <cell r="L1571">
            <v>0</v>
          </cell>
          <cell r="M1571">
            <v>0</v>
          </cell>
          <cell r="N1571">
            <v>0</v>
          </cell>
          <cell r="O1571">
            <v>0</v>
          </cell>
          <cell r="P1571">
            <v>0</v>
          </cell>
          <cell r="Q1571">
            <v>0</v>
          </cell>
          <cell r="R1571">
            <v>0</v>
          </cell>
        </row>
        <row r="1572">
          <cell r="A1572" t="str">
            <v>28.01.04.01</v>
          </cell>
          <cell r="B1572" t="str">
            <v>TENDIDO DE CABLE SUBTERRANEO  N2XOH (3-1x6+1x6 (T))mm2</v>
          </cell>
          <cell r="C1572" t="str">
            <v>m</v>
          </cell>
          <cell r="D1572">
            <v>20</v>
          </cell>
          <cell r="E1572">
            <v>19.28</v>
          </cell>
          <cell r="F1572">
            <v>385.6</v>
          </cell>
          <cell r="G1572">
            <v>0</v>
          </cell>
          <cell r="H1572">
            <v>0</v>
          </cell>
          <cell r="I1572" t="str">
            <v>0.00%</v>
          </cell>
          <cell r="J1572">
            <v>0</v>
          </cell>
          <cell r="K1572">
            <v>0</v>
          </cell>
          <cell r="L1572" t="str">
            <v>0.00%</v>
          </cell>
          <cell r="M1572">
            <v>0</v>
          </cell>
          <cell r="N1572">
            <v>0</v>
          </cell>
          <cell r="O1572" t="str">
            <v>0.00%</v>
          </cell>
          <cell r="P1572">
            <v>20</v>
          </cell>
          <cell r="Q1572">
            <v>385.6</v>
          </cell>
          <cell r="R1572">
            <v>1</v>
          </cell>
        </row>
        <row r="1573">
          <cell r="A1573" t="str">
            <v>28.01.04.02</v>
          </cell>
          <cell r="B1573" t="str">
            <v>TENDIDO DE CABLE SUBTERRANEO  N2XH (3-1x16+1x16 (T))mm2</v>
          </cell>
          <cell r="C1573" t="str">
            <v>m</v>
          </cell>
          <cell r="D1573">
            <v>130</v>
          </cell>
          <cell r="E1573">
            <v>69.630499999999998</v>
          </cell>
          <cell r="F1573">
            <v>9051.9650000000001</v>
          </cell>
          <cell r="G1573">
            <v>0</v>
          </cell>
          <cell r="H1573">
            <v>0</v>
          </cell>
          <cell r="I1573" t="str">
            <v>0.00%</v>
          </cell>
          <cell r="J1573">
            <v>0</v>
          </cell>
          <cell r="K1573">
            <v>0</v>
          </cell>
          <cell r="L1573" t="str">
            <v>0.00%</v>
          </cell>
          <cell r="M1573">
            <v>0</v>
          </cell>
          <cell r="N1573">
            <v>0</v>
          </cell>
          <cell r="O1573" t="str">
            <v>0.00%</v>
          </cell>
          <cell r="P1573">
            <v>130</v>
          </cell>
          <cell r="Q1573">
            <v>9051.9650000000001</v>
          </cell>
          <cell r="R1573">
            <v>1</v>
          </cell>
        </row>
        <row r="1574">
          <cell r="A1574" t="str">
            <v>28.01.05</v>
          </cell>
          <cell r="B1574" t="str">
            <v>DUCTOS O TUBERIAS</v>
          </cell>
          <cell r="C1574">
            <v>0</v>
          </cell>
          <cell r="D1574">
            <v>0</v>
          </cell>
          <cell r="E1574">
            <v>0</v>
          </cell>
          <cell r="F1574">
            <v>0</v>
          </cell>
          <cell r="G1574">
            <v>0</v>
          </cell>
          <cell r="H1574">
            <v>0</v>
          </cell>
          <cell r="I1574">
            <v>0</v>
          </cell>
          <cell r="J1574">
            <v>0</v>
          </cell>
          <cell r="K1574">
            <v>0</v>
          </cell>
          <cell r="L1574">
            <v>0</v>
          </cell>
          <cell r="M1574">
            <v>0</v>
          </cell>
          <cell r="N1574">
            <v>0</v>
          </cell>
          <cell r="O1574">
            <v>0</v>
          </cell>
          <cell r="P1574">
            <v>0</v>
          </cell>
          <cell r="Q1574">
            <v>0</v>
          </cell>
          <cell r="R1574">
            <v>0</v>
          </cell>
        </row>
        <row r="1575">
          <cell r="A1575" t="str">
            <v>28.01.05.01</v>
          </cell>
          <cell r="B1575" t="str">
            <v>TUBERIA PVC - P Ø 50 mm</v>
          </cell>
          <cell r="C1575" t="str">
            <v>m</v>
          </cell>
          <cell r="D1575">
            <v>20</v>
          </cell>
          <cell r="E1575">
            <v>7.24</v>
          </cell>
          <cell r="F1575">
            <v>144.80000000000001</v>
          </cell>
          <cell r="G1575">
            <v>0</v>
          </cell>
          <cell r="H1575">
            <v>0</v>
          </cell>
          <cell r="I1575" t="str">
            <v>0.00%</v>
          </cell>
          <cell r="J1575">
            <v>0</v>
          </cell>
          <cell r="K1575">
            <v>0</v>
          </cell>
          <cell r="L1575" t="str">
            <v>0.00%</v>
          </cell>
          <cell r="M1575">
            <v>0</v>
          </cell>
          <cell r="N1575">
            <v>0</v>
          </cell>
          <cell r="O1575" t="str">
            <v>0.00%</v>
          </cell>
          <cell r="P1575">
            <v>20</v>
          </cell>
          <cell r="Q1575">
            <v>144.80000000000001</v>
          </cell>
          <cell r="R1575">
            <v>1</v>
          </cell>
        </row>
        <row r="1576">
          <cell r="A1576" t="str">
            <v>28.01.05.02</v>
          </cell>
          <cell r="B1576" t="str">
            <v>TUBERIA PVC - P Ø 40 mm</v>
          </cell>
          <cell r="C1576" t="str">
            <v>m</v>
          </cell>
          <cell r="D1576">
            <v>160</v>
          </cell>
          <cell r="E1576">
            <v>8.85</v>
          </cell>
          <cell r="F1576">
            <v>1416</v>
          </cell>
          <cell r="G1576">
            <v>0</v>
          </cell>
          <cell r="H1576">
            <v>0</v>
          </cell>
          <cell r="I1576" t="str">
            <v>0.00%</v>
          </cell>
          <cell r="J1576">
            <v>0</v>
          </cell>
          <cell r="K1576">
            <v>0</v>
          </cell>
          <cell r="L1576" t="str">
            <v>0.00%</v>
          </cell>
          <cell r="M1576">
            <v>0</v>
          </cell>
          <cell r="N1576">
            <v>0</v>
          </cell>
          <cell r="O1576" t="str">
            <v>0.00%</v>
          </cell>
          <cell r="P1576">
            <v>160</v>
          </cell>
          <cell r="Q1576">
            <v>1416</v>
          </cell>
          <cell r="R1576">
            <v>1</v>
          </cell>
        </row>
        <row r="1577">
          <cell r="A1577" t="str">
            <v>28.01.06</v>
          </cell>
          <cell r="B1577" t="str">
            <v>ARMADO DE BUZON DE CONCRETO</v>
          </cell>
          <cell r="C1577">
            <v>0</v>
          </cell>
          <cell r="D1577">
            <v>0</v>
          </cell>
          <cell r="E1577">
            <v>0</v>
          </cell>
          <cell r="F1577">
            <v>0</v>
          </cell>
          <cell r="G1577">
            <v>0</v>
          </cell>
          <cell r="H1577">
            <v>0</v>
          </cell>
          <cell r="I1577">
            <v>0</v>
          </cell>
          <cell r="J1577">
            <v>0</v>
          </cell>
          <cell r="K1577">
            <v>0</v>
          </cell>
          <cell r="L1577">
            <v>0</v>
          </cell>
          <cell r="M1577">
            <v>0</v>
          </cell>
          <cell r="N1577">
            <v>0</v>
          </cell>
          <cell r="O1577">
            <v>0</v>
          </cell>
          <cell r="P1577">
            <v>0</v>
          </cell>
          <cell r="Q1577">
            <v>0</v>
          </cell>
          <cell r="R1577">
            <v>0</v>
          </cell>
        </row>
        <row r="1578">
          <cell r="A1578" t="str">
            <v>28.01.06.01</v>
          </cell>
          <cell r="B1578" t="str">
            <v>CAVADO Y ARMADO DE BUZON CUADRADO DE CONCRETO EN EL PISO CON TAPA DE CONCRETO</v>
          </cell>
          <cell r="C1578" t="str">
            <v>und</v>
          </cell>
          <cell r="D1578">
            <v>2</v>
          </cell>
          <cell r="E1578">
            <v>284.02999999999997</v>
          </cell>
          <cell r="F1578">
            <v>568.05999999999995</v>
          </cell>
          <cell r="G1578">
            <v>0</v>
          </cell>
          <cell r="H1578">
            <v>0</v>
          </cell>
          <cell r="I1578" t="str">
            <v>0.00%</v>
          </cell>
          <cell r="J1578">
            <v>0</v>
          </cell>
          <cell r="K1578">
            <v>0</v>
          </cell>
          <cell r="L1578" t="str">
            <v>0.00%</v>
          </cell>
          <cell r="M1578">
            <v>0</v>
          </cell>
          <cell r="N1578">
            <v>0</v>
          </cell>
          <cell r="O1578" t="str">
            <v>0.00%</v>
          </cell>
          <cell r="P1578">
            <v>2</v>
          </cell>
          <cell r="Q1578">
            <v>568.05999999999995</v>
          </cell>
          <cell r="R1578">
            <v>1</v>
          </cell>
        </row>
        <row r="1579">
          <cell r="A1579" t="str">
            <v>28.02</v>
          </cell>
          <cell r="B1579" t="str">
            <v>SISTEMAS ESPECIALES</v>
          </cell>
          <cell r="C1579">
            <v>0</v>
          </cell>
          <cell r="D1579">
            <v>0</v>
          </cell>
          <cell r="E1579">
            <v>0</v>
          </cell>
          <cell r="F1579">
            <v>0</v>
          </cell>
          <cell r="G1579">
            <v>0</v>
          </cell>
          <cell r="H1579">
            <v>0</v>
          </cell>
          <cell r="I1579">
            <v>0</v>
          </cell>
          <cell r="J1579">
            <v>0</v>
          </cell>
          <cell r="K1579">
            <v>0</v>
          </cell>
          <cell r="L1579">
            <v>0</v>
          </cell>
          <cell r="M1579">
            <v>0</v>
          </cell>
          <cell r="N1579">
            <v>0</v>
          </cell>
          <cell r="O1579">
            <v>0</v>
          </cell>
          <cell r="P1579">
            <v>0</v>
          </cell>
          <cell r="Q1579">
            <v>0</v>
          </cell>
          <cell r="R1579">
            <v>0</v>
          </cell>
        </row>
        <row r="1580">
          <cell r="A1580" t="str">
            <v>28.02.01</v>
          </cell>
          <cell r="B1580" t="str">
            <v>DUCTOS O TUBERIAS</v>
          </cell>
          <cell r="C1580">
            <v>0</v>
          </cell>
          <cell r="D1580">
            <v>0</v>
          </cell>
          <cell r="E1580">
            <v>0</v>
          </cell>
          <cell r="F1580">
            <v>0</v>
          </cell>
          <cell r="G1580">
            <v>0</v>
          </cell>
          <cell r="H1580">
            <v>0</v>
          </cell>
          <cell r="I1580">
            <v>0</v>
          </cell>
          <cell r="J1580">
            <v>0</v>
          </cell>
          <cell r="K1580">
            <v>0</v>
          </cell>
          <cell r="L1580">
            <v>0</v>
          </cell>
          <cell r="M1580">
            <v>0</v>
          </cell>
          <cell r="N1580">
            <v>0</v>
          </cell>
          <cell r="O1580">
            <v>0</v>
          </cell>
          <cell r="P1580">
            <v>0</v>
          </cell>
          <cell r="Q1580">
            <v>0</v>
          </cell>
          <cell r="R1580">
            <v>0</v>
          </cell>
        </row>
        <row r="1581">
          <cell r="A1581" t="str">
            <v>28.02.01.01</v>
          </cell>
          <cell r="B1581" t="str">
            <v>INSTALACION DE DUCTO PVC DE 30mm, INCLUYE CABLEADO DE ALIMENTADORES - RED DE DATOS Y CACI</v>
          </cell>
          <cell r="C1581" t="str">
            <v>m</v>
          </cell>
          <cell r="D1581">
            <v>96</v>
          </cell>
          <cell r="E1581">
            <v>6.32</v>
          </cell>
          <cell r="F1581">
            <v>606.72</v>
          </cell>
          <cell r="G1581">
            <v>0</v>
          </cell>
          <cell r="H1581">
            <v>0</v>
          </cell>
          <cell r="I1581" t="str">
            <v>0.00%</v>
          </cell>
          <cell r="J1581">
            <v>0</v>
          </cell>
          <cell r="K1581">
            <v>0</v>
          </cell>
          <cell r="L1581" t="str">
            <v>0.00%</v>
          </cell>
          <cell r="M1581">
            <v>0</v>
          </cell>
          <cell r="N1581">
            <v>0</v>
          </cell>
          <cell r="O1581" t="str">
            <v>0.00%</v>
          </cell>
          <cell r="P1581">
            <v>96</v>
          </cell>
          <cell r="Q1581">
            <v>606.72</v>
          </cell>
          <cell r="R1581">
            <v>1</v>
          </cell>
        </row>
        <row r="1582">
          <cell r="A1582" t="str">
            <v>28.02.01.02</v>
          </cell>
          <cell r="B1582" t="str">
            <v>INSTALACION DE DUCTO PVC DE 75mm, INCLUYE CABLEADO DE ALIMENTADORES - RED DE DATOS</v>
          </cell>
          <cell r="C1582" t="str">
            <v>m</v>
          </cell>
          <cell r="D1582">
            <v>20</v>
          </cell>
          <cell r="E1582">
            <v>10.0905</v>
          </cell>
          <cell r="F1582">
            <v>201.81</v>
          </cell>
          <cell r="G1582">
            <v>0</v>
          </cell>
          <cell r="H1582">
            <v>0</v>
          </cell>
          <cell r="I1582" t="str">
            <v>0.00%</v>
          </cell>
          <cell r="J1582">
            <v>0</v>
          </cell>
          <cell r="K1582">
            <v>0</v>
          </cell>
          <cell r="L1582" t="str">
            <v>0.00%</v>
          </cell>
          <cell r="M1582">
            <v>0</v>
          </cell>
          <cell r="N1582">
            <v>0</v>
          </cell>
          <cell r="O1582" t="str">
            <v>0.00%</v>
          </cell>
          <cell r="P1582">
            <v>20</v>
          </cell>
          <cell r="Q1582">
            <v>201.81</v>
          </cell>
          <cell r="R1582">
            <v>1</v>
          </cell>
        </row>
        <row r="1583">
          <cell r="A1583" t="str">
            <v>28.02.02</v>
          </cell>
          <cell r="B1583" t="str">
            <v>INSTALACION DE DUCTOS</v>
          </cell>
          <cell r="C1583">
            <v>0</v>
          </cell>
          <cell r="D1583">
            <v>0</v>
          </cell>
          <cell r="E1583">
            <v>0</v>
          </cell>
          <cell r="F1583">
            <v>0</v>
          </cell>
          <cell r="G1583">
            <v>0</v>
          </cell>
          <cell r="H1583">
            <v>0</v>
          </cell>
          <cell r="I1583">
            <v>0</v>
          </cell>
          <cell r="J1583">
            <v>0</v>
          </cell>
          <cell r="K1583">
            <v>0</v>
          </cell>
          <cell r="L1583">
            <v>0</v>
          </cell>
          <cell r="M1583">
            <v>0</v>
          </cell>
          <cell r="N1583">
            <v>0</v>
          </cell>
          <cell r="O1583">
            <v>0</v>
          </cell>
          <cell r="P1583">
            <v>0</v>
          </cell>
          <cell r="Q1583">
            <v>0</v>
          </cell>
          <cell r="R1583">
            <v>0</v>
          </cell>
        </row>
        <row r="1584">
          <cell r="A1584" t="str">
            <v>28.02.02.01</v>
          </cell>
          <cell r="B1584" t="str">
            <v>CAVADO DE ZANJA, SEÑALIZACION, PROTECCION Y RELLENO DE ZANJA</v>
          </cell>
          <cell r="C1584" t="str">
            <v>m</v>
          </cell>
          <cell r="D1584">
            <v>60</v>
          </cell>
          <cell r="E1584">
            <v>27.280799999999999</v>
          </cell>
          <cell r="F1584">
            <v>1636.848</v>
          </cell>
          <cell r="G1584">
            <v>0</v>
          </cell>
          <cell r="H1584">
            <v>0</v>
          </cell>
          <cell r="I1584" t="str">
            <v>0.00%</v>
          </cell>
          <cell r="J1584">
            <v>0</v>
          </cell>
          <cell r="K1584">
            <v>0</v>
          </cell>
          <cell r="L1584" t="str">
            <v>0.00%</v>
          </cell>
          <cell r="M1584">
            <v>0</v>
          </cell>
          <cell r="N1584">
            <v>0</v>
          </cell>
          <cell r="O1584" t="str">
            <v>0.00%</v>
          </cell>
          <cell r="P1584">
            <v>60</v>
          </cell>
          <cell r="Q1584">
            <v>1636.848</v>
          </cell>
          <cell r="R1584">
            <v>1</v>
          </cell>
        </row>
        <row r="1585">
          <cell r="A1585" t="str">
            <v>28.02.03</v>
          </cell>
          <cell r="B1585" t="str">
            <v>ARMADO DE BUZON DE CONCRETO</v>
          </cell>
          <cell r="C1585">
            <v>0</v>
          </cell>
          <cell r="D1585">
            <v>0</v>
          </cell>
          <cell r="E1585">
            <v>0</v>
          </cell>
          <cell r="F1585">
            <v>0</v>
          </cell>
          <cell r="G1585">
            <v>0</v>
          </cell>
          <cell r="H1585">
            <v>0</v>
          </cell>
          <cell r="I1585">
            <v>0</v>
          </cell>
          <cell r="J1585">
            <v>0</v>
          </cell>
          <cell r="K1585">
            <v>0</v>
          </cell>
          <cell r="L1585">
            <v>0</v>
          </cell>
          <cell r="M1585">
            <v>0</v>
          </cell>
          <cell r="N1585">
            <v>0</v>
          </cell>
          <cell r="O1585">
            <v>0</v>
          </cell>
          <cell r="P1585">
            <v>0</v>
          </cell>
          <cell r="Q1585">
            <v>0</v>
          </cell>
          <cell r="R1585">
            <v>0</v>
          </cell>
        </row>
        <row r="1586">
          <cell r="A1586" t="str">
            <v>28.02.03.01</v>
          </cell>
          <cell r="B1586" t="str">
            <v>CAVADO Y ARMADO DE BUZON CUADRADO DE CONCRETO EN EL PISO CON TAPA DE CONCRETO</v>
          </cell>
          <cell r="C1586" t="str">
            <v>und</v>
          </cell>
          <cell r="D1586">
            <v>2</v>
          </cell>
          <cell r="E1586">
            <v>284.02999999999997</v>
          </cell>
          <cell r="F1586">
            <v>568.05999999999995</v>
          </cell>
          <cell r="G1586">
            <v>0</v>
          </cell>
          <cell r="H1586">
            <v>0</v>
          </cell>
          <cell r="I1586" t="str">
            <v>0.00%</v>
          </cell>
          <cell r="J1586">
            <v>0</v>
          </cell>
          <cell r="K1586">
            <v>0</v>
          </cell>
          <cell r="L1586" t="str">
            <v>0.00%</v>
          </cell>
          <cell r="M1586">
            <v>0</v>
          </cell>
          <cell r="N1586">
            <v>0</v>
          </cell>
          <cell r="O1586" t="str">
            <v>0.00%</v>
          </cell>
          <cell r="P1586">
            <v>2</v>
          </cell>
          <cell r="Q1586">
            <v>568.05999999999995</v>
          </cell>
          <cell r="R1586">
            <v>1</v>
          </cell>
        </row>
      </sheetData>
      <sheetData sheetId="15"/>
      <sheetData sheetId="16"/>
      <sheetData sheetId="17"/>
      <sheetData sheetId="18"/>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otulo"/>
      <sheetName val="Mensual"/>
      <sheetName val="Formato 1"/>
      <sheetName val="Formato 3"/>
      <sheetName val="Formato 4"/>
      <sheetName val="2.7 Avancefisico"/>
      <sheetName val="2.7 Avancefisico-GG"/>
      <sheetName val="2)Res.AvanceFisico "/>
      <sheetName val="PGG"/>
      <sheetName val="Rendiciones"/>
      <sheetName val="3)Sobrec"/>
      <sheetName val="4) Comparat P+V+F"/>
      <sheetName val="DED-ADIC"/>
      <sheetName val="Val Choa"/>
      <sheetName val="val Chila"/>
      <sheetName val="Val Minas"/>
      <sheetName val="val Mitiga"/>
      <sheetName val="Choaquere"/>
      <sheetName val="Minascucho"/>
      <sheetName val="Cuadro Comparativo en CD. (2)"/>
      <sheetName val="Metra Choaquere"/>
      <sheetName val="Metra Minas"/>
      <sheetName val="Resistencia 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RIPA"/>
      <sheetName val="ANTABAMB"/>
      <sheetName val="CHALHUAN"/>
      <sheetName val="CURAHUASI"/>
      <sheetName val="ABANCAY"/>
      <sheetName val="SOCTA2"/>
      <sheetName val="PACO"/>
      <sheetName val="PRECIP"/>
      <sheetName val="FACTORES"/>
      <sheetName val="Cronograma"/>
      <sheetName val="Cont. Pptal."/>
    </sheetNames>
    <sheetDataSet>
      <sheetData sheetId="0">
        <row r="3">
          <cell r="A3" t="str">
            <v xml:space="preserve">  R E G I S T R O     H I D R O M E T E O R O L O G I C O </v>
          </cell>
        </row>
      </sheetData>
      <sheetData sheetId="1">
        <row r="3">
          <cell r="A3" t="str">
            <v xml:space="preserve">  R E G I S T R O     H I D R O M E T E O R O L O G I C O </v>
          </cell>
        </row>
      </sheetData>
      <sheetData sheetId="2"/>
      <sheetData sheetId="3"/>
      <sheetData sheetId="4">
        <row r="3">
          <cell r="A3" t="str">
            <v xml:space="preserve">  R E G I S T R O     H I D R O M E T E O R O L O G I C O </v>
          </cell>
        </row>
      </sheetData>
      <sheetData sheetId="5" refreshError="1">
        <row r="3">
          <cell r="A3" t="str">
            <v xml:space="preserve">  R E G I S T R O     H I D R O M E T E O R O L O G I C O </v>
          </cell>
        </row>
        <row r="10">
          <cell r="Q10" t="str">
            <v>TOTAL</v>
          </cell>
        </row>
        <row r="12">
          <cell r="Q12">
            <v>1582.0823999999998</v>
          </cell>
        </row>
        <row r="13">
          <cell r="Q13">
            <v>900.86980000000005</v>
          </cell>
        </row>
        <row r="14">
          <cell r="Q14">
            <v>1142.1439599999999</v>
          </cell>
        </row>
        <row r="15">
          <cell r="Q15">
            <v>1256.9821899999997</v>
          </cell>
        </row>
        <row r="16">
          <cell r="Q16">
            <v>1423.5044</v>
          </cell>
        </row>
        <row r="17">
          <cell r="Q17">
            <v>1195.2971099999997</v>
          </cell>
        </row>
        <row r="18">
          <cell r="Q18">
            <v>1256.95381</v>
          </cell>
        </row>
        <row r="19">
          <cell r="Q19">
            <v>1356.6623099999999</v>
          </cell>
        </row>
        <row r="20">
          <cell r="Q20">
            <v>1179.73748</v>
          </cell>
        </row>
        <row r="21">
          <cell r="Q21">
            <v>1289.8700700000002</v>
          </cell>
        </row>
        <row r="22">
          <cell r="Q22">
            <v>1445.7864099999999</v>
          </cell>
        </row>
        <row r="23">
          <cell r="Q23">
            <v>1453.5941399999997</v>
          </cell>
        </row>
        <row r="24">
          <cell r="Q24">
            <v>1231.17994</v>
          </cell>
        </row>
        <row r="25">
          <cell r="Q25">
            <v>1264.1565000000001</v>
          </cell>
        </row>
        <row r="26">
          <cell r="Q26">
            <v>1171.9454300000002</v>
          </cell>
        </row>
        <row r="27">
          <cell r="Q27">
            <v>1069.4719300000002</v>
          </cell>
        </row>
        <row r="28">
          <cell r="Q28">
            <v>1003.6621900000002</v>
          </cell>
        </row>
        <row r="29">
          <cell r="Q29">
            <v>909.94346999999993</v>
          </cell>
        </row>
        <row r="30">
          <cell r="Q30">
            <v>1394.8852899999997</v>
          </cell>
        </row>
        <row r="31">
          <cell r="Q31">
            <v>1222.8301000000001</v>
          </cell>
        </row>
        <row r="32">
          <cell r="Q32">
            <v>1275.1111799999999</v>
          </cell>
        </row>
        <row r="33">
          <cell r="Q33">
            <v>1243.09176</v>
          </cell>
        </row>
        <row r="34">
          <cell r="Q34">
            <v>1335.6499800000001</v>
          </cell>
        </row>
        <row r="35">
          <cell r="Q35">
            <v>1130.3016400000001</v>
          </cell>
        </row>
        <row r="36">
          <cell r="Q36">
            <v>879.86546999999996</v>
          </cell>
        </row>
        <row r="37">
          <cell r="Q37">
            <v>1226.8948100000002</v>
          </cell>
        </row>
        <row r="38">
          <cell r="Q38">
            <v>1148.9035800000001</v>
          </cell>
        </row>
        <row r="39">
          <cell r="Q39">
            <v>924.12695999999983</v>
          </cell>
        </row>
        <row r="40">
          <cell r="Q40">
            <v>766.17585000000008</v>
          </cell>
        </row>
      </sheetData>
      <sheetData sheetId="6"/>
      <sheetData sheetId="7"/>
      <sheetData sheetId="8"/>
      <sheetData sheetId="9" refreshError="1"/>
      <sheetData sheetId="10"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sheetName val="Generalidades"/>
      <sheetName val="INST.MODULOS"/>
      <sheetName val="K"/>
      <sheetName val="valoriz"/>
      <sheetName val="Cal.Reint"/>
      <sheetName val="AMORT-AD.EF"/>
      <sheetName val="Ded.Re-Adef"/>
      <sheetName val="AMORT.MAT"/>
      <sheetName val="Penalidad"/>
      <sheetName val="liquidacion de obra"/>
      <sheetName val="Ded-Ad.efect"/>
      <sheetName val="Hoja12"/>
      <sheetName val="Hoja13"/>
      <sheetName val="Hoja14"/>
      <sheetName val="Hoja15"/>
    </sheetNames>
    <sheetDataSet>
      <sheetData sheetId="0" refreshError="1">
        <row r="23">
          <cell r="C23">
            <v>0.85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T-PREC"/>
      <sheetName val="PRECI"/>
      <sheetName val="Cont. Pptal."/>
      <sheetName val="Cronograma"/>
      <sheetName val="Mensual"/>
    </sheetNames>
    <sheetDataSet>
      <sheetData sheetId="0">
        <row r="10">
          <cell r="C10" t="str">
            <v>ABANCAY</v>
          </cell>
        </row>
      </sheetData>
      <sheetData sheetId="1" refreshError="1"/>
      <sheetData sheetId="2" refreshError="1"/>
      <sheetData sheetId="3" refreshError="1"/>
      <sheetData sheetId="4"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RIPA"/>
      <sheetName val="ANTABAMB"/>
      <sheetName val="CHALHUAN"/>
      <sheetName val="CURAHUASI"/>
      <sheetName val="ABANCAY"/>
      <sheetName val="SOCTA2"/>
      <sheetName val="PACO"/>
      <sheetName val="PRECIP"/>
      <sheetName val="FACTORES"/>
      <sheetName val="ALT-PREC"/>
    </sheetNames>
    <sheetDataSet>
      <sheetData sheetId="0">
        <row r="3">
          <cell r="A3" t="str">
            <v xml:space="preserve">  R E G I S T R O     H I D R O M E T E O R O L O G I C O </v>
          </cell>
        </row>
      </sheetData>
      <sheetData sheetId="1">
        <row r="9">
          <cell r="T9" t="str">
            <v>TOTAL</v>
          </cell>
        </row>
      </sheetData>
      <sheetData sheetId="2"/>
      <sheetData sheetId="3"/>
      <sheetData sheetId="4">
        <row r="3">
          <cell r="A3" t="str">
            <v xml:space="preserve">  R E G I S T R O     H I D R O M E T E O R O L O G I C O </v>
          </cell>
        </row>
      </sheetData>
      <sheetData sheetId="5" refreshError="1">
        <row r="3">
          <cell r="A3" t="str">
            <v xml:space="preserve">  R E G I S T R O     H I D R O M E T E O R O L O G I C O </v>
          </cell>
        </row>
        <row r="4">
          <cell r="A4" t="str">
            <v>Precipitación Media Mensual en la M.C. Soctacocha (mm)</v>
          </cell>
        </row>
        <row r="6">
          <cell r="H6" t="str">
            <v xml:space="preserve">LAT. </v>
          </cell>
          <cell r="I6" t="str">
            <v>:  13º44'52"</v>
          </cell>
          <cell r="M6" t="str">
            <v xml:space="preserve">DIST. </v>
          </cell>
          <cell r="N6" t="str">
            <v>ABANCAY</v>
          </cell>
        </row>
        <row r="7">
          <cell r="H7" t="str">
            <v>LONG.</v>
          </cell>
          <cell r="I7" t="str">
            <v>:  73º06'58"</v>
          </cell>
          <cell r="M7" t="str">
            <v xml:space="preserve">PROV. </v>
          </cell>
          <cell r="N7" t="str">
            <v>ABANCAY</v>
          </cell>
        </row>
        <row r="8">
          <cell r="H8" t="str">
            <v>ALT.</v>
          </cell>
          <cell r="I8" t="str">
            <v>:  4357 msnm.</v>
          </cell>
          <cell r="M8" t="str">
            <v>DPTO.</v>
          </cell>
          <cell r="N8" t="str">
            <v>APURIMAC</v>
          </cell>
        </row>
        <row r="9">
          <cell r="T9" t="str">
            <v>TOTAL</v>
          </cell>
          <cell r="U9" t="str">
            <v>MEDIA</v>
          </cell>
        </row>
        <row r="10">
          <cell r="A10" t="str">
            <v>ITEM</v>
          </cell>
          <cell r="B10" t="str">
            <v xml:space="preserve">AÑO </v>
          </cell>
          <cell r="D10" t="str">
            <v>ENE</v>
          </cell>
          <cell r="E10" t="str">
            <v>FEB</v>
          </cell>
          <cell r="F10" t="str">
            <v>MAR</v>
          </cell>
          <cell r="G10" t="str">
            <v>ABR</v>
          </cell>
          <cell r="H10" t="str">
            <v>MAY</v>
          </cell>
          <cell r="I10" t="str">
            <v>JUN</v>
          </cell>
          <cell r="J10" t="str">
            <v>JUL</v>
          </cell>
          <cell r="K10" t="str">
            <v>AGO</v>
          </cell>
          <cell r="L10" t="str">
            <v>SET</v>
          </cell>
          <cell r="M10" t="str">
            <v>OCT</v>
          </cell>
          <cell r="N10" t="str">
            <v>NOV</v>
          </cell>
          <cell r="O10" t="str">
            <v>DIC</v>
          </cell>
          <cell r="Q10" t="str">
            <v>TOTAL</v>
          </cell>
          <cell r="T10" t="b">
            <v>0</v>
          </cell>
          <cell r="U10" t="b">
            <v>0</v>
          </cell>
        </row>
        <row r="12">
          <cell r="A12">
            <v>1</v>
          </cell>
          <cell r="B12">
            <v>1963</v>
          </cell>
          <cell r="D12">
            <v>341.39609999999999</v>
          </cell>
          <cell r="E12">
            <v>303.33709999999996</v>
          </cell>
          <cell r="F12">
            <v>286.65589999999997</v>
          </cell>
          <cell r="G12">
            <v>146.05959999999999</v>
          </cell>
          <cell r="H12">
            <v>12.349499999999999</v>
          </cell>
          <cell r="I12">
            <v>5.7511000000000001</v>
          </cell>
          <cell r="J12">
            <v>12.7042</v>
          </cell>
          <cell r="K12">
            <v>3.4625000000000004</v>
          </cell>
          <cell r="L12">
            <v>48.863100000000003</v>
          </cell>
          <cell r="M12">
            <v>79.894499999999994</v>
          </cell>
          <cell r="N12">
            <v>111.6191</v>
          </cell>
          <cell r="O12">
            <v>229.9897</v>
          </cell>
          <cell r="Q12">
            <v>1582.0823999999998</v>
          </cell>
        </row>
        <row r="13">
          <cell r="A13">
            <v>2</v>
          </cell>
          <cell r="B13">
            <v>1964</v>
          </cell>
          <cell r="D13">
            <v>77.296600000000012</v>
          </cell>
          <cell r="E13">
            <v>210.51789999999997</v>
          </cell>
          <cell r="F13">
            <v>146.2508</v>
          </cell>
          <cell r="G13">
            <v>52.772499999999994</v>
          </cell>
          <cell r="H13">
            <v>8.4247999999999994</v>
          </cell>
          <cell r="I13">
            <v>0.83309999999999995</v>
          </cell>
          <cell r="J13">
            <v>10.0068</v>
          </cell>
          <cell r="K13">
            <v>7.5579000000000001</v>
          </cell>
          <cell r="L13">
            <v>59.426099999999998</v>
          </cell>
          <cell r="M13">
            <v>121.1031</v>
          </cell>
          <cell r="N13">
            <v>73.281100000000009</v>
          </cell>
          <cell r="O13">
            <v>133.3991</v>
          </cell>
          <cell r="Q13">
            <v>900.86980000000005</v>
          </cell>
        </row>
        <row r="14">
          <cell r="A14">
            <v>3</v>
          </cell>
          <cell r="B14">
            <v>1965</v>
          </cell>
          <cell r="D14">
            <v>123.43564000000001</v>
          </cell>
          <cell r="E14">
            <v>252.84354000000002</v>
          </cell>
          <cell r="F14">
            <v>175.77904999999998</v>
          </cell>
          <cell r="G14">
            <v>67.998949999999994</v>
          </cell>
          <cell r="H14">
            <v>22.023299999999999</v>
          </cell>
          <cell r="I14">
            <v>1.9675</v>
          </cell>
          <cell r="J14">
            <v>10.995699999999999</v>
          </cell>
          <cell r="K14">
            <v>0.87919999999999998</v>
          </cell>
          <cell r="L14">
            <v>55.495239999999995</v>
          </cell>
          <cell r="M14">
            <v>111.76815000000001</v>
          </cell>
          <cell r="N14">
            <v>119.10793000000001</v>
          </cell>
          <cell r="O14">
            <v>199.84976</v>
          </cell>
          <cell r="Q14">
            <v>1142.1439599999999</v>
          </cell>
        </row>
        <row r="15">
          <cell r="A15">
            <v>4</v>
          </cell>
          <cell r="B15">
            <v>1966</v>
          </cell>
          <cell r="D15">
            <v>142.63333</v>
          </cell>
          <cell r="E15">
            <v>245.55193</v>
          </cell>
          <cell r="F15">
            <v>159.23365999999999</v>
          </cell>
          <cell r="G15">
            <v>36.440249999999999</v>
          </cell>
          <cell r="H15">
            <v>66.285129999999995</v>
          </cell>
          <cell r="I15">
            <v>0</v>
          </cell>
          <cell r="J15">
            <v>1.3551</v>
          </cell>
          <cell r="K15">
            <v>15.939</v>
          </cell>
          <cell r="L15">
            <v>72.615319999999997</v>
          </cell>
          <cell r="M15">
            <v>191.05525</v>
          </cell>
          <cell r="N15">
            <v>182.39057</v>
          </cell>
          <cell r="O15">
            <v>143.48264999999998</v>
          </cell>
          <cell r="Q15">
            <v>1256.9821899999997</v>
          </cell>
        </row>
        <row r="16">
          <cell r="A16">
            <v>5</v>
          </cell>
          <cell r="B16">
            <v>1967</v>
          </cell>
          <cell r="D16">
            <v>227.00698999999997</v>
          </cell>
          <cell r="E16">
            <v>324.64143999999999</v>
          </cell>
          <cell r="F16">
            <v>350.71870999999999</v>
          </cell>
          <cell r="G16">
            <v>93.824680000000001</v>
          </cell>
          <cell r="H16">
            <v>27.737019999999998</v>
          </cell>
          <cell r="I16">
            <v>2.71604</v>
          </cell>
          <cell r="J16">
            <v>31.674529999999997</v>
          </cell>
          <cell r="K16">
            <v>20.494009999999999</v>
          </cell>
          <cell r="L16">
            <v>34.543880000000001</v>
          </cell>
          <cell r="M16">
            <v>109.50413</v>
          </cell>
          <cell r="N16">
            <v>54.221890000000002</v>
          </cell>
          <cell r="O16">
            <v>146.42108000000002</v>
          </cell>
          <cell r="Q16">
            <v>1423.5044</v>
          </cell>
        </row>
        <row r="17">
          <cell r="A17">
            <v>6</v>
          </cell>
          <cell r="B17">
            <v>1968</v>
          </cell>
          <cell r="D17">
            <v>276.46229999999997</v>
          </cell>
          <cell r="E17">
            <v>212.56155999999999</v>
          </cell>
          <cell r="F17">
            <v>221.41992999999997</v>
          </cell>
          <cell r="G17">
            <v>36.94735</v>
          </cell>
          <cell r="H17">
            <v>9.9466999999999999</v>
          </cell>
          <cell r="I17">
            <v>11.5953</v>
          </cell>
          <cell r="J17">
            <v>11.209239999999999</v>
          </cell>
          <cell r="K17">
            <v>14.829270000000001</v>
          </cell>
          <cell r="L17">
            <v>28.600839999999998</v>
          </cell>
          <cell r="M17">
            <v>106.56336999999999</v>
          </cell>
          <cell r="N17">
            <v>148.45570000000001</v>
          </cell>
          <cell r="O17">
            <v>116.70554999999999</v>
          </cell>
          <cell r="Q17">
            <v>1195.2971099999997</v>
          </cell>
        </row>
        <row r="18">
          <cell r="A18">
            <v>7</v>
          </cell>
          <cell r="B18">
            <v>1969</v>
          </cell>
          <cell r="D18">
            <v>216.81374</v>
          </cell>
          <cell r="E18">
            <v>202.50297999999998</v>
          </cell>
          <cell r="F18">
            <v>239.36622999999997</v>
          </cell>
          <cell r="G18">
            <v>101.80322</v>
          </cell>
          <cell r="H18">
            <v>0.77347999999999995</v>
          </cell>
          <cell r="I18">
            <v>10.029440000000001</v>
          </cell>
          <cell r="J18">
            <v>3.3472999999999997</v>
          </cell>
          <cell r="K18">
            <v>22.812570000000001</v>
          </cell>
          <cell r="L18">
            <v>37.944749999999999</v>
          </cell>
          <cell r="M18">
            <v>123.26358</v>
          </cell>
          <cell r="N18">
            <v>126.27129000000001</v>
          </cell>
          <cell r="O18">
            <v>172.02522999999999</v>
          </cell>
          <cell r="Q18">
            <v>1256.95381</v>
          </cell>
        </row>
        <row r="19">
          <cell r="A19">
            <v>8</v>
          </cell>
          <cell r="B19">
            <v>1970</v>
          </cell>
          <cell r="D19">
            <v>335.95708999999999</v>
          </cell>
          <cell r="E19">
            <v>189.87098</v>
          </cell>
          <cell r="F19">
            <v>202.59324999999998</v>
          </cell>
          <cell r="G19">
            <v>101.45066999999999</v>
          </cell>
          <cell r="H19">
            <v>21.962940000000003</v>
          </cell>
          <cell r="I19">
            <v>4.82517</v>
          </cell>
          <cell r="J19">
            <v>11.53994</v>
          </cell>
          <cell r="K19">
            <v>1.89028</v>
          </cell>
          <cell r="L19">
            <v>71.53989</v>
          </cell>
          <cell r="M19">
            <v>89.512509999999992</v>
          </cell>
          <cell r="N19">
            <v>122.34084</v>
          </cell>
          <cell r="O19">
            <v>203.17875000000001</v>
          </cell>
          <cell r="Q19">
            <v>1356.6623099999999</v>
          </cell>
        </row>
        <row r="20">
          <cell r="A20">
            <v>9</v>
          </cell>
          <cell r="B20">
            <v>1971</v>
          </cell>
          <cell r="D20">
            <v>221.06990000000002</v>
          </cell>
          <cell r="E20">
            <v>288.65667999999999</v>
          </cell>
          <cell r="F20">
            <v>209.94695999999999</v>
          </cell>
          <cell r="G20">
            <v>103.79872</v>
          </cell>
          <cell r="H20">
            <v>4.9590700000000005</v>
          </cell>
          <cell r="I20">
            <v>12.64912</v>
          </cell>
          <cell r="J20">
            <v>0.57435999999999998</v>
          </cell>
          <cell r="K20">
            <v>11.882440000000001</v>
          </cell>
          <cell r="L20">
            <v>9.3923200000000016</v>
          </cell>
          <cell r="M20">
            <v>60.607060000000004</v>
          </cell>
          <cell r="N20">
            <v>87.412999999999997</v>
          </cell>
          <cell r="O20">
            <v>168.78784999999999</v>
          </cell>
          <cell r="Q20">
            <v>1179.73748</v>
          </cell>
        </row>
        <row r="21">
          <cell r="A21">
            <v>10</v>
          </cell>
          <cell r="B21">
            <v>1972</v>
          </cell>
          <cell r="D21">
            <v>351.71310999999997</v>
          </cell>
          <cell r="E21">
            <v>255.40952999999999</v>
          </cell>
          <cell r="F21">
            <v>201.21314000000001</v>
          </cell>
          <cell r="G21">
            <v>92.6755</v>
          </cell>
          <cell r="H21">
            <v>12.65006</v>
          </cell>
          <cell r="I21">
            <v>0.89129999999999998</v>
          </cell>
          <cell r="J21">
            <v>32.500749999999996</v>
          </cell>
          <cell r="K21">
            <v>41.940449999999998</v>
          </cell>
          <cell r="L21">
            <v>37.875079999999997</v>
          </cell>
          <cell r="M21">
            <v>68.270710000000008</v>
          </cell>
          <cell r="N21">
            <v>84.472849999999994</v>
          </cell>
          <cell r="O21">
            <v>110.25758999999999</v>
          </cell>
          <cell r="Q21">
            <v>1289.8700700000002</v>
          </cell>
        </row>
        <row r="22">
          <cell r="A22">
            <v>11</v>
          </cell>
          <cell r="B22">
            <v>1973</v>
          </cell>
          <cell r="D22">
            <v>267.65226999999999</v>
          </cell>
          <cell r="E22">
            <v>276.27667000000002</v>
          </cell>
          <cell r="F22">
            <v>285.38000999999997</v>
          </cell>
          <cell r="G22">
            <v>141.74746999999999</v>
          </cell>
          <cell r="H22">
            <v>19.565689999999996</v>
          </cell>
          <cell r="I22">
            <v>2.7057599999999997</v>
          </cell>
          <cell r="J22">
            <v>13.97927</v>
          </cell>
          <cell r="K22">
            <v>34.993549999999999</v>
          </cell>
          <cell r="L22">
            <v>74.924869999999999</v>
          </cell>
          <cell r="M22">
            <v>47.410760000000003</v>
          </cell>
          <cell r="N22">
            <v>152.18896999999998</v>
          </cell>
          <cell r="O22">
            <v>128.96111999999999</v>
          </cell>
          <cell r="Q22">
            <v>1445.7864099999999</v>
          </cell>
        </row>
        <row r="23">
          <cell r="A23">
            <v>12</v>
          </cell>
          <cell r="B23">
            <v>1974</v>
          </cell>
          <cell r="D23">
            <v>319.88492999999994</v>
          </cell>
          <cell r="E23">
            <v>376.80133000000001</v>
          </cell>
          <cell r="F23">
            <v>253.71571999999998</v>
          </cell>
          <cell r="G23">
            <v>115.03153</v>
          </cell>
          <cell r="H23">
            <v>7.3904200000000007</v>
          </cell>
          <cell r="I23">
            <v>23.250450000000001</v>
          </cell>
          <cell r="J23">
            <v>7.2852800000000002</v>
          </cell>
          <cell r="K23">
            <v>98.894919999999985</v>
          </cell>
          <cell r="L23">
            <v>36.680320000000002</v>
          </cell>
          <cell r="M23">
            <v>47.180289999999999</v>
          </cell>
          <cell r="N23">
            <v>74.100760000000008</v>
          </cell>
          <cell r="O23">
            <v>93.378190000000004</v>
          </cell>
          <cell r="Q23">
            <v>1453.5941399999997</v>
          </cell>
        </row>
        <row r="24">
          <cell r="A24">
            <v>13</v>
          </cell>
          <cell r="B24">
            <v>1975</v>
          </cell>
          <cell r="D24">
            <v>179.24338</v>
          </cell>
          <cell r="E24">
            <v>205.11620999999997</v>
          </cell>
          <cell r="F24">
            <v>235.68509</v>
          </cell>
          <cell r="G24">
            <v>57.830820000000003</v>
          </cell>
          <cell r="H24">
            <v>39.87135</v>
          </cell>
          <cell r="I24">
            <v>6.86294</v>
          </cell>
          <cell r="J24">
            <v>1.24251</v>
          </cell>
          <cell r="K24">
            <v>16.468350000000001</v>
          </cell>
          <cell r="L24">
            <v>35.097589999999997</v>
          </cell>
          <cell r="M24">
            <v>67.178700000000006</v>
          </cell>
          <cell r="N24">
            <v>76.399100000000004</v>
          </cell>
          <cell r="O24">
            <v>310.18389999999999</v>
          </cell>
          <cell r="Q24">
            <v>1231.17994</v>
          </cell>
        </row>
        <row r="25">
          <cell r="A25">
            <v>14</v>
          </cell>
          <cell r="B25">
            <v>1976</v>
          </cell>
          <cell r="D25">
            <v>306.37664999999998</v>
          </cell>
          <cell r="E25">
            <v>264.56164000000001</v>
          </cell>
          <cell r="F25">
            <v>272.45000000000005</v>
          </cell>
          <cell r="G25">
            <v>60.881880000000002</v>
          </cell>
          <cell r="H25">
            <v>16.198450000000001</v>
          </cell>
          <cell r="I25">
            <v>26.891979999999997</v>
          </cell>
          <cell r="J25">
            <v>16.693770000000001</v>
          </cell>
          <cell r="K25">
            <v>24.215430000000001</v>
          </cell>
          <cell r="L25">
            <v>116.99485999999999</v>
          </cell>
          <cell r="M25">
            <v>21.421599999999998</v>
          </cell>
          <cell r="N25">
            <v>21.453809999999997</v>
          </cell>
          <cell r="O25">
            <v>116.01643000000001</v>
          </cell>
          <cell r="Q25">
            <v>1264.1565000000001</v>
          </cell>
        </row>
        <row r="26">
          <cell r="A26">
            <v>15</v>
          </cell>
          <cell r="B26">
            <v>1977</v>
          </cell>
          <cell r="D26">
            <v>143.81387999999998</v>
          </cell>
          <cell r="E26">
            <v>255.21661</v>
          </cell>
          <cell r="F26">
            <v>231.31480999999997</v>
          </cell>
          <cell r="G26">
            <v>29.84308</v>
          </cell>
          <cell r="H26">
            <v>3.62737</v>
          </cell>
          <cell r="I26">
            <v>0.15740000000000001</v>
          </cell>
          <cell r="J26">
            <v>8.1406599999999987</v>
          </cell>
          <cell r="K26">
            <v>0.30771999999999999</v>
          </cell>
          <cell r="L26">
            <v>49.157600000000002</v>
          </cell>
          <cell r="M26">
            <v>68.551410000000004</v>
          </cell>
          <cell r="N26">
            <v>148.75054</v>
          </cell>
          <cell r="O26">
            <v>233.06434999999999</v>
          </cell>
          <cell r="Q26">
            <v>1171.9454300000002</v>
          </cell>
        </row>
        <row r="27">
          <cell r="A27">
            <v>16</v>
          </cell>
          <cell r="B27">
            <v>1978</v>
          </cell>
          <cell r="D27">
            <v>220.95905000000002</v>
          </cell>
          <cell r="E27">
            <v>208.77823000000001</v>
          </cell>
          <cell r="F27">
            <v>148.50114000000002</v>
          </cell>
          <cell r="G27">
            <v>30.686870000000003</v>
          </cell>
          <cell r="H27">
            <v>19.765820000000001</v>
          </cell>
          <cell r="I27">
            <v>1.7631999999999999</v>
          </cell>
          <cell r="J27">
            <v>0.62960000000000005</v>
          </cell>
          <cell r="K27">
            <v>2.5119600000000002</v>
          </cell>
          <cell r="L27">
            <v>80.766419999999997</v>
          </cell>
          <cell r="M27">
            <v>86.316100000000006</v>
          </cell>
          <cell r="N27">
            <v>125.67059999999999</v>
          </cell>
          <cell r="O27">
            <v>143.12294</v>
          </cell>
          <cell r="Q27">
            <v>1069.4719300000002</v>
          </cell>
        </row>
        <row r="28">
          <cell r="A28">
            <v>17</v>
          </cell>
          <cell r="B28">
            <v>1979</v>
          </cell>
          <cell r="D28">
            <v>235.33721</v>
          </cell>
          <cell r="E28">
            <v>209.06099999999998</v>
          </cell>
          <cell r="F28">
            <v>176.41798</v>
          </cell>
          <cell r="G28">
            <v>60.858919999999998</v>
          </cell>
          <cell r="H28">
            <v>7.0977700000000006</v>
          </cell>
          <cell r="I28">
            <v>1.4740599999999999</v>
          </cell>
          <cell r="J28">
            <v>9.0199299999999987</v>
          </cell>
          <cell r="K28">
            <v>20.497199999999999</v>
          </cell>
          <cell r="L28">
            <v>27.81973</v>
          </cell>
          <cell r="M28">
            <v>29.634399999999999</v>
          </cell>
          <cell r="N28">
            <v>110.42059999999999</v>
          </cell>
          <cell r="O28">
            <v>116.02339000000001</v>
          </cell>
          <cell r="Q28">
            <v>1003.6621900000002</v>
          </cell>
        </row>
        <row r="29">
          <cell r="A29">
            <v>18</v>
          </cell>
          <cell r="B29">
            <v>1980</v>
          </cell>
          <cell r="D29">
            <v>122.23697</v>
          </cell>
          <cell r="E29">
            <v>156.26721000000001</v>
          </cell>
          <cell r="F29">
            <v>223.30243999999999</v>
          </cell>
          <cell r="G29">
            <v>22.640750000000001</v>
          </cell>
          <cell r="H29">
            <v>5.9041100000000002</v>
          </cell>
          <cell r="I29">
            <v>0.30771999999999999</v>
          </cell>
          <cell r="J29">
            <v>10.747470000000002</v>
          </cell>
          <cell r="K29">
            <v>1.40944</v>
          </cell>
          <cell r="L29">
            <v>20.929540000000003</v>
          </cell>
          <cell r="M29">
            <v>130.86163999999999</v>
          </cell>
          <cell r="N29">
            <v>116.93942999999999</v>
          </cell>
          <cell r="O29">
            <v>98.396749999999997</v>
          </cell>
          <cell r="Q29">
            <v>909.94346999999993</v>
          </cell>
        </row>
        <row r="30">
          <cell r="A30">
            <v>19</v>
          </cell>
          <cell r="B30">
            <v>1981</v>
          </cell>
          <cell r="D30">
            <v>247.25259000000003</v>
          </cell>
          <cell r="E30">
            <v>281.55032</v>
          </cell>
          <cell r="F30">
            <v>93.747780000000006</v>
          </cell>
          <cell r="G30">
            <v>84.739369999999994</v>
          </cell>
          <cell r="H30">
            <v>4.6711999999999998</v>
          </cell>
          <cell r="I30">
            <v>9.0314300000000003</v>
          </cell>
          <cell r="J30">
            <v>2.5358099999999997</v>
          </cell>
          <cell r="K30">
            <v>55.354159999999993</v>
          </cell>
          <cell r="L30">
            <v>60.71481</v>
          </cell>
          <cell r="M30">
            <v>102.80250999999998</v>
          </cell>
          <cell r="N30">
            <v>186.75921</v>
          </cell>
          <cell r="O30">
            <v>265.72609999999997</v>
          </cell>
          <cell r="Q30">
            <v>1394.8852899999997</v>
          </cell>
        </row>
        <row r="31">
          <cell r="A31">
            <v>20</v>
          </cell>
          <cell r="B31">
            <v>1982</v>
          </cell>
          <cell r="D31">
            <v>233.22571999999997</v>
          </cell>
          <cell r="E31">
            <v>186.55673999999999</v>
          </cell>
          <cell r="F31">
            <v>157.59448</v>
          </cell>
          <cell r="G31">
            <v>117.93884</v>
          </cell>
          <cell r="H31">
            <v>2.6817199999999999</v>
          </cell>
          <cell r="I31">
            <v>70.962580000000003</v>
          </cell>
          <cell r="J31">
            <v>3.7743000000000002</v>
          </cell>
          <cell r="K31">
            <v>44.649720000000002</v>
          </cell>
          <cell r="L31">
            <v>24.69022</v>
          </cell>
          <cell r="M31">
            <v>122.95805999999999</v>
          </cell>
          <cell r="N31">
            <v>177.36434</v>
          </cell>
          <cell r="O31">
            <v>80.43338</v>
          </cell>
          <cell r="Q31">
            <v>1222.8301000000001</v>
          </cell>
        </row>
        <row r="32">
          <cell r="A32">
            <v>21</v>
          </cell>
          <cell r="B32">
            <v>1983</v>
          </cell>
          <cell r="D32">
            <v>173.33879999999999</v>
          </cell>
          <cell r="E32">
            <v>311.16669999999999</v>
          </cell>
          <cell r="F32">
            <v>212.74565999999999</v>
          </cell>
          <cell r="G32">
            <v>81.98236</v>
          </cell>
          <cell r="H32">
            <v>15.8048</v>
          </cell>
          <cell r="I32">
            <v>22.082100000000001</v>
          </cell>
          <cell r="J32">
            <v>0</v>
          </cell>
          <cell r="K32">
            <v>12.5709</v>
          </cell>
          <cell r="L32">
            <v>38.435900000000004</v>
          </cell>
          <cell r="M32">
            <v>94.522480000000002</v>
          </cell>
          <cell r="N32">
            <v>127.8775</v>
          </cell>
          <cell r="O32">
            <v>184.58398</v>
          </cell>
          <cell r="Q32">
            <v>1275.1111799999999</v>
          </cell>
        </row>
        <row r="33">
          <cell r="A33">
            <v>22</v>
          </cell>
          <cell r="B33">
            <v>1984</v>
          </cell>
          <cell r="D33">
            <v>267.76691999999997</v>
          </cell>
          <cell r="E33">
            <v>332.83926000000002</v>
          </cell>
          <cell r="F33">
            <v>162.25615999999999</v>
          </cell>
          <cell r="G33">
            <v>15.135299999999999</v>
          </cell>
          <cell r="H33">
            <v>18.7165</v>
          </cell>
          <cell r="I33">
            <v>26.458500000000001</v>
          </cell>
          <cell r="J33">
            <v>2.0718000000000001</v>
          </cell>
          <cell r="K33">
            <v>5.6928999999999998</v>
          </cell>
          <cell r="L33">
            <v>48.921619999999997</v>
          </cell>
          <cell r="M33">
            <v>57.530800000000006</v>
          </cell>
          <cell r="N33">
            <v>104.34156</v>
          </cell>
          <cell r="O33">
            <v>201.36043999999998</v>
          </cell>
          <cell r="Q33">
            <v>1243.09176</v>
          </cell>
        </row>
        <row r="34">
          <cell r="A34">
            <v>23</v>
          </cell>
          <cell r="B34">
            <v>1985</v>
          </cell>
          <cell r="D34">
            <v>256.51796000000002</v>
          </cell>
          <cell r="E34">
            <v>170.32133999999999</v>
          </cell>
          <cell r="F34">
            <v>262.1825</v>
          </cell>
          <cell r="G34">
            <v>201.65595999999999</v>
          </cell>
          <cell r="H34">
            <v>37.044080000000001</v>
          </cell>
          <cell r="I34">
            <v>10.57278</v>
          </cell>
          <cell r="J34">
            <v>9.3078000000000003</v>
          </cell>
          <cell r="K34">
            <v>2.7601599999999999</v>
          </cell>
          <cell r="L34">
            <v>14.2774</v>
          </cell>
          <cell r="M34">
            <v>141.99737999999999</v>
          </cell>
          <cell r="N34">
            <v>95.367959999999997</v>
          </cell>
          <cell r="O34">
            <v>133.64465999999999</v>
          </cell>
          <cell r="Q34">
            <v>1335.6499800000001</v>
          </cell>
        </row>
        <row r="35">
          <cell r="A35">
            <v>24</v>
          </cell>
          <cell r="B35">
            <v>1986</v>
          </cell>
          <cell r="D35">
            <v>181.06706</v>
          </cell>
          <cell r="E35">
            <v>193.94247999999999</v>
          </cell>
          <cell r="F35">
            <v>272.16569999999996</v>
          </cell>
          <cell r="G35">
            <v>96.588300000000004</v>
          </cell>
          <cell r="H35">
            <v>8.3502599999999987</v>
          </cell>
          <cell r="I35">
            <v>4.9306000000000001</v>
          </cell>
          <cell r="J35">
            <v>2.1882000000000001</v>
          </cell>
          <cell r="K35">
            <v>38.656440000000003</v>
          </cell>
          <cell r="L35">
            <v>46.857879999999994</v>
          </cell>
          <cell r="M35">
            <v>47.198259999999998</v>
          </cell>
          <cell r="N35">
            <v>71.607280000000003</v>
          </cell>
          <cell r="O35">
            <v>166.74918</v>
          </cell>
          <cell r="Q35">
            <v>1130.3016400000001</v>
          </cell>
        </row>
        <row r="36">
          <cell r="A36">
            <v>25</v>
          </cell>
          <cell r="B36">
            <v>1987</v>
          </cell>
          <cell r="D36">
            <v>230.90198000000004</v>
          </cell>
          <cell r="E36">
            <v>129.51823000000002</v>
          </cell>
          <cell r="F36">
            <v>124.27321999999999</v>
          </cell>
          <cell r="G36">
            <v>44.282650000000004</v>
          </cell>
          <cell r="H36">
            <v>21.785430000000002</v>
          </cell>
          <cell r="I36">
            <v>15.401119999999999</v>
          </cell>
          <cell r="J36">
            <v>19.700000000000003</v>
          </cell>
          <cell r="K36">
            <v>5.6631800000000005</v>
          </cell>
          <cell r="L36">
            <v>8.6234900000000003</v>
          </cell>
          <cell r="M36">
            <v>83.115299999999991</v>
          </cell>
          <cell r="N36">
            <v>88.970140000000001</v>
          </cell>
          <cell r="O36">
            <v>107.63073</v>
          </cell>
          <cell r="Q36">
            <v>879.86546999999996</v>
          </cell>
        </row>
        <row r="37">
          <cell r="A37">
            <v>26</v>
          </cell>
          <cell r="B37">
            <v>1988</v>
          </cell>
          <cell r="D37">
            <v>351.32693</v>
          </cell>
          <cell r="E37">
            <v>215.98975999999999</v>
          </cell>
          <cell r="F37">
            <v>201.0222</v>
          </cell>
          <cell r="G37">
            <v>158.24379999999999</v>
          </cell>
          <cell r="H37">
            <v>28.229590000000002</v>
          </cell>
          <cell r="I37">
            <v>1.3379000000000001</v>
          </cell>
          <cell r="J37">
            <v>1.4396500000000001</v>
          </cell>
          <cell r="K37">
            <v>1.9342400000000002</v>
          </cell>
          <cell r="L37">
            <v>27.606650000000002</v>
          </cell>
          <cell r="M37">
            <v>84.087510000000009</v>
          </cell>
          <cell r="N37">
            <v>48.288440000000001</v>
          </cell>
          <cell r="O37">
            <v>107.38813999999999</v>
          </cell>
          <cell r="Q37">
            <v>1226.8948100000002</v>
          </cell>
        </row>
        <row r="38">
          <cell r="A38">
            <v>27</v>
          </cell>
          <cell r="B38">
            <v>1989</v>
          </cell>
          <cell r="D38">
            <v>269.45807000000002</v>
          </cell>
          <cell r="E38">
            <v>237.85762</v>
          </cell>
          <cell r="F38">
            <v>224.87812000000002</v>
          </cell>
          <cell r="G38">
            <v>50.033670000000001</v>
          </cell>
          <cell r="H38">
            <v>28.798089999999998</v>
          </cell>
          <cell r="I38">
            <v>17.32105</v>
          </cell>
          <cell r="J38">
            <v>1.89714</v>
          </cell>
          <cell r="K38">
            <v>11.248899999999999</v>
          </cell>
          <cell r="L38">
            <v>35.107399999999998</v>
          </cell>
          <cell r="M38">
            <v>53.761920000000003</v>
          </cell>
          <cell r="N38">
            <v>66.083550000000002</v>
          </cell>
          <cell r="O38">
            <v>152.45805000000001</v>
          </cell>
          <cell r="Q38">
            <v>1148.9035800000001</v>
          </cell>
        </row>
        <row r="39">
          <cell r="A39">
            <v>28</v>
          </cell>
          <cell r="B39">
            <v>1990</v>
          </cell>
          <cell r="D39">
            <v>234.11282</v>
          </cell>
          <cell r="E39">
            <v>121.97266999999999</v>
          </cell>
          <cell r="F39">
            <v>142.12044</v>
          </cell>
          <cell r="G39">
            <v>71.110720000000001</v>
          </cell>
          <cell r="H39">
            <v>14.871599999999999</v>
          </cell>
          <cell r="I39">
            <v>19.353200000000001</v>
          </cell>
          <cell r="J39">
            <v>3.2113</v>
          </cell>
          <cell r="K39">
            <v>22.34845</v>
          </cell>
          <cell r="L39">
            <v>27.374299999999998</v>
          </cell>
          <cell r="M39">
            <v>64.7029</v>
          </cell>
          <cell r="N39">
            <v>92.470259999999996</v>
          </cell>
          <cell r="O39">
            <v>110.47829999999999</v>
          </cell>
          <cell r="Q39">
            <v>924.12695999999983</v>
          </cell>
        </row>
        <row r="40">
          <cell r="A40">
            <v>29</v>
          </cell>
          <cell r="B40">
            <v>1991</v>
          </cell>
          <cell r="D40">
            <v>159.6755</v>
          </cell>
          <cell r="E40">
            <v>119.41566</v>
          </cell>
          <cell r="F40">
            <v>141.60589999999999</v>
          </cell>
          <cell r="G40">
            <v>25.085979999999999</v>
          </cell>
          <cell r="H40">
            <v>16.36505</v>
          </cell>
          <cell r="I40">
            <v>6.0731499999999992</v>
          </cell>
          <cell r="J40">
            <v>4.0652999999999997</v>
          </cell>
          <cell r="K40">
            <v>11.78894</v>
          </cell>
          <cell r="L40">
            <v>36.296149999999997</v>
          </cell>
          <cell r="M40">
            <v>94.55762</v>
          </cell>
          <cell r="N40">
            <v>67.757499999999993</v>
          </cell>
          <cell r="O40">
            <v>83.489099999999993</v>
          </cell>
          <cell r="Q40">
            <v>766.17585000000008</v>
          </cell>
        </row>
        <row r="41">
          <cell r="A41">
            <v>30</v>
          </cell>
          <cell r="B41">
            <v>1992</v>
          </cell>
          <cell r="D41">
            <v>121.4152</v>
          </cell>
          <cell r="E41">
            <v>198.87249000000003</v>
          </cell>
          <cell r="F41">
            <v>189.13833</v>
          </cell>
          <cell r="G41">
            <v>86.659530000000004</v>
          </cell>
          <cell r="H41">
            <v>2.82368</v>
          </cell>
          <cell r="I41">
            <v>13.851599999999999</v>
          </cell>
          <cell r="J41">
            <v>10.52876</v>
          </cell>
          <cell r="K41">
            <v>54.027659999999997</v>
          </cell>
          <cell r="L41">
            <v>21.5122</v>
          </cell>
          <cell r="M41">
            <v>82.317520000000002</v>
          </cell>
          <cell r="N41">
            <v>111.17989999999999</v>
          </cell>
          <cell r="O41">
            <v>170.18746999999999</v>
          </cell>
          <cell r="Q41">
            <v>1062.5143399999999</v>
          </cell>
        </row>
        <row r="42">
          <cell r="A42">
            <v>31</v>
          </cell>
          <cell r="B42">
            <v>1993</v>
          </cell>
          <cell r="D42">
            <v>254.88045</v>
          </cell>
          <cell r="E42">
            <v>218.84019999999998</v>
          </cell>
          <cell r="F42">
            <v>254.87085000000002</v>
          </cell>
          <cell r="G42">
            <v>142.76949999999999</v>
          </cell>
          <cell r="H42">
            <v>26.621099999999998</v>
          </cell>
          <cell r="I42">
            <v>8.4250000000000007</v>
          </cell>
          <cell r="J42">
            <v>31.793399999999998</v>
          </cell>
          <cell r="K42">
            <v>46.388400000000004</v>
          </cell>
          <cell r="L42">
            <v>34.339500000000001</v>
          </cell>
          <cell r="M42">
            <v>105.8323</v>
          </cell>
          <cell r="N42">
            <v>103.7666</v>
          </cell>
          <cell r="O42">
            <v>192.00200000000001</v>
          </cell>
          <cell r="Q42">
            <v>1420.5292999999999</v>
          </cell>
        </row>
        <row r="43">
          <cell r="A43">
            <v>32</v>
          </cell>
          <cell r="B43">
            <v>1994</v>
          </cell>
          <cell r="D43">
            <v>314.70889999999997</v>
          </cell>
          <cell r="E43">
            <v>207.07580000000002</v>
          </cell>
          <cell r="F43">
            <v>182.87639999999999</v>
          </cell>
          <cell r="G43">
            <v>25.655099999999997</v>
          </cell>
          <cell r="H43">
            <v>22.997399999999999</v>
          </cell>
          <cell r="I43">
            <v>0.87919999999999998</v>
          </cell>
          <cell r="J43">
            <v>0</v>
          </cell>
          <cell r="K43">
            <v>18.572599999999998</v>
          </cell>
          <cell r="L43">
            <v>14.127699999999999</v>
          </cell>
          <cell r="M43">
            <v>194.10470000000001</v>
          </cell>
          <cell r="N43">
            <v>114.51509999999999</v>
          </cell>
          <cell r="O43">
            <v>155.84099999999998</v>
          </cell>
          <cell r="Q43">
            <v>1251.3538999999996</v>
          </cell>
        </row>
        <row r="44">
          <cell r="A44">
            <v>33</v>
          </cell>
          <cell r="B44">
            <v>1995</v>
          </cell>
          <cell r="D44">
            <v>291.92770000000002</v>
          </cell>
          <cell r="E44">
            <v>193.55249999999998</v>
          </cell>
          <cell r="F44">
            <v>257.69260000000003</v>
          </cell>
          <cell r="G44">
            <v>36.3279</v>
          </cell>
          <cell r="H44">
            <v>6.5015999999999998</v>
          </cell>
          <cell r="I44">
            <v>1.1805000000000001</v>
          </cell>
          <cell r="J44">
            <v>1.2387000000000001</v>
          </cell>
          <cell r="K44">
            <v>5.1974</v>
          </cell>
          <cell r="L44">
            <v>37.706299999999999</v>
          </cell>
          <cell r="M44">
            <v>36.766000000000005</v>
          </cell>
          <cell r="N44">
            <v>108.9614</v>
          </cell>
          <cell r="O44">
            <v>134.64089999999999</v>
          </cell>
          <cell r="Q44">
            <v>1111.6935000000003</v>
          </cell>
        </row>
        <row r="45">
          <cell r="A45">
            <v>34</v>
          </cell>
          <cell r="B45">
            <v>1996</v>
          </cell>
          <cell r="D45">
            <v>137.01059999999998</v>
          </cell>
          <cell r="E45">
            <v>213.26140000000001</v>
          </cell>
          <cell r="F45">
            <v>150.13630000000001</v>
          </cell>
          <cell r="G45">
            <v>104.2152</v>
          </cell>
          <cell r="H45">
            <v>17.003900000000002</v>
          </cell>
          <cell r="I45">
            <v>3.4026999999999998</v>
          </cell>
          <cell r="J45">
            <v>3.7275</v>
          </cell>
          <cell r="K45">
            <v>0.87919999999999998</v>
          </cell>
          <cell r="L45">
            <v>36.725299999999997</v>
          </cell>
          <cell r="M45">
            <v>154.81489999999999</v>
          </cell>
          <cell r="N45">
            <v>132.1523</v>
          </cell>
          <cell r="O45">
            <v>207.00889999999998</v>
          </cell>
          <cell r="Q45">
            <v>1160.3381999999999</v>
          </cell>
        </row>
        <row r="46">
          <cell r="A46">
            <v>35</v>
          </cell>
          <cell r="B46">
            <v>1997</v>
          </cell>
          <cell r="D46">
            <v>291.41039999999998</v>
          </cell>
          <cell r="E46">
            <v>244.18389999999999</v>
          </cell>
          <cell r="F46">
            <v>184.64179999999999</v>
          </cell>
          <cell r="G46">
            <v>43.209500000000006</v>
          </cell>
          <cell r="H46">
            <v>34.9711</v>
          </cell>
          <cell r="I46">
            <v>11.038399999999999</v>
          </cell>
          <cell r="J46">
            <v>4.8401999999999994</v>
          </cell>
          <cell r="K46">
            <v>27.9787</v>
          </cell>
          <cell r="L46">
            <v>16.153399999999998</v>
          </cell>
          <cell r="M46">
            <v>147.41659999999999</v>
          </cell>
          <cell r="N46">
            <v>153.40379999999999</v>
          </cell>
          <cell r="O46">
            <v>86.644800000000004</v>
          </cell>
          <cell r="Q46">
            <v>1245.8926000000001</v>
          </cell>
        </row>
        <row r="47">
          <cell r="A47">
            <v>36</v>
          </cell>
          <cell r="B47">
            <v>1998</v>
          </cell>
          <cell r="D47">
            <v>284.56319999999999</v>
          </cell>
          <cell r="E47">
            <v>228.75749999999999</v>
          </cell>
          <cell r="F47">
            <v>145.25459999999998</v>
          </cell>
          <cell r="G47">
            <v>22.2727</v>
          </cell>
          <cell r="H47">
            <v>1.6217000000000001</v>
          </cell>
          <cell r="I47">
            <v>25.652200000000001</v>
          </cell>
          <cell r="J47">
            <v>3.2538999999999998</v>
          </cell>
          <cell r="K47">
            <v>10.937100000000001</v>
          </cell>
          <cell r="L47">
            <v>90.605400000000003</v>
          </cell>
          <cell r="M47">
            <v>78.903700000000001</v>
          </cell>
          <cell r="N47">
            <v>110.57440000000001</v>
          </cell>
          <cell r="O47">
            <v>276.42520000000002</v>
          </cell>
          <cell r="Q47">
            <v>1278.8216</v>
          </cell>
        </row>
        <row r="49">
          <cell r="A49" t="str">
            <v xml:space="preserve"> Nº DATOS</v>
          </cell>
          <cell r="D49">
            <v>36</v>
          </cell>
          <cell r="E49">
            <v>36</v>
          </cell>
          <cell r="F49">
            <v>36</v>
          </cell>
          <cell r="G49">
            <v>36</v>
          </cell>
          <cell r="H49">
            <v>36</v>
          </cell>
          <cell r="I49">
            <v>36</v>
          </cell>
          <cell r="J49">
            <v>36</v>
          </cell>
          <cell r="K49">
            <v>36</v>
          </cell>
          <cell r="L49">
            <v>36</v>
          </cell>
          <cell r="M49">
            <v>36</v>
          </cell>
          <cell r="N49">
            <v>36</v>
          </cell>
          <cell r="O49">
            <v>36</v>
          </cell>
          <cell r="Q49">
            <v>36</v>
          </cell>
        </row>
        <row r="50">
          <cell r="A50" t="str">
            <v xml:space="preserve">   MEDIA</v>
          </cell>
          <cell r="D50">
            <v>233.6</v>
          </cell>
          <cell r="E50">
            <v>229</v>
          </cell>
          <cell r="F50">
            <v>205</v>
          </cell>
          <cell r="G50">
            <v>76.7</v>
          </cell>
          <cell r="H50">
            <v>17.100000000000001</v>
          </cell>
          <cell r="I50">
            <v>10.6</v>
          </cell>
          <cell r="J50">
            <v>8.3000000000000007</v>
          </cell>
          <cell r="K50">
            <v>19.899999999999999</v>
          </cell>
          <cell r="L50">
            <v>42.2</v>
          </cell>
          <cell r="M50">
            <v>91.9</v>
          </cell>
          <cell r="N50">
            <v>108.2</v>
          </cell>
          <cell r="O50">
            <v>157.80000000000001</v>
          </cell>
          <cell r="Q50">
            <v>1200.3</v>
          </cell>
        </row>
        <row r="51">
          <cell r="A51" t="str">
            <v xml:space="preserve"> DESV.STD</v>
          </cell>
          <cell r="D51">
            <v>73.264048174655443</v>
          </cell>
          <cell r="E51">
            <v>58.289873665786651</v>
          </cell>
          <cell r="F51">
            <v>55.381797304516944</v>
          </cell>
          <cell r="G51">
            <v>45.109067530800353</v>
          </cell>
          <cell r="H51">
            <v>13.44442983113256</v>
          </cell>
          <cell r="I51">
            <v>13.276094936021588</v>
          </cell>
          <cell r="J51">
            <v>8.8277926822673081</v>
          </cell>
          <cell r="K51">
            <v>20.887591724109335</v>
          </cell>
          <cell r="L51">
            <v>23.968157872391401</v>
          </cell>
          <cell r="M51">
            <v>41.370791360600244</v>
          </cell>
          <cell r="N51">
            <v>37.69939564180693</v>
          </cell>
          <cell r="O51">
            <v>56.700668686236085</v>
          </cell>
          <cell r="Q51">
            <v>179.35378560789837</v>
          </cell>
        </row>
        <row r="52">
          <cell r="A52" t="str">
            <v>PRECIP. AL 75%</v>
          </cell>
          <cell r="D52">
            <v>184.18339950619489</v>
          </cell>
          <cell r="E52">
            <v>189.6834802124269</v>
          </cell>
          <cell r="F52">
            <v>167.64497771810332</v>
          </cell>
          <cell r="G52">
            <v>46.273933950475168</v>
          </cell>
          <cell r="H52">
            <v>8.03173207890109</v>
          </cell>
          <cell r="I52">
            <v>1.6452739656534394</v>
          </cell>
          <cell r="J52">
            <v>2.3456538358107011</v>
          </cell>
          <cell r="K52">
            <v>5.8113193820882518</v>
          </cell>
          <cell r="L52">
            <v>26.033477515072004</v>
          </cell>
          <cell r="M52">
            <v>63.995401227275138</v>
          </cell>
          <cell r="N52">
            <v>82.771757639601233</v>
          </cell>
          <cell r="O52">
            <v>119.55539897113377</v>
          </cell>
          <cell r="Q52">
            <v>897.97580600273602</v>
          </cell>
        </row>
        <row r="53">
          <cell r="A53" t="str">
            <v xml:space="preserve">   C. V.</v>
          </cell>
          <cell r="D53">
            <v>0.31363034321342226</v>
          </cell>
          <cell r="E53">
            <v>0.25454093303836967</v>
          </cell>
          <cell r="F53">
            <v>0.27015510880252169</v>
          </cell>
          <cell r="G53">
            <v>0.5881234358644114</v>
          </cell>
          <cell r="H53">
            <v>0.78622396673289818</v>
          </cell>
          <cell r="I53">
            <v>1.252461786417131</v>
          </cell>
          <cell r="J53">
            <v>1.0635894797912417</v>
          </cell>
          <cell r="K53">
            <v>1.0496277248296149</v>
          </cell>
          <cell r="L53">
            <v>0.56796582635998583</v>
          </cell>
          <cell r="M53">
            <v>0.45017183199782634</v>
          </cell>
          <cell r="N53">
            <v>0.34842324992427848</v>
          </cell>
          <cell r="O53">
            <v>0.3593198269089739</v>
          </cell>
          <cell r="Q53">
            <v>0.14942413197358859</v>
          </cell>
        </row>
        <row r="54">
          <cell r="A54" t="str">
            <v xml:space="preserve"> P.MIMIMO</v>
          </cell>
          <cell r="D54">
            <v>77.296600000000012</v>
          </cell>
          <cell r="E54">
            <v>119.41566</v>
          </cell>
          <cell r="F54">
            <v>93.747780000000006</v>
          </cell>
          <cell r="G54">
            <v>15.135299999999999</v>
          </cell>
          <cell r="H54">
            <v>0.77347999999999995</v>
          </cell>
          <cell r="I54">
            <v>0</v>
          </cell>
          <cell r="J54">
            <v>0</v>
          </cell>
          <cell r="K54">
            <v>0.30771999999999999</v>
          </cell>
          <cell r="L54">
            <v>8.6234900000000003</v>
          </cell>
          <cell r="M54">
            <v>21.421599999999998</v>
          </cell>
          <cell r="N54">
            <v>21.453809999999997</v>
          </cell>
          <cell r="O54">
            <v>80.43338</v>
          </cell>
          <cell r="Q54">
            <v>766.17585000000008</v>
          </cell>
        </row>
        <row r="55">
          <cell r="A55" t="str">
            <v xml:space="preserve"> P.MAXIMO</v>
          </cell>
          <cell r="D55">
            <v>351.71310999999997</v>
          </cell>
          <cell r="E55">
            <v>376.80133000000001</v>
          </cell>
          <cell r="F55">
            <v>350.71870999999999</v>
          </cell>
          <cell r="G55">
            <v>201.65595999999999</v>
          </cell>
          <cell r="H55">
            <v>66.285129999999995</v>
          </cell>
          <cell r="I55">
            <v>70.962580000000003</v>
          </cell>
          <cell r="J55">
            <v>32.500749999999996</v>
          </cell>
          <cell r="K55">
            <v>98.894919999999985</v>
          </cell>
          <cell r="L55">
            <v>116.99485999999999</v>
          </cell>
          <cell r="M55">
            <v>194.10470000000001</v>
          </cell>
          <cell r="N55">
            <v>186.75921</v>
          </cell>
          <cell r="O55">
            <v>310.18389999999999</v>
          </cell>
          <cell r="Q55">
            <v>1453.5941399999997</v>
          </cell>
        </row>
        <row r="56">
          <cell r="N56" t="str">
            <v>FECHA:</v>
          </cell>
          <cell r="Q56">
            <v>36406.38012627315</v>
          </cell>
        </row>
      </sheetData>
      <sheetData sheetId="6"/>
      <sheetData sheetId="7"/>
      <sheetData sheetId="8"/>
      <sheetData sheetId="9"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
      <sheetName val="R OP"/>
      <sheetName val="E"/>
      <sheetName val="R E"/>
      <sheetName val="A"/>
      <sheetName val="R A"/>
      <sheetName val="IS"/>
      <sheetName val="R IS"/>
      <sheetName val="IE"/>
      <sheetName val="R IE"/>
      <sheetName val="AD"/>
      <sheetName val="RAD"/>
      <sheetName val="(FF-01) "/>
      <sheetName val="(FF-02)"/>
      <sheetName val="(FF-03)"/>
      <sheetName val="R VAL"/>
      <sheetName val="CURVA S"/>
      <sheetName val="RESUMEN  CRONOGRAMA FINANCIERO"/>
      <sheetName val="FF-15"/>
    </sheetNames>
    <sheetDataSet>
      <sheetData sheetId="0"/>
      <sheetData sheetId="1"/>
      <sheetData sheetId="2"/>
      <sheetData sheetId="3"/>
      <sheetData sheetId="4"/>
      <sheetData sheetId="5"/>
      <sheetData sheetId="6"/>
      <sheetData sheetId="7"/>
      <sheetData sheetId="8"/>
      <sheetData sheetId="9">
        <row r="17">
          <cell r="C17" t="str">
            <v>22</v>
          </cell>
          <cell r="D17" t="str">
            <v>BLOQUES I, II, III</v>
          </cell>
          <cell r="E17">
            <v>0</v>
          </cell>
          <cell r="F17">
            <v>0</v>
          </cell>
          <cell r="G17">
            <v>0</v>
          </cell>
          <cell r="H17">
            <v>0</v>
          </cell>
          <cell r="I17">
            <v>0</v>
          </cell>
          <cell r="J17">
            <v>0</v>
          </cell>
          <cell r="K17">
            <v>0</v>
          </cell>
        </row>
        <row r="18">
          <cell r="C18" t="str">
            <v>22.01</v>
          </cell>
          <cell r="D18" t="str">
            <v xml:space="preserve">   INSTALACIONES ELECTRICAS</v>
          </cell>
          <cell r="E18">
            <v>0</v>
          </cell>
          <cell r="F18">
            <v>0</v>
          </cell>
          <cell r="G18">
            <v>0</v>
          </cell>
          <cell r="H18">
            <v>0</v>
          </cell>
          <cell r="I18">
            <v>0</v>
          </cell>
          <cell r="J18">
            <v>0</v>
          </cell>
          <cell r="K18">
            <v>0</v>
          </cell>
        </row>
        <row r="19">
          <cell r="C19" t="str">
            <v>22.01.01</v>
          </cell>
          <cell r="D19" t="str">
            <v xml:space="preserve">      TABLEROS</v>
          </cell>
          <cell r="E19">
            <v>0</v>
          </cell>
          <cell r="F19">
            <v>0</v>
          </cell>
          <cell r="G19">
            <v>0</v>
          </cell>
          <cell r="H19">
            <v>0</v>
          </cell>
          <cell r="I19">
            <v>0</v>
          </cell>
          <cell r="J19">
            <v>0</v>
          </cell>
          <cell r="K19">
            <v>0</v>
          </cell>
        </row>
        <row r="20">
          <cell r="C20" t="str">
            <v>22.01.01.01</v>
          </cell>
          <cell r="D20" t="str">
            <v xml:space="preserve">         TABLERO DE DISTRIBUCION TD-1</v>
          </cell>
          <cell r="E20">
            <v>0</v>
          </cell>
          <cell r="F20" t="str">
            <v>Eqp</v>
          </cell>
          <cell r="G20">
            <v>0</v>
          </cell>
          <cell r="H20">
            <v>0</v>
          </cell>
          <cell r="I20">
            <v>0</v>
          </cell>
          <cell r="J20">
            <v>1</v>
          </cell>
          <cell r="K20">
            <v>1</v>
          </cell>
        </row>
        <row r="21">
          <cell r="C21" t="str">
            <v>22.01.01.02</v>
          </cell>
          <cell r="D21" t="str">
            <v xml:space="preserve">         TABLERO DE DISTRIBUCION TD-2</v>
          </cell>
          <cell r="E21">
            <v>0</v>
          </cell>
          <cell r="F21" t="str">
            <v>Eqp</v>
          </cell>
          <cell r="G21">
            <v>0</v>
          </cell>
          <cell r="H21">
            <v>0</v>
          </cell>
          <cell r="I21">
            <v>0</v>
          </cell>
          <cell r="J21">
            <v>1</v>
          </cell>
          <cell r="K21">
            <v>1</v>
          </cell>
        </row>
        <row r="22">
          <cell r="C22" t="str">
            <v>22.01.02</v>
          </cell>
          <cell r="D22" t="str">
            <v xml:space="preserve">      SALIDA PARA CENTRO DE LUZ</v>
          </cell>
          <cell r="E22">
            <v>0</v>
          </cell>
          <cell r="F22">
            <v>0</v>
          </cell>
          <cell r="G22">
            <v>0</v>
          </cell>
          <cell r="H22">
            <v>0</v>
          </cell>
          <cell r="I22">
            <v>0</v>
          </cell>
          <cell r="J22">
            <v>0</v>
          </cell>
          <cell r="K22">
            <v>0</v>
          </cell>
        </row>
        <row r="23">
          <cell r="C23" t="str">
            <v>22.01.02.01</v>
          </cell>
          <cell r="D23" t="str">
            <v xml:space="preserve">         SALIDA PARA CENTRO DE LUZ  </v>
          </cell>
          <cell r="E23">
            <v>0</v>
          </cell>
          <cell r="F23" t="str">
            <v>pto</v>
          </cell>
          <cell r="G23">
            <v>0</v>
          </cell>
          <cell r="H23">
            <v>124</v>
          </cell>
          <cell r="I23">
            <v>124</v>
          </cell>
          <cell r="J23">
            <v>124</v>
          </cell>
          <cell r="K23">
            <v>0</v>
          </cell>
        </row>
        <row r="24">
          <cell r="C24" t="str">
            <v>22.01.02.02</v>
          </cell>
          <cell r="D24" t="str">
            <v xml:space="preserve">         SALIDA PARA LUZ DE EMERGENCIA</v>
          </cell>
          <cell r="E24">
            <v>0</v>
          </cell>
          <cell r="F24" t="str">
            <v>pto</v>
          </cell>
          <cell r="G24">
            <v>0</v>
          </cell>
          <cell r="H24">
            <v>8</v>
          </cell>
          <cell r="I24">
            <v>8</v>
          </cell>
          <cell r="J24">
            <v>8</v>
          </cell>
          <cell r="K24">
            <v>0</v>
          </cell>
        </row>
        <row r="25">
          <cell r="C25" t="str">
            <v>22.01.03</v>
          </cell>
          <cell r="D25" t="str">
            <v xml:space="preserve">      ARTEFACTOS DE ILUMINACION</v>
          </cell>
          <cell r="E25">
            <v>0</v>
          </cell>
          <cell r="F25">
            <v>0</v>
          </cell>
          <cell r="G25">
            <v>0</v>
          </cell>
          <cell r="H25">
            <v>0</v>
          </cell>
          <cell r="I25">
            <v>0</v>
          </cell>
          <cell r="J25">
            <v>0</v>
          </cell>
          <cell r="K25">
            <v>0</v>
          </cell>
        </row>
        <row r="26">
          <cell r="C26" t="str">
            <v>22.01.03.01</v>
          </cell>
          <cell r="D26" t="str">
            <v xml:space="preserve">         Artefacto para Adosar, con 02 fluorescentes lineales de 36W, con rejilla y sistema optico parabolico</v>
          </cell>
          <cell r="E26">
            <v>0</v>
          </cell>
          <cell r="F26" t="str">
            <v>und</v>
          </cell>
          <cell r="G26">
            <v>0</v>
          </cell>
          <cell r="H26">
            <v>0</v>
          </cell>
          <cell r="I26">
            <v>0</v>
          </cell>
          <cell r="J26">
            <v>99</v>
          </cell>
          <cell r="K26">
            <v>99</v>
          </cell>
        </row>
        <row r="27">
          <cell r="C27" t="str">
            <v>22.01.03.02</v>
          </cell>
          <cell r="D27" t="str">
            <v xml:space="preserve">         Artefacto para Adosar, con 02 fluorescentes lineales de 18W, con rejilla y sistema optico parabolico</v>
          </cell>
          <cell r="E27">
            <v>0</v>
          </cell>
          <cell r="F27" t="str">
            <v>und</v>
          </cell>
          <cell r="G27">
            <v>0</v>
          </cell>
          <cell r="H27">
            <v>0</v>
          </cell>
          <cell r="I27">
            <v>0</v>
          </cell>
          <cell r="J27">
            <v>17</v>
          </cell>
          <cell r="K27">
            <v>17</v>
          </cell>
        </row>
        <row r="28">
          <cell r="C28" t="str">
            <v>22.01.03.03</v>
          </cell>
          <cell r="D28" t="str">
            <v>Luminaria para Empotrar en techo tipo LED , lampara LED de 61 W modelo ST526B o Similar</v>
          </cell>
          <cell r="E28">
            <v>0</v>
          </cell>
          <cell r="F28" t="str">
            <v>und</v>
          </cell>
          <cell r="G28">
            <v>0</v>
          </cell>
          <cell r="H28">
            <v>0</v>
          </cell>
          <cell r="I28">
            <v>0</v>
          </cell>
          <cell r="J28">
            <v>8</v>
          </cell>
          <cell r="K28">
            <v>8</v>
          </cell>
        </row>
        <row r="29">
          <cell r="C29" t="str">
            <v>22.01.03.04</v>
          </cell>
          <cell r="D29" t="str">
            <v xml:space="preserve">         Artefacto de iluminacion EM luz de emergencia</v>
          </cell>
          <cell r="E29">
            <v>0</v>
          </cell>
          <cell r="F29" t="str">
            <v>und</v>
          </cell>
          <cell r="G29">
            <v>0</v>
          </cell>
          <cell r="H29">
            <v>0</v>
          </cell>
          <cell r="I29">
            <v>0</v>
          </cell>
          <cell r="J29">
            <v>8</v>
          </cell>
          <cell r="K29">
            <v>8</v>
          </cell>
        </row>
        <row r="30">
          <cell r="C30" t="str">
            <v>22.01.04</v>
          </cell>
          <cell r="D30" t="str">
            <v xml:space="preserve">      INTERRUPTORES</v>
          </cell>
          <cell r="E30">
            <v>0</v>
          </cell>
          <cell r="F30">
            <v>0</v>
          </cell>
          <cell r="G30">
            <v>0</v>
          </cell>
          <cell r="H30">
            <v>0</v>
          </cell>
          <cell r="I30">
            <v>0</v>
          </cell>
          <cell r="J30">
            <v>0</v>
          </cell>
          <cell r="K30">
            <v>0</v>
          </cell>
        </row>
        <row r="31">
          <cell r="C31" t="str">
            <v>22.01.04.01</v>
          </cell>
          <cell r="D31" t="str">
            <v xml:space="preserve">         SALIDA PARA INTERRUPTOR SIMPLE, INCLUYE INSTALACION DE INTERRUPTOR</v>
          </cell>
          <cell r="E31">
            <v>0</v>
          </cell>
          <cell r="F31" t="str">
            <v>pto</v>
          </cell>
          <cell r="G31">
            <v>14</v>
          </cell>
          <cell r="H31">
            <v>0</v>
          </cell>
          <cell r="I31">
            <v>14</v>
          </cell>
          <cell r="J31">
            <v>28</v>
          </cell>
          <cell r="K31">
            <v>14</v>
          </cell>
        </row>
        <row r="32">
          <cell r="C32" t="str">
            <v>22.01.04.02</v>
          </cell>
          <cell r="D32" t="str">
            <v xml:space="preserve">         SALIDA PARA INTERRUPTOR DOBLE, INCLUYE INSTALACION DE INTERRUPTOR</v>
          </cell>
          <cell r="E32">
            <v>0</v>
          </cell>
          <cell r="F32" t="str">
            <v>pto</v>
          </cell>
          <cell r="G32">
            <v>9</v>
          </cell>
          <cell r="H32">
            <v>0</v>
          </cell>
          <cell r="I32">
            <v>9</v>
          </cell>
          <cell r="J32">
            <v>18</v>
          </cell>
          <cell r="K32">
            <v>9</v>
          </cell>
        </row>
        <row r="33">
          <cell r="C33" t="str">
            <v>22.01.04.03</v>
          </cell>
          <cell r="D33" t="str">
            <v xml:space="preserve">         SALIDA PARA INTERRUPTOR DE CONMUTACION SIMPLE, INCLUYE INSTALACION DE INTERRUPTOR</v>
          </cell>
          <cell r="E33">
            <v>0</v>
          </cell>
          <cell r="F33" t="str">
            <v>pto</v>
          </cell>
          <cell r="G33">
            <v>2</v>
          </cell>
          <cell r="H33">
            <v>0</v>
          </cell>
          <cell r="I33">
            <v>2</v>
          </cell>
          <cell r="J33">
            <v>4</v>
          </cell>
          <cell r="K33">
            <v>2</v>
          </cell>
        </row>
        <row r="34">
          <cell r="C34" t="str">
            <v>22.01.05</v>
          </cell>
          <cell r="D34" t="str">
            <v xml:space="preserve">      TOMACORRIENTES</v>
          </cell>
          <cell r="E34">
            <v>0</v>
          </cell>
          <cell r="F34">
            <v>0</v>
          </cell>
          <cell r="G34">
            <v>0</v>
          </cell>
          <cell r="H34">
            <v>0</v>
          </cell>
          <cell r="I34">
            <v>0</v>
          </cell>
          <cell r="J34">
            <v>0</v>
          </cell>
          <cell r="K34">
            <v>0</v>
          </cell>
        </row>
        <row r="35">
          <cell r="C35" t="str">
            <v>22.01.05.01</v>
          </cell>
          <cell r="D35" t="str">
            <v xml:space="preserve">         SALIDA PARA TOMACORRIENTES DOBLE CON PUESTA TIERRA, INCLUYE INSTALACION DE TOMACORRIENTE</v>
          </cell>
          <cell r="E35">
            <v>0</v>
          </cell>
          <cell r="F35" t="str">
            <v>pto</v>
          </cell>
          <cell r="G35">
            <v>50</v>
          </cell>
          <cell r="H35">
            <v>0</v>
          </cell>
          <cell r="I35">
            <v>50</v>
          </cell>
          <cell r="J35">
            <v>99</v>
          </cell>
          <cell r="K35">
            <v>49</v>
          </cell>
        </row>
        <row r="36">
          <cell r="C36" t="str">
            <v>22.02</v>
          </cell>
          <cell r="D36" t="str">
            <v xml:space="preserve">   SISTEMAS ESPECIALES</v>
          </cell>
          <cell r="E36">
            <v>0</v>
          </cell>
          <cell r="F36">
            <v>0</v>
          </cell>
          <cell r="G36">
            <v>0</v>
          </cell>
          <cell r="H36">
            <v>0</v>
          </cell>
          <cell r="I36">
            <v>0</v>
          </cell>
          <cell r="J36">
            <v>0</v>
          </cell>
          <cell r="K36">
            <v>0</v>
          </cell>
        </row>
        <row r="37">
          <cell r="C37" t="str">
            <v>22.02.01</v>
          </cell>
          <cell r="D37" t="str">
            <v xml:space="preserve">      SALIDAS DE SISTEMAS ESPECIALES</v>
          </cell>
          <cell r="E37">
            <v>0</v>
          </cell>
          <cell r="F37">
            <v>0</v>
          </cell>
          <cell r="G37">
            <v>0</v>
          </cell>
          <cell r="H37">
            <v>0</v>
          </cell>
          <cell r="I37">
            <v>0</v>
          </cell>
          <cell r="J37">
            <v>0</v>
          </cell>
          <cell r="K37">
            <v>0</v>
          </cell>
        </row>
        <row r="38">
          <cell r="C38" t="str">
            <v>22.02.01.01</v>
          </cell>
          <cell r="D38" t="str">
            <v xml:space="preserve">         SALIDA SIMPLE PARA RED DE DATOS</v>
          </cell>
          <cell r="E38">
            <v>0</v>
          </cell>
          <cell r="F38" t="str">
            <v>pto</v>
          </cell>
          <cell r="G38">
            <v>0</v>
          </cell>
          <cell r="H38">
            <v>12</v>
          </cell>
          <cell r="I38">
            <v>12</v>
          </cell>
          <cell r="J38">
            <v>12</v>
          </cell>
          <cell r="K38">
            <v>0</v>
          </cell>
        </row>
        <row r="39">
          <cell r="C39" t="str">
            <v>22.02.01.02</v>
          </cell>
          <cell r="D39" t="str">
            <v xml:space="preserve">         SALIDA DOBLE PARA RED DE DATOS</v>
          </cell>
          <cell r="E39">
            <v>0</v>
          </cell>
          <cell r="F39" t="str">
            <v>pto</v>
          </cell>
          <cell r="G39">
            <v>0</v>
          </cell>
          <cell r="H39">
            <v>12</v>
          </cell>
          <cell r="I39">
            <v>12</v>
          </cell>
          <cell r="J39">
            <v>12</v>
          </cell>
          <cell r="K39">
            <v>0</v>
          </cell>
        </row>
        <row r="40">
          <cell r="C40" t="str">
            <v>22.02.01.03</v>
          </cell>
          <cell r="D40" t="str">
            <v xml:space="preserve">         SALIDA PARA PROYECTOR MULTIMEDIA</v>
          </cell>
          <cell r="E40">
            <v>0</v>
          </cell>
          <cell r="F40" t="str">
            <v>pto</v>
          </cell>
          <cell r="G40">
            <v>0</v>
          </cell>
          <cell r="H40">
            <v>4</v>
          </cell>
          <cell r="I40">
            <v>4</v>
          </cell>
          <cell r="J40">
            <v>4</v>
          </cell>
          <cell r="K40">
            <v>0</v>
          </cell>
        </row>
        <row r="41">
          <cell r="C41" t="str">
            <v>22.02.01.04</v>
          </cell>
          <cell r="D41" t="str">
            <v xml:space="preserve">         SALIDA PARA DETECTORES DE HUMO</v>
          </cell>
          <cell r="E41">
            <v>0</v>
          </cell>
          <cell r="F41" t="str">
            <v>pto</v>
          </cell>
          <cell r="G41">
            <v>0</v>
          </cell>
          <cell r="H41">
            <v>28</v>
          </cell>
          <cell r="I41">
            <v>28</v>
          </cell>
          <cell r="J41">
            <v>28</v>
          </cell>
          <cell r="K41">
            <v>0</v>
          </cell>
        </row>
        <row r="42">
          <cell r="C42" t="str">
            <v>22.02.01.05</v>
          </cell>
          <cell r="D42" t="str">
            <v xml:space="preserve">         SALIDA PARA ESTACION MANUAL DE ALARMA CONTRA INCENDIO, PULSADOR Y ALARMA SONORA CONTRA INCENDIO.</v>
          </cell>
          <cell r="E42">
            <v>0</v>
          </cell>
          <cell r="F42" t="str">
            <v>pto</v>
          </cell>
          <cell r="G42">
            <v>0</v>
          </cell>
          <cell r="H42">
            <v>1</v>
          </cell>
          <cell r="I42">
            <v>1</v>
          </cell>
          <cell r="J42">
            <v>1</v>
          </cell>
          <cell r="K42">
            <v>0</v>
          </cell>
        </row>
        <row r="43">
          <cell r="C43" t="str">
            <v>22.02.01.06</v>
          </cell>
          <cell r="D43" t="str">
            <v xml:space="preserve">         SALIDA PARA TELEVISION POR CABLE</v>
          </cell>
          <cell r="E43">
            <v>0</v>
          </cell>
          <cell r="F43" t="str">
            <v>pto</v>
          </cell>
          <cell r="G43">
            <v>0</v>
          </cell>
          <cell r="H43">
            <v>10</v>
          </cell>
          <cell r="I43">
            <v>10</v>
          </cell>
          <cell r="J43">
            <v>10</v>
          </cell>
          <cell r="K43">
            <v>0</v>
          </cell>
        </row>
        <row r="44">
          <cell r="C44" t="str">
            <v>22.02.02</v>
          </cell>
          <cell r="D44" t="str">
            <v xml:space="preserve">      CAJAS METALICAS CON TAPA</v>
          </cell>
          <cell r="E44">
            <v>0</v>
          </cell>
          <cell r="F44">
            <v>0</v>
          </cell>
          <cell r="G44">
            <v>0</v>
          </cell>
          <cell r="H44">
            <v>0</v>
          </cell>
          <cell r="I44">
            <v>0</v>
          </cell>
          <cell r="J44">
            <v>0</v>
          </cell>
          <cell r="K44">
            <v>0</v>
          </cell>
        </row>
        <row r="45">
          <cell r="C45" t="str">
            <v>22.02.02.01</v>
          </cell>
          <cell r="D45" t="str">
            <v xml:space="preserve">         INSTALACION DE CAJA DE PASO DE 150x150x80 mm</v>
          </cell>
          <cell r="E45">
            <v>0</v>
          </cell>
          <cell r="F45" t="str">
            <v>und</v>
          </cell>
          <cell r="G45">
            <v>0</v>
          </cell>
          <cell r="H45">
            <v>0</v>
          </cell>
          <cell r="I45">
            <v>0</v>
          </cell>
          <cell r="J45">
            <v>9</v>
          </cell>
          <cell r="K45">
            <v>9</v>
          </cell>
        </row>
        <row r="46">
          <cell r="C46" t="str">
            <v>22.02.02.02</v>
          </cell>
          <cell r="D46" t="str">
            <v xml:space="preserve">         INSTALACION DE CAJA DE PASO DE 200x200x100 mm</v>
          </cell>
          <cell r="E46">
            <v>0</v>
          </cell>
          <cell r="F46" t="str">
            <v>und</v>
          </cell>
          <cell r="G46">
            <v>0</v>
          </cell>
          <cell r="H46">
            <v>0</v>
          </cell>
          <cell r="I46">
            <v>0</v>
          </cell>
          <cell r="J46">
            <v>1</v>
          </cell>
          <cell r="K46">
            <v>1</v>
          </cell>
        </row>
        <row r="47">
          <cell r="C47" t="str">
            <v>23</v>
          </cell>
          <cell r="D47" t="str">
            <v>BLOQUE - 4</v>
          </cell>
          <cell r="E47">
            <v>0</v>
          </cell>
          <cell r="F47">
            <v>0</v>
          </cell>
          <cell r="G47">
            <v>0</v>
          </cell>
          <cell r="H47">
            <v>0</v>
          </cell>
          <cell r="I47">
            <v>0</v>
          </cell>
          <cell r="J47">
            <v>0</v>
          </cell>
          <cell r="K47">
            <v>0</v>
          </cell>
        </row>
        <row r="48">
          <cell r="C48" t="str">
            <v>23.01</v>
          </cell>
          <cell r="D48" t="str">
            <v xml:space="preserve">   INSTALACIONES ELECTRICAS</v>
          </cell>
          <cell r="E48">
            <v>0</v>
          </cell>
          <cell r="F48">
            <v>0</v>
          </cell>
          <cell r="G48">
            <v>0</v>
          </cell>
          <cell r="H48">
            <v>0</v>
          </cell>
          <cell r="I48">
            <v>0</v>
          </cell>
          <cell r="J48">
            <v>0</v>
          </cell>
          <cell r="K48">
            <v>0</v>
          </cell>
        </row>
        <row r="49">
          <cell r="C49" t="str">
            <v>23.01.01</v>
          </cell>
          <cell r="D49" t="str">
            <v xml:space="preserve">      TABLEROS</v>
          </cell>
          <cell r="E49">
            <v>0</v>
          </cell>
          <cell r="F49">
            <v>0</v>
          </cell>
          <cell r="G49">
            <v>0</v>
          </cell>
          <cell r="H49">
            <v>0</v>
          </cell>
          <cell r="I49">
            <v>0</v>
          </cell>
          <cell r="J49">
            <v>0</v>
          </cell>
          <cell r="K49">
            <v>0</v>
          </cell>
        </row>
        <row r="50">
          <cell r="C50" t="str">
            <v>23.01.01.01</v>
          </cell>
          <cell r="D50" t="str">
            <v xml:space="preserve">         TABLERO DE DISTRIBUCION TD4</v>
          </cell>
          <cell r="E50">
            <v>0</v>
          </cell>
          <cell r="F50" t="str">
            <v>Eqp</v>
          </cell>
          <cell r="G50">
            <v>0</v>
          </cell>
          <cell r="H50">
            <v>0</v>
          </cell>
          <cell r="I50">
            <v>0</v>
          </cell>
          <cell r="J50">
            <v>1</v>
          </cell>
          <cell r="K50">
            <v>1</v>
          </cell>
        </row>
        <row r="51">
          <cell r="C51" t="str">
            <v>23.01.01.02</v>
          </cell>
          <cell r="D51" t="str">
            <v xml:space="preserve">         TABLERO DE DISTRIBUCION TD5</v>
          </cell>
          <cell r="E51">
            <v>0</v>
          </cell>
          <cell r="F51" t="str">
            <v>Eqp</v>
          </cell>
          <cell r="G51">
            <v>0</v>
          </cell>
          <cell r="H51">
            <v>0</v>
          </cell>
          <cell r="I51">
            <v>0</v>
          </cell>
          <cell r="J51">
            <v>1</v>
          </cell>
          <cell r="K51">
            <v>1</v>
          </cell>
        </row>
        <row r="52">
          <cell r="C52" t="str">
            <v>23.01.02</v>
          </cell>
          <cell r="D52" t="str">
            <v xml:space="preserve">      SALIDA PARA CENTRO DE LUZ</v>
          </cell>
          <cell r="E52">
            <v>0</v>
          </cell>
          <cell r="F52">
            <v>0</v>
          </cell>
          <cell r="G52">
            <v>0</v>
          </cell>
          <cell r="H52">
            <v>0</v>
          </cell>
          <cell r="I52">
            <v>0</v>
          </cell>
          <cell r="J52">
            <v>0</v>
          </cell>
          <cell r="K52">
            <v>0</v>
          </cell>
        </row>
        <row r="53">
          <cell r="C53" t="str">
            <v>23.01.02.01</v>
          </cell>
          <cell r="D53" t="str">
            <v xml:space="preserve">         SALIDA PARA CENTRO DE LUZ  </v>
          </cell>
          <cell r="E53">
            <v>0</v>
          </cell>
          <cell r="F53" t="str">
            <v>pto</v>
          </cell>
          <cell r="G53">
            <v>14</v>
          </cell>
          <cell r="H53">
            <v>15</v>
          </cell>
          <cell r="I53">
            <v>29</v>
          </cell>
          <cell r="J53">
            <v>29</v>
          </cell>
          <cell r="K53">
            <v>0</v>
          </cell>
        </row>
        <row r="54">
          <cell r="C54" t="str">
            <v>23.01.02.02</v>
          </cell>
          <cell r="D54" t="str">
            <v xml:space="preserve">         SALIDA PARA LUZ DE EMERGENCIA</v>
          </cell>
          <cell r="E54">
            <v>0</v>
          </cell>
          <cell r="F54" t="str">
            <v>pto</v>
          </cell>
          <cell r="G54">
            <v>0</v>
          </cell>
          <cell r="H54">
            <v>3</v>
          </cell>
          <cell r="I54">
            <v>3</v>
          </cell>
          <cell r="J54">
            <v>3</v>
          </cell>
          <cell r="K54">
            <v>0</v>
          </cell>
        </row>
        <row r="55">
          <cell r="C55" t="str">
            <v>23.01.03</v>
          </cell>
          <cell r="D55" t="str">
            <v xml:space="preserve">      ARTEFACTOS DE ILUMINACION</v>
          </cell>
          <cell r="E55">
            <v>0</v>
          </cell>
          <cell r="F55">
            <v>0</v>
          </cell>
          <cell r="G55">
            <v>0</v>
          </cell>
          <cell r="H55">
            <v>0</v>
          </cell>
          <cell r="I55">
            <v>0</v>
          </cell>
          <cell r="J55">
            <v>0</v>
          </cell>
          <cell r="K55">
            <v>0</v>
          </cell>
        </row>
        <row r="56">
          <cell r="C56" t="str">
            <v>23.01.03.01</v>
          </cell>
          <cell r="D56" t="str">
            <v xml:space="preserve">         Artefacto para Adosar, con 02 fluorescentes lineales de 36W, con rejilla y sistema optico parabolico</v>
          </cell>
          <cell r="E56">
            <v>0</v>
          </cell>
          <cell r="F56" t="str">
            <v>und</v>
          </cell>
          <cell r="G56">
            <v>0</v>
          </cell>
          <cell r="H56">
            <v>0</v>
          </cell>
          <cell r="I56">
            <v>0</v>
          </cell>
          <cell r="J56">
            <v>13</v>
          </cell>
          <cell r="K56">
            <v>13</v>
          </cell>
        </row>
        <row r="57">
          <cell r="C57" t="str">
            <v>23.01.03.02</v>
          </cell>
          <cell r="D57" t="str">
            <v xml:space="preserve">         Artefacto para Adosar, con 02 fluorescentes lineales de 18W, con rejilla y sistema optico parabolico</v>
          </cell>
          <cell r="E57">
            <v>0</v>
          </cell>
          <cell r="F57" t="str">
            <v>und</v>
          </cell>
          <cell r="G57">
            <v>0</v>
          </cell>
          <cell r="H57">
            <v>0</v>
          </cell>
          <cell r="I57">
            <v>0</v>
          </cell>
          <cell r="J57">
            <v>7</v>
          </cell>
          <cell r="K57">
            <v>7</v>
          </cell>
        </row>
        <row r="58">
          <cell r="C58" t="str">
            <v>23.01.03.03</v>
          </cell>
          <cell r="D58" t="str">
            <v xml:space="preserve">        Artefacto para empotrar con 02 lamparas ahorradoras de 18 W. Modelo FBS120 L o similar, lámina en frio, color blanco y secado al orno</v>
          </cell>
          <cell r="E58">
            <v>0</v>
          </cell>
          <cell r="F58" t="str">
            <v>und</v>
          </cell>
          <cell r="G58">
            <v>0</v>
          </cell>
          <cell r="H58">
            <v>0</v>
          </cell>
          <cell r="I58">
            <v>0</v>
          </cell>
          <cell r="J58">
            <v>5</v>
          </cell>
          <cell r="K58">
            <v>5</v>
          </cell>
        </row>
        <row r="59">
          <cell r="C59" t="str">
            <v>23.01.03.04</v>
          </cell>
          <cell r="D59" t="str">
            <v xml:space="preserve">        Artefacto para Adosar con 02 lamparas ahorradoras de 18 W. Modelo RSP/CES - P5464  o similar, lámina en frio, color negrto o plateado y secado al orno</v>
          </cell>
          <cell r="E59">
            <v>0</v>
          </cell>
          <cell r="F59" t="str">
            <v>und</v>
          </cell>
          <cell r="G59">
            <v>0</v>
          </cell>
          <cell r="H59">
            <v>0</v>
          </cell>
          <cell r="I59">
            <v>0</v>
          </cell>
          <cell r="J59">
            <v>0</v>
          </cell>
          <cell r="K59">
            <v>0</v>
          </cell>
        </row>
        <row r="60">
          <cell r="C60" t="str">
            <v>23.01.03.05</v>
          </cell>
          <cell r="D60" t="str">
            <v xml:space="preserve">         Artefacto de iluminacion EM luz de emergencia</v>
          </cell>
          <cell r="E60">
            <v>0</v>
          </cell>
          <cell r="F60" t="str">
            <v>und</v>
          </cell>
          <cell r="G60">
            <v>0</v>
          </cell>
          <cell r="H60">
            <v>0</v>
          </cell>
          <cell r="I60">
            <v>0</v>
          </cell>
          <cell r="J60">
            <v>3</v>
          </cell>
          <cell r="K60">
            <v>3</v>
          </cell>
        </row>
        <row r="61">
          <cell r="C61" t="str">
            <v>23.01.04</v>
          </cell>
          <cell r="D61" t="str">
            <v xml:space="preserve">      INTERRUPTORES</v>
          </cell>
          <cell r="E61">
            <v>0</v>
          </cell>
          <cell r="F61">
            <v>0</v>
          </cell>
          <cell r="G61">
            <v>0</v>
          </cell>
          <cell r="H61">
            <v>0</v>
          </cell>
          <cell r="I61">
            <v>0</v>
          </cell>
          <cell r="J61">
            <v>0</v>
          </cell>
          <cell r="K61">
            <v>0</v>
          </cell>
        </row>
        <row r="62">
          <cell r="C62" t="str">
            <v>23.01.04.01</v>
          </cell>
          <cell r="D62" t="str">
            <v xml:space="preserve">         SALIDA PARA INTERRUPTOR SIMPLE, INCLUYE INSTALACION DE INTERRUPTOR</v>
          </cell>
          <cell r="E62">
            <v>0</v>
          </cell>
          <cell r="F62" t="str">
            <v>pto</v>
          </cell>
          <cell r="G62">
            <v>0</v>
          </cell>
          <cell r="H62">
            <v>0</v>
          </cell>
          <cell r="I62">
            <v>0</v>
          </cell>
          <cell r="J62">
            <v>10</v>
          </cell>
          <cell r="K62">
            <v>10</v>
          </cell>
        </row>
        <row r="63">
          <cell r="C63" t="str">
            <v>23.01.04.02</v>
          </cell>
          <cell r="D63" t="str">
            <v xml:space="preserve">         SALIDA PARA INTERRUPTOR DE CONMUTACION SIMPLE, INCLUYE INSTALACION DE INTERRUPTOR</v>
          </cell>
          <cell r="E63">
            <v>0</v>
          </cell>
          <cell r="F63" t="str">
            <v>pto</v>
          </cell>
          <cell r="G63">
            <v>0</v>
          </cell>
          <cell r="H63">
            <v>0</v>
          </cell>
          <cell r="I63">
            <v>0</v>
          </cell>
          <cell r="J63">
            <v>2</v>
          </cell>
          <cell r="K63">
            <v>2</v>
          </cell>
        </row>
        <row r="64">
          <cell r="C64" t="str">
            <v>23.01.05</v>
          </cell>
          <cell r="D64" t="str">
            <v xml:space="preserve">      TOMACORRIENTES</v>
          </cell>
          <cell r="E64">
            <v>0</v>
          </cell>
          <cell r="F64">
            <v>0</v>
          </cell>
          <cell r="G64">
            <v>0</v>
          </cell>
          <cell r="H64">
            <v>0</v>
          </cell>
          <cell r="I64">
            <v>0</v>
          </cell>
          <cell r="J64">
            <v>0</v>
          </cell>
          <cell r="K64">
            <v>0</v>
          </cell>
        </row>
        <row r="65">
          <cell r="C65" t="str">
            <v>23.01.05.01</v>
          </cell>
          <cell r="D65" t="str">
            <v xml:space="preserve">         SALIDA PARA TOMACORRIENTES DOBLE CON PUESTA TIERRA, INCLUYE INSTALACION DE TOMACORRIENTE</v>
          </cell>
          <cell r="E65">
            <v>0</v>
          </cell>
          <cell r="F65" t="str">
            <v>pto</v>
          </cell>
          <cell r="G65">
            <v>0</v>
          </cell>
          <cell r="H65">
            <v>0</v>
          </cell>
          <cell r="I65">
            <v>0</v>
          </cell>
          <cell r="J65">
            <v>23</v>
          </cell>
          <cell r="K65">
            <v>23</v>
          </cell>
        </row>
        <row r="66">
          <cell r="C66" t="str">
            <v>23.02</v>
          </cell>
          <cell r="D66" t="str">
            <v xml:space="preserve">   SISTEMAS ESPECIALES</v>
          </cell>
          <cell r="E66">
            <v>0</v>
          </cell>
          <cell r="F66">
            <v>0</v>
          </cell>
          <cell r="G66">
            <v>0</v>
          </cell>
          <cell r="H66">
            <v>0</v>
          </cell>
          <cell r="I66">
            <v>0</v>
          </cell>
          <cell r="J66">
            <v>0</v>
          </cell>
          <cell r="K66">
            <v>0</v>
          </cell>
        </row>
        <row r="67">
          <cell r="C67" t="str">
            <v>23.02.01</v>
          </cell>
          <cell r="D67" t="str">
            <v xml:space="preserve">      SALIDAS DE SISTEMAS ESPECIALES</v>
          </cell>
          <cell r="E67">
            <v>0</v>
          </cell>
          <cell r="F67">
            <v>0</v>
          </cell>
          <cell r="G67">
            <v>0</v>
          </cell>
          <cell r="H67">
            <v>0</v>
          </cell>
          <cell r="I67">
            <v>0</v>
          </cell>
          <cell r="J67">
            <v>0</v>
          </cell>
          <cell r="K67">
            <v>0</v>
          </cell>
        </row>
        <row r="68">
          <cell r="C68" t="str">
            <v>23.02.01.01</v>
          </cell>
          <cell r="D68" t="str">
            <v xml:space="preserve">         SALIDA DOBLE PARA RED DE DATOS</v>
          </cell>
          <cell r="E68">
            <v>0</v>
          </cell>
          <cell r="F68" t="str">
            <v>pto</v>
          </cell>
          <cell r="G68">
            <v>1</v>
          </cell>
          <cell r="H68">
            <v>2</v>
          </cell>
          <cell r="I68">
            <v>3</v>
          </cell>
          <cell r="J68">
            <v>3</v>
          </cell>
          <cell r="K68">
            <v>0</v>
          </cell>
        </row>
        <row r="69">
          <cell r="C69" t="str">
            <v>23.02.01.02</v>
          </cell>
          <cell r="D69" t="str">
            <v xml:space="preserve">         INSTALACION DE GABINETE METALICO RACK DE DATOS, INCLUYE INSTALACION DE SWITCH, PATCH PANNEL Y ACCESORIOS</v>
          </cell>
          <cell r="E69">
            <v>0</v>
          </cell>
          <cell r="F69" t="str">
            <v>pto</v>
          </cell>
          <cell r="G69">
            <v>0</v>
          </cell>
          <cell r="H69">
            <v>0</v>
          </cell>
          <cell r="I69">
            <v>0</v>
          </cell>
          <cell r="J69">
            <v>1</v>
          </cell>
          <cell r="K69">
            <v>1</v>
          </cell>
        </row>
        <row r="70">
          <cell r="C70" t="str">
            <v>23.02.01.03</v>
          </cell>
          <cell r="D70" t="str">
            <v xml:space="preserve">         SALIDA PARA PROYECTOR MULTIMEDIA</v>
          </cell>
          <cell r="E70">
            <v>0</v>
          </cell>
          <cell r="F70" t="str">
            <v>pto</v>
          </cell>
          <cell r="G70">
            <v>2</v>
          </cell>
          <cell r="H70">
            <v>2</v>
          </cell>
          <cell r="I70">
            <v>4</v>
          </cell>
          <cell r="J70">
            <v>4</v>
          </cell>
          <cell r="K70">
            <v>0</v>
          </cell>
        </row>
        <row r="71">
          <cell r="C71" t="str">
            <v>23.02.01.04</v>
          </cell>
          <cell r="D71" t="str">
            <v xml:space="preserve">         SALIDA PARA CENTRAL DE ALARMA CONTRA INCENDIOS CACI</v>
          </cell>
          <cell r="E71">
            <v>0</v>
          </cell>
          <cell r="F71" t="str">
            <v>pto</v>
          </cell>
          <cell r="G71">
            <v>0</v>
          </cell>
          <cell r="H71">
            <v>1</v>
          </cell>
          <cell r="I71">
            <v>1</v>
          </cell>
          <cell r="J71">
            <v>1</v>
          </cell>
          <cell r="K71">
            <v>0</v>
          </cell>
        </row>
        <row r="72">
          <cell r="C72" t="str">
            <v>23.02.01.05</v>
          </cell>
          <cell r="D72" t="str">
            <v xml:space="preserve">         SALIDA PARA DETECTORES DE HUMO</v>
          </cell>
          <cell r="E72">
            <v>0</v>
          </cell>
          <cell r="F72" t="str">
            <v>pto</v>
          </cell>
          <cell r="G72">
            <v>4</v>
          </cell>
          <cell r="H72">
            <v>4</v>
          </cell>
          <cell r="I72">
            <v>8</v>
          </cell>
          <cell r="J72">
            <v>8</v>
          </cell>
          <cell r="K72">
            <v>0</v>
          </cell>
        </row>
        <row r="73">
          <cell r="C73" t="str">
            <v>23.02.01.06</v>
          </cell>
          <cell r="D73" t="str">
            <v xml:space="preserve">         SALIDA PARA ESTACION MANUAL DE ALARMA CONTRA INCENDIO, PULSADOR Y ALARMA SONORA CONTRA INCENDIO.</v>
          </cell>
          <cell r="E73">
            <v>0</v>
          </cell>
          <cell r="F73" t="str">
            <v>pto</v>
          </cell>
          <cell r="G73">
            <v>0</v>
          </cell>
          <cell r="H73">
            <v>1</v>
          </cell>
          <cell r="I73">
            <v>1</v>
          </cell>
          <cell r="J73">
            <v>1</v>
          </cell>
          <cell r="K73">
            <v>0</v>
          </cell>
        </row>
        <row r="74">
          <cell r="C74" t="str">
            <v>23.02.01.07</v>
          </cell>
          <cell r="D74" t="str">
            <v xml:space="preserve">         SALIDA PARA TELEVISION POR CABLE</v>
          </cell>
          <cell r="E74">
            <v>0</v>
          </cell>
          <cell r="F74" t="str">
            <v>pto</v>
          </cell>
          <cell r="G74">
            <v>0</v>
          </cell>
          <cell r="H74">
            <v>1</v>
          </cell>
          <cell r="I74">
            <v>1</v>
          </cell>
          <cell r="J74">
            <v>1</v>
          </cell>
          <cell r="K74">
            <v>0</v>
          </cell>
        </row>
        <row r="75">
          <cell r="C75" t="str">
            <v>23.02.02</v>
          </cell>
          <cell r="D75" t="str">
            <v>CAJAS METALICAS CON TAPA</v>
          </cell>
          <cell r="E75">
            <v>0</v>
          </cell>
          <cell r="F75">
            <v>0</v>
          </cell>
          <cell r="G75">
            <v>0</v>
          </cell>
          <cell r="H75">
            <v>0</v>
          </cell>
          <cell r="I75">
            <v>0</v>
          </cell>
          <cell r="J75">
            <v>0</v>
          </cell>
          <cell r="K75">
            <v>0</v>
          </cell>
        </row>
        <row r="76">
          <cell r="C76" t="str">
            <v>23.02.02.01</v>
          </cell>
          <cell r="D76" t="str">
            <v xml:space="preserve">         INSTALACION DE CAJA DE PASO DE 150x150x80 </v>
          </cell>
          <cell r="E76">
            <v>0</v>
          </cell>
          <cell r="F76" t="str">
            <v>und</v>
          </cell>
          <cell r="G76">
            <v>0</v>
          </cell>
          <cell r="H76">
            <v>0</v>
          </cell>
          <cell r="I76">
            <v>0</v>
          </cell>
          <cell r="J76">
            <v>7</v>
          </cell>
          <cell r="K76">
            <v>7</v>
          </cell>
        </row>
        <row r="77">
          <cell r="C77" t="str">
            <v>23.02.02.02</v>
          </cell>
          <cell r="D77" t="str">
            <v xml:space="preserve">         INSTALACION DE CAJA DE PASO DE 200x200x100</v>
          </cell>
          <cell r="E77">
            <v>0</v>
          </cell>
          <cell r="F77" t="str">
            <v>und</v>
          </cell>
          <cell r="G77">
            <v>0</v>
          </cell>
          <cell r="H77">
            <v>0</v>
          </cell>
          <cell r="I77">
            <v>0</v>
          </cell>
          <cell r="J77">
            <v>2</v>
          </cell>
          <cell r="K77">
            <v>2</v>
          </cell>
        </row>
        <row r="78">
          <cell r="C78" t="str">
            <v>24</v>
          </cell>
          <cell r="D78" t="str">
            <v>BLOQUE - 5</v>
          </cell>
          <cell r="E78">
            <v>0</v>
          </cell>
          <cell r="F78">
            <v>0</v>
          </cell>
          <cell r="G78">
            <v>0</v>
          </cell>
          <cell r="H78">
            <v>0</v>
          </cell>
          <cell r="I78">
            <v>0</v>
          </cell>
          <cell r="J78">
            <v>0</v>
          </cell>
          <cell r="K78">
            <v>0</v>
          </cell>
        </row>
        <row r="79">
          <cell r="C79" t="str">
            <v>24.01</v>
          </cell>
          <cell r="D79" t="str">
            <v xml:space="preserve">   INSTALACIONES ELECTRICAS</v>
          </cell>
          <cell r="E79">
            <v>0</v>
          </cell>
          <cell r="F79">
            <v>0</v>
          </cell>
          <cell r="G79">
            <v>0</v>
          </cell>
          <cell r="H79">
            <v>0</v>
          </cell>
          <cell r="I79">
            <v>0</v>
          </cell>
          <cell r="J79">
            <v>0</v>
          </cell>
          <cell r="K79">
            <v>0</v>
          </cell>
        </row>
        <row r="80">
          <cell r="C80" t="str">
            <v>24.01.01</v>
          </cell>
          <cell r="D80" t="str">
            <v xml:space="preserve">      TABLEROS</v>
          </cell>
          <cell r="E80">
            <v>0</v>
          </cell>
          <cell r="F80">
            <v>0</v>
          </cell>
          <cell r="G80">
            <v>0</v>
          </cell>
          <cell r="H80">
            <v>0</v>
          </cell>
          <cell r="I80">
            <v>0</v>
          </cell>
          <cell r="J80">
            <v>0</v>
          </cell>
          <cell r="K80">
            <v>0</v>
          </cell>
        </row>
        <row r="81">
          <cell r="C81" t="str">
            <v>24.01.01.01</v>
          </cell>
          <cell r="D81" t="str">
            <v xml:space="preserve">         TABLERO DE DISTRIBUCION TD3</v>
          </cell>
          <cell r="E81">
            <v>0</v>
          </cell>
          <cell r="F81" t="str">
            <v>Eqp</v>
          </cell>
          <cell r="G81">
            <v>0</v>
          </cell>
          <cell r="H81">
            <v>0</v>
          </cell>
          <cell r="I81">
            <v>0</v>
          </cell>
          <cell r="J81">
            <v>1</v>
          </cell>
          <cell r="K81">
            <v>1</v>
          </cell>
        </row>
        <row r="82">
          <cell r="C82" t="str">
            <v>24.01.02</v>
          </cell>
          <cell r="D82" t="str">
            <v xml:space="preserve">      SALIDA PARA CENTRO DE LUZ</v>
          </cell>
          <cell r="E82">
            <v>0</v>
          </cell>
          <cell r="F82">
            <v>0</v>
          </cell>
          <cell r="G82">
            <v>0</v>
          </cell>
          <cell r="H82">
            <v>0</v>
          </cell>
          <cell r="I82">
            <v>0</v>
          </cell>
          <cell r="J82">
            <v>0</v>
          </cell>
          <cell r="K82">
            <v>0</v>
          </cell>
        </row>
        <row r="83">
          <cell r="C83" t="str">
            <v>24.01.02.01</v>
          </cell>
          <cell r="D83" t="str">
            <v xml:space="preserve">         SALIDA PARA CENTRO DE LUZ  </v>
          </cell>
          <cell r="E83">
            <v>0</v>
          </cell>
          <cell r="F83" t="str">
            <v>pto</v>
          </cell>
          <cell r="G83">
            <v>0</v>
          </cell>
          <cell r="H83">
            <v>0</v>
          </cell>
          <cell r="I83">
            <v>0</v>
          </cell>
          <cell r="J83">
            <v>21</v>
          </cell>
          <cell r="K83">
            <v>21</v>
          </cell>
        </row>
        <row r="84">
          <cell r="C84" t="str">
            <v>24.01.02.02</v>
          </cell>
          <cell r="D84" t="str">
            <v xml:space="preserve">         SALIDA PARA LUZ DE EMERGENCIA</v>
          </cell>
          <cell r="E84">
            <v>0</v>
          </cell>
          <cell r="F84" t="str">
            <v>pto</v>
          </cell>
          <cell r="G84">
            <v>0</v>
          </cell>
          <cell r="H84">
            <v>0</v>
          </cell>
          <cell r="I84">
            <v>0</v>
          </cell>
          <cell r="J84">
            <v>2</v>
          </cell>
          <cell r="K84">
            <v>2</v>
          </cell>
        </row>
        <row r="85">
          <cell r="C85" t="str">
            <v>24.01.03</v>
          </cell>
          <cell r="D85" t="str">
            <v xml:space="preserve">      ARTEFACTOS DE ILUMINACION</v>
          </cell>
          <cell r="E85">
            <v>0</v>
          </cell>
          <cell r="F85">
            <v>0</v>
          </cell>
          <cell r="G85">
            <v>0</v>
          </cell>
          <cell r="H85">
            <v>0</v>
          </cell>
          <cell r="I85">
            <v>0</v>
          </cell>
          <cell r="J85">
            <v>0</v>
          </cell>
          <cell r="K85">
            <v>0</v>
          </cell>
        </row>
        <row r="86">
          <cell r="C86" t="str">
            <v>24.01.03.01</v>
          </cell>
          <cell r="D86" t="str">
            <v xml:space="preserve">         Artefacto para Adosar, con 02 fluorescentes lineales de 36W, con rejilla y sistema optico parabolico</v>
          </cell>
          <cell r="E86">
            <v>0</v>
          </cell>
          <cell r="F86" t="str">
            <v>und</v>
          </cell>
          <cell r="G86">
            <v>0</v>
          </cell>
          <cell r="H86">
            <v>0</v>
          </cell>
          <cell r="I86">
            <v>0</v>
          </cell>
          <cell r="J86">
            <v>17</v>
          </cell>
          <cell r="K86">
            <v>17</v>
          </cell>
        </row>
        <row r="87">
          <cell r="C87" t="str">
            <v>24.01.03.02</v>
          </cell>
          <cell r="D87" t="str">
            <v xml:space="preserve">         Artefacto para Adosar, con 02 fluorescentes lineales de 18W, con rejilla y sistema optico parabolico</v>
          </cell>
          <cell r="E87">
            <v>0</v>
          </cell>
          <cell r="F87" t="str">
            <v>und</v>
          </cell>
          <cell r="G87">
            <v>0</v>
          </cell>
          <cell r="H87">
            <v>0</v>
          </cell>
          <cell r="I87">
            <v>0</v>
          </cell>
          <cell r="J87">
            <v>4</v>
          </cell>
          <cell r="K87">
            <v>4</v>
          </cell>
        </row>
        <row r="88">
          <cell r="C88" t="str">
            <v>24.01.03.03</v>
          </cell>
          <cell r="D88" t="str">
            <v xml:space="preserve">         Artefacto de iluminacion EM luz de emergencia</v>
          </cell>
          <cell r="E88">
            <v>0</v>
          </cell>
          <cell r="F88" t="str">
            <v>und</v>
          </cell>
          <cell r="G88">
            <v>0</v>
          </cell>
          <cell r="H88">
            <v>0</v>
          </cell>
          <cell r="I88">
            <v>0</v>
          </cell>
          <cell r="J88">
            <v>2</v>
          </cell>
          <cell r="K88">
            <v>2</v>
          </cell>
        </row>
        <row r="89">
          <cell r="C89" t="str">
            <v>24.01.04</v>
          </cell>
          <cell r="D89" t="str">
            <v xml:space="preserve">      INTERRUPTORES</v>
          </cell>
          <cell r="E89">
            <v>0</v>
          </cell>
          <cell r="F89">
            <v>0</v>
          </cell>
          <cell r="G89">
            <v>0</v>
          </cell>
          <cell r="H89">
            <v>0</v>
          </cell>
          <cell r="I89">
            <v>0</v>
          </cell>
          <cell r="J89">
            <v>0</v>
          </cell>
          <cell r="K89">
            <v>0</v>
          </cell>
        </row>
        <row r="90">
          <cell r="C90" t="str">
            <v>24.01.04.01</v>
          </cell>
          <cell r="D90" t="str">
            <v xml:space="preserve">         SALIDA PARA INTERRUPTOR SIMPLE, INCLUYE INSTALACION DE INTERRUPTOR</v>
          </cell>
          <cell r="E90">
            <v>0</v>
          </cell>
          <cell r="F90" t="str">
            <v>pto</v>
          </cell>
          <cell r="G90">
            <v>0</v>
          </cell>
          <cell r="H90">
            <v>0</v>
          </cell>
          <cell r="I90">
            <v>0</v>
          </cell>
          <cell r="J90">
            <v>5</v>
          </cell>
          <cell r="K90">
            <v>5</v>
          </cell>
        </row>
        <row r="91">
          <cell r="C91" t="str">
            <v>24.01.04.02</v>
          </cell>
          <cell r="D91" t="str">
            <v xml:space="preserve">         SALIDA PARA INTERRUPTOR DOBLE, INCLUYE INSTALACION DE INTERRUPTOR</v>
          </cell>
          <cell r="E91">
            <v>0</v>
          </cell>
          <cell r="F91" t="str">
            <v>pto</v>
          </cell>
          <cell r="G91">
            <v>0</v>
          </cell>
          <cell r="H91">
            <v>0</v>
          </cell>
          <cell r="I91">
            <v>0</v>
          </cell>
          <cell r="J91">
            <v>2</v>
          </cell>
          <cell r="K91">
            <v>2</v>
          </cell>
        </row>
        <row r="92">
          <cell r="C92" t="str">
            <v>24.01.05</v>
          </cell>
          <cell r="D92" t="str">
            <v xml:space="preserve">      TOMACORRIENTES</v>
          </cell>
          <cell r="E92">
            <v>0</v>
          </cell>
          <cell r="F92">
            <v>0</v>
          </cell>
          <cell r="G92">
            <v>0</v>
          </cell>
          <cell r="H92">
            <v>0</v>
          </cell>
          <cell r="I92">
            <v>0</v>
          </cell>
          <cell r="J92">
            <v>0</v>
          </cell>
          <cell r="K92">
            <v>0</v>
          </cell>
        </row>
        <row r="93">
          <cell r="C93" t="str">
            <v>24.01.05.01</v>
          </cell>
          <cell r="D93" t="str">
            <v xml:space="preserve">         SALIDA PARA TOMACORRIENTES DOBLE CON PUESTA TIERRA, INCLUYE INSTALACION DE TOMACORRIENTE</v>
          </cell>
          <cell r="E93">
            <v>0</v>
          </cell>
          <cell r="F93" t="str">
            <v>pto</v>
          </cell>
          <cell r="G93">
            <v>0</v>
          </cell>
          <cell r="H93">
            <v>0</v>
          </cell>
          <cell r="I93">
            <v>0</v>
          </cell>
          <cell r="J93">
            <v>17</v>
          </cell>
          <cell r="K93">
            <v>17</v>
          </cell>
        </row>
        <row r="94">
          <cell r="C94" t="str">
            <v>24.02</v>
          </cell>
          <cell r="D94" t="str">
            <v xml:space="preserve">   SISTEMAS ESPECIALES</v>
          </cell>
          <cell r="E94">
            <v>0</v>
          </cell>
          <cell r="F94">
            <v>0</v>
          </cell>
          <cell r="G94">
            <v>0</v>
          </cell>
          <cell r="H94">
            <v>0</v>
          </cell>
          <cell r="I94">
            <v>0</v>
          </cell>
          <cell r="J94">
            <v>0</v>
          </cell>
          <cell r="K94">
            <v>0</v>
          </cell>
        </row>
        <row r="95">
          <cell r="C95" t="str">
            <v>24.02.01</v>
          </cell>
          <cell r="D95" t="str">
            <v xml:space="preserve">      SALIDAS DE SISTEMAS ESPECIALES</v>
          </cell>
          <cell r="E95">
            <v>0</v>
          </cell>
          <cell r="F95">
            <v>0</v>
          </cell>
          <cell r="G95">
            <v>0</v>
          </cell>
          <cell r="H95">
            <v>0</v>
          </cell>
          <cell r="I95">
            <v>0</v>
          </cell>
          <cell r="J95">
            <v>0</v>
          </cell>
          <cell r="K95">
            <v>0</v>
          </cell>
        </row>
        <row r="96">
          <cell r="C96" t="str">
            <v>24.02.01.01</v>
          </cell>
          <cell r="D96" t="str">
            <v xml:space="preserve">         SALIDA SIMPLE PARA RED DE DATOS</v>
          </cell>
          <cell r="E96">
            <v>0</v>
          </cell>
          <cell r="F96" t="str">
            <v>pto</v>
          </cell>
          <cell r="G96">
            <v>0</v>
          </cell>
          <cell r="H96">
            <v>0</v>
          </cell>
          <cell r="I96">
            <v>0</v>
          </cell>
          <cell r="J96">
            <v>2</v>
          </cell>
          <cell r="K96">
            <v>2</v>
          </cell>
        </row>
        <row r="97">
          <cell r="C97" t="str">
            <v>24.02.01.02</v>
          </cell>
          <cell r="D97" t="str">
            <v xml:space="preserve">         SALIDA DOBLE PARA RED DE DATOS</v>
          </cell>
          <cell r="E97">
            <v>0</v>
          </cell>
          <cell r="F97" t="str">
            <v>pto</v>
          </cell>
          <cell r="G97">
            <v>0</v>
          </cell>
          <cell r="H97">
            <v>0</v>
          </cell>
          <cell r="I97">
            <v>0</v>
          </cell>
          <cell r="J97">
            <v>3</v>
          </cell>
          <cell r="K97">
            <v>3</v>
          </cell>
        </row>
        <row r="98">
          <cell r="C98" t="str">
            <v>24.02.01.03</v>
          </cell>
          <cell r="D98" t="str">
            <v xml:space="preserve">         SALIDA PARA DETECTORES DE HUMO</v>
          </cell>
          <cell r="E98">
            <v>0</v>
          </cell>
          <cell r="F98" t="str">
            <v>pto</v>
          </cell>
          <cell r="G98">
            <v>0</v>
          </cell>
          <cell r="H98">
            <v>0</v>
          </cell>
          <cell r="I98">
            <v>0</v>
          </cell>
          <cell r="J98">
            <v>4</v>
          </cell>
          <cell r="K98">
            <v>4</v>
          </cell>
        </row>
        <row r="99">
          <cell r="C99" t="str">
            <v>24.02.01.04</v>
          </cell>
          <cell r="D99" t="str">
            <v xml:space="preserve">         SALIDA PARA ESTACION MANUAL DE ALARMA CONTRA INCENDIO, PULSADOR Y ALARMA SONORA CONTRA INCENDIO.</v>
          </cell>
          <cell r="E99">
            <v>0</v>
          </cell>
          <cell r="F99" t="str">
            <v>pto</v>
          </cell>
          <cell r="G99">
            <v>0</v>
          </cell>
          <cell r="H99">
            <v>0</v>
          </cell>
          <cell r="I99">
            <v>0</v>
          </cell>
          <cell r="J99">
            <v>1</v>
          </cell>
          <cell r="K99">
            <v>1</v>
          </cell>
        </row>
        <row r="100">
          <cell r="C100" t="str">
            <v>24.02.01.05</v>
          </cell>
          <cell r="D100" t="str">
            <v xml:space="preserve">         SALIDA PARA TELEVISION POR CABLE</v>
          </cell>
          <cell r="E100">
            <v>0</v>
          </cell>
          <cell r="F100" t="str">
            <v>pto</v>
          </cell>
          <cell r="G100">
            <v>0</v>
          </cell>
          <cell r="H100">
            <v>0</v>
          </cell>
          <cell r="I100">
            <v>0</v>
          </cell>
          <cell r="J100">
            <v>2</v>
          </cell>
          <cell r="K100">
            <v>2</v>
          </cell>
        </row>
        <row r="101">
          <cell r="C101" t="str">
            <v>24.02.02</v>
          </cell>
          <cell r="D101" t="str">
            <v xml:space="preserve">      CAJAS METALICAS CON TAPA</v>
          </cell>
          <cell r="E101">
            <v>0</v>
          </cell>
          <cell r="F101">
            <v>0</v>
          </cell>
          <cell r="G101">
            <v>0</v>
          </cell>
          <cell r="H101">
            <v>0</v>
          </cell>
          <cell r="I101">
            <v>0</v>
          </cell>
          <cell r="J101">
            <v>0</v>
          </cell>
          <cell r="K101">
            <v>0</v>
          </cell>
        </row>
        <row r="102">
          <cell r="C102" t="str">
            <v>24.02.02.01</v>
          </cell>
          <cell r="D102" t="str">
            <v xml:space="preserve">         INSTALACION DE CAJA DE PASO DE 150x150x80 mm</v>
          </cell>
          <cell r="E102">
            <v>0</v>
          </cell>
          <cell r="F102" t="str">
            <v>und</v>
          </cell>
          <cell r="G102">
            <v>0</v>
          </cell>
          <cell r="H102">
            <v>0</v>
          </cell>
          <cell r="I102">
            <v>0</v>
          </cell>
          <cell r="J102">
            <v>4</v>
          </cell>
          <cell r="K102">
            <v>4</v>
          </cell>
        </row>
        <row r="103">
          <cell r="C103" t="str">
            <v>25</v>
          </cell>
          <cell r="D103" t="str">
            <v>CISTERNA SUBTERRANEA, CASETA DE BOMBEO</v>
          </cell>
          <cell r="E103">
            <v>0</v>
          </cell>
          <cell r="F103">
            <v>0</v>
          </cell>
          <cell r="G103">
            <v>0</v>
          </cell>
          <cell r="H103">
            <v>0</v>
          </cell>
          <cell r="I103">
            <v>0</v>
          </cell>
          <cell r="J103">
            <v>0</v>
          </cell>
          <cell r="K103">
            <v>0</v>
          </cell>
        </row>
        <row r="104">
          <cell r="C104" t="str">
            <v>25.01</v>
          </cell>
          <cell r="D104" t="str">
            <v xml:space="preserve">   INSTALACIONES ELECTRICAS</v>
          </cell>
          <cell r="E104">
            <v>0</v>
          </cell>
          <cell r="F104">
            <v>0</v>
          </cell>
          <cell r="G104">
            <v>0</v>
          </cell>
          <cell r="H104">
            <v>0</v>
          </cell>
          <cell r="I104">
            <v>0</v>
          </cell>
          <cell r="J104">
            <v>0</v>
          </cell>
          <cell r="K104">
            <v>0</v>
          </cell>
        </row>
        <row r="105">
          <cell r="C105" t="str">
            <v>25.01.01</v>
          </cell>
          <cell r="D105" t="str">
            <v xml:space="preserve">      TABLEROS</v>
          </cell>
          <cell r="E105">
            <v>0</v>
          </cell>
          <cell r="F105">
            <v>0</v>
          </cell>
          <cell r="G105">
            <v>0</v>
          </cell>
          <cell r="H105">
            <v>0</v>
          </cell>
          <cell r="I105">
            <v>0</v>
          </cell>
          <cell r="J105">
            <v>0</v>
          </cell>
          <cell r="K105">
            <v>0</v>
          </cell>
        </row>
        <row r="106">
          <cell r="C106" t="str">
            <v>25.01.01.01</v>
          </cell>
          <cell r="D106" t="str">
            <v xml:space="preserve">         TABLERO DE DISTRIBUCION TD 6</v>
          </cell>
          <cell r="E106">
            <v>0</v>
          </cell>
          <cell r="F106" t="str">
            <v>Eqp</v>
          </cell>
          <cell r="G106">
            <v>0</v>
          </cell>
          <cell r="H106">
            <v>0</v>
          </cell>
          <cell r="I106">
            <v>0</v>
          </cell>
          <cell r="J106">
            <v>1</v>
          </cell>
          <cell r="K106">
            <v>1</v>
          </cell>
        </row>
        <row r="107">
          <cell r="C107" t="str">
            <v>25.01.01.02</v>
          </cell>
          <cell r="D107" t="str">
            <v xml:space="preserve">         TABLERO DE CONTROL DE BOMBAS T-CBA</v>
          </cell>
          <cell r="E107">
            <v>0</v>
          </cell>
          <cell r="F107" t="str">
            <v>Eqp</v>
          </cell>
          <cell r="G107">
            <v>0</v>
          </cell>
          <cell r="H107">
            <v>0</v>
          </cell>
          <cell r="I107">
            <v>0</v>
          </cell>
          <cell r="J107">
            <v>1</v>
          </cell>
          <cell r="K107">
            <v>1</v>
          </cell>
        </row>
        <row r="108">
          <cell r="C108" t="str">
            <v>25.01.02</v>
          </cell>
          <cell r="D108" t="str">
            <v xml:space="preserve">      SALIDA PARA CENTRO DE LUZ</v>
          </cell>
          <cell r="E108">
            <v>0</v>
          </cell>
          <cell r="F108">
            <v>0</v>
          </cell>
          <cell r="G108">
            <v>0</v>
          </cell>
          <cell r="H108">
            <v>0</v>
          </cell>
          <cell r="I108">
            <v>0</v>
          </cell>
          <cell r="J108">
            <v>0</v>
          </cell>
          <cell r="K108">
            <v>0</v>
          </cell>
        </row>
        <row r="109">
          <cell r="C109" t="str">
            <v>25.01.02.01</v>
          </cell>
          <cell r="D109" t="str">
            <v xml:space="preserve">         SALIDA PARA CENTRO DE LUZ  </v>
          </cell>
          <cell r="E109">
            <v>0</v>
          </cell>
          <cell r="F109" t="str">
            <v>pto</v>
          </cell>
          <cell r="G109">
            <v>0</v>
          </cell>
          <cell r="H109">
            <v>0</v>
          </cell>
          <cell r="I109">
            <v>0</v>
          </cell>
          <cell r="J109">
            <v>4</v>
          </cell>
          <cell r="K109">
            <v>4</v>
          </cell>
        </row>
        <row r="110">
          <cell r="C110" t="str">
            <v>25.01.02.02</v>
          </cell>
          <cell r="D110" t="str">
            <v xml:space="preserve">         SALIDA PARA LUZ DE EMERGENCIA</v>
          </cell>
          <cell r="E110">
            <v>0</v>
          </cell>
          <cell r="F110" t="str">
            <v>pto</v>
          </cell>
          <cell r="G110">
            <v>0</v>
          </cell>
          <cell r="H110">
            <v>0</v>
          </cell>
          <cell r="I110">
            <v>0</v>
          </cell>
          <cell r="J110">
            <v>1</v>
          </cell>
          <cell r="K110">
            <v>1</v>
          </cell>
        </row>
        <row r="111">
          <cell r="C111" t="str">
            <v>25.01.03</v>
          </cell>
          <cell r="D111" t="str">
            <v xml:space="preserve">      ARTEFACTOS DE ILUMINACION</v>
          </cell>
          <cell r="E111">
            <v>0</v>
          </cell>
          <cell r="F111">
            <v>0</v>
          </cell>
          <cell r="G111">
            <v>0</v>
          </cell>
          <cell r="H111">
            <v>0</v>
          </cell>
          <cell r="I111">
            <v>0</v>
          </cell>
          <cell r="J111">
            <v>0</v>
          </cell>
          <cell r="K111">
            <v>0</v>
          </cell>
        </row>
        <row r="112">
          <cell r="C112" t="str">
            <v>25.01.03.01</v>
          </cell>
          <cell r="D112" t="str">
            <v xml:space="preserve">         Artefacto para Adosar, con 02 fluorescentes lineales de 18W, con rejilla y sistema optico parabolico</v>
          </cell>
          <cell r="E112">
            <v>0</v>
          </cell>
          <cell r="F112" t="str">
            <v>und</v>
          </cell>
          <cell r="G112">
            <v>0</v>
          </cell>
          <cell r="H112">
            <v>0</v>
          </cell>
          <cell r="I112">
            <v>0</v>
          </cell>
          <cell r="J112">
            <v>4</v>
          </cell>
          <cell r="K112">
            <v>4</v>
          </cell>
        </row>
        <row r="113">
          <cell r="C113" t="str">
            <v>25.01.04</v>
          </cell>
          <cell r="D113" t="str">
            <v xml:space="preserve">      INTERRUPTORES</v>
          </cell>
          <cell r="E113">
            <v>0</v>
          </cell>
          <cell r="F113">
            <v>0</v>
          </cell>
          <cell r="G113">
            <v>0</v>
          </cell>
          <cell r="H113">
            <v>0</v>
          </cell>
          <cell r="I113">
            <v>0</v>
          </cell>
          <cell r="J113">
            <v>0</v>
          </cell>
          <cell r="K113">
            <v>0</v>
          </cell>
        </row>
        <row r="114">
          <cell r="C114" t="str">
            <v>25.01.04.01</v>
          </cell>
          <cell r="D114" t="str">
            <v xml:space="preserve">         SALIDA PARA INTERRUPTOR DOBLE, INCLUYE INSTALACION DE INTERRUPTOR</v>
          </cell>
          <cell r="E114">
            <v>0</v>
          </cell>
          <cell r="F114" t="str">
            <v>pto</v>
          </cell>
          <cell r="G114">
            <v>0</v>
          </cell>
          <cell r="H114">
            <v>0</v>
          </cell>
          <cell r="I114">
            <v>0</v>
          </cell>
          <cell r="J114">
            <v>1</v>
          </cell>
          <cell r="K114">
            <v>1</v>
          </cell>
        </row>
        <row r="115">
          <cell r="C115" t="str">
            <v>25.01.04.02</v>
          </cell>
          <cell r="D115" t="str">
            <v xml:space="preserve">         SALIDA PARA INTERRUPTOR SIMPLE, INCLUYE INSTALACION DE INTERRUPTOR</v>
          </cell>
          <cell r="E115">
            <v>0</v>
          </cell>
          <cell r="F115" t="str">
            <v>pto</v>
          </cell>
          <cell r="G115">
            <v>0</v>
          </cell>
          <cell r="H115">
            <v>0</v>
          </cell>
          <cell r="I115">
            <v>0</v>
          </cell>
          <cell r="J115">
            <v>1</v>
          </cell>
          <cell r="K115">
            <v>1</v>
          </cell>
        </row>
        <row r="116">
          <cell r="C116" t="str">
            <v>25.01.05</v>
          </cell>
          <cell r="D116" t="str">
            <v xml:space="preserve">      TOMACORRIENTES</v>
          </cell>
          <cell r="E116">
            <v>0</v>
          </cell>
          <cell r="F116">
            <v>0</v>
          </cell>
          <cell r="G116">
            <v>0</v>
          </cell>
          <cell r="H116">
            <v>0</v>
          </cell>
          <cell r="I116">
            <v>0</v>
          </cell>
          <cell r="J116">
            <v>0</v>
          </cell>
          <cell r="K116">
            <v>0</v>
          </cell>
        </row>
        <row r="117">
          <cell r="C117" t="str">
            <v>25.01.05.01</v>
          </cell>
          <cell r="D117" t="str">
            <v xml:space="preserve">         SALIDA PARA TOMACORRIENTES DOBLE CON PUESTA TIERRA, INCLUYE INSTALACION DE TOMACORRIENTE</v>
          </cell>
          <cell r="E117">
            <v>0</v>
          </cell>
          <cell r="F117" t="str">
            <v>pto</v>
          </cell>
          <cell r="G117">
            <v>0</v>
          </cell>
          <cell r="H117">
            <v>0</v>
          </cell>
          <cell r="I117">
            <v>0</v>
          </cell>
          <cell r="J117">
            <v>1</v>
          </cell>
          <cell r="K117">
            <v>1</v>
          </cell>
        </row>
        <row r="118">
          <cell r="C118" t="str">
            <v>25.01.05.02</v>
          </cell>
          <cell r="D118" t="str">
            <v xml:space="preserve">         SALIDA PARA TOMACORRIENTES DE FUERZA PARA BOMBA DE AGUA Y CONTROL DE NVEL</v>
          </cell>
          <cell r="E118">
            <v>0</v>
          </cell>
          <cell r="F118" t="str">
            <v>pto</v>
          </cell>
          <cell r="G118">
            <v>0</v>
          </cell>
          <cell r="H118">
            <v>0</v>
          </cell>
          <cell r="I118">
            <v>0</v>
          </cell>
          <cell r="J118">
            <v>3</v>
          </cell>
          <cell r="K118">
            <v>3</v>
          </cell>
        </row>
        <row r="119">
          <cell r="C119" t="str">
            <v>26</v>
          </cell>
          <cell r="D119" t="str">
            <v>PATIO DE HONOR CON CUBIERTA</v>
          </cell>
          <cell r="E119">
            <v>0</v>
          </cell>
          <cell r="F119">
            <v>0</v>
          </cell>
          <cell r="G119">
            <v>0</v>
          </cell>
          <cell r="H119">
            <v>0</v>
          </cell>
          <cell r="I119">
            <v>0</v>
          </cell>
          <cell r="J119">
            <v>0</v>
          </cell>
          <cell r="K119">
            <v>0</v>
          </cell>
        </row>
        <row r="120">
          <cell r="C120" t="str">
            <v>26.01</v>
          </cell>
          <cell r="D120" t="str">
            <v xml:space="preserve">   INSTALACIONES ELECTRICAS</v>
          </cell>
          <cell r="E120">
            <v>0</v>
          </cell>
          <cell r="F120">
            <v>0</v>
          </cell>
          <cell r="G120">
            <v>0</v>
          </cell>
          <cell r="H120">
            <v>0</v>
          </cell>
          <cell r="I120">
            <v>0</v>
          </cell>
          <cell r="J120">
            <v>0</v>
          </cell>
          <cell r="K120">
            <v>0</v>
          </cell>
        </row>
        <row r="121">
          <cell r="C121" t="str">
            <v>26.01.01</v>
          </cell>
          <cell r="D121" t="str">
            <v xml:space="preserve">      EXCAVACION DE ZANJA</v>
          </cell>
          <cell r="E121">
            <v>0</v>
          </cell>
          <cell r="F121">
            <v>0</v>
          </cell>
          <cell r="G121">
            <v>0</v>
          </cell>
          <cell r="H121">
            <v>0</v>
          </cell>
          <cell r="I121">
            <v>0</v>
          </cell>
          <cell r="J121">
            <v>0</v>
          </cell>
          <cell r="K121">
            <v>0</v>
          </cell>
        </row>
        <row r="122">
          <cell r="C122" t="str">
            <v>26.01.01.01</v>
          </cell>
          <cell r="D122" t="str">
            <v xml:space="preserve">         CAVADO DE ZANJA, SEÑALIZACION, PROTECCION Y RELLENO DE ZANJA</v>
          </cell>
          <cell r="E122">
            <v>0</v>
          </cell>
          <cell r="F122" t="str">
            <v>m</v>
          </cell>
          <cell r="G122">
            <v>0</v>
          </cell>
          <cell r="H122">
            <v>0</v>
          </cell>
          <cell r="I122">
            <v>0</v>
          </cell>
          <cell r="J122">
            <v>25</v>
          </cell>
          <cell r="K122">
            <v>25</v>
          </cell>
        </row>
        <row r="123">
          <cell r="C123" t="str">
            <v>26.01.02</v>
          </cell>
          <cell r="D123" t="str">
            <v xml:space="preserve">      CABLE SUBTERRANEO</v>
          </cell>
          <cell r="E123">
            <v>0</v>
          </cell>
          <cell r="F123">
            <v>0</v>
          </cell>
          <cell r="G123">
            <v>0</v>
          </cell>
          <cell r="H123">
            <v>0</v>
          </cell>
          <cell r="I123">
            <v>0</v>
          </cell>
          <cell r="J123">
            <v>0</v>
          </cell>
          <cell r="K123">
            <v>0</v>
          </cell>
        </row>
        <row r="124">
          <cell r="C124" t="str">
            <v>26.01.02.01</v>
          </cell>
          <cell r="D124" t="str">
            <v xml:space="preserve">         TENDIDO DE CABLE SUBTERRANEO  N2XOH (2-1x4+1x4 (T))mm²</v>
          </cell>
          <cell r="E124">
            <v>0</v>
          </cell>
          <cell r="F124" t="str">
            <v>m</v>
          </cell>
          <cell r="G124">
            <v>0</v>
          </cell>
          <cell r="H124">
            <v>0</v>
          </cell>
          <cell r="I124">
            <v>0</v>
          </cell>
          <cell r="J124">
            <v>70</v>
          </cell>
          <cell r="K124">
            <v>70</v>
          </cell>
        </row>
        <row r="125">
          <cell r="C125" t="str">
            <v>26.01.03</v>
          </cell>
          <cell r="D125" t="str">
            <v xml:space="preserve">      DUCTOS O TUBERIAS</v>
          </cell>
          <cell r="E125">
            <v>0</v>
          </cell>
          <cell r="F125">
            <v>0</v>
          </cell>
          <cell r="G125">
            <v>0</v>
          </cell>
          <cell r="H125">
            <v>0</v>
          </cell>
          <cell r="I125">
            <v>0</v>
          </cell>
          <cell r="J125">
            <v>0</v>
          </cell>
          <cell r="K125">
            <v>0</v>
          </cell>
        </row>
        <row r="126">
          <cell r="C126" t="str">
            <v>26.01.03.01</v>
          </cell>
          <cell r="D126" t="str">
            <v xml:space="preserve">         TUBERIA PVC - P Ø 30 mm</v>
          </cell>
          <cell r="E126">
            <v>0</v>
          </cell>
          <cell r="F126" t="str">
            <v>m</v>
          </cell>
          <cell r="G126">
            <v>0</v>
          </cell>
          <cell r="H126">
            <v>0</v>
          </cell>
          <cell r="I126">
            <v>0</v>
          </cell>
          <cell r="J126">
            <v>25</v>
          </cell>
          <cell r="K126">
            <v>25</v>
          </cell>
        </row>
        <row r="127">
          <cell r="C127" t="str">
            <v>26.01.03.02</v>
          </cell>
          <cell r="D127" t="str">
            <v xml:space="preserve">         TUBERIA CONDUIT - FºGº P Ø 20 mm</v>
          </cell>
          <cell r="E127">
            <v>0</v>
          </cell>
          <cell r="F127" t="str">
            <v>m</v>
          </cell>
          <cell r="G127">
            <v>0</v>
          </cell>
          <cell r="H127">
            <v>0</v>
          </cell>
          <cell r="I127">
            <v>0</v>
          </cell>
          <cell r="J127">
            <v>45</v>
          </cell>
          <cell r="K127">
            <v>45</v>
          </cell>
        </row>
        <row r="128">
          <cell r="C128" t="str">
            <v>26.01.04</v>
          </cell>
          <cell r="D128" t="str">
            <v xml:space="preserve">      ARMADO DE BUZON DE CONCRETO</v>
          </cell>
          <cell r="E128">
            <v>0</v>
          </cell>
          <cell r="F128">
            <v>0</v>
          </cell>
          <cell r="G128">
            <v>0</v>
          </cell>
          <cell r="H128">
            <v>0</v>
          </cell>
          <cell r="I128">
            <v>0</v>
          </cell>
          <cell r="J128">
            <v>0</v>
          </cell>
          <cell r="K128">
            <v>0</v>
          </cell>
        </row>
        <row r="129">
          <cell r="C129" t="str">
            <v>26.01.04.01</v>
          </cell>
          <cell r="D129" t="str">
            <v xml:space="preserve">         CAVADO Y ARMADO DE BUZON CUADRADO DE CONCRETO EN EL PISO CON TAPA DE CONCRETO</v>
          </cell>
          <cell r="E129">
            <v>0</v>
          </cell>
          <cell r="F129" t="str">
            <v>und</v>
          </cell>
          <cell r="G129">
            <v>0</v>
          </cell>
          <cell r="H129">
            <v>0</v>
          </cell>
          <cell r="I129">
            <v>0</v>
          </cell>
          <cell r="J129">
            <v>1</v>
          </cell>
          <cell r="K129">
            <v>1</v>
          </cell>
        </row>
        <row r="130">
          <cell r="C130" t="str">
            <v>26.01.04.02</v>
          </cell>
          <cell r="D130" t="str">
            <v xml:space="preserve">         CAVADO Y ARMADO DE BUZON CIRCULAR DE CONCRETO EN  PISO CON TAPA DE CONCRETO</v>
          </cell>
          <cell r="E130">
            <v>0</v>
          </cell>
          <cell r="F130" t="str">
            <v>und</v>
          </cell>
          <cell r="G130">
            <v>0</v>
          </cell>
          <cell r="H130">
            <v>0</v>
          </cell>
          <cell r="I130">
            <v>0</v>
          </cell>
          <cell r="J130">
            <v>2</v>
          </cell>
          <cell r="K130">
            <v>2</v>
          </cell>
        </row>
        <row r="131">
          <cell r="C131" t="str">
            <v>26.01.05</v>
          </cell>
          <cell r="D131" t="str">
            <v xml:space="preserve">      SALIDA PARA REFLECTORES  </v>
          </cell>
          <cell r="E131">
            <v>0</v>
          </cell>
          <cell r="F131">
            <v>0</v>
          </cell>
          <cell r="G131">
            <v>0</v>
          </cell>
          <cell r="H131">
            <v>0</v>
          </cell>
          <cell r="I131">
            <v>0</v>
          </cell>
          <cell r="J131">
            <v>0</v>
          </cell>
          <cell r="K131">
            <v>0</v>
          </cell>
        </row>
        <row r="132">
          <cell r="C132" t="str">
            <v>26.01.05.01</v>
          </cell>
          <cell r="D132" t="str">
            <v xml:space="preserve">         SALIDA PARA CENTRO DE REFLECTOR</v>
          </cell>
          <cell r="E132">
            <v>0</v>
          </cell>
          <cell r="F132" t="str">
            <v>pto</v>
          </cell>
          <cell r="G132">
            <v>0</v>
          </cell>
          <cell r="H132">
            <v>0</v>
          </cell>
          <cell r="I132">
            <v>0</v>
          </cell>
          <cell r="J132">
            <v>4</v>
          </cell>
          <cell r="K132">
            <v>4</v>
          </cell>
        </row>
        <row r="133">
          <cell r="C133" t="str">
            <v>26.01.06</v>
          </cell>
          <cell r="D133" t="str">
            <v xml:space="preserve">      ARTEFACTOS DE ILUMINACION</v>
          </cell>
          <cell r="E133">
            <v>0</v>
          </cell>
          <cell r="F133">
            <v>0</v>
          </cell>
          <cell r="G133">
            <v>0</v>
          </cell>
          <cell r="H133">
            <v>0</v>
          </cell>
          <cell r="I133">
            <v>0</v>
          </cell>
          <cell r="J133">
            <v>0</v>
          </cell>
          <cell r="K133">
            <v>0</v>
          </cell>
        </row>
        <row r="134">
          <cell r="C134" t="str">
            <v>26.01.06.01</v>
          </cell>
          <cell r="D134" t="str">
            <v xml:space="preserve">         Suminist. Inst. Reflector con lamp. 250 W. halogenuro metalico HPI plus-ovoide-data</v>
          </cell>
          <cell r="E134">
            <v>0</v>
          </cell>
          <cell r="F134" t="str">
            <v>und</v>
          </cell>
          <cell r="G134">
            <v>0</v>
          </cell>
          <cell r="H134">
            <v>0</v>
          </cell>
          <cell r="I134">
            <v>0</v>
          </cell>
          <cell r="J134">
            <v>4</v>
          </cell>
          <cell r="K134">
            <v>4</v>
          </cell>
        </row>
        <row r="135">
          <cell r="C135" t="str">
            <v>27</v>
          </cell>
          <cell r="D135" t="str">
            <v>ILUMINACION DE EXTERIORES</v>
          </cell>
          <cell r="E135">
            <v>0</v>
          </cell>
          <cell r="F135">
            <v>0</v>
          </cell>
          <cell r="G135">
            <v>0</v>
          </cell>
          <cell r="H135">
            <v>0</v>
          </cell>
          <cell r="I135">
            <v>0</v>
          </cell>
          <cell r="J135">
            <v>0</v>
          </cell>
          <cell r="K135">
            <v>0</v>
          </cell>
        </row>
        <row r="136">
          <cell r="C136" t="str">
            <v>27.01</v>
          </cell>
          <cell r="D136" t="str">
            <v xml:space="preserve">   INSTALACIONES ELECTRICAS</v>
          </cell>
          <cell r="E136">
            <v>0</v>
          </cell>
          <cell r="F136">
            <v>0</v>
          </cell>
          <cell r="G136">
            <v>0</v>
          </cell>
          <cell r="H136">
            <v>0</v>
          </cell>
          <cell r="I136">
            <v>0</v>
          </cell>
          <cell r="J136">
            <v>0</v>
          </cell>
          <cell r="K136">
            <v>0</v>
          </cell>
        </row>
        <row r="137">
          <cell r="C137" t="str">
            <v>27.01.01</v>
          </cell>
          <cell r="D137" t="str">
            <v xml:space="preserve">      EXCAVACION DE ZANJA</v>
          </cell>
          <cell r="E137">
            <v>0</v>
          </cell>
          <cell r="F137">
            <v>0</v>
          </cell>
          <cell r="G137">
            <v>0</v>
          </cell>
          <cell r="H137">
            <v>0</v>
          </cell>
          <cell r="I137">
            <v>0</v>
          </cell>
          <cell r="J137">
            <v>0</v>
          </cell>
          <cell r="K137">
            <v>0</v>
          </cell>
        </row>
        <row r="138">
          <cell r="C138" t="str">
            <v>27.01.01.01</v>
          </cell>
          <cell r="D138" t="str">
            <v xml:space="preserve">         CAVADO DE ZANJA, SEÑALIZACION, PROTECCION Y RELLENO DE ZANJA</v>
          </cell>
          <cell r="E138">
            <v>0</v>
          </cell>
          <cell r="F138" t="str">
            <v>m</v>
          </cell>
          <cell r="G138">
            <v>0</v>
          </cell>
          <cell r="H138">
            <v>0</v>
          </cell>
          <cell r="I138">
            <v>0</v>
          </cell>
          <cell r="J138">
            <v>56</v>
          </cell>
          <cell r="K138">
            <v>56</v>
          </cell>
        </row>
        <row r="139">
          <cell r="C139" t="str">
            <v>27.01.02</v>
          </cell>
          <cell r="D139" t="str">
            <v xml:space="preserve">      CABLE SUBTERRANEO</v>
          </cell>
          <cell r="E139">
            <v>0</v>
          </cell>
          <cell r="F139">
            <v>0</v>
          </cell>
          <cell r="G139">
            <v>0</v>
          </cell>
          <cell r="H139">
            <v>0</v>
          </cell>
          <cell r="I139">
            <v>0</v>
          </cell>
          <cell r="J139">
            <v>0</v>
          </cell>
          <cell r="K139">
            <v>0</v>
          </cell>
        </row>
        <row r="140">
          <cell r="C140" t="str">
            <v>27.01.02.01</v>
          </cell>
          <cell r="D140" t="str">
            <v xml:space="preserve">         TENDIDO DE CABLE SUBTERRANEO  N2XOH (2-1x4)mm2</v>
          </cell>
          <cell r="E140">
            <v>0</v>
          </cell>
          <cell r="F140" t="str">
            <v>m</v>
          </cell>
          <cell r="G140">
            <v>0</v>
          </cell>
          <cell r="H140">
            <v>0</v>
          </cell>
          <cell r="I140">
            <v>0</v>
          </cell>
          <cell r="J140">
            <v>94</v>
          </cell>
          <cell r="K140">
            <v>94</v>
          </cell>
        </row>
        <row r="141">
          <cell r="C141" t="str">
            <v>27.01.03</v>
          </cell>
          <cell r="D141" t="str">
            <v xml:space="preserve">      DUCTOS O TUBERIAS</v>
          </cell>
          <cell r="E141">
            <v>0</v>
          </cell>
          <cell r="F141">
            <v>0</v>
          </cell>
          <cell r="G141">
            <v>0</v>
          </cell>
          <cell r="H141">
            <v>0</v>
          </cell>
          <cell r="I141">
            <v>0</v>
          </cell>
          <cell r="J141">
            <v>0</v>
          </cell>
          <cell r="K141">
            <v>0</v>
          </cell>
        </row>
        <row r="142">
          <cell r="C142" t="str">
            <v>27.01.03.01</v>
          </cell>
          <cell r="D142" t="str">
            <v xml:space="preserve">         TUBERIA PVC - P Ø 25 mm</v>
          </cell>
          <cell r="E142">
            <v>0</v>
          </cell>
          <cell r="F142" t="str">
            <v>m</v>
          </cell>
          <cell r="G142">
            <v>0</v>
          </cell>
          <cell r="H142">
            <v>0</v>
          </cell>
          <cell r="I142">
            <v>0</v>
          </cell>
          <cell r="J142">
            <v>56</v>
          </cell>
          <cell r="K142">
            <v>56</v>
          </cell>
        </row>
        <row r="143">
          <cell r="C143" t="str">
            <v>27.01.04</v>
          </cell>
          <cell r="D143" t="str">
            <v xml:space="preserve">      SUMINISTRO E INSTALACION DE POSTES</v>
          </cell>
          <cell r="E143">
            <v>0</v>
          </cell>
          <cell r="F143">
            <v>0</v>
          </cell>
          <cell r="G143">
            <v>0</v>
          </cell>
          <cell r="H143">
            <v>0</v>
          </cell>
          <cell r="I143">
            <v>0</v>
          </cell>
          <cell r="J143">
            <v>0</v>
          </cell>
          <cell r="K143">
            <v>0</v>
          </cell>
        </row>
        <row r="144">
          <cell r="C144" t="str">
            <v>27.01.04.01</v>
          </cell>
          <cell r="D144" t="str">
            <v xml:space="preserve">         APERTURA DE APOYO, IZAJE Y CIMENTACION DE POSTE DE FºGºO DE 6.00 m</v>
          </cell>
          <cell r="E144">
            <v>0</v>
          </cell>
          <cell r="F144" t="str">
            <v>GLB</v>
          </cell>
          <cell r="G144">
            <v>0</v>
          </cell>
          <cell r="H144">
            <v>0</v>
          </cell>
          <cell r="I144">
            <v>0</v>
          </cell>
          <cell r="J144">
            <v>6</v>
          </cell>
          <cell r="K144">
            <v>6</v>
          </cell>
        </row>
        <row r="145">
          <cell r="C145" t="str">
            <v>27.01.05</v>
          </cell>
          <cell r="D145" t="str">
            <v xml:space="preserve">      EMPALME SUBTERRANEO</v>
          </cell>
          <cell r="E145">
            <v>0</v>
          </cell>
          <cell r="F145">
            <v>0</v>
          </cell>
          <cell r="G145">
            <v>0</v>
          </cell>
          <cell r="H145">
            <v>0</v>
          </cell>
          <cell r="I145">
            <v>0</v>
          </cell>
          <cell r="J145">
            <v>0</v>
          </cell>
          <cell r="K145">
            <v>0</v>
          </cell>
        </row>
        <row r="146">
          <cell r="C146" t="str">
            <v>27.01.05.01</v>
          </cell>
          <cell r="D146" t="str">
            <v xml:space="preserve">         EJECUCION DE EMPALME SUBTERRANEO EN CABLE N2XOH DE 2-1x4mm2</v>
          </cell>
          <cell r="E146">
            <v>0</v>
          </cell>
          <cell r="F146" t="str">
            <v>pto</v>
          </cell>
          <cell r="G146">
            <v>0</v>
          </cell>
          <cell r="H146">
            <v>0</v>
          </cell>
          <cell r="I146">
            <v>0</v>
          </cell>
          <cell r="J146">
            <v>6</v>
          </cell>
          <cell r="K146">
            <v>6</v>
          </cell>
        </row>
        <row r="147">
          <cell r="C147" t="str">
            <v>27.01.06</v>
          </cell>
          <cell r="D147" t="str">
            <v xml:space="preserve">      ARMADO DE BUZON DE CONCRETO</v>
          </cell>
          <cell r="E147">
            <v>0</v>
          </cell>
          <cell r="F147">
            <v>0</v>
          </cell>
          <cell r="G147">
            <v>0</v>
          </cell>
          <cell r="H147">
            <v>0</v>
          </cell>
          <cell r="I147">
            <v>0</v>
          </cell>
          <cell r="J147">
            <v>0</v>
          </cell>
          <cell r="K147">
            <v>0</v>
          </cell>
        </row>
        <row r="148">
          <cell r="C148" t="str">
            <v>27.01.06.01</v>
          </cell>
          <cell r="D148" t="str">
            <v xml:space="preserve">         CAVADO Y ARMADO DE BUZON CIRCULAR DE CONCRETO EN  PISO CON TAPA DE CONCRETO</v>
          </cell>
          <cell r="E148">
            <v>0</v>
          </cell>
          <cell r="F148" t="str">
            <v>und</v>
          </cell>
          <cell r="G148">
            <v>0</v>
          </cell>
          <cell r="H148">
            <v>0</v>
          </cell>
          <cell r="I148">
            <v>0</v>
          </cell>
          <cell r="J148">
            <v>6</v>
          </cell>
          <cell r="K148">
            <v>6</v>
          </cell>
        </row>
        <row r="149">
          <cell r="C149" t="str">
            <v>27.01.07</v>
          </cell>
          <cell r="D149" t="str">
            <v xml:space="preserve">      SALIDA PARA REFLECTORES  </v>
          </cell>
          <cell r="E149">
            <v>0</v>
          </cell>
          <cell r="F149">
            <v>0</v>
          </cell>
          <cell r="G149">
            <v>0</v>
          </cell>
          <cell r="H149">
            <v>0</v>
          </cell>
          <cell r="I149">
            <v>0</v>
          </cell>
          <cell r="J149">
            <v>0</v>
          </cell>
          <cell r="K149">
            <v>0</v>
          </cell>
        </row>
        <row r="150">
          <cell r="C150" t="str">
            <v>27.01.07.01</v>
          </cell>
          <cell r="D150" t="str">
            <v xml:space="preserve">         SALIDA PARA CENTRO DE FAROLA EN POSTE</v>
          </cell>
          <cell r="E150">
            <v>0</v>
          </cell>
          <cell r="F150" t="str">
            <v>pto</v>
          </cell>
          <cell r="G150">
            <v>0</v>
          </cell>
          <cell r="H150">
            <v>0</v>
          </cell>
          <cell r="I150">
            <v>0</v>
          </cell>
          <cell r="J150">
            <v>6</v>
          </cell>
          <cell r="K150">
            <v>6</v>
          </cell>
        </row>
        <row r="151">
          <cell r="C151" t="str">
            <v>27.01.07.02</v>
          </cell>
          <cell r="D151" t="str">
            <v xml:space="preserve">         SALIDA PARA REFLECTOR EN PARED</v>
          </cell>
          <cell r="E151">
            <v>0</v>
          </cell>
          <cell r="F151" t="str">
            <v>pto</v>
          </cell>
          <cell r="G151">
            <v>0</v>
          </cell>
          <cell r="H151">
            <v>0</v>
          </cell>
          <cell r="I151">
            <v>0</v>
          </cell>
          <cell r="J151">
            <v>2</v>
          </cell>
          <cell r="K151">
            <v>2</v>
          </cell>
        </row>
        <row r="152">
          <cell r="C152" t="str">
            <v>27.01.08</v>
          </cell>
          <cell r="D152" t="str">
            <v xml:space="preserve">      ARTEFACTOS DE ILUMINACION</v>
          </cell>
          <cell r="E152">
            <v>0</v>
          </cell>
          <cell r="F152">
            <v>0</v>
          </cell>
          <cell r="G152">
            <v>0</v>
          </cell>
          <cell r="H152">
            <v>0</v>
          </cell>
          <cell r="I152">
            <v>0</v>
          </cell>
          <cell r="J152">
            <v>0</v>
          </cell>
          <cell r="K152">
            <v>0</v>
          </cell>
        </row>
        <row r="153">
          <cell r="C153" t="str">
            <v>27.01.08.01</v>
          </cell>
          <cell r="D153" t="str">
            <v xml:space="preserve">    Artefacto de iluminacion tipo farola de 70 W TIPO CDS570 O SIMILAR</v>
          </cell>
          <cell r="E153">
            <v>0</v>
          </cell>
          <cell r="F153" t="str">
            <v>und</v>
          </cell>
          <cell r="G153">
            <v>0</v>
          </cell>
          <cell r="H153">
            <v>0</v>
          </cell>
          <cell r="I153">
            <v>0</v>
          </cell>
          <cell r="J153">
            <v>6</v>
          </cell>
          <cell r="K153">
            <v>6</v>
          </cell>
        </row>
        <row r="154">
          <cell r="C154" t="str">
            <v>27.01.08.02</v>
          </cell>
          <cell r="D154" t="str">
            <v xml:space="preserve">        Artefacto para empotrar con 02 lamparas ahorradoras de de 18 W. Modelo RSP/CES - P5464  o similar, lámina en frio, color negrto o plateado y secado al orno</v>
          </cell>
          <cell r="E154">
            <v>0</v>
          </cell>
          <cell r="F154" t="str">
            <v>und</v>
          </cell>
          <cell r="G154">
            <v>0</v>
          </cell>
          <cell r="H154">
            <v>0</v>
          </cell>
          <cell r="I154">
            <v>0</v>
          </cell>
          <cell r="J154">
            <v>2</v>
          </cell>
          <cell r="K154">
            <v>2</v>
          </cell>
        </row>
        <row r="155">
          <cell r="C155" t="str">
            <v>28</v>
          </cell>
          <cell r="D155" t="str">
            <v>OBRAS EXTERIORES</v>
          </cell>
          <cell r="E155">
            <v>0</v>
          </cell>
          <cell r="F155">
            <v>0</v>
          </cell>
          <cell r="G155">
            <v>0</v>
          </cell>
          <cell r="H155">
            <v>0</v>
          </cell>
          <cell r="I155">
            <v>0</v>
          </cell>
          <cell r="J155">
            <v>0</v>
          </cell>
          <cell r="K155">
            <v>0</v>
          </cell>
        </row>
        <row r="156">
          <cell r="C156" t="str">
            <v>28.01</v>
          </cell>
          <cell r="D156" t="str">
            <v xml:space="preserve">   INSTALACIONES ELECTRICAS</v>
          </cell>
          <cell r="E156">
            <v>0</v>
          </cell>
          <cell r="F156">
            <v>0</v>
          </cell>
          <cell r="G156">
            <v>0</v>
          </cell>
          <cell r="H156">
            <v>0</v>
          </cell>
          <cell r="I156">
            <v>0</v>
          </cell>
          <cell r="J156">
            <v>0</v>
          </cell>
          <cell r="K156">
            <v>0</v>
          </cell>
        </row>
        <row r="157">
          <cell r="C157" t="str">
            <v>28.01.01</v>
          </cell>
          <cell r="D157" t="str">
            <v xml:space="preserve">      TABLEROS</v>
          </cell>
          <cell r="E157">
            <v>0</v>
          </cell>
          <cell r="F157">
            <v>0</v>
          </cell>
          <cell r="G157">
            <v>0</v>
          </cell>
          <cell r="H157">
            <v>0</v>
          </cell>
          <cell r="I157">
            <v>0</v>
          </cell>
          <cell r="J157">
            <v>0</v>
          </cell>
          <cell r="K157">
            <v>0</v>
          </cell>
        </row>
        <row r="158">
          <cell r="C158" t="str">
            <v>28.01.01.01</v>
          </cell>
          <cell r="D158" t="str">
            <v xml:space="preserve">         TABLERO DE DISTRIBUCION TG</v>
          </cell>
          <cell r="E158">
            <v>0</v>
          </cell>
          <cell r="F158" t="str">
            <v>Eqp</v>
          </cell>
          <cell r="G158">
            <v>0</v>
          </cell>
          <cell r="H158">
            <v>0</v>
          </cell>
          <cell r="I158">
            <v>0</v>
          </cell>
          <cell r="J158">
            <v>1</v>
          </cell>
          <cell r="K158">
            <v>1</v>
          </cell>
        </row>
        <row r="159">
          <cell r="C159" t="str">
            <v>28.01.02</v>
          </cell>
          <cell r="D159" t="str">
            <v xml:space="preserve">      SISTEMA DE PUESTA A TIERRA</v>
          </cell>
          <cell r="E159">
            <v>0</v>
          </cell>
          <cell r="F159">
            <v>0</v>
          </cell>
          <cell r="G159">
            <v>0</v>
          </cell>
          <cell r="H159">
            <v>0</v>
          </cell>
          <cell r="I159">
            <v>0</v>
          </cell>
          <cell r="J159">
            <v>0</v>
          </cell>
          <cell r="K159">
            <v>0</v>
          </cell>
        </row>
        <row r="160">
          <cell r="C160" t="str">
            <v>28.01.02.01</v>
          </cell>
          <cell r="D160" t="str">
            <v xml:space="preserve">         INSTALACION DE SISTEMA DE PUESTA A TIERRA</v>
          </cell>
          <cell r="E160">
            <v>0</v>
          </cell>
          <cell r="F160" t="str">
            <v>jgo</v>
          </cell>
          <cell r="G160">
            <v>0</v>
          </cell>
          <cell r="H160">
            <v>0</v>
          </cell>
          <cell r="I160">
            <v>0</v>
          </cell>
          <cell r="J160">
            <v>2</v>
          </cell>
          <cell r="K160">
            <v>2</v>
          </cell>
        </row>
        <row r="161">
          <cell r="C161" t="str">
            <v>28.01.03</v>
          </cell>
          <cell r="D161" t="str">
            <v xml:space="preserve">      EXCAVACION DE ZANJA</v>
          </cell>
          <cell r="E161">
            <v>0</v>
          </cell>
          <cell r="F161">
            <v>0</v>
          </cell>
          <cell r="G161">
            <v>0</v>
          </cell>
          <cell r="H161">
            <v>0</v>
          </cell>
          <cell r="I161">
            <v>0</v>
          </cell>
          <cell r="J161">
            <v>0</v>
          </cell>
          <cell r="K161">
            <v>0</v>
          </cell>
        </row>
        <row r="162">
          <cell r="C162" t="str">
            <v>28.01.03.01</v>
          </cell>
          <cell r="D162" t="str">
            <v xml:space="preserve">         CAVADO DE ZANJA, SEÑALIZACION, PROTECCION Y RELLENO DE ZANJA</v>
          </cell>
          <cell r="E162">
            <v>0</v>
          </cell>
          <cell r="F162" t="str">
            <v>m</v>
          </cell>
          <cell r="G162">
            <v>0</v>
          </cell>
          <cell r="H162">
            <v>0</v>
          </cell>
          <cell r="I162">
            <v>0</v>
          </cell>
          <cell r="J162">
            <v>20</v>
          </cell>
          <cell r="K162">
            <v>20</v>
          </cell>
        </row>
        <row r="163">
          <cell r="C163" t="str">
            <v>28.01.04</v>
          </cell>
          <cell r="D163" t="str">
            <v xml:space="preserve">      CABLE SUBTERRANEO</v>
          </cell>
          <cell r="E163">
            <v>0</v>
          </cell>
          <cell r="F163">
            <v>0</v>
          </cell>
          <cell r="G163">
            <v>0</v>
          </cell>
          <cell r="H163">
            <v>0</v>
          </cell>
          <cell r="I163">
            <v>0</v>
          </cell>
          <cell r="J163">
            <v>0</v>
          </cell>
          <cell r="K163">
            <v>0</v>
          </cell>
        </row>
        <row r="164">
          <cell r="C164" t="str">
            <v>28.01.04.01</v>
          </cell>
          <cell r="D164" t="str">
            <v xml:space="preserve">         TENDIDO DE CABLE SUBTERRANEO  N2XOH (3-1x16) mm²</v>
          </cell>
          <cell r="E164">
            <v>0</v>
          </cell>
          <cell r="F164" t="str">
            <v>m</v>
          </cell>
          <cell r="G164">
            <v>0</v>
          </cell>
          <cell r="H164">
            <v>0</v>
          </cell>
          <cell r="I164">
            <v>0</v>
          </cell>
          <cell r="J164">
            <v>20</v>
          </cell>
          <cell r="K164">
            <v>20</v>
          </cell>
        </row>
        <row r="165">
          <cell r="C165" t="str">
            <v>28.01.04.02</v>
          </cell>
          <cell r="D165" t="str">
            <v xml:space="preserve">         TENDIDO DE CABLE SUBTERRANEO  N2XOH (3-1x6+1x6 (T))mm2</v>
          </cell>
          <cell r="E165">
            <v>0</v>
          </cell>
          <cell r="F165" t="str">
            <v>m</v>
          </cell>
          <cell r="G165">
            <v>0</v>
          </cell>
          <cell r="H165">
            <v>0</v>
          </cell>
          <cell r="I165">
            <v>0</v>
          </cell>
          <cell r="J165">
            <v>130</v>
          </cell>
          <cell r="K165">
            <v>130</v>
          </cell>
        </row>
        <row r="166">
          <cell r="C166" t="str">
            <v>28.01.05</v>
          </cell>
          <cell r="D166" t="str">
            <v xml:space="preserve">      DUCTOS O TUBERIAS</v>
          </cell>
          <cell r="E166">
            <v>0</v>
          </cell>
          <cell r="F166">
            <v>0</v>
          </cell>
          <cell r="G166">
            <v>0</v>
          </cell>
          <cell r="H166">
            <v>0</v>
          </cell>
          <cell r="I166">
            <v>0</v>
          </cell>
          <cell r="J166">
            <v>0</v>
          </cell>
          <cell r="K166">
            <v>0</v>
          </cell>
        </row>
        <row r="167">
          <cell r="C167" t="str">
            <v>28.01.05.01</v>
          </cell>
          <cell r="D167" t="str">
            <v xml:space="preserve">         TUBERIA PVC - P Ø 50 mm</v>
          </cell>
          <cell r="E167">
            <v>0</v>
          </cell>
          <cell r="F167" t="str">
            <v>m</v>
          </cell>
          <cell r="G167">
            <v>0</v>
          </cell>
          <cell r="H167">
            <v>0</v>
          </cell>
          <cell r="I167">
            <v>0</v>
          </cell>
          <cell r="J167">
            <v>20</v>
          </cell>
          <cell r="K167">
            <v>20</v>
          </cell>
        </row>
        <row r="168">
          <cell r="C168" t="str">
            <v>28.01.05.02</v>
          </cell>
          <cell r="D168" t="str">
            <v xml:space="preserve">         TUBERIA PVC - P Ø 40 mm</v>
          </cell>
          <cell r="E168">
            <v>0</v>
          </cell>
          <cell r="F168" t="str">
            <v>m</v>
          </cell>
          <cell r="G168">
            <v>0</v>
          </cell>
          <cell r="H168">
            <v>0</v>
          </cell>
          <cell r="I168">
            <v>0</v>
          </cell>
          <cell r="J168">
            <v>160</v>
          </cell>
          <cell r="K168">
            <v>160</v>
          </cell>
        </row>
        <row r="169">
          <cell r="C169" t="str">
            <v>28.01.06</v>
          </cell>
          <cell r="D169" t="str">
            <v xml:space="preserve">      ARMADO DE BUZON DE CONCRETO</v>
          </cell>
          <cell r="E169">
            <v>0</v>
          </cell>
          <cell r="F169">
            <v>0</v>
          </cell>
          <cell r="G169">
            <v>0</v>
          </cell>
          <cell r="H169">
            <v>0</v>
          </cell>
          <cell r="I169">
            <v>0</v>
          </cell>
          <cell r="J169">
            <v>0</v>
          </cell>
          <cell r="K169">
            <v>0</v>
          </cell>
        </row>
        <row r="170">
          <cell r="C170" t="str">
            <v>28.01.06.01</v>
          </cell>
          <cell r="D170" t="str">
            <v xml:space="preserve">         CAVADO Y ARMADO DE BUZON DE CONCRETO EN EL PISO CON TAPA DE CONCRETO</v>
          </cell>
          <cell r="E170">
            <v>0</v>
          </cell>
          <cell r="F170" t="str">
            <v>und</v>
          </cell>
          <cell r="G170">
            <v>0</v>
          </cell>
          <cell r="H170">
            <v>0</v>
          </cell>
          <cell r="I170">
            <v>0</v>
          </cell>
          <cell r="J170">
            <v>2</v>
          </cell>
          <cell r="K170">
            <v>2</v>
          </cell>
        </row>
        <row r="171">
          <cell r="C171" t="str">
            <v>28.02</v>
          </cell>
          <cell r="D171" t="str">
            <v xml:space="preserve">   SISTEMAS ESPECIALES</v>
          </cell>
          <cell r="E171">
            <v>0</v>
          </cell>
          <cell r="F171">
            <v>0</v>
          </cell>
          <cell r="G171">
            <v>0</v>
          </cell>
          <cell r="H171">
            <v>0</v>
          </cell>
          <cell r="I171">
            <v>0</v>
          </cell>
          <cell r="J171">
            <v>0</v>
          </cell>
          <cell r="K171">
            <v>0</v>
          </cell>
        </row>
        <row r="172">
          <cell r="C172" t="str">
            <v>28.02.01</v>
          </cell>
          <cell r="D172" t="str">
            <v xml:space="preserve">      DUCTOS O TUBERIAS</v>
          </cell>
          <cell r="E172">
            <v>0</v>
          </cell>
          <cell r="F172">
            <v>0</v>
          </cell>
          <cell r="G172">
            <v>0</v>
          </cell>
          <cell r="H172">
            <v>0</v>
          </cell>
          <cell r="I172">
            <v>0</v>
          </cell>
          <cell r="J172">
            <v>0</v>
          </cell>
          <cell r="K172">
            <v>0</v>
          </cell>
        </row>
        <row r="173">
          <cell r="C173" t="str">
            <v>28.02.01.01</v>
          </cell>
          <cell r="D173" t="str">
            <v xml:space="preserve">         INSTALACION DE DUCTO PVC DE Ø 30 mm, INCLUYE CABLEADO DE ALIMENTADORES - CACI</v>
          </cell>
          <cell r="E173">
            <v>0</v>
          </cell>
          <cell r="F173" t="str">
            <v>m</v>
          </cell>
          <cell r="G173">
            <v>0</v>
          </cell>
          <cell r="H173">
            <v>0</v>
          </cell>
          <cell r="I173">
            <v>0</v>
          </cell>
          <cell r="J173">
            <v>20</v>
          </cell>
          <cell r="K173">
            <v>20</v>
          </cell>
        </row>
        <row r="174">
          <cell r="C174" t="str">
            <v>28.02.01.02</v>
          </cell>
          <cell r="D174" t="str">
            <v xml:space="preserve">         INSTALACION DE DUCTO PVC DE Ø 75 mm, INCLUYE CABLEADO DE ALIMENTADORES - RED</v>
          </cell>
          <cell r="E174">
            <v>0</v>
          </cell>
          <cell r="F174" t="str">
            <v>m</v>
          </cell>
          <cell r="G174">
            <v>0</v>
          </cell>
          <cell r="H174">
            <v>0</v>
          </cell>
          <cell r="I174">
            <v>0</v>
          </cell>
          <cell r="J174">
            <v>48</v>
          </cell>
          <cell r="K174">
            <v>48</v>
          </cell>
        </row>
        <row r="175">
          <cell r="C175" t="str">
            <v>28.02.02</v>
          </cell>
          <cell r="D175" t="str">
            <v xml:space="preserve">      INSTALACION DE DUCTOS</v>
          </cell>
          <cell r="E175">
            <v>0</v>
          </cell>
          <cell r="F175">
            <v>0</v>
          </cell>
          <cell r="G175">
            <v>0</v>
          </cell>
          <cell r="H175">
            <v>0</v>
          </cell>
          <cell r="I175">
            <v>0</v>
          </cell>
          <cell r="J175">
            <v>0</v>
          </cell>
          <cell r="K175">
            <v>0</v>
          </cell>
        </row>
        <row r="176">
          <cell r="C176" t="str">
            <v>28.02.02.01</v>
          </cell>
          <cell r="D176" t="str">
            <v xml:space="preserve">         CAVADO DE ZANJA, SEÑALIZACION, PROTECCION Y RELLENO DE ZANJA</v>
          </cell>
          <cell r="E176">
            <v>0</v>
          </cell>
          <cell r="F176" t="str">
            <v>m</v>
          </cell>
          <cell r="G176">
            <v>0</v>
          </cell>
          <cell r="H176">
            <v>0</v>
          </cell>
          <cell r="I176">
            <v>0</v>
          </cell>
          <cell r="J176">
            <v>60</v>
          </cell>
          <cell r="K176">
            <v>60</v>
          </cell>
        </row>
        <row r="177">
          <cell r="C177" t="str">
            <v>28.02.03</v>
          </cell>
          <cell r="D177" t="str">
            <v xml:space="preserve">      ARMADO DE BUZON DE CONCRETO</v>
          </cell>
          <cell r="E177">
            <v>0</v>
          </cell>
          <cell r="F177">
            <v>0</v>
          </cell>
          <cell r="G177">
            <v>0</v>
          </cell>
          <cell r="H177">
            <v>0</v>
          </cell>
          <cell r="I177">
            <v>0</v>
          </cell>
          <cell r="J177">
            <v>0</v>
          </cell>
          <cell r="K177">
            <v>0</v>
          </cell>
        </row>
        <row r="178">
          <cell r="C178" t="str">
            <v>28.02.03.01</v>
          </cell>
          <cell r="D178" t="str">
            <v xml:space="preserve">         CAVADO Y ARMADO DE BUZON CUADRADO DE CONCRETO EN EL PISO CON TAPA DE CONCRETO</v>
          </cell>
          <cell r="E178">
            <v>0</v>
          </cell>
          <cell r="F178" t="str">
            <v>und</v>
          </cell>
          <cell r="G178">
            <v>0</v>
          </cell>
          <cell r="H178">
            <v>0</v>
          </cell>
          <cell r="I178">
            <v>0</v>
          </cell>
          <cell r="J178">
            <v>2</v>
          </cell>
          <cell r="K178">
            <v>2</v>
          </cell>
        </row>
        <row r="179">
          <cell r="C179">
            <v>0</v>
          </cell>
          <cell r="D179">
            <v>0</v>
          </cell>
          <cell r="E179">
            <v>0</v>
          </cell>
          <cell r="F179">
            <v>0</v>
          </cell>
          <cell r="G179">
            <v>0</v>
          </cell>
          <cell r="H179">
            <v>0</v>
          </cell>
          <cell r="I179">
            <v>0</v>
          </cell>
          <cell r="J179">
            <v>0</v>
          </cell>
          <cell r="K179">
            <v>0</v>
          </cell>
        </row>
        <row r="180">
          <cell r="C180">
            <v>0</v>
          </cell>
          <cell r="D180">
            <v>0</v>
          </cell>
          <cell r="E180">
            <v>0</v>
          </cell>
          <cell r="F180">
            <v>0</v>
          </cell>
          <cell r="G180">
            <v>0</v>
          </cell>
          <cell r="H180">
            <v>0</v>
          </cell>
          <cell r="I180">
            <v>0</v>
          </cell>
          <cell r="J180">
            <v>0</v>
          </cell>
          <cell r="K180">
            <v>0</v>
          </cell>
        </row>
        <row r="181">
          <cell r="C181">
            <v>0</v>
          </cell>
          <cell r="D181">
            <v>0</v>
          </cell>
          <cell r="E181">
            <v>0</v>
          </cell>
          <cell r="F181">
            <v>0</v>
          </cell>
          <cell r="G181">
            <v>0</v>
          </cell>
          <cell r="H181">
            <v>0</v>
          </cell>
          <cell r="I181">
            <v>0</v>
          </cell>
          <cell r="J181">
            <v>0</v>
          </cell>
          <cell r="K181">
            <v>0</v>
          </cell>
        </row>
        <row r="182">
          <cell r="C182">
            <v>0</v>
          </cell>
          <cell r="D182">
            <v>0</v>
          </cell>
          <cell r="E182">
            <v>0</v>
          </cell>
          <cell r="F182">
            <v>0</v>
          </cell>
          <cell r="G182">
            <v>0</v>
          </cell>
          <cell r="H182">
            <v>0</v>
          </cell>
          <cell r="I182">
            <v>0</v>
          </cell>
          <cell r="J182">
            <v>0</v>
          </cell>
          <cell r="K182">
            <v>0</v>
          </cell>
        </row>
        <row r="183">
          <cell r="C183">
            <v>0</v>
          </cell>
          <cell r="D183">
            <v>0</v>
          </cell>
          <cell r="E183">
            <v>0</v>
          </cell>
          <cell r="F183">
            <v>0</v>
          </cell>
          <cell r="G183">
            <v>0</v>
          </cell>
          <cell r="H183">
            <v>0</v>
          </cell>
          <cell r="I183">
            <v>0</v>
          </cell>
          <cell r="J183">
            <v>0</v>
          </cell>
          <cell r="K183">
            <v>0</v>
          </cell>
        </row>
        <row r="184">
          <cell r="C184">
            <v>0</v>
          </cell>
          <cell r="D184">
            <v>0</v>
          </cell>
          <cell r="E184">
            <v>0</v>
          </cell>
          <cell r="F184">
            <v>0</v>
          </cell>
          <cell r="G184">
            <v>0</v>
          </cell>
          <cell r="H184">
            <v>0</v>
          </cell>
          <cell r="I184">
            <v>0</v>
          </cell>
          <cell r="J184">
            <v>0</v>
          </cell>
          <cell r="K184">
            <v>0</v>
          </cell>
        </row>
        <row r="185">
          <cell r="C185">
            <v>0</v>
          </cell>
          <cell r="D185">
            <v>0</v>
          </cell>
          <cell r="E185">
            <v>0</v>
          </cell>
          <cell r="F185">
            <v>0</v>
          </cell>
          <cell r="G185">
            <v>0</v>
          </cell>
          <cell r="H185">
            <v>0</v>
          </cell>
          <cell r="I185">
            <v>0</v>
          </cell>
          <cell r="J185">
            <v>0</v>
          </cell>
          <cell r="K185">
            <v>0</v>
          </cell>
        </row>
        <row r="186">
          <cell r="C186">
            <v>0</v>
          </cell>
          <cell r="D186">
            <v>0</v>
          </cell>
          <cell r="E186">
            <v>0</v>
          </cell>
          <cell r="F186">
            <v>0</v>
          </cell>
          <cell r="G186">
            <v>0</v>
          </cell>
          <cell r="H186">
            <v>0</v>
          </cell>
          <cell r="I186">
            <v>0</v>
          </cell>
          <cell r="J186">
            <v>0</v>
          </cell>
          <cell r="K186">
            <v>0</v>
          </cell>
        </row>
        <row r="187">
          <cell r="C187">
            <v>0</v>
          </cell>
          <cell r="D187">
            <v>0</v>
          </cell>
          <cell r="E187">
            <v>0</v>
          </cell>
          <cell r="F187">
            <v>0</v>
          </cell>
          <cell r="G187">
            <v>0</v>
          </cell>
          <cell r="H187">
            <v>0</v>
          </cell>
          <cell r="I187">
            <v>0</v>
          </cell>
          <cell r="J187">
            <v>0</v>
          </cell>
          <cell r="K187">
            <v>0</v>
          </cell>
        </row>
        <row r="188">
          <cell r="C188">
            <v>0</v>
          </cell>
          <cell r="D188">
            <v>0</v>
          </cell>
          <cell r="E188">
            <v>0</v>
          </cell>
          <cell r="F188">
            <v>0</v>
          </cell>
          <cell r="G188">
            <v>0</v>
          </cell>
          <cell r="H188">
            <v>0</v>
          </cell>
          <cell r="I188">
            <v>0</v>
          </cell>
          <cell r="J188">
            <v>0</v>
          </cell>
          <cell r="K188">
            <v>0</v>
          </cell>
        </row>
        <row r="189">
          <cell r="C189">
            <v>0</v>
          </cell>
          <cell r="D189">
            <v>0</v>
          </cell>
          <cell r="E189">
            <v>0</v>
          </cell>
          <cell r="F189">
            <v>0</v>
          </cell>
          <cell r="G189">
            <v>0</v>
          </cell>
          <cell r="H189">
            <v>0</v>
          </cell>
          <cell r="I189">
            <v>0</v>
          </cell>
          <cell r="J189">
            <v>0</v>
          </cell>
          <cell r="K189">
            <v>0</v>
          </cell>
        </row>
        <row r="190">
          <cell r="C190">
            <v>0</v>
          </cell>
          <cell r="D190">
            <v>0</v>
          </cell>
          <cell r="E190">
            <v>0</v>
          </cell>
          <cell r="F190">
            <v>0</v>
          </cell>
          <cell r="G190">
            <v>0</v>
          </cell>
          <cell r="H190">
            <v>0</v>
          </cell>
          <cell r="I190">
            <v>0</v>
          </cell>
          <cell r="J190">
            <v>0</v>
          </cell>
          <cell r="K190">
            <v>0</v>
          </cell>
        </row>
        <row r="191">
          <cell r="C191">
            <v>0</v>
          </cell>
          <cell r="D191">
            <v>0</v>
          </cell>
          <cell r="E191">
            <v>0</v>
          </cell>
          <cell r="F191">
            <v>0</v>
          </cell>
          <cell r="G191">
            <v>0</v>
          </cell>
          <cell r="H191">
            <v>0</v>
          </cell>
          <cell r="I191">
            <v>0</v>
          </cell>
          <cell r="J191">
            <v>0</v>
          </cell>
          <cell r="K191">
            <v>0</v>
          </cell>
        </row>
        <row r="192">
          <cell r="C192">
            <v>0</v>
          </cell>
          <cell r="D192">
            <v>0</v>
          </cell>
          <cell r="E192">
            <v>0</v>
          </cell>
          <cell r="F192">
            <v>0</v>
          </cell>
          <cell r="G192">
            <v>0</v>
          </cell>
          <cell r="H192">
            <v>0</v>
          </cell>
          <cell r="I192">
            <v>0</v>
          </cell>
          <cell r="J192">
            <v>0</v>
          </cell>
          <cell r="K192">
            <v>0</v>
          </cell>
        </row>
        <row r="193">
          <cell r="C193">
            <v>0</v>
          </cell>
          <cell r="D193">
            <v>0</v>
          </cell>
          <cell r="E193">
            <v>0</v>
          </cell>
          <cell r="F193">
            <v>0</v>
          </cell>
          <cell r="G193">
            <v>0</v>
          </cell>
          <cell r="H193">
            <v>0</v>
          </cell>
          <cell r="I193">
            <v>0</v>
          </cell>
          <cell r="J193">
            <v>0</v>
          </cell>
          <cell r="K193">
            <v>0</v>
          </cell>
        </row>
        <row r="194">
          <cell r="C194">
            <v>0</v>
          </cell>
          <cell r="D194">
            <v>0</v>
          </cell>
          <cell r="E194">
            <v>0</v>
          </cell>
          <cell r="F194">
            <v>0</v>
          </cell>
          <cell r="G194">
            <v>0</v>
          </cell>
          <cell r="H194">
            <v>0</v>
          </cell>
          <cell r="I194">
            <v>0</v>
          </cell>
          <cell r="J194">
            <v>0</v>
          </cell>
          <cell r="K194">
            <v>0</v>
          </cell>
        </row>
        <row r="195">
          <cell r="C195">
            <v>0</v>
          </cell>
          <cell r="D195">
            <v>0</v>
          </cell>
          <cell r="E195">
            <v>0</v>
          </cell>
          <cell r="F195">
            <v>0</v>
          </cell>
          <cell r="G195">
            <v>0</v>
          </cell>
          <cell r="H195">
            <v>0</v>
          </cell>
          <cell r="I195">
            <v>0</v>
          </cell>
          <cell r="J195">
            <v>0</v>
          </cell>
          <cell r="K195">
            <v>0</v>
          </cell>
        </row>
        <row r="196">
          <cell r="C196">
            <v>0</v>
          </cell>
          <cell r="D196">
            <v>0</v>
          </cell>
          <cell r="E196">
            <v>0</v>
          </cell>
          <cell r="F196">
            <v>0</v>
          </cell>
          <cell r="G196">
            <v>0</v>
          </cell>
          <cell r="H196">
            <v>0</v>
          </cell>
          <cell r="I196">
            <v>0</v>
          </cell>
          <cell r="J196">
            <v>0</v>
          </cell>
          <cell r="K196">
            <v>0</v>
          </cell>
        </row>
        <row r="197">
          <cell r="C197">
            <v>0</v>
          </cell>
          <cell r="D197">
            <v>0</v>
          </cell>
          <cell r="E197">
            <v>0</v>
          </cell>
          <cell r="F197">
            <v>0</v>
          </cell>
          <cell r="G197">
            <v>0</v>
          </cell>
          <cell r="H197">
            <v>0</v>
          </cell>
          <cell r="I197">
            <v>0</v>
          </cell>
          <cell r="J197">
            <v>0</v>
          </cell>
          <cell r="K197">
            <v>0</v>
          </cell>
        </row>
        <row r="198">
          <cell r="C198">
            <v>0</v>
          </cell>
          <cell r="D198">
            <v>0</v>
          </cell>
          <cell r="E198">
            <v>0</v>
          </cell>
          <cell r="F198">
            <v>0</v>
          </cell>
          <cell r="G198">
            <v>0</v>
          </cell>
          <cell r="H198">
            <v>0</v>
          </cell>
          <cell r="I198">
            <v>0</v>
          </cell>
          <cell r="J198">
            <v>0</v>
          </cell>
          <cell r="K198">
            <v>0</v>
          </cell>
        </row>
        <row r="199">
          <cell r="C199">
            <v>0</v>
          </cell>
          <cell r="D199">
            <v>0</v>
          </cell>
          <cell r="E199">
            <v>0</v>
          </cell>
          <cell r="F199">
            <v>0</v>
          </cell>
          <cell r="G199">
            <v>0</v>
          </cell>
          <cell r="H199">
            <v>0</v>
          </cell>
          <cell r="I199">
            <v>0</v>
          </cell>
          <cell r="J199">
            <v>0</v>
          </cell>
          <cell r="K199">
            <v>0</v>
          </cell>
        </row>
        <row r="200">
          <cell r="C200">
            <v>0</v>
          </cell>
          <cell r="D200">
            <v>0</v>
          </cell>
          <cell r="E200">
            <v>0</v>
          </cell>
          <cell r="F200">
            <v>0</v>
          </cell>
          <cell r="G200">
            <v>0</v>
          </cell>
          <cell r="H200">
            <v>0</v>
          </cell>
          <cell r="I200">
            <v>0</v>
          </cell>
          <cell r="J200">
            <v>0</v>
          </cell>
          <cell r="K200">
            <v>0</v>
          </cell>
        </row>
        <row r="201">
          <cell r="C201">
            <v>0</v>
          </cell>
          <cell r="D201">
            <v>0</v>
          </cell>
          <cell r="E201">
            <v>0</v>
          </cell>
          <cell r="F201">
            <v>0</v>
          </cell>
          <cell r="G201">
            <v>0</v>
          </cell>
          <cell r="H201">
            <v>0</v>
          </cell>
          <cell r="I201">
            <v>0</v>
          </cell>
          <cell r="J201">
            <v>0</v>
          </cell>
          <cell r="K201">
            <v>0</v>
          </cell>
        </row>
        <row r="202">
          <cell r="C202">
            <v>0</v>
          </cell>
          <cell r="D202">
            <v>0</v>
          </cell>
          <cell r="E202">
            <v>0</v>
          </cell>
          <cell r="F202">
            <v>0</v>
          </cell>
          <cell r="G202">
            <v>0</v>
          </cell>
          <cell r="H202">
            <v>0</v>
          </cell>
          <cell r="I202">
            <v>0</v>
          </cell>
          <cell r="J202">
            <v>0</v>
          </cell>
          <cell r="K202">
            <v>0</v>
          </cell>
        </row>
        <row r="203">
          <cell r="C203">
            <v>0</v>
          </cell>
          <cell r="D203">
            <v>0</v>
          </cell>
          <cell r="E203">
            <v>0</v>
          </cell>
          <cell r="F203">
            <v>0</v>
          </cell>
          <cell r="G203">
            <v>0</v>
          </cell>
          <cell r="H203">
            <v>0</v>
          </cell>
          <cell r="I203">
            <v>0</v>
          </cell>
          <cell r="J203">
            <v>0</v>
          </cell>
          <cell r="K203">
            <v>0</v>
          </cell>
        </row>
        <row r="204">
          <cell r="C204">
            <v>0</v>
          </cell>
          <cell r="D204">
            <v>0</v>
          </cell>
          <cell r="E204">
            <v>0</v>
          </cell>
          <cell r="F204">
            <v>0</v>
          </cell>
          <cell r="G204">
            <v>0</v>
          </cell>
          <cell r="H204">
            <v>0</v>
          </cell>
          <cell r="I204">
            <v>0</v>
          </cell>
          <cell r="J204">
            <v>0</v>
          </cell>
          <cell r="K204">
            <v>0</v>
          </cell>
        </row>
        <row r="205">
          <cell r="C205">
            <v>0</v>
          </cell>
          <cell r="D205">
            <v>0</v>
          </cell>
          <cell r="E205">
            <v>0</v>
          </cell>
          <cell r="F205">
            <v>0</v>
          </cell>
          <cell r="G205">
            <v>0</v>
          </cell>
          <cell r="H205">
            <v>0</v>
          </cell>
          <cell r="I205">
            <v>0</v>
          </cell>
          <cell r="J205">
            <v>0</v>
          </cell>
          <cell r="K205">
            <v>0</v>
          </cell>
        </row>
        <row r="206">
          <cell r="C206">
            <v>0</v>
          </cell>
          <cell r="D206">
            <v>0</v>
          </cell>
          <cell r="E206">
            <v>0</v>
          </cell>
          <cell r="F206">
            <v>0</v>
          </cell>
          <cell r="G206">
            <v>0</v>
          </cell>
          <cell r="H206">
            <v>0</v>
          </cell>
          <cell r="I206">
            <v>0</v>
          </cell>
          <cell r="J206">
            <v>0</v>
          </cell>
          <cell r="K206">
            <v>0</v>
          </cell>
        </row>
        <row r="207">
          <cell r="C207">
            <v>0</v>
          </cell>
          <cell r="D207">
            <v>0</v>
          </cell>
          <cell r="E207">
            <v>0</v>
          </cell>
          <cell r="F207">
            <v>0</v>
          </cell>
          <cell r="G207">
            <v>0</v>
          </cell>
          <cell r="H207">
            <v>0</v>
          </cell>
          <cell r="I207">
            <v>0</v>
          </cell>
          <cell r="J207">
            <v>0</v>
          </cell>
          <cell r="K207">
            <v>0</v>
          </cell>
        </row>
        <row r="208">
          <cell r="C208">
            <v>0</v>
          </cell>
          <cell r="D208">
            <v>0</v>
          </cell>
          <cell r="E208">
            <v>0</v>
          </cell>
          <cell r="F208">
            <v>0</v>
          </cell>
          <cell r="G208">
            <v>0</v>
          </cell>
          <cell r="H208">
            <v>0</v>
          </cell>
          <cell r="I208">
            <v>0</v>
          </cell>
          <cell r="J208">
            <v>0</v>
          </cell>
          <cell r="K208">
            <v>0</v>
          </cell>
        </row>
        <row r="209">
          <cell r="C209">
            <v>0</v>
          </cell>
          <cell r="D209">
            <v>0</v>
          </cell>
          <cell r="E209">
            <v>0</v>
          </cell>
          <cell r="F209">
            <v>0</v>
          </cell>
          <cell r="G209">
            <v>0</v>
          </cell>
          <cell r="H209">
            <v>0</v>
          </cell>
          <cell r="I209">
            <v>0</v>
          </cell>
          <cell r="J209">
            <v>0</v>
          </cell>
          <cell r="K209">
            <v>0</v>
          </cell>
        </row>
        <row r="210">
          <cell r="C210">
            <v>0</v>
          </cell>
          <cell r="D210">
            <v>0</v>
          </cell>
          <cell r="E210">
            <v>0</v>
          </cell>
          <cell r="F210">
            <v>0</v>
          </cell>
          <cell r="G210">
            <v>0</v>
          </cell>
          <cell r="H210">
            <v>0</v>
          </cell>
          <cell r="I210">
            <v>0</v>
          </cell>
          <cell r="J210">
            <v>0</v>
          </cell>
          <cell r="K210">
            <v>0</v>
          </cell>
        </row>
        <row r="211">
          <cell r="C211">
            <v>0</v>
          </cell>
          <cell r="D211">
            <v>0</v>
          </cell>
          <cell r="E211">
            <v>0</v>
          </cell>
          <cell r="F211">
            <v>0</v>
          </cell>
          <cell r="G211">
            <v>0</v>
          </cell>
          <cell r="H211">
            <v>0</v>
          </cell>
          <cell r="I211">
            <v>0</v>
          </cell>
          <cell r="J211">
            <v>0</v>
          </cell>
          <cell r="K211">
            <v>0</v>
          </cell>
        </row>
        <row r="212">
          <cell r="C212">
            <v>0</v>
          </cell>
          <cell r="D212">
            <v>0</v>
          </cell>
          <cell r="E212">
            <v>0</v>
          </cell>
          <cell r="F212">
            <v>0</v>
          </cell>
          <cell r="G212">
            <v>0</v>
          </cell>
          <cell r="H212">
            <v>0</v>
          </cell>
          <cell r="I212">
            <v>0</v>
          </cell>
          <cell r="J212">
            <v>0</v>
          </cell>
          <cell r="K212">
            <v>0</v>
          </cell>
        </row>
        <row r="213">
          <cell r="C213">
            <v>0</v>
          </cell>
          <cell r="D213">
            <v>0</v>
          </cell>
          <cell r="E213">
            <v>0</v>
          </cell>
          <cell r="F213">
            <v>0</v>
          </cell>
          <cell r="G213">
            <v>0</v>
          </cell>
          <cell r="H213">
            <v>0</v>
          </cell>
          <cell r="I213">
            <v>0</v>
          </cell>
          <cell r="J213">
            <v>0</v>
          </cell>
          <cell r="K213">
            <v>0</v>
          </cell>
        </row>
        <row r="214">
          <cell r="C214">
            <v>0</v>
          </cell>
          <cell r="D214">
            <v>0</v>
          </cell>
          <cell r="E214">
            <v>0</v>
          </cell>
          <cell r="F214">
            <v>0</v>
          </cell>
          <cell r="G214">
            <v>0</v>
          </cell>
          <cell r="H214">
            <v>0</v>
          </cell>
          <cell r="I214">
            <v>0</v>
          </cell>
          <cell r="J214">
            <v>0</v>
          </cell>
          <cell r="K214">
            <v>0</v>
          </cell>
        </row>
        <row r="215">
          <cell r="C215">
            <v>0</v>
          </cell>
          <cell r="D215">
            <v>0</v>
          </cell>
          <cell r="E215">
            <v>0</v>
          </cell>
          <cell r="F215">
            <v>0</v>
          </cell>
          <cell r="G215">
            <v>0</v>
          </cell>
          <cell r="H215">
            <v>0</v>
          </cell>
          <cell r="I215">
            <v>0</v>
          </cell>
          <cell r="J215">
            <v>0</v>
          </cell>
          <cell r="K215">
            <v>0</v>
          </cell>
        </row>
        <row r="216">
          <cell r="C216">
            <v>0</v>
          </cell>
          <cell r="D216">
            <v>0</v>
          </cell>
          <cell r="E216">
            <v>0</v>
          </cell>
          <cell r="F216">
            <v>0</v>
          </cell>
          <cell r="G216">
            <v>0</v>
          </cell>
          <cell r="H216">
            <v>0</v>
          </cell>
          <cell r="I216">
            <v>0</v>
          </cell>
          <cell r="J216">
            <v>0</v>
          </cell>
          <cell r="K216">
            <v>0</v>
          </cell>
        </row>
        <row r="217">
          <cell r="C217">
            <v>0</v>
          </cell>
          <cell r="D217">
            <v>0</v>
          </cell>
          <cell r="E217">
            <v>0</v>
          </cell>
          <cell r="F217">
            <v>0</v>
          </cell>
          <cell r="G217">
            <v>0</v>
          </cell>
          <cell r="H217">
            <v>0</v>
          </cell>
          <cell r="I217">
            <v>0</v>
          </cell>
          <cell r="J217">
            <v>0</v>
          </cell>
          <cell r="K217">
            <v>0</v>
          </cell>
        </row>
        <row r="218">
          <cell r="C218">
            <v>0</v>
          </cell>
          <cell r="D218">
            <v>0</v>
          </cell>
          <cell r="E218">
            <v>0</v>
          </cell>
          <cell r="F218">
            <v>0</v>
          </cell>
          <cell r="G218">
            <v>0</v>
          </cell>
          <cell r="H218">
            <v>0</v>
          </cell>
          <cell r="I218">
            <v>0</v>
          </cell>
          <cell r="J218">
            <v>0</v>
          </cell>
          <cell r="K218">
            <v>0</v>
          </cell>
        </row>
        <row r="219">
          <cell r="C219">
            <v>0</v>
          </cell>
          <cell r="D219">
            <v>0</v>
          </cell>
          <cell r="E219">
            <v>0</v>
          </cell>
          <cell r="F219">
            <v>0</v>
          </cell>
          <cell r="G219">
            <v>0</v>
          </cell>
          <cell r="H219">
            <v>0</v>
          </cell>
          <cell r="I219">
            <v>0</v>
          </cell>
          <cell r="J219">
            <v>0</v>
          </cell>
          <cell r="K219">
            <v>0</v>
          </cell>
        </row>
        <row r="220">
          <cell r="C220">
            <v>0</v>
          </cell>
          <cell r="D220">
            <v>0</v>
          </cell>
          <cell r="E220">
            <v>0</v>
          </cell>
          <cell r="F220">
            <v>0</v>
          </cell>
          <cell r="G220">
            <v>0</v>
          </cell>
          <cell r="H220">
            <v>0</v>
          </cell>
          <cell r="I220">
            <v>0</v>
          </cell>
          <cell r="J220">
            <v>0</v>
          </cell>
          <cell r="K220">
            <v>0</v>
          </cell>
        </row>
        <row r="221">
          <cell r="C221">
            <v>0</v>
          </cell>
          <cell r="D221">
            <v>0</v>
          </cell>
          <cell r="E221">
            <v>0</v>
          </cell>
          <cell r="F221">
            <v>0</v>
          </cell>
          <cell r="G221">
            <v>0</v>
          </cell>
          <cell r="H221">
            <v>0</v>
          </cell>
          <cell r="I221">
            <v>0</v>
          </cell>
          <cell r="J221">
            <v>0</v>
          </cell>
          <cell r="K221">
            <v>0</v>
          </cell>
        </row>
        <row r="222">
          <cell r="C222">
            <v>0</v>
          </cell>
          <cell r="D222">
            <v>0</v>
          </cell>
          <cell r="E222">
            <v>0</v>
          </cell>
          <cell r="F222">
            <v>0</v>
          </cell>
          <cell r="G222">
            <v>0</v>
          </cell>
          <cell r="H222">
            <v>0</v>
          </cell>
          <cell r="I222">
            <v>0</v>
          </cell>
          <cell r="J222">
            <v>0</v>
          </cell>
          <cell r="K222">
            <v>0</v>
          </cell>
        </row>
        <row r="223">
          <cell r="C223">
            <v>0</v>
          </cell>
          <cell r="D223">
            <v>0</v>
          </cell>
          <cell r="E223">
            <v>0</v>
          </cell>
          <cell r="F223">
            <v>0</v>
          </cell>
          <cell r="G223">
            <v>0</v>
          </cell>
          <cell r="H223">
            <v>0</v>
          </cell>
          <cell r="I223">
            <v>0</v>
          </cell>
          <cell r="J223">
            <v>0</v>
          </cell>
          <cell r="K223">
            <v>0</v>
          </cell>
        </row>
        <row r="224">
          <cell r="C224">
            <v>0</v>
          </cell>
          <cell r="D224">
            <v>0</v>
          </cell>
          <cell r="E224">
            <v>0</v>
          </cell>
          <cell r="F224">
            <v>0</v>
          </cell>
          <cell r="G224">
            <v>0</v>
          </cell>
          <cell r="H224">
            <v>0</v>
          </cell>
          <cell r="I224">
            <v>0</v>
          </cell>
          <cell r="J224">
            <v>0</v>
          </cell>
          <cell r="K224">
            <v>0</v>
          </cell>
        </row>
        <row r="225">
          <cell r="C225">
            <v>0</v>
          </cell>
          <cell r="D225">
            <v>0</v>
          </cell>
          <cell r="E225">
            <v>0</v>
          </cell>
          <cell r="F225">
            <v>0</v>
          </cell>
          <cell r="G225">
            <v>0</v>
          </cell>
          <cell r="H225">
            <v>0</v>
          </cell>
          <cell r="I225">
            <v>0</v>
          </cell>
          <cell r="J225">
            <v>0</v>
          </cell>
          <cell r="K225">
            <v>0</v>
          </cell>
        </row>
        <row r="226">
          <cell r="C226">
            <v>0</v>
          </cell>
          <cell r="D226">
            <v>0</v>
          </cell>
          <cell r="E226">
            <v>0</v>
          </cell>
          <cell r="F226">
            <v>0</v>
          </cell>
          <cell r="G226">
            <v>0</v>
          </cell>
          <cell r="H226">
            <v>0</v>
          </cell>
          <cell r="I226">
            <v>0</v>
          </cell>
          <cell r="J226">
            <v>0</v>
          </cell>
          <cell r="K226">
            <v>0</v>
          </cell>
        </row>
        <row r="227">
          <cell r="C227">
            <v>0</v>
          </cell>
          <cell r="D227">
            <v>0</v>
          </cell>
          <cell r="E227">
            <v>0</v>
          </cell>
          <cell r="F227">
            <v>0</v>
          </cell>
          <cell r="G227">
            <v>0</v>
          </cell>
          <cell r="H227">
            <v>0</v>
          </cell>
          <cell r="I227">
            <v>0</v>
          </cell>
          <cell r="J227">
            <v>0</v>
          </cell>
          <cell r="K227">
            <v>0</v>
          </cell>
        </row>
        <row r="228">
          <cell r="C228">
            <v>0</v>
          </cell>
          <cell r="D228">
            <v>0</v>
          </cell>
          <cell r="E228">
            <v>0</v>
          </cell>
          <cell r="F228">
            <v>0</v>
          </cell>
          <cell r="G228">
            <v>0</v>
          </cell>
          <cell r="H228">
            <v>0</v>
          </cell>
          <cell r="I228">
            <v>0</v>
          </cell>
          <cell r="J228">
            <v>0</v>
          </cell>
          <cell r="K228">
            <v>0</v>
          </cell>
        </row>
        <row r="229">
          <cell r="C229">
            <v>0</v>
          </cell>
          <cell r="D229">
            <v>0</v>
          </cell>
          <cell r="E229">
            <v>0</v>
          </cell>
          <cell r="F229">
            <v>0</v>
          </cell>
          <cell r="G229">
            <v>0</v>
          </cell>
          <cell r="H229">
            <v>0</v>
          </cell>
          <cell r="I229">
            <v>0</v>
          </cell>
          <cell r="J229">
            <v>0</v>
          </cell>
          <cell r="K229">
            <v>0</v>
          </cell>
        </row>
        <row r="230">
          <cell r="C230">
            <v>0</v>
          </cell>
          <cell r="D230">
            <v>0</v>
          </cell>
          <cell r="E230">
            <v>0</v>
          </cell>
          <cell r="F230">
            <v>0</v>
          </cell>
          <cell r="G230">
            <v>0</v>
          </cell>
          <cell r="H230">
            <v>0</v>
          </cell>
          <cell r="I230">
            <v>0</v>
          </cell>
          <cell r="J230">
            <v>0</v>
          </cell>
          <cell r="K230">
            <v>0</v>
          </cell>
        </row>
        <row r="231">
          <cell r="C231">
            <v>0</v>
          </cell>
          <cell r="D231">
            <v>0</v>
          </cell>
          <cell r="E231">
            <v>0</v>
          </cell>
          <cell r="F231">
            <v>0</v>
          </cell>
          <cell r="G231">
            <v>0</v>
          </cell>
          <cell r="H231">
            <v>0</v>
          </cell>
          <cell r="I231">
            <v>0</v>
          </cell>
          <cell r="J231">
            <v>0</v>
          </cell>
          <cell r="K231">
            <v>0</v>
          </cell>
        </row>
        <row r="232">
          <cell r="C232">
            <v>0</v>
          </cell>
          <cell r="D232">
            <v>0</v>
          </cell>
          <cell r="E232">
            <v>0</v>
          </cell>
          <cell r="F232">
            <v>0</v>
          </cell>
          <cell r="G232">
            <v>0</v>
          </cell>
          <cell r="H232">
            <v>0</v>
          </cell>
          <cell r="I232">
            <v>0</v>
          </cell>
          <cell r="J232">
            <v>0</v>
          </cell>
          <cell r="K232">
            <v>0</v>
          </cell>
        </row>
        <row r="233">
          <cell r="C233">
            <v>0</v>
          </cell>
          <cell r="D233">
            <v>0</v>
          </cell>
          <cell r="E233">
            <v>0</v>
          </cell>
          <cell r="F233">
            <v>0</v>
          </cell>
          <cell r="G233">
            <v>0</v>
          </cell>
          <cell r="H233">
            <v>0</v>
          </cell>
          <cell r="I233">
            <v>0</v>
          </cell>
          <cell r="J233">
            <v>0</v>
          </cell>
          <cell r="K233">
            <v>0</v>
          </cell>
        </row>
        <row r="234">
          <cell r="C234">
            <v>0</v>
          </cell>
          <cell r="D234">
            <v>0</v>
          </cell>
          <cell r="E234">
            <v>0</v>
          </cell>
          <cell r="F234">
            <v>0</v>
          </cell>
          <cell r="G234">
            <v>0</v>
          </cell>
          <cell r="H234">
            <v>0</v>
          </cell>
          <cell r="I234">
            <v>0</v>
          </cell>
          <cell r="J234">
            <v>0</v>
          </cell>
          <cell r="K234">
            <v>0</v>
          </cell>
        </row>
        <row r="235">
          <cell r="C235">
            <v>0</v>
          </cell>
          <cell r="D235">
            <v>0</v>
          </cell>
          <cell r="E235">
            <v>0</v>
          </cell>
          <cell r="F235">
            <v>0</v>
          </cell>
          <cell r="G235">
            <v>0</v>
          </cell>
          <cell r="H235">
            <v>0</v>
          </cell>
          <cell r="I235">
            <v>0</v>
          </cell>
          <cell r="J235">
            <v>0</v>
          </cell>
          <cell r="K235">
            <v>0</v>
          </cell>
        </row>
        <row r="236">
          <cell r="C236">
            <v>0</v>
          </cell>
          <cell r="D236">
            <v>0</v>
          </cell>
          <cell r="E236">
            <v>0</v>
          </cell>
          <cell r="F236">
            <v>0</v>
          </cell>
          <cell r="G236">
            <v>0</v>
          </cell>
          <cell r="H236">
            <v>0</v>
          </cell>
          <cell r="I236">
            <v>0</v>
          </cell>
          <cell r="J236">
            <v>0</v>
          </cell>
          <cell r="K236">
            <v>0</v>
          </cell>
        </row>
        <row r="237">
          <cell r="C237">
            <v>0</v>
          </cell>
          <cell r="D237">
            <v>0</v>
          </cell>
          <cell r="E237">
            <v>0</v>
          </cell>
          <cell r="F237">
            <v>0</v>
          </cell>
          <cell r="G237">
            <v>0</v>
          </cell>
          <cell r="H237">
            <v>0</v>
          </cell>
          <cell r="I237">
            <v>0</v>
          </cell>
          <cell r="J237">
            <v>0</v>
          </cell>
          <cell r="K237">
            <v>0</v>
          </cell>
        </row>
        <row r="238">
          <cell r="C238">
            <v>0</v>
          </cell>
          <cell r="D238">
            <v>0</v>
          </cell>
          <cell r="E238">
            <v>0</v>
          </cell>
          <cell r="F238">
            <v>0</v>
          </cell>
          <cell r="G238">
            <v>0</v>
          </cell>
          <cell r="H238">
            <v>0</v>
          </cell>
          <cell r="I238">
            <v>0</v>
          </cell>
          <cell r="J238">
            <v>0</v>
          </cell>
          <cell r="K238">
            <v>0</v>
          </cell>
        </row>
        <row r="239">
          <cell r="C239">
            <v>0</v>
          </cell>
          <cell r="D239">
            <v>0</v>
          </cell>
          <cell r="E239">
            <v>0</v>
          </cell>
          <cell r="F239">
            <v>0</v>
          </cell>
          <cell r="G239">
            <v>0</v>
          </cell>
          <cell r="H239">
            <v>0</v>
          </cell>
          <cell r="I239">
            <v>0</v>
          </cell>
          <cell r="J239">
            <v>0</v>
          </cell>
          <cell r="K239">
            <v>0</v>
          </cell>
        </row>
        <row r="240">
          <cell r="C240">
            <v>0</v>
          </cell>
          <cell r="D240">
            <v>0</v>
          </cell>
          <cell r="E240">
            <v>0</v>
          </cell>
          <cell r="F240">
            <v>0</v>
          </cell>
          <cell r="G240">
            <v>0</v>
          </cell>
          <cell r="H240">
            <v>0</v>
          </cell>
          <cell r="I240">
            <v>0</v>
          </cell>
          <cell r="J240">
            <v>0</v>
          </cell>
          <cell r="K240">
            <v>0</v>
          </cell>
        </row>
        <row r="241">
          <cell r="C241">
            <v>0</v>
          </cell>
          <cell r="D241">
            <v>0</v>
          </cell>
          <cell r="E241">
            <v>0</v>
          </cell>
          <cell r="F241">
            <v>0</v>
          </cell>
          <cell r="G241">
            <v>0</v>
          </cell>
          <cell r="H241">
            <v>0</v>
          </cell>
          <cell r="I241">
            <v>0</v>
          </cell>
          <cell r="J241">
            <v>0</v>
          </cell>
          <cell r="K241">
            <v>0</v>
          </cell>
        </row>
        <row r="242">
          <cell r="C242">
            <v>0</v>
          </cell>
          <cell r="D242">
            <v>0</v>
          </cell>
          <cell r="E242">
            <v>0</v>
          </cell>
          <cell r="F242">
            <v>0</v>
          </cell>
          <cell r="G242">
            <v>0</v>
          </cell>
          <cell r="H242">
            <v>0</v>
          </cell>
          <cell r="I242">
            <v>0</v>
          </cell>
          <cell r="J242">
            <v>0</v>
          </cell>
          <cell r="K242">
            <v>0</v>
          </cell>
        </row>
        <row r="243">
          <cell r="C243">
            <v>0</v>
          </cell>
          <cell r="D243">
            <v>0</v>
          </cell>
          <cell r="E243">
            <v>0</v>
          </cell>
          <cell r="F243">
            <v>0</v>
          </cell>
          <cell r="G243">
            <v>0</v>
          </cell>
          <cell r="H243">
            <v>0</v>
          </cell>
          <cell r="I243">
            <v>0</v>
          </cell>
          <cell r="J243">
            <v>0</v>
          </cell>
          <cell r="K243">
            <v>0</v>
          </cell>
        </row>
        <row r="244">
          <cell r="C244">
            <v>0</v>
          </cell>
          <cell r="D244">
            <v>0</v>
          </cell>
          <cell r="E244">
            <v>0</v>
          </cell>
          <cell r="F244">
            <v>0</v>
          </cell>
          <cell r="G244">
            <v>0</v>
          </cell>
          <cell r="H244">
            <v>0</v>
          </cell>
          <cell r="I244">
            <v>0</v>
          </cell>
          <cell r="J244">
            <v>0</v>
          </cell>
          <cell r="K244">
            <v>0</v>
          </cell>
        </row>
        <row r="245">
          <cell r="C245">
            <v>0</v>
          </cell>
          <cell r="D245">
            <v>0</v>
          </cell>
          <cell r="E245">
            <v>0</v>
          </cell>
          <cell r="F245">
            <v>0</v>
          </cell>
          <cell r="G245">
            <v>0</v>
          </cell>
          <cell r="H245">
            <v>0</v>
          </cell>
          <cell r="I245">
            <v>0</v>
          </cell>
          <cell r="J245">
            <v>0</v>
          </cell>
          <cell r="K245">
            <v>0</v>
          </cell>
        </row>
        <row r="246">
          <cell r="C246">
            <v>0</v>
          </cell>
          <cell r="D246">
            <v>0</v>
          </cell>
          <cell r="E246">
            <v>0</v>
          </cell>
          <cell r="F246">
            <v>0</v>
          </cell>
          <cell r="G246">
            <v>0</v>
          </cell>
          <cell r="H246">
            <v>0</v>
          </cell>
          <cell r="I246">
            <v>0</v>
          </cell>
          <cell r="J246">
            <v>0</v>
          </cell>
          <cell r="K246">
            <v>0</v>
          </cell>
        </row>
        <row r="247">
          <cell r="C247">
            <v>0</v>
          </cell>
          <cell r="D247">
            <v>0</v>
          </cell>
          <cell r="E247">
            <v>0</v>
          </cell>
          <cell r="F247">
            <v>0</v>
          </cell>
          <cell r="G247">
            <v>0</v>
          </cell>
          <cell r="H247">
            <v>0</v>
          </cell>
          <cell r="I247">
            <v>0</v>
          </cell>
          <cell r="J247">
            <v>0</v>
          </cell>
          <cell r="K247">
            <v>0</v>
          </cell>
        </row>
        <row r="248">
          <cell r="C248">
            <v>0</v>
          </cell>
          <cell r="D248">
            <v>0</v>
          </cell>
          <cell r="E248">
            <v>0</v>
          </cell>
          <cell r="F248">
            <v>0</v>
          </cell>
          <cell r="G248">
            <v>0</v>
          </cell>
          <cell r="H248">
            <v>0</v>
          </cell>
          <cell r="I248">
            <v>0</v>
          </cell>
          <cell r="J248">
            <v>0</v>
          </cell>
          <cell r="K248">
            <v>0</v>
          </cell>
        </row>
        <row r="249">
          <cell r="C249">
            <v>0</v>
          </cell>
          <cell r="D249">
            <v>0</v>
          </cell>
          <cell r="E249">
            <v>0</v>
          </cell>
          <cell r="F249">
            <v>0</v>
          </cell>
          <cell r="G249">
            <v>0</v>
          </cell>
          <cell r="H249">
            <v>0</v>
          </cell>
          <cell r="I249">
            <v>0</v>
          </cell>
          <cell r="J249">
            <v>0</v>
          </cell>
          <cell r="K249">
            <v>0</v>
          </cell>
        </row>
        <row r="250">
          <cell r="C250">
            <v>0</v>
          </cell>
          <cell r="D250">
            <v>0</v>
          </cell>
          <cell r="E250">
            <v>0</v>
          </cell>
          <cell r="F250">
            <v>0</v>
          </cell>
          <cell r="G250">
            <v>0</v>
          </cell>
          <cell r="H250">
            <v>0</v>
          </cell>
          <cell r="I250">
            <v>0</v>
          </cell>
          <cell r="J250">
            <v>0</v>
          </cell>
          <cell r="K250">
            <v>0</v>
          </cell>
        </row>
        <row r="251">
          <cell r="C251">
            <v>0</v>
          </cell>
          <cell r="D251">
            <v>0</v>
          </cell>
          <cell r="E251">
            <v>0</v>
          </cell>
          <cell r="F251">
            <v>0</v>
          </cell>
          <cell r="G251">
            <v>0</v>
          </cell>
          <cell r="H251">
            <v>0</v>
          </cell>
          <cell r="I251">
            <v>0</v>
          </cell>
          <cell r="J251">
            <v>0</v>
          </cell>
          <cell r="K251">
            <v>0</v>
          </cell>
        </row>
        <row r="252">
          <cell r="C252">
            <v>0</v>
          </cell>
          <cell r="D252">
            <v>0</v>
          </cell>
          <cell r="E252">
            <v>0</v>
          </cell>
          <cell r="F252">
            <v>0</v>
          </cell>
          <cell r="G252">
            <v>0</v>
          </cell>
          <cell r="H252">
            <v>0</v>
          </cell>
          <cell r="I252">
            <v>0</v>
          </cell>
          <cell r="J252">
            <v>0</v>
          </cell>
          <cell r="K252">
            <v>0</v>
          </cell>
        </row>
        <row r="253">
          <cell r="C253">
            <v>0</v>
          </cell>
          <cell r="D253">
            <v>0</v>
          </cell>
          <cell r="E253">
            <v>0</v>
          </cell>
          <cell r="F253">
            <v>0</v>
          </cell>
          <cell r="G253">
            <v>0</v>
          </cell>
          <cell r="H253">
            <v>0</v>
          </cell>
          <cell r="I253">
            <v>0</v>
          </cell>
          <cell r="J253">
            <v>0</v>
          </cell>
          <cell r="K253">
            <v>0</v>
          </cell>
        </row>
        <row r="254">
          <cell r="C254">
            <v>0</v>
          </cell>
          <cell r="D254">
            <v>0</v>
          </cell>
          <cell r="E254">
            <v>0</v>
          </cell>
          <cell r="F254">
            <v>0</v>
          </cell>
          <cell r="G254">
            <v>0</v>
          </cell>
          <cell r="H254">
            <v>0</v>
          </cell>
          <cell r="I254">
            <v>0</v>
          </cell>
          <cell r="J254">
            <v>0</v>
          </cell>
          <cell r="K254">
            <v>0</v>
          </cell>
        </row>
        <row r="255">
          <cell r="C255">
            <v>0</v>
          </cell>
          <cell r="D255">
            <v>0</v>
          </cell>
          <cell r="E255">
            <v>0</v>
          </cell>
          <cell r="F255">
            <v>0</v>
          </cell>
          <cell r="G255">
            <v>0</v>
          </cell>
          <cell r="H255">
            <v>0</v>
          </cell>
          <cell r="I255">
            <v>0</v>
          </cell>
          <cell r="J255">
            <v>0</v>
          </cell>
          <cell r="K255">
            <v>0</v>
          </cell>
        </row>
        <row r="256">
          <cell r="C256">
            <v>0</v>
          </cell>
          <cell r="D256">
            <v>0</v>
          </cell>
          <cell r="E256">
            <v>0</v>
          </cell>
          <cell r="F256">
            <v>0</v>
          </cell>
          <cell r="G256">
            <v>0</v>
          </cell>
          <cell r="H256">
            <v>0</v>
          </cell>
          <cell r="I256">
            <v>0</v>
          </cell>
          <cell r="J256">
            <v>0</v>
          </cell>
          <cell r="K256">
            <v>0</v>
          </cell>
        </row>
        <row r="257">
          <cell r="C257">
            <v>0</v>
          </cell>
          <cell r="D257">
            <v>0</v>
          </cell>
          <cell r="E257">
            <v>0</v>
          </cell>
          <cell r="F257">
            <v>0</v>
          </cell>
          <cell r="G257">
            <v>0</v>
          </cell>
          <cell r="H257">
            <v>0</v>
          </cell>
          <cell r="I257">
            <v>0</v>
          </cell>
          <cell r="J257">
            <v>0</v>
          </cell>
          <cell r="K257">
            <v>0</v>
          </cell>
        </row>
        <row r="258">
          <cell r="C258">
            <v>0</v>
          </cell>
          <cell r="D258">
            <v>0</v>
          </cell>
          <cell r="E258">
            <v>0</v>
          </cell>
          <cell r="F258">
            <v>0</v>
          </cell>
          <cell r="G258">
            <v>0</v>
          </cell>
          <cell r="H258">
            <v>0</v>
          </cell>
          <cell r="I258">
            <v>0</v>
          </cell>
          <cell r="J258">
            <v>0</v>
          </cell>
          <cell r="K258">
            <v>0</v>
          </cell>
        </row>
        <row r="259">
          <cell r="C259">
            <v>0</v>
          </cell>
          <cell r="D259">
            <v>0</v>
          </cell>
          <cell r="E259">
            <v>0</v>
          </cell>
          <cell r="F259">
            <v>0</v>
          </cell>
          <cell r="G259">
            <v>0</v>
          </cell>
          <cell r="H259">
            <v>0</v>
          </cell>
          <cell r="I259">
            <v>0</v>
          </cell>
          <cell r="J259">
            <v>0</v>
          </cell>
          <cell r="K259">
            <v>0</v>
          </cell>
        </row>
        <row r="260">
          <cell r="C260">
            <v>0</v>
          </cell>
          <cell r="D260">
            <v>0</v>
          </cell>
          <cell r="E260">
            <v>0</v>
          </cell>
          <cell r="F260">
            <v>0</v>
          </cell>
          <cell r="G260">
            <v>0</v>
          </cell>
          <cell r="H260">
            <v>0</v>
          </cell>
          <cell r="I260">
            <v>0</v>
          </cell>
          <cell r="J260">
            <v>0</v>
          </cell>
          <cell r="K260">
            <v>0</v>
          </cell>
        </row>
        <row r="261">
          <cell r="C261">
            <v>0</v>
          </cell>
          <cell r="D261">
            <v>0</v>
          </cell>
          <cell r="E261">
            <v>0</v>
          </cell>
          <cell r="F261">
            <v>0</v>
          </cell>
          <cell r="G261">
            <v>0</v>
          </cell>
          <cell r="H261">
            <v>0</v>
          </cell>
          <cell r="I261">
            <v>0</v>
          </cell>
          <cell r="J261">
            <v>0</v>
          </cell>
          <cell r="K261">
            <v>0</v>
          </cell>
        </row>
        <row r="262">
          <cell r="C262">
            <v>0</v>
          </cell>
          <cell r="D262">
            <v>0</v>
          </cell>
          <cell r="E262">
            <v>0</v>
          </cell>
          <cell r="F262">
            <v>0</v>
          </cell>
          <cell r="G262">
            <v>0</v>
          </cell>
          <cell r="H262">
            <v>0</v>
          </cell>
          <cell r="I262">
            <v>0</v>
          </cell>
          <cell r="J262">
            <v>0</v>
          </cell>
          <cell r="K262">
            <v>0</v>
          </cell>
        </row>
        <row r="263">
          <cell r="C263">
            <v>0</v>
          </cell>
          <cell r="D263">
            <v>0</v>
          </cell>
          <cell r="E263">
            <v>0</v>
          </cell>
          <cell r="F263">
            <v>0</v>
          </cell>
          <cell r="G263">
            <v>0</v>
          </cell>
          <cell r="H263">
            <v>0</v>
          </cell>
          <cell r="I263">
            <v>0</v>
          </cell>
          <cell r="J263">
            <v>0</v>
          </cell>
          <cell r="K263">
            <v>0</v>
          </cell>
        </row>
        <row r="264">
          <cell r="C264">
            <v>0</v>
          </cell>
          <cell r="D264">
            <v>0</v>
          </cell>
          <cell r="E264">
            <v>0</v>
          </cell>
          <cell r="F264">
            <v>0</v>
          </cell>
          <cell r="G264">
            <v>0</v>
          </cell>
          <cell r="H264">
            <v>0</v>
          </cell>
          <cell r="I264">
            <v>0</v>
          </cell>
          <cell r="J264">
            <v>0</v>
          </cell>
          <cell r="K264">
            <v>0</v>
          </cell>
        </row>
        <row r="265">
          <cell r="C265">
            <v>0</v>
          </cell>
          <cell r="D265">
            <v>0</v>
          </cell>
          <cell r="E265">
            <v>0</v>
          </cell>
          <cell r="F265">
            <v>0</v>
          </cell>
          <cell r="G265">
            <v>0</v>
          </cell>
          <cell r="H265">
            <v>0</v>
          </cell>
          <cell r="I265">
            <v>0</v>
          </cell>
          <cell r="J265">
            <v>0</v>
          </cell>
          <cell r="K265">
            <v>0</v>
          </cell>
        </row>
        <row r="266">
          <cell r="C266">
            <v>0</v>
          </cell>
          <cell r="D266">
            <v>0</v>
          </cell>
          <cell r="E266">
            <v>0</v>
          </cell>
          <cell r="F266">
            <v>0</v>
          </cell>
          <cell r="G266">
            <v>0</v>
          </cell>
          <cell r="H266">
            <v>0</v>
          </cell>
          <cell r="I266">
            <v>0</v>
          </cell>
          <cell r="J266">
            <v>0</v>
          </cell>
          <cell r="K266">
            <v>0</v>
          </cell>
        </row>
        <row r="267">
          <cell r="C267">
            <v>0</v>
          </cell>
          <cell r="D267">
            <v>0</v>
          </cell>
          <cell r="E267">
            <v>0</v>
          </cell>
          <cell r="F267">
            <v>0</v>
          </cell>
          <cell r="G267">
            <v>0</v>
          </cell>
          <cell r="H267">
            <v>0</v>
          </cell>
          <cell r="I267">
            <v>0</v>
          </cell>
          <cell r="J267">
            <v>0</v>
          </cell>
          <cell r="K267">
            <v>0</v>
          </cell>
        </row>
        <row r="268">
          <cell r="C268">
            <v>0</v>
          </cell>
          <cell r="D268">
            <v>0</v>
          </cell>
          <cell r="E268">
            <v>0</v>
          </cell>
          <cell r="F268">
            <v>0</v>
          </cell>
          <cell r="G268">
            <v>0</v>
          </cell>
          <cell r="H268">
            <v>0</v>
          </cell>
          <cell r="I268">
            <v>0</v>
          </cell>
          <cell r="J268">
            <v>0</v>
          </cell>
          <cell r="K268">
            <v>0</v>
          </cell>
        </row>
        <row r="269">
          <cell r="C269">
            <v>0</v>
          </cell>
          <cell r="D269">
            <v>0</v>
          </cell>
          <cell r="E269">
            <v>0</v>
          </cell>
          <cell r="F269">
            <v>0</v>
          </cell>
          <cell r="G269">
            <v>0</v>
          </cell>
          <cell r="H269">
            <v>0</v>
          </cell>
          <cell r="I269">
            <v>0</v>
          </cell>
          <cell r="J269">
            <v>0</v>
          </cell>
          <cell r="K269">
            <v>0</v>
          </cell>
        </row>
        <row r="270">
          <cell r="C270">
            <v>0</v>
          </cell>
          <cell r="D270">
            <v>0</v>
          </cell>
          <cell r="E270">
            <v>0</v>
          </cell>
          <cell r="F270">
            <v>0</v>
          </cell>
          <cell r="G270">
            <v>0</v>
          </cell>
          <cell r="H270">
            <v>0</v>
          </cell>
          <cell r="I270">
            <v>0</v>
          </cell>
          <cell r="J270">
            <v>0</v>
          </cell>
          <cell r="K270">
            <v>0</v>
          </cell>
        </row>
        <row r="271">
          <cell r="C271">
            <v>0</v>
          </cell>
          <cell r="D271">
            <v>0</v>
          </cell>
          <cell r="E271">
            <v>0</v>
          </cell>
          <cell r="F271">
            <v>0</v>
          </cell>
          <cell r="G271">
            <v>0</v>
          </cell>
          <cell r="H271">
            <v>0</v>
          </cell>
          <cell r="I271">
            <v>0</v>
          </cell>
          <cell r="J271">
            <v>0</v>
          </cell>
          <cell r="K271">
            <v>0</v>
          </cell>
        </row>
        <row r="272">
          <cell r="C272">
            <v>0</v>
          </cell>
          <cell r="D272">
            <v>0</v>
          </cell>
          <cell r="E272">
            <v>0</v>
          </cell>
          <cell r="F272">
            <v>0</v>
          </cell>
          <cell r="G272">
            <v>0</v>
          </cell>
          <cell r="H272">
            <v>0</v>
          </cell>
          <cell r="I272">
            <v>0</v>
          </cell>
          <cell r="J272">
            <v>0</v>
          </cell>
          <cell r="K272">
            <v>0</v>
          </cell>
        </row>
        <row r="273">
          <cell r="C273">
            <v>0</v>
          </cell>
          <cell r="D273">
            <v>0</v>
          </cell>
          <cell r="E273">
            <v>0</v>
          </cell>
          <cell r="F273">
            <v>0</v>
          </cell>
          <cell r="G273">
            <v>0</v>
          </cell>
          <cell r="H273">
            <v>0</v>
          </cell>
          <cell r="I273">
            <v>0</v>
          </cell>
          <cell r="J273">
            <v>0</v>
          </cell>
          <cell r="K273">
            <v>0</v>
          </cell>
        </row>
        <row r="274">
          <cell r="C274">
            <v>0</v>
          </cell>
          <cell r="D274">
            <v>0</v>
          </cell>
          <cell r="E274">
            <v>0</v>
          </cell>
          <cell r="F274">
            <v>0</v>
          </cell>
          <cell r="G274">
            <v>0</v>
          </cell>
          <cell r="H274">
            <v>0</v>
          </cell>
          <cell r="I274">
            <v>0</v>
          </cell>
          <cell r="J274">
            <v>0</v>
          </cell>
          <cell r="K274">
            <v>0</v>
          </cell>
        </row>
        <row r="275">
          <cell r="C275">
            <v>0</v>
          </cell>
          <cell r="D275">
            <v>0</v>
          </cell>
          <cell r="E275">
            <v>0</v>
          </cell>
          <cell r="F275">
            <v>0</v>
          </cell>
          <cell r="G275">
            <v>0</v>
          </cell>
          <cell r="H275">
            <v>0</v>
          </cell>
          <cell r="I275">
            <v>0</v>
          </cell>
          <cell r="J275">
            <v>0</v>
          </cell>
          <cell r="K275">
            <v>0</v>
          </cell>
        </row>
        <row r="276">
          <cell r="C276">
            <v>0</v>
          </cell>
          <cell r="D276">
            <v>0</v>
          </cell>
          <cell r="E276">
            <v>0</v>
          </cell>
          <cell r="F276">
            <v>0</v>
          </cell>
          <cell r="G276">
            <v>0</v>
          </cell>
          <cell r="H276">
            <v>0</v>
          </cell>
          <cell r="I276">
            <v>0</v>
          </cell>
          <cell r="J276">
            <v>0</v>
          </cell>
          <cell r="K276">
            <v>0</v>
          </cell>
        </row>
        <row r="277">
          <cell r="C277">
            <v>0</v>
          </cell>
          <cell r="D277">
            <v>0</v>
          </cell>
          <cell r="E277">
            <v>0</v>
          </cell>
          <cell r="F277">
            <v>0</v>
          </cell>
          <cell r="G277">
            <v>0</v>
          </cell>
          <cell r="H277">
            <v>0</v>
          </cell>
          <cell r="I277">
            <v>0</v>
          </cell>
          <cell r="J277">
            <v>0</v>
          </cell>
          <cell r="K277">
            <v>0</v>
          </cell>
        </row>
        <row r="278">
          <cell r="C278">
            <v>0</v>
          </cell>
          <cell r="D278">
            <v>0</v>
          </cell>
          <cell r="E278">
            <v>0</v>
          </cell>
          <cell r="F278">
            <v>0</v>
          </cell>
          <cell r="G278">
            <v>0</v>
          </cell>
          <cell r="H278">
            <v>0</v>
          </cell>
          <cell r="I278">
            <v>0</v>
          </cell>
          <cell r="J278">
            <v>0</v>
          </cell>
          <cell r="K278">
            <v>0</v>
          </cell>
        </row>
        <row r="279">
          <cell r="C279">
            <v>0</v>
          </cell>
          <cell r="D279">
            <v>0</v>
          </cell>
          <cell r="E279">
            <v>0</v>
          </cell>
          <cell r="F279">
            <v>0</v>
          </cell>
          <cell r="G279">
            <v>0</v>
          </cell>
          <cell r="H279">
            <v>0</v>
          </cell>
          <cell r="I279">
            <v>0</v>
          </cell>
          <cell r="J279">
            <v>0</v>
          </cell>
          <cell r="K279">
            <v>0</v>
          </cell>
        </row>
        <row r="280">
          <cell r="C280">
            <v>0</v>
          </cell>
          <cell r="D280">
            <v>0</v>
          </cell>
          <cell r="E280">
            <v>0</v>
          </cell>
          <cell r="F280">
            <v>0</v>
          </cell>
          <cell r="G280">
            <v>0</v>
          </cell>
          <cell r="H280">
            <v>0</v>
          </cell>
          <cell r="I280">
            <v>0</v>
          </cell>
          <cell r="J280">
            <v>0</v>
          </cell>
          <cell r="K280">
            <v>0</v>
          </cell>
        </row>
        <row r="281">
          <cell r="C281">
            <v>0</v>
          </cell>
          <cell r="D281">
            <v>0</v>
          </cell>
          <cell r="E281">
            <v>0</v>
          </cell>
          <cell r="F281">
            <v>0</v>
          </cell>
          <cell r="G281">
            <v>0</v>
          </cell>
          <cell r="H281">
            <v>0</v>
          </cell>
          <cell r="I281">
            <v>0</v>
          </cell>
          <cell r="J281">
            <v>0</v>
          </cell>
          <cell r="K281">
            <v>0</v>
          </cell>
        </row>
        <row r="282">
          <cell r="C282">
            <v>0</v>
          </cell>
          <cell r="D282">
            <v>0</v>
          </cell>
          <cell r="E282">
            <v>0</v>
          </cell>
          <cell r="F282">
            <v>0</v>
          </cell>
          <cell r="G282">
            <v>0</v>
          </cell>
          <cell r="H282">
            <v>0</v>
          </cell>
          <cell r="I282">
            <v>0</v>
          </cell>
          <cell r="J282">
            <v>0</v>
          </cell>
          <cell r="K282">
            <v>0</v>
          </cell>
        </row>
        <row r="283">
          <cell r="C283">
            <v>0</v>
          </cell>
          <cell r="D283">
            <v>0</v>
          </cell>
          <cell r="E283">
            <v>0</v>
          </cell>
          <cell r="F283">
            <v>0</v>
          </cell>
          <cell r="G283">
            <v>0</v>
          </cell>
          <cell r="H283">
            <v>0</v>
          </cell>
          <cell r="I283">
            <v>0</v>
          </cell>
          <cell r="J283">
            <v>0</v>
          </cell>
          <cell r="K283">
            <v>0</v>
          </cell>
        </row>
        <row r="284">
          <cell r="C284">
            <v>0</v>
          </cell>
          <cell r="D284">
            <v>0</v>
          </cell>
          <cell r="E284">
            <v>0</v>
          </cell>
          <cell r="F284">
            <v>0</v>
          </cell>
          <cell r="G284">
            <v>0</v>
          </cell>
          <cell r="H284">
            <v>0</v>
          </cell>
          <cell r="I284">
            <v>0</v>
          </cell>
          <cell r="J284">
            <v>0</v>
          </cell>
          <cell r="K284">
            <v>0</v>
          </cell>
        </row>
        <row r="285">
          <cell r="C285">
            <v>0</v>
          </cell>
          <cell r="D285">
            <v>0</v>
          </cell>
          <cell r="E285">
            <v>0</v>
          </cell>
          <cell r="F285">
            <v>0</v>
          </cell>
          <cell r="G285">
            <v>0</v>
          </cell>
          <cell r="H285">
            <v>0</v>
          </cell>
          <cell r="I285">
            <v>0</v>
          </cell>
          <cell r="J285">
            <v>0</v>
          </cell>
          <cell r="K285">
            <v>0</v>
          </cell>
        </row>
        <row r="286">
          <cell r="C286">
            <v>0</v>
          </cell>
          <cell r="D286">
            <v>0</v>
          </cell>
          <cell r="E286">
            <v>0</v>
          </cell>
          <cell r="F286">
            <v>0</v>
          </cell>
          <cell r="G286">
            <v>0</v>
          </cell>
          <cell r="H286">
            <v>0</v>
          </cell>
          <cell r="I286">
            <v>0</v>
          </cell>
          <cell r="J286">
            <v>0</v>
          </cell>
          <cell r="K286">
            <v>0</v>
          </cell>
        </row>
        <row r="287">
          <cell r="C287">
            <v>0</v>
          </cell>
          <cell r="D287">
            <v>0</v>
          </cell>
          <cell r="E287">
            <v>0</v>
          </cell>
          <cell r="F287">
            <v>0</v>
          </cell>
          <cell r="G287">
            <v>0</v>
          </cell>
          <cell r="H287">
            <v>0</v>
          </cell>
          <cell r="I287">
            <v>0</v>
          </cell>
          <cell r="J287">
            <v>0</v>
          </cell>
          <cell r="K287">
            <v>0</v>
          </cell>
        </row>
        <row r="288">
          <cell r="C288">
            <v>0</v>
          </cell>
          <cell r="D288">
            <v>0</v>
          </cell>
          <cell r="E288">
            <v>0</v>
          </cell>
          <cell r="F288">
            <v>0</v>
          </cell>
          <cell r="G288">
            <v>0</v>
          </cell>
          <cell r="H288">
            <v>0</v>
          </cell>
          <cell r="I288">
            <v>0</v>
          </cell>
          <cell r="J288">
            <v>0</v>
          </cell>
          <cell r="K288">
            <v>0</v>
          </cell>
        </row>
        <row r="289">
          <cell r="C289">
            <v>0</v>
          </cell>
          <cell r="D289">
            <v>0</v>
          </cell>
          <cell r="E289">
            <v>0</v>
          </cell>
          <cell r="F289">
            <v>0</v>
          </cell>
          <cell r="G289">
            <v>0</v>
          </cell>
          <cell r="H289">
            <v>0</v>
          </cell>
          <cell r="I289">
            <v>0</v>
          </cell>
          <cell r="J289">
            <v>0</v>
          </cell>
          <cell r="K289">
            <v>0</v>
          </cell>
        </row>
        <row r="290">
          <cell r="C290">
            <v>0</v>
          </cell>
          <cell r="D290">
            <v>0</v>
          </cell>
          <cell r="E290">
            <v>0</v>
          </cell>
          <cell r="F290">
            <v>0</v>
          </cell>
          <cell r="G290">
            <v>0</v>
          </cell>
          <cell r="H290">
            <v>0</v>
          </cell>
          <cell r="I290">
            <v>0</v>
          </cell>
          <cell r="J290">
            <v>0</v>
          </cell>
          <cell r="K290">
            <v>0</v>
          </cell>
        </row>
        <row r="291">
          <cell r="C291">
            <v>0</v>
          </cell>
          <cell r="D291">
            <v>0</v>
          </cell>
          <cell r="E291">
            <v>0</v>
          </cell>
          <cell r="F291">
            <v>0</v>
          </cell>
          <cell r="G291">
            <v>0</v>
          </cell>
          <cell r="H291">
            <v>0</v>
          </cell>
          <cell r="I291">
            <v>0</v>
          </cell>
          <cell r="J291">
            <v>0</v>
          </cell>
          <cell r="K291">
            <v>0</v>
          </cell>
        </row>
        <row r="292">
          <cell r="C292">
            <v>0</v>
          </cell>
          <cell r="D292">
            <v>0</v>
          </cell>
          <cell r="E292">
            <v>0</v>
          </cell>
          <cell r="F292">
            <v>0</v>
          </cell>
          <cell r="G292">
            <v>0</v>
          </cell>
          <cell r="H292">
            <v>0</v>
          </cell>
          <cell r="I292">
            <v>0</v>
          </cell>
          <cell r="J292">
            <v>0</v>
          </cell>
          <cell r="K292">
            <v>0</v>
          </cell>
        </row>
        <row r="293">
          <cell r="C293">
            <v>0</v>
          </cell>
          <cell r="D293">
            <v>0</v>
          </cell>
          <cell r="E293">
            <v>0</v>
          </cell>
          <cell r="F293">
            <v>0</v>
          </cell>
          <cell r="G293">
            <v>0</v>
          </cell>
          <cell r="H293">
            <v>0</v>
          </cell>
          <cell r="I293">
            <v>0</v>
          </cell>
          <cell r="J293">
            <v>0</v>
          </cell>
          <cell r="K293">
            <v>0</v>
          </cell>
        </row>
        <row r="294">
          <cell r="C294">
            <v>0</v>
          </cell>
          <cell r="D294">
            <v>0</v>
          </cell>
          <cell r="E294">
            <v>0</v>
          </cell>
          <cell r="F294">
            <v>0</v>
          </cell>
          <cell r="G294">
            <v>0</v>
          </cell>
          <cell r="H294">
            <v>0</v>
          </cell>
          <cell r="I294">
            <v>0</v>
          </cell>
          <cell r="J294">
            <v>0</v>
          </cell>
          <cell r="K294">
            <v>0</v>
          </cell>
        </row>
        <row r="295">
          <cell r="C295">
            <v>0</v>
          </cell>
          <cell r="D295">
            <v>0</v>
          </cell>
          <cell r="E295">
            <v>0</v>
          </cell>
          <cell r="F295">
            <v>0</v>
          </cell>
          <cell r="G295">
            <v>0</v>
          </cell>
          <cell r="H295">
            <v>0</v>
          </cell>
          <cell r="I295">
            <v>0</v>
          </cell>
          <cell r="J295">
            <v>0</v>
          </cell>
          <cell r="K295">
            <v>0</v>
          </cell>
        </row>
        <row r="296">
          <cell r="C296">
            <v>0</v>
          </cell>
          <cell r="D296">
            <v>0</v>
          </cell>
          <cell r="E296">
            <v>0</v>
          </cell>
          <cell r="F296">
            <v>0</v>
          </cell>
          <cell r="G296">
            <v>0</v>
          </cell>
          <cell r="H296">
            <v>0</v>
          </cell>
          <cell r="I296">
            <v>0</v>
          </cell>
          <cell r="J296">
            <v>0</v>
          </cell>
          <cell r="K296">
            <v>0</v>
          </cell>
        </row>
        <row r="297">
          <cell r="C297">
            <v>0</v>
          </cell>
          <cell r="D297">
            <v>0</v>
          </cell>
          <cell r="E297">
            <v>0</v>
          </cell>
          <cell r="F297">
            <v>0</v>
          </cell>
          <cell r="G297">
            <v>0</v>
          </cell>
          <cell r="H297">
            <v>0</v>
          </cell>
          <cell r="I297">
            <v>0</v>
          </cell>
          <cell r="J297">
            <v>0</v>
          </cell>
          <cell r="K297">
            <v>0</v>
          </cell>
        </row>
        <row r="298">
          <cell r="C298">
            <v>0</v>
          </cell>
          <cell r="D298">
            <v>0</v>
          </cell>
          <cell r="E298">
            <v>0</v>
          </cell>
          <cell r="F298">
            <v>0</v>
          </cell>
          <cell r="G298">
            <v>0</v>
          </cell>
          <cell r="H298">
            <v>0</v>
          </cell>
          <cell r="I298">
            <v>0</v>
          </cell>
          <cell r="J298">
            <v>0</v>
          </cell>
          <cell r="K298">
            <v>0</v>
          </cell>
        </row>
        <row r="299">
          <cell r="C299">
            <v>0</v>
          </cell>
          <cell r="D299">
            <v>0</v>
          </cell>
          <cell r="E299">
            <v>0</v>
          </cell>
          <cell r="F299">
            <v>0</v>
          </cell>
          <cell r="G299">
            <v>0</v>
          </cell>
          <cell r="H299">
            <v>0</v>
          </cell>
          <cell r="I299">
            <v>0</v>
          </cell>
          <cell r="J299">
            <v>0</v>
          </cell>
          <cell r="K299">
            <v>0</v>
          </cell>
        </row>
        <row r="300">
          <cell r="C300">
            <v>0</v>
          </cell>
          <cell r="D300">
            <v>0</v>
          </cell>
          <cell r="E300">
            <v>0</v>
          </cell>
          <cell r="F300">
            <v>0</v>
          </cell>
          <cell r="G300">
            <v>0</v>
          </cell>
          <cell r="H300">
            <v>0</v>
          </cell>
          <cell r="I300">
            <v>0</v>
          </cell>
          <cell r="J300">
            <v>0</v>
          </cell>
          <cell r="K300">
            <v>0</v>
          </cell>
        </row>
        <row r="301">
          <cell r="C301">
            <v>0</v>
          </cell>
          <cell r="D301">
            <v>0</v>
          </cell>
          <cell r="E301">
            <v>0</v>
          </cell>
          <cell r="F301">
            <v>0</v>
          </cell>
          <cell r="G301">
            <v>0</v>
          </cell>
          <cell r="H301">
            <v>0</v>
          </cell>
          <cell r="I301">
            <v>0</v>
          </cell>
          <cell r="J301">
            <v>0</v>
          </cell>
          <cell r="K301">
            <v>0</v>
          </cell>
        </row>
        <row r="302">
          <cell r="C302">
            <v>0</v>
          </cell>
          <cell r="D302">
            <v>0</v>
          </cell>
          <cell r="E302">
            <v>0</v>
          </cell>
          <cell r="F302">
            <v>0</v>
          </cell>
          <cell r="G302">
            <v>0</v>
          </cell>
          <cell r="H302">
            <v>0</v>
          </cell>
          <cell r="I302">
            <v>0</v>
          </cell>
          <cell r="J302">
            <v>0</v>
          </cell>
          <cell r="K302">
            <v>0</v>
          </cell>
        </row>
        <row r="303">
          <cell r="C303">
            <v>0</v>
          </cell>
          <cell r="D303">
            <v>0</v>
          </cell>
          <cell r="E303">
            <v>0</v>
          </cell>
          <cell r="F303">
            <v>0</v>
          </cell>
          <cell r="G303">
            <v>0</v>
          </cell>
          <cell r="H303">
            <v>0</v>
          </cell>
          <cell r="I303">
            <v>0</v>
          </cell>
          <cell r="J303">
            <v>0</v>
          </cell>
          <cell r="K303">
            <v>0</v>
          </cell>
        </row>
        <row r="304">
          <cell r="C304">
            <v>0</v>
          </cell>
          <cell r="D304">
            <v>0</v>
          </cell>
          <cell r="E304">
            <v>0</v>
          </cell>
          <cell r="F304">
            <v>0</v>
          </cell>
          <cell r="G304">
            <v>0</v>
          </cell>
          <cell r="H304">
            <v>0</v>
          </cell>
          <cell r="I304">
            <v>0</v>
          </cell>
          <cell r="J304">
            <v>0</v>
          </cell>
          <cell r="K304">
            <v>0</v>
          </cell>
        </row>
        <row r="305">
          <cell r="C305">
            <v>0</v>
          </cell>
          <cell r="D305">
            <v>0</v>
          </cell>
          <cell r="E305">
            <v>0</v>
          </cell>
          <cell r="F305">
            <v>0</v>
          </cell>
          <cell r="G305">
            <v>0</v>
          </cell>
          <cell r="H305">
            <v>0</v>
          </cell>
          <cell r="I305">
            <v>0</v>
          </cell>
          <cell r="J305">
            <v>0</v>
          </cell>
          <cell r="K305">
            <v>0</v>
          </cell>
        </row>
        <row r="306">
          <cell r="C306">
            <v>0</v>
          </cell>
          <cell r="D306">
            <v>0</v>
          </cell>
          <cell r="E306">
            <v>0</v>
          </cell>
          <cell r="F306">
            <v>0</v>
          </cell>
          <cell r="G306">
            <v>0</v>
          </cell>
          <cell r="H306">
            <v>0</v>
          </cell>
          <cell r="I306">
            <v>0</v>
          </cell>
          <cell r="J306">
            <v>0</v>
          </cell>
          <cell r="K306">
            <v>0</v>
          </cell>
        </row>
        <row r="307">
          <cell r="C307">
            <v>0</v>
          </cell>
          <cell r="D307">
            <v>0</v>
          </cell>
          <cell r="E307">
            <v>0</v>
          </cell>
          <cell r="F307">
            <v>0</v>
          </cell>
          <cell r="G307">
            <v>0</v>
          </cell>
          <cell r="H307">
            <v>0</v>
          </cell>
          <cell r="I307">
            <v>0</v>
          </cell>
          <cell r="J307">
            <v>0</v>
          </cell>
          <cell r="K307">
            <v>0</v>
          </cell>
        </row>
        <row r="308">
          <cell r="C308">
            <v>0</v>
          </cell>
          <cell r="D308">
            <v>0</v>
          </cell>
          <cell r="E308">
            <v>0</v>
          </cell>
          <cell r="F308">
            <v>0</v>
          </cell>
          <cell r="G308">
            <v>0</v>
          </cell>
          <cell r="H308">
            <v>0</v>
          </cell>
          <cell r="I308">
            <v>0</v>
          </cell>
          <cell r="J308">
            <v>0</v>
          </cell>
          <cell r="K308">
            <v>0</v>
          </cell>
        </row>
        <row r="309">
          <cell r="C309">
            <v>0</v>
          </cell>
          <cell r="D309">
            <v>0</v>
          </cell>
          <cell r="E309">
            <v>0</v>
          </cell>
          <cell r="F309">
            <v>0</v>
          </cell>
          <cell r="G309">
            <v>0</v>
          </cell>
          <cell r="H309">
            <v>0</v>
          </cell>
          <cell r="I309">
            <v>0</v>
          </cell>
          <cell r="J309">
            <v>0</v>
          </cell>
          <cell r="K309">
            <v>0</v>
          </cell>
        </row>
        <row r="310">
          <cell r="C310">
            <v>0</v>
          </cell>
          <cell r="D310">
            <v>0</v>
          </cell>
          <cell r="E310">
            <v>0</v>
          </cell>
          <cell r="F310">
            <v>0</v>
          </cell>
          <cell r="G310">
            <v>0</v>
          </cell>
          <cell r="H310">
            <v>0</v>
          </cell>
          <cell r="I310">
            <v>0</v>
          </cell>
          <cell r="J310">
            <v>0</v>
          </cell>
          <cell r="K310">
            <v>0</v>
          </cell>
        </row>
        <row r="311">
          <cell r="C311">
            <v>0</v>
          </cell>
          <cell r="D311">
            <v>0</v>
          </cell>
          <cell r="E311">
            <v>0</v>
          </cell>
          <cell r="F311">
            <v>0</v>
          </cell>
          <cell r="G311">
            <v>0</v>
          </cell>
          <cell r="H311">
            <v>0</v>
          </cell>
          <cell r="I311">
            <v>0</v>
          </cell>
          <cell r="J311">
            <v>0</v>
          </cell>
          <cell r="K311">
            <v>0</v>
          </cell>
        </row>
        <row r="312">
          <cell r="C312">
            <v>0</v>
          </cell>
          <cell r="D312">
            <v>0</v>
          </cell>
          <cell r="E312">
            <v>0</v>
          </cell>
          <cell r="F312">
            <v>0</v>
          </cell>
          <cell r="G312">
            <v>0</v>
          </cell>
          <cell r="H312">
            <v>0</v>
          </cell>
          <cell r="I312">
            <v>0</v>
          </cell>
          <cell r="J312">
            <v>0</v>
          </cell>
          <cell r="K312">
            <v>0</v>
          </cell>
        </row>
        <row r="313">
          <cell r="C313">
            <v>0</v>
          </cell>
          <cell r="D313">
            <v>0</v>
          </cell>
          <cell r="E313">
            <v>0</v>
          </cell>
          <cell r="F313">
            <v>0</v>
          </cell>
          <cell r="G313">
            <v>0</v>
          </cell>
          <cell r="H313">
            <v>0</v>
          </cell>
          <cell r="I313">
            <v>0</v>
          </cell>
          <cell r="J313">
            <v>0</v>
          </cell>
          <cell r="K313">
            <v>0</v>
          </cell>
        </row>
        <row r="314">
          <cell r="C314">
            <v>0</v>
          </cell>
          <cell r="D314">
            <v>0</v>
          </cell>
          <cell r="E314">
            <v>0</v>
          </cell>
          <cell r="F314">
            <v>0</v>
          </cell>
          <cell r="G314">
            <v>0</v>
          </cell>
          <cell r="H314">
            <v>0</v>
          </cell>
          <cell r="I314">
            <v>0</v>
          </cell>
          <cell r="J314">
            <v>0</v>
          </cell>
          <cell r="K314">
            <v>0</v>
          </cell>
        </row>
        <row r="315">
          <cell r="C315">
            <v>0</v>
          </cell>
          <cell r="D315">
            <v>0</v>
          </cell>
          <cell r="E315">
            <v>0</v>
          </cell>
          <cell r="F315">
            <v>0</v>
          </cell>
          <cell r="G315">
            <v>0</v>
          </cell>
          <cell r="H315">
            <v>0</v>
          </cell>
          <cell r="I315">
            <v>0</v>
          </cell>
          <cell r="J315">
            <v>0</v>
          </cell>
          <cell r="K315">
            <v>0</v>
          </cell>
        </row>
        <row r="316">
          <cell r="C316">
            <v>0</v>
          </cell>
          <cell r="D316">
            <v>0</v>
          </cell>
          <cell r="E316">
            <v>0</v>
          </cell>
          <cell r="F316">
            <v>0</v>
          </cell>
          <cell r="G316">
            <v>0</v>
          </cell>
          <cell r="H316">
            <v>0</v>
          </cell>
          <cell r="I316">
            <v>0</v>
          </cell>
          <cell r="J316">
            <v>0</v>
          </cell>
          <cell r="K316">
            <v>0</v>
          </cell>
        </row>
        <row r="317">
          <cell r="C317">
            <v>0</v>
          </cell>
          <cell r="D317">
            <v>0</v>
          </cell>
          <cell r="E317">
            <v>0</v>
          </cell>
          <cell r="F317">
            <v>0</v>
          </cell>
          <cell r="G317">
            <v>0</v>
          </cell>
          <cell r="H317">
            <v>0</v>
          </cell>
          <cell r="I317">
            <v>0</v>
          </cell>
          <cell r="J317">
            <v>0</v>
          </cell>
          <cell r="K317">
            <v>0</v>
          </cell>
        </row>
      </sheetData>
      <sheetData sheetId="10"/>
      <sheetData sheetId="11"/>
      <sheetData sheetId="12"/>
      <sheetData sheetId="13"/>
      <sheetData sheetId="14">
        <row r="20">
          <cell r="A20" t="str">
            <v>01</v>
          </cell>
          <cell r="B20" t="str">
            <v>OBRAS PROVISIONALES, TRABAJOS PRELIMINARES, SEGURIDAD Y SALUD</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row>
        <row r="21">
          <cell r="A21" t="str">
            <v>01.01</v>
          </cell>
          <cell r="B21" t="str">
            <v>OBRAS PROVISIONALES Y TRABAJOS PRELIMINARES</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row>
        <row r="22">
          <cell r="A22" t="str">
            <v>01.01.01</v>
          </cell>
          <cell r="B22" t="str">
            <v>CONSTRUCCIONES PROVISIONALES</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row>
        <row r="23">
          <cell r="A23" t="str">
            <v>01.01.01.01</v>
          </cell>
          <cell r="B23" t="str">
            <v>CONSTRUCCION OFICINAS TÉCNICAS Y ALMACÉN</v>
          </cell>
          <cell r="C23" t="str">
            <v>m2</v>
          </cell>
          <cell r="D23">
            <v>75</v>
          </cell>
          <cell r="E23">
            <v>127.86</v>
          </cell>
          <cell r="F23">
            <v>9589.5</v>
          </cell>
          <cell r="G23">
            <v>75</v>
          </cell>
          <cell r="H23">
            <v>9589.5</v>
          </cell>
          <cell r="I23">
            <v>1</v>
          </cell>
          <cell r="J23">
            <v>0</v>
          </cell>
          <cell r="K23">
            <v>0</v>
          </cell>
          <cell r="L23" t="str">
            <v>0.00%</v>
          </cell>
          <cell r="M23">
            <v>75</v>
          </cell>
          <cell r="N23">
            <v>9589.5</v>
          </cell>
          <cell r="O23">
            <v>1</v>
          </cell>
          <cell r="P23">
            <v>0</v>
          </cell>
          <cell r="Q23">
            <v>0</v>
          </cell>
          <cell r="R23" t="str">
            <v>0.00%</v>
          </cell>
        </row>
        <row r="24">
          <cell r="A24" t="str">
            <v>01.01.01.02</v>
          </cell>
          <cell r="B24" t="str">
            <v>CASETA DE GUARDIANIA</v>
          </cell>
          <cell r="C24" t="str">
            <v>m2</v>
          </cell>
          <cell r="D24">
            <v>10</v>
          </cell>
          <cell r="E24">
            <v>127.86</v>
          </cell>
          <cell r="F24">
            <v>1278.5999999999999</v>
          </cell>
          <cell r="G24">
            <v>10</v>
          </cell>
          <cell r="H24">
            <v>1278.5999999999999</v>
          </cell>
          <cell r="I24">
            <v>1</v>
          </cell>
          <cell r="J24">
            <v>0</v>
          </cell>
          <cell r="K24">
            <v>0</v>
          </cell>
          <cell r="L24" t="str">
            <v>0.00%</v>
          </cell>
          <cell r="M24">
            <v>10</v>
          </cell>
          <cell r="N24">
            <v>1278.5999999999999</v>
          </cell>
          <cell r="O24">
            <v>1</v>
          </cell>
          <cell r="P24">
            <v>0</v>
          </cell>
          <cell r="Q24">
            <v>0</v>
          </cell>
          <cell r="R24" t="str">
            <v>0.00%</v>
          </cell>
        </row>
        <row r="25">
          <cell r="A25" t="str">
            <v>01.01.01.03</v>
          </cell>
          <cell r="B25" t="str">
            <v>SERVICIOS HIGIENICOS - VESTIDOR</v>
          </cell>
          <cell r="C25" t="str">
            <v>GLB</v>
          </cell>
          <cell r="D25">
            <v>1</v>
          </cell>
          <cell r="E25">
            <v>1416</v>
          </cell>
          <cell r="F25">
            <v>1416</v>
          </cell>
          <cell r="G25">
            <v>1</v>
          </cell>
          <cell r="H25">
            <v>1416</v>
          </cell>
          <cell r="I25">
            <v>1</v>
          </cell>
          <cell r="J25">
            <v>0</v>
          </cell>
          <cell r="K25">
            <v>0</v>
          </cell>
          <cell r="L25" t="str">
            <v>0.00%</v>
          </cell>
          <cell r="M25">
            <v>1</v>
          </cell>
          <cell r="N25">
            <v>1416</v>
          </cell>
          <cell r="O25">
            <v>1</v>
          </cell>
          <cell r="P25">
            <v>0</v>
          </cell>
          <cell r="Q25">
            <v>0</v>
          </cell>
          <cell r="R25" t="str">
            <v>0.00%</v>
          </cell>
        </row>
        <row r="26">
          <cell r="A26" t="str">
            <v>01.01.01.04</v>
          </cell>
          <cell r="B26" t="str">
            <v>CERCO PROVISIONAL CON ARPILLERA Y ROLLIZOS DE EUCALIPTO</v>
          </cell>
          <cell r="C26" t="str">
            <v>m</v>
          </cell>
          <cell r="D26">
            <v>174.71</v>
          </cell>
          <cell r="E26">
            <v>19.41</v>
          </cell>
          <cell r="F26">
            <v>3391.1211000000003</v>
          </cell>
          <cell r="G26">
            <v>174.71</v>
          </cell>
          <cell r="H26">
            <v>3391.1211000000003</v>
          </cell>
          <cell r="I26">
            <v>1</v>
          </cell>
          <cell r="J26">
            <v>0</v>
          </cell>
          <cell r="K26">
            <v>0</v>
          </cell>
          <cell r="L26" t="str">
            <v>0.00%</v>
          </cell>
          <cell r="M26">
            <v>174.71</v>
          </cell>
          <cell r="N26">
            <v>3391.1211000000003</v>
          </cell>
          <cell r="O26">
            <v>1</v>
          </cell>
          <cell r="P26">
            <v>0</v>
          </cell>
          <cell r="Q26">
            <v>0</v>
          </cell>
          <cell r="R26" t="str">
            <v>0.00%</v>
          </cell>
        </row>
        <row r="27">
          <cell r="A27" t="str">
            <v>01.01.01.05</v>
          </cell>
          <cell r="B27" t="str">
            <v>CARTEL DE IDENTIFICACION DE LA OBRA DE 5.40M X 4.20M.</v>
          </cell>
          <cell r="C27" t="str">
            <v>und</v>
          </cell>
          <cell r="D27">
            <v>1</v>
          </cell>
          <cell r="E27">
            <v>1416</v>
          </cell>
          <cell r="F27">
            <v>1416</v>
          </cell>
          <cell r="G27">
            <v>1</v>
          </cell>
          <cell r="H27">
            <v>1416</v>
          </cell>
          <cell r="I27">
            <v>1</v>
          </cell>
          <cell r="J27">
            <v>0</v>
          </cell>
          <cell r="K27">
            <v>0</v>
          </cell>
          <cell r="L27" t="str">
            <v>0.00%</v>
          </cell>
          <cell r="M27">
            <v>1</v>
          </cell>
          <cell r="N27">
            <v>1416</v>
          </cell>
          <cell r="O27">
            <v>1</v>
          </cell>
          <cell r="P27">
            <v>0</v>
          </cell>
          <cell r="Q27">
            <v>0</v>
          </cell>
          <cell r="R27" t="str">
            <v>0.00%</v>
          </cell>
        </row>
        <row r="28">
          <cell r="A28" t="str">
            <v>01.01.02</v>
          </cell>
          <cell r="B28" t="str">
            <v>INSTALACIONES PROVISIONALES</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row>
        <row r="29">
          <cell r="A29" t="str">
            <v>01.01.02.01</v>
          </cell>
          <cell r="B29" t="str">
            <v>INSTALACION PROVISIONAL DE AGUA</v>
          </cell>
          <cell r="C29" t="str">
            <v>GLB</v>
          </cell>
          <cell r="D29">
            <v>1</v>
          </cell>
          <cell r="E29">
            <v>1847.53</v>
          </cell>
          <cell r="F29">
            <v>1847.53</v>
          </cell>
          <cell r="G29">
            <v>1</v>
          </cell>
          <cell r="H29">
            <v>1847.53</v>
          </cell>
          <cell r="I29">
            <v>1</v>
          </cell>
          <cell r="J29">
            <v>0</v>
          </cell>
          <cell r="K29">
            <v>0</v>
          </cell>
          <cell r="L29" t="str">
            <v>0.00%</v>
          </cell>
          <cell r="M29">
            <v>1</v>
          </cell>
          <cell r="N29">
            <v>1847.53</v>
          </cell>
          <cell r="O29">
            <v>1</v>
          </cell>
          <cell r="P29">
            <v>0</v>
          </cell>
          <cell r="Q29">
            <v>0</v>
          </cell>
          <cell r="R29" t="str">
            <v>0.00%</v>
          </cell>
        </row>
        <row r="30">
          <cell r="A30" t="str">
            <v>01.01.02.02</v>
          </cell>
          <cell r="B30" t="str">
            <v>INSTALACION PROVISIONAL DE DESAGUE PARA LA CONSTRUCION</v>
          </cell>
          <cell r="C30" t="str">
            <v>GLB</v>
          </cell>
          <cell r="D30">
            <v>1</v>
          </cell>
          <cell r="E30">
            <v>1847.53</v>
          </cell>
          <cell r="F30">
            <v>1847.53</v>
          </cell>
          <cell r="G30">
            <v>1</v>
          </cell>
          <cell r="H30">
            <v>1847.53</v>
          </cell>
          <cell r="I30">
            <v>1</v>
          </cell>
          <cell r="J30">
            <v>0</v>
          </cell>
          <cell r="K30">
            <v>0</v>
          </cell>
          <cell r="L30" t="str">
            <v>0.00%</v>
          </cell>
          <cell r="M30">
            <v>1</v>
          </cell>
          <cell r="N30">
            <v>1847.53</v>
          </cell>
          <cell r="O30">
            <v>1</v>
          </cell>
          <cell r="P30">
            <v>0</v>
          </cell>
          <cell r="Q30">
            <v>0</v>
          </cell>
          <cell r="R30" t="str">
            <v>0.00%</v>
          </cell>
        </row>
        <row r="31">
          <cell r="A31" t="str">
            <v>01.01.02.03</v>
          </cell>
          <cell r="B31" t="str">
            <v>INSTALACION PROVISIONAL DE ELECTRICIDAD</v>
          </cell>
          <cell r="C31" t="str">
            <v>GLB</v>
          </cell>
          <cell r="D31">
            <v>1</v>
          </cell>
          <cell r="E31">
            <v>1847.53</v>
          </cell>
          <cell r="F31">
            <v>1847.53</v>
          </cell>
          <cell r="G31">
            <v>1</v>
          </cell>
          <cell r="H31">
            <v>1847.53</v>
          </cell>
          <cell r="I31">
            <v>1</v>
          </cell>
          <cell r="J31">
            <v>0</v>
          </cell>
          <cell r="K31">
            <v>0</v>
          </cell>
          <cell r="L31" t="str">
            <v>0.00%</v>
          </cell>
          <cell r="M31">
            <v>1</v>
          </cell>
          <cell r="N31">
            <v>1847.53</v>
          </cell>
          <cell r="O31">
            <v>1</v>
          </cell>
          <cell r="P31">
            <v>0</v>
          </cell>
          <cell r="Q31">
            <v>0</v>
          </cell>
          <cell r="R31" t="str">
            <v>0.00%</v>
          </cell>
        </row>
        <row r="32">
          <cell r="A32" t="str">
            <v>01.01.03</v>
          </cell>
          <cell r="B32" t="str">
            <v>MOVILIZACION DE MAQUINARIA</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row>
        <row r="33">
          <cell r="A33" t="str">
            <v>01.01.03.01</v>
          </cell>
          <cell r="B33" t="str">
            <v>MOVILIZACION  Y DESMOVILIZACION DE EQUIPO</v>
          </cell>
          <cell r="C33" t="str">
            <v>GLB</v>
          </cell>
          <cell r="D33">
            <v>1</v>
          </cell>
          <cell r="E33">
            <v>2580</v>
          </cell>
          <cell r="F33">
            <v>2580</v>
          </cell>
          <cell r="G33">
            <v>0.5</v>
          </cell>
          <cell r="H33">
            <v>1290</v>
          </cell>
          <cell r="I33">
            <v>0.5</v>
          </cell>
          <cell r="J33">
            <v>0</v>
          </cell>
          <cell r="K33">
            <v>0</v>
          </cell>
          <cell r="L33" t="str">
            <v>0.00%</v>
          </cell>
          <cell r="M33">
            <v>0.5</v>
          </cell>
          <cell r="N33">
            <v>1290</v>
          </cell>
          <cell r="O33">
            <v>0.5</v>
          </cell>
          <cell r="P33">
            <v>0.5</v>
          </cell>
          <cell r="Q33">
            <v>1290</v>
          </cell>
          <cell r="R33">
            <v>0.5</v>
          </cell>
        </row>
        <row r="34">
          <cell r="A34" t="str">
            <v>01.01.04</v>
          </cell>
          <cell r="B34" t="str">
            <v>TRABAJOS PRELIMINARES</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row>
        <row r="35">
          <cell r="A35" t="str">
            <v>01.01.04.01</v>
          </cell>
          <cell r="B35" t="str">
            <v>LIMPIEZA DE TERRENO MANUAL</v>
          </cell>
          <cell r="C35" t="str">
            <v>m2</v>
          </cell>
          <cell r="D35">
            <v>1850.48</v>
          </cell>
          <cell r="E35">
            <v>1.0900000000000001</v>
          </cell>
          <cell r="F35">
            <v>2017.0232000000001</v>
          </cell>
          <cell r="G35">
            <v>1850.48</v>
          </cell>
          <cell r="H35">
            <v>2017.0232000000001</v>
          </cell>
          <cell r="I35">
            <v>1</v>
          </cell>
          <cell r="J35">
            <v>0</v>
          </cell>
          <cell r="K35">
            <v>0</v>
          </cell>
          <cell r="L35" t="str">
            <v>0.00%</v>
          </cell>
          <cell r="M35">
            <v>1850.48</v>
          </cell>
          <cell r="N35">
            <v>2017.0232000000001</v>
          </cell>
          <cell r="O35">
            <v>1</v>
          </cell>
          <cell r="P35">
            <v>0</v>
          </cell>
          <cell r="Q35">
            <v>0</v>
          </cell>
          <cell r="R35" t="str">
            <v>0.00%</v>
          </cell>
        </row>
        <row r="36">
          <cell r="A36" t="str">
            <v>01.01.05</v>
          </cell>
          <cell r="B36" t="str">
            <v>DESMONTAJE</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row>
        <row r="37">
          <cell r="A37" t="str">
            <v>01.01.05.01</v>
          </cell>
          <cell r="B37" t="str">
            <v>DESMONTAJE DE COBERTURA DE CALAMINA</v>
          </cell>
          <cell r="C37" t="str">
            <v>m2</v>
          </cell>
          <cell r="D37">
            <v>332.82</v>
          </cell>
          <cell r="E37">
            <v>11.4</v>
          </cell>
          <cell r="F37">
            <v>3794.1480000000001</v>
          </cell>
          <cell r="G37">
            <v>332.82</v>
          </cell>
          <cell r="H37">
            <v>3794.1480000000001</v>
          </cell>
          <cell r="I37">
            <v>1</v>
          </cell>
          <cell r="J37">
            <v>0</v>
          </cell>
          <cell r="K37">
            <v>0</v>
          </cell>
          <cell r="L37" t="str">
            <v>0.00%</v>
          </cell>
          <cell r="M37">
            <v>332.82</v>
          </cell>
          <cell r="N37">
            <v>3794.1480000000001</v>
          </cell>
          <cell r="O37">
            <v>1</v>
          </cell>
          <cell r="P37">
            <v>0</v>
          </cell>
          <cell r="Q37">
            <v>0</v>
          </cell>
          <cell r="R37" t="str">
            <v>0.00%</v>
          </cell>
        </row>
        <row r="38">
          <cell r="A38" t="str">
            <v>01.01.05.02</v>
          </cell>
          <cell r="B38" t="str">
            <v>DESMONTAJE DE TIJERALES DE MADERA</v>
          </cell>
          <cell r="C38" t="str">
            <v>und</v>
          </cell>
          <cell r="D38">
            <v>58</v>
          </cell>
          <cell r="E38">
            <v>22.8</v>
          </cell>
          <cell r="F38">
            <v>1322.4</v>
          </cell>
          <cell r="G38">
            <v>58</v>
          </cell>
          <cell r="H38">
            <v>1322.4</v>
          </cell>
          <cell r="I38">
            <v>1</v>
          </cell>
          <cell r="J38">
            <v>0</v>
          </cell>
          <cell r="K38">
            <v>0</v>
          </cell>
          <cell r="L38" t="str">
            <v>0.00%</v>
          </cell>
          <cell r="M38">
            <v>58</v>
          </cell>
          <cell r="N38">
            <v>1322.4</v>
          </cell>
          <cell r="O38">
            <v>1</v>
          </cell>
          <cell r="P38">
            <v>0</v>
          </cell>
          <cell r="Q38">
            <v>0</v>
          </cell>
          <cell r="R38" t="str">
            <v>0.00%</v>
          </cell>
        </row>
        <row r="39">
          <cell r="A39" t="str">
            <v>01.01.05.03</v>
          </cell>
          <cell r="B39" t="str">
            <v>DESMONTAJE DE CORREAS DE MADERA</v>
          </cell>
          <cell r="C39" t="str">
            <v>m</v>
          </cell>
          <cell r="D39">
            <v>1156.4000000000001</v>
          </cell>
          <cell r="E39">
            <v>1.9</v>
          </cell>
          <cell r="F39">
            <v>2197.16</v>
          </cell>
          <cell r="G39">
            <v>1156.4000000000001</v>
          </cell>
          <cell r="H39">
            <v>2197.16</v>
          </cell>
          <cell r="I39">
            <v>1</v>
          </cell>
          <cell r="J39">
            <v>0</v>
          </cell>
          <cell r="K39">
            <v>0</v>
          </cell>
          <cell r="L39" t="str">
            <v>0.00%</v>
          </cell>
          <cell r="M39">
            <v>1156.4000000000001</v>
          </cell>
          <cell r="N39">
            <v>2197.16</v>
          </cell>
          <cell r="O39">
            <v>1</v>
          </cell>
          <cell r="P39">
            <v>0</v>
          </cell>
          <cell r="Q39">
            <v>0</v>
          </cell>
          <cell r="R39" t="str">
            <v>0.00%</v>
          </cell>
        </row>
        <row r="40">
          <cell r="A40" t="str">
            <v>01.01.05.04</v>
          </cell>
          <cell r="B40" t="str">
            <v>DESMONTAJE DE PUERTAS</v>
          </cell>
          <cell r="C40" t="str">
            <v>und</v>
          </cell>
          <cell r="D40">
            <v>53</v>
          </cell>
          <cell r="E40">
            <v>38.020499999999998</v>
          </cell>
          <cell r="F40">
            <v>2015.0864999999999</v>
          </cell>
          <cell r="G40">
            <v>53</v>
          </cell>
          <cell r="H40">
            <v>2015.0864999999999</v>
          </cell>
          <cell r="I40">
            <v>1</v>
          </cell>
          <cell r="J40">
            <v>0</v>
          </cell>
          <cell r="K40">
            <v>0</v>
          </cell>
          <cell r="L40" t="str">
            <v>0.00%</v>
          </cell>
          <cell r="M40">
            <v>53</v>
          </cell>
          <cell r="N40">
            <v>2015.0864999999999</v>
          </cell>
          <cell r="O40">
            <v>1</v>
          </cell>
          <cell r="P40">
            <v>0</v>
          </cell>
          <cell r="Q40">
            <v>0</v>
          </cell>
          <cell r="R40" t="str">
            <v>0.00%</v>
          </cell>
        </row>
        <row r="41">
          <cell r="A41" t="str">
            <v>01.01.05.05</v>
          </cell>
          <cell r="B41" t="str">
            <v>DESMONTAJE DE VENTANAS METALICAS</v>
          </cell>
          <cell r="C41" t="str">
            <v>und</v>
          </cell>
          <cell r="D41">
            <v>29</v>
          </cell>
          <cell r="E41">
            <v>22.8</v>
          </cell>
          <cell r="F41">
            <v>661.2</v>
          </cell>
          <cell r="G41">
            <v>29</v>
          </cell>
          <cell r="H41">
            <v>661.2</v>
          </cell>
          <cell r="I41">
            <v>1</v>
          </cell>
          <cell r="J41">
            <v>0</v>
          </cell>
          <cell r="K41">
            <v>0</v>
          </cell>
          <cell r="L41" t="str">
            <v>0.00%</v>
          </cell>
          <cell r="M41">
            <v>29</v>
          </cell>
          <cell r="N41">
            <v>661.2</v>
          </cell>
          <cell r="O41">
            <v>1</v>
          </cell>
          <cell r="P41">
            <v>0</v>
          </cell>
          <cell r="Q41">
            <v>0</v>
          </cell>
          <cell r="R41" t="str">
            <v>0.00%</v>
          </cell>
        </row>
        <row r="42">
          <cell r="A42" t="str">
            <v>01.01.05.06</v>
          </cell>
          <cell r="B42" t="str">
            <v>DESMONTAJE DE VENTANAS DE MADERA</v>
          </cell>
          <cell r="C42" t="str">
            <v>und</v>
          </cell>
          <cell r="D42">
            <v>20</v>
          </cell>
          <cell r="E42">
            <v>5.71</v>
          </cell>
          <cell r="F42">
            <v>114.2</v>
          </cell>
          <cell r="G42">
            <v>20</v>
          </cell>
          <cell r="H42">
            <v>114.2</v>
          </cell>
          <cell r="I42">
            <v>1</v>
          </cell>
          <cell r="J42">
            <v>0</v>
          </cell>
          <cell r="K42">
            <v>0</v>
          </cell>
          <cell r="L42" t="str">
            <v>0.00%</v>
          </cell>
          <cell r="M42">
            <v>20</v>
          </cell>
          <cell r="N42">
            <v>114.2</v>
          </cell>
          <cell r="O42">
            <v>1</v>
          </cell>
          <cell r="P42">
            <v>0</v>
          </cell>
          <cell r="Q42">
            <v>0</v>
          </cell>
          <cell r="R42" t="str">
            <v>0.00%</v>
          </cell>
        </row>
        <row r="43">
          <cell r="A43" t="str">
            <v>01.01.05.07</v>
          </cell>
          <cell r="B43" t="str">
            <v>DESMONTAJE DE APARATOS SANITARIOS</v>
          </cell>
          <cell r="C43" t="str">
            <v>und</v>
          </cell>
          <cell r="D43">
            <v>29</v>
          </cell>
          <cell r="E43">
            <v>38.020000000000003</v>
          </cell>
          <cell r="F43">
            <v>1102.5800000000002</v>
          </cell>
          <cell r="G43">
            <v>29</v>
          </cell>
          <cell r="H43">
            <v>1102.5800000000002</v>
          </cell>
          <cell r="I43">
            <v>1</v>
          </cell>
          <cell r="J43">
            <v>0</v>
          </cell>
          <cell r="K43">
            <v>0</v>
          </cell>
          <cell r="L43" t="str">
            <v>0.00%</v>
          </cell>
          <cell r="M43">
            <v>29</v>
          </cell>
          <cell r="N43">
            <v>1102.5800000000002</v>
          </cell>
          <cell r="O43">
            <v>1</v>
          </cell>
          <cell r="P43">
            <v>0</v>
          </cell>
          <cell r="Q43">
            <v>0</v>
          </cell>
          <cell r="R43" t="str">
            <v>0.00%</v>
          </cell>
        </row>
        <row r="44">
          <cell r="A44" t="str">
            <v>01.01.05.08</v>
          </cell>
          <cell r="B44" t="str">
            <v>DESMONTAJE DE DIVISIONES METALICAS</v>
          </cell>
          <cell r="C44" t="str">
            <v>und</v>
          </cell>
          <cell r="D44">
            <v>6</v>
          </cell>
          <cell r="E44">
            <v>28.51</v>
          </cell>
          <cell r="F44">
            <v>171.06</v>
          </cell>
          <cell r="G44">
            <v>6</v>
          </cell>
          <cell r="H44">
            <v>171.06</v>
          </cell>
          <cell r="I44">
            <v>1</v>
          </cell>
          <cell r="J44">
            <v>0</v>
          </cell>
          <cell r="K44">
            <v>0</v>
          </cell>
          <cell r="L44" t="str">
            <v>0.00%</v>
          </cell>
          <cell r="M44">
            <v>6</v>
          </cell>
          <cell r="N44">
            <v>171.06</v>
          </cell>
          <cell r="O44">
            <v>1</v>
          </cell>
          <cell r="P44">
            <v>0</v>
          </cell>
          <cell r="Q44">
            <v>0</v>
          </cell>
          <cell r="R44" t="str">
            <v>0.00%</v>
          </cell>
        </row>
        <row r="45">
          <cell r="A45" t="str">
            <v>01.01.05.09</v>
          </cell>
          <cell r="B45" t="str">
            <v>DESMONTAJE DE MALLA RASCHEL</v>
          </cell>
          <cell r="C45" t="str">
            <v>m2</v>
          </cell>
          <cell r="D45">
            <v>283.95999999999998</v>
          </cell>
          <cell r="E45">
            <v>0.92</v>
          </cell>
          <cell r="F45">
            <v>261.2432</v>
          </cell>
          <cell r="G45">
            <v>283.95999999999998</v>
          </cell>
          <cell r="H45">
            <v>261.2432</v>
          </cell>
          <cell r="I45">
            <v>1</v>
          </cell>
          <cell r="J45">
            <v>0</v>
          </cell>
          <cell r="K45">
            <v>0</v>
          </cell>
          <cell r="L45" t="str">
            <v>0.00%</v>
          </cell>
          <cell r="M45">
            <v>283.95999999999998</v>
          </cell>
          <cell r="N45">
            <v>261.2432</v>
          </cell>
          <cell r="O45">
            <v>1</v>
          </cell>
          <cell r="P45">
            <v>0</v>
          </cell>
          <cell r="Q45">
            <v>0</v>
          </cell>
          <cell r="R45" t="str">
            <v>0.00%</v>
          </cell>
        </row>
        <row r="46">
          <cell r="A46" t="str">
            <v>01.01.05.10</v>
          </cell>
          <cell r="B46" t="str">
            <v>RETIRO DE ARBOLES</v>
          </cell>
          <cell r="C46" t="str">
            <v>und</v>
          </cell>
          <cell r="D46">
            <v>9</v>
          </cell>
          <cell r="E46">
            <v>11.4</v>
          </cell>
          <cell r="F46">
            <v>102.60000000000001</v>
          </cell>
          <cell r="G46">
            <v>9</v>
          </cell>
          <cell r="H46">
            <v>102.60000000000001</v>
          </cell>
          <cell r="I46">
            <v>1</v>
          </cell>
          <cell r="J46">
            <v>0</v>
          </cell>
          <cell r="K46">
            <v>0</v>
          </cell>
          <cell r="L46" t="str">
            <v>0.00%</v>
          </cell>
          <cell r="M46">
            <v>9</v>
          </cell>
          <cell r="N46">
            <v>102.60000000000001</v>
          </cell>
          <cell r="O46">
            <v>1</v>
          </cell>
          <cell r="P46">
            <v>0</v>
          </cell>
          <cell r="Q46">
            <v>0</v>
          </cell>
          <cell r="R46" t="str">
            <v>0.00%</v>
          </cell>
        </row>
        <row r="47">
          <cell r="A47" t="str">
            <v>01.01.06</v>
          </cell>
          <cell r="B47" t="str">
            <v>DEMOLICIONES</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row>
        <row r="48">
          <cell r="A48" t="str">
            <v>01.01.06.01</v>
          </cell>
          <cell r="B48" t="str">
            <v>DEMOLICION DE VIGAS</v>
          </cell>
          <cell r="C48" t="str">
            <v>m</v>
          </cell>
          <cell r="D48">
            <v>150.86000000000001</v>
          </cell>
          <cell r="E48">
            <v>28.51</v>
          </cell>
          <cell r="F48">
            <v>4301.0186000000003</v>
          </cell>
          <cell r="G48">
            <v>150.86000000000001</v>
          </cell>
          <cell r="H48">
            <v>4301.0186000000003</v>
          </cell>
          <cell r="I48">
            <v>1</v>
          </cell>
          <cell r="J48">
            <v>0</v>
          </cell>
          <cell r="K48">
            <v>0</v>
          </cell>
          <cell r="L48" t="str">
            <v>0.00%</v>
          </cell>
          <cell r="M48">
            <v>150.86000000000001</v>
          </cell>
          <cell r="N48">
            <v>4301.0186000000003</v>
          </cell>
          <cell r="O48">
            <v>1</v>
          </cell>
          <cell r="P48">
            <v>0</v>
          </cell>
          <cell r="Q48">
            <v>0</v>
          </cell>
          <cell r="R48" t="str">
            <v>0.00%</v>
          </cell>
        </row>
        <row r="49">
          <cell r="A49" t="str">
            <v>01.01.06.02</v>
          </cell>
          <cell r="B49" t="str">
            <v>DEMOLICION DE COLUMNA</v>
          </cell>
          <cell r="C49" t="str">
            <v>und</v>
          </cell>
          <cell r="D49">
            <v>48</v>
          </cell>
          <cell r="E49">
            <v>114.04</v>
          </cell>
          <cell r="F49">
            <v>5473.92</v>
          </cell>
          <cell r="G49">
            <v>48</v>
          </cell>
          <cell r="H49">
            <v>5473.92</v>
          </cell>
          <cell r="I49">
            <v>1</v>
          </cell>
          <cell r="J49">
            <v>0</v>
          </cell>
          <cell r="K49">
            <v>0</v>
          </cell>
          <cell r="L49" t="str">
            <v>0.00%</v>
          </cell>
          <cell r="M49">
            <v>48</v>
          </cell>
          <cell r="N49">
            <v>5473.92</v>
          </cell>
          <cell r="O49">
            <v>1</v>
          </cell>
          <cell r="P49">
            <v>0</v>
          </cell>
          <cell r="Q49">
            <v>0</v>
          </cell>
          <cell r="R49" t="str">
            <v>0.00%</v>
          </cell>
        </row>
        <row r="50">
          <cell r="A50" t="str">
            <v>01.01.06.03</v>
          </cell>
          <cell r="B50" t="str">
            <v xml:space="preserve">DEMOLICION DE LOSA ALIGERADA </v>
          </cell>
          <cell r="C50" t="str">
            <v>m2</v>
          </cell>
          <cell r="D50">
            <v>221.08</v>
          </cell>
          <cell r="E50">
            <v>11.4</v>
          </cell>
          <cell r="F50">
            <v>2520.3120000000004</v>
          </cell>
          <cell r="G50">
            <v>221.08</v>
          </cell>
          <cell r="H50">
            <v>2520.3120000000004</v>
          </cell>
          <cell r="I50">
            <v>1</v>
          </cell>
          <cell r="J50">
            <v>0</v>
          </cell>
          <cell r="K50">
            <v>0</v>
          </cell>
          <cell r="L50" t="str">
            <v>0.00%</v>
          </cell>
          <cell r="M50">
            <v>221.08</v>
          </cell>
          <cell r="N50">
            <v>2520.3120000000004</v>
          </cell>
          <cell r="O50">
            <v>1</v>
          </cell>
          <cell r="P50">
            <v>0</v>
          </cell>
          <cell r="Q50">
            <v>0</v>
          </cell>
          <cell r="R50" t="str">
            <v>0.00%</v>
          </cell>
        </row>
        <row r="51">
          <cell r="A51" t="str">
            <v>01.01.06.04</v>
          </cell>
          <cell r="B51" t="str">
            <v>DEMOLICION DE CIELO RASO DE YESO</v>
          </cell>
          <cell r="C51" t="str">
            <v>m2</v>
          </cell>
          <cell r="D51">
            <v>327.66000000000003</v>
          </cell>
          <cell r="E51">
            <v>0.64</v>
          </cell>
          <cell r="F51">
            <v>209.70240000000001</v>
          </cell>
          <cell r="G51">
            <v>327.66000000000003</v>
          </cell>
          <cell r="H51">
            <v>209.70240000000001</v>
          </cell>
          <cell r="I51">
            <v>1</v>
          </cell>
          <cell r="J51">
            <v>0</v>
          </cell>
          <cell r="K51">
            <v>0</v>
          </cell>
          <cell r="L51" t="str">
            <v>0.00%</v>
          </cell>
          <cell r="M51">
            <v>327.66000000000003</v>
          </cell>
          <cell r="N51">
            <v>209.70240000000001</v>
          </cell>
          <cell r="O51">
            <v>1</v>
          </cell>
          <cell r="P51">
            <v>0</v>
          </cell>
          <cell r="Q51">
            <v>0</v>
          </cell>
          <cell r="R51" t="str">
            <v>0.00%</v>
          </cell>
        </row>
        <row r="52">
          <cell r="A52" t="str">
            <v>01.01.06.05</v>
          </cell>
          <cell r="B52" t="str">
            <v>DEMOLICION DE GRADERIAS Y RAMPAS DE CONCRETO</v>
          </cell>
          <cell r="C52" t="str">
            <v>m2</v>
          </cell>
          <cell r="D52">
            <v>104.86</v>
          </cell>
          <cell r="E52">
            <v>10.199999999999999</v>
          </cell>
          <cell r="F52">
            <v>1069.5719999999999</v>
          </cell>
          <cell r="G52">
            <v>104.86</v>
          </cell>
          <cell r="H52">
            <v>1069.5719999999999</v>
          </cell>
          <cell r="I52">
            <v>1</v>
          </cell>
          <cell r="J52">
            <v>0</v>
          </cell>
          <cell r="K52">
            <v>0</v>
          </cell>
          <cell r="L52" t="str">
            <v>0.00%</v>
          </cell>
          <cell r="M52">
            <v>104.86</v>
          </cell>
          <cell r="N52">
            <v>1069.5719999999999</v>
          </cell>
          <cell r="O52">
            <v>1</v>
          </cell>
          <cell r="P52">
            <v>0</v>
          </cell>
          <cell r="Q52">
            <v>0</v>
          </cell>
          <cell r="R52" t="str">
            <v>0.00%</v>
          </cell>
        </row>
        <row r="53">
          <cell r="A53" t="str">
            <v>01.01.06.06</v>
          </cell>
          <cell r="B53" t="str">
            <v>DEMOLICION DE MURO DE BLOQUETA</v>
          </cell>
          <cell r="C53" t="str">
            <v>m2</v>
          </cell>
          <cell r="D53">
            <v>832.29</v>
          </cell>
          <cell r="E53">
            <v>11.4</v>
          </cell>
          <cell r="F53">
            <v>9488.1059999999998</v>
          </cell>
          <cell r="G53">
            <v>832.29</v>
          </cell>
          <cell r="H53">
            <v>9488.1059999999998</v>
          </cell>
          <cell r="I53">
            <v>1</v>
          </cell>
          <cell r="J53">
            <v>0</v>
          </cell>
          <cell r="K53">
            <v>0</v>
          </cell>
          <cell r="L53" t="str">
            <v>0.00%</v>
          </cell>
          <cell r="M53">
            <v>832.29</v>
          </cell>
          <cell r="N53">
            <v>9488.1059999999998</v>
          </cell>
          <cell r="O53">
            <v>1</v>
          </cell>
          <cell r="P53">
            <v>0</v>
          </cell>
          <cell r="Q53">
            <v>0</v>
          </cell>
          <cell r="R53" t="str">
            <v>0.00%</v>
          </cell>
        </row>
        <row r="54">
          <cell r="A54" t="str">
            <v>01.01.06.07</v>
          </cell>
          <cell r="B54" t="str">
            <v>DEMOLICION DE MURO DE ADOBE</v>
          </cell>
          <cell r="C54" t="str">
            <v>m2</v>
          </cell>
          <cell r="D54">
            <v>653.28</v>
          </cell>
          <cell r="E54">
            <v>11.4</v>
          </cell>
          <cell r="F54">
            <v>7447.3919999999998</v>
          </cell>
          <cell r="G54">
            <v>653.28</v>
          </cell>
          <cell r="H54">
            <v>7447.3919999999998</v>
          </cell>
          <cell r="I54">
            <v>1</v>
          </cell>
          <cell r="J54">
            <v>0</v>
          </cell>
          <cell r="K54">
            <v>0</v>
          </cell>
          <cell r="L54" t="str">
            <v>0.00%</v>
          </cell>
          <cell r="M54">
            <v>653.28</v>
          </cell>
          <cell r="N54">
            <v>7447.3919999999998</v>
          </cell>
          <cell r="O54">
            <v>1</v>
          </cell>
          <cell r="P54">
            <v>0</v>
          </cell>
          <cell r="Q54">
            <v>0</v>
          </cell>
          <cell r="R54" t="str">
            <v>0.00%</v>
          </cell>
        </row>
        <row r="55">
          <cell r="A55" t="str">
            <v>01.01.06.08</v>
          </cell>
          <cell r="B55" t="str">
            <v>DEMOLICION DE MUROS DE CONTENCION</v>
          </cell>
          <cell r="C55" t="str">
            <v>m3</v>
          </cell>
          <cell r="D55">
            <v>108.22</v>
          </cell>
          <cell r="E55">
            <v>144.46</v>
          </cell>
          <cell r="F55">
            <v>15633.461200000002</v>
          </cell>
          <cell r="G55">
            <v>108.22</v>
          </cell>
          <cell r="H55">
            <v>15633.461200000002</v>
          </cell>
          <cell r="I55">
            <v>1</v>
          </cell>
          <cell r="J55">
            <v>0</v>
          </cell>
          <cell r="K55">
            <v>0</v>
          </cell>
          <cell r="L55" t="str">
            <v>0.00%</v>
          </cell>
          <cell r="M55">
            <v>108.22</v>
          </cell>
          <cell r="N55">
            <v>15633.461200000002</v>
          </cell>
          <cell r="O55">
            <v>1</v>
          </cell>
          <cell r="P55">
            <v>0</v>
          </cell>
          <cell r="Q55">
            <v>0</v>
          </cell>
          <cell r="R55" t="str">
            <v>0.00%</v>
          </cell>
        </row>
        <row r="56">
          <cell r="A56" t="str">
            <v>01.01.06.09</v>
          </cell>
          <cell r="B56" t="str">
            <v>DEMOLICION DE CIMIENTOS Y SOBRECIMIENTOS</v>
          </cell>
          <cell r="C56" t="str">
            <v>m3</v>
          </cell>
          <cell r="D56">
            <v>36.03</v>
          </cell>
          <cell r="E56">
            <v>78.31</v>
          </cell>
          <cell r="F56">
            <v>2821.5093000000002</v>
          </cell>
          <cell r="G56">
            <v>36.03</v>
          </cell>
          <cell r="H56">
            <v>2821.5093000000002</v>
          </cell>
          <cell r="I56">
            <v>1</v>
          </cell>
          <cell r="J56">
            <v>0</v>
          </cell>
          <cell r="K56">
            <v>0</v>
          </cell>
          <cell r="L56" t="str">
            <v>0.00%</v>
          </cell>
          <cell r="M56">
            <v>36.03</v>
          </cell>
          <cell r="N56">
            <v>2821.5093000000002</v>
          </cell>
          <cell r="O56">
            <v>1</v>
          </cell>
          <cell r="P56">
            <v>0</v>
          </cell>
          <cell r="Q56">
            <v>0</v>
          </cell>
          <cell r="R56" t="str">
            <v>0.00%</v>
          </cell>
        </row>
        <row r="57">
          <cell r="A57" t="str">
            <v>01.01.06.10</v>
          </cell>
          <cell r="B57" t="str">
            <v>DEMOLICION DE PISO EXISTENTE</v>
          </cell>
          <cell r="C57" t="str">
            <v>m2</v>
          </cell>
          <cell r="D57">
            <v>547.66</v>
          </cell>
          <cell r="E57">
            <v>10.199999999999999</v>
          </cell>
          <cell r="F57">
            <v>5586.1319999999996</v>
          </cell>
          <cell r="G57">
            <v>547.66</v>
          </cell>
          <cell r="H57">
            <v>5586.1319999999996</v>
          </cell>
          <cell r="I57">
            <v>1</v>
          </cell>
          <cell r="J57">
            <v>0</v>
          </cell>
          <cell r="K57">
            <v>0</v>
          </cell>
          <cell r="L57" t="str">
            <v>0.00%</v>
          </cell>
          <cell r="M57">
            <v>547.66</v>
          </cell>
          <cell r="N57">
            <v>5586.1319999999996</v>
          </cell>
          <cell r="O57">
            <v>1</v>
          </cell>
          <cell r="P57">
            <v>0</v>
          </cell>
          <cell r="Q57">
            <v>0</v>
          </cell>
          <cell r="R57" t="str">
            <v>0.00%</v>
          </cell>
        </row>
        <row r="58">
          <cell r="A58" t="str">
            <v>01.01.06.11</v>
          </cell>
          <cell r="B58" t="str">
            <v>DEMOLICION DE VEREDAS DE CONCRETO</v>
          </cell>
          <cell r="C58" t="str">
            <v>m2</v>
          </cell>
          <cell r="D58">
            <v>289.92</v>
          </cell>
          <cell r="E58">
            <v>10.199999999999999</v>
          </cell>
          <cell r="F58">
            <v>2957.1839999999997</v>
          </cell>
          <cell r="G58">
            <v>238.48000000000002</v>
          </cell>
          <cell r="H58">
            <v>2432.4960000000001</v>
          </cell>
          <cell r="I58">
            <v>0.82257174392935994</v>
          </cell>
          <cell r="J58">
            <v>51.439900000000002</v>
          </cell>
          <cell r="K58">
            <v>524.68697999999995</v>
          </cell>
          <cell r="L58">
            <v>0.17742791114790288</v>
          </cell>
          <cell r="M58">
            <v>289.91990000000004</v>
          </cell>
          <cell r="N58">
            <v>2957.18298</v>
          </cell>
          <cell r="O58">
            <v>0.99999965507726285</v>
          </cell>
          <cell r="P58">
            <v>9.9999999974897946E-5</v>
          </cell>
          <cell r="Q58">
            <v>1.0199999996984843E-3</v>
          </cell>
          <cell r="R58">
            <v>3.4492273720488289E-7</v>
          </cell>
        </row>
        <row r="59">
          <cell r="A59" t="str">
            <v>01.01.06.12</v>
          </cell>
          <cell r="B59" t="str">
            <v>DEMOLICION LOSA DEPORTIVA</v>
          </cell>
          <cell r="C59" t="str">
            <v>m2</v>
          </cell>
          <cell r="D59">
            <v>280.08999999999997</v>
          </cell>
          <cell r="E59">
            <v>10.199999999999999</v>
          </cell>
          <cell r="F59">
            <v>2856.9179999999997</v>
          </cell>
          <cell r="G59">
            <v>0</v>
          </cell>
          <cell r="H59">
            <v>0</v>
          </cell>
          <cell r="I59" t="str">
            <v>0.00%</v>
          </cell>
          <cell r="J59">
            <v>0</v>
          </cell>
          <cell r="K59">
            <v>0</v>
          </cell>
          <cell r="L59" t="str">
            <v>0.00%</v>
          </cell>
          <cell r="M59">
            <v>0</v>
          </cell>
          <cell r="N59">
            <v>0</v>
          </cell>
          <cell r="O59" t="str">
            <v>0.00%</v>
          </cell>
          <cell r="P59">
            <v>280.08999999999997</v>
          </cell>
          <cell r="Q59">
            <v>2856.9179999999997</v>
          </cell>
          <cell r="R59">
            <v>1</v>
          </cell>
        </row>
        <row r="60">
          <cell r="A60" t="str">
            <v>01.01.06.13</v>
          </cell>
          <cell r="B60" t="str">
            <v xml:space="preserve">DEMOLICION DE LAVADEROS Y URINARIOS </v>
          </cell>
          <cell r="C60" t="str">
            <v>m</v>
          </cell>
          <cell r="D60">
            <v>18.739999999999998</v>
          </cell>
          <cell r="E60">
            <v>9.51</v>
          </cell>
          <cell r="F60">
            <v>178.21739999999997</v>
          </cell>
          <cell r="G60">
            <v>18.739999999999998</v>
          </cell>
          <cell r="H60">
            <v>178.21739999999997</v>
          </cell>
          <cell r="I60">
            <v>1</v>
          </cell>
          <cell r="J60">
            <v>0</v>
          </cell>
          <cell r="K60">
            <v>0</v>
          </cell>
          <cell r="L60" t="str">
            <v>0.00%</v>
          </cell>
          <cell r="M60">
            <v>18.739999999999998</v>
          </cell>
          <cell r="N60">
            <v>178.21739999999997</v>
          </cell>
          <cell r="O60">
            <v>1</v>
          </cell>
          <cell r="P60">
            <v>0</v>
          </cell>
          <cell r="Q60">
            <v>0</v>
          </cell>
          <cell r="R60" t="str">
            <v>0.00%</v>
          </cell>
        </row>
        <row r="61">
          <cell r="A61" t="str">
            <v>01.01.06.14</v>
          </cell>
          <cell r="B61" t="str">
            <v>ELIMINACION DE DESMONTE PROVENIENTE DE DEMOLICION</v>
          </cell>
          <cell r="C61" t="str">
            <v>m3</v>
          </cell>
          <cell r="D61">
            <v>853.07</v>
          </cell>
          <cell r="E61">
            <v>30.5</v>
          </cell>
          <cell r="F61">
            <v>26018.635000000002</v>
          </cell>
          <cell r="G61">
            <v>853.07</v>
          </cell>
          <cell r="H61">
            <v>26018.635000000002</v>
          </cell>
          <cell r="I61">
            <v>1</v>
          </cell>
          <cell r="J61">
            <v>0</v>
          </cell>
          <cell r="K61">
            <v>0</v>
          </cell>
          <cell r="L61" t="str">
            <v>0.00%</v>
          </cell>
          <cell r="M61">
            <v>853.07</v>
          </cell>
          <cell r="N61">
            <v>26018.635000000002</v>
          </cell>
          <cell r="O61">
            <v>1</v>
          </cell>
          <cell r="P61">
            <v>0</v>
          </cell>
          <cell r="Q61">
            <v>0</v>
          </cell>
          <cell r="R61" t="str">
            <v>0.00%</v>
          </cell>
        </row>
        <row r="62">
          <cell r="A62" t="str">
            <v>01.01.07</v>
          </cell>
          <cell r="B62" t="str">
            <v>MOVIMIENTO DE TIERRAS</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row>
        <row r="63">
          <cell r="A63" t="str">
            <v>01.01.07.01</v>
          </cell>
          <cell r="B63" t="str">
            <v>EXPLANACION DE PLATAFORMA</v>
          </cell>
          <cell r="C63">
            <v>0</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row>
        <row r="64">
          <cell r="A64" t="str">
            <v>01.01.07.01.01</v>
          </cell>
          <cell r="B64" t="str">
            <v>CORTE DE MATERIAL SUELTO CON MAQUINARIA</v>
          </cell>
          <cell r="C64" t="str">
            <v>m3</v>
          </cell>
          <cell r="D64">
            <v>1188.48</v>
          </cell>
          <cell r="E64">
            <v>5.54</v>
          </cell>
          <cell r="F64">
            <v>6584.1792000000005</v>
          </cell>
          <cell r="G64">
            <v>1188.48</v>
          </cell>
          <cell r="H64">
            <v>6584.1792000000005</v>
          </cell>
          <cell r="I64">
            <v>1</v>
          </cell>
          <cell r="J64">
            <v>0</v>
          </cell>
          <cell r="K64">
            <v>0</v>
          </cell>
          <cell r="L64" t="str">
            <v>0.00%</v>
          </cell>
          <cell r="M64">
            <v>1188.48</v>
          </cell>
          <cell r="N64">
            <v>6584.1792000000005</v>
          </cell>
          <cell r="O64">
            <v>1</v>
          </cell>
          <cell r="P64">
            <v>0</v>
          </cell>
          <cell r="Q64">
            <v>0</v>
          </cell>
          <cell r="R64" t="str">
            <v>0.00%</v>
          </cell>
        </row>
        <row r="65">
          <cell r="A65" t="str">
            <v>01.01.07.01.02</v>
          </cell>
          <cell r="B65" t="str">
            <v>RELLENO COMPACTADO CON MATERIAL PROPIO</v>
          </cell>
          <cell r="C65" t="str">
            <v>m3</v>
          </cell>
          <cell r="D65">
            <v>125.3</v>
          </cell>
          <cell r="E65">
            <v>24.89</v>
          </cell>
          <cell r="F65">
            <v>3118.7170000000001</v>
          </cell>
          <cell r="G65">
            <v>0</v>
          </cell>
          <cell r="H65">
            <v>0</v>
          </cell>
          <cell r="I65" t="str">
            <v>0.00%</v>
          </cell>
          <cell r="J65">
            <v>125.3</v>
          </cell>
          <cell r="K65">
            <v>3118.7170000000001</v>
          </cell>
          <cell r="L65">
            <v>1</v>
          </cell>
          <cell r="M65">
            <v>125.3</v>
          </cell>
          <cell r="N65">
            <v>3118.7170000000001</v>
          </cell>
          <cell r="O65">
            <v>1</v>
          </cell>
          <cell r="P65">
            <v>0</v>
          </cell>
          <cell r="Q65">
            <v>0</v>
          </cell>
          <cell r="R65" t="str">
            <v>0.00%</v>
          </cell>
        </row>
        <row r="66">
          <cell r="A66" t="str">
            <v>01.01.07.01.03</v>
          </cell>
          <cell r="B66" t="str">
            <v>ELIMINACION DE MATERIAL PROVENIENTE DE EXCAVACION</v>
          </cell>
          <cell r="C66" t="str">
            <v>m3</v>
          </cell>
          <cell r="D66">
            <v>1063.18</v>
          </cell>
          <cell r="E66">
            <v>23.36</v>
          </cell>
          <cell r="F66">
            <v>24835.8848</v>
          </cell>
          <cell r="G66">
            <v>1063.18</v>
          </cell>
          <cell r="H66">
            <v>24835.8848</v>
          </cell>
          <cell r="I66">
            <v>1</v>
          </cell>
          <cell r="J66">
            <v>0</v>
          </cell>
          <cell r="K66">
            <v>0</v>
          </cell>
          <cell r="L66" t="str">
            <v>0.00%</v>
          </cell>
          <cell r="M66">
            <v>1063.18</v>
          </cell>
          <cell r="N66">
            <v>24835.8848</v>
          </cell>
          <cell r="O66">
            <v>1</v>
          </cell>
          <cell r="P66">
            <v>0</v>
          </cell>
          <cell r="Q66">
            <v>0</v>
          </cell>
          <cell r="R66" t="str">
            <v>0.00%</v>
          </cell>
        </row>
        <row r="67">
          <cell r="A67" t="str">
            <v>01.01.08</v>
          </cell>
          <cell r="B67" t="str">
            <v>TRAZOS, NIVELES Y REPLANTEO</v>
          </cell>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row>
        <row r="68">
          <cell r="A68" t="str">
            <v>01.01.08.01</v>
          </cell>
          <cell r="B68" t="str">
            <v>TRAZO, NIVELES Y REPLANTEO PRELIMINAR</v>
          </cell>
          <cell r="C68" t="str">
            <v>m2</v>
          </cell>
          <cell r="D68">
            <v>1850.48</v>
          </cell>
          <cell r="E68">
            <v>2.93</v>
          </cell>
          <cell r="F68">
            <v>5421.9064000000008</v>
          </cell>
          <cell r="G68">
            <v>1850.48</v>
          </cell>
          <cell r="H68">
            <v>5421.9064000000008</v>
          </cell>
          <cell r="I68">
            <v>1</v>
          </cell>
          <cell r="J68">
            <v>0</v>
          </cell>
          <cell r="K68">
            <v>0</v>
          </cell>
          <cell r="L68" t="str">
            <v>0.00%</v>
          </cell>
          <cell r="M68">
            <v>1850.48</v>
          </cell>
          <cell r="N68">
            <v>5421.9064000000008</v>
          </cell>
          <cell r="O68">
            <v>1</v>
          </cell>
          <cell r="P68">
            <v>0</v>
          </cell>
          <cell r="Q68">
            <v>0</v>
          </cell>
          <cell r="R68" t="str">
            <v>0.00%</v>
          </cell>
        </row>
        <row r="69">
          <cell r="A69" t="str">
            <v>01.02</v>
          </cell>
          <cell r="B69" t="str">
            <v>SEGURIDAD Y SALUD GENERALIDADES</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row>
        <row r="70">
          <cell r="A70" t="str">
            <v>01.02.01</v>
          </cell>
          <cell r="B70" t="str">
            <v>ELABORACION, IMPLEMENTACION Y ADMINISTRACION DEL PLAN SEGURIDAD Y SALUD EN EL TRABAJO</v>
          </cell>
          <cell r="C70" t="str">
            <v>.</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row>
        <row r="71">
          <cell r="A71" t="str">
            <v>01.02.01.01</v>
          </cell>
          <cell r="B71" t="str">
            <v>EQUIPOS DE PROTECCIÓN INDIVIDUAL</v>
          </cell>
          <cell r="C71" t="str">
            <v>GLB</v>
          </cell>
          <cell r="D71">
            <v>1</v>
          </cell>
          <cell r="E71">
            <v>13160</v>
          </cell>
          <cell r="F71">
            <v>13160</v>
          </cell>
          <cell r="G71">
            <v>0.875</v>
          </cell>
          <cell r="H71">
            <v>11515</v>
          </cell>
          <cell r="I71">
            <v>0.875</v>
          </cell>
          <cell r="J71">
            <v>0.125</v>
          </cell>
          <cell r="K71">
            <v>1645</v>
          </cell>
          <cell r="L71">
            <v>0.125</v>
          </cell>
          <cell r="M71">
            <v>1</v>
          </cell>
          <cell r="N71">
            <v>13160</v>
          </cell>
          <cell r="O71">
            <v>1</v>
          </cell>
          <cell r="P71">
            <v>0</v>
          </cell>
          <cell r="Q71">
            <v>0</v>
          </cell>
          <cell r="R71" t="str">
            <v>0.00%</v>
          </cell>
        </row>
        <row r="72">
          <cell r="A72" t="str">
            <v>01.02.01.02</v>
          </cell>
          <cell r="B72" t="str">
            <v>EQUIPOS DE PROTECCIÓN COLECTIVA</v>
          </cell>
          <cell r="C72" t="str">
            <v>GLB</v>
          </cell>
          <cell r="D72">
            <v>1</v>
          </cell>
          <cell r="E72">
            <v>3450</v>
          </cell>
          <cell r="F72">
            <v>3450</v>
          </cell>
          <cell r="G72">
            <v>0.875</v>
          </cell>
          <cell r="H72">
            <v>3018.75</v>
          </cell>
          <cell r="I72">
            <v>0.875</v>
          </cell>
          <cell r="J72">
            <v>0.125</v>
          </cell>
          <cell r="K72">
            <v>431.25</v>
          </cell>
          <cell r="L72">
            <v>0.125</v>
          </cell>
          <cell r="M72">
            <v>1</v>
          </cell>
          <cell r="N72">
            <v>3450</v>
          </cell>
          <cell r="O72">
            <v>1</v>
          </cell>
          <cell r="P72">
            <v>0</v>
          </cell>
          <cell r="Q72">
            <v>0</v>
          </cell>
          <cell r="R72" t="str">
            <v>0.00%</v>
          </cell>
        </row>
        <row r="73">
          <cell r="A73" t="str">
            <v>01.02.01.03</v>
          </cell>
          <cell r="B73" t="str">
            <v>SEÑALIZACIÓN TEMPORAL DE SEGURIDAD</v>
          </cell>
          <cell r="C73" t="str">
            <v>GLB</v>
          </cell>
          <cell r="D73">
            <v>1</v>
          </cell>
          <cell r="E73">
            <v>2730</v>
          </cell>
          <cell r="F73">
            <v>2730</v>
          </cell>
          <cell r="G73">
            <v>0.875</v>
          </cell>
          <cell r="H73">
            <v>2388.75</v>
          </cell>
          <cell r="I73">
            <v>0.875</v>
          </cell>
          <cell r="J73">
            <v>0.125</v>
          </cell>
          <cell r="K73">
            <v>341.25</v>
          </cell>
          <cell r="L73">
            <v>0.125</v>
          </cell>
          <cell r="M73">
            <v>1</v>
          </cell>
          <cell r="N73">
            <v>2730</v>
          </cell>
          <cell r="O73">
            <v>1</v>
          </cell>
          <cell r="P73">
            <v>0</v>
          </cell>
          <cell r="Q73">
            <v>0</v>
          </cell>
          <cell r="R73" t="str">
            <v>0.00%</v>
          </cell>
        </row>
        <row r="74">
          <cell r="A74" t="str">
            <v>01.02.01.04</v>
          </cell>
          <cell r="B74" t="str">
            <v>CAPACITACIÓN EN SEGURIDAD Y SALUD</v>
          </cell>
          <cell r="C74" t="str">
            <v>GLB</v>
          </cell>
          <cell r="D74">
            <v>1</v>
          </cell>
          <cell r="E74">
            <v>6480</v>
          </cell>
          <cell r="F74">
            <v>6480</v>
          </cell>
          <cell r="G74">
            <v>0.875</v>
          </cell>
          <cell r="H74">
            <v>5670</v>
          </cell>
          <cell r="I74">
            <v>0.875</v>
          </cell>
          <cell r="J74">
            <v>0.125</v>
          </cell>
          <cell r="K74">
            <v>810</v>
          </cell>
          <cell r="L74">
            <v>0.125</v>
          </cell>
          <cell r="M74">
            <v>1</v>
          </cell>
          <cell r="N74">
            <v>6480</v>
          </cell>
          <cell r="O74">
            <v>1</v>
          </cell>
          <cell r="P74">
            <v>0</v>
          </cell>
          <cell r="Q74">
            <v>0</v>
          </cell>
          <cell r="R74" t="str">
            <v>0.00%</v>
          </cell>
        </row>
        <row r="75">
          <cell r="A75" t="str">
            <v>01.02.01.05</v>
          </cell>
          <cell r="B75" t="str">
            <v>RECURSOS PARA RESPUESTAS ANTE EMERGENCIAS EN SEGURIDAD Y SALUD DURANTE EL TRABAJO</v>
          </cell>
          <cell r="C75" t="str">
            <v>GLB</v>
          </cell>
          <cell r="D75">
            <v>1</v>
          </cell>
          <cell r="E75">
            <v>6450</v>
          </cell>
          <cell r="F75">
            <v>6450</v>
          </cell>
          <cell r="G75">
            <v>0.875</v>
          </cell>
          <cell r="H75">
            <v>5643.75</v>
          </cell>
          <cell r="I75">
            <v>0.875</v>
          </cell>
          <cell r="J75">
            <v>0.125</v>
          </cell>
          <cell r="K75">
            <v>806.25</v>
          </cell>
          <cell r="L75">
            <v>0.125</v>
          </cell>
          <cell r="M75">
            <v>1</v>
          </cell>
          <cell r="N75">
            <v>6450</v>
          </cell>
          <cell r="O75">
            <v>1</v>
          </cell>
          <cell r="P75">
            <v>0</v>
          </cell>
          <cell r="Q75">
            <v>0</v>
          </cell>
          <cell r="R75" t="str">
            <v>0.00%</v>
          </cell>
        </row>
        <row r="76">
          <cell r="A76">
            <v>0</v>
          </cell>
          <cell r="B76">
            <v>0</v>
          </cell>
          <cell r="C76">
            <v>0</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row>
        <row r="77">
          <cell r="A77">
            <v>0</v>
          </cell>
          <cell r="B77" t="str">
            <v>COSTO OBRAS PROVISIONALES</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row>
        <row r="78">
          <cell r="A78">
            <v>0</v>
          </cell>
          <cell r="B78">
            <v>0</v>
          </cell>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row>
        <row r="79">
          <cell r="A79">
            <v>0</v>
          </cell>
          <cell r="B79" t="str">
            <v>COSTO DIRECTO</v>
          </cell>
          <cell r="C79">
            <v>0</v>
          </cell>
          <cell r="D79">
            <v>0</v>
          </cell>
          <cell r="E79">
            <v>0</v>
          </cell>
          <cell r="F79">
            <v>197765.27930000002</v>
          </cell>
          <cell r="G79">
            <v>0</v>
          </cell>
          <cell r="H79">
            <v>185941.20629999999</v>
          </cell>
          <cell r="I79">
            <v>0.94021158293380958</v>
          </cell>
          <cell r="J79">
            <v>0</v>
          </cell>
          <cell r="K79">
            <v>7677.15398</v>
          </cell>
          <cell r="L79">
            <v>3.8819523867757097E-2</v>
          </cell>
          <cell r="M79">
            <v>0</v>
          </cell>
          <cell r="N79">
            <v>193618.36027999999</v>
          </cell>
          <cell r="O79">
            <v>0.97903110680156669</v>
          </cell>
          <cell r="P79">
            <v>0</v>
          </cell>
          <cell r="Q79">
            <v>4146.9190199999994</v>
          </cell>
          <cell r="R79">
            <v>2.0968893198433133E-2</v>
          </cell>
        </row>
        <row r="80">
          <cell r="A80">
            <v>0</v>
          </cell>
          <cell r="B80" t="str">
            <v xml:space="preserve">GASTOS GENERALES   </v>
          </cell>
          <cell r="C80">
            <v>0</v>
          </cell>
          <cell r="D80">
            <v>0.1087</v>
          </cell>
          <cell r="E80">
            <v>0</v>
          </cell>
          <cell r="F80">
            <v>21497.085859910003</v>
          </cell>
          <cell r="G80">
            <v>0</v>
          </cell>
          <cell r="H80">
            <v>20211.809124809999</v>
          </cell>
          <cell r="I80">
            <v>0.94021158293380958</v>
          </cell>
          <cell r="J80">
            <v>0</v>
          </cell>
          <cell r="K80">
            <v>834.50663762600004</v>
          </cell>
          <cell r="L80">
            <v>3.8819523867757104E-2</v>
          </cell>
          <cell r="M80">
            <v>0</v>
          </cell>
          <cell r="N80">
            <v>21046.315762435999</v>
          </cell>
          <cell r="O80">
            <v>0.97903110680156669</v>
          </cell>
          <cell r="P80">
            <v>0</v>
          </cell>
          <cell r="Q80">
            <v>450.77009747399995</v>
          </cell>
          <cell r="R80">
            <v>2.0968893198433133E-2</v>
          </cell>
        </row>
        <row r="81">
          <cell r="A81">
            <v>0</v>
          </cell>
          <cell r="B81" t="str">
            <v xml:space="preserve">GASTOS DE SUPERVISION    </v>
          </cell>
          <cell r="C81">
            <v>0</v>
          </cell>
          <cell r="D81">
            <v>4.4999999999999998E-2</v>
          </cell>
          <cell r="E81">
            <v>0</v>
          </cell>
          <cell r="F81">
            <v>8899.4375685000014</v>
          </cell>
          <cell r="G81">
            <v>0</v>
          </cell>
          <cell r="H81">
            <v>8367.3542834999989</v>
          </cell>
          <cell r="I81">
            <v>0.94021158293380946</v>
          </cell>
          <cell r="J81">
            <v>0</v>
          </cell>
          <cell r="K81">
            <v>345.47192910000001</v>
          </cell>
          <cell r="L81">
            <v>3.8819523867757097E-2</v>
          </cell>
          <cell r="M81">
            <v>0</v>
          </cell>
          <cell r="N81">
            <v>8712.8262125999991</v>
          </cell>
          <cell r="O81">
            <v>0.97903110680156658</v>
          </cell>
          <cell r="P81">
            <v>0</v>
          </cell>
          <cell r="Q81">
            <v>186.61135589999998</v>
          </cell>
          <cell r="R81">
            <v>2.0968893198433133E-2</v>
          </cell>
        </row>
        <row r="82">
          <cell r="A82">
            <v>0</v>
          </cell>
          <cell r="B82">
            <v>0</v>
          </cell>
          <cell r="C82">
            <v>0</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row>
        <row r="83">
          <cell r="A83">
            <v>0</v>
          </cell>
          <cell r="B83" t="str">
            <v>SUB TOTAL</v>
          </cell>
          <cell r="C83">
            <v>0</v>
          </cell>
          <cell r="D83">
            <v>0</v>
          </cell>
          <cell r="E83">
            <v>0</v>
          </cell>
          <cell r="F83">
            <v>228161.80272841002</v>
          </cell>
          <cell r="G83">
            <v>0</v>
          </cell>
          <cell r="H83">
            <v>214520.36970831</v>
          </cell>
          <cell r="I83">
            <v>0.94021158293380969</v>
          </cell>
          <cell r="J83">
            <v>0</v>
          </cell>
          <cell r="K83">
            <v>8857.1325467259994</v>
          </cell>
          <cell r="L83">
            <v>3.8819523867757097E-2</v>
          </cell>
          <cell r="M83">
            <v>0</v>
          </cell>
          <cell r="N83">
            <v>223377.50225503597</v>
          </cell>
          <cell r="O83">
            <v>0.97903110680156669</v>
          </cell>
          <cell r="P83">
            <v>0</v>
          </cell>
          <cell r="Q83">
            <v>4784.300473373999</v>
          </cell>
          <cell r="R83">
            <v>2.0968893198433133E-2</v>
          </cell>
        </row>
        <row r="84">
          <cell r="A84">
            <v>0</v>
          </cell>
          <cell r="B84">
            <v>0</v>
          </cell>
          <cell r="C84">
            <v>0</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row>
        <row r="85">
          <cell r="A85">
            <v>0</v>
          </cell>
          <cell r="B85" t="str">
            <v>SUB PRESUPUESTO 002 ESTRUCTURAS</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row>
        <row r="86">
          <cell r="A86" t="str">
            <v>02</v>
          </cell>
          <cell r="B86" t="str">
            <v>BLOQUE - 1</v>
          </cell>
          <cell r="C86">
            <v>0</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row>
        <row r="87">
          <cell r="A87" t="str">
            <v>02.01</v>
          </cell>
          <cell r="B87" t="str">
            <v>TRABAJOS PRELIMINARES</v>
          </cell>
          <cell r="C87">
            <v>0</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row>
        <row r="88">
          <cell r="A88" t="str">
            <v>02.01.01</v>
          </cell>
          <cell r="B88" t="str">
            <v>LIMPIEZA DE TERRENO MANUAL</v>
          </cell>
          <cell r="C88" t="str">
            <v>m2</v>
          </cell>
          <cell r="D88">
            <v>231.19</v>
          </cell>
          <cell r="E88">
            <v>1.0900000000000001</v>
          </cell>
          <cell r="F88">
            <v>251.99710000000002</v>
          </cell>
          <cell r="G88">
            <v>231.19</v>
          </cell>
          <cell r="H88">
            <v>251.99710000000002</v>
          </cell>
          <cell r="I88">
            <v>1</v>
          </cell>
          <cell r="J88">
            <v>0</v>
          </cell>
          <cell r="K88">
            <v>0</v>
          </cell>
          <cell r="L88" t="str">
            <v>0.00%</v>
          </cell>
          <cell r="M88">
            <v>231.19</v>
          </cell>
          <cell r="N88">
            <v>251.99710000000002</v>
          </cell>
          <cell r="O88">
            <v>1</v>
          </cell>
          <cell r="P88">
            <v>0</v>
          </cell>
          <cell r="Q88">
            <v>0</v>
          </cell>
          <cell r="R88" t="str">
            <v>0.00%</v>
          </cell>
        </row>
        <row r="89">
          <cell r="A89" t="str">
            <v>02.01.02</v>
          </cell>
          <cell r="B89" t="str">
            <v>TRAZO DURANTE LA EJECUCION DE LA OBRA</v>
          </cell>
          <cell r="C89" t="str">
            <v>m2</v>
          </cell>
          <cell r="D89">
            <v>231.19</v>
          </cell>
          <cell r="E89">
            <v>3.49</v>
          </cell>
          <cell r="F89">
            <v>806.85310000000004</v>
          </cell>
          <cell r="G89">
            <v>231.19</v>
          </cell>
          <cell r="H89">
            <v>806.85310000000004</v>
          </cell>
          <cell r="I89">
            <v>1</v>
          </cell>
          <cell r="J89">
            <v>0</v>
          </cell>
          <cell r="K89">
            <v>0</v>
          </cell>
          <cell r="L89" t="str">
            <v>0.00%</v>
          </cell>
          <cell r="M89">
            <v>231.19</v>
          </cell>
          <cell r="N89">
            <v>806.85310000000004</v>
          </cell>
          <cell r="O89">
            <v>1</v>
          </cell>
          <cell r="P89">
            <v>0</v>
          </cell>
          <cell r="Q89">
            <v>0</v>
          </cell>
          <cell r="R89" t="str">
            <v>0.00%</v>
          </cell>
        </row>
        <row r="90">
          <cell r="A90" t="str">
            <v>02.02</v>
          </cell>
          <cell r="B90" t="str">
            <v>MOVIMIENTO DE TIERRAS</v>
          </cell>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row>
        <row r="91">
          <cell r="A91" t="str">
            <v>02.02.01</v>
          </cell>
          <cell r="B91" t="str">
            <v xml:space="preserve">EXCAVACION PARA CIMIENTOS-ZAPATAS </v>
          </cell>
          <cell r="C91" t="str">
            <v>m3</v>
          </cell>
          <cell r="D91">
            <v>161.1</v>
          </cell>
          <cell r="E91">
            <v>44.73</v>
          </cell>
          <cell r="F91">
            <v>7206.0029999999988</v>
          </cell>
          <cell r="G91">
            <v>161.1</v>
          </cell>
          <cell r="H91">
            <v>7206.0029999999988</v>
          </cell>
          <cell r="I91">
            <v>1</v>
          </cell>
          <cell r="J91">
            <v>0</v>
          </cell>
          <cell r="K91">
            <v>0</v>
          </cell>
          <cell r="L91" t="str">
            <v>0.00%</v>
          </cell>
          <cell r="M91">
            <v>161.1</v>
          </cell>
          <cell r="N91">
            <v>7206.0029999999988</v>
          </cell>
          <cell r="O91">
            <v>1</v>
          </cell>
          <cell r="P91">
            <v>0</v>
          </cell>
          <cell r="Q91">
            <v>0</v>
          </cell>
          <cell r="R91" t="str">
            <v>0.00%</v>
          </cell>
        </row>
        <row r="92">
          <cell r="A92" t="str">
            <v>02.02.02</v>
          </cell>
          <cell r="B92" t="str">
            <v>RELLENO COMPACTADO CON MATERIAL PROPIO EN CAPAS DE 0.20m.</v>
          </cell>
          <cell r="C92" t="str">
            <v>m3</v>
          </cell>
          <cell r="D92">
            <v>64.650000000000006</v>
          </cell>
          <cell r="E92">
            <v>53.95</v>
          </cell>
          <cell r="F92">
            <v>3487.8675000000003</v>
          </cell>
          <cell r="G92">
            <v>64.650000000000006</v>
          </cell>
          <cell r="H92">
            <v>3487.8675000000003</v>
          </cell>
          <cell r="I92">
            <v>1</v>
          </cell>
          <cell r="J92">
            <v>0</v>
          </cell>
          <cell r="K92">
            <v>0</v>
          </cell>
          <cell r="L92" t="str">
            <v>0.00%</v>
          </cell>
          <cell r="M92">
            <v>64.650000000000006</v>
          </cell>
          <cell r="N92">
            <v>3487.8675000000003</v>
          </cell>
          <cell r="O92">
            <v>1</v>
          </cell>
          <cell r="P92">
            <v>0</v>
          </cell>
          <cell r="Q92">
            <v>0</v>
          </cell>
          <cell r="R92" t="str">
            <v>0.00%</v>
          </cell>
        </row>
        <row r="93">
          <cell r="A93" t="str">
            <v>02.02.03</v>
          </cell>
          <cell r="B93" t="str">
            <v>ACARREO INTERNO, MATERIAL PROCEDENTE DE EXCAVACIONES  Y OTROS</v>
          </cell>
          <cell r="C93" t="str">
            <v>m3</v>
          </cell>
          <cell r="D93">
            <v>125.39</v>
          </cell>
          <cell r="E93">
            <v>19</v>
          </cell>
          <cell r="F93">
            <v>2382.41</v>
          </cell>
          <cell r="G93">
            <v>125.39</v>
          </cell>
          <cell r="H93">
            <v>2382.41</v>
          </cell>
          <cell r="I93">
            <v>1</v>
          </cell>
          <cell r="J93">
            <v>0</v>
          </cell>
          <cell r="K93">
            <v>0</v>
          </cell>
          <cell r="L93" t="str">
            <v>0.00%</v>
          </cell>
          <cell r="M93">
            <v>125.39</v>
          </cell>
          <cell r="N93">
            <v>2382.41</v>
          </cell>
          <cell r="O93">
            <v>1</v>
          </cell>
          <cell r="P93">
            <v>0</v>
          </cell>
          <cell r="Q93">
            <v>0</v>
          </cell>
          <cell r="R93" t="str">
            <v>0.00%</v>
          </cell>
        </row>
        <row r="94">
          <cell r="A94" t="str">
            <v>02.02.04</v>
          </cell>
          <cell r="B94" t="str">
            <v>ELIMINACION DE MATERIAL EXCEDENTE CON EQUIPO</v>
          </cell>
          <cell r="C94" t="str">
            <v>m3</v>
          </cell>
          <cell r="D94">
            <v>125.39</v>
          </cell>
          <cell r="E94">
            <v>14.64</v>
          </cell>
          <cell r="F94">
            <v>1835.7096000000001</v>
          </cell>
          <cell r="G94">
            <v>125.39</v>
          </cell>
          <cell r="H94">
            <v>1835.7096000000001</v>
          </cell>
          <cell r="I94">
            <v>1</v>
          </cell>
          <cell r="J94">
            <v>0</v>
          </cell>
          <cell r="K94">
            <v>0</v>
          </cell>
          <cell r="L94" t="str">
            <v>0.00%</v>
          </cell>
          <cell r="M94">
            <v>125.39</v>
          </cell>
          <cell r="N94">
            <v>1835.7096000000001</v>
          </cell>
          <cell r="O94">
            <v>1</v>
          </cell>
          <cell r="P94">
            <v>0</v>
          </cell>
          <cell r="Q94">
            <v>0</v>
          </cell>
          <cell r="R94" t="str">
            <v>0.00%</v>
          </cell>
        </row>
        <row r="95">
          <cell r="A95" t="str">
            <v>02.02.05</v>
          </cell>
          <cell r="B95" t="str">
            <v xml:space="preserve">AFIRMADO e=20 cm </v>
          </cell>
          <cell r="C95" t="str">
            <v>m3</v>
          </cell>
          <cell r="D95">
            <v>41.08</v>
          </cell>
          <cell r="E95">
            <v>82.36</v>
          </cell>
          <cell r="F95">
            <v>3383.3487999999998</v>
          </cell>
          <cell r="G95">
            <v>41.08</v>
          </cell>
          <cell r="H95">
            <v>3383.3487999999998</v>
          </cell>
          <cell r="I95">
            <v>1</v>
          </cell>
          <cell r="J95">
            <v>0</v>
          </cell>
          <cell r="K95">
            <v>0</v>
          </cell>
          <cell r="L95" t="str">
            <v>0.00%</v>
          </cell>
          <cell r="M95">
            <v>41.08</v>
          </cell>
          <cell r="N95">
            <v>3383.3487999999998</v>
          </cell>
          <cell r="O95">
            <v>1</v>
          </cell>
          <cell r="P95">
            <v>0</v>
          </cell>
          <cell r="Q95">
            <v>0</v>
          </cell>
          <cell r="R95" t="str">
            <v>0.00%</v>
          </cell>
        </row>
        <row r="96">
          <cell r="A96" t="str">
            <v>02.02.06</v>
          </cell>
          <cell r="B96" t="str">
            <v xml:space="preserve">NIVELACION Y COMPACTACION PARA FALSO PISOS, VEREDAS Y PATIOS </v>
          </cell>
          <cell r="C96" t="str">
            <v>m2</v>
          </cell>
          <cell r="D96">
            <v>211.45</v>
          </cell>
          <cell r="E96">
            <v>9.3800000000000008</v>
          </cell>
          <cell r="F96">
            <v>1983.4010000000001</v>
          </cell>
          <cell r="G96">
            <v>211.45</v>
          </cell>
          <cell r="H96">
            <v>1983.4010000000001</v>
          </cell>
          <cell r="I96">
            <v>1</v>
          </cell>
          <cell r="J96">
            <v>0</v>
          </cell>
          <cell r="K96">
            <v>0</v>
          </cell>
          <cell r="L96" t="str">
            <v>0.00%</v>
          </cell>
          <cell r="M96">
            <v>211.45</v>
          </cell>
          <cell r="N96">
            <v>1983.4010000000001</v>
          </cell>
          <cell r="O96">
            <v>1</v>
          </cell>
          <cell r="P96">
            <v>0</v>
          </cell>
          <cell r="Q96">
            <v>0</v>
          </cell>
          <cell r="R96" t="str">
            <v>0.00%</v>
          </cell>
        </row>
        <row r="97">
          <cell r="A97" t="str">
            <v>02.03</v>
          </cell>
          <cell r="B97" t="str">
            <v>CONCRETO SIMPLE</v>
          </cell>
          <cell r="C97">
            <v>0</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row>
        <row r="98">
          <cell r="A98" t="str">
            <v>02.03.01</v>
          </cell>
          <cell r="B98" t="str">
            <v>SOLADOS</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row>
        <row r="99">
          <cell r="A99" t="str">
            <v>02.03.01.01</v>
          </cell>
          <cell r="B99" t="str">
            <v>SOLADO E= 2" MEZCLA 1:12 CEMENTO-HORMIGON</v>
          </cell>
          <cell r="C99" t="str">
            <v>m2</v>
          </cell>
          <cell r="D99">
            <v>75.2</v>
          </cell>
          <cell r="E99">
            <v>29.02</v>
          </cell>
          <cell r="F99">
            <v>2182.3040000000001</v>
          </cell>
          <cell r="G99">
            <v>75.2</v>
          </cell>
          <cell r="H99">
            <v>2182.3040000000001</v>
          </cell>
          <cell r="I99">
            <v>1</v>
          </cell>
          <cell r="J99">
            <v>0</v>
          </cell>
          <cell r="K99">
            <v>0</v>
          </cell>
          <cell r="L99" t="str">
            <v>0.00%</v>
          </cell>
          <cell r="M99">
            <v>75.2</v>
          </cell>
          <cell r="N99">
            <v>2182.3040000000001</v>
          </cell>
          <cell r="O99">
            <v>1</v>
          </cell>
          <cell r="P99">
            <v>0</v>
          </cell>
          <cell r="Q99">
            <v>0</v>
          </cell>
          <cell r="R99" t="str">
            <v>0.00%</v>
          </cell>
        </row>
        <row r="100">
          <cell r="A100" t="str">
            <v>02.03.02</v>
          </cell>
          <cell r="B100" t="str">
            <v>CIMIENTOS CORRIDOS</v>
          </cell>
          <cell r="C100">
            <v>0</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row>
        <row r="101">
          <cell r="A101" t="str">
            <v>02.03.02.01</v>
          </cell>
          <cell r="B101" t="str">
            <v>CIMIENTOS CORRIDOS MEZCLA 1:10 CEMENTO-HORMIGON 30% PIEDRA</v>
          </cell>
          <cell r="C101" t="str">
            <v>m3</v>
          </cell>
          <cell r="D101">
            <v>43.23</v>
          </cell>
          <cell r="E101">
            <v>248.48</v>
          </cell>
          <cell r="F101">
            <v>10741.790399999998</v>
          </cell>
          <cell r="G101">
            <v>43.23</v>
          </cell>
          <cell r="H101">
            <v>10741.790399999998</v>
          </cell>
          <cell r="I101">
            <v>1</v>
          </cell>
          <cell r="J101">
            <v>0</v>
          </cell>
          <cell r="K101">
            <v>0</v>
          </cell>
          <cell r="L101" t="str">
            <v>0.00%</v>
          </cell>
          <cell r="M101">
            <v>43.23</v>
          </cell>
          <cell r="N101">
            <v>10741.790399999998</v>
          </cell>
          <cell r="O101">
            <v>1</v>
          </cell>
          <cell r="P101">
            <v>0</v>
          </cell>
          <cell r="Q101">
            <v>0</v>
          </cell>
          <cell r="R101" t="str">
            <v>0.00%</v>
          </cell>
        </row>
        <row r="102">
          <cell r="A102" t="str">
            <v>02.03.03</v>
          </cell>
          <cell r="B102" t="str">
            <v>SOBRECIMIENTOS</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row>
        <row r="103">
          <cell r="A103" t="str">
            <v>02.03.03.01</v>
          </cell>
          <cell r="B103" t="str">
            <v>CONCRETO 1:8+25% P.M. PARA SOBRECIMIENTOS</v>
          </cell>
          <cell r="C103" t="str">
            <v>m3</v>
          </cell>
          <cell r="D103">
            <v>6.44</v>
          </cell>
          <cell r="E103">
            <v>312.47000000000003</v>
          </cell>
          <cell r="F103">
            <v>2012.3068000000003</v>
          </cell>
          <cell r="G103">
            <v>6.44</v>
          </cell>
          <cell r="H103">
            <v>2012.3068000000003</v>
          </cell>
          <cell r="I103">
            <v>1</v>
          </cell>
          <cell r="J103">
            <v>0</v>
          </cell>
          <cell r="K103">
            <v>0</v>
          </cell>
          <cell r="L103" t="str">
            <v>0.00%</v>
          </cell>
          <cell r="M103">
            <v>6.44</v>
          </cell>
          <cell r="N103">
            <v>2012.3068000000003</v>
          </cell>
          <cell r="O103">
            <v>1</v>
          </cell>
          <cell r="P103">
            <v>0</v>
          </cell>
          <cell r="Q103">
            <v>0</v>
          </cell>
          <cell r="R103" t="str">
            <v>0.00%</v>
          </cell>
        </row>
        <row r="104">
          <cell r="A104" t="str">
            <v>02.03.03.02</v>
          </cell>
          <cell r="B104" t="str">
            <v>ENCOFRADO Y DESENCOFRADO NORMAL PARA SOBRECIMIENTOS HASTA 0.60M.</v>
          </cell>
          <cell r="C104" t="str">
            <v>m2</v>
          </cell>
          <cell r="D104">
            <v>45.96</v>
          </cell>
          <cell r="E104">
            <v>44.43</v>
          </cell>
          <cell r="F104">
            <v>2042.0028</v>
          </cell>
          <cell r="G104">
            <v>45.96</v>
          </cell>
          <cell r="H104">
            <v>2042.0028</v>
          </cell>
          <cell r="I104">
            <v>1</v>
          </cell>
          <cell r="J104">
            <v>0</v>
          </cell>
          <cell r="K104">
            <v>0</v>
          </cell>
          <cell r="L104" t="str">
            <v>0.00%</v>
          </cell>
          <cell r="M104">
            <v>45.96</v>
          </cell>
          <cell r="N104">
            <v>2042.0028</v>
          </cell>
          <cell r="O104">
            <v>1</v>
          </cell>
          <cell r="P104">
            <v>0</v>
          </cell>
          <cell r="Q104">
            <v>0</v>
          </cell>
          <cell r="R104" t="str">
            <v>0.00%</v>
          </cell>
        </row>
        <row r="105">
          <cell r="A105" t="str">
            <v>02.04</v>
          </cell>
          <cell r="B105" t="str">
            <v>CONCRETO ARMADO</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row>
        <row r="106">
          <cell r="A106" t="str">
            <v>02.04.01</v>
          </cell>
          <cell r="B106" t="str">
            <v>ZAPATAS</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row>
        <row r="107">
          <cell r="A107" t="str">
            <v>02.04.01.01</v>
          </cell>
          <cell r="B107" t="str">
            <v>ACERO F'Y=4200 KG/CM2 GRADO 60 EN ZAPATAS</v>
          </cell>
          <cell r="C107" t="str">
            <v>kg</v>
          </cell>
          <cell r="D107">
            <v>940.23</v>
          </cell>
          <cell r="E107">
            <v>4.3</v>
          </cell>
          <cell r="F107">
            <v>4042.989</v>
          </cell>
          <cell r="G107">
            <v>940.23</v>
          </cell>
          <cell r="H107">
            <v>4042.989</v>
          </cell>
          <cell r="I107">
            <v>1</v>
          </cell>
          <cell r="J107">
            <v>0</v>
          </cell>
          <cell r="K107">
            <v>0</v>
          </cell>
          <cell r="L107" t="str">
            <v>0.00%</v>
          </cell>
          <cell r="M107">
            <v>940.23</v>
          </cell>
          <cell r="N107">
            <v>4042.989</v>
          </cell>
          <cell r="O107">
            <v>1</v>
          </cell>
          <cell r="P107">
            <v>0</v>
          </cell>
          <cell r="Q107">
            <v>0</v>
          </cell>
          <cell r="R107" t="str">
            <v>0.00%</v>
          </cell>
        </row>
        <row r="108">
          <cell r="A108" t="str">
            <v>02.04.01.02</v>
          </cell>
          <cell r="B108" t="str">
            <v>CONCRETO PARA ZAPATAS F'C=210 KG/CM2</v>
          </cell>
          <cell r="C108" t="str">
            <v>m3</v>
          </cell>
          <cell r="D108">
            <v>30.96</v>
          </cell>
          <cell r="E108">
            <v>427.63</v>
          </cell>
          <cell r="F108">
            <v>13239.424800000001</v>
          </cell>
          <cell r="G108">
            <v>30.96</v>
          </cell>
          <cell r="H108">
            <v>13239.424800000001</v>
          </cell>
          <cell r="I108">
            <v>1</v>
          </cell>
          <cell r="J108">
            <v>0</v>
          </cell>
          <cell r="K108">
            <v>0</v>
          </cell>
          <cell r="L108" t="str">
            <v>0.00%</v>
          </cell>
          <cell r="M108">
            <v>30.96</v>
          </cell>
          <cell r="N108">
            <v>13239.424800000001</v>
          </cell>
          <cell r="O108">
            <v>1</v>
          </cell>
          <cell r="P108">
            <v>0</v>
          </cell>
          <cell r="Q108">
            <v>0</v>
          </cell>
          <cell r="R108" t="str">
            <v>0.00%</v>
          </cell>
        </row>
        <row r="109">
          <cell r="A109" t="str">
            <v>02.04.02</v>
          </cell>
          <cell r="B109" t="str">
            <v>VIGAS DE CIMENTACION</v>
          </cell>
          <cell r="C109">
            <v>0</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row>
        <row r="110">
          <cell r="A110" t="str">
            <v>02.04.02.01</v>
          </cell>
          <cell r="B110" t="str">
            <v>CONCRETO F'C= 210 KG/CM2 EN VIGAS DE CIMENTACIÓN</v>
          </cell>
          <cell r="C110" t="str">
            <v>m3</v>
          </cell>
          <cell r="D110">
            <v>10.64</v>
          </cell>
          <cell r="E110">
            <v>451</v>
          </cell>
          <cell r="F110">
            <v>4798.6400000000003</v>
          </cell>
          <cell r="G110">
            <v>10.64</v>
          </cell>
          <cell r="H110">
            <v>4798.6400000000003</v>
          </cell>
          <cell r="I110">
            <v>1</v>
          </cell>
          <cell r="J110">
            <v>0</v>
          </cell>
          <cell r="K110">
            <v>0</v>
          </cell>
          <cell r="L110" t="str">
            <v>0.00%</v>
          </cell>
          <cell r="M110">
            <v>10.64</v>
          </cell>
          <cell r="N110">
            <v>4798.6400000000003</v>
          </cell>
          <cell r="O110">
            <v>1</v>
          </cell>
          <cell r="P110">
            <v>0</v>
          </cell>
          <cell r="Q110">
            <v>0</v>
          </cell>
          <cell r="R110" t="str">
            <v>0.00%</v>
          </cell>
        </row>
        <row r="111">
          <cell r="A111" t="str">
            <v>02.04.02.02</v>
          </cell>
          <cell r="B111" t="str">
            <v>ACERO F'Y=4200 KG/CM2 GRADO 60 EN VIGAS DE CIMENTACIÓN</v>
          </cell>
          <cell r="C111" t="str">
            <v>kg</v>
          </cell>
          <cell r="D111">
            <v>1120.1400000000001</v>
          </cell>
          <cell r="E111">
            <v>4.45</v>
          </cell>
          <cell r="F111">
            <v>4984.6230000000005</v>
          </cell>
          <cell r="G111">
            <v>1120.1399999999999</v>
          </cell>
          <cell r="H111">
            <v>4984.6229999999996</v>
          </cell>
          <cell r="I111">
            <v>0.99999999999999978</v>
          </cell>
          <cell r="J111">
            <v>0</v>
          </cell>
          <cell r="K111">
            <v>0</v>
          </cell>
          <cell r="L111" t="str">
            <v>0.00%</v>
          </cell>
          <cell r="M111">
            <v>1120.1399999999999</v>
          </cell>
          <cell r="N111">
            <v>4984.6229999999996</v>
          </cell>
          <cell r="O111">
            <v>0.99999999999999978</v>
          </cell>
          <cell r="P111">
            <v>2.2737367544323206E-13</v>
          </cell>
          <cell r="Q111">
            <v>9.0949470177292824E-13</v>
          </cell>
          <cell r="R111">
            <v>1.824600780787089E-16</v>
          </cell>
        </row>
        <row r="112">
          <cell r="A112" t="str">
            <v>02.04.02.03</v>
          </cell>
          <cell r="B112" t="str">
            <v>ENCOFRADO Y DESENCOFRADO DE VIGAS DE CIMENTACIÓN</v>
          </cell>
          <cell r="C112" t="str">
            <v>m2</v>
          </cell>
          <cell r="D112">
            <v>85.14</v>
          </cell>
          <cell r="E112">
            <v>44.69</v>
          </cell>
          <cell r="F112">
            <v>3804.9065999999998</v>
          </cell>
          <cell r="G112">
            <v>85.14</v>
          </cell>
          <cell r="H112">
            <v>3804.9065999999998</v>
          </cell>
          <cell r="I112">
            <v>1</v>
          </cell>
          <cell r="J112">
            <v>0</v>
          </cell>
          <cell r="K112">
            <v>0</v>
          </cell>
          <cell r="L112" t="str">
            <v>0.00%</v>
          </cell>
          <cell r="M112">
            <v>85.14</v>
          </cell>
          <cell r="N112">
            <v>3804.9065999999998</v>
          </cell>
          <cell r="O112">
            <v>1</v>
          </cell>
          <cell r="P112">
            <v>0</v>
          </cell>
          <cell r="Q112">
            <v>0</v>
          </cell>
          <cell r="R112" t="str">
            <v>0.00%</v>
          </cell>
        </row>
        <row r="113">
          <cell r="A113" t="str">
            <v>02.04.03</v>
          </cell>
          <cell r="B113" t="str">
            <v>COLUMNAS</v>
          </cell>
          <cell r="C113">
            <v>0</v>
          </cell>
          <cell r="D113">
            <v>0</v>
          </cell>
          <cell r="E113">
            <v>0</v>
          </cell>
          <cell r="F113">
            <v>0</v>
          </cell>
          <cell r="G113">
            <v>0</v>
          </cell>
          <cell r="H113">
            <v>0</v>
          </cell>
          <cell r="I113">
            <v>0</v>
          </cell>
          <cell r="J113">
            <v>0</v>
          </cell>
          <cell r="K113">
            <v>0</v>
          </cell>
          <cell r="L113">
            <v>0</v>
          </cell>
          <cell r="M113">
            <v>0</v>
          </cell>
          <cell r="N113">
            <v>0</v>
          </cell>
          <cell r="O113">
            <v>0</v>
          </cell>
          <cell r="P113">
            <v>0</v>
          </cell>
          <cell r="Q113">
            <v>0</v>
          </cell>
          <cell r="R113">
            <v>0</v>
          </cell>
        </row>
        <row r="114">
          <cell r="A114" t="str">
            <v>02.04.03.01</v>
          </cell>
          <cell r="B114" t="str">
            <v>CONCRETO EN COLUMNAS F'C=210 KG/CM2</v>
          </cell>
          <cell r="C114" t="str">
            <v>m3</v>
          </cell>
          <cell r="D114">
            <v>28.02</v>
          </cell>
          <cell r="E114">
            <v>521.12</v>
          </cell>
          <cell r="F114">
            <v>14601.7824</v>
          </cell>
          <cell r="G114">
            <v>28.02</v>
          </cell>
          <cell r="H114">
            <v>14601.7824</v>
          </cell>
          <cell r="I114">
            <v>1</v>
          </cell>
          <cell r="J114">
            <v>0</v>
          </cell>
          <cell r="K114">
            <v>0</v>
          </cell>
          <cell r="L114" t="str">
            <v>0.00%</v>
          </cell>
          <cell r="M114">
            <v>28.02</v>
          </cell>
          <cell r="N114">
            <v>14601.7824</v>
          </cell>
          <cell r="O114">
            <v>1</v>
          </cell>
          <cell r="P114">
            <v>0</v>
          </cell>
          <cell r="Q114">
            <v>0</v>
          </cell>
          <cell r="R114" t="str">
            <v>0.00%</v>
          </cell>
        </row>
        <row r="115">
          <cell r="A115" t="str">
            <v>02.04.03.02</v>
          </cell>
          <cell r="B115" t="str">
            <v>ACERO F'Y=4200 KG/CM2 GRADO 60 EN COLUMNAS</v>
          </cell>
          <cell r="C115" t="str">
            <v>kg</v>
          </cell>
          <cell r="D115">
            <v>3821.42</v>
          </cell>
          <cell r="E115">
            <v>4.5</v>
          </cell>
          <cell r="F115">
            <v>17196.39</v>
          </cell>
          <cell r="G115">
            <v>3821.42</v>
          </cell>
          <cell r="H115">
            <v>17196.39</v>
          </cell>
          <cell r="I115">
            <v>1</v>
          </cell>
          <cell r="J115">
            <v>0</v>
          </cell>
          <cell r="K115">
            <v>0</v>
          </cell>
          <cell r="L115" t="str">
            <v>0.00%</v>
          </cell>
          <cell r="M115">
            <v>3821.42</v>
          </cell>
          <cell r="N115">
            <v>17196.39</v>
          </cell>
          <cell r="O115">
            <v>1</v>
          </cell>
          <cell r="P115">
            <v>0</v>
          </cell>
          <cell r="Q115">
            <v>0</v>
          </cell>
          <cell r="R115" t="str">
            <v>0.00%</v>
          </cell>
        </row>
        <row r="116">
          <cell r="A116" t="str">
            <v>02.04.03.03</v>
          </cell>
          <cell r="B116" t="str">
            <v>ENCOFRADO Y DESENCOFRADO NORMAL EN COLUMNAS</v>
          </cell>
          <cell r="C116" t="str">
            <v>m2</v>
          </cell>
          <cell r="D116">
            <v>307.99</v>
          </cell>
          <cell r="E116">
            <v>49.71</v>
          </cell>
          <cell r="F116">
            <v>15310.182900000002</v>
          </cell>
          <cell r="G116">
            <v>307.99</v>
          </cell>
          <cell r="H116">
            <v>15310.182900000002</v>
          </cell>
          <cell r="I116">
            <v>1</v>
          </cell>
          <cell r="J116">
            <v>0</v>
          </cell>
          <cell r="K116">
            <v>0</v>
          </cell>
          <cell r="L116" t="str">
            <v>0.00%</v>
          </cell>
          <cell r="M116">
            <v>307.99</v>
          </cell>
          <cell r="N116">
            <v>15310.182900000002</v>
          </cell>
          <cell r="O116">
            <v>1</v>
          </cell>
          <cell r="P116">
            <v>0</v>
          </cell>
          <cell r="Q116">
            <v>0</v>
          </cell>
          <cell r="R116" t="str">
            <v>0.00%</v>
          </cell>
        </row>
        <row r="117">
          <cell r="A117" t="str">
            <v>02.04.04</v>
          </cell>
          <cell r="B117" t="str">
            <v>COLUMNETAS</v>
          </cell>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row>
        <row r="118">
          <cell r="A118" t="str">
            <v>02.04.04.01</v>
          </cell>
          <cell r="B118" t="str">
            <v>CONCRETO EN COLUMNETAS F'C=210 KG/CM2</v>
          </cell>
          <cell r="C118" t="str">
            <v>m3</v>
          </cell>
          <cell r="D118">
            <v>8.4</v>
          </cell>
          <cell r="E118">
            <v>521.12</v>
          </cell>
          <cell r="F118">
            <v>4377.4080000000004</v>
          </cell>
          <cell r="G118">
            <v>3.6599999999999997</v>
          </cell>
          <cell r="H118">
            <v>1907.2991999999999</v>
          </cell>
          <cell r="I118">
            <v>0.43571428571428567</v>
          </cell>
          <cell r="J118">
            <v>4.7399990000000001</v>
          </cell>
          <cell r="K118">
            <v>2470.1082788799999</v>
          </cell>
          <cell r="L118">
            <v>0.56428559523809518</v>
          </cell>
          <cell r="M118">
            <v>8.3999989999999993</v>
          </cell>
          <cell r="N118">
            <v>4377.4074788799999</v>
          </cell>
          <cell r="O118">
            <v>0.99999988095238079</v>
          </cell>
          <cell r="P118">
            <v>1.0000000010279564E-6</v>
          </cell>
          <cell r="Q118">
            <v>5.2112000048509799E-4</v>
          </cell>
          <cell r="R118">
            <v>1.1904761915843758E-7</v>
          </cell>
        </row>
        <row r="119">
          <cell r="A119" t="str">
            <v>02.04.04.02</v>
          </cell>
          <cell r="B119" t="str">
            <v>ACERO F'Y=4200 KG/CM2 GRADO 60 EN COLUMNETAS</v>
          </cell>
          <cell r="C119" t="str">
            <v>kg</v>
          </cell>
          <cell r="D119">
            <v>1391.91</v>
          </cell>
          <cell r="E119">
            <v>4.4400000000000004</v>
          </cell>
          <cell r="F119">
            <v>6180.0804000000007</v>
          </cell>
          <cell r="G119">
            <v>1391.91</v>
          </cell>
          <cell r="H119">
            <v>6180.0804000000007</v>
          </cell>
          <cell r="I119">
            <v>1</v>
          </cell>
          <cell r="J119">
            <v>0</v>
          </cell>
          <cell r="K119">
            <v>0</v>
          </cell>
          <cell r="L119" t="str">
            <v>0.00%</v>
          </cell>
          <cell r="M119">
            <v>1391.91</v>
          </cell>
          <cell r="N119">
            <v>6180.0804000000007</v>
          </cell>
          <cell r="O119">
            <v>1</v>
          </cell>
          <cell r="P119">
            <v>0</v>
          </cell>
          <cell r="Q119">
            <v>0</v>
          </cell>
          <cell r="R119" t="str">
            <v>0.00%</v>
          </cell>
        </row>
        <row r="120">
          <cell r="A120" t="str">
            <v>02.04.04.03</v>
          </cell>
          <cell r="B120" t="str">
            <v>ENCOFRADO Y DESNCOFRADO NORMAL  EN COLUMNETAS</v>
          </cell>
          <cell r="C120" t="str">
            <v>m2</v>
          </cell>
          <cell r="D120">
            <v>67.23</v>
          </cell>
          <cell r="E120">
            <v>49.71</v>
          </cell>
          <cell r="F120">
            <v>3342.0033000000003</v>
          </cell>
          <cell r="G120">
            <v>29.279999999999998</v>
          </cell>
          <cell r="H120">
            <v>1455.5087999999998</v>
          </cell>
          <cell r="I120">
            <v>0.43551985720660413</v>
          </cell>
          <cell r="J120">
            <v>37.949999999999996</v>
          </cell>
          <cell r="K120">
            <v>1886.4944999999998</v>
          </cell>
          <cell r="L120">
            <v>0.56448014279339565</v>
          </cell>
          <cell r="M120">
            <v>67.22999999999999</v>
          </cell>
          <cell r="N120">
            <v>3342.0032999999994</v>
          </cell>
          <cell r="O120">
            <v>0.99999999999999978</v>
          </cell>
          <cell r="P120">
            <v>1.4210854715202004E-14</v>
          </cell>
          <cell r="Q120">
            <v>9.0949470177292824E-13</v>
          </cell>
          <cell r="R120">
            <v>2.7214057561610669E-16</v>
          </cell>
        </row>
        <row r="121">
          <cell r="A121" t="str">
            <v>02.04.05</v>
          </cell>
          <cell r="B121" t="str">
            <v>VIGAS</v>
          </cell>
          <cell r="C121">
            <v>0</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row>
        <row r="122">
          <cell r="A122" t="str">
            <v>02.04.05.01</v>
          </cell>
          <cell r="B122" t="str">
            <v>CONCRETO EN VIGAS F'C=210 KG/CM2</v>
          </cell>
          <cell r="C122" t="str">
            <v>m3</v>
          </cell>
          <cell r="D122">
            <v>30.6</v>
          </cell>
          <cell r="E122">
            <v>486.07</v>
          </cell>
          <cell r="F122">
            <v>14873.742</v>
          </cell>
          <cell r="G122">
            <v>30.6</v>
          </cell>
          <cell r="H122">
            <v>14873.742</v>
          </cell>
          <cell r="I122">
            <v>1</v>
          </cell>
          <cell r="J122">
            <v>0</v>
          </cell>
          <cell r="K122">
            <v>0</v>
          </cell>
          <cell r="L122" t="str">
            <v>0.00%</v>
          </cell>
          <cell r="M122">
            <v>30.6</v>
          </cell>
          <cell r="N122">
            <v>14873.742</v>
          </cell>
          <cell r="O122">
            <v>1</v>
          </cell>
          <cell r="P122">
            <v>0</v>
          </cell>
          <cell r="Q122">
            <v>0</v>
          </cell>
          <cell r="R122" t="str">
            <v>0.00%</v>
          </cell>
        </row>
        <row r="123">
          <cell r="A123" t="str">
            <v>02.04.05.02</v>
          </cell>
          <cell r="B123" t="str">
            <v>ACERO F'Y=4200 KG/CM2 GRADO 60 EN VIGAS</v>
          </cell>
          <cell r="C123" t="str">
            <v>kg</v>
          </cell>
          <cell r="D123">
            <v>4084.63</v>
          </cell>
          <cell r="E123">
            <v>4.5</v>
          </cell>
          <cell r="F123">
            <v>18380.834999999999</v>
          </cell>
          <cell r="G123">
            <v>4084.63</v>
          </cell>
          <cell r="H123">
            <v>18380.834999999999</v>
          </cell>
          <cell r="I123">
            <v>1</v>
          </cell>
          <cell r="J123">
            <v>0</v>
          </cell>
          <cell r="K123">
            <v>0</v>
          </cell>
          <cell r="L123" t="str">
            <v>0.00%</v>
          </cell>
          <cell r="M123">
            <v>4084.63</v>
          </cell>
          <cell r="N123">
            <v>18380.834999999999</v>
          </cell>
          <cell r="O123">
            <v>1</v>
          </cell>
          <cell r="P123">
            <v>0</v>
          </cell>
          <cell r="Q123">
            <v>0</v>
          </cell>
          <cell r="R123" t="str">
            <v>0.00%</v>
          </cell>
        </row>
        <row r="124">
          <cell r="A124" t="str">
            <v>02.04.05.03</v>
          </cell>
          <cell r="B124" t="str">
            <v>ENCOFRADO Y DESNCOFRADO NORMAL EN VIGAS</v>
          </cell>
          <cell r="C124" t="str">
            <v>m2</v>
          </cell>
          <cell r="D124">
            <v>220.41</v>
          </cell>
          <cell r="E124">
            <v>54.02</v>
          </cell>
          <cell r="F124">
            <v>11906.548200000001</v>
          </cell>
          <cell r="G124">
            <v>220.41</v>
          </cell>
          <cell r="H124">
            <v>11906.548200000001</v>
          </cell>
          <cell r="I124">
            <v>1</v>
          </cell>
          <cell r="J124">
            <v>0</v>
          </cell>
          <cell r="K124">
            <v>0</v>
          </cell>
          <cell r="L124" t="str">
            <v>0.00%</v>
          </cell>
          <cell r="M124">
            <v>220.41</v>
          </cell>
          <cell r="N124">
            <v>11906.548200000001</v>
          </cell>
          <cell r="O124">
            <v>1</v>
          </cell>
          <cell r="P124">
            <v>0</v>
          </cell>
          <cell r="Q124">
            <v>0</v>
          </cell>
          <cell r="R124" t="str">
            <v>0.00%</v>
          </cell>
        </row>
        <row r="125">
          <cell r="A125" t="str">
            <v>02.04.06</v>
          </cell>
          <cell r="B125" t="str">
            <v>VIGUETAS DE VANOS</v>
          </cell>
          <cell r="C125">
            <v>0</v>
          </cell>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row>
        <row r="126">
          <cell r="A126" t="str">
            <v>02.04.06.01</v>
          </cell>
          <cell r="B126" t="str">
            <v>CONCRETO EN VIGUETAS DE VANO F'C=175 KG/CM2</v>
          </cell>
          <cell r="C126" t="str">
            <v>m3</v>
          </cell>
          <cell r="D126">
            <v>5.35</v>
          </cell>
          <cell r="E126">
            <v>271.35000000000002</v>
          </cell>
          <cell r="F126">
            <v>1451.7225000000001</v>
          </cell>
          <cell r="G126">
            <v>1.9432500000000001</v>
          </cell>
          <cell r="H126">
            <v>527.30088750000004</v>
          </cell>
          <cell r="I126">
            <v>0.36322429906542059</v>
          </cell>
          <cell r="J126">
            <v>3.4067400000000001</v>
          </cell>
          <cell r="K126">
            <v>924.41889900000012</v>
          </cell>
          <cell r="L126">
            <v>0.63677383177570102</v>
          </cell>
          <cell r="M126">
            <v>5.34999</v>
          </cell>
          <cell r="N126">
            <v>1451.7197865000003</v>
          </cell>
          <cell r="O126">
            <v>0.99999813084112166</v>
          </cell>
          <cell r="P126">
            <v>9.9999999996214228E-6</v>
          </cell>
          <cell r="Q126">
            <v>2.7134999997997511E-3</v>
          </cell>
          <cell r="R126">
            <v>1.8691588783667339E-6</v>
          </cell>
        </row>
        <row r="127">
          <cell r="A127" t="str">
            <v>02.04.06.02</v>
          </cell>
          <cell r="B127" t="str">
            <v>ACERO GRADO 60 EN VIGUETAS DE VANO</v>
          </cell>
          <cell r="C127" t="str">
            <v>kg</v>
          </cell>
          <cell r="D127">
            <v>173.64</v>
          </cell>
          <cell r="E127">
            <v>4.5</v>
          </cell>
          <cell r="F127">
            <v>781.37999999999988</v>
          </cell>
          <cell r="G127">
            <v>92.762000000000015</v>
          </cell>
          <cell r="H127">
            <v>417.42900000000009</v>
          </cell>
          <cell r="I127">
            <v>0.53422022575443462</v>
          </cell>
          <cell r="J127">
            <v>80.876999999999995</v>
          </cell>
          <cell r="K127">
            <v>363.94649999999996</v>
          </cell>
          <cell r="L127">
            <v>0.46577401520387007</v>
          </cell>
          <cell r="M127">
            <v>173.63900000000001</v>
          </cell>
          <cell r="N127">
            <v>781.3755000000001</v>
          </cell>
          <cell r="O127">
            <v>0.9999942409583048</v>
          </cell>
          <cell r="P127">
            <v>9.9999999997635314E-4</v>
          </cell>
          <cell r="Q127">
            <v>4.4999999997799023E-3</v>
          </cell>
          <cell r="R127">
            <v>5.7590416951801982E-6</v>
          </cell>
        </row>
        <row r="128">
          <cell r="A128" t="str">
            <v>02.04.06.03</v>
          </cell>
          <cell r="B128" t="str">
            <v>ENCOFRADO Y DESENCOFRADO EN VIGUETAS DE VANO</v>
          </cell>
          <cell r="C128" t="str">
            <v>m2</v>
          </cell>
          <cell r="D128">
            <v>66.03</v>
          </cell>
          <cell r="E128">
            <v>41.63</v>
          </cell>
          <cell r="F128">
            <v>2748.8289000000004</v>
          </cell>
          <cell r="G128">
            <v>28.500999999999998</v>
          </cell>
          <cell r="H128">
            <v>1186.4966299999999</v>
          </cell>
          <cell r="I128">
            <v>0.43163713463577152</v>
          </cell>
          <cell r="J128">
            <v>37.529000000000003</v>
          </cell>
          <cell r="K128">
            <v>1562.3322700000003</v>
          </cell>
          <cell r="L128">
            <v>0.56836286536422842</v>
          </cell>
          <cell r="M128">
            <v>66.03</v>
          </cell>
          <cell r="N128">
            <v>2748.8289000000004</v>
          </cell>
          <cell r="O128">
            <v>1</v>
          </cell>
          <cell r="P128">
            <v>0</v>
          </cell>
          <cell r="Q128">
            <v>0</v>
          </cell>
          <cell r="R128" t="str">
            <v>0.00%</v>
          </cell>
        </row>
        <row r="129">
          <cell r="A129" t="str">
            <v>02.04.07</v>
          </cell>
          <cell r="B129" t="str">
            <v>LOSAS ALIGERADAS</v>
          </cell>
          <cell r="C129">
            <v>0</v>
          </cell>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row>
        <row r="130">
          <cell r="A130" t="str">
            <v>02.04.07.01</v>
          </cell>
          <cell r="B130" t="str">
            <v>CONCRETO EN LOSAS ALIGERADAS F'C=210 KG/CM2</v>
          </cell>
          <cell r="C130" t="str">
            <v>m3</v>
          </cell>
          <cell r="D130">
            <v>32.42</v>
          </cell>
          <cell r="E130">
            <v>487.24</v>
          </cell>
          <cell r="F130">
            <v>15796.320800000001</v>
          </cell>
          <cell r="G130">
            <v>32.42</v>
          </cell>
          <cell r="H130">
            <v>15796.320800000001</v>
          </cell>
          <cell r="I130">
            <v>1</v>
          </cell>
          <cell r="J130">
            <v>0</v>
          </cell>
          <cell r="K130">
            <v>0</v>
          </cell>
          <cell r="L130" t="str">
            <v>0.00%</v>
          </cell>
          <cell r="M130">
            <v>32.42</v>
          </cell>
          <cell r="N130">
            <v>15796.320800000001</v>
          </cell>
          <cell r="O130">
            <v>1</v>
          </cell>
          <cell r="P130">
            <v>0</v>
          </cell>
          <cell r="Q130">
            <v>0</v>
          </cell>
          <cell r="R130" t="str">
            <v>0.00%</v>
          </cell>
        </row>
        <row r="131">
          <cell r="A131" t="str">
            <v>02.04.07.02</v>
          </cell>
          <cell r="B131" t="str">
            <v>ACERO F'Y=4200 KG/CM2 GRADO 60 EN LOSAS ALIGERADAS</v>
          </cell>
          <cell r="C131" t="str">
            <v>kg</v>
          </cell>
          <cell r="D131">
            <v>2873.11</v>
          </cell>
          <cell r="E131">
            <v>4.5</v>
          </cell>
          <cell r="F131">
            <v>12928.995000000001</v>
          </cell>
          <cell r="G131">
            <v>2873.11</v>
          </cell>
          <cell r="H131">
            <v>12928.995000000001</v>
          </cell>
          <cell r="I131">
            <v>1</v>
          </cell>
          <cell r="J131">
            <v>0</v>
          </cell>
          <cell r="K131">
            <v>0</v>
          </cell>
          <cell r="L131" t="str">
            <v>0.00%</v>
          </cell>
          <cell r="M131">
            <v>2873.11</v>
          </cell>
          <cell r="N131">
            <v>12928.995000000001</v>
          </cell>
          <cell r="O131">
            <v>1</v>
          </cell>
          <cell r="P131">
            <v>0</v>
          </cell>
          <cell r="Q131">
            <v>0</v>
          </cell>
          <cell r="R131" t="str">
            <v>0.00%</v>
          </cell>
        </row>
        <row r="132">
          <cell r="A132" t="str">
            <v>02.04.07.03</v>
          </cell>
          <cell r="B132" t="str">
            <v>ENCOFRADO Y DESENCOFRADO NORMAL EN LOSAS ALIGERADAS</v>
          </cell>
          <cell r="C132" t="str">
            <v>m2</v>
          </cell>
          <cell r="D132">
            <v>370.59</v>
          </cell>
          <cell r="E132">
            <v>29.08</v>
          </cell>
          <cell r="F132">
            <v>10776.757199999998</v>
          </cell>
          <cell r="G132">
            <v>370.5899</v>
          </cell>
          <cell r="H132">
            <v>10776.754292</v>
          </cell>
          <cell r="I132">
            <v>0.9999997301600152</v>
          </cell>
          <cell r="J132">
            <v>0</v>
          </cell>
          <cell r="K132">
            <v>0</v>
          </cell>
          <cell r="L132" t="str">
            <v>0.00%</v>
          </cell>
          <cell r="M132">
            <v>370.5899</v>
          </cell>
          <cell r="N132">
            <v>10776.754292</v>
          </cell>
          <cell r="O132">
            <v>0.9999997301600152</v>
          </cell>
          <cell r="P132">
            <v>9.9999999974897946E-5</v>
          </cell>
          <cell r="Q132">
            <v>2.9079999985697214E-3</v>
          </cell>
          <cell r="R132">
            <v>2.6983998475624206E-7</v>
          </cell>
        </row>
        <row r="133">
          <cell r="A133" t="str">
            <v>02.04.07.04</v>
          </cell>
          <cell r="B133" t="str">
            <v>LADRILLO DE ARCILLA HUECO 15X30X30 PARA TECHO</v>
          </cell>
          <cell r="C133" t="str">
            <v>und</v>
          </cell>
          <cell r="D133">
            <v>3087.03</v>
          </cell>
          <cell r="E133">
            <v>4.66</v>
          </cell>
          <cell r="F133">
            <v>14385.559800000001</v>
          </cell>
          <cell r="G133">
            <v>3087.0299999999997</v>
          </cell>
          <cell r="H133">
            <v>14385.559799999999</v>
          </cell>
          <cell r="I133">
            <v>0.99999999999999989</v>
          </cell>
          <cell r="J133">
            <v>0</v>
          </cell>
          <cell r="K133">
            <v>0</v>
          </cell>
          <cell r="L133" t="str">
            <v>0.00%</v>
          </cell>
          <cell r="M133">
            <v>3087.0299999999997</v>
          </cell>
          <cell r="N133">
            <v>14385.559799999999</v>
          </cell>
          <cell r="O133">
            <v>0.99999999999999989</v>
          </cell>
          <cell r="P133">
            <v>4.5474735088646412E-13</v>
          </cell>
          <cell r="Q133">
            <v>1.8189894035458565E-12</v>
          </cell>
          <cell r="R133">
            <v>1.2644550708036099E-16</v>
          </cell>
        </row>
        <row r="134">
          <cell r="A134" t="str">
            <v>02.04.08</v>
          </cell>
          <cell r="B134" t="str">
            <v>CUNETA DE  EVACUACION PLUVIAL EN TECHO</v>
          </cell>
          <cell r="C134">
            <v>0</v>
          </cell>
          <cell r="D134">
            <v>0</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row>
        <row r="135">
          <cell r="A135" t="str">
            <v>02.04.08.01</v>
          </cell>
          <cell r="B135" t="str">
            <v>CONCRETO EN CUNETA F'C= 210 KG/CM2</v>
          </cell>
          <cell r="C135" t="str">
            <v>m3</v>
          </cell>
          <cell r="D135">
            <v>2.09</v>
          </cell>
          <cell r="E135">
            <v>482.39</v>
          </cell>
          <cell r="F135">
            <v>1008.1950999999999</v>
          </cell>
          <cell r="G135">
            <v>2.09</v>
          </cell>
          <cell r="H135">
            <v>1008.1950999999999</v>
          </cell>
          <cell r="I135">
            <v>1</v>
          </cell>
          <cell r="J135">
            <v>0</v>
          </cell>
          <cell r="K135">
            <v>0</v>
          </cell>
          <cell r="L135" t="str">
            <v>0.00%</v>
          </cell>
          <cell r="M135">
            <v>2.09</v>
          </cell>
          <cell r="N135">
            <v>1008.1950999999999</v>
          </cell>
          <cell r="O135">
            <v>1</v>
          </cell>
          <cell r="P135">
            <v>0</v>
          </cell>
          <cell r="Q135">
            <v>0</v>
          </cell>
          <cell r="R135" t="str">
            <v>0.00%</v>
          </cell>
        </row>
        <row r="136">
          <cell r="A136" t="str">
            <v>02.04.08.02</v>
          </cell>
          <cell r="B136" t="str">
            <v>ACERO F'Y=4200 KG/CM2 GRADO 60 EN CUNETA</v>
          </cell>
          <cell r="C136" t="str">
            <v>kg</v>
          </cell>
          <cell r="D136">
            <v>297.77999999999997</v>
          </cell>
          <cell r="E136">
            <v>4.4400000000000004</v>
          </cell>
          <cell r="F136">
            <v>1322.1432</v>
          </cell>
          <cell r="G136">
            <v>297.77999999999997</v>
          </cell>
          <cell r="H136">
            <v>1322.1432</v>
          </cell>
          <cell r="I136">
            <v>1</v>
          </cell>
          <cell r="J136">
            <v>0</v>
          </cell>
          <cell r="K136">
            <v>0</v>
          </cell>
          <cell r="L136" t="str">
            <v>0.00%</v>
          </cell>
          <cell r="M136">
            <v>297.77999999999997</v>
          </cell>
          <cell r="N136">
            <v>1322.1432</v>
          </cell>
          <cell r="O136">
            <v>1</v>
          </cell>
          <cell r="P136">
            <v>0</v>
          </cell>
          <cell r="Q136">
            <v>0</v>
          </cell>
          <cell r="R136" t="str">
            <v>0.00%</v>
          </cell>
        </row>
        <row r="137">
          <cell r="A137" t="str">
            <v>02.04.08.03</v>
          </cell>
          <cell r="B137" t="str">
            <v>ENCOFRADO Y DESENCOFRADO NORMAL EN CUNETAS</v>
          </cell>
          <cell r="C137" t="str">
            <v>m2</v>
          </cell>
          <cell r="D137">
            <v>41.89</v>
          </cell>
          <cell r="E137">
            <v>44.85</v>
          </cell>
          <cell r="F137">
            <v>1878.7665000000002</v>
          </cell>
          <cell r="G137">
            <v>41.89</v>
          </cell>
          <cell r="H137">
            <v>1878.7665000000002</v>
          </cell>
          <cell r="I137">
            <v>1</v>
          </cell>
          <cell r="J137">
            <v>0</v>
          </cell>
          <cell r="K137">
            <v>0</v>
          </cell>
          <cell r="L137" t="str">
            <v>0.00%</v>
          </cell>
          <cell r="M137">
            <v>41.89</v>
          </cell>
          <cell r="N137">
            <v>1878.7665000000002</v>
          </cell>
          <cell r="O137">
            <v>1</v>
          </cell>
          <cell r="P137">
            <v>0</v>
          </cell>
          <cell r="Q137">
            <v>0</v>
          </cell>
          <cell r="R137" t="str">
            <v>0.00%</v>
          </cell>
        </row>
        <row r="138">
          <cell r="A138" t="str">
            <v>02.04.09</v>
          </cell>
          <cell r="B138" t="str">
            <v>MARCO DE VENTANA DE CONCRETO</v>
          </cell>
          <cell r="C138">
            <v>0</v>
          </cell>
          <cell r="D138">
            <v>0</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row>
        <row r="139">
          <cell r="A139" t="str">
            <v>02.04.09.01</v>
          </cell>
          <cell r="B139" t="str">
            <v>CONCRETO F'C= 175 KG/CM2 EN MARCO DE VENTANA</v>
          </cell>
          <cell r="C139" t="str">
            <v>m3</v>
          </cell>
          <cell r="D139">
            <v>1.07</v>
          </cell>
          <cell r="E139">
            <v>462.25</v>
          </cell>
          <cell r="F139">
            <v>494.60750000000002</v>
          </cell>
          <cell r="G139">
            <v>0</v>
          </cell>
          <cell r="H139">
            <v>0</v>
          </cell>
          <cell r="I139" t="str">
            <v>0.00%</v>
          </cell>
          <cell r="J139">
            <v>0.192</v>
          </cell>
          <cell r="K139">
            <v>88.751999999999995</v>
          </cell>
          <cell r="L139">
            <v>0.17943925233644858</v>
          </cell>
          <cell r="M139">
            <v>0.192</v>
          </cell>
          <cell r="N139">
            <v>88.751999999999995</v>
          </cell>
          <cell r="O139">
            <v>0.17943925233644858</v>
          </cell>
          <cell r="P139">
            <v>0.87800000000000011</v>
          </cell>
          <cell r="Q139">
            <v>405.85550000000001</v>
          </cell>
          <cell r="R139">
            <v>0.82056074766355136</v>
          </cell>
        </row>
        <row r="140">
          <cell r="A140" t="str">
            <v>02.04.09.02</v>
          </cell>
          <cell r="B140" t="str">
            <v>ACERO F'Y=4200 KG/CM2 GRADO 60 EN MARCO DE VENTANA</v>
          </cell>
          <cell r="C140" t="str">
            <v>kg</v>
          </cell>
          <cell r="D140">
            <v>207.36</v>
          </cell>
          <cell r="E140">
            <v>4.4400000000000004</v>
          </cell>
          <cell r="F140">
            <v>920.67840000000012</v>
          </cell>
          <cell r="G140">
            <v>153.36000000000001</v>
          </cell>
          <cell r="H140">
            <v>680.91840000000013</v>
          </cell>
          <cell r="I140">
            <v>0.73958333333333337</v>
          </cell>
          <cell r="J140">
            <v>54</v>
          </cell>
          <cell r="K140">
            <v>239.76000000000002</v>
          </cell>
          <cell r="L140">
            <v>0.26041666666666663</v>
          </cell>
          <cell r="M140">
            <v>207.36</v>
          </cell>
          <cell r="N140">
            <v>920.67840000000012</v>
          </cell>
          <cell r="O140">
            <v>1</v>
          </cell>
          <cell r="P140">
            <v>0</v>
          </cell>
          <cell r="Q140">
            <v>0</v>
          </cell>
          <cell r="R140" t="str">
            <v>0.00%</v>
          </cell>
        </row>
        <row r="141">
          <cell r="A141" t="str">
            <v>02.04.09.03</v>
          </cell>
          <cell r="B141" t="str">
            <v>ENCOFRADO Y DESENCOFRADO EN MARCO DE VENTANA</v>
          </cell>
          <cell r="C141" t="str">
            <v>m2</v>
          </cell>
          <cell r="D141">
            <v>10.72</v>
          </cell>
          <cell r="E141">
            <v>28.78</v>
          </cell>
          <cell r="F141">
            <v>308.52160000000003</v>
          </cell>
          <cell r="G141">
            <v>0</v>
          </cell>
          <cell r="H141">
            <v>0</v>
          </cell>
          <cell r="I141" t="str">
            <v>0.00%</v>
          </cell>
          <cell r="J141">
            <v>1.92</v>
          </cell>
          <cell r="K141">
            <v>55.257600000000004</v>
          </cell>
          <cell r="L141">
            <v>0.17910447761194029</v>
          </cell>
          <cell r="M141">
            <v>1.92</v>
          </cell>
          <cell r="N141">
            <v>55.257600000000004</v>
          </cell>
          <cell r="O141">
            <v>0.17910447761194029</v>
          </cell>
          <cell r="P141">
            <v>8.8000000000000007</v>
          </cell>
          <cell r="Q141">
            <v>253.26400000000004</v>
          </cell>
          <cell r="R141">
            <v>0.82089552238805974</v>
          </cell>
        </row>
        <row r="142">
          <cell r="A142" t="str">
            <v>02.05</v>
          </cell>
          <cell r="B142" t="str">
            <v>JUNTAS DE CONSTRUCCION</v>
          </cell>
          <cell r="C142">
            <v>0</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row>
        <row r="143">
          <cell r="A143" t="str">
            <v>02.05.01</v>
          </cell>
          <cell r="B143" t="str">
            <v>JUNTAS DE TEKNOPOR DE  1"</v>
          </cell>
          <cell r="C143" t="str">
            <v>m</v>
          </cell>
          <cell r="D143">
            <v>11.7</v>
          </cell>
          <cell r="E143">
            <v>9.0500000000000007</v>
          </cell>
          <cell r="F143">
            <v>105.88500000000001</v>
          </cell>
          <cell r="G143">
            <v>0</v>
          </cell>
          <cell r="H143">
            <v>0</v>
          </cell>
          <cell r="I143" t="str">
            <v>0.00%</v>
          </cell>
          <cell r="J143">
            <v>11.7</v>
          </cell>
          <cell r="K143">
            <v>105.88500000000001</v>
          </cell>
          <cell r="L143">
            <v>1</v>
          </cell>
          <cell r="M143">
            <v>11.7</v>
          </cell>
          <cell r="N143">
            <v>105.88500000000001</v>
          </cell>
          <cell r="O143">
            <v>1</v>
          </cell>
          <cell r="P143">
            <v>0</v>
          </cell>
          <cell r="Q143">
            <v>0</v>
          </cell>
          <cell r="R143" t="str">
            <v>0.00%</v>
          </cell>
        </row>
        <row r="144">
          <cell r="A144" t="str">
            <v>02.06</v>
          </cell>
          <cell r="B144" t="str">
            <v>PRUEBAS</v>
          </cell>
          <cell r="C144">
            <v>0</v>
          </cell>
          <cell r="D144">
            <v>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row>
        <row r="145">
          <cell r="A145" t="str">
            <v>02.06.01</v>
          </cell>
          <cell r="B145" t="str">
            <v>PRUEBA DE CALIDAD DEL CONCRETO (PRUEBA A LA COMPRESION)</v>
          </cell>
          <cell r="C145" t="str">
            <v>und</v>
          </cell>
          <cell r="D145">
            <v>2</v>
          </cell>
          <cell r="E145">
            <v>40</v>
          </cell>
          <cell r="F145">
            <v>80</v>
          </cell>
          <cell r="G145">
            <v>2</v>
          </cell>
          <cell r="H145">
            <v>80</v>
          </cell>
          <cell r="I145">
            <v>1</v>
          </cell>
          <cell r="J145">
            <v>0</v>
          </cell>
          <cell r="K145">
            <v>0</v>
          </cell>
          <cell r="L145" t="str">
            <v>0.00%</v>
          </cell>
          <cell r="M145">
            <v>2</v>
          </cell>
          <cell r="N145">
            <v>80</v>
          </cell>
          <cell r="O145">
            <v>1</v>
          </cell>
          <cell r="P145">
            <v>0</v>
          </cell>
          <cell r="Q145">
            <v>0</v>
          </cell>
          <cell r="R145" t="str">
            <v>0.00%</v>
          </cell>
        </row>
        <row r="146">
          <cell r="A146" t="str">
            <v>03</v>
          </cell>
          <cell r="B146" t="str">
            <v xml:space="preserve">BLOQUE - 2 </v>
          </cell>
          <cell r="C146">
            <v>0</v>
          </cell>
          <cell r="D146">
            <v>0</v>
          </cell>
          <cell r="E146">
            <v>0</v>
          </cell>
          <cell r="F146">
            <v>0</v>
          </cell>
          <cell r="G146">
            <v>0</v>
          </cell>
          <cell r="H146">
            <v>0</v>
          </cell>
          <cell r="I146">
            <v>0</v>
          </cell>
          <cell r="J146">
            <v>0</v>
          </cell>
          <cell r="K146">
            <v>0</v>
          </cell>
          <cell r="L146">
            <v>0</v>
          </cell>
          <cell r="M146">
            <v>0</v>
          </cell>
          <cell r="N146">
            <v>0</v>
          </cell>
          <cell r="O146">
            <v>0</v>
          </cell>
          <cell r="P146">
            <v>0</v>
          </cell>
          <cell r="Q146">
            <v>0</v>
          </cell>
          <cell r="R146">
            <v>0</v>
          </cell>
        </row>
        <row r="147">
          <cell r="A147" t="str">
            <v>03.01</v>
          </cell>
          <cell r="B147" t="str">
            <v>TRABAJOS PRELIMINARES</v>
          </cell>
          <cell r="C147">
            <v>0</v>
          </cell>
          <cell r="D147">
            <v>0</v>
          </cell>
          <cell r="E147">
            <v>0</v>
          </cell>
          <cell r="F147">
            <v>0</v>
          </cell>
          <cell r="G147">
            <v>0</v>
          </cell>
          <cell r="H147">
            <v>0</v>
          </cell>
          <cell r="I147">
            <v>0</v>
          </cell>
          <cell r="J147">
            <v>0</v>
          </cell>
          <cell r="K147">
            <v>0</v>
          </cell>
          <cell r="L147">
            <v>0</v>
          </cell>
          <cell r="M147">
            <v>0</v>
          </cell>
          <cell r="N147">
            <v>0</v>
          </cell>
          <cell r="O147">
            <v>0</v>
          </cell>
          <cell r="P147">
            <v>0</v>
          </cell>
          <cell r="Q147">
            <v>0</v>
          </cell>
          <cell r="R147">
            <v>0</v>
          </cell>
        </row>
        <row r="148">
          <cell r="A148" t="str">
            <v>03.01.01</v>
          </cell>
          <cell r="B148" t="str">
            <v>LIMPIEZA DE TERRENO MANUAL</v>
          </cell>
          <cell r="C148" t="str">
            <v>m2</v>
          </cell>
          <cell r="D148">
            <v>320.7</v>
          </cell>
          <cell r="E148">
            <v>1.0900000000000001</v>
          </cell>
          <cell r="F148">
            <v>349.56299999999999</v>
          </cell>
          <cell r="G148">
            <v>320.7</v>
          </cell>
          <cell r="H148">
            <v>349.56299999999999</v>
          </cell>
          <cell r="I148">
            <v>1</v>
          </cell>
          <cell r="J148">
            <v>0</v>
          </cell>
          <cell r="K148">
            <v>0</v>
          </cell>
          <cell r="L148" t="str">
            <v>0.00%</v>
          </cell>
          <cell r="M148">
            <v>320.7</v>
          </cell>
          <cell r="N148">
            <v>349.56299999999999</v>
          </cell>
          <cell r="O148">
            <v>1</v>
          </cell>
          <cell r="P148">
            <v>0</v>
          </cell>
          <cell r="Q148">
            <v>0</v>
          </cell>
          <cell r="R148" t="str">
            <v>0.00%</v>
          </cell>
        </row>
        <row r="149">
          <cell r="A149" t="str">
            <v>03.01.02</v>
          </cell>
          <cell r="B149" t="str">
            <v>TRAZO DURANTE LA EJECUCION DE LA OBRA</v>
          </cell>
          <cell r="C149" t="str">
            <v>m2</v>
          </cell>
          <cell r="D149">
            <v>320.7</v>
          </cell>
          <cell r="E149">
            <v>3.49</v>
          </cell>
          <cell r="F149">
            <v>1119.2429999999999</v>
          </cell>
          <cell r="G149">
            <v>320.7</v>
          </cell>
          <cell r="H149">
            <v>1119.2429999999999</v>
          </cell>
          <cell r="I149">
            <v>1</v>
          </cell>
          <cell r="J149">
            <v>0</v>
          </cell>
          <cell r="K149">
            <v>0</v>
          </cell>
          <cell r="L149" t="str">
            <v>0.00%</v>
          </cell>
          <cell r="M149">
            <v>320.7</v>
          </cell>
          <cell r="N149">
            <v>1119.2429999999999</v>
          </cell>
          <cell r="O149">
            <v>1</v>
          </cell>
          <cell r="P149">
            <v>0</v>
          </cell>
          <cell r="Q149">
            <v>0</v>
          </cell>
          <cell r="R149" t="str">
            <v>0.00%</v>
          </cell>
        </row>
        <row r="150">
          <cell r="A150" t="str">
            <v>03.02</v>
          </cell>
          <cell r="B150" t="str">
            <v>MOVIMIENTO DE TIERRAS</v>
          </cell>
          <cell r="C150">
            <v>0</v>
          </cell>
          <cell r="D150">
            <v>0</v>
          </cell>
          <cell r="E150">
            <v>0</v>
          </cell>
          <cell r="F150">
            <v>0</v>
          </cell>
          <cell r="G150">
            <v>0</v>
          </cell>
          <cell r="H150">
            <v>0</v>
          </cell>
          <cell r="I150">
            <v>0</v>
          </cell>
          <cell r="J150">
            <v>0</v>
          </cell>
          <cell r="K150">
            <v>0</v>
          </cell>
          <cell r="L150">
            <v>0</v>
          </cell>
          <cell r="M150">
            <v>0</v>
          </cell>
          <cell r="N150">
            <v>0</v>
          </cell>
          <cell r="O150">
            <v>0</v>
          </cell>
          <cell r="P150">
            <v>0</v>
          </cell>
          <cell r="Q150">
            <v>0</v>
          </cell>
          <cell r="R150">
            <v>0</v>
          </cell>
        </row>
        <row r="151">
          <cell r="A151" t="str">
            <v>03.02.01</v>
          </cell>
          <cell r="B151" t="str">
            <v xml:space="preserve">EXCAVACION PARA CIMIENTOS-ZAPATAS </v>
          </cell>
          <cell r="C151" t="str">
            <v>m3</v>
          </cell>
          <cell r="D151">
            <v>210.85</v>
          </cell>
          <cell r="E151">
            <v>44.73</v>
          </cell>
          <cell r="F151">
            <v>9431.3204999999998</v>
          </cell>
          <cell r="G151">
            <v>210.85</v>
          </cell>
          <cell r="H151">
            <v>9431.3204999999998</v>
          </cell>
          <cell r="I151">
            <v>1</v>
          </cell>
          <cell r="J151">
            <v>0</v>
          </cell>
          <cell r="K151">
            <v>0</v>
          </cell>
          <cell r="L151" t="str">
            <v>0.00%</v>
          </cell>
          <cell r="M151">
            <v>210.85</v>
          </cell>
          <cell r="N151">
            <v>9431.3204999999998</v>
          </cell>
          <cell r="O151">
            <v>1</v>
          </cell>
          <cell r="P151">
            <v>0</v>
          </cell>
          <cell r="Q151">
            <v>0</v>
          </cell>
          <cell r="R151" t="str">
            <v>0.00%</v>
          </cell>
        </row>
        <row r="152">
          <cell r="A152" t="str">
            <v>03.02.02</v>
          </cell>
          <cell r="B152" t="str">
            <v>RELLENO COMPACTADO CON MATERIAL PROPIO EN CAPAS DE 0.20m.</v>
          </cell>
          <cell r="C152" t="str">
            <v>m3</v>
          </cell>
          <cell r="D152">
            <v>112.69</v>
          </cell>
          <cell r="E152">
            <v>53.95</v>
          </cell>
          <cell r="F152">
            <v>6079.6255000000001</v>
          </cell>
          <cell r="G152">
            <v>112.69</v>
          </cell>
          <cell r="H152">
            <v>6079.6255000000001</v>
          </cell>
          <cell r="I152">
            <v>1</v>
          </cell>
          <cell r="J152">
            <v>0</v>
          </cell>
          <cell r="K152">
            <v>0</v>
          </cell>
          <cell r="L152" t="str">
            <v>0.00%</v>
          </cell>
          <cell r="M152">
            <v>112.69</v>
          </cell>
          <cell r="N152">
            <v>6079.6255000000001</v>
          </cell>
          <cell r="O152">
            <v>1</v>
          </cell>
          <cell r="P152">
            <v>0</v>
          </cell>
          <cell r="Q152">
            <v>0</v>
          </cell>
          <cell r="R152" t="str">
            <v>0.00%</v>
          </cell>
        </row>
        <row r="153">
          <cell r="A153" t="str">
            <v>03.02.03</v>
          </cell>
          <cell r="B153" t="str">
            <v>ACARREO INTERNO, MATERIAL PROCEDENTE DE EXCAVACIONES  Y OTROS</v>
          </cell>
          <cell r="C153" t="str">
            <v>m3</v>
          </cell>
          <cell r="D153">
            <v>127.61</v>
          </cell>
          <cell r="E153">
            <v>19</v>
          </cell>
          <cell r="F153">
            <v>2424.59</v>
          </cell>
          <cell r="G153">
            <v>127.61</v>
          </cell>
          <cell r="H153">
            <v>2424.59</v>
          </cell>
          <cell r="I153">
            <v>1</v>
          </cell>
          <cell r="J153">
            <v>0</v>
          </cell>
          <cell r="K153">
            <v>0</v>
          </cell>
          <cell r="L153" t="str">
            <v>0.00%</v>
          </cell>
          <cell r="M153">
            <v>127.61</v>
          </cell>
          <cell r="N153">
            <v>2424.59</v>
          </cell>
          <cell r="O153">
            <v>1</v>
          </cell>
          <cell r="P153">
            <v>0</v>
          </cell>
          <cell r="Q153">
            <v>0</v>
          </cell>
          <cell r="R153" t="str">
            <v>0.00%</v>
          </cell>
        </row>
        <row r="154">
          <cell r="A154" t="str">
            <v>03.02.04</v>
          </cell>
          <cell r="B154" t="str">
            <v>ELIMINACION DE MATERIAL EXCEDENTE CON EQUIPO</v>
          </cell>
          <cell r="C154" t="str">
            <v>m3</v>
          </cell>
          <cell r="D154">
            <v>127.61</v>
          </cell>
          <cell r="E154">
            <v>14.64</v>
          </cell>
          <cell r="F154">
            <v>1868.2104000000002</v>
          </cell>
          <cell r="G154">
            <v>127.61</v>
          </cell>
          <cell r="H154">
            <v>1868.2104000000002</v>
          </cell>
          <cell r="I154">
            <v>1</v>
          </cell>
          <cell r="J154">
            <v>0</v>
          </cell>
          <cell r="K154">
            <v>0</v>
          </cell>
          <cell r="L154" t="str">
            <v>0.00%</v>
          </cell>
          <cell r="M154">
            <v>127.61</v>
          </cell>
          <cell r="N154">
            <v>1868.2104000000002</v>
          </cell>
          <cell r="O154">
            <v>1</v>
          </cell>
          <cell r="P154">
            <v>0</v>
          </cell>
          <cell r="Q154">
            <v>0</v>
          </cell>
          <cell r="R154" t="str">
            <v>0.00%</v>
          </cell>
        </row>
        <row r="155">
          <cell r="A155" t="str">
            <v>03.02.05</v>
          </cell>
          <cell r="B155" t="str">
            <v xml:space="preserve">AFIRMADO e=20 cm </v>
          </cell>
          <cell r="C155" t="str">
            <v>m3</v>
          </cell>
          <cell r="D155">
            <v>56.33</v>
          </cell>
          <cell r="E155">
            <v>82.36</v>
          </cell>
          <cell r="F155">
            <v>4639.3387999999995</v>
          </cell>
          <cell r="G155">
            <v>56.33</v>
          </cell>
          <cell r="H155">
            <v>4639.3387999999995</v>
          </cell>
          <cell r="I155">
            <v>1</v>
          </cell>
          <cell r="J155">
            <v>0</v>
          </cell>
          <cell r="K155">
            <v>0</v>
          </cell>
          <cell r="L155" t="str">
            <v>0.00%</v>
          </cell>
          <cell r="M155">
            <v>56.33</v>
          </cell>
          <cell r="N155">
            <v>4639.3387999999995</v>
          </cell>
          <cell r="O155">
            <v>1</v>
          </cell>
          <cell r="P155">
            <v>0</v>
          </cell>
          <cell r="Q155">
            <v>0</v>
          </cell>
          <cell r="R155" t="str">
            <v>0.00%</v>
          </cell>
        </row>
        <row r="156">
          <cell r="A156" t="str">
            <v>03.02.06</v>
          </cell>
          <cell r="B156" t="str">
            <v xml:space="preserve">NIVELACION Y COMPACTACION PARA FALSO PISOS, VEREDAS Y PATIOS </v>
          </cell>
          <cell r="C156" t="str">
            <v>m2</v>
          </cell>
          <cell r="D156">
            <v>296.08999999999997</v>
          </cell>
          <cell r="E156">
            <v>9.3800000000000008</v>
          </cell>
          <cell r="F156">
            <v>2777.3242</v>
          </cell>
          <cell r="G156">
            <v>296.08999999999997</v>
          </cell>
          <cell r="H156">
            <v>2777.3242</v>
          </cell>
          <cell r="I156">
            <v>1</v>
          </cell>
          <cell r="J156">
            <v>0</v>
          </cell>
          <cell r="K156">
            <v>0</v>
          </cell>
          <cell r="L156" t="str">
            <v>0.00%</v>
          </cell>
          <cell r="M156">
            <v>296.08999999999997</v>
          </cell>
          <cell r="N156">
            <v>2777.3242</v>
          </cell>
          <cell r="O156">
            <v>1</v>
          </cell>
          <cell r="P156">
            <v>0</v>
          </cell>
          <cell r="Q156">
            <v>0</v>
          </cell>
          <cell r="R156" t="str">
            <v>0.00%</v>
          </cell>
        </row>
        <row r="157">
          <cell r="A157" t="str">
            <v>03.03</v>
          </cell>
          <cell r="B157" t="str">
            <v>CONCRETO SIMPLE</v>
          </cell>
          <cell r="C157">
            <v>0</v>
          </cell>
          <cell r="D157">
            <v>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row>
        <row r="158">
          <cell r="A158" t="str">
            <v>03.03.01</v>
          </cell>
          <cell r="B158" t="str">
            <v>SOLADOS</v>
          </cell>
          <cell r="C158">
            <v>0</v>
          </cell>
          <cell r="D158">
            <v>0</v>
          </cell>
          <cell r="E158">
            <v>0</v>
          </cell>
          <cell r="F158">
            <v>0</v>
          </cell>
          <cell r="G158">
            <v>0</v>
          </cell>
          <cell r="H158">
            <v>0</v>
          </cell>
          <cell r="I158">
            <v>0</v>
          </cell>
          <cell r="J158">
            <v>0</v>
          </cell>
          <cell r="K158">
            <v>0</v>
          </cell>
          <cell r="L158">
            <v>0</v>
          </cell>
          <cell r="M158">
            <v>0</v>
          </cell>
          <cell r="N158">
            <v>0</v>
          </cell>
          <cell r="O158">
            <v>0</v>
          </cell>
          <cell r="P158">
            <v>0</v>
          </cell>
          <cell r="Q158">
            <v>0</v>
          </cell>
          <cell r="R158">
            <v>0</v>
          </cell>
        </row>
        <row r="159">
          <cell r="A159" t="str">
            <v>03.03.01.01</v>
          </cell>
          <cell r="B159" t="str">
            <v>SOLADO E= 2" MEZCLA 1:12 CEMENTO-HORMIGON</v>
          </cell>
          <cell r="C159" t="str">
            <v>m2</v>
          </cell>
          <cell r="D159">
            <v>99.71</v>
          </cell>
          <cell r="E159">
            <v>29.02</v>
          </cell>
          <cell r="F159">
            <v>2893.5841999999998</v>
          </cell>
          <cell r="G159">
            <v>99.71</v>
          </cell>
          <cell r="H159">
            <v>2893.5841999999998</v>
          </cell>
          <cell r="I159">
            <v>1</v>
          </cell>
          <cell r="J159">
            <v>0</v>
          </cell>
          <cell r="K159">
            <v>0</v>
          </cell>
          <cell r="L159" t="str">
            <v>0.00%</v>
          </cell>
          <cell r="M159">
            <v>99.71</v>
          </cell>
          <cell r="N159">
            <v>2893.5841999999998</v>
          </cell>
          <cell r="O159">
            <v>1</v>
          </cell>
          <cell r="P159">
            <v>0</v>
          </cell>
          <cell r="Q159">
            <v>0</v>
          </cell>
          <cell r="R159" t="str">
            <v>0.00%</v>
          </cell>
        </row>
        <row r="160">
          <cell r="A160" t="str">
            <v>03.03.02</v>
          </cell>
          <cell r="B160" t="str">
            <v>CIMIENTOS CORRIDOS</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0</v>
          </cell>
          <cell r="R160">
            <v>0</v>
          </cell>
        </row>
        <row r="161">
          <cell r="A161" t="str">
            <v>03.03.02.01</v>
          </cell>
          <cell r="B161" t="str">
            <v>CIMIENTOS CORRIDOS MEZCLA 1:10 CEMENTO-HORMIGON 30% PIEDRA</v>
          </cell>
          <cell r="C161" t="str">
            <v>m3</v>
          </cell>
          <cell r="D161">
            <v>56.14</v>
          </cell>
          <cell r="E161">
            <v>248.48</v>
          </cell>
          <cell r="F161">
            <v>13949.6672</v>
          </cell>
          <cell r="G161">
            <v>52.17</v>
          </cell>
          <cell r="H161">
            <v>12963.2016</v>
          </cell>
          <cell r="I161">
            <v>0.92928393302458145</v>
          </cell>
          <cell r="J161">
            <v>0</v>
          </cell>
          <cell r="K161">
            <v>0</v>
          </cell>
          <cell r="L161" t="str">
            <v>0.00%</v>
          </cell>
          <cell r="M161">
            <v>52.17</v>
          </cell>
          <cell r="N161">
            <v>12963.2016</v>
          </cell>
          <cell r="O161">
            <v>0.92928393302458145</v>
          </cell>
          <cell r="P161">
            <v>3.9699999999999989</v>
          </cell>
          <cell r="Q161">
            <v>986.46559999999954</v>
          </cell>
          <cell r="R161">
            <v>7.0716066975418559E-2</v>
          </cell>
        </row>
        <row r="162">
          <cell r="A162" t="str">
            <v>03.03.03</v>
          </cell>
          <cell r="B162" t="str">
            <v>SOBRECIMIENTOS</v>
          </cell>
          <cell r="C162">
            <v>0</v>
          </cell>
          <cell r="D162">
            <v>0</v>
          </cell>
          <cell r="E162">
            <v>0</v>
          </cell>
          <cell r="F162">
            <v>0</v>
          </cell>
          <cell r="G162">
            <v>0</v>
          </cell>
          <cell r="H162">
            <v>0</v>
          </cell>
          <cell r="I162">
            <v>0</v>
          </cell>
          <cell r="J162">
            <v>0</v>
          </cell>
          <cell r="K162">
            <v>0</v>
          </cell>
          <cell r="L162">
            <v>0</v>
          </cell>
          <cell r="M162">
            <v>0</v>
          </cell>
          <cell r="N162">
            <v>0</v>
          </cell>
          <cell r="O162">
            <v>0</v>
          </cell>
          <cell r="P162">
            <v>0</v>
          </cell>
          <cell r="Q162">
            <v>0</v>
          </cell>
          <cell r="R162">
            <v>0</v>
          </cell>
        </row>
        <row r="163">
          <cell r="A163" t="str">
            <v>03.03.03.01</v>
          </cell>
          <cell r="B163" t="str">
            <v>CONCRETO 1:8+25% P.M. PARA SOBRECIMIENTOS</v>
          </cell>
          <cell r="C163" t="str">
            <v>m3</v>
          </cell>
          <cell r="D163">
            <v>6.83</v>
          </cell>
          <cell r="E163">
            <v>312.47000000000003</v>
          </cell>
          <cell r="F163">
            <v>2134.1701000000003</v>
          </cell>
          <cell r="G163">
            <v>6.83</v>
          </cell>
          <cell r="H163">
            <v>2134.1701000000003</v>
          </cell>
          <cell r="I163">
            <v>1</v>
          </cell>
          <cell r="J163">
            <v>0</v>
          </cell>
          <cell r="K163">
            <v>0</v>
          </cell>
          <cell r="L163" t="str">
            <v>0.00%</v>
          </cell>
          <cell r="M163">
            <v>6.83</v>
          </cell>
          <cell r="N163">
            <v>2134.1701000000003</v>
          </cell>
          <cell r="O163">
            <v>1</v>
          </cell>
          <cell r="P163">
            <v>0</v>
          </cell>
          <cell r="Q163">
            <v>0</v>
          </cell>
          <cell r="R163" t="str">
            <v>0.00%</v>
          </cell>
        </row>
        <row r="164">
          <cell r="A164" t="str">
            <v>03.03.03.02</v>
          </cell>
          <cell r="B164" t="str">
            <v>ENCOFRADO Y DESENCOFRADO NORMAL PARA SOBRECIMIENTOS HASTA 0.60M.</v>
          </cell>
          <cell r="C164" t="str">
            <v>m2</v>
          </cell>
          <cell r="D164">
            <v>60.2</v>
          </cell>
          <cell r="E164">
            <v>44.43</v>
          </cell>
          <cell r="F164">
            <v>2674.6860000000001</v>
          </cell>
          <cell r="G164">
            <v>60.2</v>
          </cell>
          <cell r="H164">
            <v>2674.6860000000001</v>
          </cell>
          <cell r="I164">
            <v>1</v>
          </cell>
          <cell r="J164">
            <v>0</v>
          </cell>
          <cell r="K164">
            <v>0</v>
          </cell>
          <cell r="L164" t="str">
            <v>0.00%</v>
          </cell>
          <cell r="M164">
            <v>60.2</v>
          </cell>
          <cell r="N164">
            <v>2674.6860000000001</v>
          </cell>
          <cell r="O164">
            <v>1</v>
          </cell>
          <cell r="P164">
            <v>0</v>
          </cell>
          <cell r="Q164">
            <v>0</v>
          </cell>
          <cell r="R164" t="str">
            <v>0.00%</v>
          </cell>
        </row>
        <row r="165">
          <cell r="A165" t="str">
            <v>03.04</v>
          </cell>
          <cell r="B165" t="str">
            <v>CONCRETO ARMADO</v>
          </cell>
          <cell r="C165">
            <v>0</v>
          </cell>
          <cell r="D165">
            <v>0</v>
          </cell>
          <cell r="E165">
            <v>0</v>
          </cell>
          <cell r="F165">
            <v>0</v>
          </cell>
          <cell r="G165">
            <v>0</v>
          </cell>
          <cell r="H165">
            <v>0</v>
          </cell>
          <cell r="I165">
            <v>0</v>
          </cell>
          <cell r="J165">
            <v>0</v>
          </cell>
          <cell r="K165">
            <v>0</v>
          </cell>
          <cell r="L165">
            <v>0</v>
          </cell>
          <cell r="M165">
            <v>0</v>
          </cell>
          <cell r="N165">
            <v>0</v>
          </cell>
          <cell r="O165">
            <v>0</v>
          </cell>
          <cell r="P165">
            <v>0</v>
          </cell>
          <cell r="Q165">
            <v>0</v>
          </cell>
          <cell r="R165">
            <v>0</v>
          </cell>
        </row>
        <row r="166">
          <cell r="A166" t="str">
            <v>03.04.01</v>
          </cell>
          <cell r="B166" t="str">
            <v>ZAPATAS</v>
          </cell>
          <cell r="C166">
            <v>0</v>
          </cell>
          <cell r="D166">
            <v>0</v>
          </cell>
          <cell r="E166">
            <v>0</v>
          </cell>
          <cell r="F166">
            <v>0</v>
          </cell>
          <cell r="G166">
            <v>0</v>
          </cell>
          <cell r="H166">
            <v>0</v>
          </cell>
          <cell r="I166">
            <v>0</v>
          </cell>
          <cell r="J166">
            <v>0</v>
          </cell>
          <cell r="K166">
            <v>0</v>
          </cell>
          <cell r="L166">
            <v>0</v>
          </cell>
          <cell r="M166">
            <v>0</v>
          </cell>
          <cell r="N166">
            <v>0</v>
          </cell>
          <cell r="O166">
            <v>0</v>
          </cell>
          <cell r="P166">
            <v>0</v>
          </cell>
          <cell r="Q166">
            <v>0</v>
          </cell>
          <cell r="R166">
            <v>0</v>
          </cell>
        </row>
        <row r="167">
          <cell r="A167" t="str">
            <v>03.04.01.01</v>
          </cell>
          <cell r="B167" t="str">
            <v>CONCRETO PARA ZAPATAS F'C=210 KG/CM2</v>
          </cell>
          <cell r="C167" t="str">
            <v>m3</v>
          </cell>
          <cell r="D167">
            <v>40.86</v>
          </cell>
          <cell r="E167">
            <v>427.63</v>
          </cell>
          <cell r="F167">
            <v>17472.961800000001</v>
          </cell>
          <cell r="G167">
            <v>40.86</v>
          </cell>
          <cell r="H167">
            <v>17472.961800000001</v>
          </cell>
          <cell r="I167">
            <v>1</v>
          </cell>
          <cell r="J167">
            <v>0</v>
          </cell>
          <cell r="K167">
            <v>0</v>
          </cell>
          <cell r="L167" t="str">
            <v>0.00%</v>
          </cell>
          <cell r="M167">
            <v>40.86</v>
          </cell>
          <cell r="N167">
            <v>17472.961800000001</v>
          </cell>
          <cell r="O167">
            <v>1</v>
          </cell>
          <cell r="P167">
            <v>0</v>
          </cell>
          <cell r="Q167">
            <v>0</v>
          </cell>
          <cell r="R167" t="str">
            <v>0.00%</v>
          </cell>
        </row>
        <row r="168">
          <cell r="A168" t="str">
            <v>03.04.01.02</v>
          </cell>
          <cell r="B168" t="str">
            <v>ACERO F'Y=4200 KG/CM2 GRADO 60 EN ZAPATAS</v>
          </cell>
          <cell r="C168" t="str">
            <v>kg</v>
          </cell>
          <cell r="D168">
            <v>1252.71</v>
          </cell>
          <cell r="E168">
            <v>4.3</v>
          </cell>
          <cell r="F168">
            <v>5386.6530000000002</v>
          </cell>
          <cell r="G168">
            <v>1252.71</v>
          </cell>
          <cell r="H168">
            <v>5386.6530000000002</v>
          </cell>
          <cell r="I168">
            <v>1</v>
          </cell>
          <cell r="J168">
            <v>0</v>
          </cell>
          <cell r="K168">
            <v>0</v>
          </cell>
          <cell r="L168" t="str">
            <v>0.00%</v>
          </cell>
          <cell r="M168">
            <v>1252.71</v>
          </cell>
          <cell r="N168">
            <v>5386.6530000000002</v>
          </cell>
          <cell r="O168">
            <v>1</v>
          </cell>
          <cell r="P168">
            <v>0</v>
          </cell>
          <cell r="Q168">
            <v>0</v>
          </cell>
          <cell r="R168" t="str">
            <v>0.00%</v>
          </cell>
        </row>
        <row r="169">
          <cell r="A169" t="str">
            <v>03.04.02</v>
          </cell>
          <cell r="B169" t="str">
            <v>VIGAS DE CIMENTACION</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0</v>
          </cell>
          <cell r="R169">
            <v>0</v>
          </cell>
        </row>
        <row r="170">
          <cell r="A170" t="str">
            <v>03.04.02.01</v>
          </cell>
          <cell r="B170" t="str">
            <v>CONCRETO F'C= 210 KG/CM2 EN VIGAS DE CIMENTACIÓN</v>
          </cell>
          <cell r="C170" t="str">
            <v>m3</v>
          </cell>
          <cell r="D170">
            <v>14.09</v>
          </cell>
          <cell r="E170">
            <v>451</v>
          </cell>
          <cell r="F170">
            <v>6354.59</v>
          </cell>
          <cell r="G170">
            <v>14.09</v>
          </cell>
          <cell r="H170">
            <v>6354.59</v>
          </cell>
          <cell r="I170">
            <v>1</v>
          </cell>
          <cell r="J170">
            <v>0</v>
          </cell>
          <cell r="K170">
            <v>0</v>
          </cell>
          <cell r="L170" t="str">
            <v>0.00%</v>
          </cell>
          <cell r="M170">
            <v>14.09</v>
          </cell>
          <cell r="N170">
            <v>6354.59</v>
          </cell>
          <cell r="O170">
            <v>1</v>
          </cell>
          <cell r="P170">
            <v>0</v>
          </cell>
          <cell r="Q170">
            <v>0</v>
          </cell>
          <cell r="R170" t="str">
            <v>0.00%</v>
          </cell>
        </row>
        <row r="171">
          <cell r="A171" t="str">
            <v>03.04.02.02</v>
          </cell>
          <cell r="B171" t="str">
            <v>ACERO F'Y=4200 KG/CM2 GRADO 60 EN VIGAS DE CIMENTACIÓN</v>
          </cell>
          <cell r="C171" t="str">
            <v>kg</v>
          </cell>
          <cell r="D171">
            <v>1450.39</v>
          </cell>
          <cell r="E171">
            <v>4.45</v>
          </cell>
          <cell r="F171">
            <v>6454.2355000000007</v>
          </cell>
          <cell r="G171">
            <v>1450.3899999999999</v>
          </cell>
          <cell r="H171">
            <v>6454.2354999999998</v>
          </cell>
          <cell r="I171">
            <v>0.99999999999999989</v>
          </cell>
          <cell r="J171">
            <v>0</v>
          </cell>
          <cell r="K171">
            <v>0</v>
          </cell>
          <cell r="L171" t="str">
            <v>0.00%</v>
          </cell>
          <cell r="M171">
            <v>1450.3899999999999</v>
          </cell>
          <cell r="N171">
            <v>6454.2354999999998</v>
          </cell>
          <cell r="O171">
            <v>0.99999999999999989</v>
          </cell>
          <cell r="P171">
            <v>2.2737367544323206E-13</v>
          </cell>
          <cell r="Q171">
            <v>9.0949470177292824E-13</v>
          </cell>
          <cell r="R171">
            <v>1.4091439672025108E-16</v>
          </cell>
        </row>
        <row r="172">
          <cell r="A172" t="str">
            <v>03.04.02.03</v>
          </cell>
          <cell r="B172" t="str">
            <v>ENCOFRADO Y DESENCOFRADO DE VIGAS DE CIMENTACIÓN</v>
          </cell>
          <cell r="C172" t="str">
            <v>m2</v>
          </cell>
          <cell r="D172">
            <v>112.73</v>
          </cell>
          <cell r="E172">
            <v>44.69</v>
          </cell>
          <cell r="F172">
            <v>5037.9036999999998</v>
          </cell>
          <cell r="G172">
            <v>112.73</v>
          </cell>
          <cell r="H172">
            <v>5037.9036999999998</v>
          </cell>
          <cell r="I172">
            <v>1</v>
          </cell>
          <cell r="J172">
            <v>0</v>
          </cell>
          <cell r="K172">
            <v>0</v>
          </cell>
          <cell r="L172" t="str">
            <v>0.00%</v>
          </cell>
          <cell r="M172">
            <v>112.73</v>
          </cell>
          <cell r="N172">
            <v>5037.9036999999998</v>
          </cell>
          <cell r="O172">
            <v>1</v>
          </cell>
          <cell r="P172">
            <v>0</v>
          </cell>
          <cell r="Q172">
            <v>0</v>
          </cell>
          <cell r="R172" t="str">
            <v>0.00%</v>
          </cell>
        </row>
        <row r="173">
          <cell r="A173" t="str">
            <v>03.04.03</v>
          </cell>
          <cell r="B173" t="str">
            <v>COLUMNAS</v>
          </cell>
          <cell r="C173">
            <v>0</v>
          </cell>
          <cell r="D173">
            <v>0</v>
          </cell>
          <cell r="E173">
            <v>0</v>
          </cell>
          <cell r="F173">
            <v>0</v>
          </cell>
          <cell r="G173">
            <v>0</v>
          </cell>
          <cell r="H173">
            <v>0</v>
          </cell>
          <cell r="I173">
            <v>0</v>
          </cell>
          <cell r="J173">
            <v>0</v>
          </cell>
          <cell r="K173">
            <v>0</v>
          </cell>
          <cell r="L173">
            <v>0</v>
          </cell>
          <cell r="M173">
            <v>0</v>
          </cell>
          <cell r="N173">
            <v>0</v>
          </cell>
          <cell r="O173">
            <v>0</v>
          </cell>
          <cell r="P173">
            <v>0</v>
          </cell>
          <cell r="Q173">
            <v>0</v>
          </cell>
          <cell r="R173">
            <v>0</v>
          </cell>
        </row>
        <row r="174">
          <cell r="A174" t="str">
            <v>03.04.03.01</v>
          </cell>
          <cell r="B174" t="str">
            <v>CONCRETO EN COLUMNAS F'C=210 KG/CM2</v>
          </cell>
          <cell r="C174" t="str">
            <v>m3</v>
          </cell>
          <cell r="D174">
            <v>37.6</v>
          </cell>
          <cell r="E174">
            <v>521.12</v>
          </cell>
          <cell r="F174">
            <v>19594.112000000001</v>
          </cell>
          <cell r="G174">
            <v>37.6</v>
          </cell>
          <cell r="H174">
            <v>19594.112000000001</v>
          </cell>
          <cell r="I174">
            <v>1</v>
          </cell>
          <cell r="J174">
            <v>0</v>
          </cell>
          <cell r="K174">
            <v>0</v>
          </cell>
          <cell r="L174" t="str">
            <v>0.00%</v>
          </cell>
          <cell r="M174">
            <v>37.6</v>
          </cell>
          <cell r="N174">
            <v>19594.112000000001</v>
          </cell>
          <cell r="O174">
            <v>1</v>
          </cell>
          <cell r="P174">
            <v>0</v>
          </cell>
          <cell r="Q174">
            <v>0</v>
          </cell>
          <cell r="R174" t="str">
            <v>0.00%</v>
          </cell>
        </row>
        <row r="175">
          <cell r="A175" t="str">
            <v>03.04.03.02</v>
          </cell>
          <cell r="B175" t="str">
            <v>ACERO F'Y=4200 KG/CM2 GRADO 60 EN COLUMNAS</v>
          </cell>
          <cell r="C175" t="str">
            <v>kg</v>
          </cell>
          <cell r="D175">
            <v>3769.95</v>
          </cell>
          <cell r="E175">
            <v>4.5</v>
          </cell>
          <cell r="F175">
            <v>16964.774999999998</v>
          </cell>
          <cell r="G175">
            <v>3769.95</v>
          </cell>
          <cell r="H175">
            <v>16964.774999999998</v>
          </cell>
          <cell r="I175">
            <v>1</v>
          </cell>
          <cell r="J175">
            <v>0</v>
          </cell>
          <cell r="K175">
            <v>0</v>
          </cell>
          <cell r="L175" t="str">
            <v>0.00%</v>
          </cell>
          <cell r="M175">
            <v>3769.95</v>
          </cell>
          <cell r="N175">
            <v>16964.774999999998</v>
          </cell>
          <cell r="O175">
            <v>1</v>
          </cell>
          <cell r="P175">
            <v>0</v>
          </cell>
          <cell r="Q175">
            <v>0</v>
          </cell>
          <cell r="R175" t="str">
            <v>0.00%</v>
          </cell>
        </row>
        <row r="176">
          <cell r="A176" t="str">
            <v>03.04.03.03</v>
          </cell>
          <cell r="B176" t="str">
            <v>ENCOFRADO Y DESENCOFRADO NORMAL EN COLUMNAS</v>
          </cell>
          <cell r="C176" t="str">
            <v>m2</v>
          </cell>
          <cell r="D176">
            <v>411.41</v>
          </cell>
          <cell r="E176">
            <v>49.71</v>
          </cell>
          <cell r="F176">
            <v>20451.1911</v>
          </cell>
          <cell r="G176">
            <v>411.40999999999997</v>
          </cell>
          <cell r="H176">
            <v>20451.1911</v>
          </cell>
          <cell r="I176">
            <v>1</v>
          </cell>
          <cell r="J176">
            <v>0</v>
          </cell>
          <cell r="K176">
            <v>0</v>
          </cell>
          <cell r="L176" t="str">
            <v>0.00%</v>
          </cell>
          <cell r="M176">
            <v>411.40999999999997</v>
          </cell>
          <cell r="N176">
            <v>20451.1911</v>
          </cell>
          <cell r="O176">
            <v>1</v>
          </cell>
          <cell r="P176">
            <v>5.6843418860808015E-14</v>
          </cell>
          <cell r="Q176">
            <v>0</v>
          </cell>
          <cell r="R176" t="str">
            <v>0.00%</v>
          </cell>
        </row>
        <row r="177">
          <cell r="A177" t="str">
            <v>03.04.04</v>
          </cell>
          <cell r="B177" t="str">
            <v>COLUMNETAS</v>
          </cell>
          <cell r="C177">
            <v>0</v>
          </cell>
          <cell r="D177">
            <v>0</v>
          </cell>
          <cell r="E177">
            <v>0</v>
          </cell>
          <cell r="F177">
            <v>0</v>
          </cell>
          <cell r="G177">
            <v>0</v>
          </cell>
          <cell r="H177">
            <v>0</v>
          </cell>
          <cell r="I177">
            <v>0</v>
          </cell>
          <cell r="J177">
            <v>0</v>
          </cell>
          <cell r="K177">
            <v>0</v>
          </cell>
          <cell r="L177">
            <v>0</v>
          </cell>
          <cell r="M177">
            <v>0</v>
          </cell>
          <cell r="N177">
            <v>0</v>
          </cell>
          <cell r="O177">
            <v>0</v>
          </cell>
          <cell r="P177">
            <v>0</v>
          </cell>
          <cell r="Q177">
            <v>0</v>
          </cell>
          <cell r="R177">
            <v>0</v>
          </cell>
        </row>
        <row r="178">
          <cell r="A178" t="str">
            <v>03.04.04.01</v>
          </cell>
          <cell r="B178" t="str">
            <v>CONCRETO EN COLUMNETAS F'C=210 KG/CM2</v>
          </cell>
          <cell r="C178" t="str">
            <v>m3</v>
          </cell>
          <cell r="D178">
            <v>10.65</v>
          </cell>
          <cell r="E178">
            <v>521.12</v>
          </cell>
          <cell r="F178">
            <v>5549.9279999999999</v>
          </cell>
          <cell r="G178">
            <v>5.3099999999999987</v>
          </cell>
          <cell r="H178">
            <v>2767.1471999999994</v>
          </cell>
          <cell r="I178">
            <v>0.49859154929577454</v>
          </cell>
          <cell r="J178">
            <v>5.3399910000000004</v>
          </cell>
          <cell r="K178">
            <v>2782.7761099200002</v>
          </cell>
          <cell r="L178">
            <v>0.50140760563380282</v>
          </cell>
          <cell r="M178">
            <v>10.649991</v>
          </cell>
          <cell r="N178">
            <v>5549.9233099199992</v>
          </cell>
          <cell r="O178">
            <v>0.99999915492957736</v>
          </cell>
          <cell r="P178">
            <v>9.0000000003698233E-6</v>
          </cell>
          <cell r="Q178">
            <v>4.6900800007279031E-3</v>
          </cell>
          <cell r="R178">
            <v>8.4507042266636667E-7</v>
          </cell>
        </row>
        <row r="179">
          <cell r="A179" t="str">
            <v>03.04.04.02</v>
          </cell>
          <cell r="B179" t="str">
            <v>ACERO F'Y=4200 KG/CM2 GRADO 60 EN COLUMNETAS</v>
          </cell>
          <cell r="C179" t="str">
            <v>kg</v>
          </cell>
          <cell r="D179">
            <v>2123.3200000000002</v>
          </cell>
          <cell r="E179">
            <v>4.4400000000000004</v>
          </cell>
          <cell r="F179">
            <v>9427.5408000000007</v>
          </cell>
          <cell r="G179">
            <v>1595.9719999999998</v>
          </cell>
          <cell r="H179">
            <v>7086.1156799999999</v>
          </cell>
          <cell r="I179">
            <v>0.75163988470885212</v>
          </cell>
          <cell r="J179">
            <v>527.34699999999998</v>
          </cell>
          <cell r="K179">
            <v>2341.4206800000002</v>
          </cell>
          <cell r="L179">
            <v>0.24835964433057664</v>
          </cell>
          <cell r="M179">
            <v>2123.3189999999995</v>
          </cell>
          <cell r="N179">
            <v>9427.5363600000001</v>
          </cell>
          <cell r="O179">
            <v>0.99999952903942879</v>
          </cell>
          <cell r="P179">
            <v>1.0000000006584742E-3</v>
          </cell>
          <cell r="Q179">
            <v>4.4400000006135087E-3</v>
          </cell>
          <cell r="R179">
            <v>4.7096057124605691E-7</v>
          </cell>
        </row>
        <row r="180">
          <cell r="A180" t="str">
            <v>03.04.04.03</v>
          </cell>
          <cell r="B180" t="str">
            <v>ENCOFRADO Y DESNCOFRADO NORMAL  EN COLUMNETAS</v>
          </cell>
          <cell r="C180" t="str">
            <v>m2</v>
          </cell>
          <cell r="D180">
            <v>85.17</v>
          </cell>
          <cell r="E180">
            <v>49.71</v>
          </cell>
          <cell r="F180">
            <v>4233.8006999999998</v>
          </cell>
          <cell r="G180">
            <v>42.47999999999999</v>
          </cell>
          <cell r="H180">
            <v>2111.6807999999996</v>
          </cell>
          <cell r="I180">
            <v>0.49876717153927436</v>
          </cell>
          <cell r="J180">
            <v>42.69</v>
          </cell>
          <cell r="K180">
            <v>2122.1199000000001</v>
          </cell>
          <cell r="L180">
            <v>0.5012328284607257</v>
          </cell>
          <cell r="M180">
            <v>85.169999999999987</v>
          </cell>
          <cell r="N180">
            <v>4233.8006999999998</v>
          </cell>
          <cell r="O180">
            <v>1</v>
          </cell>
          <cell r="P180">
            <v>1.4210854715202004E-14</v>
          </cell>
          <cell r="Q180">
            <v>0</v>
          </cell>
          <cell r="R180" t="str">
            <v>0.00%</v>
          </cell>
        </row>
        <row r="181">
          <cell r="A181" t="str">
            <v>03.04.05</v>
          </cell>
          <cell r="B181" t="str">
            <v>VIGAS</v>
          </cell>
          <cell r="C181">
            <v>0</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row>
        <row r="182">
          <cell r="A182" t="str">
            <v>03.04.05.01</v>
          </cell>
          <cell r="B182" t="str">
            <v>CONCRETO EN VIGAS F'C=210 KG/CM2</v>
          </cell>
          <cell r="C182" t="str">
            <v>m3</v>
          </cell>
          <cell r="D182">
            <v>41.25</v>
          </cell>
          <cell r="E182">
            <v>486.07</v>
          </cell>
          <cell r="F182">
            <v>20050.387500000001</v>
          </cell>
          <cell r="G182">
            <v>41.25</v>
          </cell>
          <cell r="H182">
            <v>20050.387500000001</v>
          </cell>
          <cell r="I182">
            <v>1</v>
          </cell>
          <cell r="J182">
            <v>0</v>
          </cell>
          <cell r="K182">
            <v>0</v>
          </cell>
          <cell r="L182" t="str">
            <v>0.00%</v>
          </cell>
          <cell r="M182">
            <v>41.25</v>
          </cell>
          <cell r="N182">
            <v>20050.387500000001</v>
          </cell>
          <cell r="O182">
            <v>1</v>
          </cell>
          <cell r="P182">
            <v>0</v>
          </cell>
          <cell r="Q182">
            <v>0</v>
          </cell>
          <cell r="R182" t="str">
            <v>0.00%</v>
          </cell>
        </row>
        <row r="183">
          <cell r="A183" t="str">
            <v>03.04.05.02</v>
          </cell>
          <cell r="B183" t="str">
            <v>ACERO F'Y=4200 KG/CM2 GRADO 60 EN VIGAS</v>
          </cell>
          <cell r="C183" t="str">
            <v>kg</v>
          </cell>
          <cell r="D183">
            <v>5804.51</v>
          </cell>
          <cell r="E183">
            <v>4.5</v>
          </cell>
          <cell r="F183">
            <v>26120.295000000002</v>
          </cell>
          <cell r="G183">
            <v>5804.51</v>
          </cell>
          <cell r="H183">
            <v>26120.295000000002</v>
          </cell>
          <cell r="I183">
            <v>1</v>
          </cell>
          <cell r="J183">
            <v>0</v>
          </cell>
          <cell r="K183">
            <v>0</v>
          </cell>
          <cell r="L183" t="str">
            <v>0.00%</v>
          </cell>
          <cell r="M183">
            <v>5804.51</v>
          </cell>
          <cell r="N183">
            <v>26120.295000000002</v>
          </cell>
          <cell r="O183">
            <v>1</v>
          </cell>
          <cell r="P183">
            <v>0</v>
          </cell>
          <cell r="Q183">
            <v>0</v>
          </cell>
          <cell r="R183" t="str">
            <v>0.00%</v>
          </cell>
        </row>
        <row r="184">
          <cell r="A184" t="str">
            <v>03.04.05.03</v>
          </cell>
          <cell r="B184" t="str">
            <v>ENCOFRADO Y DESNCOFRADO NORMAL EN VIGAS</v>
          </cell>
          <cell r="C184" t="str">
            <v>m2</v>
          </cell>
          <cell r="D184">
            <v>355.14</v>
          </cell>
          <cell r="E184">
            <v>54.02</v>
          </cell>
          <cell r="F184">
            <v>19184.662800000002</v>
          </cell>
          <cell r="G184">
            <v>355.14</v>
          </cell>
          <cell r="H184">
            <v>19184.662800000002</v>
          </cell>
          <cell r="I184">
            <v>1</v>
          </cell>
          <cell r="J184">
            <v>0</v>
          </cell>
          <cell r="K184">
            <v>0</v>
          </cell>
          <cell r="L184" t="str">
            <v>0.00%</v>
          </cell>
          <cell r="M184">
            <v>355.14</v>
          </cell>
          <cell r="N184">
            <v>19184.662800000002</v>
          </cell>
          <cell r="O184">
            <v>1</v>
          </cell>
          <cell r="P184">
            <v>0</v>
          </cell>
          <cell r="Q184">
            <v>0</v>
          </cell>
          <cell r="R184" t="str">
            <v>0.00%</v>
          </cell>
        </row>
        <row r="185">
          <cell r="A185" t="str">
            <v>03.04.06</v>
          </cell>
          <cell r="B185" t="str">
            <v>VIGUETAS DE VANOS</v>
          </cell>
          <cell r="C185">
            <v>0</v>
          </cell>
          <cell r="D185">
            <v>0</v>
          </cell>
          <cell r="E185">
            <v>0</v>
          </cell>
          <cell r="F185">
            <v>0</v>
          </cell>
          <cell r="G185">
            <v>0</v>
          </cell>
          <cell r="H185">
            <v>0</v>
          </cell>
          <cell r="I185">
            <v>0</v>
          </cell>
          <cell r="J185">
            <v>0</v>
          </cell>
          <cell r="K185">
            <v>0</v>
          </cell>
          <cell r="L185">
            <v>0</v>
          </cell>
          <cell r="M185">
            <v>0</v>
          </cell>
          <cell r="N185">
            <v>0</v>
          </cell>
          <cell r="O185">
            <v>0</v>
          </cell>
          <cell r="P185">
            <v>0</v>
          </cell>
          <cell r="Q185">
            <v>0</v>
          </cell>
          <cell r="R185">
            <v>0</v>
          </cell>
        </row>
        <row r="186">
          <cell r="A186" t="str">
            <v>03.04.06.01</v>
          </cell>
          <cell r="B186" t="str">
            <v>CONCRETO EN VIGUETAS DE VANO F'C=175 KG/CM2</v>
          </cell>
          <cell r="C186" t="str">
            <v>m3</v>
          </cell>
          <cell r="D186">
            <v>6.18</v>
          </cell>
          <cell r="E186">
            <v>271.35000000000002</v>
          </cell>
          <cell r="F186">
            <v>1676.943</v>
          </cell>
          <cell r="G186">
            <v>3.1477499999999998</v>
          </cell>
          <cell r="H186">
            <v>854.14196249999998</v>
          </cell>
          <cell r="I186">
            <v>0.50934466019417479</v>
          </cell>
          <cell r="J186">
            <v>3.0322499999999999</v>
          </cell>
          <cell r="K186">
            <v>822.80103750000001</v>
          </cell>
          <cell r="L186">
            <v>0.49065533980582526</v>
          </cell>
          <cell r="M186">
            <v>6.18</v>
          </cell>
          <cell r="N186">
            <v>1676.943</v>
          </cell>
          <cell r="O186">
            <v>1</v>
          </cell>
          <cell r="P186">
            <v>0</v>
          </cell>
          <cell r="Q186">
            <v>0</v>
          </cell>
          <cell r="R186" t="str">
            <v>0.00%</v>
          </cell>
        </row>
        <row r="187">
          <cell r="A187" t="str">
            <v>03.04.06.02</v>
          </cell>
          <cell r="B187" t="str">
            <v>ACERO GRADO 60 EN VIGUETAS DE VANO</v>
          </cell>
          <cell r="C187" t="str">
            <v>kg</v>
          </cell>
          <cell r="D187">
            <v>499.46</v>
          </cell>
          <cell r="E187">
            <v>4.5</v>
          </cell>
          <cell r="F187">
            <v>2247.5699999999997</v>
          </cell>
          <cell r="G187">
            <v>253.59359999999998</v>
          </cell>
          <cell r="H187">
            <v>1141.1712</v>
          </cell>
          <cell r="I187">
            <v>0.50773555439875073</v>
          </cell>
          <cell r="J187">
            <v>245.86600000000001</v>
          </cell>
          <cell r="K187">
            <v>1106.3970000000002</v>
          </cell>
          <cell r="L187">
            <v>0.49226364473631534</v>
          </cell>
          <cell r="M187">
            <v>499.45960000000002</v>
          </cell>
          <cell r="N187">
            <v>2247.5682000000002</v>
          </cell>
          <cell r="O187">
            <v>0.99999919913506607</v>
          </cell>
          <cell r="P187">
            <v>3.999999999564352E-4</v>
          </cell>
          <cell r="Q187">
            <v>1.799999999548163E-3</v>
          </cell>
          <cell r="R187">
            <v>8.0086493392782569E-7</v>
          </cell>
        </row>
        <row r="188">
          <cell r="A188" t="str">
            <v>03.04.06.03</v>
          </cell>
          <cell r="B188" t="str">
            <v>ENCOFRADO Y DESENCOFRADO EN VIGUETAS DE VANO</v>
          </cell>
          <cell r="C188" t="str">
            <v>m2</v>
          </cell>
          <cell r="D188">
            <v>90.65</v>
          </cell>
          <cell r="E188">
            <v>41.63</v>
          </cell>
          <cell r="F188">
            <v>3773.7595000000006</v>
          </cell>
          <cell r="G188">
            <v>46.167000000000016</v>
          </cell>
          <cell r="H188">
            <v>1921.9322100000009</v>
          </cell>
          <cell r="I188">
            <v>0.50928847214561512</v>
          </cell>
          <cell r="J188">
            <v>44.482900000000001</v>
          </cell>
          <cell r="K188">
            <v>1851.8231270000001</v>
          </cell>
          <cell r="L188">
            <v>0.49071042471042464</v>
          </cell>
          <cell r="M188">
            <v>90.649900000000017</v>
          </cell>
          <cell r="N188">
            <v>3773.755337000001</v>
          </cell>
          <cell r="O188">
            <v>0.99999889685603982</v>
          </cell>
          <cell r="P188">
            <v>9.9999999989108801E-5</v>
          </cell>
          <cell r="Q188">
            <v>4.162999999607564E-3</v>
          </cell>
          <cell r="R188">
            <v>1.1031439601828264E-6</v>
          </cell>
        </row>
        <row r="189">
          <cell r="A189" t="str">
            <v>03.04.07</v>
          </cell>
          <cell r="B189" t="str">
            <v>LOSAS ALIGERADAS</v>
          </cell>
          <cell r="C189">
            <v>0</v>
          </cell>
          <cell r="D189">
            <v>0</v>
          </cell>
          <cell r="E189">
            <v>0</v>
          </cell>
          <cell r="F189">
            <v>0</v>
          </cell>
          <cell r="G189">
            <v>0</v>
          </cell>
          <cell r="H189">
            <v>0</v>
          </cell>
          <cell r="I189">
            <v>0</v>
          </cell>
          <cell r="J189">
            <v>0</v>
          </cell>
          <cell r="K189">
            <v>0</v>
          </cell>
          <cell r="L189">
            <v>0</v>
          </cell>
          <cell r="M189">
            <v>0</v>
          </cell>
          <cell r="N189">
            <v>0</v>
          </cell>
          <cell r="O189">
            <v>0</v>
          </cell>
          <cell r="P189">
            <v>0</v>
          </cell>
          <cell r="Q189">
            <v>0</v>
          </cell>
          <cell r="R189">
            <v>0</v>
          </cell>
        </row>
        <row r="190">
          <cell r="A190" t="str">
            <v>03.04.07.01</v>
          </cell>
          <cell r="B190" t="str">
            <v>CONCRETO EN LOSAS ALIGERADAS F'C=210 KG/CM2</v>
          </cell>
          <cell r="C190" t="str">
            <v>m3</v>
          </cell>
          <cell r="D190">
            <v>45.98</v>
          </cell>
          <cell r="E190">
            <v>487.24</v>
          </cell>
          <cell r="F190">
            <v>22403.2952</v>
          </cell>
          <cell r="G190">
            <v>45.98</v>
          </cell>
          <cell r="H190">
            <v>22403.2952</v>
          </cell>
          <cell r="I190">
            <v>1</v>
          </cell>
          <cell r="J190">
            <v>0</v>
          </cell>
          <cell r="K190">
            <v>0</v>
          </cell>
          <cell r="L190" t="str">
            <v>0.00%</v>
          </cell>
          <cell r="M190">
            <v>45.98</v>
          </cell>
          <cell r="N190">
            <v>22403.2952</v>
          </cell>
          <cell r="O190">
            <v>1</v>
          </cell>
          <cell r="P190">
            <v>0</v>
          </cell>
          <cell r="Q190">
            <v>0</v>
          </cell>
          <cell r="R190" t="str">
            <v>0.00%</v>
          </cell>
        </row>
        <row r="191">
          <cell r="A191" t="str">
            <v>03.04.07.02</v>
          </cell>
          <cell r="B191" t="str">
            <v>ACERO F'Y=4200 KG/CM2 GRADO 60 EN LOSAS ALIGERADAS</v>
          </cell>
          <cell r="C191" t="str">
            <v>kg</v>
          </cell>
          <cell r="D191">
            <v>3959.1</v>
          </cell>
          <cell r="E191">
            <v>4.5</v>
          </cell>
          <cell r="F191">
            <v>17815.95</v>
          </cell>
          <cell r="G191">
            <v>3959.0982000000004</v>
          </cell>
          <cell r="H191">
            <v>17815.941900000002</v>
          </cell>
          <cell r="I191">
            <v>0.99999954535121627</v>
          </cell>
          <cell r="J191">
            <v>0</v>
          </cell>
          <cell r="K191">
            <v>0</v>
          </cell>
          <cell r="L191" t="str">
            <v>0.00%</v>
          </cell>
          <cell r="M191">
            <v>3959.0982000000004</v>
          </cell>
          <cell r="N191">
            <v>17815.941900000002</v>
          </cell>
          <cell r="O191">
            <v>0.99999954535121627</v>
          </cell>
          <cell r="P191">
            <v>1.799999999548163E-3</v>
          </cell>
          <cell r="Q191">
            <v>8.099999999103602E-3</v>
          </cell>
          <cell r="R191">
            <v>4.5464878376418893E-7</v>
          </cell>
        </row>
        <row r="192">
          <cell r="A192" t="str">
            <v>03.04.07.03</v>
          </cell>
          <cell r="B192" t="str">
            <v>ENCOFRADO Y DESENCOFRADO NORMAL EN LOSAS ALIGERADAS</v>
          </cell>
          <cell r="C192" t="str">
            <v>m2</v>
          </cell>
          <cell r="D192">
            <v>515.38</v>
          </cell>
          <cell r="E192">
            <v>29.08</v>
          </cell>
          <cell r="F192">
            <v>14987.250399999999</v>
          </cell>
          <cell r="G192">
            <v>515.38</v>
          </cell>
          <cell r="H192">
            <v>14987.250399999999</v>
          </cell>
          <cell r="I192">
            <v>1</v>
          </cell>
          <cell r="J192">
            <v>0</v>
          </cell>
          <cell r="K192">
            <v>0</v>
          </cell>
          <cell r="L192" t="str">
            <v>0.00%</v>
          </cell>
          <cell r="M192">
            <v>515.38</v>
          </cell>
          <cell r="N192">
            <v>14987.250399999999</v>
          </cell>
          <cell r="O192">
            <v>1</v>
          </cell>
          <cell r="P192">
            <v>0</v>
          </cell>
          <cell r="Q192">
            <v>0</v>
          </cell>
          <cell r="R192" t="str">
            <v>0.00%</v>
          </cell>
        </row>
        <row r="193">
          <cell r="A193" t="str">
            <v>03.04.07.04</v>
          </cell>
          <cell r="B193" t="str">
            <v>LADRILLO DE ARCILLA HUECO 15X30X30 PARA TECHO</v>
          </cell>
          <cell r="C193" t="str">
            <v>und</v>
          </cell>
          <cell r="D193">
            <v>4293.1099999999997</v>
          </cell>
          <cell r="E193">
            <v>4.66</v>
          </cell>
          <cell r="F193">
            <v>20005.892599999999</v>
          </cell>
          <cell r="G193">
            <v>4293.1090000000004</v>
          </cell>
          <cell r="H193">
            <v>20005.887940000004</v>
          </cell>
          <cell r="I193">
            <v>0.99999976706862881</v>
          </cell>
          <cell r="J193">
            <v>0</v>
          </cell>
          <cell r="K193">
            <v>0</v>
          </cell>
          <cell r="L193" t="str">
            <v>0.00%</v>
          </cell>
          <cell r="M193">
            <v>4293.1090000000004</v>
          </cell>
          <cell r="N193">
            <v>20005.887940000004</v>
          </cell>
          <cell r="O193">
            <v>0.99999976706862881</v>
          </cell>
          <cell r="P193">
            <v>9.9999999929423211E-4</v>
          </cell>
          <cell r="Q193">
            <v>4.6599999950558413E-3</v>
          </cell>
          <cell r="R193">
            <v>2.3293137118290047E-7</v>
          </cell>
        </row>
        <row r="194">
          <cell r="A194" t="str">
            <v>03.04.08</v>
          </cell>
          <cell r="B194" t="str">
            <v>ESCALERAS</v>
          </cell>
          <cell r="C194">
            <v>0</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row>
        <row r="195">
          <cell r="A195" t="str">
            <v>03.04.08.01</v>
          </cell>
          <cell r="B195" t="str">
            <v>CONCRETO EN ESCALERAS F'C=210 KG/CM2</v>
          </cell>
          <cell r="C195" t="str">
            <v>m3</v>
          </cell>
          <cell r="D195">
            <v>5.88</v>
          </cell>
          <cell r="E195">
            <v>453.78</v>
          </cell>
          <cell r="F195">
            <v>2668.2264</v>
          </cell>
          <cell r="G195">
            <v>0</v>
          </cell>
          <cell r="H195">
            <v>0</v>
          </cell>
          <cell r="I195" t="str">
            <v>0.00%</v>
          </cell>
          <cell r="J195">
            <v>0</v>
          </cell>
          <cell r="K195">
            <v>0</v>
          </cell>
          <cell r="L195" t="str">
            <v>0.00%</v>
          </cell>
          <cell r="M195">
            <v>0</v>
          </cell>
          <cell r="N195">
            <v>0</v>
          </cell>
          <cell r="O195" t="str">
            <v>0.00%</v>
          </cell>
          <cell r="P195">
            <v>5.88</v>
          </cell>
          <cell r="Q195">
            <v>2668.2264</v>
          </cell>
          <cell r="R195">
            <v>1</v>
          </cell>
        </row>
        <row r="196">
          <cell r="A196" t="str">
            <v>03.04.08.02</v>
          </cell>
          <cell r="B196" t="str">
            <v>ACERO F'Y=4200 KG/CM2 GRADO 60 EN ESCALERAS</v>
          </cell>
          <cell r="C196" t="str">
            <v>kg</v>
          </cell>
          <cell r="D196">
            <v>297.62</v>
          </cell>
          <cell r="E196">
            <v>4.4400000000000004</v>
          </cell>
          <cell r="F196">
            <v>1321.4328</v>
          </cell>
          <cell r="G196">
            <v>0</v>
          </cell>
          <cell r="H196">
            <v>0</v>
          </cell>
          <cell r="I196" t="str">
            <v>0.00%</v>
          </cell>
          <cell r="J196">
            <v>0</v>
          </cell>
          <cell r="K196">
            <v>0</v>
          </cell>
          <cell r="L196" t="str">
            <v>0.00%</v>
          </cell>
          <cell r="M196">
            <v>0</v>
          </cell>
          <cell r="N196">
            <v>0</v>
          </cell>
          <cell r="O196" t="str">
            <v>0.00%</v>
          </cell>
          <cell r="P196">
            <v>297.62</v>
          </cell>
          <cell r="Q196">
            <v>1321.4328</v>
          </cell>
          <cell r="R196">
            <v>1</v>
          </cell>
        </row>
        <row r="197">
          <cell r="A197" t="str">
            <v>03.04.08.03</v>
          </cell>
          <cell r="B197" t="str">
            <v>ENCOFRADO Y DESENCOFRADO NORMAL EN ESCALERAS</v>
          </cell>
          <cell r="C197" t="str">
            <v>m2</v>
          </cell>
          <cell r="D197">
            <v>11.2</v>
          </cell>
          <cell r="E197">
            <v>35.26</v>
          </cell>
          <cell r="F197">
            <v>394.91199999999998</v>
          </cell>
          <cell r="G197">
            <v>0</v>
          </cell>
          <cell r="H197">
            <v>0</v>
          </cell>
          <cell r="I197" t="str">
            <v>0.00%</v>
          </cell>
          <cell r="J197">
            <v>0</v>
          </cell>
          <cell r="K197">
            <v>0</v>
          </cell>
          <cell r="L197" t="str">
            <v>0.00%</v>
          </cell>
          <cell r="M197">
            <v>0</v>
          </cell>
          <cell r="N197">
            <v>0</v>
          </cell>
          <cell r="O197" t="str">
            <v>0.00%</v>
          </cell>
          <cell r="P197">
            <v>11.2</v>
          </cell>
          <cell r="Q197">
            <v>394.91199999999998</v>
          </cell>
          <cell r="R197">
            <v>1</v>
          </cell>
        </row>
        <row r="198">
          <cell r="A198" t="str">
            <v>03.04.09</v>
          </cell>
          <cell r="B198" t="str">
            <v>CUNETA DE  EVACUACION PLUVIAL EN TECHO</v>
          </cell>
          <cell r="C198">
            <v>0</v>
          </cell>
          <cell r="D198">
            <v>0</v>
          </cell>
          <cell r="E198">
            <v>0</v>
          </cell>
          <cell r="F198">
            <v>0</v>
          </cell>
          <cell r="G198">
            <v>0</v>
          </cell>
          <cell r="H198">
            <v>0</v>
          </cell>
          <cell r="I198">
            <v>0</v>
          </cell>
          <cell r="J198">
            <v>0</v>
          </cell>
          <cell r="K198">
            <v>0</v>
          </cell>
          <cell r="L198">
            <v>0</v>
          </cell>
          <cell r="M198">
            <v>0</v>
          </cell>
          <cell r="N198">
            <v>0</v>
          </cell>
          <cell r="O198">
            <v>0</v>
          </cell>
          <cell r="P198">
            <v>0</v>
          </cell>
          <cell r="Q198">
            <v>0</v>
          </cell>
          <cell r="R198">
            <v>0</v>
          </cell>
        </row>
        <row r="199">
          <cell r="A199" t="str">
            <v>03.04.09.01</v>
          </cell>
          <cell r="B199" t="str">
            <v>CONCRETO EN CUNETA F'C= 210 KG/CM2</v>
          </cell>
          <cell r="C199" t="str">
            <v>m3</v>
          </cell>
          <cell r="D199">
            <v>2.91</v>
          </cell>
          <cell r="E199">
            <v>482.39</v>
          </cell>
          <cell r="F199">
            <v>1403.7549000000001</v>
          </cell>
          <cell r="G199">
            <v>1.45</v>
          </cell>
          <cell r="H199">
            <v>699.46549999999991</v>
          </cell>
          <cell r="I199">
            <v>0.49828178694158065</v>
          </cell>
          <cell r="J199">
            <v>1.4527300000000001</v>
          </cell>
          <cell r="K199">
            <v>700.78242469999998</v>
          </cell>
          <cell r="L199">
            <v>0.49921993127147762</v>
          </cell>
          <cell r="M199">
            <v>2.90273</v>
          </cell>
          <cell r="N199">
            <v>1400.2479246999999</v>
          </cell>
          <cell r="O199">
            <v>0.99750171821305822</v>
          </cell>
          <cell r="P199">
            <v>7.2700000000001097E-3</v>
          </cell>
          <cell r="Q199">
            <v>3.5069753000002493</v>
          </cell>
          <cell r="R199">
            <v>2.4982817869417581E-3</v>
          </cell>
        </row>
        <row r="200">
          <cell r="A200" t="str">
            <v>03.04.09.02</v>
          </cell>
          <cell r="B200" t="str">
            <v>ACERO F'Y=4200 KG/CM2 GRADO 60 EN CUNETA</v>
          </cell>
          <cell r="C200" t="str">
            <v>kg</v>
          </cell>
          <cell r="D200">
            <v>406.6</v>
          </cell>
          <cell r="E200">
            <v>4.4400000000000004</v>
          </cell>
          <cell r="F200">
            <v>1805.3040000000003</v>
          </cell>
          <cell r="G200">
            <v>311.47899999999998</v>
          </cell>
          <cell r="H200">
            <v>1382.96676</v>
          </cell>
          <cell r="I200">
            <v>0.7660575504181012</v>
          </cell>
          <cell r="J200">
            <v>95.121600000000001</v>
          </cell>
          <cell r="K200">
            <v>422.33499999999998</v>
          </cell>
          <cell r="L200">
            <v>0.23394120879364358</v>
          </cell>
          <cell r="M200">
            <v>406.60059999999999</v>
          </cell>
          <cell r="N200">
            <v>1805.3017600000001</v>
          </cell>
          <cell r="O200">
            <v>0.99999875921174486</v>
          </cell>
          <cell r="P200">
            <v>-5.9999999996307452E-4</v>
          </cell>
          <cell r="Q200">
            <v>2.2400000002562592E-3</v>
          </cell>
          <cell r="R200">
            <v>1.2407882551948363E-6</v>
          </cell>
        </row>
        <row r="201">
          <cell r="A201" t="str">
            <v>03.04.09.03</v>
          </cell>
          <cell r="B201" t="str">
            <v>ENCOFRADO Y DESENCOFRADO NORMAL EN CUNETAS</v>
          </cell>
          <cell r="C201" t="str">
            <v>m2</v>
          </cell>
          <cell r="D201">
            <v>58.11</v>
          </cell>
          <cell r="E201">
            <v>44.85</v>
          </cell>
          <cell r="F201">
            <v>2606.2335000000003</v>
          </cell>
          <cell r="G201">
            <v>29.05</v>
          </cell>
          <cell r="H201">
            <v>1302.8925000000002</v>
          </cell>
          <cell r="I201">
            <v>0.49991395628979524</v>
          </cell>
          <cell r="J201">
            <v>29.054600000000001</v>
          </cell>
          <cell r="K201">
            <v>1303.09881</v>
          </cell>
          <cell r="L201">
            <v>0.49999311650318357</v>
          </cell>
          <cell r="M201">
            <v>58.104600000000005</v>
          </cell>
          <cell r="N201">
            <v>2605.9913100000003</v>
          </cell>
          <cell r="O201">
            <v>0.99990707279297886</v>
          </cell>
          <cell r="P201">
            <v>5.3999999999945203E-3</v>
          </cell>
          <cell r="Q201">
            <v>0.24218999999993684</v>
          </cell>
          <cell r="R201">
            <v>9.2927207021142511E-5</v>
          </cell>
        </row>
        <row r="202">
          <cell r="A202" t="str">
            <v>03.04.10</v>
          </cell>
          <cell r="B202" t="str">
            <v>MARCO DE VENTANA DE CONCRETO</v>
          </cell>
          <cell r="C202">
            <v>0</v>
          </cell>
          <cell r="D202">
            <v>0</v>
          </cell>
          <cell r="E202">
            <v>0</v>
          </cell>
          <cell r="F202">
            <v>0</v>
          </cell>
          <cell r="G202">
            <v>0</v>
          </cell>
          <cell r="H202">
            <v>0</v>
          </cell>
          <cell r="I202">
            <v>0</v>
          </cell>
          <cell r="J202">
            <v>0</v>
          </cell>
          <cell r="K202">
            <v>0</v>
          </cell>
          <cell r="L202">
            <v>0</v>
          </cell>
          <cell r="M202">
            <v>0</v>
          </cell>
          <cell r="N202">
            <v>0</v>
          </cell>
          <cell r="O202">
            <v>0</v>
          </cell>
          <cell r="P202">
            <v>0</v>
          </cell>
          <cell r="Q202">
            <v>0</v>
          </cell>
          <cell r="R202">
            <v>0</v>
          </cell>
        </row>
        <row r="203">
          <cell r="A203" t="str">
            <v>03.04.10.01</v>
          </cell>
          <cell r="B203" t="str">
            <v>CONCRETO F'C= 175 KG/CM2 EN MARCO DE VENTANA</v>
          </cell>
          <cell r="C203" t="str">
            <v>m3</v>
          </cell>
          <cell r="D203">
            <v>3.02</v>
          </cell>
          <cell r="E203">
            <v>462.25</v>
          </cell>
          <cell r="F203">
            <v>1395.9950000000001</v>
          </cell>
          <cell r="G203">
            <v>0</v>
          </cell>
          <cell r="H203">
            <v>0</v>
          </cell>
          <cell r="I203" t="str">
            <v>0.00%</v>
          </cell>
          <cell r="J203">
            <v>0.38400000000000001</v>
          </cell>
          <cell r="K203">
            <v>177.50399999999999</v>
          </cell>
          <cell r="L203">
            <v>0.12715231788079467</v>
          </cell>
          <cell r="M203">
            <v>0.38400000000000001</v>
          </cell>
          <cell r="N203">
            <v>177.50399999999999</v>
          </cell>
          <cell r="O203">
            <v>0.12715231788079467</v>
          </cell>
          <cell r="P203">
            <v>2.6360000000000001</v>
          </cell>
          <cell r="Q203">
            <v>1218.4910000000002</v>
          </cell>
          <cell r="R203">
            <v>0.87284768211920538</v>
          </cell>
        </row>
        <row r="204">
          <cell r="A204" t="str">
            <v>03.04.10.02</v>
          </cell>
          <cell r="B204" t="str">
            <v>ACERO F'Y=4200 KG/CM2 GRADO 60 EN MARCO DE VENTANA</v>
          </cell>
          <cell r="C204" t="str">
            <v>kg</v>
          </cell>
          <cell r="D204">
            <v>587.52</v>
          </cell>
          <cell r="E204">
            <v>4.4400000000000004</v>
          </cell>
          <cell r="F204">
            <v>2608.5888</v>
          </cell>
          <cell r="G204">
            <v>401.4</v>
          </cell>
          <cell r="H204">
            <v>1782.2160000000001</v>
          </cell>
          <cell r="I204">
            <v>0.68321078431372551</v>
          </cell>
          <cell r="J204">
            <v>186.12</v>
          </cell>
          <cell r="K204">
            <v>826.37</v>
          </cell>
          <cell r="L204">
            <v>0.31678814230897562</v>
          </cell>
          <cell r="M204">
            <v>587.52</v>
          </cell>
          <cell r="N204">
            <v>2608.5860000000002</v>
          </cell>
          <cell r="O204">
            <v>0.99999892662270118</v>
          </cell>
          <cell r="P204">
            <v>0</v>
          </cell>
          <cell r="Q204">
            <v>2.7999999997518898E-3</v>
          </cell>
          <cell r="R204">
            <v>1.0733772987723822E-6</v>
          </cell>
        </row>
        <row r="205">
          <cell r="A205" t="str">
            <v>03.04.10.03</v>
          </cell>
          <cell r="B205" t="str">
            <v>ENCOFRADO Y DESENCOFRADO EN MARCO DE VENTANA</v>
          </cell>
          <cell r="C205" t="str">
            <v>m2</v>
          </cell>
          <cell r="D205">
            <v>30.240500000000001</v>
          </cell>
          <cell r="E205">
            <v>28.78</v>
          </cell>
          <cell r="F205">
            <v>870.32159000000001</v>
          </cell>
          <cell r="G205">
            <v>0</v>
          </cell>
          <cell r="H205">
            <v>0</v>
          </cell>
          <cell r="I205" t="str">
            <v>0.00%</v>
          </cell>
          <cell r="J205">
            <v>3.84</v>
          </cell>
          <cell r="K205">
            <v>110.51520000000001</v>
          </cell>
          <cell r="L205">
            <v>0.1269820274135679</v>
          </cell>
          <cell r="M205">
            <v>3.84</v>
          </cell>
          <cell r="N205">
            <v>110.51520000000001</v>
          </cell>
          <cell r="O205">
            <v>0.1269820274135679</v>
          </cell>
          <cell r="P205">
            <v>26.400500000000001</v>
          </cell>
          <cell r="Q205">
            <v>759.80638999999996</v>
          </cell>
          <cell r="R205">
            <v>0.8730179725864321</v>
          </cell>
        </row>
        <row r="206">
          <cell r="A206" t="str">
            <v>03.05</v>
          </cell>
          <cell r="B206" t="str">
            <v>JUNTAS DE CONSTRUCCION</v>
          </cell>
          <cell r="C206">
            <v>0</v>
          </cell>
          <cell r="D206">
            <v>0</v>
          </cell>
          <cell r="E206">
            <v>0</v>
          </cell>
          <cell r="F206">
            <v>0</v>
          </cell>
          <cell r="G206">
            <v>0</v>
          </cell>
          <cell r="H206">
            <v>0</v>
          </cell>
          <cell r="I206">
            <v>0</v>
          </cell>
          <cell r="J206">
            <v>0</v>
          </cell>
          <cell r="K206">
            <v>0</v>
          </cell>
          <cell r="L206">
            <v>0</v>
          </cell>
          <cell r="M206">
            <v>0</v>
          </cell>
          <cell r="N206">
            <v>0</v>
          </cell>
          <cell r="O206">
            <v>0</v>
          </cell>
          <cell r="P206">
            <v>0</v>
          </cell>
          <cell r="Q206">
            <v>0</v>
          </cell>
          <cell r="R206">
            <v>0</v>
          </cell>
        </row>
        <row r="207">
          <cell r="A207" t="str">
            <v>03.05.01</v>
          </cell>
          <cell r="B207" t="str">
            <v>JUNTAS DE TEKNOPOR DE  1"</v>
          </cell>
          <cell r="C207" t="str">
            <v>m</v>
          </cell>
          <cell r="D207">
            <v>17</v>
          </cell>
          <cell r="E207">
            <v>9.0500000000000007</v>
          </cell>
          <cell r="F207">
            <v>153.85000000000002</v>
          </cell>
          <cell r="G207">
            <v>0</v>
          </cell>
          <cell r="H207">
            <v>0</v>
          </cell>
          <cell r="I207" t="str">
            <v>0.00%</v>
          </cell>
          <cell r="J207">
            <v>17</v>
          </cell>
          <cell r="K207">
            <v>153.85000000000002</v>
          </cell>
          <cell r="L207">
            <v>1</v>
          </cell>
          <cell r="M207">
            <v>17</v>
          </cell>
          <cell r="N207">
            <v>153.85000000000002</v>
          </cell>
          <cell r="O207">
            <v>1</v>
          </cell>
          <cell r="P207">
            <v>0</v>
          </cell>
          <cell r="Q207">
            <v>0</v>
          </cell>
          <cell r="R207" t="str">
            <v>0.00%</v>
          </cell>
        </row>
        <row r="208">
          <cell r="A208" t="str">
            <v>03.06</v>
          </cell>
          <cell r="B208" t="str">
            <v>PRUEBAS</v>
          </cell>
          <cell r="C208">
            <v>0</v>
          </cell>
          <cell r="D208">
            <v>0</v>
          </cell>
          <cell r="E208">
            <v>0</v>
          </cell>
          <cell r="F208">
            <v>0</v>
          </cell>
          <cell r="G208">
            <v>0</v>
          </cell>
          <cell r="H208">
            <v>0</v>
          </cell>
          <cell r="I208">
            <v>0</v>
          </cell>
          <cell r="J208">
            <v>0</v>
          </cell>
          <cell r="K208">
            <v>0</v>
          </cell>
          <cell r="L208">
            <v>0</v>
          </cell>
          <cell r="M208">
            <v>0</v>
          </cell>
          <cell r="N208">
            <v>0</v>
          </cell>
          <cell r="O208">
            <v>0</v>
          </cell>
          <cell r="P208">
            <v>0</v>
          </cell>
          <cell r="Q208">
            <v>0</v>
          </cell>
          <cell r="R208">
            <v>0</v>
          </cell>
        </row>
        <row r="209">
          <cell r="A209" t="str">
            <v>03.06.01</v>
          </cell>
          <cell r="B209" t="str">
            <v>PRUEBA DE CALIDAD DEL CONCRETO (PRUEBA A LA COMPRESION)</v>
          </cell>
          <cell r="C209" t="str">
            <v>und</v>
          </cell>
          <cell r="D209">
            <v>2</v>
          </cell>
          <cell r="E209">
            <v>40</v>
          </cell>
          <cell r="F209">
            <v>80</v>
          </cell>
          <cell r="G209">
            <v>2</v>
          </cell>
          <cell r="H209">
            <v>80</v>
          </cell>
          <cell r="I209">
            <v>1</v>
          </cell>
          <cell r="J209">
            <v>0</v>
          </cell>
          <cell r="K209">
            <v>0</v>
          </cell>
          <cell r="L209" t="str">
            <v>0.00%</v>
          </cell>
          <cell r="M209">
            <v>2</v>
          </cell>
          <cell r="N209">
            <v>80</v>
          </cell>
          <cell r="O209">
            <v>1</v>
          </cell>
          <cell r="P209">
            <v>0</v>
          </cell>
          <cell r="Q209">
            <v>0</v>
          </cell>
          <cell r="R209" t="str">
            <v>0.00%</v>
          </cell>
        </row>
        <row r="210">
          <cell r="A210" t="str">
            <v>04</v>
          </cell>
          <cell r="B210" t="str">
            <v>BLOQUE - 3</v>
          </cell>
          <cell r="C210">
            <v>0</v>
          </cell>
          <cell r="D210">
            <v>0</v>
          </cell>
          <cell r="E210">
            <v>0</v>
          </cell>
          <cell r="F210">
            <v>0</v>
          </cell>
          <cell r="G210">
            <v>0</v>
          </cell>
          <cell r="H210">
            <v>0</v>
          </cell>
          <cell r="I210">
            <v>0</v>
          </cell>
          <cell r="J210">
            <v>0</v>
          </cell>
          <cell r="K210">
            <v>0</v>
          </cell>
          <cell r="L210">
            <v>0</v>
          </cell>
          <cell r="M210">
            <v>0</v>
          </cell>
          <cell r="N210">
            <v>0</v>
          </cell>
          <cell r="O210">
            <v>0</v>
          </cell>
          <cell r="P210">
            <v>0</v>
          </cell>
          <cell r="Q210">
            <v>0</v>
          </cell>
          <cell r="R210">
            <v>0</v>
          </cell>
        </row>
        <row r="211">
          <cell r="A211" t="str">
            <v>04.01</v>
          </cell>
          <cell r="B211" t="str">
            <v>TRABAJOS PRELIMINARES</v>
          </cell>
          <cell r="C211">
            <v>0</v>
          </cell>
          <cell r="D211">
            <v>0</v>
          </cell>
          <cell r="E211">
            <v>0</v>
          </cell>
          <cell r="F211">
            <v>0</v>
          </cell>
          <cell r="G211">
            <v>0</v>
          </cell>
          <cell r="H211">
            <v>0</v>
          </cell>
          <cell r="I211">
            <v>0</v>
          </cell>
          <cell r="J211">
            <v>0</v>
          </cell>
          <cell r="K211">
            <v>0</v>
          </cell>
          <cell r="L211">
            <v>0</v>
          </cell>
          <cell r="M211">
            <v>0</v>
          </cell>
          <cell r="N211">
            <v>0</v>
          </cell>
          <cell r="O211">
            <v>0</v>
          </cell>
          <cell r="P211">
            <v>0</v>
          </cell>
          <cell r="Q211">
            <v>0</v>
          </cell>
          <cell r="R211">
            <v>0</v>
          </cell>
        </row>
        <row r="212">
          <cell r="A212" t="str">
            <v>04.01.01</v>
          </cell>
          <cell r="B212" t="str">
            <v>LIMPIEZA DE TERRENO MANUAL</v>
          </cell>
          <cell r="C212" t="str">
            <v>m2</v>
          </cell>
          <cell r="D212">
            <v>147.26</v>
          </cell>
          <cell r="E212">
            <v>1.0900000000000001</v>
          </cell>
          <cell r="F212">
            <v>160.51339999999999</v>
          </cell>
          <cell r="G212">
            <v>147.26</v>
          </cell>
          <cell r="H212">
            <v>160.51339999999999</v>
          </cell>
          <cell r="I212">
            <v>1</v>
          </cell>
          <cell r="J212">
            <v>0</v>
          </cell>
          <cell r="K212">
            <v>0</v>
          </cell>
          <cell r="L212" t="str">
            <v>0.00%</v>
          </cell>
          <cell r="M212">
            <v>147.26</v>
          </cell>
          <cell r="N212">
            <v>160.51339999999999</v>
          </cell>
          <cell r="O212">
            <v>1</v>
          </cell>
          <cell r="P212">
            <v>0</v>
          </cell>
          <cell r="Q212">
            <v>0</v>
          </cell>
          <cell r="R212" t="str">
            <v>0.00%</v>
          </cell>
        </row>
        <row r="213">
          <cell r="A213" t="str">
            <v>04.01.02</v>
          </cell>
          <cell r="B213" t="str">
            <v>TRAZO DURANTE LA EJECUCION DE LA OBRA</v>
          </cell>
          <cell r="C213" t="str">
            <v>m2</v>
          </cell>
          <cell r="D213">
            <v>147.26</v>
          </cell>
          <cell r="E213">
            <v>3.49</v>
          </cell>
          <cell r="F213">
            <v>513.93740000000003</v>
          </cell>
          <cell r="G213">
            <v>147.26</v>
          </cell>
          <cell r="H213">
            <v>513.93740000000003</v>
          </cell>
          <cell r="I213">
            <v>1</v>
          </cell>
          <cell r="J213">
            <v>0</v>
          </cell>
          <cell r="K213">
            <v>0</v>
          </cell>
          <cell r="L213" t="str">
            <v>0.00%</v>
          </cell>
          <cell r="M213">
            <v>147.26</v>
          </cell>
          <cell r="N213">
            <v>513.93740000000003</v>
          </cell>
          <cell r="O213">
            <v>1</v>
          </cell>
          <cell r="P213">
            <v>0</v>
          </cell>
          <cell r="Q213">
            <v>0</v>
          </cell>
          <cell r="R213" t="str">
            <v>0.00%</v>
          </cell>
        </row>
        <row r="214">
          <cell r="A214" t="str">
            <v>04.02</v>
          </cell>
          <cell r="B214" t="str">
            <v>MOVIMIENTO DE TIERRAS</v>
          </cell>
          <cell r="C214">
            <v>0</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row>
        <row r="215">
          <cell r="A215" t="str">
            <v>04.02.01</v>
          </cell>
          <cell r="B215" t="str">
            <v xml:space="preserve">EXCAVACION PARA CIMIENTOS-ZAPATAS </v>
          </cell>
          <cell r="C215" t="str">
            <v>m3</v>
          </cell>
          <cell r="D215">
            <v>132.08000000000001</v>
          </cell>
          <cell r="E215">
            <v>44.73</v>
          </cell>
          <cell r="F215">
            <v>5907.9384</v>
          </cell>
          <cell r="G215">
            <v>132.08000000000001</v>
          </cell>
          <cell r="H215">
            <v>5907.9384</v>
          </cell>
          <cell r="I215">
            <v>1</v>
          </cell>
          <cell r="J215">
            <v>0</v>
          </cell>
          <cell r="K215">
            <v>0</v>
          </cell>
          <cell r="L215" t="str">
            <v>0.00%</v>
          </cell>
          <cell r="M215">
            <v>132.08000000000001</v>
          </cell>
          <cell r="N215">
            <v>5907.9384</v>
          </cell>
          <cell r="O215">
            <v>1</v>
          </cell>
          <cell r="P215">
            <v>0</v>
          </cell>
          <cell r="Q215">
            <v>0</v>
          </cell>
          <cell r="R215" t="str">
            <v>0.00%</v>
          </cell>
        </row>
        <row r="216">
          <cell r="A216" t="str">
            <v>04.02.02</v>
          </cell>
          <cell r="B216" t="str">
            <v>RELLENO COMPACTADO CON MATERIAL PROPIO EN CAPAS DE 0.20m.</v>
          </cell>
          <cell r="C216" t="str">
            <v>m3</v>
          </cell>
          <cell r="D216">
            <v>41.06</v>
          </cell>
          <cell r="E216">
            <v>53.95</v>
          </cell>
          <cell r="F216">
            <v>2215.1870000000004</v>
          </cell>
          <cell r="G216">
            <v>41.059999999999995</v>
          </cell>
          <cell r="H216">
            <v>2215.1869999999999</v>
          </cell>
          <cell r="I216">
            <v>0.99999999999999978</v>
          </cell>
          <cell r="J216">
            <v>0</v>
          </cell>
          <cell r="K216">
            <v>0</v>
          </cell>
          <cell r="L216" t="str">
            <v>0.00%</v>
          </cell>
          <cell r="M216">
            <v>41.059999999999995</v>
          </cell>
          <cell r="N216">
            <v>2215.1869999999999</v>
          </cell>
          <cell r="O216">
            <v>0.99999999999999978</v>
          </cell>
          <cell r="P216">
            <v>7.1054273576010019E-15</v>
          </cell>
          <cell r="Q216">
            <v>4.5474735088646412E-13</v>
          </cell>
          <cell r="R216">
            <v>2.0528621325714896E-16</v>
          </cell>
        </row>
        <row r="217">
          <cell r="A217" t="str">
            <v>04.02.03</v>
          </cell>
          <cell r="B217" t="str">
            <v>ACARREO INTERNO, MATERIAL PROCEDENTE DE EXCAVACIONES  Y OTROS</v>
          </cell>
          <cell r="C217" t="str">
            <v>m3</v>
          </cell>
          <cell r="D217">
            <v>118.32</v>
          </cell>
          <cell r="E217">
            <v>19</v>
          </cell>
          <cell r="F217">
            <v>2248.08</v>
          </cell>
          <cell r="G217">
            <v>118.32</v>
          </cell>
          <cell r="H217">
            <v>2248.08</v>
          </cell>
          <cell r="I217">
            <v>1</v>
          </cell>
          <cell r="J217">
            <v>0</v>
          </cell>
          <cell r="K217">
            <v>0</v>
          </cell>
          <cell r="L217" t="str">
            <v>0.00%</v>
          </cell>
          <cell r="M217">
            <v>118.32</v>
          </cell>
          <cell r="N217">
            <v>2248.08</v>
          </cell>
          <cell r="O217">
            <v>1</v>
          </cell>
          <cell r="P217">
            <v>0</v>
          </cell>
          <cell r="Q217">
            <v>0</v>
          </cell>
          <cell r="R217" t="str">
            <v>0.00%</v>
          </cell>
        </row>
        <row r="218">
          <cell r="A218" t="str">
            <v>04.02.04</v>
          </cell>
          <cell r="B218" t="str">
            <v>ELIMINACION DE MATERIAL EXCEDENTE CON EQUIPO</v>
          </cell>
          <cell r="C218" t="str">
            <v>m3</v>
          </cell>
          <cell r="D218">
            <v>118.32</v>
          </cell>
          <cell r="E218">
            <v>14.64</v>
          </cell>
          <cell r="F218">
            <v>1732.2048</v>
          </cell>
          <cell r="G218">
            <v>118.32</v>
          </cell>
          <cell r="H218">
            <v>1732.2048</v>
          </cell>
          <cell r="I218">
            <v>1</v>
          </cell>
          <cell r="J218">
            <v>0</v>
          </cell>
          <cell r="K218">
            <v>0</v>
          </cell>
          <cell r="L218" t="str">
            <v>0.00%</v>
          </cell>
          <cell r="M218">
            <v>118.32</v>
          </cell>
          <cell r="N218">
            <v>1732.2048</v>
          </cell>
          <cell r="O218">
            <v>1</v>
          </cell>
          <cell r="P218">
            <v>0</v>
          </cell>
          <cell r="Q218">
            <v>0</v>
          </cell>
          <cell r="R218" t="str">
            <v>0.00%</v>
          </cell>
        </row>
        <row r="219">
          <cell r="A219" t="str">
            <v>04.02.05</v>
          </cell>
          <cell r="B219" t="str">
            <v xml:space="preserve">AFIRMADO e=20 cm </v>
          </cell>
          <cell r="C219" t="str">
            <v>m3</v>
          </cell>
          <cell r="D219">
            <v>20.7</v>
          </cell>
          <cell r="E219">
            <v>82.36</v>
          </cell>
          <cell r="F219">
            <v>1704.8519999999999</v>
          </cell>
          <cell r="G219">
            <v>20.7</v>
          </cell>
          <cell r="H219">
            <v>1704.8519999999999</v>
          </cell>
          <cell r="I219">
            <v>1</v>
          </cell>
          <cell r="J219">
            <v>0</v>
          </cell>
          <cell r="K219">
            <v>0</v>
          </cell>
          <cell r="L219" t="str">
            <v>0.00%</v>
          </cell>
          <cell r="M219">
            <v>20.7</v>
          </cell>
          <cell r="N219">
            <v>1704.8519999999999</v>
          </cell>
          <cell r="O219">
            <v>1</v>
          </cell>
          <cell r="P219">
            <v>0</v>
          </cell>
          <cell r="Q219">
            <v>0</v>
          </cell>
          <cell r="R219" t="str">
            <v>0.00%</v>
          </cell>
        </row>
        <row r="220">
          <cell r="A220" t="str">
            <v>04.02.06</v>
          </cell>
          <cell r="B220" t="str">
            <v xml:space="preserve">NIVELACION Y COMPACTACION PARA FALSO PISOS, VEREDAS Y PATIOS </v>
          </cell>
          <cell r="C220" t="str">
            <v>m2</v>
          </cell>
          <cell r="D220">
            <v>103.51</v>
          </cell>
          <cell r="E220">
            <v>9.3800000000000008</v>
          </cell>
          <cell r="F220">
            <v>970.92380000000014</v>
          </cell>
          <cell r="G220">
            <v>103.51</v>
          </cell>
          <cell r="H220">
            <v>970.92380000000014</v>
          </cell>
          <cell r="I220">
            <v>1</v>
          </cell>
          <cell r="J220">
            <v>0</v>
          </cell>
          <cell r="K220">
            <v>0</v>
          </cell>
          <cell r="L220" t="str">
            <v>0.00%</v>
          </cell>
          <cell r="M220">
            <v>103.51</v>
          </cell>
          <cell r="N220">
            <v>970.92380000000014</v>
          </cell>
          <cell r="O220">
            <v>1</v>
          </cell>
          <cell r="P220">
            <v>0</v>
          </cell>
          <cell r="Q220">
            <v>0</v>
          </cell>
          <cell r="R220" t="str">
            <v>0.00%</v>
          </cell>
        </row>
        <row r="221">
          <cell r="A221" t="str">
            <v>04.03</v>
          </cell>
          <cell r="B221" t="str">
            <v>CONCRETO SIMPLE</v>
          </cell>
          <cell r="C221">
            <v>0</v>
          </cell>
          <cell r="D221">
            <v>0</v>
          </cell>
          <cell r="E221">
            <v>0</v>
          </cell>
          <cell r="F221">
            <v>0</v>
          </cell>
          <cell r="G221">
            <v>0</v>
          </cell>
          <cell r="H221">
            <v>0</v>
          </cell>
          <cell r="I221">
            <v>0</v>
          </cell>
          <cell r="J221">
            <v>0</v>
          </cell>
          <cell r="K221">
            <v>0</v>
          </cell>
          <cell r="L221">
            <v>0</v>
          </cell>
          <cell r="M221">
            <v>0</v>
          </cell>
          <cell r="N221">
            <v>0</v>
          </cell>
          <cell r="O221">
            <v>0</v>
          </cell>
          <cell r="P221">
            <v>0</v>
          </cell>
          <cell r="Q221">
            <v>0</v>
          </cell>
          <cell r="R221">
            <v>0</v>
          </cell>
        </row>
        <row r="222">
          <cell r="A222" t="str">
            <v>04.03.01</v>
          </cell>
          <cell r="B222" t="str">
            <v>SOLADOS</v>
          </cell>
          <cell r="C222">
            <v>0</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row>
        <row r="223">
          <cell r="A223" t="str">
            <v>04.03.01.01</v>
          </cell>
          <cell r="B223" t="str">
            <v>SOLADO E= 2" MEZCLA 1:12 CEMENTO-HORMIGON</v>
          </cell>
          <cell r="C223" t="str">
            <v>m2</v>
          </cell>
          <cell r="D223">
            <v>63.465000000000003</v>
          </cell>
          <cell r="E223">
            <v>29.02</v>
          </cell>
          <cell r="F223">
            <v>1841.7543000000001</v>
          </cell>
          <cell r="G223">
            <v>63.464999999999996</v>
          </cell>
          <cell r="H223">
            <v>1841.7542999999998</v>
          </cell>
          <cell r="I223">
            <v>0.99999999999999989</v>
          </cell>
          <cell r="J223">
            <v>0</v>
          </cell>
          <cell r="K223">
            <v>0</v>
          </cell>
          <cell r="L223" t="str">
            <v>0.00%</v>
          </cell>
          <cell r="M223">
            <v>63.464999999999996</v>
          </cell>
          <cell r="N223">
            <v>1841.7542999999998</v>
          </cell>
          <cell r="O223">
            <v>0.99999999999999989</v>
          </cell>
          <cell r="P223">
            <v>7.1054273576010019E-15</v>
          </cell>
          <cell r="Q223">
            <v>2.2737367544323206E-13</v>
          </cell>
          <cell r="R223">
            <v>1.2345494480085213E-16</v>
          </cell>
        </row>
        <row r="224">
          <cell r="A224" t="str">
            <v>04.03.02</v>
          </cell>
          <cell r="B224" t="str">
            <v>CIMIENTOS CORRIDOS</v>
          </cell>
          <cell r="C224">
            <v>0</v>
          </cell>
          <cell r="D224">
            <v>0</v>
          </cell>
          <cell r="E224">
            <v>0</v>
          </cell>
          <cell r="F224">
            <v>0</v>
          </cell>
          <cell r="G224">
            <v>0</v>
          </cell>
          <cell r="H224">
            <v>0</v>
          </cell>
          <cell r="I224">
            <v>0</v>
          </cell>
          <cell r="J224">
            <v>0</v>
          </cell>
          <cell r="K224">
            <v>0</v>
          </cell>
          <cell r="L224">
            <v>0</v>
          </cell>
          <cell r="M224">
            <v>0</v>
          </cell>
          <cell r="N224">
            <v>0</v>
          </cell>
          <cell r="O224">
            <v>0</v>
          </cell>
          <cell r="P224">
            <v>0</v>
          </cell>
          <cell r="Q224">
            <v>0</v>
          </cell>
          <cell r="R224">
            <v>0</v>
          </cell>
        </row>
        <row r="225">
          <cell r="A225" t="str">
            <v>04.03.02.01</v>
          </cell>
          <cell r="B225" t="str">
            <v>CIMIENTOS CORRIDOS MEZCLA 1:10 CEMENTO-HORMIGON 30% PIEDRA</v>
          </cell>
          <cell r="C225" t="str">
            <v>m3</v>
          </cell>
          <cell r="D225">
            <v>34.189</v>
          </cell>
          <cell r="E225">
            <v>248.48</v>
          </cell>
          <cell r="F225">
            <v>8495.2827199999992</v>
          </cell>
          <cell r="G225">
            <v>20.51</v>
          </cell>
          <cell r="H225">
            <v>5096.3248000000003</v>
          </cell>
          <cell r="I225">
            <v>0.59990055280938326</v>
          </cell>
          <cell r="J225">
            <v>0</v>
          </cell>
          <cell r="K225">
            <v>0</v>
          </cell>
          <cell r="L225" t="str">
            <v>0.00%</v>
          </cell>
          <cell r="M225">
            <v>20.51</v>
          </cell>
          <cell r="N225">
            <v>5096.3248000000003</v>
          </cell>
          <cell r="O225">
            <v>0.59990055280938326</v>
          </cell>
          <cell r="P225">
            <v>13.678999999999998</v>
          </cell>
          <cell r="Q225">
            <v>3398.9579199999989</v>
          </cell>
          <cell r="R225">
            <v>0.4000994471906168</v>
          </cell>
        </row>
        <row r="226">
          <cell r="A226" t="str">
            <v>04.03.03</v>
          </cell>
          <cell r="B226" t="str">
            <v>SOBRECIMIENTOS</v>
          </cell>
          <cell r="C226">
            <v>0</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row>
        <row r="227">
          <cell r="A227" t="str">
            <v>04.03.03.01</v>
          </cell>
          <cell r="B227" t="str">
            <v>CONCRETO 1:8+25% P.M. PARA SOBRECIMIENTOS</v>
          </cell>
          <cell r="C227" t="str">
            <v>m3</v>
          </cell>
          <cell r="D227">
            <v>4.3099999999999996</v>
          </cell>
          <cell r="E227">
            <v>312.47000000000003</v>
          </cell>
          <cell r="F227">
            <v>1346.7456999999999</v>
          </cell>
          <cell r="G227">
            <v>4.3099999999999996</v>
          </cell>
          <cell r="H227">
            <v>1346.7456999999999</v>
          </cell>
          <cell r="I227">
            <v>1</v>
          </cell>
          <cell r="J227">
            <v>0</v>
          </cell>
          <cell r="K227">
            <v>0</v>
          </cell>
          <cell r="L227" t="str">
            <v>0.00%</v>
          </cell>
          <cell r="M227">
            <v>4.3099999999999996</v>
          </cell>
          <cell r="N227">
            <v>1346.7456999999999</v>
          </cell>
          <cell r="O227">
            <v>1</v>
          </cell>
          <cell r="P227">
            <v>0</v>
          </cell>
          <cell r="Q227">
            <v>0</v>
          </cell>
          <cell r="R227" t="str">
            <v>0.00%</v>
          </cell>
        </row>
        <row r="228">
          <cell r="A228" t="str">
            <v>04.03.03.02</v>
          </cell>
          <cell r="B228" t="str">
            <v>ENCOFRADO Y DESENCOFRADO NORMAL PARA SOBRECIMIENTOS HASTA 0.60M.</v>
          </cell>
          <cell r="C228" t="str">
            <v>m2</v>
          </cell>
          <cell r="D228">
            <v>42.6</v>
          </cell>
          <cell r="E228">
            <v>44.43</v>
          </cell>
          <cell r="F228">
            <v>1892.7180000000001</v>
          </cell>
          <cell r="G228">
            <v>42.6</v>
          </cell>
          <cell r="H228">
            <v>1892.7180000000001</v>
          </cell>
          <cell r="I228">
            <v>1</v>
          </cell>
          <cell r="J228">
            <v>0</v>
          </cell>
          <cell r="K228">
            <v>0</v>
          </cell>
          <cell r="L228" t="str">
            <v>0.00%</v>
          </cell>
          <cell r="M228">
            <v>42.6</v>
          </cell>
          <cell r="N228">
            <v>1892.7180000000001</v>
          </cell>
          <cell r="O228">
            <v>1</v>
          </cell>
          <cell r="P228">
            <v>0</v>
          </cell>
          <cell r="Q228">
            <v>0</v>
          </cell>
          <cell r="R228" t="str">
            <v>0.00%</v>
          </cell>
        </row>
        <row r="229">
          <cell r="A229" t="str">
            <v>04.04</v>
          </cell>
          <cell r="B229" t="str">
            <v>CONCRETO ARMADO</v>
          </cell>
          <cell r="C229">
            <v>0</v>
          </cell>
          <cell r="D229">
            <v>0</v>
          </cell>
          <cell r="E229">
            <v>0</v>
          </cell>
          <cell r="F229">
            <v>0</v>
          </cell>
          <cell r="G229">
            <v>0</v>
          </cell>
          <cell r="H229">
            <v>0</v>
          </cell>
          <cell r="I229">
            <v>0</v>
          </cell>
          <cell r="J229">
            <v>0</v>
          </cell>
          <cell r="K229">
            <v>0</v>
          </cell>
          <cell r="L229">
            <v>0</v>
          </cell>
          <cell r="M229">
            <v>0</v>
          </cell>
          <cell r="N229">
            <v>0</v>
          </cell>
          <cell r="O229">
            <v>0</v>
          </cell>
          <cell r="P229">
            <v>0</v>
          </cell>
          <cell r="Q229">
            <v>0</v>
          </cell>
          <cell r="R229">
            <v>0</v>
          </cell>
        </row>
        <row r="230">
          <cell r="A230" t="str">
            <v>04.04.01</v>
          </cell>
          <cell r="B230" t="str">
            <v>ZAPATAS</v>
          </cell>
          <cell r="C230">
            <v>0</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row>
        <row r="231">
          <cell r="A231" t="str">
            <v>04.04.01.01</v>
          </cell>
          <cell r="B231" t="str">
            <v>CONCRETO PARA ZAPATAS F'C=210 KG/CM2</v>
          </cell>
          <cell r="C231" t="str">
            <v>m3</v>
          </cell>
          <cell r="D231">
            <v>26.6</v>
          </cell>
          <cell r="E231">
            <v>427.63</v>
          </cell>
          <cell r="F231">
            <v>11374.958000000001</v>
          </cell>
          <cell r="G231">
            <v>26.6</v>
          </cell>
          <cell r="H231">
            <v>11374.958000000001</v>
          </cell>
          <cell r="I231">
            <v>1</v>
          </cell>
          <cell r="J231">
            <v>0</v>
          </cell>
          <cell r="K231">
            <v>0</v>
          </cell>
          <cell r="L231" t="str">
            <v>0.00%</v>
          </cell>
          <cell r="M231">
            <v>26.6</v>
          </cell>
          <cell r="N231">
            <v>11374.958000000001</v>
          </cell>
          <cell r="O231">
            <v>1</v>
          </cell>
          <cell r="P231">
            <v>0</v>
          </cell>
          <cell r="Q231">
            <v>0</v>
          </cell>
          <cell r="R231" t="str">
            <v>0.00%</v>
          </cell>
        </row>
        <row r="232">
          <cell r="A232" t="str">
            <v>04.04.01.02</v>
          </cell>
          <cell r="B232" t="str">
            <v>ACERO F'Y=4200 KG/CM2 GRADO 60 EN ZAPATAS</v>
          </cell>
          <cell r="C232" t="str">
            <v>kg</v>
          </cell>
          <cell r="D232">
            <v>606.38499999999999</v>
          </cell>
          <cell r="E232">
            <v>4.3</v>
          </cell>
          <cell r="F232">
            <v>2607.4555</v>
          </cell>
          <cell r="G232">
            <v>606.38499999999999</v>
          </cell>
          <cell r="H232">
            <v>2607.4555</v>
          </cell>
          <cell r="I232">
            <v>1</v>
          </cell>
          <cell r="J232">
            <v>0</v>
          </cell>
          <cell r="K232">
            <v>0</v>
          </cell>
          <cell r="L232" t="str">
            <v>0.00%</v>
          </cell>
          <cell r="M232">
            <v>606.38499999999999</v>
          </cell>
          <cell r="N232">
            <v>2607.4555</v>
          </cell>
          <cell r="O232">
            <v>1</v>
          </cell>
          <cell r="P232">
            <v>0</v>
          </cell>
          <cell r="Q232">
            <v>0</v>
          </cell>
          <cell r="R232" t="str">
            <v>0.00%</v>
          </cell>
        </row>
        <row r="233">
          <cell r="A233" t="str">
            <v>04.04.02</v>
          </cell>
          <cell r="B233" t="str">
            <v>VIGAS DE CIMENTACION</v>
          </cell>
          <cell r="C233">
            <v>0</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row>
        <row r="234">
          <cell r="A234" t="str">
            <v>04.04.02.01</v>
          </cell>
          <cell r="B234" t="str">
            <v>CONCRETO F'C= 210 KG/CM2 EN VIGAS DE CIMENTACIÓN</v>
          </cell>
          <cell r="C234" t="str">
            <v>m3</v>
          </cell>
          <cell r="D234">
            <v>11.24</v>
          </cell>
          <cell r="E234">
            <v>451</v>
          </cell>
          <cell r="F234">
            <v>5069.24</v>
          </cell>
          <cell r="G234">
            <v>11.24</v>
          </cell>
          <cell r="H234">
            <v>5069.24</v>
          </cell>
          <cell r="I234">
            <v>1</v>
          </cell>
          <cell r="J234">
            <v>0</v>
          </cell>
          <cell r="K234">
            <v>0</v>
          </cell>
          <cell r="L234" t="str">
            <v>0.00%</v>
          </cell>
          <cell r="M234">
            <v>11.24</v>
          </cell>
          <cell r="N234">
            <v>5069.24</v>
          </cell>
          <cell r="O234">
            <v>1</v>
          </cell>
          <cell r="P234">
            <v>0</v>
          </cell>
          <cell r="Q234">
            <v>0</v>
          </cell>
          <cell r="R234" t="str">
            <v>0.00%</v>
          </cell>
        </row>
        <row r="235">
          <cell r="A235" t="str">
            <v>04.04.02.02</v>
          </cell>
          <cell r="B235" t="str">
            <v>ACERO F'Y=4200 KG/CM2 GRADO 60 EN VIGAS DE CIMENTACIÓN</v>
          </cell>
          <cell r="C235" t="str">
            <v>kg</v>
          </cell>
          <cell r="D235">
            <v>948.46</v>
          </cell>
          <cell r="E235">
            <v>4.45</v>
          </cell>
          <cell r="F235">
            <v>4220.6469999999999</v>
          </cell>
          <cell r="G235">
            <v>948.45900000000006</v>
          </cell>
          <cell r="H235">
            <v>4220.6425500000005</v>
          </cell>
          <cell r="I235">
            <v>0.99999894565927938</v>
          </cell>
          <cell r="J235">
            <v>0</v>
          </cell>
          <cell r="K235">
            <v>0</v>
          </cell>
          <cell r="L235" t="str">
            <v>0.00%</v>
          </cell>
          <cell r="M235">
            <v>948.45900000000006</v>
          </cell>
          <cell r="N235">
            <v>4220.6425500000005</v>
          </cell>
          <cell r="O235">
            <v>0.99999894565927938</v>
          </cell>
          <cell r="P235">
            <v>9.9999999997635314E-4</v>
          </cell>
          <cell r="Q235">
            <v>4.4499999994513928E-3</v>
          </cell>
          <cell r="R235">
            <v>1.0543407206173349E-6</v>
          </cell>
        </row>
        <row r="236">
          <cell r="A236" t="str">
            <v>04.04.02.03</v>
          </cell>
          <cell r="B236" t="str">
            <v>ENCOFRADO Y DESENCOFRADO DE VIGAS DE CIMENTACIÓN</v>
          </cell>
          <cell r="C236" t="str">
            <v>m2</v>
          </cell>
          <cell r="D236">
            <v>76.209999999999994</v>
          </cell>
          <cell r="E236">
            <v>44.69</v>
          </cell>
          <cell r="F236">
            <v>3405.8248999999996</v>
          </cell>
          <cell r="G236">
            <v>76.209999999999994</v>
          </cell>
          <cell r="H236">
            <v>3405.8248999999996</v>
          </cell>
          <cell r="I236">
            <v>1</v>
          </cell>
          <cell r="J236">
            <v>0</v>
          </cell>
          <cell r="K236">
            <v>0</v>
          </cell>
          <cell r="L236" t="str">
            <v>0.00%</v>
          </cell>
          <cell r="M236">
            <v>76.209999999999994</v>
          </cell>
          <cell r="N236">
            <v>3405.8248999999996</v>
          </cell>
          <cell r="O236">
            <v>1</v>
          </cell>
          <cell r="P236">
            <v>0</v>
          </cell>
          <cell r="Q236">
            <v>0</v>
          </cell>
          <cell r="R236" t="str">
            <v>0.00%</v>
          </cell>
        </row>
        <row r="237">
          <cell r="A237" t="str">
            <v>04.04.03</v>
          </cell>
          <cell r="B237" t="str">
            <v>COLUMNAS</v>
          </cell>
          <cell r="C237">
            <v>0</v>
          </cell>
          <cell r="D237">
            <v>0</v>
          </cell>
          <cell r="E237">
            <v>0</v>
          </cell>
          <cell r="F237">
            <v>0</v>
          </cell>
          <cell r="G237">
            <v>0</v>
          </cell>
          <cell r="H237">
            <v>0</v>
          </cell>
          <cell r="I237">
            <v>0</v>
          </cell>
          <cell r="J237">
            <v>0</v>
          </cell>
          <cell r="K237">
            <v>0</v>
          </cell>
          <cell r="L237">
            <v>0</v>
          </cell>
          <cell r="M237">
            <v>0</v>
          </cell>
          <cell r="N237">
            <v>0</v>
          </cell>
          <cell r="O237">
            <v>0</v>
          </cell>
          <cell r="P237">
            <v>0</v>
          </cell>
          <cell r="Q237">
            <v>0</v>
          </cell>
          <cell r="R237">
            <v>0</v>
          </cell>
        </row>
        <row r="238">
          <cell r="A238" t="str">
            <v>04.04.03.01</v>
          </cell>
          <cell r="B238" t="str">
            <v>CONCRETO EN COLUMNAS F'C=210 KG/CM2</v>
          </cell>
          <cell r="C238" t="str">
            <v>m3</v>
          </cell>
          <cell r="D238">
            <v>18.600000000000001</v>
          </cell>
          <cell r="E238">
            <v>521.12</v>
          </cell>
          <cell r="F238">
            <v>9692.8320000000003</v>
          </cell>
          <cell r="G238">
            <v>18.600000000000001</v>
          </cell>
          <cell r="H238">
            <v>9692.8320000000003</v>
          </cell>
          <cell r="I238">
            <v>1</v>
          </cell>
          <cell r="J238">
            <v>0</v>
          </cell>
          <cell r="K238">
            <v>0</v>
          </cell>
          <cell r="L238" t="str">
            <v>0.00%</v>
          </cell>
          <cell r="M238">
            <v>18.600000000000001</v>
          </cell>
          <cell r="N238">
            <v>9692.8320000000003</v>
          </cell>
          <cell r="O238">
            <v>1</v>
          </cell>
          <cell r="P238">
            <v>0</v>
          </cell>
          <cell r="Q238">
            <v>0</v>
          </cell>
          <cell r="R238" t="str">
            <v>0.00%</v>
          </cell>
        </row>
        <row r="239">
          <cell r="A239" t="str">
            <v>04.04.03.02</v>
          </cell>
          <cell r="B239" t="str">
            <v>ACERO F'Y=4200 KG/CM2 GRADO 60 EN COLUMNAS</v>
          </cell>
          <cell r="C239" t="str">
            <v>kg</v>
          </cell>
          <cell r="D239">
            <v>2114.42</v>
          </cell>
          <cell r="E239">
            <v>4.5</v>
          </cell>
          <cell r="F239">
            <v>9514.89</v>
          </cell>
          <cell r="G239">
            <v>2114.42</v>
          </cell>
          <cell r="H239">
            <v>9514.89</v>
          </cell>
          <cell r="I239">
            <v>1</v>
          </cell>
          <cell r="J239">
            <v>0</v>
          </cell>
          <cell r="K239">
            <v>0</v>
          </cell>
          <cell r="L239" t="str">
            <v>0.00%</v>
          </cell>
          <cell r="M239">
            <v>2114.42</v>
          </cell>
          <cell r="N239">
            <v>9514.89</v>
          </cell>
          <cell r="O239">
            <v>1</v>
          </cell>
          <cell r="P239">
            <v>0</v>
          </cell>
          <cell r="Q239">
            <v>0</v>
          </cell>
          <cell r="R239" t="str">
            <v>0.00%</v>
          </cell>
        </row>
        <row r="240">
          <cell r="A240" t="str">
            <v>04.04.03.03</v>
          </cell>
          <cell r="B240" t="str">
            <v>ENCOFRADO Y DESENCOFRADO NORMAL EN COLUMNAS</v>
          </cell>
          <cell r="C240" t="str">
            <v>m2</v>
          </cell>
          <cell r="D240">
            <v>216.23500000000001</v>
          </cell>
          <cell r="E240">
            <v>49.71</v>
          </cell>
          <cell r="F240">
            <v>10749.041850000001</v>
          </cell>
          <cell r="G240">
            <v>216.23500000000001</v>
          </cell>
          <cell r="H240">
            <v>10749.041850000001</v>
          </cell>
          <cell r="I240">
            <v>1</v>
          </cell>
          <cell r="J240">
            <v>0</v>
          </cell>
          <cell r="K240">
            <v>0</v>
          </cell>
          <cell r="L240" t="str">
            <v>0.00%</v>
          </cell>
          <cell r="M240">
            <v>216.23500000000001</v>
          </cell>
          <cell r="N240">
            <v>10749.041850000001</v>
          </cell>
          <cell r="O240">
            <v>1</v>
          </cell>
          <cell r="P240">
            <v>0</v>
          </cell>
          <cell r="Q240">
            <v>0</v>
          </cell>
          <cell r="R240" t="str">
            <v>0.00%</v>
          </cell>
        </row>
        <row r="241">
          <cell r="A241" t="str">
            <v>04.04.04</v>
          </cell>
          <cell r="B241" t="str">
            <v>COLUMNETAS</v>
          </cell>
          <cell r="C241">
            <v>0</v>
          </cell>
          <cell r="D241">
            <v>0</v>
          </cell>
          <cell r="E241">
            <v>0</v>
          </cell>
          <cell r="F241">
            <v>0</v>
          </cell>
          <cell r="G241">
            <v>0</v>
          </cell>
          <cell r="H241">
            <v>0</v>
          </cell>
          <cell r="I241">
            <v>0</v>
          </cell>
          <cell r="J241">
            <v>0</v>
          </cell>
          <cell r="K241">
            <v>0</v>
          </cell>
          <cell r="L241">
            <v>0</v>
          </cell>
          <cell r="M241">
            <v>0</v>
          </cell>
          <cell r="N241">
            <v>0</v>
          </cell>
          <cell r="O241">
            <v>0</v>
          </cell>
          <cell r="P241">
            <v>0</v>
          </cell>
          <cell r="Q241">
            <v>0</v>
          </cell>
          <cell r="R241">
            <v>0</v>
          </cell>
        </row>
        <row r="242">
          <cell r="A242" t="str">
            <v>04.04.04.01</v>
          </cell>
          <cell r="B242" t="str">
            <v>CONCRETO EN COLUMNETAS F'C=210 KG/CM2</v>
          </cell>
          <cell r="C242" t="str">
            <v>m3</v>
          </cell>
          <cell r="D242">
            <v>10.32</v>
          </cell>
          <cell r="E242">
            <v>521.12</v>
          </cell>
          <cell r="F242">
            <v>5377.9584000000004</v>
          </cell>
          <cell r="G242">
            <v>0</v>
          </cell>
          <cell r="H242">
            <v>0</v>
          </cell>
          <cell r="I242" t="str">
            <v>0.00%</v>
          </cell>
          <cell r="J242">
            <v>10.319998999999999</v>
          </cell>
          <cell r="K242">
            <v>5377.95787888</v>
          </cell>
          <cell r="L242">
            <v>0.99999990310077513</v>
          </cell>
          <cell r="M242">
            <v>10.319998999999999</v>
          </cell>
          <cell r="N242">
            <v>5377.95787888</v>
          </cell>
          <cell r="O242">
            <v>0.99999990310077513</v>
          </cell>
          <cell r="P242">
            <v>1.0000000010279564E-6</v>
          </cell>
          <cell r="Q242">
            <v>5.2112000048509799E-4</v>
          </cell>
          <cell r="R242">
            <v>9.6899224896402691E-8</v>
          </cell>
        </row>
        <row r="243">
          <cell r="A243" t="str">
            <v>04.04.04.02</v>
          </cell>
          <cell r="B243" t="str">
            <v>ACERO F'Y=4200 KG/CM2 GRADO 60 EN COLUMNETAS</v>
          </cell>
          <cell r="C243" t="str">
            <v>kg</v>
          </cell>
          <cell r="D243">
            <v>1628.77</v>
          </cell>
          <cell r="E243">
            <v>4.4400000000000004</v>
          </cell>
          <cell r="F243">
            <v>7231.738800000001</v>
          </cell>
          <cell r="G243">
            <v>1628.7694000000001</v>
          </cell>
          <cell r="H243">
            <v>7231.7361360000014</v>
          </cell>
          <cell r="I243">
            <v>0.99999963162386341</v>
          </cell>
          <cell r="J243">
            <v>0</v>
          </cell>
          <cell r="K243">
            <v>0</v>
          </cell>
          <cell r="L243" t="str">
            <v>0.00%</v>
          </cell>
          <cell r="M243">
            <v>1628.7694000000001</v>
          </cell>
          <cell r="N243">
            <v>7231.7361360000014</v>
          </cell>
          <cell r="O243">
            <v>0.99999963162386341</v>
          </cell>
          <cell r="P243">
            <v>5.9999999984938768E-4</v>
          </cell>
          <cell r="Q243">
            <v>2.6639999996405095E-3</v>
          </cell>
          <cell r="R243">
            <v>3.6837613654416131E-7</v>
          </cell>
        </row>
        <row r="244">
          <cell r="A244" t="str">
            <v>04.04.04.03</v>
          </cell>
          <cell r="B244" t="str">
            <v>ENCOFRADO Y DESNCOFRADO NORMAL  EN COLUMNETAS</v>
          </cell>
          <cell r="C244" t="str">
            <v>m2</v>
          </cell>
          <cell r="D244">
            <v>112.47</v>
          </cell>
          <cell r="E244">
            <v>49.71</v>
          </cell>
          <cell r="F244">
            <v>5590.8837000000003</v>
          </cell>
          <cell r="G244">
            <v>0</v>
          </cell>
          <cell r="H244">
            <v>0</v>
          </cell>
          <cell r="I244" t="str">
            <v>0.00%</v>
          </cell>
          <cell r="J244">
            <v>112.46999999999998</v>
          </cell>
          <cell r="K244">
            <v>5590.8836999999994</v>
          </cell>
          <cell r="L244">
            <v>0.99999999999999989</v>
          </cell>
          <cell r="M244">
            <v>112.46999999999998</v>
          </cell>
          <cell r="N244">
            <v>5590.8836999999994</v>
          </cell>
          <cell r="O244">
            <v>0.99999999999999989</v>
          </cell>
          <cell r="P244">
            <v>1.4210854715202004E-14</v>
          </cell>
          <cell r="Q244">
            <v>9.0949470177292824E-13</v>
          </cell>
          <cell r="R244">
            <v>1.6267458787828624E-16</v>
          </cell>
        </row>
        <row r="245">
          <cell r="A245" t="str">
            <v>04.04.05</v>
          </cell>
          <cell r="B245" t="str">
            <v>VIGAS</v>
          </cell>
          <cell r="C245">
            <v>0</v>
          </cell>
          <cell r="D245">
            <v>0</v>
          </cell>
          <cell r="E245">
            <v>0</v>
          </cell>
          <cell r="F245">
            <v>0</v>
          </cell>
          <cell r="G245">
            <v>0</v>
          </cell>
          <cell r="H245">
            <v>0</v>
          </cell>
          <cell r="I245">
            <v>0</v>
          </cell>
          <cell r="J245">
            <v>0</v>
          </cell>
          <cell r="K245">
            <v>0</v>
          </cell>
          <cell r="L245">
            <v>0</v>
          </cell>
          <cell r="M245">
            <v>0</v>
          </cell>
          <cell r="N245">
            <v>0</v>
          </cell>
          <cell r="O245">
            <v>0</v>
          </cell>
          <cell r="P245">
            <v>0</v>
          </cell>
          <cell r="Q245">
            <v>0</v>
          </cell>
          <cell r="R245">
            <v>0</v>
          </cell>
        </row>
        <row r="246">
          <cell r="A246" t="str">
            <v>04.04.05.01</v>
          </cell>
          <cell r="B246" t="str">
            <v>CONCRETO EN VIGAS F'C=210 KG/CM2</v>
          </cell>
          <cell r="C246" t="str">
            <v>m3</v>
          </cell>
          <cell r="D246">
            <v>34.567</v>
          </cell>
          <cell r="E246">
            <v>486.07</v>
          </cell>
          <cell r="F246">
            <v>16801.981690000001</v>
          </cell>
          <cell r="G246">
            <v>34.567</v>
          </cell>
          <cell r="H246">
            <v>16801.981690000001</v>
          </cell>
          <cell r="I246">
            <v>1</v>
          </cell>
          <cell r="J246">
            <v>0</v>
          </cell>
          <cell r="K246">
            <v>0</v>
          </cell>
          <cell r="L246" t="str">
            <v>0.00%</v>
          </cell>
          <cell r="M246">
            <v>34.567</v>
          </cell>
          <cell r="N246">
            <v>16801.981690000001</v>
          </cell>
          <cell r="O246">
            <v>1</v>
          </cell>
          <cell r="P246">
            <v>0</v>
          </cell>
          <cell r="Q246">
            <v>0</v>
          </cell>
          <cell r="R246" t="str">
            <v>0.00%</v>
          </cell>
        </row>
        <row r="247">
          <cell r="A247" t="str">
            <v>04.04.05.02</v>
          </cell>
          <cell r="B247" t="str">
            <v>ACERO F'Y=4200 KG/CM2 GRADO 60 EN VIGAS</v>
          </cell>
          <cell r="C247" t="str">
            <v>kg</v>
          </cell>
          <cell r="D247">
            <v>3192.4</v>
          </cell>
          <cell r="E247">
            <v>4.5</v>
          </cell>
          <cell r="F247">
            <v>14365.800000000001</v>
          </cell>
          <cell r="G247">
            <v>3192.4</v>
          </cell>
          <cell r="H247">
            <v>14365.800000000001</v>
          </cell>
          <cell r="I247">
            <v>1</v>
          </cell>
          <cell r="J247">
            <v>0</v>
          </cell>
          <cell r="K247">
            <v>0</v>
          </cell>
          <cell r="L247" t="str">
            <v>0.00%</v>
          </cell>
          <cell r="M247">
            <v>3192.4</v>
          </cell>
          <cell r="N247">
            <v>14365.800000000001</v>
          </cell>
          <cell r="O247">
            <v>1</v>
          </cell>
          <cell r="P247">
            <v>0</v>
          </cell>
          <cell r="Q247">
            <v>0</v>
          </cell>
          <cell r="R247" t="str">
            <v>0.00%</v>
          </cell>
        </row>
        <row r="248">
          <cell r="A248" t="str">
            <v>04.04.05.03</v>
          </cell>
          <cell r="B248" t="str">
            <v>ENCOFRADO Y DESNCOFRADO NORMAL EN VIGAS</v>
          </cell>
          <cell r="C248" t="str">
            <v>m2</v>
          </cell>
          <cell r="D248">
            <v>164</v>
          </cell>
          <cell r="E248">
            <v>54.02</v>
          </cell>
          <cell r="F248">
            <v>8859.2800000000007</v>
          </cell>
          <cell r="G248">
            <v>164</v>
          </cell>
          <cell r="H248">
            <v>8859.2800000000007</v>
          </cell>
          <cell r="I248">
            <v>1</v>
          </cell>
          <cell r="J248">
            <v>0</v>
          </cell>
          <cell r="K248">
            <v>0</v>
          </cell>
          <cell r="L248" t="str">
            <v>0.00%</v>
          </cell>
          <cell r="M248">
            <v>164</v>
          </cell>
          <cell r="N248">
            <v>8859.2800000000007</v>
          </cell>
          <cell r="O248">
            <v>1</v>
          </cell>
          <cell r="P248">
            <v>0</v>
          </cell>
          <cell r="Q248">
            <v>0</v>
          </cell>
          <cell r="R248" t="str">
            <v>0.00%</v>
          </cell>
        </row>
        <row r="249">
          <cell r="A249" t="str">
            <v>04.04.06</v>
          </cell>
          <cell r="B249" t="str">
            <v>VIGUETAS DE VANOS</v>
          </cell>
          <cell r="C249">
            <v>0</v>
          </cell>
          <cell r="D249">
            <v>0</v>
          </cell>
          <cell r="E249">
            <v>0</v>
          </cell>
          <cell r="F249">
            <v>0</v>
          </cell>
          <cell r="G249">
            <v>0</v>
          </cell>
          <cell r="H249">
            <v>0</v>
          </cell>
          <cell r="I249">
            <v>0</v>
          </cell>
          <cell r="J249">
            <v>0</v>
          </cell>
          <cell r="K249">
            <v>0</v>
          </cell>
          <cell r="L249">
            <v>0</v>
          </cell>
          <cell r="M249">
            <v>0</v>
          </cell>
          <cell r="N249">
            <v>0</v>
          </cell>
          <cell r="O249">
            <v>0</v>
          </cell>
          <cell r="P249">
            <v>0</v>
          </cell>
          <cell r="Q249">
            <v>0</v>
          </cell>
          <cell r="R249">
            <v>0</v>
          </cell>
        </row>
        <row r="250">
          <cell r="A250" t="str">
            <v>04.04.06.01</v>
          </cell>
          <cell r="B250" t="str">
            <v>CONCRETO EN VIGUETAS DE VANO F'C=175 KG/CM2</v>
          </cell>
          <cell r="C250" t="str">
            <v>m3</v>
          </cell>
          <cell r="D250">
            <v>2.556</v>
          </cell>
          <cell r="E250">
            <v>271.35000000000002</v>
          </cell>
          <cell r="F250">
            <v>693.57060000000013</v>
          </cell>
          <cell r="G250">
            <v>0</v>
          </cell>
          <cell r="H250">
            <v>0</v>
          </cell>
          <cell r="I250" t="str">
            <v>0.00%</v>
          </cell>
          <cell r="J250">
            <v>2.556</v>
          </cell>
          <cell r="K250">
            <v>693.57060000000013</v>
          </cell>
          <cell r="L250">
            <v>1</v>
          </cell>
          <cell r="M250">
            <v>2.556</v>
          </cell>
          <cell r="N250">
            <v>693.57060000000013</v>
          </cell>
          <cell r="O250">
            <v>1</v>
          </cell>
          <cell r="P250">
            <v>0</v>
          </cell>
          <cell r="Q250">
            <v>0</v>
          </cell>
          <cell r="R250" t="str">
            <v>0.00%</v>
          </cell>
        </row>
        <row r="251">
          <cell r="A251" t="str">
            <v>04.04.06.02</v>
          </cell>
          <cell r="B251" t="str">
            <v>ACERO GRADO 60 EN VIGUETAS DE VANO</v>
          </cell>
          <cell r="C251" t="str">
            <v>kg</v>
          </cell>
          <cell r="D251">
            <v>217.13</v>
          </cell>
          <cell r="E251">
            <v>4.5</v>
          </cell>
          <cell r="F251">
            <v>977.08500000000004</v>
          </cell>
          <cell r="G251">
            <v>0</v>
          </cell>
          <cell r="H251">
            <v>0</v>
          </cell>
          <cell r="I251" t="str">
            <v>0.00%</v>
          </cell>
          <cell r="J251">
            <v>217.13</v>
          </cell>
          <cell r="K251">
            <v>977.08500000000004</v>
          </cell>
          <cell r="L251">
            <v>1</v>
          </cell>
          <cell r="M251">
            <v>217.13</v>
          </cell>
          <cell r="N251">
            <v>977.08500000000004</v>
          </cell>
          <cell r="O251">
            <v>1</v>
          </cell>
          <cell r="P251">
            <v>0</v>
          </cell>
          <cell r="Q251">
            <v>0</v>
          </cell>
          <cell r="R251" t="str">
            <v>0.00%</v>
          </cell>
        </row>
        <row r="252">
          <cell r="A252" t="str">
            <v>04.04.06.03</v>
          </cell>
          <cell r="B252" t="str">
            <v>ENCOFRADO Y DESENCOFRADO EN VIGUETAS DE VANO</v>
          </cell>
          <cell r="C252" t="str">
            <v>m2</v>
          </cell>
          <cell r="D252">
            <v>37.520000000000003</v>
          </cell>
          <cell r="E252">
            <v>41.63</v>
          </cell>
          <cell r="F252">
            <v>1561.9576000000002</v>
          </cell>
          <cell r="G252">
            <v>0</v>
          </cell>
          <cell r="H252">
            <v>0</v>
          </cell>
          <cell r="I252" t="str">
            <v>0.00%</v>
          </cell>
          <cell r="J252">
            <v>37.520000000000003</v>
          </cell>
          <cell r="K252">
            <v>1561.9576000000002</v>
          </cell>
          <cell r="L252">
            <v>1</v>
          </cell>
          <cell r="M252">
            <v>37.520000000000003</v>
          </cell>
          <cell r="N252">
            <v>1561.9576000000002</v>
          </cell>
          <cell r="O252">
            <v>1</v>
          </cell>
          <cell r="P252">
            <v>0</v>
          </cell>
          <cell r="Q252">
            <v>0</v>
          </cell>
          <cell r="R252" t="str">
            <v>0.00%</v>
          </cell>
        </row>
        <row r="253">
          <cell r="A253" t="str">
            <v>04.04.07</v>
          </cell>
          <cell r="B253" t="str">
            <v>LOSAS ALIGERADAS</v>
          </cell>
          <cell r="C253">
            <v>0</v>
          </cell>
          <cell r="D253">
            <v>0</v>
          </cell>
          <cell r="E253">
            <v>0</v>
          </cell>
          <cell r="F253">
            <v>0</v>
          </cell>
          <cell r="G253">
            <v>0</v>
          </cell>
          <cell r="H253">
            <v>0</v>
          </cell>
          <cell r="I253">
            <v>0</v>
          </cell>
          <cell r="J253">
            <v>0</v>
          </cell>
          <cell r="K253">
            <v>0</v>
          </cell>
          <cell r="L253">
            <v>0</v>
          </cell>
          <cell r="M253">
            <v>0</v>
          </cell>
          <cell r="N253">
            <v>0</v>
          </cell>
          <cell r="O253">
            <v>0</v>
          </cell>
          <cell r="P253">
            <v>0</v>
          </cell>
          <cell r="Q253">
            <v>0</v>
          </cell>
          <cell r="R253">
            <v>0</v>
          </cell>
        </row>
        <row r="254">
          <cell r="A254" t="str">
            <v>04.04.07.01</v>
          </cell>
          <cell r="B254" t="str">
            <v>CONCRETO EN LOSAS ALIGERADAS F'C=210 KG/CM2</v>
          </cell>
          <cell r="C254" t="str">
            <v>m3</v>
          </cell>
          <cell r="D254">
            <v>19.475000000000001</v>
          </cell>
          <cell r="E254">
            <v>487.24</v>
          </cell>
          <cell r="F254">
            <v>9488.9990000000016</v>
          </cell>
          <cell r="G254">
            <v>19.475000000000001</v>
          </cell>
          <cell r="H254">
            <v>9488.9990000000016</v>
          </cell>
          <cell r="I254">
            <v>1</v>
          </cell>
          <cell r="J254">
            <v>0</v>
          </cell>
          <cell r="K254">
            <v>0</v>
          </cell>
          <cell r="L254" t="str">
            <v>0.00%</v>
          </cell>
          <cell r="M254">
            <v>19.475000000000001</v>
          </cell>
          <cell r="N254">
            <v>9488.9990000000016</v>
          </cell>
          <cell r="O254">
            <v>1</v>
          </cell>
          <cell r="P254">
            <v>0</v>
          </cell>
          <cell r="Q254">
            <v>0</v>
          </cell>
          <cell r="R254" t="str">
            <v>0.00%</v>
          </cell>
        </row>
        <row r="255">
          <cell r="A255" t="str">
            <v>04.04.07.02</v>
          </cell>
          <cell r="B255" t="str">
            <v>ACERO F'Y=4200 KG/CM2 GRADO 60 EN LOSAS ALIGERADAS</v>
          </cell>
          <cell r="C255" t="str">
            <v>kg</v>
          </cell>
          <cell r="D255">
            <v>1856.57</v>
          </cell>
          <cell r="E255">
            <v>4.5</v>
          </cell>
          <cell r="F255">
            <v>8354.5650000000005</v>
          </cell>
          <cell r="G255">
            <v>1856.57</v>
          </cell>
          <cell r="H255">
            <v>8354.5650000000005</v>
          </cell>
          <cell r="I255">
            <v>1</v>
          </cell>
          <cell r="J255">
            <v>0</v>
          </cell>
          <cell r="K255">
            <v>0</v>
          </cell>
          <cell r="L255" t="str">
            <v>0.00%</v>
          </cell>
          <cell r="M255">
            <v>1856.57</v>
          </cell>
          <cell r="N255">
            <v>8354.5650000000005</v>
          </cell>
          <cell r="O255">
            <v>1</v>
          </cell>
          <cell r="P255">
            <v>0</v>
          </cell>
          <cell r="Q255">
            <v>0</v>
          </cell>
          <cell r="R255" t="str">
            <v>0.00%</v>
          </cell>
        </row>
        <row r="256">
          <cell r="A256" t="str">
            <v>04.04.07.03</v>
          </cell>
          <cell r="B256" t="str">
            <v>ENCOFRADO Y DESENCOFRADO NORMAL EN LOSAS ALIGERADAS</v>
          </cell>
          <cell r="C256" t="str">
            <v>m2</v>
          </cell>
          <cell r="D256">
            <v>250.27</v>
          </cell>
          <cell r="E256">
            <v>29.08</v>
          </cell>
          <cell r="F256">
            <v>7277.8516</v>
          </cell>
          <cell r="G256">
            <v>250.26999999999998</v>
          </cell>
          <cell r="H256">
            <v>7277.8515999999991</v>
          </cell>
          <cell r="I256">
            <v>0.99999999999999989</v>
          </cell>
          <cell r="J256">
            <v>0</v>
          </cell>
          <cell r="K256">
            <v>0</v>
          </cell>
          <cell r="L256" t="str">
            <v>0.00%</v>
          </cell>
          <cell r="M256">
            <v>250.26999999999998</v>
          </cell>
          <cell r="N256">
            <v>7277.8515999999991</v>
          </cell>
          <cell r="O256">
            <v>0.99999999999999989</v>
          </cell>
          <cell r="P256">
            <v>2.8421709430404007E-14</v>
          </cell>
          <cell r="Q256">
            <v>9.0949470177292824E-13</v>
          </cell>
          <cell r="R256">
            <v>1.2496747003922534E-16</v>
          </cell>
        </row>
        <row r="257">
          <cell r="A257" t="str">
            <v>04.04.07.04</v>
          </cell>
          <cell r="B257" t="str">
            <v>LADRILLO DE ARCILLA HUECO 15X30X30 PARA TECHO</v>
          </cell>
          <cell r="C257" t="str">
            <v>und</v>
          </cell>
          <cell r="D257">
            <v>2084.75</v>
          </cell>
          <cell r="E257">
            <v>4.66</v>
          </cell>
          <cell r="F257">
            <v>9714.9349999999995</v>
          </cell>
          <cell r="G257">
            <v>2084.75</v>
          </cell>
          <cell r="H257">
            <v>9714.9349999999995</v>
          </cell>
          <cell r="I257">
            <v>1</v>
          </cell>
          <cell r="J257">
            <v>0</v>
          </cell>
          <cell r="K257">
            <v>0</v>
          </cell>
          <cell r="L257" t="str">
            <v>0.00%</v>
          </cell>
          <cell r="M257">
            <v>2084.75</v>
          </cell>
          <cell r="N257">
            <v>9714.9349999999995</v>
          </cell>
          <cell r="O257">
            <v>1</v>
          </cell>
          <cell r="P257">
            <v>0</v>
          </cell>
          <cell r="Q257">
            <v>0</v>
          </cell>
          <cell r="R257" t="str">
            <v>0.00%</v>
          </cell>
        </row>
        <row r="258">
          <cell r="A258" t="str">
            <v>04.04.08</v>
          </cell>
          <cell r="B258" t="str">
            <v>PLACAS</v>
          </cell>
          <cell r="C258">
            <v>0</v>
          </cell>
          <cell r="D258">
            <v>0</v>
          </cell>
          <cell r="E258">
            <v>0</v>
          </cell>
          <cell r="F258">
            <v>0</v>
          </cell>
          <cell r="G258">
            <v>0</v>
          </cell>
          <cell r="H258">
            <v>0</v>
          </cell>
          <cell r="I258">
            <v>0</v>
          </cell>
          <cell r="J258">
            <v>0</v>
          </cell>
          <cell r="K258">
            <v>0</v>
          </cell>
          <cell r="L258">
            <v>0</v>
          </cell>
          <cell r="M258">
            <v>0</v>
          </cell>
          <cell r="N258">
            <v>0</v>
          </cell>
          <cell r="O258">
            <v>0</v>
          </cell>
          <cell r="P258">
            <v>0</v>
          </cell>
          <cell r="Q258">
            <v>0</v>
          </cell>
          <cell r="R258">
            <v>0</v>
          </cell>
        </row>
        <row r="259">
          <cell r="A259" t="str">
            <v>04.04.08.01</v>
          </cell>
          <cell r="B259" t="str">
            <v>CONCRETO EN PLACAS F'C= 210 KG/CM2</v>
          </cell>
          <cell r="C259" t="str">
            <v>m3</v>
          </cell>
          <cell r="D259">
            <v>11.266999999999999</v>
          </cell>
          <cell r="E259">
            <v>547.66</v>
          </cell>
          <cell r="F259">
            <v>6170.4852199999996</v>
          </cell>
          <cell r="G259">
            <v>11.266999999999999</v>
          </cell>
          <cell r="H259">
            <v>6170.4852199999996</v>
          </cell>
          <cell r="I259">
            <v>1</v>
          </cell>
          <cell r="J259">
            <v>0</v>
          </cell>
          <cell r="K259">
            <v>0</v>
          </cell>
          <cell r="L259" t="str">
            <v>0.00%</v>
          </cell>
          <cell r="M259">
            <v>11.266999999999999</v>
          </cell>
          <cell r="N259">
            <v>6170.4852199999996</v>
          </cell>
          <cell r="O259">
            <v>1</v>
          </cell>
          <cell r="P259">
            <v>0</v>
          </cell>
          <cell r="Q259">
            <v>0</v>
          </cell>
          <cell r="R259" t="str">
            <v>0.00%</v>
          </cell>
        </row>
        <row r="260">
          <cell r="A260" t="str">
            <v>04.04.08.02</v>
          </cell>
          <cell r="B260" t="str">
            <v>ACERO F'Y=4200 KG/CM2 EN PLACAS</v>
          </cell>
          <cell r="C260" t="str">
            <v>kg</v>
          </cell>
          <cell r="D260">
            <v>1415.02</v>
          </cell>
          <cell r="E260">
            <v>4.04</v>
          </cell>
          <cell r="F260">
            <v>5716.6808000000001</v>
          </cell>
          <cell r="G260">
            <v>1415.02</v>
          </cell>
          <cell r="H260">
            <v>5716.6808000000001</v>
          </cell>
          <cell r="I260">
            <v>1</v>
          </cell>
          <cell r="J260">
            <v>0</v>
          </cell>
          <cell r="K260">
            <v>0</v>
          </cell>
          <cell r="L260" t="str">
            <v>0.00%</v>
          </cell>
          <cell r="M260">
            <v>1415.02</v>
          </cell>
          <cell r="N260">
            <v>5716.6808000000001</v>
          </cell>
          <cell r="O260">
            <v>1</v>
          </cell>
          <cell r="P260">
            <v>0</v>
          </cell>
          <cell r="Q260">
            <v>0</v>
          </cell>
          <cell r="R260" t="str">
            <v>0.00%</v>
          </cell>
        </row>
        <row r="261">
          <cell r="A261" t="str">
            <v>04.04.08.03</v>
          </cell>
          <cell r="B261" t="str">
            <v>ENCOFRADO Y DESENCOF EN PLACAS</v>
          </cell>
          <cell r="C261" t="str">
            <v>m2</v>
          </cell>
          <cell r="D261">
            <v>88.93</v>
          </cell>
          <cell r="E261">
            <v>38.049999999999997</v>
          </cell>
          <cell r="F261">
            <v>3383.7865000000002</v>
          </cell>
          <cell r="G261">
            <v>88.93</v>
          </cell>
          <cell r="H261">
            <v>3383.7865000000002</v>
          </cell>
          <cell r="I261">
            <v>1</v>
          </cell>
          <cell r="J261">
            <v>0</v>
          </cell>
          <cell r="K261">
            <v>0</v>
          </cell>
          <cell r="L261" t="str">
            <v>0.00%</v>
          </cell>
          <cell r="M261">
            <v>88.93</v>
          </cell>
          <cell r="N261">
            <v>3383.7865000000002</v>
          </cell>
          <cell r="O261">
            <v>1</v>
          </cell>
          <cell r="P261">
            <v>0</v>
          </cell>
          <cell r="Q261">
            <v>0</v>
          </cell>
          <cell r="R261" t="str">
            <v>0.00%</v>
          </cell>
        </row>
        <row r="262">
          <cell r="A262" t="str">
            <v>04.04.09</v>
          </cell>
          <cell r="B262" t="str">
            <v>CUNETA DE  EVACUACION PLUVIAL EN TECHO</v>
          </cell>
          <cell r="C262">
            <v>0</v>
          </cell>
          <cell r="D262">
            <v>0</v>
          </cell>
          <cell r="E262">
            <v>0</v>
          </cell>
          <cell r="F262">
            <v>0</v>
          </cell>
          <cell r="G262">
            <v>0</v>
          </cell>
          <cell r="H262">
            <v>0</v>
          </cell>
          <cell r="I262">
            <v>0</v>
          </cell>
          <cell r="J262">
            <v>0</v>
          </cell>
          <cell r="K262">
            <v>0</v>
          </cell>
          <cell r="L262">
            <v>0</v>
          </cell>
          <cell r="M262">
            <v>0</v>
          </cell>
          <cell r="N262">
            <v>0</v>
          </cell>
          <cell r="O262">
            <v>0</v>
          </cell>
          <cell r="P262">
            <v>0</v>
          </cell>
          <cell r="Q262">
            <v>0</v>
          </cell>
          <cell r="R262">
            <v>0</v>
          </cell>
        </row>
        <row r="263">
          <cell r="A263" t="str">
            <v>04.04.09.01</v>
          </cell>
          <cell r="B263" t="str">
            <v>CONCRETO EN CUNETA F'C= 210 KG/CM2</v>
          </cell>
          <cell r="C263" t="str">
            <v>m3</v>
          </cell>
          <cell r="D263">
            <v>2.1850000000000001</v>
          </cell>
          <cell r="E263">
            <v>482.39</v>
          </cell>
          <cell r="F263">
            <v>1054.02215</v>
          </cell>
          <cell r="G263">
            <v>0</v>
          </cell>
          <cell r="H263">
            <v>0</v>
          </cell>
          <cell r="I263" t="str">
            <v>0.00%</v>
          </cell>
          <cell r="J263">
            <v>2.1850000000000001</v>
          </cell>
          <cell r="K263">
            <v>1054.02215</v>
          </cell>
          <cell r="L263">
            <v>1</v>
          </cell>
          <cell r="M263">
            <v>2.1850000000000001</v>
          </cell>
          <cell r="N263">
            <v>1054.02215</v>
          </cell>
          <cell r="O263">
            <v>1</v>
          </cell>
          <cell r="P263">
            <v>0</v>
          </cell>
          <cell r="Q263">
            <v>0</v>
          </cell>
          <cell r="R263" t="str">
            <v>0.00%</v>
          </cell>
        </row>
        <row r="264">
          <cell r="A264" t="str">
            <v>04.04.09.02</v>
          </cell>
          <cell r="B264" t="str">
            <v>ACERO F'Y=4200 KG/CM2 GRADO 60 EN CUNETA</v>
          </cell>
          <cell r="C264" t="str">
            <v>kg</v>
          </cell>
          <cell r="D264">
            <v>195.33500000000001</v>
          </cell>
          <cell r="E264">
            <v>4.4400000000000004</v>
          </cell>
          <cell r="F264">
            <v>867.28740000000016</v>
          </cell>
          <cell r="G264">
            <v>0</v>
          </cell>
          <cell r="H264">
            <v>0</v>
          </cell>
          <cell r="I264" t="str">
            <v>0.00%</v>
          </cell>
          <cell r="J264">
            <v>195.33500000000001</v>
          </cell>
          <cell r="K264">
            <v>867.28740000000016</v>
          </cell>
          <cell r="L264">
            <v>1</v>
          </cell>
          <cell r="M264">
            <v>195.33500000000001</v>
          </cell>
          <cell r="N264">
            <v>867.28740000000016</v>
          </cell>
          <cell r="O264">
            <v>1</v>
          </cell>
          <cell r="P264">
            <v>0</v>
          </cell>
          <cell r="Q264">
            <v>0</v>
          </cell>
          <cell r="R264" t="str">
            <v>0.00%</v>
          </cell>
        </row>
        <row r="265">
          <cell r="A265" t="str">
            <v>04.04.09.03</v>
          </cell>
          <cell r="B265" t="str">
            <v>ENCOFRADO Y DESENCOFRADO NORMAL EN CUNETAS</v>
          </cell>
          <cell r="C265" t="str">
            <v>m2</v>
          </cell>
          <cell r="D265">
            <v>43.8</v>
          </cell>
          <cell r="E265">
            <v>44.85</v>
          </cell>
          <cell r="F265">
            <v>1964.4299999999998</v>
          </cell>
          <cell r="G265">
            <v>0</v>
          </cell>
          <cell r="H265">
            <v>0</v>
          </cell>
          <cell r="I265" t="str">
            <v>0.00%</v>
          </cell>
          <cell r="J265">
            <v>43.8</v>
          </cell>
          <cell r="K265">
            <v>1964.4299999999998</v>
          </cell>
          <cell r="L265">
            <v>1</v>
          </cell>
          <cell r="M265">
            <v>43.8</v>
          </cell>
          <cell r="N265">
            <v>1964.4299999999998</v>
          </cell>
          <cell r="O265">
            <v>1</v>
          </cell>
          <cell r="P265">
            <v>0</v>
          </cell>
          <cell r="Q265">
            <v>0</v>
          </cell>
          <cell r="R265" t="str">
            <v>0.00%</v>
          </cell>
        </row>
        <row r="266">
          <cell r="A266" t="str">
            <v>04.04.10</v>
          </cell>
          <cell r="B266" t="str">
            <v>MESA DE CONCRETO</v>
          </cell>
          <cell r="C266">
            <v>0</v>
          </cell>
          <cell r="D266">
            <v>0</v>
          </cell>
          <cell r="E266">
            <v>0</v>
          </cell>
          <cell r="F266">
            <v>0</v>
          </cell>
          <cell r="G266">
            <v>0</v>
          </cell>
          <cell r="H266">
            <v>0</v>
          </cell>
          <cell r="I266">
            <v>0</v>
          </cell>
          <cell r="J266">
            <v>0</v>
          </cell>
          <cell r="K266">
            <v>0</v>
          </cell>
          <cell r="L266">
            <v>0</v>
          </cell>
          <cell r="M266">
            <v>0</v>
          </cell>
          <cell r="N266">
            <v>0</v>
          </cell>
          <cell r="O266">
            <v>0</v>
          </cell>
          <cell r="P266">
            <v>0</v>
          </cell>
          <cell r="Q266">
            <v>0</v>
          </cell>
          <cell r="R266">
            <v>0</v>
          </cell>
        </row>
        <row r="267">
          <cell r="A267" t="str">
            <v>04.04.10.01</v>
          </cell>
          <cell r="B267" t="str">
            <v>CONCRETO F'C= 175 KG/CM2 EN MESA DE CONCRETO</v>
          </cell>
          <cell r="C267" t="str">
            <v>m3</v>
          </cell>
          <cell r="D267">
            <v>0.86</v>
          </cell>
          <cell r="E267">
            <v>462.25</v>
          </cell>
          <cell r="F267">
            <v>397.53499999999997</v>
          </cell>
          <cell r="G267">
            <v>0</v>
          </cell>
          <cell r="H267">
            <v>0</v>
          </cell>
          <cell r="I267" t="str">
            <v>0.00%</v>
          </cell>
          <cell r="J267">
            <v>0</v>
          </cell>
          <cell r="K267">
            <v>0</v>
          </cell>
          <cell r="L267" t="str">
            <v>0.00%</v>
          </cell>
          <cell r="M267">
            <v>0</v>
          </cell>
          <cell r="N267">
            <v>0</v>
          </cell>
          <cell r="O267" t="str">
            <v>0.00%</v>
          </cell>
          <cell r="P267">
            <v>0.86</v>
          </cell>
          <cell r="Q267">
            <v>397.53499999999997</v>
          </cell>
          <cell r="R267">
            <v>1</v>
          </cell>
        </row>
        <row r="268">
          <cell r="A268" t="str">
            <v>04.04.10.02</v>
          </cell>
          <cell r="B268" t="str">
            <v>ACERO F'Y=4200 KG/CM2 GRADO 60 EN MESA DE CONCRETO</v>
          </cell>
          <cell r="C268" t="str">
            <v>kg</v>
          </cell>
          <cell r="D268">
            <v>46.09</v>
          </cell>
          <cell r="E268">
            <v>4.4400000000000004</v>
          </cell>
          <cell r="F268">
            <v>204.63960000000003</v>
          </cell>
          <cell r="G268">
            <v>0</v>
          </cell>
          <cell r="H268">
            <v>0</v>
          </cell>
          <cell r="I268" t="str">
            <v>0.00%</v>
          </cell>
          <cell r="J268">
            <v>0</v>
          </cell>
          <cell r="K268">
            <v>0</v>
          </cell>
          <cell r="L268" t="str">
            <v>0.00%</v>
          </cell>
          <cell r="M268">
            <v>0</v>
          </cell>
          <cell r="N268">
            <v>0</v>
          </cell>
          <cell r="O268" t="str">
            <v>0.00%</v>
          </cell>
          <cell r="P268">
            <v>46.09</v>
          </cell>
          <cell r="Q268">
            <v>204.63960000000003</v>
          </cell>
          <cell r="R268">
            <v>1</v>
          </cell>
        </row>
        <row r="269">
          <cell r="A269" t="str">
            <v>04.04.10.03</v>
          </cell>
          <cell r="B269" t="str">
            <v>ENCOFRADO Y DESENCOFRADO EN MESA DE CONCRETO</v>
          </cell>
          <cell r="C269" t="str">
            <v>m2</v>
          </cell>
          <cell r="D269">
            <v>17.23</v>
          </cell>
          <cell r="E269">
            <v>32.28</v>
          </cell>
          <cell r="F269">
            <v>556.18439999999998</v>
          </cell>
          <cell r="G269">
            <v>0</v>
          </cell>
          <cell r="H269">
            <v>0</v>
          </cell>
          <cell r="I269" t="str">
            <v>0.00%</v>
          </cell>
          <cell r="J269">
            <v>0</v>
          </cell>
          <cell r="K269">
            <v>0</v>
          </cell>
          <cell r="L269" t="str">
            <v>0.00%</v>
          </cell>
          <cell r="M269">
            <v>0</v>
          </cell>
          <cell r="N269">
            <v>0</v>
          </cell>
          <cell r="O269" t="str">
            <v>0.00%</v>
          </cell>
          <cell r="P269">
            <v>17.23</v>
          </cell>
          <cell r="Q269">
            <v>556.18439999999998</v>
          </cell>
          <cell r="R269">
            <v>1</v>
          </cell>
        </row>
        <row r="270">
          <cell r="A270" t="str">
            <v>04.04.11</v>
          </cell>
          <cell r="B270" t="str">
            <v>MARCO DE VENTANA DE CONCRETO</v>
          </cell>
          <cell r="C270">
            <v>0</v>
          </cell>
          <cell r="D270">
            <v>0</v>
          </cell>
          <cell r="E270">
            <v>0</v>
          </cell>
          <cell r="F270">
            <v>0</v>
          </cell>
          <cell r="G270">
            <v>0</v>
          </cell>
          <cell r="H270">
            <v>0</v>
          </cell>
          <cell r="I270">
            <v>0</v>
          </cell>
          <cell r="J270">
            <v>0</v>
          </cell>
          <cell r="K270">
            <v>0</v>
          </cell>
          <cell r="L270">
            <v>0</v>
          </cell>
          <cell r="M270">
            <v>0</v>
          </cell>
          <cell r="N270">
            <v>0</v>
          </cell>
          <cell r="O270">
            <v>0</v>
          </cell>
          <cell r="P270">
            <v>0</v>
          </cell>
          <cell r="Q270">
            <v>0</v>
          </cell>
          <cell r="R270">
            <v>0</v>
          </cell>
        </row>
        <row r="271">
          <cell r="A271" t="str">
            <v>04.04.11.01</v>
          </cell>
          <cell r="B271" t="str">
            <v>CONCRETO F'C= 175 KG/CM2 EN MARCO DE VENTANA</v>
          </cell>
          <cell r="C271" t="str">
            <v>m3</v>
          </cell>
          <cell r="D271">
            <v>3.52</v>
          </cell>
          <cell r="E271">
            <v>462.25</v>
          </cell>
          <cell r="F271">
            <v>1627.1200000000001</v>
          </cell>
          <cell r="G271">
            <v>0</v>
          </cell>
          <cell r="H271">
            <v>0</v>
          </cell>
          <cell r="I271" t="str">
            <v>0.00%</v>
          </cell>
          <cell r="J271">
            <v>0.82400000000000007</v>
          </cell>
          <cell r="K271">
            <v>380.89400000000001</v>
          </cell>
          <cell r="L271">
            <v>0.23409090909090907</v>
          </cell>
          <cell r="M271">
            <v>0.82400000000000007</v>
          </cell>
          <cell r="N271">
            <v>380.89400000000001</v>
          </cell>
          <cell r="O271">
            <v>0.23409090909090907</v>
          </cell>
          <cell r="P271">
            <v>2.6959999999999997</v>
          </cell>
          <cell r="Q271">
            <v>1246.2260000000001</v>
          </cell>
          <cell r="R271">
            <v>0.76590909090909087</v>
          </cell>
        </row>
        <row r="272">
          <cell r="A272" t="str">
            <v>04.04.11.02</v>
          </cell>
          <cell r="B272" t="str">
            <v>ACERO F'Y=4200 KG/CM2 GRADO 60 EN MARCO DE VENTANA</v>
          </cell>
          <cell r="C272" t="str">
            <v>kg</v>
          </cell>
          <cell r="D272">
            <v>501.12</v>
          </cell>
          <cell r="E272">
            <v>4.4400000000000004</v>
          </cell>
          <cell r="F272">
            <v>2224.9728</v>
          </cell>
          <cell r="G272">
            <v>0</v>
          </cell>
          <cell r="H272">
            <v>0</v>
          </cell>
          <cell r="I272" t="str">
            <v>0.00%</v>
          </cell>
          <cell r="J272">
            <v>501.12</v>
          </cell>
          <cell r="K272">
            <v>2224.9728</v>
          </cell>
          <cell r="L272">
            <v>1</v>
          </cell>
          <cell r="M272">
            <v>501.12</v>
          </cell>
          <cell r="N272">
            <v>2224.9728</v>
          </cell>
          <cell r="O272">
            <v>1</v>
          </cell>
          <cell r="P272">
            <v>0</v>
          </cell>
          <cell r="Q272">
            <v>0</v>
          </cell>
          <cell r="R272" t="str">
            <v>0.00%</v>
          </cell>
        </row>
        <row r="273">
          <cell r="A273" t="str">
            <v>04.04.11.03</v>
          </cell>
          <cell r="B273" t="str">
            <v>ENCOFRADO Y DESENCOFRADO EN MARCO DE VENTANA</v>
          </cell>
          <cell r="C273" t="str">
            <v>m2</v>
          </cell>
          <cell r="D273">
            <v>35.200000000000003</v>
          </cell>
          <cell r="E273">
            <v>28.78</v>
          </cell>
          <cell r="F273">
            <v>1013.0560000000002</v>
          </cell>
          <cell r="G273">
            <v>0</v>
          </cell>
          <cell r="H273">
            <v>0</v>
          </cell>
          <cell r="I273" t="str">
            <v>0.00%</v>
          </cell>
          <cell r="J273">
            <v>8.24</v>
          </cell>
          <cell r="K273">
            <v>237.14720000000003</v>
          </cell>
          <cell r="L273">
            <v>0.23409090909090907</v>
          </cell>
          <cell r="M273">
            <v>8.24</v>
          </cell>
          <cell r="N273">
            <v>237.14720000000003</v>
          </cell>
          <cell r="O273">
            <v>0.23409090909090907</v>
          </cell>
          <cell r="P273">
            <v>26.96</v>
          </cell>
          <cell r="Q273">
            <v>775.90880000000016</v>
          </cell>
          <cell r="R273">
            <v>0.76590909090909098</v>
          </cell>
        </row>
        <row r="274">
          <cell r="A274" t="str">
            <v>04.05</v>
          </cell>
          <cell r="B274" t="str">
            <v>JUNTAS DE CONSTRUCCION</v>
          </cell>
          <cell r="C274">
            <v>0</v>
          </cell>
          <cell r="D274">
            <v>0</v>
          </cell>
          <cell r="E274">
            <v>0</v>
          </cell>
          <cell r="F274">
            <v>0</v>
          </cell>
          <cell r="G274">
            <v>0</v>
          </cell>
          <cell r="H274">
            <v>0</v>
          </cell>
          <cell r="I274">
            <v>0</v>
          </cell>
          <cell r="J274">
            <v>0</v>
          </cell>
          <cell r="K274">
            <v>0</v>
          </cell>
          <cell r="L274">
            <v>0</v>
          </cell>
          <cell r="M274">
            <v>0</v>
          </cell>
          <cell r="N274">
            <v>0</v>
          </cell>
          <cell r="O274">
            <v>0</v>
          </cell>
          <cell r="P274">
            <v>0</v>
          </cell>
          <cell r="Q274">
            <v>0</v>
          </cell>
          <cell r="R274">
            <v>0</v>
          </cell>
        </row>
        <row r="275">
          <cell r="A275" t="str">
            <v>04.05.01</v>
          </cell>
          <cell r="B275" t="str">
            <v>JUNTAS DE TEKNOPOR DE  1"</v>
          </cell>
          <cell r="C275" t="str">
            <v>m</v>
          </cell>
          <cell r="D275">
            <v>11.7</v>
          </cell>
          <cell r="E275">
            <v>9.0500000000000007</v>
          </cell>
          <cell r="F275">
            <v>105.88500000000001</v>
          </cell>
          <cell r="G275">
            <v>0</v>
          </cell>
          <cell r="H275">
            <v>0</v>
          </cell>
          <cell r="I275" t="str">
            <v>0.00%</v>
          </cell>
          <cell r="J275">
            <v>11.7</v>
          </cell>
          <cell r="K275">
            <v>105.88500000000001</v>
          </cell>
          <cell r="L275">
            <v>1</v>
          </cell>
          <cell r="M275">
            <v>11.7</v>
          </cell>
          <cell r="N275">
            <v>105.88500000000001</v>
          </cell>
          <cell r="O275">
            <v>1</v>
          </cell>
          <cell r="P275">
            <v>0</v>
          </cell>
          <cell r="Q275">
            <v>0</v>
          </cell>
          <cell r="R275" t="str">
            <v>0.00%</v>
          </cell>
        </row>
        <row r="276">
          <cell r="A276" t="str">
            <v>04.06</v>
          </cell>
          <cell r="B276" t="str">
            <v>PRUEBAS</v>
          </cell>
          <cell r="C276">
            <v>0</v>
          </cell>
          <cell r="D276">
            <v>0</v>
          </cell>
          <cell r="E276">
            <v>0</v>
          </cell>
          <cell r="F276">
            <v>0</v>
          </cell>
          <cell r="G276">
            <v>0</v>
          </cell>
          <cell r="H276">
            <v>0</v>
          </cell>
          <cell r="I276">
            <v>0</v>
          </cell>
          <cell r="J276">
            <v>0</v>
          </cell>
          <cell r="K276">
            <v>0</v>
          </cell>
          <cell r="L276">
            <v>0</v>
          </cell>
          <cell r="M276">
            <v>0</v>
          </cell>
          <cell r="N276">
            <v>0</v>
          </cell>
          <cell r="O276">
            <v>0</v>
          </cell>
          <cell r="P276">
            <v>0</v>
          </cell>
          <cell r="Q276">
            <v>0</v>
          </cell>
          <cell r="R276">
            <v>0</v>
          </cell>
        </row>
        <row r="277">
          <cell r="A277" t="str">
            <v>04.06.01</v>
          </cell>
          <cell r="B277" t="str">
            <v>PRUEBA DE CALIDAD DEL CONCRETO (PRUEBA A LA COMPRESION)</v>
          </cell>
          <cell r="C277" t="str">
            <v>und</v>
          </cell>
          <cell r="D277">
            <v>2</v>
          </cell>
          <cell r="E277">
            <v>40</v>
          </cell>
          <cell r="F277">
            <v>80</v>
          </cell>
          <cell r="G277">
            <v>0</v>
          </cell>
          <cell r="H277">
            <v>0</v>
          </cell>
          <cell r="I277" t="str">
            <v>0.00%</v>
          </cell>
          <cell r="J277">
            <v>2</v>
          </cell>
          <cell r="K277">
            <v>80</v>
          </cell>
          <cell r="L277">
            <v>1</v>
          </cell>
          <cell r="M277">
            <v>2</v>
          </cell>
          <cell r="N277">
            <v>80</v>
          </cell>
          <cell r="O277">
            <v>1</v>
          </cell>
          <cell r="P277">
            <v>0</v>
          </cell>
          <cell r="Q277">
            <v>0</v>
          </cell>
          <cell r="R277" t="str">
            <v>0.00%</v>
          </cell>
        </row>
        <row r="278">
          <cell r="A278" t="str">
            <v>05</v>
          </cell>
          <cell r="B278" t="str">
            <v>BLOQUE - 4</v>
          </cell>
          <cell r="C278">
            <v>0</v>
          </cell>
          <cell r="D278">
            <v>0</v>
          </cell>
          <cell r="E278">
            <v>0</v>
          </cell>
          <cell r="F278">
            <v>0</v>
          </cell>
          <cell r="G278">
            <v>0</v>
          </cell>
          <cell r="H278">
            <v>0</v>
          </cell>
          <cell r="I278">
            <v>0</v>
          </cell>
          <cell r="J278">
            <v>0</v>
          </cell>
          <cell r="K278">
            <v>0</v>
          </cell>
          <cell r="L278">
            <v>0</v>
          </cell>
          <cell r="M278">
            <v>0</v>
          </cell>
          <cell r="N278">
            <v>0</v>
          </cell>
          <cell r="O278">
            <v>0</v>
          </cell>
          <cell r="P278">
            <v>0</v>
          </cell>
          <cell r="Q278">
            <v>0</v>
          </cell>
          <cell r="R278">
            <v>0</v>
          </cell>
        </row>
        <row r="279">
          <cell r="A279" t="str">
            <v>05.01</v>
          </cell>
          <cell r="B279" t="str">
            <v>TRABAJOS PRELIMINARES</v>
          </cell>
          <cell r="C279">
            <v>0</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row>
        <row r="280">
          <cell r="A280" t="str">
            <v>05.01.01</v>
          </cell>
          <cell r="B280" t="str">
            <v>LIMPIEZA DE TERRENO MANUAL</v>
          </cell>
          <cell r="C280" t="str">
            <v>m2</v>
          </cell>
          <cell r="D280">
            <v>87.68</v>
          </cell>
          <cell r="E280">
            <v>1.0900000000000001</v>
          </cell>
          <cell r="F280">
            <v>95.571200000000019</v>
          </cell>
          <cell r="G280">
            <v>87.68</v>
          </cell>
          <cell r="H280">
            <v>95.571200000000019</v>
          </cell>
          <cell r="I280">
            <v>1</v>
          </cell>
          <cell r="J280">
            <v>0</v>
          </cell>
          <cell r="K280">
            <v>0</v>
          </cell>
          <cell r="L280" t="str">
            <v>0.00%</v>
          </cell>
          <cell r="M280">
            <v>87.68</v>
          </cell>
          <cell r="N280">
            <v>95.571200000000019</v>
          </cell>
          <cell r="O280">
            <v>1</v>
          </cell>
          <cell r="P280">
            <v>0</v>
          </cell>
          <cell r="Q280">
            <v>0</v>
          </cell>
          <cell r="R280" t="str">
            <v>0.00%</v>
          </cell>
        </row>
        <row r="281">
          <cell r="A281" t="str">
            <v>05.01.02</v>
          </cell>
          <cell r="B281" t="str">
            <v>TRAZO DURANTE LA EJECUCION DE LA OBRA</v>
          </cell>
          <cell r="C281" t="str">
            <v>m2</v>
          </cell>
          <cell r="D281">
            <v>87.68</v>
          </cell>
          <cell r="E281">
            <v>3.49</v>
          </cell>
          <cell r="F281">
            <v>306.00320000000005</v>
          </cell>
          <cell r="G281">
            <v>87.68</v>
          </cell>
          <cell r="H281">
            <v>306.00320000000005</v>
          </cell>
          <cell r="I281">
            <v>1</v>
          </cell>
          <cell r="J281">
            <v>0</v>
          </cell>
          <cell r="K281">
            <v>0</v>
          </cell>
          <cell r="L281" t="str">
            <v>0.00%</v>
          </cell>
          <cell r="M281">
            <v>87.68</v>
          </cell>
          <cell r="N281">
            <v>306.00320000000005</v>
          </cell>
          <cell r="O281">
            <v>1</v>
          </cell>
          <cell r="P281">
            <v>0</v>
          </cell>
          <cell r="Q281">
            <v>0</v>
          </cell>
          <cell r="R281" t="str">
            <v>0.00%</v>
          </cell>
        </row>
        <row r="282">
          <cell r="A282" t="str">
            <v>05.02</v>
          </cell>
          <cell r="B282" t="str">
            <v>MOVIMIENTO DE TIERRAS</v>
          </cell>
          <cell r="C282">
            <v>0</v>
          </cell>
          <cell r="D282">
            <v>0</v>
          </cell>
          <cell r="E282">
            <v>0</v>
          </cell>
          <cell r="F282">
            <v>0</v>
          </cell>
          <cell r="G282">
            <v>0</v>
          </cell>
          <cell r="H282">
            <v>0</v>
          </cell>
          <cell r="I282">
            <v>0</v>
          </cell>
          <cell r="J282">
            <v>0</v>
          </cell>
          <cell r="K282">
            <v>0</v>
          </cell>
          <cell r="L282">
            <v>0</v>
          </cell>
          <cell r="M282">
            <v>0</v>
          </cell>
          <cell r="N282">
            <v>0</v>
          </cell>
          <cell r="O282">
            <v>0</v>
          </cell>
          <cell r="P282">
            <v>0</v>
          </cell>
          <cell r="Q282">
            <v>0</v>
          </cell>
          <cell r="R282">
            <v>0</v>
          </cell>
        </row>
        <row r="283">
          <cell r="A283" t="str">
            <v>05.02.01</v>
          </cell>
          <cell r="B283" t="str">
            <v xml:space="preserve">EXCAVACION PARA CIMIENTOS-ZAPATAS </v>
          </cell>
          <cell r="C283" t="str">
            <v>m3</v>
          </cell>
          <cell r="D283">
            <v>73.11</v>
          </cell>
          <cell r="E283">
            <v>44.73</v>
          </cell>
          <cell r="F283">
            <v>3270.2102999999997</v>
          </cell>
          <cell r="G283">
            <v>73.11</v>
          </cell>
          <cell r="H283">
            <v>3270.2102999999997</v>
          </cell>
          <cell r="I283">
            <v>1</v>
          </cell>
          <cell r="J283">
            <v>0</v>
          </cell>
          <cell r="K283">
            <v>0</v>
          </cell>
          <cell r="L283" t="str">
            <v>0.00%</v>
          </cell>
          <cell r="M283">
            <v>73.11</v>
          </cell>
          <cell r="N283">
            <v>3270.2102999999997</v>
          </cell>
          <cell r="O283">
            <v>1</v>
          </cell>
          <cell r="P283">
            <v>0</v>
          </cell>
          <cell r="Q283">
            <v>0</v>
          </cell>
          <cell r="R283" t="str">
            <v>0.00%</v>
          </cell>
        </row>
        <row r="284">
          <cell r="A284" t="str">
            <v>05.02.02</v>
          </cell>
          <cell r="B284" t="str">
            <v>RELLENO COMPACTADO CON MATERIAL PROPIO EN CAPAS DE 0.20m.</v>
          </cell>
          <cell r="C284" t="str">
            <v>m3</v>
          </cell>
          <cell r="D284">
            <v>26.43</v>
          </cell>
          <cell r="E284">
            <v>53.95</v>
          </cell>
          <cell r="F284">
            <v>1425.8985</v>
          </cell>
          <cell r="G284">
            <v>26.43</v>
          </cell>
          <cell r="H284">
            <v>1425.8985</v>
          </cell>
          <cell r="I284">
            <v>1</v>
          </cell>
          <cell r="J284">
            <v>0</v>
          </cell>
          <cell r="K284">
            <v>0</v>
          </cell>
          <cell r="L284" t="str">
            <v>0.00%</v>
          </cell>
          <cell r="M284">
            <v>26.43</v>
          </cell>
          <cell r="N284">
            <v>1425.8985</v>
          </cell>
          <cell r="O284">
            <v>1</v>
          </cell>
          <cell r="P284">
            <v>0</v>
          </cell>
          <cell r="Q284">
            <v>0</v>
          </cell>
          <cell r="R284" t="str">
            <v>0.00%</v>
          </cell>
        </row>
        <row r="285">
          <cell r="A285" t="str">
            <v>05.02.03</v>
          </cell>
          <cell r="B285" t="str">
            <v>ACARREO INTERNO, MATERIAL PROCEDENTE DE EXCAVACIONES  Y OTROS</v>
          </cell>
          <cell r="C285" t="str">
            <v>m3</v>
          </cell>
          <cell r="D285">
            <v>60.68</v>
          </cell>
          <cell r="E285">
            <v>19</v>
          </cell>
          <cell r="F285">
            <v>1152.92</v>
          </cell>
          <cell r="G285">
            <v>60.68</v>
          </cell>
          <cell r="H285">
            <v>1152.92</v>
          </cell>
          <cell r="I285">
            <v>1</v>
          </cell>
          <cell r="J285">
            <v>0</v>
          </cell>
          <cell r="K285">
            <v>0</v>
          </cell>
          <cell r="L285" t="str">
            <v>0.00%</v>
          </cell>
          <cell r="M285">
            <v>60.68</v>
          </cell>
          <cell r="N285">
            <v>1152.92</v>
          </cell>
          <cell r="O285">
            <v>1</v>
          </cell>
          <cell r="P285">
            <v>0</v>
          </cell>
          <cell r="Q285">
            <v>0</v>
          </cell>
          <cell r="R285" t="str">
            <v>0.00%</v>
          </cell>
        </row>
        <row r="286">
          <cell r="A286" t="str">
            <v>05.02.04</v>
          </cell>
          <cell r="B286" t="str">
            <v>ELIMINACION DE MATERIAL EXCEDENTE CON EQUIPO</v>
          </cell>
          <cell r="C286" t="str">
            <v>m3</v>
          </cell>
          <cell r="D286">
            <v>60.68</v>
          </cell>
          <cell r="E286">
            <v>14.64</v>
          </cell>
          <cell r="F286">
            <v>888.35520000000008</v>
          </cell>
          <cell r="G286">
            <v>60.68</v>
          </cell>
          <cell r="H286">
            <v>888.35520000000008</v>
          </cell>
          <cell r="I286">
            <v>1</v>
          </cell>
          <cell r="J286">
            <v>0</v>
          </cell>
          <cell r="K286">
            <v>0</v>
          </cell>
          <cell r="L286" t="str">
            <v>0.00%</v>
          </cell>
          <cell r="M286">
            <v>60.68</v>
          </cell>
          <cell r="N286">
            <v>888.35520000000008</v>
          </cell>
          <cell r="O286">
            <v>1</v>
          </cell>
          <cell r="P286">
            <v>0</v>
          </cell>
          <cell r="Q286">
            <v>0</v>
          </cell>
          <cell r="R286" t="str">
            <v>0.00%</v>
          </cell>
        </row>
        <row r="287">
          <cell r="A287" t="str">
            <v>05.02.05</v>
          </cell>
          <cell r="B287" t="str">
            <v xml:space="preserve">AFIRMADO e=20 cm </v>
          </cell>
          <cell r="C287" t="str">
            <v>m3</v>
          </cell>
          <cell r="D287">
            <v>14.54</v>
          </cell>
          <cell r="E287">
            <v>82.36</v>
          </cell>
          <cell r="F287">
            <v>1197.5144</v>
          </cell>
          <cell r="G287">
            <v>14.54</v>
          </cell>
          <cell r="H287">
            <v>1197.5144</v>
          </cell>
          <cell r="I287">
            <v>1</v>
          </cell>
          <cell r="J287">
            <v>0</v>
          </cell>
          <cell r="K287">
            <v>0</v>
          </cell>
          <cell r="L287" t="str">
            <v>0.00%</v>
          </cell>
          <cell r="M287">
            <v>14.54</v>
          </cell>
          <cell r="N287">
            <v>1197.5144</v>
          </cell>
          <cell r="O287">
            <v>1</v>
          </cell>
          <cell r="P287">
            <v>0</v>
          </cell>
          <cell r="Q287">
            <v>0</v>
          </cell>
          <cell r="R287" t="str">
            <v>0.00%</v>
          </cell>
        </row>
        <row r="288">
          <cell r="A288" t="str">
            <v>05.02.06</v>
          </cell>
          <cell r="B288" t="str">
            <v xml:space="preserve">NIVELACION Y COMPACTACION PARA FALSO PISOS, VEREDAS Y PATIOS </v>
          </cell>
          <cell r="C288" t="str">
            <v>m2</v>
          </cell>
          <cell r="D288">
            <v>72.69</v>
          </cell>
          <cell r="E288">
            <v>9.3800000000000008</v>
          </cell>
          <cell r="F288">
            <v>681.83220000000006</v>
          </cell>
          <cell r="G288">
            <v>0</v>
          </cell>
          <cell r="H288">
            <v>0</v>
          </cell>
          <cell r="I288" t="str">
            <v>0.00%</v>
          </cell>
          <cell r="J288">
            <v>72.69</v>
          </cell>
          <cell r="K288">
            <v>681.83220000000006</v>
          </cell>
          <cell r="L288">
            <v>1</v>
          </cell>
          <cell r="M288">
            <v>72.69</v>
          </cell>
          <cell r="N288">
            <v>681.83220000000006</v>
          </cell>
          <cell r="O288">
            <v>1</v>
          </cell>
          <cell r="P288">
            <v>0</v>
          </cell>
          <cell r="Q288">
            <v>0</v>
          </cell>
          <cell r="R288" t="str">
            <v>0.00%</v>
          </cell>
        </row>
        <row r="289">
          <cell r="A289" t="str">
            <v>05.03</v>
          </cell>
          <cell r="B289" t="str">
            <v>CONCRETO SIMPLE</v>
          </cell>
          <cell r="C289">
            <v>0</v>
          </cell>
          <cell r="D289">
            <v>0</v>
          </cell>
          <cell r="E289">
            <v>0</v>
          </cell>
          <cell r="F289">
            <v>0</v>
          </cell>
          <cell r="G289">
            <v>0</v>
          </cell>
          <cell r="H289">
            <v>0</v>
          </cell>
          <cell r="I289">
            <v>0</v>
          </cell>
          <cell r="J289">
            <v>0</v>
          </cell>
          <cell r="K289">
            <v>0</v>
          </cell>
          <cell r="L289">
            <v>0</v>
          </cell>
          <cell r="M289">
            <v>0</v>
          </cell>
          <cell r="N289">
            <v>0</v>
          </cell>
          <cell r="O289">
            <v>0</v>
          </cell>
          <cell r="P289">
            <v>0</v>
          </cell>
          <cell r="Q289">
            <v>0</v>
          </cell>
          <cell r="R289">
            <v>0</v>
          </cell>
        </row>
        <row r="290">
          <cell r="A290" t="str">
            <v>05.03.01</v>
          </cell>
          <cell r="B290" t="str">
            <v>SOLADOS</v>
          </cell>
          <cell r="C290">
            <v>0</v>
          </cell>
          <cell r="D290">
            <v>0</v>
          </cell>
          <cell r="E290">
            <v>0</v>
          </cell>
          <cell r="F290">
            <v>0</v>
          </cell>
          <cell r="G290">
            <v>0</v>
          </cell>
          <cell r="H290">
            <v>0</v>
          </cell>
          <cell r="I290">
            <v>0</v>
          </cell>
          <cell r="J290">
            <v>0</v>
          </cell>
          <cell r="K290">
            <v>0</v>
          </cell>
          <cell r="L290">
            <v>0</v>
          </cell>
          <cell r="M290">
            <v>0</v>
          </cell>
          <cell r="N290">
            <v>0</v>
          </cell>
          <cell r="O290">
            <v>0</v>
          </cell>
          <cell r="P290">
            <v>0</v>
          </cell>
          <cell r="Q290">
            <v>0</v>
          </cell>
          <cell r="R290">
            <v>0</v>
          </cell>
        </row>
        <row r="291">
          <cell r="A291" t="str">
            <v>05.03.01.01</v>
          </cell>
          <cell r="B291" t="str">
            <v>SOLADO E= 2" MEZCLA 1:12 CEMENTO-HORMIGON</v>
          </cell>
          <cell r="C291" t="str">
            <v>m2</v>
          </cell>
          <cell r="D291">
            <v>36.28</v>
          </cell>
          <cell r="E291">
            <v>29.02</v>
          </cell>
          <cell r="F291">
            <v>1052.8456000000001</v>
          </cell>
          <cell r="G291">
            <v>36.28</v>
          </cell>
          <cell r="H291">
            <v>1052.8456000000001</v>
          </cell>
          <cell r="I291">
            <v>1</v>
          </cell>
          <cell r="J291">
            <v>0</v>
          </cell>
          <cell r="K291">
            <v>0</v>
          </cell>
          <cell r="L291" t="str">
            <v>0.00%</v>
          </cell>
          <cell r="M291">
            <v>36.28</v>
          </cell>
          <cell r="N291">
            <v>1052.8456000000001</v>
          </cell>
          <cell r="O291">
            <v>1</v>
          </cell>
          <cell r="P291">
            <v>0</v>
          </cell>
          <cell r="Q291">
            <v>0</v>
          </cell>
          <cell r="R291" t="str">
            <v>0.00%</v>
          </cell>
        </row>
        <row r="292">
          <cell r="A292" t="str">
            <v>05.03.02</v>
          </cell>
          <cell r="B292" t="str">
            <v>CIMIENTOS CORRIDOS</v>
          </cell>
          <cell r="C292">
            <v>0</v>
          </cell>
          <cell r="D292">
            <v>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row>
        <row r="293">
          <cell r="A293" t="str">
            <v>05.03.02.01</v>
          </cell>
          <cell r="B293" t="str">
            <v>CIMIENTOS CORRIDOS MEZCLA 1:10 CEMENTO-HORMIGON 30% PIEDRA</v>
          </cell>
          <cell r="C293" t="str">
            <v>m3</v>
          </cell>
          <cell r="D293">
            <v>8.73</v>
          </cell>
          <cell r="E293">
            <v>248.48</v>
          </cell>
          <cell r="F293">
            <v>2169.2303999999999</v>
          </cell>
          <cell r="G293">
            <v>6.05</v>
          </cell>
          <cell r="H293">
            <v>1503.3039999999999</v>
          </cell>
          <cell r="I293">
            <v>0.69301260022909505</v>
          </cell>
          <cell r="J293">
            <v>0</v>
          </cell>
          <cell r="K293">
            <v>0</v>
          </cell>
          <cell r="L293" t="str">
            <v>0.00%</v>
          </cell>
          <cell r="M293">
            <v>6.05</v>
          </cell>
          <cell r="N293">
            <v>1503.3039999999999</v>
          </cell>
          <cell r="O293">
            <v>0.69301260022909505</v>
          </cell>
          <cell r="P293">
            <v>2.6800000000000006</v>
          </cell>
          <cell r="Q293">
            <v>665.92640000000006</v>
          </cell>
          <cell r="R293">
            <v>0.30698739977090495</v>
          </cell>
        </row>
        <row r="294">
          <cell r="A294" t="str">
            <v>05.03.03</v>
          </cell>
          <cell r="B294" t="str">
            <v>SOBRECIMIENTOS</v>
          </cell>
          <cell r="C294">
            <v>0</v>
          </cell>
          <cell r="D294">
            <v>0</v>
          </cell>
          <cell r="E294">
            <v>0</v>
          </cell>
          <cell r="F294">
            <v>0</v>
          </cell>
          <cell r="G294">
            <v>0</v>
          </cell>
          <cell r="H294">
            <v>0</v>
          </cell>
          <cell r="I294">
            <v>0</v>
          </cell>
          <cell r="J294">
            <v>0</v>
          </cell>
          <cell r="K294">
            <v>0</v>
          </cell>
          <cell r="L294">
            <v>0</v>
          </cell>
          <cell r="M294">
            <v>0</v>
          </cell>
          <cell r="N294">
            <v>0</v>
          </cell>
          <cell r="O294">
            <v>0</v>
          </cell>
          <cell r="P294">
            <v>0</v>
          </cell>
          <cell r="Q294">
            <v>0</v>
          </cell>
          <cell r="R294">
            <v>0</v>
          </cell>
        </row>
        <row r="295">
          <cell r="A295" t="str">
            <v>05.03.03.01</v>
          </cell>
          <cell r="B295" t="str">
            <v>CONCRETO 1:8+25% P.M. PARA SOBRECIMIENTOS</v>
          </cell>
          <cell r="C295" t="str">
            <v>m3</v>
          </cell>
          <cell r="D295">
            <v>1.83</v>
          </cell>
          <cell r="E295">
            <v>312.47000000000003</v>
          </cell>
          <cell r="F295">
            <v>571.82010000000002</v>
          </cell>
          <cell r="G295">
            <v>0</v>
          </cell>
          <cell r="H295">
            <v>0</v>
          </cell>
          <cell r="I295" t="str">
            <v>0.00%</v>
          </cell>
          <cell r="J295">
            <v>0</v>
          </cell>
          <cell r="K295">
            <v>0</v>
          </cell>
          <cell r="L295" t="str">
            <v>0.00%</v>
          </cell>
          <cell r="M295">
            <v>0</v>
          </cell>
          <cell r="N295">
            <v>0</v>
          </cell>
          <cell r="O295" t="str">
            <v>0.00%</v>
          </cell>
          <cell r="P295">
            <v>1.83</v>
          </cell>
          <cell r="Q295">
            <v>571.82010000000002</v>
          </cell>
          <cell r="R295">
            <v>1</v>
          </cell>
        </row>
        <row r="296">
          <cell r="A296" t="str">
            <v>05.03.03.02</v>
          </cell>
          <cell r="B296" t="str">
            <v>ENCOFRADO Y DESENCOFRADO NORMAL PARA SOBRECIMIENTOS HASTA 0.60M.</v>
          </cell>
          <cell r="C296" t="str">
            <v>m2</v>
          </cell>
          <cell r="D296">
            <v>14.61</v>
          </cell>
          <cell r="E296">
            <v>44.43</v>
          </cell>
          <cell r="F296">
            <v>649.1223</v>
          </cell>
          <cell r="G296">
            <v>0</v>
          </cell>
          <cell r="H296">
            <v>0</v>
          </cell>
          <cell r="I296" t="str">
            <v>0.00%</v>
          </cell>
          <cell r="J296">
            <v>0</v>
          </cell>
          <cell r="K296">
            <v>0</v>
          </cell>
          <cell r="L296" t="str">
            <v>0.00%</v>
          </cell>
          <cell r="M296">
            <v>0</v>
          </cell>
          <cell r="N296">
            <v>0</v>
          </cell>
          <cell r="O296" t="str">
            <v>0.00%</v>
          </cell>
          <cell r="P296">
            <v>14.61</v>
          </cell>
          <cell r="Q296">
            <v>649.1223</v>
          </cell>
          <cell r="R296">
            <v>1</v>
          </cell>
        </row>
        <row r="297">
          <cell r="A297" t="str">
            <v>05.04</v>
          </cell>
          <cell r="B297" t="str">
            <v>CONCRETO ARMADO</v>
          </cell>
          <cell r="C297">
            <v>0</v>
          </cell>
          <cell r="D297">
            <v>0</v>
          </cell>
          <cell r="E297">
            <v>0</v>
          </cell>
          <cell r="F297">
            <v>0</v>
          </cell>
          <cell r="G297">
            <v>0</v>
          </cell>
          <cell r="H297">
            <v>0</v>
          </cell>
          <cell r="I297">
            <v>0</v>
          </cell>
          <cell r="J297">
            <v>0</v>
          </cell>
          <cell r="K297">
            <v>0</v>
          </cell>
          <cell r="L297">
            <v>0</v>
          </cell>
          <cell r="M297">
            <v>0</v>
          </cell>
          <cell r="N297">
            <v>0</v>
          </cell>
          <cell r="O297">
            <v>0</v>
          </cell>
          <cell r="P297">
            <v>0</v>
          </cell>
          <cell r="Q297">
            <v>0</v>
          </cell>
          <cell r="R297">
            <v>0</v>
          </cell>
        </row>
        <row r="298">
          <cell r="A298" t="str">
            <v>05.04.01</v>
          </cell>
          <cell r="B298" t="str">
            <v>ZAPATAS</v>
          </cell>
          <cell r="C298">
            <v>0</v>
          </cell>
          <cell r="D298">
            <v>0</v>
          </cell>
          <cell r="E298">
            <v>0</v>
          </cell>
          <cell r="F298">
            <v>0</v>
          </cell>
          <cell r="G298">
            <v>0</v>
          </cell>
          <cell r="H298">
            <v>0</v>
          </cell>
          <cell r="I298">
            <v>0</v>
          </cell>
          <cell r="J298">
            <v>0</v>
          </cell>
          <cell r="K298">
            <v>0</v>
          </cell>
          <cell r="L298">
            <v>0</v>
          </cell>
          <cell r="M298">
            <v>0</v>
          </cell>
          <cell r="N298">
            <v>0</v>
          </cell>
          <cell r="O298">
            <v>0</v>
          </cell>
          <cell r="P298">
            <v>0</v>
          </cell>
          <cell r="Q298">
            <v>0</v>
          </cell>
          <cell r="R298">
            <v>0</v>
          </cell>
        </row>
        <row r="299">
          <cell r="A299" t="str">
            <v>05.04.01.01</v>
          </cell>
          <cell r="B299" t="str">
            <v>CONCRETO PARA ZAPATAS F'C=210 KG/CM2</v>
          </cell>
          <cell r="C299" t="str">
            <v>m3</v>
          </cell>
          <cell r="D299">
            <v>130.88</v>
          </cell>
          <cell r="E299">
            <v>427.63</v>
          </cell>
          <cell r="F299">
            <v>55968.214399999997</v>
          </cell>
          <cell r="G299">
            <v>130.88</v>
          </cell>
          <cell r="H299">
            <v>55968.214399999997</v>
          </cell>
          <cell r="I299">
            <v>1</v>
          </cell>
          <cell r="J299">
            <v>0</v>
          </cell>
          <cell r="K299">
            <v>0</v>
          </cell>
          <cell r="L299" t="str">
            <v>0.00%</v>
          </cell>
          <cell r="M299">
            <v>130.88</v>
          </cell>
          <cell r="N299">
            <v>55968.214399999997</v>
          </cell>
          <cell r="O299">
            <v>1</v>
          </cell>
          <cell r="P299">
            <v>0</v>
          </cell>
          <cell r="Q299">
            <v>0</v>
          </cell>
          <cell r="R299" t="str">
            <v>0.00%</v>
          </cell>
        </row>
        <row r="300">
          <cell r="A300" t="str">
            <v>05.04.01.02</v>
          </cell>
          <cell r="B300" t="str">
            <v>ACERO F'Y=4200 KG/CM2 GRADO 60 EN ZAPATAS</v>
          </cell>
          <cell r="C300" t="str">
            <v>kg</v>
          </cell>
          <cell r="D300">
            <v>398.66</v>
          </cell>
          <cell r="E300">
            <v>4.3</v>
          </cell>
          <cell r="F300">
            <v>1714.2380000000001</v>
          </cell>
          <cell r="G300">
            <v>398.65999999999997</v>
          </cell>
          <cell r="H300">
            <v>1714.2379999999998</v>
          </cell>
          <cell r="I300">
            <v>0.99999999999999989</v>
          </cell>
          <cell r="J300">
            <v>0</v>
          </cell>
          <cell r="K300">
            <v>0</v>
          </cell>
          <cell r="L300" t="str">
            <v>0.00%</v>
          </cell>
          <cell r="M300">
            <v>398.65999999999997</v>
          </cell>
          <cell r="N300">
            <v>1714.2379999999998</v>
          </cell>
          <cell r="O300">
            <v>0.99999999999999989</v>
          </cell>
          <cell r="P300">
            <v>5.6843418860808015E-14</v>
          </cell>
          <cell r="Q300">
            <v>2.2737367544323206E-13</v>
          </cell>
          <cell r="R300">
            <v>1.3263833577556446E-16</v>
          </cell>
        </row>
        <row r="301">
          <cell r="A301" t="str">
            <v>05.04.02</v>
          </cell>
          <cell r="B301" t="str">
            <v>VIGAS DE CIMENTACION</v>
          </cell>
          <cell r="C301">
            <v>0</v>
          </cell>
          <cell r="D301">
            <v>0</v>
          </cell>
          <cell r="E301">
            <v>0</v>
          </cell>
          <cell r="F301">
            <v>0</v>
          </cell>
          <cell r="G301">
            <v>0</v>
          </cell>
          <cell r="H301">
            <v>0</v>
          </cell>
          <cell r="I301">
            <v>0</v>
          </cell>
          <cell r="J301">
            <v>0</v>
          </cell>
          <cell r="K301">
            <v>0</v>
          </cell>
          <cell r="L301">
            <v>0</v>
          </cell>
          <cell r="M301">
            <v>0</v>
          </cell>
          <cell r="N301">
            <v>0</v>
          </cell>
          <cell r="O301">
            <v>0</v>
          </cell>
          <cell r="P301">
            <v>0</v>
          </cell>
          <cell r="Q301">
            <v>0</v>
          </cell>
          <cell r="R301">
            <v>0</v>
          </cell>
        </row>
        <row r="302">
          <cell r="A302" t="str">
            <v>05.04.02.01</v>
          </cell>
          <cell r="B302" t="str">
            <v>CONCRETO F'C= 210 KG/CM2 EN VIGAS DE CIMENTACIÓN</v>
          </cell>
          <cell r="C302" t="str">
            <v>m3</v>
          </cell>
          <cell r="D302">
            <v>6.7</v>
          </cell>
          <cell r="E302">
            <v>451</v>
          </cell>
          <cell r="F302">
            <v>3021.7000000000003</v>
          </cell>
          <cell r="G302">
            <v>6.7</v>
          </cell>
          <cell r="H302">
            <v>3021.7000000000003</v>
          </cell>
          <cell r="I302">
            <v>1</v>
          </cell>
          <cell r="J302">
            <v>0</v>
          </cell>
          <cell r="K302">
            <v>0</v>
          </cell>
          <cell r="L302" t="str">
            <v>0.00%</v>
          </cell>
          <cell r="M302">
            <v>6.7</v>
          </cell>
          <cell r="N302">
            <v>3021.7000000000003</v>
          </cell>
          <cell r="O302">
            <v>1</v>
          </cell>
          <cell r="P302">
            <v>0</v>
          </cell>
          <cell r="Q302">
            <v>0</v>
          </cell>
          <cell r="R302" t="str">
            <v>0.00%</v>
          </cell>
        </row>
        <row r="303">
          <cell r="A303" t="str">
            <v>05.04.02.02</v>
          </cell>
          <cell r="B303" t="str">
            <v>ACERO F'Y=4200 KG/CM2 GRADO 60 EN VIGAS DE CIMENTACIÓN</v>
          </cell>
          <cell r="C303" t="str">
            <v>kg</v>
          </cell>
          <cell r="D303">
            <v>712.35</v>
          </cell>
          <cell r="E303">
            <v>4.45</v>
          </cell>
          <cell r="F303">
            <v>3169.9575000000004</v>
          </cell>
          <cell r="G303">
            <v>712.35</v>
          </cell>
          <cell r="H303">
            <v>3169.9575000000004</v>
          </cell>
          <cell r="I303">
            <v>1</v>
          </cell>
          <cell r="J303">
            <v>0</v>
          </cell>
          <cell r="K303">
            <v>0</v>
          </cell>
          <cell r="L303" t="str">
            <v>0.00%</v>
          </cell>
          <cell r="M303">
            <v>712.35</v>
          </cell>
          <cell r="N303">
            <v>3169.9575000000004</v>
          </cell>
          <cell r="O303">
            <v>1</v>
          </cell>
          <cell r="P303">
            <v>0</v>
          </cell>
          <cell r="Q303">
            <v>0</v>
          </cell>
          <cell r="R303" t="str">
            <v>0.00%</v>
          </cell>
        </row>
        <row r="304">
          <cell r="A304" t="str">
            <v>05.04.02.03</v>
          </cell>
          <cell r="B304" t="str">
            <v>ENCOFRADO Y DESENCOFRADO DE VIGAS DE CIMENTACIÓN</v>
          </cell>
          <cell r="C304" t="str">
            <v>m2</v>
          </cell>
          <cell r="D304">
            <v>48.12</v>
          </cell>
          <cell r="E304">
            <v>44.69</v>
          </cell>
          <cell r="F304">
            <v>2150.4827999999998</v>
          </cell>
          <cell r="G304">
            <v>48.12</v>
          </cell>
          <cell r="H304">
            <v>2150.4827999999998</v>
          </cell>
          <cell r="I304">
            <v>1</v>
          </cell>
          <cell r="J304">
            <v>0</v>
          </cell>
          <cell r="K304">
            <v>0</v>
          </cell>
          <cell r="L304" t="str">
            <v>0.00%</v>
          </cell>
          <cell r="M304">
            <v>48.12</v>
          </cell>
          <cell r="N304">
            <v>2150.4827999999998</v>
          </cell>
          <cell r="O304">
            <v>1</v>
          </cell>
          <cell r="P304">
            <v>0</v>
          </cell>
          <cell r="Q304">
            <v>0</v>
          </cell>
          <cell r="R304" t="str">
            <v>0.00%</v>
          </cell>
        </row>
        <row r="305">
          <cell r="A305" t="str">
            <v>05.04.03</v>
          </cell>
          <cell r="B305" t="str">
            <v>COLUMNAS</v>
          </cell>
          <cell r="C305">
            <v>0</v>
          </cell>
          <cell r="D305">
            <v>0</v>
          </cell>
          <cell r="E305">
            <v>0</v>
          </cell>
          <cell r="F305">
            <v>0</v>
          </cell>
          <cell r="G305">
            <v>0</v>
          </cell>
          <cell r="H305">
            <v>0</v>
          </cell>
          <cell r="I305">
            <v>0</v>
          </cell>
          <cell r="J305">
            <v>0</v>
          </cell>
          <cell r="K305">
            <v>0</v>
          </cell>
          <cell r="L305">
            <v>0</v>
          </cell>
          <cell r="M305">
            <v>0</v>
          </cell>
          <cell r="N305">
            <v>0</v>
          </cell>
          <cell r="O305">
            <v>0</v>
          </cell>
          <cell r="P305">
            <v>0</v>
          </cell>
          <cell r="Q305">
            <v>0</v>
          </cell>
          <cell r="R305">
            <v>0</v>
          </cell>
        </row>
        <row r="306">
          <cell r="A306" t="str">
            <v>05.04.03.01</v>
          </cell>
          <cell r="B306" t="str">
            <v>CONCRETO EN COLUMNAS F'C=210 KG/CM2</v>
          </cell>
          <cell r="C306" t="str">
            <v>m3</v>
          </cell>
          <cell r="D306">
            <v>15.87</v>
          </cell>
          <cell r="E306">
            <v>521.12</v>
          </cell>
          <cell r="F306">
            <v>8270.1743999999999</v>
          </cell>
          <cell r="G306">
            <v>15.65</v>
          </cell>
          <cell r="H306">
            <v>8155.5280000000002</v>
          </cell>
          <cell r="I306">
            <v>0.98613736609955893</v>
          </cell>
          <cell r="J306">
            <v>0.22</v>
          </cell>
          <cell r="K306">
            <v>114.6464</v>
          </cell>
          <cell r="L306">
            <v>1.3862633900441084E-2</v>
          </cell>
          <cell r="M306">
            <v>15.870000000000001</v>
          </cell>
          <cell r="N306">
            <v>8270.1743999999999</v>
          </cell>
          <cell r="O306">
            <v>1</v>
          </cell>
          <cell r="P306">
            <v>-1.7763568394002505E-15</v>
          </cell>
          <cell r="Q306">
            <v>0</v>
          </cell>
          <cell r="R306" t="str">
            <v>0.00%</v>
          </cell>
        </row>
        <row r="307">
          <cell r="A307" t="str">
            <v>05.04.03.02</v>
          </cell>
          <cell r="B307" t="str">
            <v>ACERO F'Y=4200 KG/CM2 GRADO 60 EN COLUMNAS</v>
          </cell>
          <cell r="C307" t="str">
            <v>kg</v>
          </cell>
          <cell r="D307">
            <v>3165.48</v>
          </cell>
          <cell r="E307">
            <v>4.5</v>
          </cell>
          <cell r="F307">
            <v>14244.66</v>
          </cell>
          <cell r="G307">
            <v>3165.48</v>
          </cell>
          <cell r="H307">
            <v>14244.66</v>
          </cell>
          <cell r="I307">
            <v>1</v>
          </cell>
          <cell r="J307">
            <v>0</v>
          </cell>
          <cell r="K307">
            <v>0</v>
          </cell>
          <cell r="L307" t="str">
            <v>0.00%</v>
          </cell>
          <cell r="M307">
            <v>3165.48</v>
          </cell>
          <cell r="N307">
            <v>14244.66</v>
          </cell>
          <cell r="O307">
            <v>1</v>
          </cell>
          <cell r="P307">
            <v>0</v>
          </cell>
          <cell r="Q307">
            <v>0</v>
          </cell>
          <cell r="R307" t="str">
            <v>0.00%</v>
          </cell>
        </row>
        <row r="308">
          <cell r="A308" t="str">
            <v>05.04.03.03</v>
          </cell>
          <cell r="B308" t="str">
            <v>ENCOFRADO Y DESENCOFRADO NORMAL EN COLUMNAS</v>
          </cell>
          <cell r="C308" t="str">
            <v>m2</v>
          </cell>
          <cell r="D308">
            <v>164.87</v>
          </cell>
          <cell r="E308">
            <v>49.71</v>
          </cell>
          <cell r="F308">
            <v>8195.6877000000004</v>
          </cell>
          <cell r="G308">
            <v>161.91999999999999</v>
          </cell>
          <cell r="H308">
            <v>8049.0431999999992</v>
          </cell>
          <cell r="I308">
            <v>0.98210711469642731</v>
          </cell>
          <cell r="J308">
            <v>2.95</v>
          </cell>
          <cell r="K308">
            <v>146.64450000000002</v>
          </cell>
          <cell r="L308">
            <v>1.7892885303572515E-2</v>
          </cell>
          <cell r="M308">
            <v>164.86999999999998</v>
          </cell>
          <cell r="N308">
            <v>8195.6876999999986</v>
          </cell>
          <cell r="O308">
            <v>0.99999999999999978</v>
          </cell>
          <cell r="P308">
            <v>2.8421709430404007E-14</v>
          </cell>
          <cell r="Q308">
            <v>1.8189894035458565E-12</v>
          </cell>
          <cell r="R308">
            <v>2.2194469459174933E-16</v>
          </cell>
        </row>
        <row r="309">
          <cell r="A309" t="str">
            <v>05.04.04</v>
          </cell>
          <cell r="B309" t="str">
            <v>COLUMNETAS</v>
          </cell>
          <cell r="C309">
            <v>0</v>
          </cell>
          <cell r="D309">
            <v>0</v>
          </cell>
          <cell r="E309">
            <v>0</v>
          </cell>
          <cell r="F309">
            <v>0</v>
          </cell>
          <cell r="G309">
            <v>0</v>
          </cell>
          <cell r="H309">
            <v>0</v>
          </cell>
          <cell r="I309">
            <v>0</v>
          </cell>
          <cell r="J309">
            <v>0</v>
          </cell>
          <cell r="K309">
            <v>0</v>
          </cell>
          <cell r="L309">
            <v>0</v>
          </cell>
          <cell r="M309">
            <v>0</v>
          </cell>
          <cell r="N309">
            <v>0</v>
          </cell>
          <cell r="O309">
            <v>0</v>
          </cell>
          <cell r="P309">
            <v>0</v>
          </cell>
          <cell r="Q309">
            <v>0</v>
          </cell>
          <cell r="R309">
            <v>0</v>
          </cell>
        </row>
        <row r="310">
          <cell r="A310" t="str">
            <v>05.04.04.01</v>
          </cell>
          <cell r="B310" t="str">
            <v>CONCRETO EN COLUMNETAS F'C=210 KG/CM2</v>
          </cell>
          <cell r="C310" t="str">
            <v>m3</v>
          </cell>
          <cell r="D310">
            <v>3.31</v>
          </cell>
          <cell r="E310">
            <v>521.12</v>
          </cell>
          <cell r="F310">
            <v>1724.9072000000001</v>
          </cell>
          <cell r="G310">
            <v>0</v>
          </cell>
          <cell r="H310">
            <v>0</v>
          </cell>
          <cell r="I310" t="str">
            <v>0.00%</v>
          </cell>
          <cell r="J310">
            <v>0</v>
          </cell>
          <cell r="K310">
            <v>0</v>
          </cell>
          <cell r="L310" t="str">
            <v>0.00%</v>
          </cell>
          <cell r="M310">
            <v>0</v>
          </cell>
          <cell r="N310">
            <v>0</v>
          </cell>
          <cell r="O310" t="str">
            <v>0.00%</v>
          </cell>
          <cell r="P310">
            <v>3.31</v>
          </cell>
          <cell r="Q310">
            <v>1724.9072000000001</v>
          </cell>
          <cell r="R310">
            <v>1</v>
          </cell>
        </row>
        <row r="311">
          <cell r="A311" t="str">
            <v>05.04.04.02</v>
          </cell>
          <cell r="B311" t="str">
            <v>ACERO F'Y=4200 KG/CM2 GRADO 60 EN COLUMNETAS</v>
          </cell>
          <cell r="C311" t="str">
            <v>kg</v>
          </cell>
          <cell r="D311">
            <v>539.55999999999995</v>
          </cell>
          <cell r="E311">
            <v>4.4400000000000004</v>
          </cell>
          <cell r="F311">
            <v>2395.6464000000001</v>
          </cell>
          <cell r="G311">
            <v>274.01920000000001</v>
          </cell>
          <cell r="H311">
            <v>1216.6452480000003</v>
          </cell>
          <cell r="I311">
            <v>0.50785677218474323</v>
          </cell>
          <cell r="J311">
            <v>0</v>
          </cell>
          <cell r="K311">
            <v>0</v>
          </cell>
          <cell r="L311" t="str">
            <v>0.00%</v>
          </cell>
          <cell r="M311">
            <v>274.01920000000001</v>
          </cell>
          <cell r="N311">
            <v>1216.6452480000003</v>
          </cell>
          <cell r="O311">
            <v>0.50785677218474323</v>
          </cell>
          <cell r="P311">
            <v>265.54079999999993</v>
          </cell>
          <cell r="Q311">
            <v>1179.0011519999998</v>
          </cell>
          <cell r="R311">
            <v>0.49214322781525677</v>
          </cell>
        </row>
        <row r="312">
          <cell r="A312" t="str">
            <v>05.04.04.03</v>
          </cell>
          <cell r="B312" t="str">
            <v>ENCOFRADO Y DESNCOFRADO NORMAL  EN COLUMNETAS</v>
          </cell>
          <cell r="C312" t="str">
            <v>m2</v>
          </cell>
          <cell r="D312">
            <v>31.76</v>
          </cell>
          <cell r="E312">
            <v>49.71</v>
          </cell>
          <cell r="F312">
            <v>1578.7896000000001</v>
          </cell>
          <cell r="G312">
            <v>0</v>
          </cell>
          <cell r="H312">
            <v>0</v>
          </cell>
          <cell r="I312" t="str">
            <v>0.00%</v>
          </cell>
          <cell r="J312">
            <v>0</v>
          </cell>
          <cell r="K312">
            <v>0</v>
          </cell>
          <cell r="L312" t="str">
            <v>0.00%</v>
          </cell>
          <cell r="M312">
            <v>0</v>
          </cell>
          <cell r="N312">
            <v>0</v>
          </cell>
          <cell r="O312" t="str">
            <v>0.00%</v>
          </cell>
          <cell r="P312">
            <v>31.76</v>
          </cell>
          <cell r="Q312">
            <v>1578.7896000000001</v>
          </cell>
          <cell r="R312">
            <v>1</v>
          </cell>
        </row>
        <row r="313">
          <cell r="A313" t="str">
            <v>05.04.05</v>
          </cell>
          <cell r="B313" t="str">
            <v>VIGAS</v>
          </cell>
          <cell r="C313">
            <v>0</v>
          </cell>
          <cell r="D313">
            <v>0</v>
          </cell>
          <cell r="E313">
            <v>0</v>
          </cell>
          <cell r="F313">
            <v>0</v>
          </cell>
          <cell r="G313">
            <v>0</v>
          </cell>
          <cell r="H313">
            <v>0</v>
          </cell>
          <cell r="I313">
            <v>0</v>
          </cell>
          <cell r="J313">
            <v>0</v>
          </cell>
          <cell r="K313">
            <v>0</v>
          </cell>
          <cell r="L313">
            <v>0</v>
          </cell>
          <cell r="M313">
            <v>0</v>
          </cell>
          <cell r="N313">
            <v>0</v>
          </cell>
          <cell r="O313">
            <v>0</v>
          </cell>
          <cell r="P313">
            <v>0</v>
          </cell>
          <cell r="Q313">
            <v>0</v>
          </cell>
          <cell r="R313">
            <v>0</v>
          </cell>
        </row>
        <row r="314">
          <cell r="A314" t="str">
            <v>05.04.05.01</v>
          </cell>
          <cell r="B314" t="str">
            <v>CONCRETO EN VIGAS F'C=210 KG/CM2</v>
          </cell>
          <cell r="C314" t="str">
            <v>m3</v>
          </cell>
          <cell r="D314">
            <v>15.51</v>
          </cell>
          <cell r="E314">
            <v>486.07</v>
          </cell>
          <cell r="F314">
            <v>7538.9457000000002</v>
          </cell>
          <cell r="G314">
            <v>6.5911</v>
          </cell>
          <cell r="H314">
            <v>3203.7359769999998</v>
          </cell>
          <cell r="I314">
            <v>0.42495809155383618</v>
          </cell>
          <cell r="J314">
            <v>8.9189000000000007</v>
          </cell>
          <cell r="K314">
            <v>4335.2097229999999</v>
          </cell>
          <cell r="L314">
            <v>0.57504190844616376</v>
          </cell>
          <cell r="M314">
            <v>15.510000000000002</v>
          </cell>
          <cell r="N314">
            <v>7538.9457000000002</v>
          </cell>
          <cell r="O314">
            <v>1</v>
          </cell>
          <cell r="P314">
            <v>-1.7763568394002505E-15</v>
          </cell>
          <cell r="Q314">
            <v>0</v>
          </cell>
          <cell r="R314" t="str">
            <v>0.00%</v>
          </cell>
        </row>
        <row r="315">
          <cell r="A315" t="str">
            <v>05.04.05.02</v>
          </cell>
          <cell r="B315" t="str">
            <v>ACERO F'Y=4200 KG/CM2 GRADO 60 EN VIGAS</v>
          </cell>
          <cell r="C315" t="str">
            <v>kg</v>
          </cell>
          <cell r="D315">
            <v>2398.13</v>
          </cell>
          <cell r="E315">
            <v>4.5</v>
          </cell>
          <cell r="F315">
            <v>10791.585000000001</v>
          </cell>
          <cell r="G315">
            <v>964.0354000000001</v>
          </cell>
          <cell r="H315">
            <v>4338.1593000000003</v>
          </cell>
          <cell r="I315">
            <v>0.40199463748837633</v>
          </cell>
          <cell r="J315">
            <v>1434.09</v>
          </cell>
          <cell r="K315">
            <v>6453.4049999999997</v>
          </cell>
          <cell r="L315">
            <v>0.59800344435038966</v>
          </cell>
          <cell r="M315">
            <v>2398.1253999999999</v>
          </cell>
          <cell r="N315">
            <v>10791.5643</v>
          </cell>
          <cell r="O315">
            <v>0.99999808183876593</v>
          </cell>
          <cell r="P315">
            <v>4.6000000002095476E-3</v>
          </cell>
          <cell r="Q315">
            <v>2.0700000000942964E-2</v>
          </cell>
          <cell r="R315">
            <v>1.9181612340488411E-6</v>
          </cell>
        </row>
        <row r="316">
          <cell r="A316" t="str">
            <v>05.04.05.03</v>
          </cell>
          <cell r="B316" t="str">
            <v>ENCOFRADO Y DESNCOFRADO NORMAL EN VIGAS</v>
          </cell>
          <cell r="C316" t="str">
            <v>m2</v>
          </cell>
          <cell r="D316">
            <v>100.49</v>
          </cell>
          <cell r="E316">
            <v>54.02</v>
          </cell>
          <cell r="F316">
            <v>5428.4697999999999</v>
          </cell>
          <cell r="G316">
            <v>71.216500000000039</v>
          </cell>
          <cell r="H316">
            <v>3847.1153300000024</v>
          </cell>
          <cell r="I316">
            <v>0.70869240720469739</v>
          </cell>
          <cell r="J316">
            <v>29.273420000000002</v>
          </cell>
          <cell r="K316">
            <v>1581.3501484000001</v>
          </cell>
          <cell r="L316">
            <v>0.2913067966961887</v>
          </cell>
          <cell r="M316">
            <v>100.48992000000004</v>
          </cell>
          <cell r="N316">
            <v>5428.4654784000022</v>
          </cell>
          <cell r="O316">
            <v>0.99999920390088615</v>
          </cell>
          <cell r="P316">
            <v>7.9999999954338818E-5</v>
          </cell>
          <cell r="Q316">
            <v>4.3215999976382591E-3</v>
          </cell>
          <cell r="R316">
            <v>7.9609911390466967E-7</v>
          </cell>
        </row>
        <row r="317">
          <cell r="A317" t="str">
            <v>05.04.06</v>
          </cell>
          <cell r="B317" t="str">
            <v>VIGUETAS DE VANOS</v>
          </cell>
          <cell r="C317">
            <v>0</v>
          </cell>
          <cell r="D317">
            <v>0</v>
          </cell>
          <cell r="E317">
            <v>0</v>
          </cell>
          <cell r="F317">
            <v>0</v>
          </cell>
          <cell r="G317">
            <v>0</v>
          </cell>
          <cell r="H317">
            <v>0</v>
          </cell>
          <cell r="I317">
            <v>0</v>
          </cell>
          <cell r="J317">
            <v>0</v>
          </cell>
          <cell r="K317">
            <v>0</v>
          </cell>
          <cell r="L317">
            <v>0</v>
          </cell>
          <cell r="M317">
            <v>0</v>
          </cell>
          <cell r="N317">
            <v>0</v>
          </cell>
          <cell r="O317">
            <v>0</v>
          </cell>
          <cell r="P317">
            <v>0</v>
          </cell>
          <cell r="Q317">
            <v>0</v>
          </cell>
          <cell r="R317">
            <v>0</v>
          </cell>
        </row>
        <row r="318">
          <cell r="A318" t="str">
            <v>05.04.06.01</v>
          </cell>
          <cell r="B318" t="str">
            <v>CONCRETO EN VIGUETAS DE VANO F'C=175 KG/CM2</v>
          </cell>
          <cell r="C318" t="str">
            <v>m3</v>
          </cell>
          <cell r="D318">
            <v>2.4</v>
          </cell>
          <cell r="E318">
            <v>271.35000000000002</v>
          </cell>
          <cell r="F318">
            <v>651.24</v>
          </cell>
          <cell r="G318">
            <v>0</v>
          </cell>
          <cell r="H318">
            <v>0</v>
          </cell>
          <cell r="I318" t="str">
            <v>0.00%</v>
          </cell>
          <cell r="J318">
            <v>0</v>
          </cell>
          <cell r="K318">
            <v>0</v>
          </cell>
          <cell r="L318" t="str">
            <v>0.00%</v>
          </cell>
          <cell r="M318">
            <v>0</v>
          </cell>
          <cell r="N318">
            <v>0</v>
          </cell>
          <cell r="O318" t="str">
            <v>0.00%</v>
          </cell>
          <cell r="P318">
            <v>2.4</v>
          </cell>
          <cell r="Q318">
            <v>651.24</v>
          </cell>
          <cell r="R318">
            <v>1</v>
          </cell>
        </row>
        <row r="319">
          <cell r="A319" t="str">
            <v>05.04.06.02</v>
          </cell>
          <cell r="B319" t="str">
            <v>ACERO GRADO 60 EN VIGUETAS DE VANO</v>
          </cell>
          <cell r="C319" t="str">
            <v>kg</v>
          </cell>
          <cell r="D319">
            <v>194.18</v>
          </cell>
          <cell r="E319">
            <v>4.5</v>
          </cell>
          <cell r="F319">
            <v>873.81000000000006</v>
          </cell>
          <cell r="G319">
            <v>0</v>
          </cell>
          <cell r="H319">
            <v>0</v>
          </cell>
          <cell r="I319" t="str">
            <v>0.00%</v>
          </cell>
          <cell r="J319">
            <v>0</v>
          </cell>
          <cell r="K319">
            <v>0</v>
          </cell>
          <cell r="L319" t="str">
            <v>0.00%</v>
          </cell>
          <cell r="M319">
            <v>0</v>
          </cell>
          <cell r="N319">
            <v>0</v>
          </cell>
          <cell r="O319" t="str">
            <v>0.00%</v>
          </cell>
          <cell r="P319">
            <v>194.18</v>
          </cell>
          <cell r="Q319">
            <v>873.81000000000006</v>
          </cell>
          <cell r="R319">
            <v>1</v>
          </cell>
        </row>
        <row r="320">
          <cell r="A320" t="str">
            <v>05.04.06.03</v>
          </cell>
          <cell r="B320" t="str">
            <v>ENCOFRADO Y DESENCOFRADO EN VIGUETAS DE VANO</v>
          </cell>
          <cell r="C320" t="str">
            <v>m2</v>
          </cell>
          <cell r="D320">
            <v>35.159999999999997</v>
          </cell>
          <cell r="E320">
            <v>41.63</v>
          </cell>
          <cell r="F320">
            <v>1463.7107999999998</v>
          </cell>
          <cell r="G320">
            <v>0</v>
          </cell>
          <cell r="H320">
            <v>0</v>
          </cell>
          <cell r="I320" t="str">
            <v>0.00%</v>
          </cell>
          <cell r="J320">
            <v>0</v>
          </cell>
          <cell r="K320">
            <v>0</v>
          </cell>
          <cell r="L320" t="str">
            <v>0.00%</v>
          </cell>
          <cell r="M320">
            <v>0</v>
          </cell>
          <cell r="N320">
            <v>0</v>
          </cell>
          <cell r="O320" t="str">
            <v>0.00%</v>
          </cell>
          <cell r="P320">
            <v>35.159999999999997</v>
          </cell>
          <cell r="Q320">
            <v>1463.7107999999998</v>
          </cell>
          <cell r="R320">
            <v>1</v>
          </cell>
        </row>
        <row r="321">
          <cell r="A321" t="str">
            <v>05.04.07</v>
          </cell>
          <cell r="B321" t="str">
            <v>LOSAS ALIGERADAS</v>
          </cell>
          <cell r="C321">
            <v>0</v>
          </cell>
          <cell r="D321">
            <v>0</v>
          </cell>
          <cell r="E321">
            <v>0</v>
          </cell>
          <cell r="F321">
            <v>0</v>
          </cell>
          <cell r="G321">
            <v>0</v>
          </cell>
          <cell r="H321">
            <v>0</v>
          </cell>
          <cell r="I321">
            <v>0</v>
          </cell>
          <cell r="J321">
            <v>0</v>
          </cell>
          <cell r="K321">
            <v>0</v>
          </cell>
          <cell r="L321">
            <v>0</v>
          </cell>
          <cell r="M321">
            <v>0</v>
          </cell>
          <cell r="N321">
            <v>0</v>
          </cell>
          <cell r="O321">
            <v>0</v>
          </cell>
          <cell r="P321">
            <v>0</v>
          </cell>
          <cell r="Q321">
            <v>0</v>
          </cell>
          <cell r="R321">
            <v>0</v>
          </cell>
        </row>
        <row r="322">
          <cell r="A322" t="str">
            <v>05.04.07.01</v>
          </cell>
          <cell r="B322" t="str">
            <v>CONCRETO EN LOSAS ALIGERADAS F'C=210 KG/CM2</v>
          </cell>
          <cell r="C322" t="str">
            <v>m3</v>
          </cell>
          <cell r="D322">
            <v>16.05</v>
          </cell>
          <cell r="E322">
            <v>487.24</v>
          </cell>
          <cell r="F322">
            <v>7820.2020000000002</v>
          </cell>
          <cell r="G322">
            <v>6.8556749999999997</v>
          </cell>
          <cell r="H322">
            <v>3340.3590869999998</v>
          </cell>
          <cell r="I322">
            <v>0.42714485981308409</v>
          </cell>
          <cell r="J322">
            <v>9.1943199999999994</v>
          </cell>
          <cell r="K322">
            <v>4479.8404768</v>
          </cell>
          <cell r="L322">
            <v>0.57285482866043613</v>
          </cell>
          <cell r="M322">
            <v>16.049994999999999</v>
          </cell>
          <cell r="N322">
            <v>7820.1995637999999</v>
          </cell>
          <cell r="O322">
            <v>0.99999968847352017</v>
          </cell>
          <cell r="P322">
            <v>5.0000000015870683E-6</v>
          </cell>
          <cell r="Q322">
            <v>2.4362000003748108E-3</v>
          </cell>
          <cell r="R322">
            <v>3.1152647979870736E-7</v>
          </cell>
        </row>
        <row r="323">
          <cell r="A323" t="str">
            <v>05.04.07.02</v>
          </cell>
          <cell r="B323" t="str">
            <v>ACERO F'Y=4200 KG/CM2 GRADO 60 EN LOSAS ALIGERADAS</v>
          </cell>
          <cell r="C323" t="str">
            <v>kg</v>
          </cell>
          <cell r="D323">
            <v>1141.21</v>
          </cell>
          <cell r="E323">
            <v>4.5</v>
          </cell>
          <cell r="F323">
            <v>5135.4449999999997</v>
          </cell>
          <cell r="G323">
            <v>532.48059999999998</v>
          </cell>
          <cell r="H323">
            <v>2396.1626999999999</v>
          </cell>
          <cell r="I323">
            <v>0.46659300216436939</v>
          </cell>
          <cell r="J323">
            <v>608.72900000000004</v>
          </cell>
          <cell r="K323">
            <v>2739.2805000000003</v>
          </cell>
          <cell r="L323">
            <v>0.53340664733046517</v>
          </cell>
          <cell r="M323">
            <v>1141.2096000000001</v>
          </cell>
          <cell r="N323">
            <v>5135.4431999999997</v>
          </cell>
          <cell r="O323">
            <v>0.99999964949483444</v>
          </cell>
          <cell r="P323">
            <v>3.9999999989959178E-4</v>
          </cell>
          <cell r="Q323">
            <v>1.8000000000029104E-3</v>
          </cell>
          <cell r="R323">
            <v>3.5050516557044431E-7</v>
          </cell>
        </row>
        <row r="324">
          <cell r="A324" t="str">
            <v>05.04.07.03</v>
          </cell>
          <cell r="B324" t="str">
            <v>ENCOFRADO Y DESENCOFRADO NORMAL EN LOSAS ALIGERADAS</v>
          </cell>
          <cell r="C324" t="str">
            <v>m2</v>
          </cell>
          <cell r="D324">
            <v>163.34</v>
          </cell>
          <cell r="E324">
            <v>29.08</v>
          </cell>
          <cell r="F324">
            <v>4749.9272000000001</v>
          </cell>
          <cell r="G324">
            <v>78.508499999999998</v>
          </cell>
          <cell r="H324">
            <v>2283.0271799999996</v>
          </cell>
          <cell r="I324">
            <v>0.48064466756458912</v>
          </cell>
          <cell r="J324">
            <v>84.831500000000005</v>
          </cell>
          <cell r="K324">
            <v>2466.90002</v>
          </cell>
          <cell r="L324">
            <v>0.51935533243541077</v>
          </cell>
          <cell r="M324">
            <v>163.34</v>
          </cell>
          <cell r="N324">
            <v>4749.9272000000001</v>
          </cell>
          <cell r="O324">
            <v>1</v>
          </cell>
          <cell r="P324">
            <v>0</v>
          </cell>
          <cell r="Q324">
            <v>0</v>
          </cell>
          <cell r="R324" t="str">
            <v>0.00%</v>
          </cell>
        </row>
        <row r="325">
          <cell r="A325" t="str">
            <v>05.04.07.04</v>
          </cell>
          <cell r="B325" t="str">
            <v>LADRILLO DE ARCILLA HUECO 15X30X30 PARA TECHO</v>
          </cell>
          <cell r="C325" t="str">
            <v>und</v>
          </cell>
          <cell r="D325">
            <v>1360.63</v>
          </cell>
          <cell r="E325">
            <v>4.66</v>
          </cell>
          <cell r="F325">
            <v>6340.5358000000006</v>
          </cell>
          <cell r="G325">
            <v>653.97580500000004</v>
          </cell>
          <cell r="H325">
            <v>3047.5272513000004</v>
          </cell>
          <cell r="I325">
            <v>0.48064191220243568</v>
          </cell>
          <cell r="J325">
            <v>706.65350000000001</v>
          </cell>
          <cell r="K325">
            <v>3293.00531</v>
          </cell>
          <cell r="L325">
            <v>0.51935757700476981</v>
          </cell>
          <cell r="M325">
            <v>1360.6293049999999</v>
          </cell>
          <cell r="N325">
            <v>6340.5325613000005</v>
          </cell>
          <cell r="O325">
            <v>0.99999948920720549</v>
          </cell>
          <cell r="P325">
            <v>6.9500000017796992E-4</v>
          </cell>
          <cell r="Q325">
            <v>3.238700000110839E-3</v>
          </cell>
          <cell r="R325">
            <v>5.1079279453178683E-7</v>
          </cell>
        </row>
        <row r="326">
          <cell r="A326" t="str">
            <v>05.04.08</v>
          </cell>
          <cell r="B326" t="str">
            <v>ESCALERAS</v>
          </cell>
          <cell r="C326">
            <v>0</v>
          </cell>
          <cell r="D326">
            <v>0</v>
          </cell>
          <cell r="E326">
            <v>0</v>
          </cell>
          <cell r="F326">
            <v>0</v>
          </cell>
          <cell r="G326">
            <v>0</v>
          </cell>
          <cell r="H326">
            <v>0</v>
          </cell>
          <cell r="I326">
            <v>0</v>
          </cell>
          <cell r="J326">
            <v>0</v>
          </cell>
          <cell r="K326">
            <v>0</v>
          </cell>
          <cell r="L326">
            <v>0</v>
          </cell>
          <cell r="M326">
            <v>0</v>
          </cell>
          <cell r="N326">
            <v>0</v>
          </cell>
          <cell r="O326">
            <v>0</v>
          </cell>
          <cell r="P326">
            <v>0</v>
          </cell>
          <cell r="Q326">
            <v>0</v>
          </cell>
          <cell r="R326">
            <v>0</v>
          </cell>
        </row>
        <row r="327">
          <cell r="A327" t="str">
            <v>05.04.08.01</v>
          </cell>
          <cell r="B327" t="str">
            <v>CONCRETO EN ESCALERAS F'C=210 KG/CM2</v>
          </cell>
          <cell r="C327" t="str">
            <v>m3</v>
          </cell>
          <cell r="D327">
            <v>6.72</v>
          </cell>
          <cell r="E327">
            <v>453.78</v>
          </cell>
          <cell r="F327">
            <v>3049.4015999999997</v>
          </cell>
          <cell r="G327">
            <v>0</v>
          </cell>
          <cell r="H327">
            <v>0</v>
          </cell>
          <cell r="I327" t="str">
            <v>0.00%</v>
          </cell>
          <cell r="J327">
            <v>0</v>
          </cell>
          <cell r="K327">
            <v>0</v>
          </cell>
          <cell r="L327" t="str">
            <v>0.00%</v>
          </cell>
          <cell r="M327">
            <v>0</v>
          </cell>
          <cell r="N327">
            <v>0</v>
          </cell>
          <cell r="O327" t="str">
            <v>0.00%</v>
          </cell>
          <cell r="P327">
            <v>6.72</v>
          </cell>
          <cell r="Q327">
            <v>3049.4015999999997</v>
          </cell>
          <cell r="R327">
            <v>1</v>
          </cell>
        </row>
        <row r="328">
          <cell r="A328" t="str">
            <v>05.04.08.02</v>
          </cell>
          <cell r="B328" t="str">
            <v>ACERO F'Y=4200 KG/CM2 GRADO 60 EN ESCALERAS</v>
          </cell>
          <cell r="C328" t="str">
            <v>kg</v>
          </cell>
          <cell r="D328">
            <v>430.79</v>
          </cell>
          <cell r="E328">
            <v>4.4400000000000004</v>
          </cell>
          <cell r="F328">
            <v>1912.7076000000002</v>
          </cell>
          <cell r="G328">
            <v>0</v>
          </cell>
          <cell r="H328">
            <v>0</v>
          </cell>
          <cell r="I328" t="str">
            <v>0.00%</v>
          </cell>
          <cell r="J328">
            <v>0</v>
          </cell>
          <cell r="K328">
            <v>0</v>
          </cell>
          <cell r="L328" t="str">
            <v>0.00%</v>
          </cell>
          <cell r="M328">
            <v>0</v>
          </cell>
          <cell r="N328">
            <v>0</v>
          </cell>
          <cell r="O328" t="str">
            <v>0.00%</v>
          </cell>
          <cell r="P328">
            <v>430.79</v>
          </cell>
          <cell r="Q328">
            <v>1912.7076000000002</v>
          </cell>
          <cell r="R328">
            <v>1</v>
          </cell>
        </row>
        <row r="329">
          <cell r="A329" t="str">
            <v>05.04.08.03</v>
          </cell>
          <cell r="B329" t="str">
            <v>ENCOFRADO Y DESENCOFRADO NORMAL EN ESCALERAS</v>
          </cell>
          <cell r="C329" t="str">
            <v>m2</v>
          </cell>
          <cell r="D329">
            <v>12.8</v>
          </cell>
          <cell r="E329">
            <v>35.26</v>
          </cell>
          <cell r="F329">
            <v>451.32799999999997</v>
          </cell>
          <cell r="G329">
            <v>0</v>
          </cell>
          <cell r="H329">
            <v>0</v>
          </cell>
          <cell r="I329" t="str">
            <v>0.00%</v>
          </cell>
          <cell r="J329">
            <v>0</v>
          </cell>
          <cell r="K329">
            <v>0</v>
          </cell>
          <cell r="L329" t="str">
            <v>0.00%</v>
          </cell>
          <cell r="M329">
            <v>0</v>
          </cell>
          <cell r="N329">
            <v>0</v>
          </cell>
          <cell r="O329" t="str">
            <v>0.00%</v>
          </cell>
          <cell r="P329">
            <v>12.8</v>
          </cell>
          <cell r="Q329">
            <v>451.32799999999997</v>
          </cell>
          <cell r="R329">
            <v>1</v>
          </cell>
        </row>
        <row r="330">
          <cell r="A330" t="str">
            <v>05.04.09</v>
          </cell>
          <cell r="B330" t="str">
            <v>PLACAS</v>
          </cell>
          <cell r="C330">
            <v>0</v>
          </cell>
          <cell r="D330">
            <v>0</v>
          </cell>
          <cell r="E330">
            <v>0</v>
          </cell>
          <cell r="F330">
            <v>0</v>
          </cell>
          <cell r="G330">
            <v>0</v>
          </cell>
          <cell r="H330">
            <v>0</v>
          </cell>
          <cell r="I330">
            <v>0</v>
          </cell>
          <cell r="J330">
            <v>0</v>
          </cell>
          <cell r="K330">
            <v>0</v>
          </cell>
          <cell r="L330">
            <v>0</v>
          </cell>
          <cell r="M330">
            <v>0</v>
          </cell>
          <cell r="N330">
            <v>0</v>
          </cell>
          <cell r="O330">
            <v>0</v>
          </cell>
          <cell r="P330">
            <v>0</v>
          </cell>
          <cell r="Q330">
            <v>0</v>
          </cell>
          <cell r="R330">
            <v>0</v>
          </cell>
        </row>
        <row r="331">
          <cell r="A331" t="str">
            <v>05.04.09.01</v>
          </cell>
          <cell r="B331" t="str">
            <v>CONCRETO EN PLACAS F'C= 210 KG/CM2</v>
          </cell>
          <cell r="C331" t="str">
            <v>m3</v>
          </cell>
          <cell r="D331">
            <v>15.81</v>
          </cell>
          <cell r="E331">
            <v>547.66</v>
          </cell>
          <cell r="F331">
            <v>8658.5046000000002</v>
          </cell>
          <cell r="G331">
            <v>15.611000000000001</v>
          </cell>
          <cell r="H331">
            <v>8549.5202599999993</v>
          </cell>
          <cell r="I331">
            <v>0.98741302972802014</v>
          </cell>
          <cell r="J331">
            <v>0</v>
          </cell>
          <cell r="K331">
            <v>0</v>
          </cell>
          <cell r="L331" t="str">
            <v>0.00%</v>
          </cell>
          <cell r="M331">
            <v>15.611000000000001</v>
          </cell>
          <cell r="N331">
            <v>8549.5202599999993</v>
          </cell>
          <cell r="O331">
            <v>0.98741302972802014</v>
          </cell>
          <cell r="P331">
            <v>0.19899999999999984</v>
          </cell>
          <cell r="Q331">
            <v>108.98434000000088</v>
          </cell>
          <cell r="R331">
            <v>1.2586970271979862E-2</v>
          </cell>
        </row>
        <row r="332">
          <cell r="A332" t="str">
            <v>05.04.09.02</v>
          </cell>
          <cell r="B332" t="str">
            <v>ACERO F'Y=4200 KG/CM2 EN PLACAS</v>
          </cell>
          <cell r="C332" t="str">
            <v>kg</v>
          </cell>
          <cell r="D332">
            <v>1898.36</v>
          </cell>
          <cell r="E332">
            <v>4.04</v>
          </cell>
          <cell r="F332">
            <v>7669.3743999999997</v>
          </cell>
          <cell r="G332">
            <v>1898.36</v>
          </cell>
          <cell r="H332">
            <v>7669.3743999999997</v>
          </cell>
          <cell r="I332">
            <v>1</v>
          </cell>
          <cell r="J332">
            <v>0</v>
          </cell>
          <cell r="K332">
            <v>0</v>
          </cell>
          <cell r="L332" t="str">
            <v>0.00%</v>
          </cell>
          <cell r="M332">
            <v>1898.36</v>
          </cell>
          <cell r="N332">
            <v>7669.3743999999997</v>
          </cell>
          <cell r="O332">
            <v>1</v>
          </cell>
          <cell r="P332">
            <v>0</v>
          </cell>
          <cell r="Q332">
            <v>0</v>
          </cell>
          <cell r="R332" t="str">
            <v>0.00%</v>
          </cell>
        </row>
        <row r="333">
          <cell r="A333" t="str">
            <v>05.04.09.03</v>
          </cell>
          <cell r="B333" t="str">
            <v>ENCOFRADO Y DESENCOF EN PLACAS</v>
          </cell>
          <cell r="C333" t="str">
            <v>m2</v>
          </cell>
          <cell r="D333">
            <v>109.51</v>
          </cell>
          <cell r="E333">
            <v>38.049999999999997</v>
          </cell>
          <cell r="F333">
            <v>4166.8554999999997</v>
          </cell>
          <cell r="G333">
            <v>109.51</v>
          </cell>
          <cell r="H333">
            <v>4166.8554999999997</v>
          </cell>
          <cell r="I333">
            <v>1</v>
          </cell>
          <cell r="J333">
            <v>0</v>
          </cell>
          <cell r="K333">
            <v>0</v>
          </cell>
          <cell r="L333" t="str">
            <v>0.00%</v>
          </cell>
          <cell r="M333">
            <v>109.51</v>
          </cell>
          <cell r="N333">
            <v>4166.8554999999997</v>
          </cell>
          <cell r="O333">
            <v>1</v>
          </cell>
          <cell r="P333">
            <v>0</v>
          </cell>
          <cell r="Q333">
            <v>0</v>
          </cell>
          <cell r="R333" t="str">
            <v>0.00%</v>
          </cell>
        </row>
        <row r="334">
          <cell r="A334" t="str">
            <v>05.04.10</v>
          </cell>
          <cell r="B334" t="str">
            <v>CUNETA DE  EVACUACION PLUVIAL EN TECHO</v>
          </cell>
          <cell r="C334">
            <v>0</v>
          </cell>
          <cell r="D334">
            <v>0</v>
          </cell>
          <cell r="E334">
            <v>0</v>
          </cell>
          <cell r="F334">
            <v>0</v>
          </cell>
          <cell r="G334">
            <v>0</v>
          </cell>
          <cell r="H334">
            <v>0</v>
          </cell>
          <cell r="I334">
            <v>0</v>
          </cell>
          <cell r="J334">
            <v>0</v>
          </cell>
          <cell r="K334">
            <v>0</v>
          </cell>
          <cell r="L334">
            <v>0</v>
          </cell>
          <cell r="M334">
            <v>0</v>
          </cell>
          <cell r="N334">
            <v>0</v>
          </cell>
          <cell r="O334">
            <v>0</v>
          </cell>
          <cell r="P334">
            <v>0</v>
          </cell>
          <cell r="Q334">
            <v>0</v>
          </cell>
          <cell r="R334">
            <v>0</v>
          </cell>
        </row>
        <row r="335">
          <cell r="A335" t="str">
            <v>05.04.10.01</v>
          </cell>
          <cell r="B335" t="str">
            <v>CONCRETO EN CUNETA F'C= 210 KG/CM2</v>
          </cell>
          <cell r="C335" t="str">
            <v>m3</v>
          </cell>
          <cell r="D335">
            <v>1.63</v>
          </cell>
          <cell r="E335">
            <v>482.39</v>
          </cell>
          <cell r="F335">
            <v>786.2956999999999</v>
          </cell>
          <cell r="G335">
            <v>0</v>
          </cell>
          <cell r="H335">
            <v>0</v>
          </cell>
          <cell r="I335" t="str">
            <v>0.00%</v>
          </cell>
          <cell r="J335">
            <v>1.63</v>
          </cell>
          <cell r="K335">
            <v>786.2956999999999</v>
          </cell>
          <cell r="L335">
            <v>1</v>
          </cell>
          <cell r="M335">
            <v>1.63</v>
          </cell>
          <cell r="N335">
            <v>786.2956999999999</v>
          </cell>
          <cell r="O335">
            <v>1</v>
          </cell>
          <cell r="P335">
            <v>0</v>
          </cell>
          <cell r="Q335">
            <v>0</v>
          </cell>
          <cell r="R335" t="str">
            <v>0.00%</v>
          </cell>
        </row>
        <row r="336">
          <cell r="A336" t="str">
            <v>05.04.10.02</v>
          </cell>
          <cell r="B336" t="str">
            <v>ACERO F'Y=4200 KG/CM2 GRADO 60 EN CUNETA</v>
          </cell>
          <cell r="C336" t="str">
            <v>kg</v>
          </cell>
          <cell r="D336">
            <v>138.55000000000001</v>
          </cell>
          <cell r="E336">
            <v>4.4400000000000004</v>
          </cell>
          <cell r="F336">
            <v>615.16200000000015</v>
          </cell>
          <cell r="G336">
            <v>0</v>
          </cell>
          <cell r="H336">
            <v>0</v>
          </cell>
          <cell r="I336" t="str">
            <v>0.00%</v>
          </cell>
          <cell r="J336">
            <v>138.55000000000001</v>
          </cell>
          <cell r="K336">
            <v>615.16200000000015</v>
          </cell>
          <cell r="L336">
            <v>1</v>
          </cell>
          <cell r="M336">
            <v>138.55000000000001</v>
          </cell>
          <cell r="N336">
            <v>615.16200000000015</v>
          </cell>
          <cell r="O336">
            <v>1</v>
          </cell>
          <cell r="P336">
            <v>0</v>
          </cell>
          <cell r="Q336">
            <v>0</v>
          </cell>
          <cell r="R336" t="str">
            <v>0.00%</v>
          </cell>
        </row>
        <row r="337">
          <cell r="A337" t="str">
            <v>05.04.10.03</v>
          </cell>
          <cell r="B337" t="str">
            <v>ENCOFRADO Y DESENCOFRADO NORMAL EN CUNETAS</v>
          </cell>
          <cell r="C337" t="str">
            <v>m2</v>
          </cell>
          <cell r="D337">
            <v>32.54</v>
          </cell>
          <cell r="E337">
            <v>44.85</v>
          </cell>
          <cell r="F337">
            <v>1459.4190000000001</v>
          </cell>
          <cell r="G337">
            <v>0</v>
          </cell>
          <cell r="H337">
            <v>0</v>
          </cell>
          <cell r="I337" t="str">
            <v>0.00%</v>
          </cell>
          <cell r="J337">
            <v>32.54</v>
          </cell>
          <cell r="K337">
            <v>1459.4190000000001</v>
          </cell>
          <cell r="L337">
            <v>1</v>
          </cell>
          <cell r="M337">
            <v>32.54</v>
          </cell>
          <cell r="N337">
            <v>1459.4190000000001</v>
          </cell>
          <cell r="O337">
            <v>1</v>
          </cell>
          <cell r="P337">
            <v>0</v>
          </cell>
          <cell r="Q337">
            <v>0</v>
          </cell>
          <cell r="R337" t="str">
            <v>0.00%</v>
          </cell>
        </row>
        <row r="338">
          <cell r="A338" t="str">
            <v>05.04.11</v>
          </cell>
          <cell r="B338" t="str">
            <v>MARCO DE VENTANA DE CONCRETO</v>
          </cell>
          <cell r="C338">
            <v>0</v>
          </cell>
          <cell r="D338">
            <v>0</v>
          </cell>
          <cell r="E338">
            <v>0</v>
          </cell>
          <cell r="F338">
            <v>0</v>
          </cell>
          <cell r="G338">
            <v>0</v>
          </cell>
          <cell r="H338">
            <v>0</v>
          </cell>
          <cell r="I338">
            <v>0</v>
          </cell>
          <cell r="J338">
            <v>0</v>
          </cell>
          <cell r="K338">
            <v>0</v>
          </cell>
          <cell r="L338">
            <v>0</v>
          </cell>
          <cell r="M338">
            <v>0</v>
          </cell>
          <cell r="N338">
            <v>0</v>
          </cell>
          <cell r="O338">
            <v>0</v>
          </cell>
          <cell r="P338">
            <v>0</v>
          </cell>
          <cell r="Q338">
            <v>0</v>
          </cell>
          <cell r="R338">
            <v>0</v>
          </cell>
        </row>
        <row r="339">
          <cell r="A339" t="str">
            <v>05.04.11.01</v>
          </cell>
          <cell r="B339" t="str">
            <v>CONCRETO F'C= 175 KG/CM2 EN MARCO DE VENTANA</v>
          </cell>
          <cell r="C339" t="str">
            <v>m3</v>
          </cell>
          <cell r="D339">
            <v>0.36</v>
          </cell>
          <cell r="E339">
            <v>462.25</v>
          </cell>
          <cell r="F339">
            <v>166.41</v>
          </cell>
          <cell r="G339">
            <v>0</v>
          </cell>
          <cell r="H339">
            <v>0</v>
          </cell>
          <cell r="I339" t="str">
            <v>0.00%</v>
          </cell>
          <cell r="J339">
            <v>0</v>
          </cell>
          <cell r="K339">
            <v>0</v>
          </cell>
          <cell r="L339" t="str">
            <v>0.00%</v>
          </cell>
          <cell r="M339">
            <v>0</v>
          </cell>
          <cell r="N339">
            <v>0</v>
          </cell>
          <cell r="O339" t="str">
            <v>0.00%</v>
          </cell>
          <cell r="P339">
            <v>0.36</v>
          </cell>
          <cell r="Q339">
            <v>166.41</v>
          </cell>
          <cell r="R339">
            <v>1</v>
          </cell>
        </row>
        <row r="340">
          <cell r="A340" t="str">
            <v>05.04.11.02</v>
          </cell>
          <cell r="B340" t="str">
            <v>ACERO F'Y=4200 KG/CM2 GRADO 60 EN MARCO DE VENTANA</v>
          </cell>
          <cell r="C340" t="str">
            <v>kg</v>
          </cell>
          <cell r="D340">
            <v>86.4</v>
          </cell>
          <cell r="E340">
            <v>4.4400000000000004</v>
          </cell>
          <cell r="F340">
            <v>383.61600000000004</v>
          </cell>
          <cell r="G340">
            <v>43.2</v>
          </cell>
          <cell r="H340">
            <v>191.80800000000002</v>
          </cell>
          <cell r="I340">
            <v>0.5</v>
          </cell>
          <cell r="J340">
            <v>0</v>
          </cell>
          <cell r="K340">
            <v>0</v>
          </cell>
          <cell r="L340" t="str">
            <v>0.00%</v>
          </cell>
          <cell r="M340">
            <v>43.2</v>
          </cell>
          <cell r="N340">
            <v>191.80800000000002</v>
          </cell>
          <cell r="O340">
            <v>0.5</v>
          </cell>
          <cell r="P340">
            <v>43.2</v>
          </cell>
          <cell r="Q340">
            <v>191.80800000000002</v>
          </cell>
          <cell r="R340">
            <v>0.5</v>
          </cell>
        </row>
        <row r="341">
          <cell r="A341" t="str">
            <v>05.04.11.03</v>
          </cell>
          <cell r="B341" t="str">
            <v>ENCOFRADO Y DESENCOFRADO EN MARCO DE VENTANA</v>
          </cell>
          <cell r="C341" t="str">
            <v>m2</v>
          </cell>
          <cell r="D341">
            <v>3.6</v>
          </cell>
          <cell r="E341">
            <v>28.78</v>
          </cell>
          <cell r="F341">
            <v>103.608</v>
          </cell>
          <cell r="G341">
            <v>0</v>
          </cell>
          <cell r="H341">
            <v>0</v>
          </cell>
          <cell r="I341" t="str">
            <v>0.00%</v>
          </cell>
          <cell r="J341">
            <v>0</v>
          </cell>
          <cell r="K341">
            <v>0</v>
          </cell>
          <cell r="L341" t="str">
            <v>0.00%</v>
          </cell>
          <cell r="M341">
            <v>0</v>
          </cell>
          <cell r="N341">
            <v>0</v>
          </cell>
          <cell r="O341" t="str">
            <v>0.00%</v>
          </cell>
          <cell r="P341">
            <v>3.6</v>
          </cell>
          <cell r="Q341">
            <v>103.608</v>
          </cell>
          <cell r="R341">
            <v>1</v>
          </cell>
        </row>
        <row r="342">
          <cell r="A342" t="str">
            <v>05.05</v>
          </cell>
          <cell r="B342" t="str">
            <v>JUNTAS DE CONSTRUCCION</v>
          </cell>
          <cell r="C342">
            <v>0</v>
          </cell>
          <cell r="D342">
            <v>0</v>
          </cell>
          <cell r="E342">
            <v>0</v>
          </cell>
          <cell r="F342">
            <v>0</v>
          </cell>
          <cell r="G342">
            <v>0</v>
          </cell>
          <cell r="H342">
            <v>0</v>
          </cell>
          <cell r="I342">
            <v>0</v>
          </cell>
          <cell r="J342">
            <v>0</v>
          </cell>
          <cell r="K342">
            <v>0</v>
          </cell>
          <cell r="L342">
            <v>0</v>
          </cell>
          <cell r="M342">
            <v>0</v>
          </cell>
          <cell r="N342">
            <v>0</v>
          </cell>
          <cell r="O342">
            <v>0</v>
          </cell>
          <cell r="P342">
            <v>0</v>
          </cell>
          <cell r="Q342">
            <v>0</v>
          </cell>
          <cell r="R342">
            <v>0</v>
          </cell>
        </row>
        <row r="343">
          <cell r="A343" t="str">
            <v>05.05.01</v>
          </cell>
          <cell r="B343" t="str">
            <v>JUNTAS DE TEKNOPOR DE  1"</v>
          </cell>
          <cell r="C343" t="str">
            <v>m</v>
          </cell>
          <cell r="D343">
            <v>6.25</v>
          </cell>
          <cell r="E343">
            <v>9.0500000000000007</v>
          </cell>
          <cell r="F343">
            <v>56.562500000000007</v>
          </cell>
          <cell r="G343">
            <v>0</v>
          </cell>
          <cell r="H343">
            <v>0</v>
          </cell>
          <cell r="I343" t="str">
            <v>0.00%</v>
          </cell>
          <cell r="J343">
            <v>0</v>
          </cell>
          <cell r="K343">
            <v>0</v>
          </cell>
          <cell r="L343" t="str">
            <v>0.00%</v>
          </cell>
          <cell r="M343">
            <v>0</v>
          </cell>
          <cell r="N343">
            <v>0</v>
          </cell>
          <cell r="O343" t="str">
            <v>0.00%</v>
          </cell>
          <cell r="P343">
            <v>6.25</v>
          </cell>
          <cell r="Q343">
            <v>56.562500000000007</v>
          </cell>
          <cell r="R343">
            <v>1</v>
          </cell>
        </row>
        <row r="344">
          <cell r="A344" t="str">
            <v>05.06</v>
          </cell>
          <cell r="B344" t="str">
            <v>PRUEBAS</v>
          </cell>
          <cell r="C344">
            <v>0</v>
          </cell>
          <cell r="D344">
            <v>0</v>
          </cell>
          <cell r="E344">
            <v>0</v>
          </cell>
          <cell r="F344">
            <v>0</v>
          </cell>
          <cell r="G344">
            <v>0</v>
          </cell>
          <cell r="H344">
            <v>0</v>
          </cell>
          <cell r="I344">
            <v>0</v>
          </cell>
          <cell r="J344">
            <v>0</v>
          </cell>
          <cell r="K344">
            <v>0</v>
          </cell>
          <cell r="L344">
            <v>0</v>
          </cell>
          <cell r="M344">
            <v>0</v>
          </cell>
          <cell r="N344">
            <v>0</v>
          </cell>
          <cell r="O344">
            <v>0</v>
          </cell>
          <cell r="P344">
            <v>0</v>
          </cell>
          <cell r="Q344">
            <v>0</v>
          </cell>
          <cell r="R344">
            <v>0</v>
          </cell>
        </row>
        <row r="345">
          <cell r="A345" t="str">
            <v>05.06.01</v>
          </cell>
          <cell r="B345" t="str">
            <v>PRUEBA DE CALIDAD DEL CONCRETO (PRUEBA A LA COMPRESION)</v>
          </cell>
          <cell r="C345" t="str">
            <v>und</v>
          </cell>
          <cell r="D345">
            <v>2</v>
          </cell>
          <cell r="E345">
            <v>40</v>
          </cell>
          <cell r="F345">
            <v>80</v>
          </cell>
          <cell r="G345">
            <v>0</v>
          </cell>
          <cell r="H345">
            <v>0</v>
          </cell>
          <cell r="I345" t="str">
            <v>0.00%</v>
          </cell>
          <cell r="J345">
            <v>0</v>
          </cell>
          <cell r="K345">
            <v>0</v>
          </cell>
          <cell r="L345" t="str">
            <v>0.00%</v>
          </cell>
          <cell r="M345">
            <v>0</v>
          </cell>
          <cell r="N345">
            <v>0</v>
          </cell>
          <cell r="O345" t="str">
            <v>0.00%</v>
          </cell>
          <cell r="P345">
            <v>2</v>
          </cell>
          <cell r="Q345">
            <v>80</v>
          </cell>
          <cell r="R345">
            <v>1</v>
          </cell>
        </row>
        <row r="346">
          <cell r="A346" t="str">
            <v>06</v>
          </cell>
          <cell r="B346" t="str">
            <v>BLOQUE - 5</v>
          </cell>
          <cell r="C346">
            <v>0</v>
          </cell>
          <cell r="D346">
            <v>0</v>
          </cell>
          <cell r="E346">
            <v>0</v>
          </cell>
          <cell r="F346">
            <v>0</v>
          </cell>
          <cell r="G346">
            <v>0</v>
          </cell>
          <cell r="H346">
            <v>0</v>
          </cell>
          <cell r="I346">
            <v>0</v>
          </cell>
          <cell r="J346">
            <v>0</v>
          </cell>
          <cell r="K346">
            <v>0</v>
          </cell>
          <cell r="L346">
            <v>0</v>
          </cell>
          <cell r="M346">
            <v>0</v>
          </cell>
          <cell r="N346">
            <v>0</v>
          </cell>
          <cell r="O346">
            <v>0</v>
          </cell>
          <cell r="P346">
            <v>0</v>
          </cell>
          <cell r="Q346">
            <v>0</v>
          </cell>
          <cell r="R346">
            <v>0</v>
          </cell>
        </row>
        <row r="347">
          <cell r="A347" t="str">
            <v>06.01</v>
          </cell>
          <cell r="B347" t="str">
            <v>TRABAJOS PRELIMINARES</v>
          </cell>
          <cell r="C347">
            <v>0</v>
          </cell>
          <cell r="D347">
            <v>0</v>
          </cell>
          <cell r="E347">
            <v>0</v>
          </cell>
          <cell r="F347">
            <v>0</v>
          </cell>
          <cell r="G347">
            <v>0</v>
          </cell>
          <cell r="H347">
            <v>0</v>
          </cell>
          <cell r="I347">
            <v>0</v>
          </cell>
          <cell r="J347">
            <v>0</v>
          </cell>
          <cell r="K347">
            <v>0</v>
          </cell>
          <cell r="L347">
            <v>0</v>
          </cell>
          <cell r="M347">
            <v>0</v>
          </cell>
          <cell r="N347">
            <v>0</v>
          </cell>
          <cell r="O347">
            <v>0</v>
          </cell>
          <cell r="P347">
            <v>0</v>
          </cell>
          <cell r="Q347">
            <v>0</v>
          </cell>
          <cell r="R347">
            <v>0</v>
          </cell>
        </row>
        <row r="348">
          <cell r="A348" t="str">
            <v>06.01.01</v>
          </cell>
          <cell r="B348" t="str">
            <v>LIMPIEZA DE TERRENO MANUAL</v>
          </cell>
          <cell r="C348" t="str">
            <v>m2</v>
          </cell>
          <cell r="D348">
            <v>180.89</v>
          </cell>
          <cell r="E348">
            <v>1.0900000000000001</v>
          </cell>
          <cell r="F348">
            <v>197.17009999999999</v>
          </cell>
          <cell r="G348">
            <v>180.89</v>
          </cell>
          <cell r="H348">
            <v>197.17009999999999</v>
          </cell>
          <cell r="I348">
            <v>1</v>
          </cell>
          <cell r="J348">
            <v>0</v>
          </cell>
          <cell r="K348">
            <v>0</v>
          </cell>
          <cell r="L348" t="str">
            <v>0.00%</v>
          </cell>
          <cell r="M348">
            <v>180.89</v>
          </cell>
          <cell r="N348">
            <v>197.17009999999999</v>
          </cell>
          <cell r="O348">
            <v>1</v>
          </cell>
          <cell r="P348">
            <v>0</v>
          </cell>
          <cell r="Q348">
            <v>0</v>
          </cell>
          <cell r="R348" t="str">
            <v>0.00%</v>
          </cell>
        </row>
        <row r="349">
          <cell r="A349" t="str">
            <v>06.01.02</v>
          </cell>
          <cell r="B349" t="str">
            <v>TRAZO DURANTE LA EJECUCION DE LA OBRA</v>
          </cell>
          <cell r="C349" t="str">
            <v>m2</v>
          </cell>
          <cell r="D349">
            <v>180.89</v>
          </cell>
          <cell r="E349">
            <v>3.49</v>
          </cell>
          <cell r="F349">
            <v>631.30610000000001</v>
          </cell>
          <cell r="G349">
            <v>180.89</v>
          </cell>
          <cell r="H349">
            <v>631.30610000000001</v>
          </cell>
          <cell r="I349">
            <v>1</v>
          </cell>
          <cell r="J349">
            <v>0</v>
          </cell>
          <cell r="K349">
            <v>0</v>
          </cell>
          <cell r="L349" t="str">
            <v>0.00%</v>
          </cell>
          <cell r="M349">
            <v>180.89</v>
          </cell>
          <cell r="N349">
            <v>631.30610000000001</v>
          </cell>
          <cell r="O349">
            <v>1</v>
          </cell>
          <cell r="P349">
            <v>0</v>
          </cell>
          <cell r="Q349">
            <v>0</v>
          </cell>
          <cell r="R349" t="str">
            <v>0.00%</v>
          </cell>
        </row>
        <row r="350">
          <cell r="A350" t="str">
            <v>06.02</v>
          </cell>
          <cell r="B350" t="str">
            <v>MOVIMIENTO DE TIERRAS</v>
          </cell>
          <cell r="C350">
            <v>0</v>
          </cell>
          <cell r="D350">
            <v>0</v>
          </cell>
          <cell r="E350">
            <v>0</v>
          </cell>
          <cell r="F350">
            <v>0</v>
          </cell>
          <cell r="G350">
            <v>0</v>
          </cell>
          <cell r="H350">
            <v>0</v>
          </cell>
          <cell r="I350">
            <v>0</v>
          </cell>
          <cell r="J350">
            <v>0</v>
          </cell>
          <cell r="K350">
            <v>0</v>
          </cell>
          <cell r="L350">
            <v>0</v>
          </cell>
          <cell r="M350">
            <v>0</v>
          </cell>
          <cell r="N350">
            <v>0</v>
          </cell>
          <cell r="O350">
            <v>0</v>
          </cell>
          <cell r="P350">
            <v>0</v>
          </cell>
          <cell r="Q350">
            <v>0</v>
          </cell>
          <cell r="R350">
            <v>0</v>
          </cell>
        </row>
        <row r="351">
          <cell r="A351" t="str">
            <v>06.02.01</v>
          </cell>
          <cell r="B351" t="str">
            <v xml:space="preserve">EXCAVACION PARA CIMIENTOS-ZAPATAS </v>
          </cell>
          <cell r="C351" t="str">
            <v>m3</v>
          </cell>
          <cell r="D351">
            <v>108.54</v>
          </cell>
          <cell r="E351">
            <v>44.73</v>
          </cell>
          <cell r="F351">
            <v>4854.9942000000001</v>
          </cell>
          <cell r="G351">
            <v>108.54</v>
          </cell>
          <cell r="H351">
            <v>4854.9942000000001</v>
          </cell>
          <cell r="I351">
            <v>1</v>
          </cell>
          <cell r="J351">
            <v>0</v>
          </cell>
          <cell r="K351">
            <v>0</v>
          </cell>
          <cell r="L351" t="str">
            <v>0.00%</v>
          </cell>
          <cell r="M351">
            <v>108.54</v>
          </cell>
          <cell r="N351">
            <v>4854.9942000000001</v>
          </cell>
          <cell r="O351">
            <v>1</v>
          </cell>
          <cell r="P351">
            <v>0</v>
          </cell>
          <cell r="Q351">
            <v>0</v>
          </cell>
          <cell r="R351" t="str">
            <v>0.00%</v>
          </cell>
        </row>
        <row r="352">
          <cell r="A352" t="str">
            <v>06.02.02</v>
          </cell>
          <cell r="B352" t="str">
            <v>RELLENO COMPACTADO CON MATERIAL PROPIO EN CAPAS DE 0.20m.</v>
          </cell>
          <cell r="C352" t="str">
            <v>m3</v>
          </cell>
          <cell r="D352">
            <v>54.12</v>
          </cell>
          <cell r="E352">
            <v>53.95</v>
          </cell>
          <cell r="F352">
            <v>2919.7739999999999</v>
          </cell>
          <cell r="G352">
            <v>0</v>
          </cell>
          <cell r="H352">
            <v>0</v>
          </cell>
          <cell r="I352" t="str">
            <v>0.00%</v>
          </cell>
          <cell r="J352">
            <v>0</v>
          </cell>
          <cell r="K352">
            <v>0</v>
          </cell>
          <cell r="L352" t="str">
            <v>0.00%</v>
          </cell>
          <cell r="M352">
            <v>0</v>
          </cell>
          <cell r="N352">
            <v>0</v>
          </cell>
          <cell r="O352" t="str">
            <v>0.00%</v>
          </cell>
          <cell r="P352">
            <v>54.12</v>
          </cell>
          <cell r="Q352">
            <v>2919.7739999999999</v>
          </cell>
          <cell r="R352">
            <v>1</v>
          </cell>
        </row>
        <row r="353">
          <cell r="A353" t="str">
            <v>06.02.03</v>
          </cell>
          <cell r="B353" t="str">
            <v>ACARREO INTERNO, MATERIAL PROCEDENTE DE EXCAVACIONES  Y OTROS</v>
          </cell>
          <cell r="C353" t="str">
            <v>m3</v>
          </cell>
          <cell r="D353">
            <v>70.739999999999995</v>
          </cell>
          <cell r="E353">
            <v>19</v>
          </cell>
          <cell r="F353">
            <v>1344.06</v>
          </cell>
          <cell r="G353">
            <v>70.739999999999995</v>
          </cell>
          <cell r="H353">
            <v>1344.06</v>
          </cell>
          <cell r="I353">
            <v>1</v>
          </cell>
          <cell r="J353">
            <v>0</v>
          </cell>
          <cell r="K353">
            <v>0</v>
          </cell>
          <cell r="L353" t="str">
            <v>0.00%</v>
          </cell>
          <cell r="M353">
            <v>70.739999999999995</v>
          </cell>
          <cell r="N353">
            <v>1344.06</v>
          </cell>
          <cell r="O353">
            <v>1</v>
          </cell>
          <cell r="P353">
            <v>0</v>
          </cell>
          <cell r="Q353">
            <v>0</v>
          </cell>
          <cell r="R353" t="str">
            <v>0.00%</v>
          </cell>
        </row>
        <row r="354">
          <cell r="A354" t="str">
            <v>06.02.04</v>
          </cell>
          <cell r="B354" t="str">
            <v>ELIMINACION DE MATERIAL EXCEDENTE CON EQUIPO</v>
          </cell>
          <cell r="C354" t="str">
            <v>m3</v>
          </cell>
          <cell r="D354">
            <v>70.739999999999995</v>
          </cell>
          <cell r="E354">
            <v>14.64</v>
          </cell>
          <cell r="F354">
            <v>1035.6335999999999</v>
          </cell>
          <cell r="G354">
            <v>70.739999999999995</v>
          </cell>
          <cell r="H354">
            <v>1035.6335999999999</v>
          </cell>
          <cell r="I354">
            <v>1</v>
          </cell>
          <cell r="J354">
            <v>0</v>
          </cell>
          <cell r="K354">
            <v>0</v>
          </cell>
          <cell r="L354" t="str">
            <v>0.00%</v>
          </cell>
          <cell r="M354">
            <v>70.739999999999995</v>
          </cell>
          <cell r="N354">
            <v>1035.6335999999999</v>
          </cell>
          <cell r="O354">
            <v>1</v>
          </cell>
          <cell r="P354">
            <v>0</v>
          </cell>
          <cell r="Q354">
            <v>0</v>
          </cell>
          <cell r="R354" t="str">
            <v>0.00%</v>
          </cell>
        </row>
        <row r="355">
          <cell r="A355" t="str">
            <v>06.02.05</v>
          </cell>
          <cell r="B355" t="str">
            <v xml:space="preserve">AFIRMADO e=20 cm </v>
          </cell>
          <cell r="C355" t="str">
            <v>m3</v>
          </cell>
          <cell r="D355">
            <v>26.66</v>
          </cell>
          <cell r="E355">
            <v>82.36</v>
          </cell>
          <cell r="F355">
            <v>2195.7175999999999</v>
          </cell>
          <cell r="G355">
            <v>0</v>
          </cell>
          <cell r="H355">
            <v>0</v>
          </cell>
          <cell r="I355" t="str">
            <v>0.00%</v>
          </cell>
          <cell r="J355">
            <v>0</v>
          </cell>
          <cell r="K355">
            <v>0</v>
          </cell>
          <cell r="L355" t="str">
            <v>0.00%</v>
          </cell>
          <cell r="M355">
            <v>0</v>
          </cell>
          <cell r="N355">
            <v>0</v>
          </cell>
          <cell r="O355" t="str">
            <v>0.00%</v>
          </cell>
          <cell r="P355">
            <v>26.66</v>
          </cell>
          <cell r="Q355">
            <v>2195.7175999999999</v>
          </cell>
          <cell r="R355">
            <v>1</v>
          </cell>
        </row>
        <row r="356">
          <cell r="A356" t="str">
            <v>06.02.06</v>
          </cell>
          <cell r="B356" t="str">
            <v xml:space="preserve">NIVELACION Y COMPACTACION PARA FALSO PISOS, VEREDAS Y PATIOS </v>
          </cell>
          <cell r="C356" t="str">
            <v>m2</v>
          </cell>
          <cell r="D356">
            <v>133.31</v>
          </cell>
          <cell r="E356">
            <v>9.3800000000000008</v>
          </cell>
          <cell r="F356">
            <v>1250.4478000000001</v>
          </cell>
          <cell r="G356">
            <v>0</v>
          </cell>
          <cell r="H356">
            <v>0</v>
          </cell>
          <cell r="I356" t="str">
            <v>0.00%</v>
          </cell>
          <cell r="J356">
            <v>0</v>
          </cell>
          <cell r="K356">
            <v>0</v>
          </cell>
          <cell r="L356" t="str">
            <v>0.00%</v>
          </cell>
          <cell r="M356">
            <v>0</v>
          </cell>
          <cell r="N356">
            <v>0</v>
          </cell>
          <cell r="O356" t="str">
            <v>0.00%</v>
          </cell>
          <cell r="P356">
            <v>133.31</v>
          </cell>
          <cell r="Q356">
            <v>1250.4478000000001</v>
          </cell>
          <cell r="R356">
            <v>1</v>
          </cell>
        </row>
        <row r="357">
          <cell r="A357" t="str">
            <v>06.03</v>
          </cell>
          <cell r="B357" t="str">
            <v>CONCRETO SIMPLE</v>
          </cell>
          <cell r="C357">
            <v>0</v>
          </cell>
          <cell r="D357">
            <v>0</v>
          </cell>
          <cell r="E357">
            <v>0</v>
          </cell>
          <cell r="F357">
            <v>0</v>
          </cell>
          <cell r="G357">
            <v>0</v>
          </cell>
          <cell r="H357">
            <v>0</v>
          </cell>
          <cell r="I357">
            <v>0</v>
          </cell>
          <cell r="J357">
            <v>0</v>
          </cell>
          <cell r="K357">
            <v>0</v>
          </cell>
          <cell r="L357">
            <v>0</v>
          </cell>
          <cell r="M357">
            <v>0</v>
          </cell>
          <cell r="N357">
            <v>0</v>
          </cell>
          <cell r="O357">
            <v>0</v>
          </cell>
          <cell r="P357">
            <v>0</v>
          </cell>
          <cell r="Q357">
            <v>0</v>
          </cell>
          <cell r="R357">
            <v>0</v>
          </cell>
        </row>
        <row r="358">
          <cell r="A358" t="str">
            <v>06.03.01</v>
          </cell>
          <cell r="B358" t="str">
            <v>SOLADOS</v>
          </cell>
          <cell r="C358">
            <v>0</v>
          </cell>
          <cell r="D358">
            <v>0</v>
          </cell>
          <cell r="E358">
            <v>0</v>
          </cell>
          <cell r="F358">
            <v>0</v>
          </cell>
          <cell r="G358">
            <v>0</v>
          </cell>
          <cell r="H358">
            <v>0</v>
          </cell>
          <cell r="I358">
            <v>0</v>
          </cell>
          <cell r="J358">
            <v>0</v>
          </cell>
          <cell r="K358">
            <v>0</v>
          </cell>
          <cell r="L358">
            <v>0</v>
          </cell>
          <cell r="M358">
            <v>0</v>
          </cell>
          <cell r="N358">
            <v>0</v>
          </cell>
          <cell r="O358">
            <v>0</v>
          </cell>
          <cell r="P358">
            <v>0</v>
          </cell>
          <cell r="Q358">
            <v>0</v>
          </cell>
          <cell r="R358">
            <v>0</v>
          </cell>
        </row>
        <row r="359">
          <cell r="A359" t="str">
            <v>06.03.01.01</v>
          </cell>
          <cell r="B359" t="str">
            <v>SOLADO E= 2" MEZCLA 1:12 CEMENTO-HORMIGON</v>
          </cell>
          <cell r="C359" t="str">
            <v>m2</v>
          </cell>
          <cell r="D359">
            <v>50.87</v>
          </cell>
          <cell r="E359">
            <v>29.02</v>
          </cell>
          <cell r="F359">
            <v>1476.2474</v>
          </cell>
          <cell r="G359">
            <v>50.87</v>
          </cell>
          <cell r="H359">
            <v>1476.2474</v>
          </cell>
          <cell r="I359">
            <v>1</v>
          </cell>
          <cell r="J359">
            <v>0</v>
          </cell>
          <cell r="K359">
            <v>0</v>
          </cell>
          <cell r="L359" t="str">
            <v>0.00%</v>
          </cell>
          <cell r="M359">
            <v>50.87</v>
          </cell>
          <cell r="N359">
            <v>1476.2474</v>
          </cell>
          <cell r="O359">
            <v>1</v>
          </cell>
          <cell r="P359">
            <v>0</v>
          </cell>
          <cell r="Q359">
            <v>0</v>
          </cell>
          <cell r="R359" t="str">
            <v>0.00%</v>
          </cell>
        </row>
        <row r="360">
          <cell r="A360" t="str">
            <v>06.03.02</v>
          </cell>
          <cell r="B360" t="str">
            <v>CIMIENTOS CORRIDOS</v>
          </cell>
          <cell r="C360">
            <v>0</v>
          </cell>
          <cell r="D360">
            <v>0</v>
          </cell>
          <cell r="E360">
            <v>0</v>
          </cell>
          <cell r="F360">
            <v>0</v>
          </cell>
          <cell r="G360">
            <v>0</v>
          </cell>
          <cell r="H360">
            <v>0</v>
          </cell>
          <cell r="I360">
            <v>0</v>
          </cell>
          <cell r="J360">
            <v>0</v>
          </cell>
          <cell r="K360">
            <v>0</v>
          </cell>
          <cell r="L360">
            <v>0</v>
          </cell>
          <cell r="M360">
            <v>0</v>
          </cell>
          <cell r="N360">
            <v>0</v>
          </cell>
          <cell r="O360">
            <v>0</v>
          </cell>
          <cell r="P360">
            <v>0</v>
          </cell>
          <cell r="Q360">
            <v>0</v>
          </cell>
          <cell r="R360">
            <v>0</v>
          </cell>
        </row>
        <row r="361">
          <cell r="A361" t="str">
            <v>06.03.02.01</v>
          </cell>
          <cell r="B361" t="str">
            <v>CIMIENTOS CORRIDOS MEZCLA 1:10 CEMENTO-HORMIGON 30% PIEDRA</v>
          </cell>
          <cell r="C361" t="str">
            <v>m3</v>
          </cell>
          <cell r="D361">
            <v>37.479999999999997</v>
          </cell>
          <cell r="E361">
            <v>248.48</v>
          </cell>
          <cell r="F361">
            <v>9313.0303999999996</v>
          </cell>
          <cell r="G361">
            <v>0</v>
          </cell>
          <cell r="H361">
            <v>0</v>
          </cell>
          <cell r="I361" t="str">
            <v>0.00%</v>
          </cell>
          <cell r="J361">
            <v>0</v>
          </cell>
          <cell r="K361">
            <v>0</v>
          </cell>
          <cell r="L361" t="str">
            <v>0.00%</v>
          </cell>
          <cell r="M361">
            <v>0</v>
          </cell>
          <cell r="N361">
            <v>0</v>
          </cell>
          <cell r="O361" t="str">
            <v>0.00%</v>
          </cell>
          <cell r="P361">
            <v>37.479999999999997</v>
          </cell>
          <cell r="Q361">
            <v>9313.0303999999996</v>
          </cell>
          <cell r="R361">
            <v>1</v>
          </cell>
        </row>
        <row r="362">
          <cell r="A362" t="str">
            <v>06.03.03</v>
          </cell>
          <cell r="B362" t="str">
            <v>SOBRECIMIENTOS</v>
          </cell>
          <cell r="C362">
            <v>0</v>
          </cell>
          <cell r="D362">
            <v>0</v>
          </cell>
          <cell r="E362">
            <v>0</v>
          </cell>
          <cell r="F362">
            <v>0</v>
          </cell>
          <cell r="G362">
            <v>0</v>
          </cell>
          <cell r="H362">
            <v>0</v>
          </cell>
          <cell r="I362">
            <v>0</v>
          </cell>
          <cell r="J362">
            <v>0</v>
          </cell>
          <cell r="K362">
            <v>0</v>
          </cell>
          <cell r="L362">
            <v>0</v>
          </cell>
          <cell r="M362">
            <v>0</v>
          </cell>
          <cell r="N362">
            <v>0</v>
          </cell>
          <cell r="O362">
            <v>0</v>
          </cell>
          <cell r="P362">
            <v>0</v>
          </cell>
          <cell r="Q362">
            <v>0</v>
          </cell>
          <cell r="R362">
            <v>0</v>
          </cell>
        </row>
        <row r="363">
          <cell r="A363" t="str">
            <v>06.03.03.01</v>
          </cell>
          <cell r="B363" t="str">
            <v>CONCRETO 1:8+25% P.M. PARA SOBRECIMIENTOS</v>
          </cell>
          <cell r="C363" t="str">
            <v>m3</v>
          </cell>
          <cell r="D363">
            <v>7.08</v>
          </cell>
          <cell r="E363">
            <v>312.47000000000003</v>
          </cell>
          <cell r="F363">
            <v>2212.2876000000001</v>
          </cell>
          <cell r="G363">
            <v>0</v>
          </cell>
          <cell r="H363">
            <v>0</v>
          </cell>
          <cell r="I363" t="str">
            <v>0.00%</v>
          </cell>
          <cell r="J363">
            <v>0</v>
          </cell>
          <cell r="K363">
            <v>0</v>
          </cell>
          <cell r="L363" t="str">
            <v>0.00%</v>
          </cell>
          <cell r="M363">
            <v>0</v>
          </cell>
          <cell r="N363">
            <v>0</v>
          </cell>
          <cell r="O363" t="str">
            <v>0.00%</v>
          </cell>
          <cell r="P363">
            <v>7.08</v>
          </cell>
          <cell r="Q363">
            <v>2212.2876000000001</v>
          </cell>
          <cell r="R363">
            <v>1</v>
          </cell>
        </row>
        <row r="364">
          <cell r="A364" t="str">
            <v>06.03.03.02</v>
          </cell>
          <cell r="B364" t="str">
            <v>ENCOFRADO Y DESENCOFRADO NORMAL PARA SOBRECIMIENTOS HASTA 0.60M.</v>
          </cell>
          <cell r="C364" t="str">
            <v>m2</v>
          </cell>
          <cell r="D364">
            <v>23.25</v>
          </cell>
          <cell r="E364">
            <v>44.43</v>
          </cell>
          <cell r="F364">
            <v>1032.9974999999999</v>
          </cell>
          <cell r="G364">
            <v>0</v>
          </cell>
          <cell r="H364">
            <v>0</v>
          </cell>
          <cell r="I364" t="str">
            <v>0.00%</v>
          </cell>
          <cell r="J364">
            <v>0</v>
          </cell>
          <cell r="K364">
            <v>0</v>
          </cell>
          <cell r="L364" t="str">
            <v>0.00%</v>
          </cell>
          <cell r="M364">
            <v>0</v>
          </cell>
          <cell r="N364">
            <v>0</v>
          </cell>
          <cell r="O364" t="str">
            <v>0.00%</v>
          </cell>
          <cell r="P364">
            <v>23.25</v>
          </cell>
          <cell r="Q364">
            <v>1032.9974999999999</v>
          </cell>
          <cell r="R364">
            <v>1</v>
          </cell>
        </row>
        <row r="365">
          <cell r="A365" t="str">
            <v>06.04</v>
          </cell>
          <cell r="B365" t="str">
            <v>CONCRETO ARMADO</v>
          </cell>
          <cell r="C365">
            <v>0</v>
          </cell>
          <cell r="D365">
            <v>0</v>
          </cell>
          <cell r="E365">
            <v>0</v>
          </cell>
          <cell r="F365">
            <v>0</v>
          </cell>
          <cell r="G365">
            <v>0</v>
          </cell>
          <cell r="H365">
            <v>0</v>
          </cell>
          <cell r="I365">
            <v>0</v>
          </cell>
          <cell r="J365">
            <v>0</v>
          </cell>
          <cell r="K365">
            <v>0</v>
          </cell>
          <cell r="L365">
            <v>0</v>
          </cell>
          <cell r="M365">
            <v>0</v>
          </cell>
          <cell r="N365">
            <v>0</v>
          </cell>
          <cell r="O365">
            <v>0</v>
          </cell>
          <cell r="P365">
            <v>0</v>
          </cell>
          <cell r="Q365">
            <v>0</v>
          </cell>
          <cell r="R365">
            <v>0</v>
          </cell>
        </row>
        <row r="366">
          <cell r="A366" t="str">
            <v>06.04.01</v>
          </cell>
          <cell r="B366" t="str">
            <v>ZAPATAS</v>
          </cell>
          <cell r="C366">
            <v>0</v>
          </cell>
          <cell r="D366">
            <v>0</v>
          </cell>
          <cell r="E366">
            <v>0</v>
          </cell>
          <cell r="F366">
            <v>0</v>
          </cell>
          <cell r="G366">
            <v>0</v>
          </cell>
          <cell r="H366">
            <v>0</v>
          </cell>
          <cell r="I366">
            <v>0</v>
          </cell>
          <cell r="J366">
            <v>0</v>
          </cell>
          <cell r="K366">
            <v>0</v>
          </cell>
          <cell r="L366">
            <v>0</v>
          </cell>
          <cell r="M366">
            <v>0</v>
          </cell>
          <cell r="N366">
            <v>0</v>
          </cell>
          <cell r="O366">
            <v>0</v>
          </cell>
          <cell r="P366">
            <v>0</v>
          </cell>
          <cell r="Q366">
            <v>0</v>
          </cell>
          <cell r="R366">
            <v>0</v>
          </cell>
        </row>
        <row r="367">
          <cell r="A367" t="str">
            <v>06.04.01.01</v>
          </cell>
          <cell r="B367" t="str">
            <v>CONCRETO PARA ZAPATAS F'C=210 KG/CM2</v>
          </cell>
          <cell r="C367" t="str">
            <v>m3</v>
          </cell>
          <cell r="D367">
            <v>18</v>
          </cell>
          <cell r="E367">
            <v>427.63</v>
          </cell>
          <cell r="F367">
            <v>7697.34</v>
          </cell>
          <cell r="G367">
            <v>18</v>
          </cell>
          <cell r="H367">
            <v>7697.34</v>
          </cell>
          <cell r="I367">
            <v>1</v>
          </cell>
          <cell r="J367">
            <v>0</v>
          </cell>
          <cell r="K367">
            <v>0</v>
          </cell>
          <cell r="L367" t="str">
            <v>0.00%</v>
          </cell>
          <cell r="M367">
            <v>18</v>
          </cell>
          <cell r="N367">
            <v>7697.34</v>
          </cell>
          <cell r="O367">
            <v>1</v>
          </cell>
          <cell r="P367">
            <v>0</v>
          </cell>
          <cell r="Q367">
            <v>0</v>
          </cell>
          <cell r="R367" t="str">
            <v>0.00%</v>
          </cell>
        </row>
        <row r="368">
          <cell r="A368" t="str">
            <v>06.04.01.02</v>
          </cell>
          <cell r="B368" t="str">
            <v>ACERO F'Y=4200 KG/CM2 GRADO 60 EN ZAPATAS</v>
          </cell>
          <cell r="C368" t="str">
            <v>kg</v>
          </cell>
          <cell r="D368">
            <v>654.72</v>
          </cell>
          <cell r="E368">
            <v>4.3</v>
          </cell>
          <cell r="F368">
            <v>2815.2959999999998</v>
          </cell>
          <cell r="G368">
            <v>654.72</v>
          </cell>
          <cell r="H368">
            <v>2815.2959999999998</v>
          </cell>
          <cell r="I368">
            <v>1</v>
          </cell>
          <cell r="J368">
            <v>0</v>
          </cell>
          <cell r="K368">
            <v>0</v>
          </cell>
          <cell r="L368" t="str">
            <v>0.00%</v>
          </cell>
          <cell r="M368">
            <v>654.72</v>
          </cell>
          <cell r="N368">
            <v>2815.2959999999998</v>
          </cell>
          <cell r="O368">
            <v>1</v>
          </cell>
          <cell r="P368">
            <v>0</v>
          </cell>
          <cell r="Q368">
            <v>0</v>
          </cell>
          <cell r="R368" t="str">
            <v>0.00%</v>
          </cell>
        </row>
        <row r="369">
          <cell r="A369" t="str">
            <v>06.04.02</v>
          </cell>
          <cell r="B369" t="str">
            <v>VIGAS DE CIMENTACION</v>
          </cell>
          <cell r="C369">
            <v>0</v>
          </cell>
          <cell r="D369">
            <v>0</v>
          </cell>
          <cell r="E369">
            <v>0</v>
          </cell>
          <cell r="F369">
            <v>0</v>
          </cell>
          <cell r="G369">
            <v>0</v>
          </cell>
          <cell r="H369">
            <v>0</v>
          </cell>
          <cell r="I369">
            <v>0</v>
          </cell>
          <cell r="J369">
            <v>0</v>
          </cell>
          <cell r="K369">
            <v>0</v>
          </cell>
          <cell r="L369">
            <v>0</v>
          </cell>
          <cell r="M369">
            <v>0</v>
          </cell>
          <cell r="N369">
            <v>0</v>
          </cell>
          <cell r="O369">
            <v>0</v>
          </cell>
          <cell r="P369">
            <v>0</v>
          </cell>
          <cell r="Q369">
            <v>0</v>
          </cell>
          <cell r="R369">
            <v>0</v>
          </cell>
        </row>
        <row r="370">
          <cell r="A370" t="str">
            <v>06.04.02.01</v>
          </cell>
          <cell r="B370" t="str">
            <v>CONCRETO F'C= 210 KG/CM2 EN VIGAS DE CIMENTACIÓN</v>
          </cell>
          <cell r="C370" t="str">
            <v>m3</v>
          </cell>
          <cell r="D370">
            <v>7.91</v>
          </cell>
          <cell r="E370">
            <v>451</v>
          </cell>
          <cell r="F370">
            <v>3567.41</v>
          </cell>
          <cell r="G370">
            <v>0</v>
          </cell>
          <cell r="H370">
            <v>0</v>
          </cell>
          <cell r="I370" t="str">
            <v>0.00%</v>
          </cell>
          <cell r="J370">
            <v>0</v>
          </cell>
          <cell r="K370">
            <v>0</v>
          </cell>
          <cell r="L370" t="str">
            <v>0.00%</v>
          </cell>
          <cell r="M370">
            <v>0</v>
          </cell>
          <cell r="N370">
            <v>0</v>
          </cell>
          <cell r="O370" t="str">
            <v>0.00%</v>
          </cell>
          <cell r="P370">
            <v>7.91</v>
          </cell>
          <cell r="Q370">
            <v>3567.41</v>
          </cell>
          <cell r="R370">
            <v>1</v>
          </cell>
        </row>
        <row r="371">
          <cell r="A371" t="str">
            <v>06.04.02.02</v>
          </cell>
          <cell r="B371" t="str">
            <v>ACERO F'Y=4200 KG/CM2 GRADO 60 EN VIGAS DE CIMENTACIÓN</v>
          </cell>
          <cell r="C371" t="str">
            <v>kg</v>
          </cell>
          <cell r="D371">
            <v>1001.59</v>
          </cell>
          <cell r="E371">
            <v>4.45</v>
          </cell>
          <cell r="F371">
            <v>4457.0754999999999</v>
          </cell>
          <cell r="G371">
            <v>0</v>
          </cell>
          <cell r="H371">
            <v>0</v>
          </cell>
          <cell r="I371" t="str">
            <v>0.00%</v>
          </cell>
          <cell r="J371">
            <v>1001.59</v>
          </cell>
          <cell r="K371">
            <v>4457.0754999999999</v>
          </cell>
          <cell r="L371">
            <v>1</v>
          </cell>
          <cell r="M371">
            <v>1001.59</v>
          </cell>
          <cell r="N371">
            <v>4457.0754999999999</v>
          </cell>
          <cell r="O371">
            <v>1</v>
          </cell>
          <cell r="P371">
            <v>0</v>
          </cell>
          <cell r="Q371">
            <v>0</v>
          </cell>
          <cell r="R371" t="str">
            <v>0.00%</v>
          </cell>
        </row>
        <row r="372">
          <cell r="A372" t="str">
            <v>06.04.02.03</v>
          </cell>
          <cell r="B372" t="str">
            <v>ENCOFRADO Y DESENCOFRADO DE VIGAS DE CIMENTACIÓN</v>
          </cell>
          <cell r="C372" t="str">
            <v>m2</v>
          </cell>
          <cell r="D372">
            <v>63.29</v>
          </cell>
          <cell r="E372">
            <v>44.69</v>
          </cell>
          <cell r="F372">
            <v>2828.4301</v>
          </cell>
          <cell r="G372">
            <v>0</v>
          </cell>
          <cell r="H372">
            <v>0</v>
          </cell>
          <cell r="I372" t="str">
            <v>0.00%</v>
          </cell>
          <cell r="J372">
            <v>63.29</v>
          </cell>
          <cell r="K372">
            <v>2828.4301</v>
          </cell>
          <cell r="L372">
            <v>1</v>
          </cell>
          <cell r="M372">
            <v>63.29</v>
          </cell>
          <cell r="N372">
            <v>2828.4301</v>
          </cell>
          <cell r="O372">
            <v>1</v>
          </cell>
          <cell r="P372">
            <v>0</v>
          </cell>
          <cell r="Q372">
            <v>0</v>
          </cell>
          <cell r="R372" t="str">
            <v>0.00%</v>
          </cell>
        </row>
        <row r="373">
          <cell r="A373" t="str">
            <v>06.04.03</v>
          </cell>
          <cell r="B373" t="str">
            <v>COLUMNAS</v>
          </cell>
          <cell r="C373">
            <v>0</v>
          </cell>
          <cell r="D373">
            <v>0</v>
          </cell>
          <cell r="E373">
            <v>0</v>
          </cell>
          <cell r="F373">
            <v>0</v>
          </cell>
          <cell r="G373">
            <v>0</v>
          </cell>
          <cell r="H373">
            <v>0</v>
          </cell>
          <cell r="I373">
            <v>0</v>
          </cell>
          <cell r="J373">
            <v>0</v>
          </cell>
          <cell r="K373">
            <v>0</v>
          </cell>
          <cell r="L373">
            <v>0</v>
          </cell>
          <cell r="M373">
            <v>0</v>
          </cell>
          <cell r="N373">
            <v>0</v>
          </cell>
          <cell r="O373">
            <v>0</v>
          </cell>
          <cell r="P373">
            <v>0</v>
          </cell>
          <cell r="Q373">
            <v>0</v>
          </cell>
          <cell r="R373">
            <v>0</v>
          </cell>
        </row>
        <row r="374">
          <cell r="A374" t="str">
            <v>06.04.03.01</v>
          </cell>
          <cell r="B374" t="str">
            <v>CONCRETO EN COLUMNAS F'C=210 KG/CM2</v>
          </cell>
          <cell r="C374" t="str">
            <v>m3</v>
          </cell>
          <cell r="D374">
            <v>13.32</v>
          </cell>
          <cell r="E374">
            <v>521.12</v>
          </cell>
          <cell r="F374">
            <v>6941.3184000000001</v>
          </cell>
          <cell r="G374">
            <v>0</v>
          </cell>
          <cell r="H374">
            <v>0</v>
          </cell>
          <cell r="I374" t="str">
            <v>0.00%</v>
          </cell>
          <cell r="J374">
            <v>0</v>
          </cell>
          <cell r="K374">
            <v>0</v>
          </cell>
          <cell r="L374" t="str">
            <v>0.00%</v>
          </cell>
          <cell r="M374">
            <v>0</v>
          </cell>
          <cell r="N374">
            <v>0</v>
          </cell>
          <cell r="O374" t="str">
            <v>0.00%</v>
          </cell>
          <cell r="P374">
            <v>13.32</v>
          </cell>
          <cell r="Q374">
            <v>6941.3184000000001</v>
          </cell>
          <cell r="R374">
            <v>1</v>
          </cell>
        </row>
        <row r="375">
          <cell r="A375" t="str">
            <v>06.04.03.02</v>
          </cell>
          <cell r="B375" t="str">
            <v>ACERO F'Y=4200 KG/CM2 GRADO 60 EN COLUMNAS</v>
          </cell>
          <cell r="C375" t="str">
            <v>kg</v>
          </cell>
          <cell r="D375">
            <v>1566.4</v>
          </cell>
          <cell r="E375">
            <v>4.5</v>
          </cell>
          <cell r="F375">
            <v>7048.8</v>
          </cell>
          <cell r="G375">
            <v>1566.4</v>
          </cell>
          <cell r="H375">
            <v>7048.8</v>
          </cell>
          <cell r="I375">
            <v>1</v>
          </cell>
          <cell r="J375">
            <v>0</v>
          </cell>
          <cell r="K375">
            <v>0</v>
          </cell>
          <cell r="L375" t="str">
            <v>0.00%</v>
          </cell>
          <cell r="M375">
            <v>1566.4</v>
          </cell>
          <cell r="N375">
            <v>7048.8</v>
          </cell>
          <cell r="O375">
            <v>1</v>
          </cell>
          <cell r="P375">
            <v>0</v>
          </cell>
          <cell r="Q375">
            <v>0</v>
          </cell>
          <cell r="R375" t="str">
            <v>0.00%</v>
          </cell>
        </row>
        <row r="376">
          <cell r="A376" t="str">
            <v>06.04.03.03</v>
          </cell>
          <cell r="B376" t="str">
            <v>ENCOFRADO Y DESENCOFRADO NORMAL EN COLUMNAS</v>
          </cell>
          <cell r="C376" t="str">
            <v>m2</v>
          </cell>
          <cell r="D376">
            <v>116.96</v>
          </cell>
          <cell r="E376">
            <v>49.71</v>
          </cell>
          <cell r="F376">
            <v>5814.0815999999995</v>
          </cell>
          <cell r="G376">
            <v>0</v>
          </cell>
          <cell r="H376">
            <v>0</v>
          </cell>
          <cell r="I376" t="str">
            <v>0.00%</v>
          </cell>
          <cell r="J376">
            <v>0</v>
          </cell>
          <cell r="K376">
            <v>0</v>
          </cell>
          <cell r="L376" t="str">
            <v>0.00%</v>
          </cell>
          <cell r="M376">
            <v>0</v>
          </cell>
          <cell r="N376">
            <v>0</v>
          </cell>
          <cell r="O376" t="str">
            <v>0.00%</v>
          </cell>
          <cell r="P376">
            <v>116.96</v>
          </cell>
          <cell r="Q376">
            <v>5814.0815999999995</v>
          </cell>
          <cell r="R376">
            <v>1</v>
          </cell>
        </row>
        <row r="377">
          <cell r="A377" t="str">
            <v>06.04.04</v>
          </cell>
          <cell r="B377" t="str">
            <v>COLUMNETAS</v>
          </cell>
          <cell r="C377">
            <v>0</v>
          </cell>
          <cell r="D377">
            <v>0</v>
          </cell>
          <cell r="E377">
            <v>0</v>
          </cell>
          <cell r="F377">
            <v>0</v>
          </cell>
          <cell r="G377">
            <v>0</v>
          </cell>
          <cell r="H377">
            <v>0</v>
          </cell>
          <cell r="I377">
            <v>0</v>
          </cell>
          <cell r="J377">
            <v>0</v>
          </cell>
          <cell r="K377">
            <v>0</v>
          </cell>
          <cell r="L377">
            <v>0</v>
          </cell>
          <cell r="M377">
            <v>0</v>
          </cell>
          <cell r="N377">
            <v>0</v>
          </cell>
          <cell r="O377">
            <v>0</v>
          </cell>
          <cell r="P377">
            <v>0</v>
          </cell>
          <cell r="Q377">
            <v>0</v>
          </cell>
          <cell r="R377">
            <v>0</v>
          </cell>
        </row>
        <row r="378">
          <cell r="A378" t="str">
            <v>06.04.04.01</v>
          </cell>
          <cell r="B378" t="str">
            <v>CONCRETO EN COLUMNETAS F'C=210 KG/CM2</v>
          </cell>
          <cell r="C378" t="str">
            <v>m3</v>
          </cell>
          <cell r="D378">
            <v>4.0199999999999996</v>
          </cell>
          <cell r="E378">
            <v>521.12</v>
          </cell>
          <cell r="F378">
            <v>2094.9023999999999</v>
          </cell>
          <cell r="G378">
            <v>0</v>
          </cell>
          <cell r="H378">
            <v>0</v>
          </cell>
          <cell r="I378" t="str">
            <v>0.00%</v>
          </cell>
          <cell r="J378">
            <v>0</v>
          </cell>
          <cell r="K378">
            <v>0</v>
          </cell>
          <cell r="L378" t="str">
            <v>0.00%</v>
          </cell>
          <cell r="M378">
            <v>0</v>
          </cell>
          <cell r="N378">
            <v>0</v>
          </cell>
          <cell r="O378" t="str">
            <v>0.00%</v>
          </cell>
          <cell r="P378">
            <v>4.0199999999999996</v>
          </cell>
          <cell r="Q378">
            <v>2094.9023999999999</v>
          </cell>
          <cell r="R378">
            <v>1</v>
          </cell>
        </row>
        <row r="379">
          <cell r="A379" t="str">
            <v>06.04.04.02</v>
          </cell>
          <cell r="B379" t="str">
            <v>ACERO F'Y=4200 KG/CM2 GRADO 60 EN COLUMNETAS</v>
          </cell>
          <cell r="C379" t="str">
            <v>kg</v>
          </cell>
          <cell r="D379">
            <v>746.27</v>
          </cell>
          <cell r="E379">
            <v>4.4400000000000004</v>
          </cell>
          <cell r="F379">
            <v>3313.4388000000004</v>
          </cell>
          <cell r="G379">
            <v>0</v>
          </cell>
          <cell r="H379">
            <v>0</v>
          </cell>
          <cell r="I379" t="str">
            <v>0.00%</v>
          </cell>
          <cell r="J379">
            <v>0</v>
          </cell>
          <cell r="K379">
            <v>0</v>
          </cell>
          <cell r="L379" t="str">
            <v>0.00%</v>
          </cell>
          <cell r="M379">
            <v>0</v>
          </cell>
          <cell r="N379">
            <v>0</v>
          </cell>
          <cell r="O379" t="str">
            <v>0.00%</v>
          </cell>
          <cell r="P379">
            <v>746.27</v>
          </cell>
          <cell r="Q379">
            <v>3313.4388000000004</v>
          </cell>
          <cell r="R379">
            <v>1</v>
          </cell>
        </row>
        <row r="380">
          <cell r="A380" t="str">
            <v>06.04.04.03</v>
          </cell>
          <cell r="B380" t="str">
            <v>ENCOFRADO Y DESNCOFRADO NORMAL  EN COLUMNETAS</v>
          </cell>
          <cell r="C380" t="str">
            <v>m2</v>
          </cell>
          <cell r="D380">
            <v>85.8</v>
          </cell>
          <cell r="E380">
            <v>49.71</v>
          </cell>
          <cell r="F380">
            <v>4265.1179999999995</v>
          </cell>
          <cell r="G380">
            <v>0</v>
          </cell>
          <cell r="H380">
            <v>0</v>
          </cell>
          <cell r="I380" t="str">
            <v>0.00%</v>
          </cell>
          <cell r="J380">
            <v>0</v>
          </cell>
          <cell r="K380">
            <v>0</v>
          </cell>
          <cell r="L380" t="str">
            <v>0.00%</v>
          </cell>
          <cell r="M380">
            <v>0</v>
          </cell>
          <cell r="N380">
            <v>0</v>
          </cell>
          <cell r="O380" t="str">
            <v>0.00%</v>
          </cell>
          <cell r="P380">
            <v>85.8</v>
          </cell>
          <cell r="Q380">
            <v>4265.1179999999995</v>
          </cell>
          <cell r="R380">
            <v>1</v>
          </cell>
        </row>
        <row r="381">
          <cell r="A381" t="str">
            <v>06.04.05</v>
          </cell>
          <cell r="B381" t="str">
            <v>VIGAS</v>
          </cell>
          <cell r="C381">
            <v>0</v>
          </cell>
          <cell r="D381">
            <v>0</v>
          </cell>
          <cell r="E381">
            <v>0</v>
          </cell>
          <cell r="F381">
            <v>0</v>
          </cell>
          <cell r="G381">
            <v>0</v>
          </cell>
          <cell r="H381">
            <v>0</v>
          </cell>
          <cell r="I381">
            <v>0</v>
          </cell>
          <cell r="J381">
            <v>0</v>
          </cell>
          <cell r="K381">
            <v>0</v>
          </cell>
          <cell r="L381">
            <v>0</v>
          </cell>
          <cell r="M381">
            <v>0</v>
          </cell>
          <cell r="N381">
            <v>0</v>
          </cell>
          <cell r="O381">
            <v>0</v>
          </cell>
          <cell r="P381">
            <v>0</v>
          </cell>
          <cell r="Q381">
            <v>0</v>
          </cell>
          <cell r="R381">
            <v>0</v>
          </cell>
        </row>
        <row r="382">
          <cell r="A382" t="str">
            <v>06.04.05.01</v>
          </cell>
          <cell r="B382" t="str">
            <v>CONCRETO EN VIGAS F'C=210 KG/CM2</v>
          </cell>
          <cell r="C382" t="str">
            <v>m3</v>
          </cell>
          <cell r="D382">
            <v>17.75</v>
          </cell>
          <cell r="E382">
            <v>486.07</v>
          </cell>
          <cell r="F382">
            <v>8627.7425000000003</v>
          </cell>
          <cell r="G382">
            <v>0</v>
          </cell>
          <cell r="H382">
            <v>0</v>
          </cell>
          <cell r="I382" t="str">
            <v>0.00%</v>
          </cell>
          <cell r="J382">
            <v>0</v>
          </cell>
          <cell r="K382">
            <v>0</v>
          </cell>
          <cell r="L382" t="str">
            <v>0.00%</v>
          </cell>
          <cell r="M382">
            <v>0</v>
          </cell>
          <cell r="N382">
            <v>0</v>
          </cell>
          <cell r="O382" t="str">
            <v>0.00%</v>
          </cell>
          <cell r="P382">
            <v>17.75</v>
          </cell>
          <cell r="Q382">
            <v>8627.7425000000003</v>
          </cell>
          <cell r="R382">
            <v>1</v>
          </cell>
        </row>
        <row r="383">
          <cell r="A383" t="str">
            <v>06.04.05.02</v>
          </cell>
          <cell r="B383" t="str">
            <v>ACERO F'Y=4200 KG/CM2 GRADO 60 EN VIGAS</v>
          </cell>
          <cell r="C383" t="str">
            <v>kg</v>
          </cell>
          <cell r="D383">
            <v>1666.32</v>
          </cell>
          <cell r="E383">
            <v>4.5</v>
          </cell>
          <cell r="F383">
            <v>7498.44</v>
          </cell>
          <cell r="G383">
            <v>0</v>
          </cell>
          <cell r="H383">
            <v>0</v>
          </cell>
          <cell r="I383" t="str">
            <v>0.00%</v>
          </cell>
          <cell r="J383">
            <v>0</v>
          </cell>
          <cell r="K383">
            <v>0</v>
          </cell>
          <cell r="L383" t="str">
            <v>0.00%</v>
          </cell>
          <cell r="M383">
            <v>0</v>
          </cell>
          <cell r="N383">
            <v>0</v>
          </cell>
          <cell r="O383" t="str">
            <v>0.00%</v>
          </cell>
          <cell r="P383">
            <v>1666.32</v>
          </cell>
          <cell r="Q383">
            <v>7498.44</v>
          </cell>
          <cell r="R383">
            <v>1</v>
          </cell>
        </row>
        <row r="384">
          <cell r="A384" t="str">
            <v>06.04.05.03</v>
          </cell>
          <cell r="B384" t="str">
            <v>ENCOFRADO Y DESNCOFRADO NORMAL EN VIGAS</v>
          </cell>
          <cell r="C384" t="str">
            <v>m2</v>
          </cell>
          <cell r="D384">
            <v>319.38</v>
          </cell>
          <cell r="E384">
            <v>54.02</v>
          </cell>
          <cell r="F384">
            <v>17252.907600000002</v>
          </cell>
          <cell r="G384">
            <v>0</v>
          </cell>
          <cell r="H384">
            <v>0</v>
          </cell>
          <cell r="I384" t="str">
            <v>0.00%</v>
          </cell>
          <cell r="J384">
            <v>0</v>
          </cell>
          <cell r="K384">
            <v>0</v>
          </cell>
          <cell r="L384" t="str">
            <v>0.00%</v>
          </cell>
          <cell r="M384">
            <v>0</v>
          </cell>
          <cell r="N384">
            <v>0</v>
          </cell>
          <cell r="O384" t="str">
            <v>0.00%</v>
          </cell>
          <cell r="P384">
            <v>319.38</v>
          </cell>
          <cell r="Q384">
            <v>17252.907600000002</v>
          </cell>
          <cell r="R384">
            <v>1</v>
          </cell>
        </row>
        <row r="385">
          <cell r="A385" t="str">
            <v>06.04.06</v>
          </cell>
          <cell r="B385" t="str">
            <v>VIGUETAS DE VANOS</v>
          </cell>
          <cell r="C385">
            <v>0</v>
          </cell>
          <cell r="D385">
            <v>0</v>
          </cell>
          <cell r="E385">
            <v>0</v>
          </cell>
          <cell r="F385">
            <v>0</v>
          </cell>
          <cell r="G385">
            <v>0</v>
          </cell>
          <cell r="H385">
            <v>0</v>
          </cell>
          <cell r="I385">
            <v>0</v>
          </cell>
          <cell r="J385">
            <v>0</v>
          </cell>
          <cell r="K385">
            <v>0</v>
          </cell>
          <cell r="L385">
            <v>0</v>
          </cell>
          <cell r="M385">
            <v>0</v>
          </cell>
          <cell r="N385">
            <v>0</v>
          </cell>
          <cell r="O385">
            <v>0</v>
          </cell>
          <cell r="P385">
            <v>0</v>
          </cell>
          <cell r="Q385">
            <v>0</v>
          </cell>
          <cell r="R385">
            <v>0</v>
          </cell>
        </row>
        <row r="386">
          <cell r="A386" t="str">
            <v>06.04.06.01</v>
          </cell>
          <cell r="B386" t="str">
            <v>CONCRETO EN VIGUETAS DE VANO F'C=175 KG/CM2</v>
          </cell>
          <cell r="C386" t="str">
            <v>m3</v>
          </cell>
          <cell r="D386">
            <v>2.14</v>
          </cell>
          <cell r="E386">
            <v>271.35000000000002</v>
          </cell>
          <cell r="F386">
            <v>580.68900000000008</v>
          </cell>
          <cell r="G386">
            <v>0</v>
          </cell>
          <cell r="H386">
            <v>0</v>
          </cell>
          <cell r="I386" t="str">
            <v>0.00%</v>
          </cell>
          <cell r="J386">
            <v>0</v>
          </cell>
          <cell r="K386">
            <v>0</v>
          </cell>
          <cell r="L386" t="str">
            <v>0.00%</v>
          </cell>
          <cell r="M386">
            <v>0</v>
          </cell>
          <cell r="N386">
            <v>0</v>
          </cell>
          <cell r="O386" t="str">
            <v>0.00%</v>
          </cell>
          <cell r="P386">
            <v>2.14</v>
          </cell>
          <cell r="Q386">
            <v>580.68900000000008</v>
          </cell>
          <cell r="R386">
            <v>1</v>
          </cell>
        </row>
        <row r="387">
          <cell r="A387" t="str">
            <v>06.04.06.02</v>
          </cell>
          <cell r="B387" t="str">
            <v>ACERO GRADO 60 EN VIGUETAS DE VANO</v>
          </cell>
          <cell r="C387" t="str">
            <v>kg</v>
          </cell>
          <cell r="D387">
            <v>181.28</v>
          </cell>
          <cell r="E387">
            <v>4.5</v>
          </cell>
          <cell r="F387">
            <v>815.76</v>
          </cell>
          <cell r="G387">
            <v>0</v>
          </cell>
          <cell r="H387">
            <v>0</v>
          </cell>
          <cell r="I387" t="str">
            <v>0.00%</v>
          </cell>
          <cell r="J387">
            <v>0</v>
          </cell>
          <cell r="K387">
            <v>0</v>
          </cell>
          <cell r="L387" t="str">
            <v>0.00%</v>
          </cell>
          <cell r="M387">
            <v>0</v>
          </cell>
          <cell r="N387">
            <v>0</v>
          </cell>
          <cell r="O387" t="str">
            <v>0.00%</v>
          </cell>
          <cell r="P387">
            <v>181.28</v>
          </cell>
          <cell r="Q387">
            <v>815.76</v>
          </cell>
          <cell r="R387">
            <v>1</v>
          </cell>
        </row>
        <row r="388">
          <cell r="A388" t="str">
            <v>06.04.06.03</v>
          </cell>
          <cell r="B388" t="str">
            <v>ENCOFRADO Y DESENCOFRADO EN VIGUETAS DE VANO</v>
          </cell>
          <cell r="C388" t="str">
            <v>m2</v>
          </cell>
          <cell r="D388">
            <v>31.42</v>
          </cell>
          <cell r="E388">
            <v>41.63</v>
          </cell>
          <cell r="F388">
            <v>1308.0146000000002</v>
          </cell>
          <cell r="G388">
            <v>0</v>
          </cell>
          <cell r="H388">
            <v>0</v>
          </cell>
          <cell r="I388" t="str">
            <v>0.00%</v>
          </cell>
          <cell r="J388">
            <v>0</v>
          </cell>
          <cell r="K388">
            <v>0</v>
          </cell>
          <cell r="L388" t="str">
            <v>0.00%</v>
          </cell>
          <cell r="M388">
            <v>0</v>
          </cell>
          <cell r="N388">
            <v>0</v>
          </cell>
          <cell r="O388" t="str">
            <v>0.00%</v>
          </cell>
          <cell r="P388">
            <v>31.42</v>
          </cell>
          <cell r="Q388">
            <v>1308.0146000000002</v>
          </cell>
          <cell r="R388">
            <v>1</v>
          </cell>
        </row>
        <row r="389">
          <cell r="A389" t="str">
            <v>06.04.07</v>
          </cell>
          <cell r="B389" t="str">
            <v>LOSAS ALIGERADAS</v>
          </cell>
          <cell r="C389">
            <v>0</v>
          </cell>
          <cell r="D389">
            <v>0</v>
          </cell>
          <cell r="E389">
            <v>0</v>
          </cell>
          <cell r="F389">
            <v>0</v>
          </cell>
          <cell r="G389">
            <v>0</v>
          </cell>
          <cell r="H389">
            <v>0</v>
          </cell>
          <cell r="I389">
            <v>0</v>
          </cell>
          <cell r="J389">
            <v>0</v>
          </cell>
          <cell r="K389">
            <v>0</v>
          </cell>
          <cell r="L389">
            <v>0</v>
          </cell>
          <cell r="M389">
            <v>0</v>
          </cell>
          <cell r="N389">
            <v>0</v>
          </cell>
          <cell r="O389">
            <v>0</v>
          </cell>
          <cell r="P389">
            <v>0</v>
          </cell>
          <cell r="Q389">
            <v>0</v>
          </cell>
          <cell r="R389">
            <v>0</v>
          </cell>
        </row>
        <row r="390">
          <cell r="A390" t="str">
            <v>06.04.07.01</v>
          </cell>
          <cell r="B390" t="str">
            <v>CONCRETO EN LOSAS ALIGERADAS F'C=210 KG/CM2</v>
          </cell>
          <cell r="C390" t="str">
            <v>m3</v>
          </cell>
          <cell r="D390">
            <v>20.45</v>
          </cell>
          <cell r="E390">
            <v>487.24</v>
          </cell>
          <cell r="F390">
            <v>9964.0579999999991</v>
          </cell>
          <cell r="G390">
            <v>0</v>
          </cell>
          <cell r="H390">
            <v>0</v>
          </cell>
          <cell r="I390" t="str">
            <v>0.00%</v>
          </cell>
          <cell r="J390">
            <v>0</v>
          </cell>
          <cell r="K390">
            <v>0</v>
          </cell>
          <cell r="L390" t="str">
            <v>0.00%</v>
          </cell>
          <cell r="M390">
            <v>0</v>
          </cell>
          <cell r="N390">
            <v>0</v>
          </cell>
          <cell r="O390" t="str">
            <v>0.00%</v>
          </cell>
          <cell r="P390">
            <v>20.45</v>
          </cell>
          <cell r="Q390">
            <v>9964.0579999999991</v>
          </cell>
          <cell r="R390">
            <v>1</v>
          </cell>
        </row>
        <row r="391">
          <cell r="A391" t="str">
            <v>06.04.07.02</v>
          </cell>
          <cell r="B391" t="str">
            <v>ACERO F'Y=4200 KG/CM2 GRADO 60 EN LOSAS ALIGERADAS</v>
          </cell>
          <cell r="C391" t="str">
            <v>kg</v>
          </cell>
          <cell r="D391">
            <v>1086.83</v>
          </cell>
          <cell r="E391">
            <v>4.5</v>
          </cell>
          <cell r="F391">
            <v>4890.7349999999997</v>
          </cell>
          <cell r="G391">
            <v>0</v>
          </cell>
          <cell r="H391">
            <v>0</v>
          </cell>
          <cell r="I391" t="str">
            <v>0.00%</v>
          </cell>
          <cell r="J391">
            <v>0</v>
          </cell>
          <cell r="K391">
            <v>0</v>
          </cell>
          <cell r="L391" t="str">
            <v>0.00%</v>
          </cell>
          <cell r="M391">
            <v>0</v>
          </cell>
          <cell r="N391">
            <v>0</v>
          </cell>
          <cell r="O391" t="str">
            <v>0.00%</v>
          </cell>
          <cell r="P391">
            <v>1086.83</v>
          </cell>
          <cell r="Q391">
            <v>4890.7349999999997</v>
          </cell>
          <cell r="R391">
            <v>1</v>
          </cell>
        </row>
        <row r="392">
          <cell r="A392" t="str">
            <v>06.04.07.03</v>
          </cell>
          <cell r="B392" t="str">
            <v>ENCOFRADO Y DESENCOFRADO NORMAL EN LOSAS ALIGERADAS</v>
          </cell>
          <cell r="C392" t="str">
            <v>m2</v>
          </cell>
          <cell r="D392">
            <v>259.22000000000003</v>
          </cell>
          <cell r="E392">
            <v>29.08</v>
          </cell>
          <cell r="F392">
            <v>7538.1176000000005</v>
          </cell>
          <cell r="G392">
            <v>0</v>
          </cell>
          <cell r="H392">
            <v>0</v>
          </cell>
          <cell r="I392" t="str">
            <v>0.00%</v>
          </cell>
          <cell r="J392">
            <v>0</v>
          </cell>
          <cell r="K392">
            <v>0</v>
          </cell>
          <cell r="L392" t="str">
            <v>0.00%</v>
          </cell>
          <cell r="M392">
            <v>0</v>
          </cell>
          <cell r="N392">
            <v>0</v>
          </cell>
          <cell r="O392" t="str">
            <v>0.00%</v>
          </cell>
          <cell r="P392">
            <v>259.22000000000003</v>
          </cell>
          <cell r="Q392">
            <v>7538.1176000000005</v>
          </cell>
          <cell r="R392">
            <v>1</v>
          </cell>
        </row>
        <row r="393">
          <cell r="A393" t="str">
            <v>06.04.07.04</v>
          </cell>
          <cell r="B393" t="str">
            <v>LADRILLO DE ARCILLA HUECO 15X30X30 PARA TECHO</v>
          </cell>
          <cell r="C393" t="str">
            <v>und</v>
          </cell>
          <cell r="D393">
            <v>2770.11</v>
          </cell>
          <cell r="E393">
            <v>4.66</v>
          </cell>
          <cell r="F393">
            <v>12908.712600000001</v>
          </cell>
          <cell r="G393">
            <v>0</v>
          </cell>
          <cell r="H393">
            <v>0</v>
          </cell>
          <cell r="I393" t="str">
            <v>0.00%</v>
          </cell>
          <cell r="J393">
            <v>0</v>
          </cell>
          <cell r="K393">
            <v>0</v>
          </cell>
          <cell r="L393" t="str">
            <v>0.00%</v>
          </cell>
          <cell r="M393">
            <v>0</v>
          </cell>
          <cell r="N393">
            <v>0</v>
          </cell>
          <cell r="O393" t="str">
            <v>0.00%</v>
          </cell>
          <cell r="P393">
            <v>2770.11</v>
          </cell>
          <cell r="Q393">
            <v>12908.712600000001</v>
          </cell>
          <cell r="R393">
            <v>1</v>
          </cell>
        </row>
        <row r="394">
          <cell r="A394" t="str">
            <v>06.04.08</v>
          </cell>
          <cell r="B394" t="str">
            <v>PLACAS</v>
          </cell>
          <cell r="C394">
            <v>0</v>
          </cell>
          <cell r="D394">
            <v>0</v>
          </cell>
          <cell r="E394">
            <v>0</v>
          </cell>
          <cell r="F394">
            <v>0</v>
          </cell>
          <cell r="G394">
            <v>0</v>
          </cell>
          <cell r="H394">
            <v>0</v>
          </cell>
          <cell r="I394">
            <v>0</v>
          </cell>
          <cell r="J394">
            <v>0</v>
          </cell>
          <cell r="K394">
            <v>0</v>
          </cell>
          <cell r="L394">
            <v>0</v>
          </cell>
          <cell r="M394">
            <v>0</v>
          </cell>
          <cell r="N394">
            <v>0</v>
          </cell>
          <cell r="O394">
            <v>0</v>
          </cell>
          <cell r="P394">
            <v>0</v>
          </cell>
          <cell r="Q394">
            <v>0</v>
          </cell>
          <cell r="R394">
            <v>0</v>
          </cell>
        </row>
        <row r="395">
          <cell r="A395" t="str">
            <v>06.04.08.01</v>
          </cell>
          <cell r="B395" t="str">
            <v>CONCRETO EN PLACAS F'C= 210 KG/CM2</v>
          </cell>
          <cell r="C395" t="str">
            <v>m3</v>
          </cell>
          <cell r="D395">
            <v>23.84</v>
          </cell>
          <cell r="E395">
            <v>547.66</v>
          </cell>
          <cell r="F395">
            <v>13056.214399999999</v>
          </cell>
          <cell r="G395">
            <v>0</v>
          </cell>
          <cell r="H395">
            <v>0</v>
          </cell>
          <cell r="I395" t="str">
            <v>0.00%</v>
          </cell>
          <cell r="J395">
            <v>12</v>
          </cell>
          <cell r="K395">
            <v>6571.92</v>
          </cell>
          <cell r="L395">
            <v>0.50335570469798663</v>
          </cell>
          <cell r="M395">
            <v>12</v>
          </cell>
          <cell r="N395">
            <v>6571.92</v>
          </cell>
          <cell r="O395">
            <v>0.50335570469798663</v>
          </cell>
          <cell r="P395">
            <v>11.84</v>
          </cell>
          <cell r="Q395">
            <v>6484.2943999999989</v>
          </cell>
          <cell r="R395">
            <v>0.49664429530201337</v>
          </cell>
        </row>
        <row r="396">
          <cell r="A396" t="str">
            <v>06.04.08.02</v>
          </cell>
          <cell r="B396" t="str">
            <v>ACERO F'Y=4200 KG/CM2 EN PLACAS</v>
          </cell>
          <cell r="C396" t="str">
            <v>kg</v>
          </cell>
          <cell r="D396">
            <v>2863</v>
          </cell>
          <cell r="E396">
            <v>4.04</v>
          </cell>
          <cell r="F396">
            <v>11566.52</v>
          </cell>
          <cell r="G396">
            <v>618.85599999999999</v>
          </cell>
          <cell r="H396">
            <v>2500.1782400000002</v>
          </cell>
          <cell r="I396">
            <v>0.21615647921760392</v>
          </cell>
          <cell r="J396">
            <v>1121.904</v>
          </cell>
          <cell r="K396">
            <v>4532.4921599999998</v>
          </cell>
          <cell r="L396">
            <v>0.39186308068459652</v>
          </cell>
          <cell r="M396">
            <v>1740.76</v>
          </cell>
          <cell r="N396">
            <v>7032.6704</v>
          </cell>
          <cell r="O396">
            <v>0.60801955990220047</v>
          </cell>
          <cell r="P396">
            <v>1122.24</v>
          </cell>
          <cell r="Q396">
            <v>4533.8496000000005</v>
          </cell>
          <cell r="R396">
            <v>0.39198044009779953</v>
          </cell>
        </row>
        <row r="397">
          <cell r="A397" t="str">
            <v>06.04.08.03</v>
          </cell>
          <cell r="B397" t="str">
            <v>ENCOFRADO Y DESENCOF EN PLACAS</v>
          </cell>
          <cell r="C397" t="str">
            <v>m2</v>
          </cell>
          <cell r="D397">
            <v>150.4</v>
          </cell>
          <cell r="E397">
            <v>38.049999999999997</v>
          </cell>
          <cell r="F397">
            <v>5722.7199999999993</v>
          </cell>
          <cell r="G397">
            <v>12.8</v>
          </cell>
          <cell r="H397">
            <v>487.03999999999996</v>
          </cell>
          <cell r="I397">
            <v>8.5106382978723402E-2</v>
          </cell>
          <cell r="J397">
            <v>67.2</v>
          </cell>
          <cell r="K397">
            <v>2556.96</v>
          </cell>
          <cell r="L397">
            <v>0.44680851063829791</v>
          </cell>
          <cell r="M397">
            <v>80</v>
          </cell>
          <cell r="N397">
            <v>3044</v>
          </cell>
          <cell r="O397">
            <v>0.53191489361702138</v>
          </cell>
          <cell r="P397">
            <v>70.400000000000006</v>
          </cell>
          <cell r="Q397">
            <v>2678.7199999999993</v>
          </cell>
          <cell r="R397">
            <v>0.46808510638297868</v>
          </cell>
        </row>
        <row r="398">
          <cell r="A398" t="str">
            <v>06.04.09</v>
          </cell>
          <cell r="B398" t="str">
            <v>CUNETA DE  EVACUACION PLUVIAL EN TECHO</v>
          </cell>
          <cell r="C398">
            <v>0</v>
          </cell>
          <cell r="D398">
            <v>0</v>
          </cell>
          <cell r="E398">
            <v>0</v>
          </cell>
          <cell r="F398">
            <v>0</v>
          </cell>
          <cell r="G398">
            <v>0</v>
          </cell>
          <cell r="H398">
            <v>0</v>
          </cell>
          <cell r="I398">
            <v>0</v>
          </cell>
          <cell r="J398">
            <v>0</v>
          </cell>
          <cell r="K398">
            <v>0</v>
          </cell>
          <cell r="L398">
            <v>0</v>
          </cell>
          <cell r="M398">
            <v>0</v>
          </cell>
          <cell r="N398">
            <v>0</v>
          </cell>
          <cell r="O398">
            <v>0</v>
          </cell>
          <cell r="P398">
            <v>0</v>
          </cell>
          <cell r="Q398">
            <v>0</v>
          </cell>
          <cell r="R398">
            <v>0</v>
          </cell>
        </row>
        <row r="399">
          <cell r="A399" t="str">
            <v>06.04.09.01</v>
          </cell>
          <cell r="B399" t="str">
            <v>CONCRETO EN CUNETA F'C= 210 KG/CM2</v>
          </cell>
          <cell r="C399" t="str">
            <v>m3</v>
          </cell>
          <cell r="D399">
            <v>0.96</v>
          </cell>
          <cell r="E399">
            <v>482.39</v>
          </cell>
          <cell r="F399">
            <v>463.09439999999995</v>
          </cell>
          <cell r="G399">
            <v>0</v>
          </cell>
          <cell r="H399">
            <v>0</v>
          </cell>
          <cell r="I399" t="str">
            <v>0.00%</v>
          </cell>
          <cell r="J399">
            <v>0</v>
          </cell>
          <cell r="K399">
            <v>0</v>
          </cell>
          <cell r="L399" t="str">
            <v>0.00%</v>
          </cell>
          <cell r="M399">
            <v>0</v>
          </cell>
          <cell r="N399">
            <v>0</v>
          </cell>
          <cell r="O399" t="str">
            <v>0.00%</v>
          </cell>
          <cell r="P399">
            <v>0.96</v>
          </cell>
          <cell r="Q399">
            <v>463.09439999999995</v>
          </cell>
          <cell r="R399">
            <v>1</v>
          </cell>
        </row>
        <row r="400">
          <cell r="A400" t="str">
            <v>06.04.09.02</v>
          </cell>
          <cell r="B400" t="str">
            <v>ACERO F'Y=4200 KG/CM2 GRADO 60 EN CUNETA</v>
          </cell>
          <cell r="C400" t="str">
            <v>kg</v>
          </cell>
          <cell r="D400">
            <v>87.6</v>
          </cell>
          <cell r="E400">
            <v>4.4400000000000004</v>
          </cell>
          <cell r="F400">
            <v>388.94400000000002</v>
          </cell>
          <cell r="G400">
            <v>0</v>
          </cell>
          <cell r="H400">
            <v>0</v>
          </cell>
          <cell r="I400" t="str">
            <v>0.00%</v>
          </cell>
          <cell r="J400">
            <v>0</v>
          </cell>
          <cell r="K400">
            <v>0</v>
          </cell>
          <cell r="L400" t="str">
            <v>0.00%</v>
          </cell>
          <cell r="M400">
            <v>0</v>
          </cell>
          <cell r="N400">
            <v>0</v>
          </cell>
          <cell r="O400" t="str">
            <v>0.00%</v>
          </cell>
          <cell r="P400">
            <v>87.6</v>
          </cell>
          <cell r="Q400">
            <v>388.94400000000002</v>
          </cell>
          <cell r="R400">
            <v>1</v>
          </cell>
        </row>
        <row r="401">
          <cell r="A401" t="str">
            <v>06.04.09.03</v>
          </cell>
          <cell r="B401" t="str">
            <v>ENCOFRADO Y DESENCOFRADO NORMAL EN CUNETAS</v>
          </cell>
          <cell r="C401" t="str">
            <v>m2</v>
          </cell>
          <cell r="D401">
            <v>19.260000000000002</v>
          </cell>
          <cell r="E401">
            <v>44.85</v>
          </cell>
          <cell r="F401">
            <v>863.81100000000015</v>
          </cell>
          <cell r="G401">
            <v>0</v>
          </cell>
          <cell r="H401">
            <v>0</v>
          </cell>
          <cell r="I401" t="str">
            <v>0.00%</v>
          </cell>
          <cell r="J401">
            <v>0</v>
          </cell>
          <cell r="K401">
            <v>0</v>
          </cell>
          <cell r="L401" t="str">
            <v>0.00%</v>
          </cell>
          <cell r="M401">
            <v>0</v>
          </cell>
          <cell r="N401">
            <v>0</v>
          </cell>
          <cell r="O401" t="str">
            <v>0.00%</v>
          </cell>
          <cell r="P401">
            <v>19.260000000000002</v>
          </cell>
          <cell r="Q401">
            <v>863.81100000000015</v>
          </cell>
          <cell r="R401">
            <v>1</v>
          </cell>
        </row>
        <row r="402">
          <cell r="A402" t="str">
            <v>06.05</v>
          </cell>
          <cell r="B402" t="str">
            <v>JUNTAS DE CONSTRUCCION</v>
          </cell>
          <cell r="C402">
            <v>0</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row>
        <row r="403">
          <cell r="A403" t="str">
            <v>06.05.01</v>
          </cell>
          <cell r="B403" t="str">
            <v>JUNTAS DE TEKNOPOR DE  1"</v>
          </cell>
          <cell r="C403" t="str">
            <v>m</v>
          </cell>
          <cell r="D403">
            <v>9.6</v>
          </cell>
          <cell r="E403">
            <v>9.0500000000000007</v>
          </cell>
          <cell r="F403">
            <v>86.88000000000001</v>
          </cell>
          <cell r="G403">
            <v>0</v>
          </cell>
          <cell r="H403">
            <v>0</v>
          </cell>
          <cell r="I403" t="str">
            <v>0.00%</v>
          </cell>
          <cell r="J403">
            <v>0</v>
          </cell>
          <cell r="K403">
            <v>0</v>
          </cell>
          <cell r="L403" t="str">
            <v>0.00%</v>
          </cell>
          <cell r="M403">
            <v>0</v>
          </cell>
          <cell r="N403">
            <v>0</v>
          </cell>
          <cell r="O403" t="str">
            <v>0.00%</v>
          </cell>
          <cell r="P403">
            <v>9.6</v>
          </cell>
          <cell r="Q403">
            <v>86.88000000000001</v>
          </cell>
          <cell r="R403">
            <v>1</v>
          </cell>
        </row>
        <row r="404">
          <cell r="A404" t="str">
            <v>06.06</v>
          </cell>
          <cell r="B404" t="str">
            <v>PRUEBAS</v>
          </cell>
          <cell r="C404">
            <v>0</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row>
        <row r="405">
          <cell r="A405" t="str">
            <v>06.06.01</v>
          </cell>
          <cell r="B405" t="str">
            <v>PRUEBA DE CALIDAD DEL CONCRETO (PRUEBA A LA COMPRESION)</v>
          </cell>
          <cell r="C405" t="str">
            <v>und</v>
          </cell>
          <cell r="D405">
            <v>5</v>
          </cell>
          <cell r="E405">
            <v>40</v>
          </cell>
          <cell r="F405">
            <v>200</v>
          </cell>
          <cell r="G405">
            <v>0</v>
          </cell>
          <cell r="H405">
            <v>0</v>
          </cell>
          <cell r="I405" t="str">
            <v>0.00%</v>
          </cell>
          <cell r="J405">
            <v>0</v>
          </cell>
          <cell r="K405">
            <v>0</v>
          </cell>
          <cell r="L405" t="str">
            <v>0.00%</v>
          </cell>
          <cell r="M405">
            <v>0</v>
          </cell>
          <cell r="N405">
            <v>0</v>
          </cell>
          <cell r="O405" t="str">
            <v>0.00%</v>
          </cell>
          <cell r="P405">
            <v>5</v>
          </cell>
          <cell r="Q405">
            <v>200</v>
          </cell>
          <cell r="R405">
            <v>1</v>
          </cell>
        </row>
        <row r="406">
          <cell r="A406" t="str">
            <v>07</v>
          </cell>
          <cell r="B406" t="str">
            <v>OBRAS EXTERIORES</v>
          </cell>
          <cell r="C406">
            <v>0</v>
          </cell>
          <cell r="D406">
            <v>0</v>
          </cell>
          <cell r="E406">
            <v>0</v>
          </cell>
          <cell r="F406">
            <v>0</v>
          </cell>
          <cell r="G406">
            <v>0</v>
          </cell>
          <cell r="H406">
            <v>0</v>
          </cell>
          <cell r="I406">
            <v>0</v>
          </cell>
          <cell r="J406">
            <v>0</v>
          </cell>
          <cell r="K406">
            <v>0</v>
          </cell>
          <cell r="L406">
            <v>0</v>
          </cell>
          <cell r="M406">
            <v>0</v>
          </cell>
          <cell r="N406">
            <v>0</v>
          </cell>
          <cell r="O406">
            <v>0</v>
          </cell>
          <cell r="P406">
            <v>0</v>
          </cell>
          <cell r="Q406">
            <v>0</v>
          </cell>
          <cell r="R406">
            <v>0</v>
          </cell>
        </row>
        <row r="407">
          <cell r="A407" t="str">
            <v>07.01</v>
          </cell>
          <cell r="B407" t="str">
            <v>LOSA DEPORTIVA</v>
          </cell>
          <cell r="C407">
            <v>0</v>
          </cell>
          <cell r="D407">
            <v>0</v>
          </cell>
          <cell r="E407">
            <v>0</v>
          </cell>
          <cell r="F407">
            <v>0</v>
          </cell>
          <cell r="G407">
            <v>0</v>
          </cell>
          <cell r="H407">
            <v>0</v>
          </cell>
          <cell r="I407">
            <v>0</v>
          </cell>
          <cell r="J407">
            <v>0</v>
          </cell>
          <cell r="K407">
            <v>0</v>
          </cell>
          <cell r="L407">
            <v>0</v>
          </cell>
          <cell r="M407">
            <v>0</v>
          </cell>
          <cell r="N407">
            <v>0</v>
          </cell>
          <cell r="O407">
            <v>0</v>
          </cell>
          <cell r="P407">
            <v>0</v>
          </cell>
          <cell r="Q407">
            <v>0</v>
          </cell>
          <cell r="R407">
            <v>0</v>
          </cell>
        </row>
        <row r="408">
          <cell r="A408" t="str">
            <v>07.01.01</v>
          </cell>
          <cell r="B408" t="str">
            <v>TRABAJOS PRELIMINARES</v>
          </cell>
          <cell r="C408">
            <v>0</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row>
        <row r="409">
          <cell r="A409" t="str">
            <v>07.01.01.01</v>
          </cell>
          <cell r="B409" t="str">
            <v>LIMPIEZA DE TERRENO MANUAL</v>
          </cell>
          <cell r="C409" t="str">
            <v>m2</v>
          </cell>
          <cell r="D409">
            <v>243.49</v>
          </cell>
          <cell r="E409">
            <v>1.0900000000000001</v>
          </cell>
          <cell r="F409">
            <v>265.40410000000003</v>
          </cell>
          <cell r="G409">
            <v>0</v>
          </cell>
          <cell r="H409">
            <v>0</v>
          </cell>
          <cell r="I409" t="str">
            <v>0.00%</v>
          </cell>
          <cell r="J409">
            <v>0</v>
          </cell>
          <cell r="K409">
            <v>0</v>
          </cell>
          <cell r="L409" t="str">
            <v>0.00%</v>
          </cell>
          <cell r="M409">
            <v>0</v>
          </cell>
          <cell r="N409">
            <v>0</v>
          </cell>
          <cell r="O409" t="str">
            <v>0.00%</v>
          </cell>
          <cell r="P409">
            <v>243.49</v>
          </cell>
          <cell r="Q409">
            <v>265.40410000000003</v>
          </cell>
          <cell r="R409">
            <v>1</v>
          </cell>
        </row>
        <row r="410">
          <cell r="A410" t="str">
            <v>07.01.01.02</v>
          </cell>
          <cell r="B410" t="str">
            <v>TRAZO DURANTE LA EJECUCION DE LA OBRA</v>
          </cell>
          <cell r="C410" t="str">
            <v>m2</v>
          </cell>
          <cell r="D410">
            <v>243.49</v>
          </cell>
          <cell r="E410">
            <v>3.49</v>
          </cell>
          <cell r="F410">
            <v>849.78010000000006</v>
          </cell>
          <cell r="G410">
            <v>0</v>
          </cell>
          <cell r="H410">
            <v>0</v>
          </cell>
          <cell r="I410" t="str">
            <v>0.00%</v>
          </cell>
          <cell r="J410">
            <v>0</v>
          </cell>
          <cell r="K410">
            <v>0</v>
          </cell>
          <cell r="L410" t="str">
            <v>0.00%</v>
          </cell>
          <cell r="M410">
            <v>0</v>
          </cell>
          <cell r="N410">
            <v>0</v>
          </cell>
          <cell r="O410" t="str">
            <v>0.00%</v>
          </cell>
          <cell r="P410">
            <v>243.49</v>
          </cell>
          <cell r="Q410">
            <v>849.78010000000006</v>
          </cell>
          <cell r="R410">
            <v>1</v>
          </cell>
        </row>
        <row r="411">
          <cell r="A411" t="str">
            <v>07.01.02</v>
          </cell>
          <cell r="B411" t="str">
            <v>MOVIMIENTO DE TIERRAS</v>
          </cell>
          <cell r="C411">
            <v>0</v>
          </cell>
          <cell r="D411">
            <v>0</v>
          </cell>
          <cell r="E411">
            <v>0</v>
          </cell>
          <cell r="F411">
            <v>0</v>
          </cell>
          <cell r="G411">
            <v>0</v>
          </cell>
          <cell r="H411">
            <v>0</v>
          </cell>
          <cell r="I411">
            <v>0</v>
          </cell>
          <cell r="J411">
            <v>0</v>
          </cell>
          <cell r="K411">
            <v>0</v>
          </cell>
          <cell r="L411">
            <v>0</v>
          </cell>
          <cell r="M411">
            <v>0</v>
          </cell>
          <cell r="N411">
            <v>0</v>
          </cell>
          <cell r="O411">
            <v>0</v>
          </cell>
          <cell r="P411">
            <v>0</v>
          </cell>
          <cell r="Q411">
            <v>0</v>
          </cell>
          <cell r="R411">
            <v>0</v>
          </cell>
        </row>
        <row r="412">
          <cell r="A412" t="str">
            <v>07.01.02.01</v>
          </cell>
          <cell r="B412" t="str">
            <v xml:space="preserve">EXCAVACION PARA CIMIENTOS-ZAPATAS </v>
          </cell>
          <cell r="C412" t="str">
            <v>m3</v>
          </cell>
          <cell r="D412">
            <v>11.2</v>
          </cell>
          <cell r="E412">
            <v>44.73</v>
          </cell>
          <cell r="F412">
            <v>500.97599999999994</v>
          </cell>
          <cell r="G412">
            <v>0</v>
          </cell>
          <cell r="H412">
            <v>0</v>
          </cell>
          <cell r="I412" t="str">
            <v>0.00%</v>
          </cell>
          <cell r="J412">
            <v>0</v>
          </cell>
          <cell r="K412">
            <v>0</v>
          </cell>
          <cell r="L412" t="str">
            <v>0.00%</v>
          </cell>
          <cell r="M412">
            <v>0</v>
          </cell>
          <cell r="N412">
            <v>0</v>
          </cell>
          <cell r="O412" t="str">
            <v>0.00%</v>
          </cell>
          <cell r="P412">
            <v>11.2</v>
          </cell>
          <cell r="Q412">
            <v>500.97599999999994</v>
          </cell>
          <cell r="R412">
            <v>1</v>
          </cell>
        </row>
        <row r="413">
          <cell r="A413" t="str">
            <v>07.01.02.02</v>
          </cell>
          <cell r="B413" t="str">
            <v>EXCAVACION MANUAL EN TERRENO NORMAL h=0.30cm</v>
          </cell>
          <cell r="C413" t="str">
            <v>m3</v>
          </cell>
          <cell r="D413">
            <v>24.35</v>
          </cell>
          <cell r="E413">
            <v>38.020000000000003</v>
          </cell>
          <cell r="F413">
            <v>925.78700000000015</v>
          </cell>
          <cell r="G413">
            <v>0</v>
          </cell>
          <cell r="H413">
            <v>0</v>
          </cell>
          <cell r="I413" t="str">
            <v>0.00%</v>
          </cell>
          <cell r="J413">
            <v>0</v>
          </cell>
          <cell r="K413">
            <v>0</v>
          </cell>
          <cell r="L413" t="str">
            <v>0.00%</v>
          </cell>
          <cell r="M413">
            <v>0</v>
          </cell>
          <cell r="N413">
            <v>0</v>
          </cell>
          <cell r="O413" t="str">
            <v>0.00%</v>
          </cell>
          <cell r="P413">
            <v>24.35</v>
          </cell>
          <cell r="Q413">
            <v>925.78700000000015</v>
          </cell>
          <cell r="R413">
            <v>1</v>
          </cell>
        </row>
        <row r="414">
          <cell r="A414" t="str">
            <v>07.01.02.03</v>
          </cell>
          <cell r="B414" t="str">
            <v>RELLENO COMPACTADO CON MATERIAL PROPIO EN CAPAS DE 0.20m.</v>
          </cell>
          <cell r="C414" t="str">
            <v>m3</v>
          </cell>
          <cell r="D414">
            <v>8</v>
          </cell>
          <cell r="E414">
            <v>53.95</v>
          </cell>
          <cell r="F414">
            <v>431.6</v>
          </cell>
          <cell r="G414">
            <v>0</v>
          </cell>
          <cell r="H414">
            <v>0</v>
          </cell>
          <cell r="I414" t="str">
            <v>0.00%</v>
          </cell>
          <cell r="J414">
            <v>0</v>
          </cell>
          <cell r="K414">
            <v>0</v>
          </cell>
          <cell r="L414" t="str">
            <v>0.00%</v>
          </cell>
          <cell r="M414">
            <v>0</v>
          </cell>
          <cell r="N414">
            <v>0</v>
          </cell>
          <cell r="O414" t="str">
            <v>0.00%</v>
          </cell>
          <cell r="P414">
            <v>8</v>
          </cell>
          <cell r="Q414">
            <v>431.6</v>
          </cell>
          <cell r="R414">
            <v>1</v>
          </cell>
        </row>
        <row r="415">
          <cell r="A415" t="str">
            <v>07.01.02.04</v>
          </cell>
          <cell r="B415" t="str">
            <v>ACARREO INTERNO, MATERIAL PROCEDENTE DE EXCAVACIONES  Y OTROS</v>
          </cell>
          <cell r="C415" t="str">
            <v>m3</v>
          </cell>
          <cell r="D415">
            <v>34.44</v>
          </cell>
          <cell r="E415">
            <v>19</v>
          </cell>
          <cell r="F415">
            <v>654.3599999999999</v>
          </cell>
          <cell r="G415">
            <v>0</v>
          </cell>
          <cell r="H415">
            <v>0</v>
          </cell>
          <cell r="I415" t="str">
            <v>0.00%</v>
          </cell>
          <cell r="J415">
            <v>0</v>
          </cell>
          <cell r="K415">
            <v>0</v>
          </cell>
          <cell r="L415" t="str">
            <v>0.00%</v>
          </cell>
          <cell r="M415">
            <v>0</v>
          </cell>
          <cell r="N415">
            <v>0</v>
          </cell>
          <cell r="O415" t="str">
            <v>0.00%</v>
          </cell>
          <cell r="P415">
            <v>34.44</v>
          </cell>
          <cell r="Q415">
            <v>654.3599999999999</v>
          </cell>
          <cell r="R415">
            <v>1</v>
          </cell>
        </row>
        <row r="416">
          <cell r="A416" t="str">
            <v>07.01.02.05</v>
          </cell>
          <cell r="B416" t="str">
            <v>ELIMINACION DE MATERIAL EXCEDENTE CON EQUIPO</v>
          </cell>
          <cell r="C416" t="str">
            <v>m3</v>
          </cell>
          <cell r="D416">
            <v>34.44</v>
          </cell>
          <cell r="E416">
            <v>14.64</v>
          </cell>
          <cell r="F416">
            <v>504.20159999999998</v>
          </cell>
          <cell r="G416">
            <v>0</v>
          </cell>
          <cell r="H416">
            <v>0</v>
          </cell>
          <cell r="I416" t="str">
            <v>0.00%</v>
          </cell>
          <cell r="J416">
            <v>0</v>
          </cell>
          <cell r="K416">
            <v>0</v>
          </cell>
          <cell r="L416" t="str">
            <v>0.00%</v>
          </cell>
          <cell r="M416">
            <v>0</v>
          </cell>
          <cell r="N416">
            <v>0</v>
          </cell>
          <cell r="O416" t="str">
            <v>0.00%</v>
          </cell>
          <cell r="P416">
            <v>34.44</v>
          </cell>
          <cell r="Q416">
            <v>504.20159999999998</v>
          </cell>
          <cell r="R416">
            <v>1</v>
          </cell>
        </row>
        <row r="417">
          <cell r="A417" t="str">
            <v>07.01.02.06</v>
          </cell>
          <cell r="B417" t="str">
            <v xml:space="preserve">AFIRMADO e=20 cm </v>
          </cell>
          <cell r="C417" t="str">
            <v>m3</v>
          </cell>
          <cell r="D417">
            <v>48.7</v>
          </cell>
          <cell r="E417">
            <v>82.36</v>
          </cell>
          <cell r="F417">
            <v>4010.9320000000002</v>
          </cell>
          <cell r="G417">
            <v>0</v>
          </cell>
          <cell r="H417">
            <v>0</v>
          </cell>
          <cell r="I417" t="str">
            <v>0.00%</v>
          </cell>
          <cell r="J417">
            <v>0</v>
          </cell>
          <cell r="K417">
            <v>0</v>
          </cell>
          <cell r="L417" t="str">
            <v>0.00%</v>
          </cell>
          <cell r="M417">
            <v>0</v>
          </cell>
          <cell r="N417">
            <v>0</v>
          </cell>
          <cell r="O417" t="str">
            <v>0.00%</v>
          </cell>
          <cell r="P417">
            <v>48.7</v>
          </cell>
          <cell r="Q417">
            <v>4010.9320000000002</v>
          </cell>
          <cell r="R417">
            <v>1</v>
          </cell>
        </row>
        <row r="418">
          <cell r="A418" t="str">
            <v>07.01.02.07</v>
          </cell>
          <cell r="B418" t="str">
            <v xml:space="preserve">NIVELACION Y COMPACTACION PARA FALSO PISOS, VEREDAS Y PATIOS </v>
          </cell>
          <cell r="C418" t="str">
            <v>m2</v>
          </cell>
          <cell r="D418">
            <v>243.49</v>
          </cell>
          <cell r="E418">
            <v>9.3800000000000008</v>
          </cell>
          <cell r="F418">
            <v>2283.9362000000001</v>
          </cell>
          <cell r="G418">
            <v>0</v>
          </cell>
          <cell r="H418">
            <v>0</v>
          </cell>
          <cell r="I418" t="str">
            <v>0.00%</v>
          </cell>
          <cell r="J418">
            <v>0</v>
          </cell>
          <cell r="K418">
            <v>0</v>
          </cell>
          <cell r="L418" t="str">
            <v>0.00%</v>
          </cell>
          <cell r="M418">
            <v>0</v>
          </cell>
          <cell r="N418">
            <v>0</v>
          </cell>
          <cell r="O418" t="str">
            <v>0.00%</v>
          </cell>
          <cell r="P418">
            <v>243.49</v>
          </cell>
          <cell r="Q418">
            <v>2283.9362000000001</v>
          </cell>
          <cell r="R418">
            <v>1</v>
          </cell>
        </row>
        <row r="419">
          <cell r="A419" t="str">
            <v>07.01.03</v>
          </cell>
          <cell r="B419" t="str">
            <v>PAVIMENTOS</v>
          </cell>
          <cell r="C419">
            <v>0</v>
          </cell>
          <cell r="D419">
            <v>0</v>
          </cell>
          <cell r="E419">
            <v>0</v>
          </cell>
          <cell r="F419">
            <v>0</v>
          </cell>
          <cell r="G419">
            <v>0</v>
          </cell>
          <cell r="H419">
            <v>0</v>
          </cell>
          <cell r="I419">
            <v>0</v>
          </cell>
          <cell r="J419">
            <v>0</v>
          </cell>
          <cell r="K419">
            <v>0</v>
          </cell>
          <cell r="L419">
            <v>0</v>
          </cell>
          <cell r="M419">
            <v>0</v>
          </cell>
          <cell r="N419">
            <v>0</v>
          </cell>
          <cell r="O419">
            <v>0</v>
          </cell>
          <cell r="P419">
            <v>0</v>
          </cell>
          <cell r="Q419">
            <v>0</v>
          </cell>
          <cell r="R419">
            <v>0</v>
          </cell>
        </row>
        <row r="420">
          <cell r="A420" t="str">
            <v>07.01.03.01</v>
          </cell>
          <cell r="B420" t="str">
            <v>PREPARACION DE SUB RASANTE, PERFILADO, REGADO Y COMPACTACION</v>
          </cell>
          <cell r="C420" t="str">
            <v>m2</v>
          </cell>
          <cell r="D420">
            <v>243.49</v>
          </cell>
          <cell r="E420">
            <v>17.100000000000001</v>
          </cell>
          <cell r="F420">
            <v>4163.6790000000001</v>
          </cell>
          <cell r="G420">
            <v>0</v>
          </cell>
          <cell r="H420">
            <v>0</v>
          </cell>
          <cell r="I420" t="str">
            <v>0.00%</v>
          </cell>
          <cell r="J420">
            <v>0</v>
          </cell>
          <cell r="K420">
            <v>0</v>
          </cell>
          <cell r="L420" t="str">
            <v>0.00%</v>
          </cell>
          <cell r="M420">
            <v>0</v>
          </cell>
          <cell r="N420">
            <v>0</v>
          </cell>
          <cell r="O420" t="str">
            <v>0.00%</v>
          </cell>
          <cell r="P420">
            <v>243.49</v>
          </cell>
          <cell r="Q420">
            <v>4163.6790000000001</v>
          </cell>
          <cell r="R420">
            <v>1</v>
          </cell>
        </row>
        <row r="421">
          <cell r="A421" t="str">
            <v>07.01.03.02</v>
          </cell>
          <cell r="B421" t="str">
            <v>SUMINISTRO DE AFIRMADO</v>
          </cell>
          <cell r="C421" t="str">
            <v>m3</v>
          </cell>
          <cell r="D421">
            <v>48.7</v>
          </cell>
          <cell r="E421">
            <v>30.5</v>
          </cell>
          <cell r="F421">
            <v>1485.3500000000001</v>
          </cell>
          <cell r="G421">
            <v>0</v>
          </cell>
          <cell r="H421">
            <v>0</v>
          </cell>
          <cell r="I421" t="str">
            <v>0.00%</v>
          </cell>
          <cell r="J421">
            <v>0</v>
          </cell>
          <cell r="K421">
            <v>0</v>
          </cell>
          <cell r="L421" t="str">
            <v>0.00%</v>
          </cell>
          <cell r="M421">
            <v>0</v>
          </cell>
          <cell r="N421">
            <v>0</v>
          </cell>
          <cell r="O421" t="str">
            <v>0.00%</v>
          </cell>
          <cell r="P421">
            <v>48.7</v>
          </cell>
          <cell r="Q421">
            <v>1485.3500000000001</v>
          </cell>
          <cell r="R421">
            <v>1</v>
          </cell>
        </row>
        <row r="422">
          <cell r="A422" t="str">
            <v>07.01.03.03</v>
          </cell>
          <cell r="B422" t="str">
            <v>PREPARACION DE LA BASE, BATIDO, REGADO Y COMPACTACION E=15cm.</v>
          </cell>
          <cell r="C422" t="str">
            <v>m2</v>
          </cell>
          <cell r="D422">
            <v>243.49</v>
          </cell>
          <cell r="E422">
            <v>39.47</v>
          </cell>
          <cell r="F422">
            <v>9610.5503000000008</v>
          </cell>
          <cell r="G422">
            <v>0</v>
          </cell>
          <cell r="H422">
            <v>0</v>
          </cell>
          <cell r="I422" t="str">
            <v>0.00%</v>
          </cell>
          <cell r="J422">
            <v>0</v>
          </cell>
          <cell r="K422">
            <v>0</v>
          </cell>
          <cell r="L422" t="str">
            <v>0.00%</v>
          </cell>
          <cell r="M422">
            <v>0</v>
          </cell>
          <cell r="N422">
            <v>0</v>
          </cell>
          <cell r="O422" t="str">
            <v>0.00%</v>
          </cell>
          <cell r="P422">
            <v>243.49</v>
          </cell>
          <cell r="Q422">
            <v>9610.5503000000008</v>
          </cell>
          <cell r="R422">
            <v>1</v>
          </cell>
        </row>
        <row r="423">
          <cell r="A423" t="str">
            <v>07.01.04</v>
          </cell>
          <cell r="B423" t="str">
            <v>CONCRETO SIMPLE</v>
          </cell>
          <cell r="C423">
            <v>0</v>
          </cell>
          <cell r="D423">
            <v>0</v>
          </cell>
          <cell r="E423">
            <v>0</v>
          </cell>
          <cell r="F423">
            <v>0</v>
          </cell>
          <cell r="G423">
            <v>0</v>
          </cell>
          <cell r="H423">
            <v>0</v>
          </cell>
          <cell r="I423">
            <v>0</v>
          </cell>
          <cell r="J423">
            <v>0</v>
          </cell>
          <cell r="K423">
            <v>0</v>
          </cell>
          <cell r="L423">
            <v>0</v>
          </cell>
          <cell r="M423">
            <v>0</v>
          </cell>
          <cell r="N423">
            <v>0</v>
          </cell>
          <cell r="O423">
            <v>0</v>
          </cell>
          <cell r="P423">
            <v>0</v>
          </cell>
          <cell r="Q423">
            <v>0</v>
          </cell>
          <cell r="R423">
            <v>0</v>
          </cell>
        </row>
        <row r="424">
          <cell r="A424" t="str">
            <v>07.01.04.01</v>
          </cell>
          <cell r="B424" t="str">
            <v>SOLADO E= 2" MEZCLA 1:12 CEMENTO-HORMIGON</v>
          </cell>
          <cell r="C424" t="str">
            <v>m2</v>
          </cell>
          <cell r="D424">
            <v>8</v>
          </cell>
          <cell r="E424">
            <v>29.02</v>
          </cell>
          <cell r="F424">
            <v>232.16</v>
          </cell>
          <cell r="G424">
            <v>0</v>
          </cell>
          <cell r="H424">
            <v>0</v>
          </cell>
          <cell r="I424" t="str">
            <v>0.00%</v>
          </cell>
          <cell r="J424">
            <v>0</v>
          </cell>
          <cell r="K424">
            <v>0</v>
          </cell>
          <cell r="L424" t="str">
            <v>0.00%</v>
          </cell>
          <cell r="M424">
            <v>0</v>
          </cell>
          <cell r="N424">
            <v>0</v>
          </cell>
          <cell r="O424" t="str">
            <v>0.00%</v>
          </cell>
          <cell r="P424">
            <v>8</v>
          </cell>
          <cell r="Q424">
            <v>232.16</v>
          </cell>
          <cell r="R424">
            <v>1</v>
          </cell>
        </row>
        <row r="425">
          <cell r="A425" t="str">
            <v>07.01.04.02</v>
          </cell>
          <cell r="B425" t="str">
            <v>CONCRETO F'C= 175 KG/CM2 EN LOSA DEPORTIVA</v>
          </cell>
          <cell r="C425" t="str">
            <v>m3</v>
          </cell>
          <cell r="D425">
            <v>24.35</v>
          </cell>
          <cell r="E425">
            <v>480.98</v>
          </cell>
          <cell r="F425">
            <v>11711.863000000001</v>
          </cell>
          <cell r="G425">
            <v>0</v>
          </cell>
          <cell r="H425">
            <v>0</v>
          </cell>
          <cell r="I425" t="str">
            <v>0.00%</v>
          </cell>
          <cell r="J425">
            <v>0</v>
          </cell>
          <cell r="K425">
            <v>0</v>
          </cell>
          <cell r="L425" t="str">
            <v>0.00%</v>
          </cell>
          <cell r="M425">
            <v>0</v>
          </cell>
          <cell r="N425">
            <v>0</v>
          </cell>
          <cell r="O425" t="str">
            <v>0.00%</v>
          </cell>
          <cell r="P425">
            <v>24.35</v>
          </cell>
          <cell r="Q425">
            <v>11711.863000000001</v>
          </cell>
          <cell r="R425">
            <v>1</v>
          </cell>
        </row>
        <row r="426">
          <cell r="A426" t="str">
            <v>07.01.04.03</v>
          </cell>
          <cell r="B426" t="str">
            <v>ENCOFRADO Y DESENCOFRADO EN LOSA DEPORTIVA</v>
          </cell>
          <cell r="C426" t="str">
            <v>m2</v>
          </cell>
          <cell r="D426">
            <v>43.75</v>
          </cell>
          <cell r="E426">
            <v>48.86</v>
          </cell>
          <cell r="F426">
            <v>2137.625</v>
          </cell>
          <cell r="G426">
            <v>0</v>
          </cell>
          <cell r="H426">
            <v>0</v>
          </cell>
          <cell r="I426" t="str">
            <v>0.00%</v>
          </cell>
          <cell r="J426">
            <v>0</v>
          </cell>
          <cell r="K426">
            <v>0</v>
          </cell>
          <cell r="L426" t="str">
            <v>0.00%</v>
          </cell>
          <cell r="M426">
            <v>0</v>
          </cell>
          <cell r="N426">
            <v>0</v>
          </cell>
          <cell r="O426" t="str">
            <v>0.00%</v>
          </cell>
          <cell r="P426">
            <v>43.75</v>
          </cell>
          <cell r="Q426">
            <v>2137.625</v>
          </cell>
          <cell r="R426">
            <v>1</v>
          </cell>
        </row>
        <row r="427">
          <cell r="A427" t="str">
            <v>07.01.05</v>
          </cell>
          <cell r="B427" t="str">
            <v>CONCRETO ARMADO</v>
          </cell>
          <cell r="C427">
            <v>0</v>
          </cell>
          <cell r="D427">
            <v>0</v>
          </cell>
          <cell r="E427">
            <v>0</v>
          </cell>
          <cell r="F427">
            <v>0</v>
          </cell>
          <cell r="G427">
            <v>0</v>
          </cell>
          <cell r="H427">
            <v>0</v>
          </cell>
          <cell r="I427">
            <v>0</v>
          </cell>
          <cell r="J427">
            <v>0</v>
          </cell>
          <cell r="K427">
            <v>0</v>
          </cell>
          <cell r="L427">
            <v>0</v>
          </cell>
          <cell r="M427">
            <v>0</v>
          </cell>
          <cell r="N427">
            <v>0</v>
          </cell>
          <cell r="O427">
            <v>0</v>
          </cell>
          <cell r="P427">
            <v>0</v>
          </cell>
          <cell r="Q427">
            <v>0</v>
          </cell>
          <cell r="R427">
            <v>0</v>
          </cell>
        </row>
        <row r="428">
          <cell r="A428" t="str">
            <v>07.01.05.01</v>
          </cell>
          <cell r="B428" t="str">
            <v>ZAPATAS</v>
          </cell>
          <cell r="C428">
            <v>0</v>
          </cell>
          <cell r="D428">
            <v>0</v>
          </cell>
          <cell r="E428">
            <v>0</v>
          </cell>
          <cell r="F428">
            <v>0</v>
          </cell>
          <cell r="G428">
            <v>0</v>
          </cell>
          <cell r="H428">
            <v>0</v>
          </cell>
          <cell r="I428">
            <v>0</v>
          </cell>
          <cell r="J428">
            <v>0</v>
          </cell>
          <cell r="K428">
            <v>0</v>
          </cell>
          <cell r="L428">
            <v>0</v>
          </cell>
          <cell r="M428">
            <v>0</v>
          </cell>
          <cell r="N428">
            <v>0</v>
          </cell>
          <cell r="O428">
            <v>0</v>
          </cell>
          <cell r="P428">
            <v>0</v>
          </cell>
          <cell r="Q428">
            <v>0</v>
          </cell>
          <cell r="R428">
            <v>0</v>
          </cell>
        </row>
        <row r="429">
          <cell r="A429" t="str">
            <v>07.01.05.01.01</v>
          </cell>
          <cell r="B429" t="str">
            <v>CONCRETO EN ZAPATAS F'C= 210 KG/CM2</v>
          </cell>
          <cell r="C429" t="str">
            <v>m3</v>
          </cell>
          <cell r="D429">
            <v>3.2</v>
          </cell>
          <cell r="E429">
            <v>427.63</v>
          </cell>
          <cell r="F429">
            <v>1368.4160000000002</v>
          </cell>
          <cell r="G429">
            <v>0</v>
          </cell>
          <cell r="H429">
            <v>0</v>
          </cell>
          <cell r="I429" t="str">
            <v>0.00%</v>
          </cell>
          <cell r="J429">
            <v>0</v>
          </cell>
          <cell r="K429">
            <v>0</v>
          </cell>
          <cell r="L429" t="str">
            <v>0.00%</v>
          </cell>
          <cell r="M429">
            <v>0</v>
          </cell>
          <cell r="N429">
            <v>0</v>
          </cell>
          <cell r="O429" t="str">
            <v>0.00%</v>
          </cell>
          <cell r="P429">
            <v>3.2</v>
          </cell>
          <cell r="Q429">
            <v>1368.4160000000002</v>
          </cell>
          <cell r="R429">
            <v>1</v>
          </cell>
        </row>
        <row r="430">
          <cell r="A430" t="str">
            <v>07.01.05.01.02</v>
          </cell>
          <cell r="B430" t="str">
            <v>ACERO F'Y=4200 KG/CM2 GRADO 60 EN ZAPATAS</v>
          </cell>
          <cell r="C430" t="str">
            <v>kg</v>
          </cell>
          <cell r="D430">
            <v>106.64</v>
          </cell>
          <cell r="E430">
            <v>4.3</v>
          </cell>
          <cell r="F430">
            <v>458.55199999999996</v>
          </cell>
          <cell r="G430">
            <v>0</v>
          </cell>
          <cell r="H430">
            <v>0</v>
          </cell>
          <cell r="I430" t="str">
            <v>0.00%</v>
          </cell>
          <cell r="J430">
            <v>0</v>
          </cell>
          <cell r="K430">
            <v>0</v>
          </cell>
          <cell r="L430" t="str">
            <v>0.00%</v>
          </cell>
          <cell r="M430">
            <v>0</v>
          </cell>
          <cell r="N430">
            <v>0</v>
          </cell>
          <cell r="O430" t="str">
            <v>0.00%</v>
          </cell>
          <cell r="P430">
            <v>106.64</v>
          </cell>
          <cell r="Q430">
            <v>458.55199999999996</v>
          </cell>
          <cell r="R430">
            <v>1</v>
          </cell>
        </row>
        <row r="431">
          <cell r="A431" t="str">
            <v>07.01.05.02</v>
          </cell>
          <cell r="B431" t="str">
            <v>COLUMNETAS</v>
          </cell>
          <cell r="C431">
            <v>0</v>
          </cell>
          <cell r="D431">
            <v>0</v>
          </cell>
          <cell r="E431">
            <v>0</v>
          </cell>
          <cell r="F431">
            <v>0</v>
          </cell>
          <cell r="G431">
            <v>0</v>
          </cell>
          <cell r="H431">
            <v>0</v>
          </cell>
          <cell r="I431">
            <v>0</v>
          </cell>
          <cell r="J431">
            <v>0</v>
          </cell>
          <cell r="K431">
            <v>0</v>
          </cell>
          <cell r="L431">
            <v>0</v>
          </cell>
          <cell r="M431">
            <v>0</v>
          </cell>
          <cell r="N431">
            <v>0</v>
          </cell>
          <cell r="O431">
            <v>0</v>
          </cell>
          <cell r="P431">
            <v>0</v>
          </cell>
          <cell r="Q431">
            <v>0</v>
          </cell>
          <cell r="R431">
            <v>0</v>
          </cell>
        </row>
        <row r="432">
          <cell r="A432" t="str">
            <v>07.01.05.02.01</v>
          </cell>
          <cell r="B432" t="str">
            <v>CONCRETO EN COLUMNETAS F'C=210 KG/CM2</v>
          </cell>
          <cell r="C432" t="str">
            <v>m3</v>
          </cell>
          <cell r="D432">
            <v>1.08</v>
          </cell>
          <cell r="E432">
            <v>521.12</v>
          </cell>
          <cell r="F432">
            <v>562.80960000000005</v>
          </cell>
          <cell r="G432">
            <v>0</v>
          </cell>
          <cell r="H432">
            <v>0</v>
          </cell>
          <cell r="I432" t="str">
            <v>0.00%</v>
          </cell>
          <cell r="J432">
            <v>0</v>
          </cell>
          <cell r="K432">
            <v>0</v>
          </cell>
          <cell r="L432" t="str">
            <v>0.00%</v>
          </cell>
          <cell r="M432">
            <v>0</v>
          </cell>
          <cell r="N432">
            <v>0</v>
          </cell>
          <cell r="O432" t="str">
            <v>0.00%</v>
          </cell>
          <cell r="P432">
            <v>1.08</v>
          </cell>
          <cell r="Q432">
            <v>562.80960000000005</v>
          </cell>
          <cell r="R432">
            <v>1</v>
          </cell>
        </row>
        <row r="433">
          <cell r="A433" t="str">
            <v>07.01.05.02.02</v>
          </cell>
          <cell r="B433" t="str">
            <v>ACERO F'Y=4200 KG/CM2 GRADO 60 EN COLUMNETAS</v>
          </cell>
          <cell r="C433" t="str">
            <v>kg</v>
          </cell>
          <cell r="D433">
            <v>112.19</v>
          </cell>
          <cell r="E433">
            <v>4.4400000000000004</v>
          </cell>
          <cell r="F433">
            <v>498.12360000000001</v>
          </cell>
          <cell r="G433">
            <v>0</v>
          </cell>
          <cell r="H433">
            <v>0</v>
          </cell>
          <cell r="I433" t="str">
            <v>0.00%</v>
          </cell>
          <cell r="J433">
            <v>0</v>
          </cell>
          <cell r="K433">
            <v>0</v>
          </cell>
          <cell r="L433" t="str">
            <v>0.00%</v>
          </cell>
          <cell r="M433">
            <v>0</v>
          </cell>
          <cell r="N433">
            <v>0</v>
          </cell>
          <cell r="O433" t="str">
            <v>0.00%</v>
          </cell>
          <cell r="P433">
            <v>112.19</v>
          </cell>
          <cell r="Q433">
            <v>498.12360000000001</v>
          </cell>
          <cell r="R433">
            <v>1</v>
          </cell>
        </row>
        <row r="434">
          <cell r="A434" t="str">
            <v>07.01.05.02.03</v>
          </cell>
          <cell r="B434" t="str">
            <v>ENCOFRADO Y DESNCOFRADO NORMAL  EN COLUMNETAS</v>
          </cell>
          <cell r="C434" t="str">
            <v>m2</v>
          </cell>
          <cell r="D434">
            <v>12</v>
          </cell>
          <cell r="E434">
            <v>49.71</v>
          </cell>
          <cell r="F434">
            <v>596.52</v>
          </cell>
          <cell r="G434">
            <v>0</v>
          </cell>
          <cell r="H434">
            <v>0</v>
          </cell>
          <cell r="I434" t="str">
            <v>0.00%</v>
          </cell>
          <cell r="J434">
            <v>0</v>
          </cell>
          <cell r="K434">
            <v>0</v>
          </cell>
          <cell r="L434" t="str">
            <v>0.00%</v>
          </cell>
          <cell r="M434">
            <v>0</v>
          </cell>
          <cell r="N434">
            <v>0</v>
          </cell>
          <cell r="O434" t="str">
            <v>0.00%</v>
          </cell>
          <cell r="P434">
            <v>12</v>
          </cell>
          <cell r="Q434">
            <v>596.52</v>
          </cell>
          <cell r="R434">
            <v>1</v>
          </cell>
        </row>
        <row r="435">
          <cell r="A435" t="str">
            <v>07.01.06</v>
          </cell>
          <cell r="B435" t="str">
            <v>ESTRUCTURAS METALICAS</v>
          </cell>
          <cell r="C435">
            <v>0</v>
          </cell>
          <cell r="D435">
            <v>0</v>
          </cell>
          <cell r="E435">
            <v>0</v>
          </cell>
          <cell r="F435">
            <v>0</v>
          </cell>
          <cell r="G435">
            <v>0</v>
          </cell>
          <cell r="H435">
            <v>0</v>
          </cell>
          <cell r="I435">
            <v>0</v>
          </cell>
          <cell r="J435">
            <v>0</v>
          </cell>
          <cell r="K435">
            <v>0</v>
          </cell>
          <cell r="L435">
            <v>0</v>
          </cell>
          <cell r="M435">
            <v>0</v>
          </cell>
          <cell r="N435">
            <v>0</v>
          </cell>
          <cell r="O435">
            <v>0</v>
          </cell>
          <cell r="P435">
            <v>0</v>
          </cell>
          <cell r="Q435">
            <v>0</v>
          </cell>
          <cell r="R435">
            <v>0</v>
          </cell>
        </row>
        <row r="436">
          <cell r="A436" t="str">
            <v>07.01.06.01</v>
          </cell>
          <cell r="B436" t="str">
            <v>TIJERAL METALICO (LOSA DEPORTIVA)</v>
          </cell>
          <cell r="C436" t="str">
            <v>und</v>
          </cell>
          <cell r="D436">
            <v>4</v>
          </cell>
          <cell r="E436">
            <v>5130.22</v>
          </cell>
          <cell r="F436">
            <v>20520.88</v>
          </cell>
          <cell r="G436">
            <v>0</v>
          </cell>
          <cell r="H436">
            <v>0</v>
          </cell>
          <cell r="I436" t="str">
            <v>0.00%</v>
          </cell>
          <cell r="J436">
            <v>0</v>
          </cell>
          <cell r="K436">
            <v>0</v>
          </cell>
          <cell r="L436" t="str">
            <v>0.00%</v>
          </cell>
          <cell r="M436">
            <v>0</v>
          </cell>
          <cell r="N436">
            <v>0</v>
          </cell>
          <cell r="O436" t="str">
            <v>0.00%</v>
          </cell>
          <cell r="P436">
            <v>4</v>
          </cell>
          <cell r="Q436">
            <v>20520.88</v>
          </cell>
          <cell r="R436">
            <v>1</v>
          </cell>
        </row>
        <row r="437">
          <cell r="A437" t="str">
            <v>07.01.06.02</v>
          </cell>
          <cell r="B437" t="str">
            <v>CORREA METALICA 50x50x3mm.</v>
          </cell>
          <cell r="C437" t="str">
            <v>m</v>
          </cell>
          <cell r="D437">
            <v>368.55</v>
          </cell>
          <cell r="E437">
            <v>38.85</v>
          </cell>
          <cell r="F437">
            <v>14318.167500000001</v>
          </cell>
          <cell r="G437">
            <v>0</v>
          </cell>
          <cell r="H437">
            <v>0</v>
          </cell>
          <cell r="I437" t="str">
            <v>0.00%</v>
          </cell>
          <cell r="J437">
            <v>0</v>
          </cell>
          <cell r="K437">
            <v>0</v>
          </cell>
          <cell r="L437" t="str">
            <v>0.00%</v>
          </cell>
          <cell r="M437">
            <v>0</v>
          </cell>
          <cell r="N437">
            <v>0</v>
          </cell>
          <cell r="O437" t="str">
            <v>0.00%</v>
          </cell>
          <cell r="P437">
            <v>368.55</v>
          </cell>
          <cell r="Q437">
            <v>14318.167500000001</v>
          </cell>
          <cell r="R437">
            <v>1</v>
          </cell>
        </row>
        <row r="438">
          <cell r="A438" t="str">
            <v>07.01.06.03</v>
          </cell>
          <cell r="B438" t="str">
            <v>COLUMNA METALICA 100x200x4mm.</v>
          </cell>
          <cell r="C438" t="str">
            <v>m</v>
          </cell>
          <cell r="D438">
            <v>96</v>
          </cell>
          <cell r="E438">
            <v>217.37</v>
          </cell>
          <cell r="F438">
            <v>20867.52</v>
          </cell>
          <cell r="G438">
            <v>0</v>
          </cell>
          <cell r="H438">
            <v>0</v>
          </cell>
          <cell r="I438" t="str">
            <v>0.00%</v>
          </cell>
          <cell r="J438">
            <v>0</v>
          </cell>
          <cell r="K438">
            <v>0</v>
          </cell>
          <cell r="L438" t="str">
            <v>0.00%</v>
          </cell>
          <cell r="M438">
            <v>0</v>
          </cell>
          <cell r="N438">
            <v>0</v>
          </cell>
          <cell r="O438" t="str">
            <v>0.00%</v>
          </cell>
          <cell r="P438">
            <v>96</v>
          </cell>
          <cell r="Q438">
            <v>20867.52</v>
          </cell>
          <cell r="R438">
            <v>1</v>
          </cell>
        </row>
        <row r="439">
          <cell r="A439" t="str">
            <v>07.01.06.04</v>
          </cell>
          <cell r="B439" t="str">
            <v>APOYO FIJO METALICO SEGUN DETALLE</v>
          </cell>
          <cell r="C439" t="str">
            <v>und</v>
          </cell>
          <cell r="D439">
            <v>8</v>
          </cell>
          <cell r="E439">
            <v>545.75</v>
          </cell>
          <cell r="F439">
            <v>4366</v>
          </cell>
          <cell r="G439">
            <v>0</v>
          </cell>
          <cell r="H439">
            <v>0</v>
          </cell>
          <cell r="I439" t="str">
            <v>0.00%</v>
          </cell>
          <cell r="J439">
            <v>0</v>
          </cell>
          <cell r="K439">
            <v>0</v>
          </cell>
          <cell r="L439" t="str">
            <v>0.00%</v>
          </cell>
          <cell r="M439">
            <v>0</v>
          </cell>
          <cell r="N439">
            <v>0</v>
          </cell>
          <cell r="O439" t="str">
            <v>0.00%</v>
          </cell>
          <cell r="P439">
            <v>8</v>
          </cell>
          <cell r="Q439">
            <v>4366</v>
          </cell>
          <cell r="R439">
            <v>1</v>
          </cell>
        </row>
        <row r="440">
          <cell r="A440" t="str">
            <v>07.01.06.05</v>
          </cell>
          <cell r="B440" t="str">
            <v>APOYO MOVIL METALICO SEGUN DETALLE</v>
          </cell>
          <cell r="C440" t="str">
            <v>und</v>
          </cell>
          <cell r="D440">
            <v>8</v>
          </cell>
          <cell r="E440">
            <v>825.75</v>
          </cell>
          <cell r="F440">
            <v>6606</v>
          </cell>
          <cell r="G440">
            <v>0</v>
          </cell>
          <cell r="H440">
            <v>0</v>
          </cell>
          <cell r="I440" t="str">
            <v>0.00%</v>
          </cell>
          <cell r="J440">
            <v>0</v>
          </cell>
          <cell r="K440">
            <v>0</v>
          </cell>
          <cell r="L440" t="str">
            <v>0.00%</v>
          </cell>
          <cell r="M440">
            <v>0</v>
          </cell>
          <cell r="N440">
            <v>0</v>
          </cell>
          <cell r="O440" t="str">
            <v>0.00%</v>
          </cell>
          <cell r="P440">
            <v>8</v>
          </cell>
          <cell r="Q440">
            <v>6606</v>
          </cell>
          <cell r="R440">
            <v>1</v>
          </cell>
        </row>
        <row r="441">
          <cell r="A441" t="str">
            <v>07.01.07</v>
          </cell>
          <cell r="B441" t="str">
            <v>JUNTAS DE CONSTRUCCION</v>
          </cell>
          <cell r="C441">
            <v>0</v>
          </cell>
          <cell r="D441">
            <v>0</v>
          </cell>
          <cell r="E441">
            <v>0</v>
          </cell>
          <cell r="F441">
            <v>0</v>
          </cell>
          <cell r="G441">
            <v>0</v>
          </cell>
          <cell r="H441">
            <v>0</v>
          </cell>
          <cell r="I441">
            <v>0</v>
          </cell>
          <cell r="J441">
            <v>0</v>
          </cell>
          <cell r="K441">
            <v>0</v>
          </cell>
          <cell r="L441">
            <v>0</v>
          </cell>
          <cell r="M441">
            <v>0</v>
          </cell>
          <cell r="N441">
            <v>0</v>
          </cell>
          <cell r="O441">
            <v>0</v>
          </cell>
          <cell r="P441">
            <v>0</v>
          </cell>
          <cell r="Q441">
            <v>0</v>
          </cell>
          <cell r="R441">
            <v>0</v>
          </cell>
        </row>
        <row r="442">
          <cell r="A442" t="str">
            <v>07.01.07.01</v>
          </cell>
          <cell r="B442" t="str">
            <v>JUNTAS DE TEKNOPOR DE  1"</v>
          </cell>
          <cell r="C442" t="str">
            <v>m</v>
          </cell>
          <cell r="D442">
            <v>156.25</v>
          </cell>
          <cell r="E442">
            <v>9.0500000000000007</v>
          </cell>
          <cell r="F442">
            <v>1414.0625</v>
          </cell>
          <cell r="G442">
            <v>0</v>
          </cell>
          <cell r="H442">
            <v>0</v>
          </cell>
          <cell r="I442" t="str">
            <v>0.00%</v>
          </cell>
          <cell r="J442">
            <v>0</v>
          </cell>
          <cell r="K442">
            <v>0</v>
          </cell>
          <cell r="L442" t="str">
            <v>0.00%</v>
          </cell>
          <cell r="M442">
            <v>0</v>
          </cell>
          <cell r="N442">
            <v>0</v>
          </cell>
          <cell r="O442" t="str">
            <v>0.00%</v>
          </cell>
          <cell r="P442">
            <v>156.25</v>
          </cell>
          <cell r="Q442">
            <v>1414.0625</v>
          </cell>
          <cell r="R442">
            <v>1</v>
          </cell>
        </row>
        <row r="443">
          <cell r="A443" t="str">
            <v>07.01.08</v>
          </cell>
          <cell r="B443" t="str">
            <v>PRUEBAS</v>
          </cell>
          <cell r="C443">
            <v>0</v>
          </cell>
          <cell r="D443">
            <v>0</v>
          </cell>
          <cell r="E443">
            <v>0</v>
          </cell>
          <cell r="F443">
            <v>0</v>
          </cell>
          <cell r="G443">
            <v>0</v>
          </cell>
          <cell r="H443">
            <v>0</v>
          </cell>
          <cell r="I443">
            <v>0</v>
          </cell>
          <cell r="J443">
            <v>0</v>
          </cell>
          <cell r="K443">
            <v>0</v>
          </cell>
          <cell r="L443">
            <v>0</v>
          </cell>
          <cell r="M443">
            <v>0</v>
          </cell>
          <cell r="N443">
            <v>0</v>
          </cell>
          <cell r="O443">
            <v>0</v>
          </cell>
          <cell r="P443">
            <v>0</v>
          </cell>
          <cell r="Q443">
            <v>0</v>
          </cell>
          <cell r="R443">
            <v>0</v>
          </cell>
        </row>
        <row r="444">
          <cell r="A444" t="str">
            <v>07.01.08.01</v>
          </cell>
          <cell r="B444" t="str">
            <v>PRUEBA DE CALIDAD DEL CONCRETO (PRUEBA A LA COMPRESION)</v>
          </cell>
          <cell r="C444" t="str">
            <v>und</v>
          </cell>
          <cell r="D444">
            <v>1</v>
          </cell>
          <cell r="E444">
            <v>40</v>
          </cell>
          <cell r="F444">
            <v>40</v>
          </cell>
          <cell r="G444">
            <v>0</v>
          </cell>
          <cell r="H444">
            <v>0</v>
          </cell>
          <cell r="I444" t="str">
            <v>0.00%</v>
          </cell>
          <cell r="J444">
            <v>0</v>
          </cell>
          <cell r="K444">
            <v>0</v>
          </cell>
          <cell r="L444" t="str">
            <v>0.00%</v>
          </cell>
          <cell r="M444">
            <v>0</v>
          </cell>
          <cell r="N444">
            <v>0</v>
          </cell>
          <cell r="O444" t="str">
            <v>0.00%</v>
          </cell>
          <cell r="P444">
            <v>1</v>
          </cell>
          <cell r="Q444">
            <v>40</v>
          </cell>
          <cell r="R444">
            <v>1</v>
          </cell>
        </row>
        <row r="445">
          <cell r="A445" t="str">
            <v>07.01.08.02</v>
          </cell>
          <cell r="B445" t="str">
            <v>DENSIDAD DE CAMPO C/ 10CM</v>
          </cell>
          <cell r="C445" t="str">
            <v>und</v>
          </cell>
          <cell r="D445">
            <v>1</v>
          </cell>
          <cell r="E445">
            <v>45</v>
          </cell>
          <cell r="F445">
            <v>45</v>
          </cell>
          <cell r="G445">
            <v>0</v>
          </cell>
          <cell r="H445">
            <v>0</v>
          </cell>
          <cell r="I445" t="str">
            <v>0.00%</v>
          </cell>
          <cell r="J445">
            <v>0</v>
          </cell>
          <cell r="K445">
            <v>0</v>
          </cell>
          <cell r="L445" t="str">
            <v>0.00%</v>
          </cell>
          <cell r="M445">
            <v>0</v>
          </cell>
          <cell r="N445">
            <v>0</v>
          </cell>
          <cell r="O445" t="str">
            <v>0.00%</v>
          </cell>
          <cell r="P445">
            <v>1</v>
          </cell>
          <cell r="Q445">
            <v>45</v>
          </cell>
          <cell r="R445">
            <v>1</v>
          </cell>
        </row>
        <row r="446">
          <cell r="A446" t="str">
            <v>07.02</v>
          </cell>
          <cell r="B446" t="str">
            <v>SARDINELES</v>
          </cell>
          <cell r="C446">
            <v>0</v>
          </cell>
          <cell r="D446">
            <v>0</v>
          </cell>
          <cell r="E446">
            <v>0</v>
          </cell>
          <cell r="F446">
            <v>0</v>
          </cell>
          <cell r="G446">
            <v>0</v>
          </cell>
          <cell r="H446">
            <v>0</v>
          </cell>
          <cell r="I446">
            <v>0</v>
          </cell>
          <cell r="J446">
            <v>0</v>
          </cell>
          <cell r="K446">
            <v>0</v>
          </cell>
          <cell r="L446">
            <v>0</v>
          </cell>
          <cell r="M446">
            <v>0</v>
          </cell>
          <cell r="N446">
            <v>0</v>
          </cell>
          <cell r="O446">
            <v>0</v>
          </cell>
          <cell r="P446">
            <v>0</v>
          </cell>
          <cell r="Q446">
            <v>0</v>
          </cell>
          <cell r="R446">
            <v>0</v>
          </cell>
        </row>
        <row r="447">
          <cell r="A447" t="str">
            <v>07.02.01</v>
          </cell>
          <cell r="B447" t="str">
            <v>TRABAJOS PRELIMINARES</v>
          </cell>
          <cell r="C447">
            <v>0</v>
          </cell>
          <cell r="D447">
            <v>0</v>
          </cell>
          <cell r="E447">
            <v>0</v>
          </cell>
          <cell r="F447">
            <v>0</v>
          </cell>
          <cell r="G447">
            <v>0</v>
          </cell>
          <cell r="H447">
            <v>0</v>
          </cell>
          <cell r="I447">
            <v>0</v>
          </cell>
          <cell r="J447">
            <v>0</v>
          </cell>
          <cell r="K447">
            <v>0</v>
          </cell>
          <cell r="L447">
            <v>0</v>
          </cell>
          <cell r="M447">
            <v>0</v>
          </cell>
          <cell r="N447">
            <v>0</v>
          </cell>
          <cell r="O447">
            <v>0</v>
          </cell>
          <cell r="P447">
            <v>0</v>
          </cell>
          <cell r="Q447">
            <v>0</v>
          </cell>
          <cell r="R447">
            <v>0</v>
          </cell>
        </row>
        <row r="448">
          <cell r="A448" t="str">
            <v>07.02.01.01</v>
          </cell>
          <cell r="B448" t="str">
            <v>LIMPIEZA DE TERRENO MANUAL</v>
          </cell>
          <cell r="C448" t="str">
            <v>m2</v>
          </cell>
          <cell r="D448">
            <v>36.42</v>
          </cell>
          <cell r="E448">
            <v>1.0900000000000001</v>
          </cell>
          <cell r="F448">
            <v>39.697800000000008</v>
          </cell>
          <cell r="G448">
            <v>0</v>
          </cell>
          <cell r="H448">
            <v>0</v>
          </cell>
          <cell r="I448" t="str">
            <v>0.00%</v>
          </cell>
          <cell r="J448">
            <v>0</v>
          </cell>
          <cell r="K448">
            <v>0</v>
          </cell>
          <cell r="L448" t="str">
            <v>0.00%</v>
          </cell>
          <cell r="M448">
            <v>0</v>
          </cell>
          <cell r="N448">
            <v>0</v>
          </cell>
          <cell r="O448" t="str">
            <v>0.00%</v>
          </cell>
          <cell r="P448">
            <v>36.42</v>
          </cell>
          <cell r="Q448">
            <v>39.697800000000008</v>
          </cell>
          <cell r="R448">
            <v>1</v>
          </cell>
        </row>
        <row r="449">
          <cell r="A449" t="str">
            <v>07.02.01.02</v>
          </cell>
          <cell r="B449" t="str">
            <v>TRAZO DURANTE LA EJECUCION DE LA OBRA</v>
          </cell>
          <cell r="C449" t="str">
            <v>m2</v>
          </cell>
          <cell r="D449">
            <v>36.42</v>
          </cell>
          <cell r="E449">
            <v>3.49</v>
          </cell>
          <cell r="F449">
            <v>127.10580000000002</v>
          </cell>
          <cell r="G449">
            <v>0</v>
          </cell>
          <cell r="H449">
            <v>0</v>
          </cell>
          <cell r="I449" t="str">
            <v>0.00%</v>
          </cell>
          <cell r="J449">
            <v>0</v>
          </cell>
          <cell r="K449">
            <v>0</v>
          </cell>
          <cell r="L449" t="str">
            <v>0.00%</v>
          </cell>
          <cell r="M449">
            <v>0</v>
          </cell>
          <cell r="N449">
            <v>0</v>
          </cell>
          <cell r="O449" t="str">
            <v>0.00%</v>
          </cell>
          <cell r="P449">
            <v>36.42</v>
          </cell>
          <cell r="Q449">
            <v>127.10580000000002</v>
          </cell>
          <cell r="R449">
            <v>1</v>
          </cell>
        </row>
        <row r="450">
          <cell r="A450" t="str">
            <v>07.02.02</v>
          </cell>
          <cell r="B450" t="str">
            <v>MOVIMIENTO DE TIERRAS</v>
          </cell>
          <cell r="C450">
            <v>0</v>
          </cell>
          <cell r="D450">
            <v>0</v>
          </cell>
          <cell r="E450">
            <v>0</v>
          </cell>
          <cell r="F450">
            <v>0</v>
          </cell>
          <cell r="G450">
            <v>0</v>
          </cell>
          <cell r="H450">
            <v>0</v>
          </cell>
          <cell r="I450">
            <v>0</v>
          </cell>
          <cell r="J450">
            <v>0</v>
          </cell>
          <cell r="K450">
            <v>0</v>
          </cell>
          <cell r="L450">
            <v>0</v>
          </cell>
          <cell r="M450">
            <v>0</v>
          </cell>
          <cell r="N450">
            <v>0</v>
          </cell>
          <cell r="O450">
            <v>0</v>
          </cell>
          <cell r="P450">
            <v>0</v>
          </cell>
          <cell r="Q450">
            <v>0</v>
          </cell>
          <cell r="R450">
            <v>0</v>
          </cell>
        </row>
        <row r="451">
          <cell r="A451" t="str">
            <v>07.02.02.01</v>
          </cell>
          <cell r="B451" t="str">
            <v>EXCAVACION MANUAL EN TERRENO NORMAL h=0.30cm</v>
          </cell>
          <cell r="C451" t="str">
            <v>m3</v>
          </cell>
          <cell r="D451">
            <v>11.01</v>
          </cell>
          <cell r="E451">
            <v>38.020000000000003</v>
          </cell>
          <cell r="F451">
            <v>418.60020000000003</v>
          </cell>
          <cell r="G451">
            <v>0</v>
          </cell>
          <cell r="H451">
            <v>0</v>
          </cell>
          <cell r="I451" t="str">
            <v>0.00%</v>
          </cell>
          <cell r="J451">
            <v>0</v>
          </cell>
          <cell r="K451">
            <v>0</v>
          </cell>
          <cell r="L451" t="str">
            <v>0.00%</v>
          </cell>
          <cell r="M451">
            <v>0</v>
          </cell>
          <cell r="N451">
            <v>0</v>
          </cell>
          <cell r="O451" t="str">
            <v>0.00%</v>
          </cell>
          <cell r="P451">
            <v>11.01</v>
          </cell>
          <cell r="Q451">
            <v>418.60020000000003</v>
          </cell>
          <cell r="R451">
            <v>1</v>
          </cell>
        </row>
        <row r="452">
          <cell r="A452" t="str">
            <v>07.02.02.02</v>
          </cell>
          <cell r="B452" t="str">
            <v>ACARREO INTERNO, MATERIAL PROCEDENTE DE EXCAVACIONES  Y OTROS</v>
          </cell>
          <cell r="C452" t="str">
            <v>m3</v>
          </cell>
          <cell r="D452">
            <v>13.76</v>
          </cell>
          <cell r="E452">
            <v>19</v>
          </cell>
          <cell r="F452">
            <v>261.44</v>
          </cell>
          <cell r="G452">
            <v>0</v>
          </cell>
          <cell r="H452">
            <v>0</v>
          </cell>
          <cell r="I452" t="str">
            <v>0.00%</v>
          </cell>
          <cell r="J452">
            <v>0</v>
          </cell>
          <cell r="K452">
            <v>0</v>
          </cell>
          <cell r="L452" t="str">
            <v>0.00%</v>
          </cell>
          <cell r="M452">
            <v>0</v>
          </cell>
          <cell r="N452">
            <v>0</v>
          </cell>
          <cell r="O452" t="str">
            <v>0.00%</v>
          </cell>
          <cell r="P452">
            <v>13.76</v>
          </cell>
          <cell r="Q452">
            <v>261.44</v>
          </cell>
          <cell r="R452">
            <v>1</v>
          </cell>
        </row>
        <row r="453">
          <cell r="A453" t="str">
            <v>07.02.02.03</v>
          </cell>
          <cell r="B453" t="str">
            <v>ELIMINACION DE MATERIAL EXCEDENTE CON EQUIPO</v>
          </cell>
          <cell r="C453" t="str">
            <v>m3</v>
          </cell>
          <cell r="D453">
            <v>13.76</v>
          </cell>
          <cell r="E453">
            <v>14.64</v>
          </cell>
          <cell r="F453">
            <v>201.44640000000001</v>
          </cell>
          <cell r="G453">
            <v>0</v>
          </cell>
          <cell r="H453">
            <v>0</v>
          </cell>
          <cell r="I453" t="str">
            <v>0.00%</v>
          </cell>
          <cell r="J453">
            <v>0</v>
          </cell>
          <cell r="K453">
            <v>0</v>
          </cell>
          <cell r="L453" t="str">
            <v>0.00%</v>
          </cell>
          <cell r="M453">
            <v>0</v>
          </cell>
          <cell r="N453">
            <v>0</v>
          </cell>
          <cell r="O453" t="str">
            <v>0.00%</v>
          </cell>
          <cell r="P453">
            <v>13.76</v>
          </cell>
          <cell r="Q453">
            <v>201.44640000000001</v>
          </cell>
          <cell r="R453">
            <v>1</v>
          </cell>
        </row>
        <row r="454">
          <cell r="A454" t="str">
            <v>07.02.02.04</v>
          </cell>
          <cell r="B454" t="str">
            <v>NIVELACION Y COMPACTACION EN TERRENO NATURAL</v>
          </cell>
          <cell r="C454" t="str">
            <v>m2</v>
          </cell>
          <cell r="D454">
            <v>44.04</v>
          </cell>
          <cell r="E454">
            <v>9.3800000000000008</v>
          </cell>
          <cell r="F454">
            <v>413.09520000000003</v>
          </cell>
          <cell r="G454">
            <v>0</v>
          </cell>
          <cell r="H454">
            <v>0</v>
          </cell>
          <cell r="I454" t="str">
            <v>0.00%</v>
          </cell>
          <cell r="J454">
            <v>0</v>
          </cell>
          <cell r="K454">
            <v>0</v>
          </cell>
          <cell r="L454" t="str">
            <v>0.00%</v>
          </cell>
          <cell r="M454">
            <v>0</v>
          </cell>
          <cell r="N454">
            <v>0</v>
          </cell>
          <cell r="O454" t="str">
            <v>0.00%</v>
          </cell>
          <cell r="P454">
            <v>44.04</v>
          </cell>
          <cell r="Q454">
            <v>413.09520000000003</v>
          </cell>
          <cell r="R454">
            <v>1</v>
          </cell>
        </row>
        <row r="455">
          <cell r="A455" t="str">
            <v>07.02.03</v>
          </cell>
          <cell r="B455" t="str">
            <v>CONCRETO SIMPLE</v>
          </cell>
          <cell r="C455">
            <v>0</v>
          </cell>
          <cell r="D455">
            <v>0</v>
          </cell>
          <cell r="E455">
            <v>0</v>
          </cell>
          <cell r="F455">
            <v>0</v>
          </cell>
          <cell r="G455">
            <v>0</v>
          </cell>
          <cell r="H455">
            <v>0</v>
          </cell>
          <cell r="I455">
            <v>0</v>
          </cell>
          <cell r="J455">
            <v>0</v>
          </cell>
          <cell r="K455">
            <v>0</v>
          </cell>
          <cell r="L455">
            <v>0</v>
          </cell>
          <cell r="M455">
            <v>0</v>
          </cell>
          <cell r="N455">
            <v>0</v>
          </cell>
          <cell r="O455">
            <v>0</v>
          </cell>
          <cell r="P455">
            <v>0</v>
          </cell>
          <cell r="Q455">
            <v>0</v>
          </cell>
          <cell r="R455">
            <v>0</v>
          </cell>
        </row>
        <row r="456">
          <cell r="A456" t="str">
            <v>07.02.03.01</v>
          </cell>
          <cell r="B456" t="str">
            <v>CONCRETO EN SARDINELES F'C= 175KG/CM2</v>
          </cell>
          <cell r="C456" t="str">
            <v>m3</v>
          </cell>
          <cell r="D456">
            <v>11.91</v>
          </cell>
          <cell r="E456">
            <v>384.85</v>
          </cell>
          <cell r="F456">
            <v>4583.5635000000002</v>
          </cell>
          <cell r="G456">
            <v>0</v>
          </cell>
          <cell r="H456">
            <v>0</v>
          </cell>
          <cell r="I456" t="str">
            <v>0.00%</v>
          </cell>
          <cell r="J456">
            <v>0</v>
          </cell>
          <cell r="K456">
            <v>0</v>
          </cell>
          <cell r="L456" t="str">
            <v>0.00%</v>
          </cell>
          <cell r="M456">
            <v>0</v>
          </cell>
          <cell r="N456">
            <v>0</v>
          </cell>
          <cell r="O456" t="str">
            <v>0.00%</v>
          </cell>
          <cell r="P456">
            <v>11.91</v>
          </cell>
          <cell r="Q456">
            <v>4583.5635000000002</v>
          </cell>
          <cell r="R456">
            <v>1</v>
          </cell>
        </row>
        <row r="457">
          <cell r="A457" t="str">
            <v>07.02.03.02</v>
          </cell>
          <cell r="B457" t="str">
            <v>ENCOFRADO Y DESENCOFRADO DE SARDINELES</v>
          </cell>
          <cell r="C457" t="str">
            <v>m2</v>
          </cell>
          <cell r="D457">
            <v>238.12</v>
          </cell>
          <cell r="E457">
            <v>17.3</v>
          </cell>
          <cell r="F457">
            <v>4119.4760000000006</v>
          </cell>
          <cell r="G457">
            <v>0</v>
          </cell>
          <cell r="H457">
            <v>0</v>
          </cell>
          <cell r="I457" t="str">
            <v>0.00%</v>
          </cell>
          <cell r="J457">
            <v>0</v>
          </cell>
          <cell r="K457">
            <v>0</v>
          </cell>
          <cell r="L457" t="str">
            <v>0.00%</v>
          </cell>
          <cell r="M457">
            <v>0</v>
          </cell>
          <cell r="N457">
            <v>0</v>
          </cell>
          <cell r="O457" t="str">
            <v>0.00%</v>
          </cell>
          <cell r="P457">
            <v>238.12</v>
          </cell>
          <cell r="Q457">
            <v>4119.4760000000006</v>
          </cell>
          <cell r="R457">
            <v>1</v>
          </cell>
        </row>
        <row r="458">
          <cell r="A458" t="str">
            <v>07.02.04</v>
          </cell>
          <cell r="B458" t="str">
            <v>PRUEBAS</v>
          </cell>
          <cell r="C458">
            <v>0</v>
          </cell>
          <cell r="D458">
            <v>0</v>
          </cell>
          <cell r="E458">
            <v>0</v>
          </cell>
          <cell r="F458">
            <v>0</v>
          </cell>
          <cell r="G458">
            <v>0</v>
          </cell>
          <cell r="H458">
            <v>0</v>
          </cell>
          <cell r="I458">
            <v>0</v>
          </cell>
          <cell r="J458">
            <v>0</v>
          </cell>
          <cell r="K458">
            <v>0</v>
          </cell>
          <cell r="L458">
            <v>0</v>
          </cell>
          <cell r="M458">
            <v>0</v>
          </cell>
          <cell r="N458">
            <v>0</v>
          </cell>
          <cell r="O458">
            <v>0</v>
          </cell>
          <cell r="P458">
            <v>0</v>
          </cell>
          <cell r="Q458">
            <v>0</v>
          </cell>
          <cell r="R458">
            <v>0</v>
          </cell>
        </row>
        <row r="459">
          <cell r="A459" t="str">
            <v>07.02.04.01</v>
          </cell>
          <cell r="B459" t="str">
            <v>PRUEBA DE CALIDAD DEL CONCRETO (PRUEBA A LA COMPRESION)</v>
          </cell>
          <cell r="C459" t="str">
            <v>und</v>
          </cell>
          <cell r="D459">
            <v>1</v>
          </cell>
          <cell r="E459">
            <v>40</v>
          </cell>
          <cell r="F459">
            <v>40</v>
          </cell>
          <cell r="G459">
            <v>0</v>
          </cell>
          <cell r="H459">
            <v>0</v>
          </cell>
          <cell r="I459" t="str">
            <v>0.00%</v>
          </cell>
          <cell r="J459">
            <v>0</v>
          </cell>
          <cell r="K459">
            <v>0</v>
          </cell>
          <cell r="L459" t="str">
            <v>0.00%</v>
          </cell>
          <cell r="M459">
            <v>0</v>
          </cell>
          <cell r="N459">
            <v>0</v>
          </cell>
          <cell r="O459" t="str">
            <v>0.00%</v>
          </cell>
          <cell r="P459">
            <v>1</v>
          </cell>
          <cell r="Q459">
            <v>40</v>
          </cell>
          <cell r="R459">
            <v>1</v>
          </cell>
        </row>
        <row r="460">
          <cell r="A460" t="str">
            <v>07.03</v>
          </cell>
          <cell r="B460" t="str">
            <v>RAMPA</v>
          </cell>
          <cell r="C460">
            <v>0</v>
          </cell>
          <cell r="D460">
            <v>0</v>
          </cell>
          <cell r="E460">
            <v>0</v>
          </cell>
          <cell r="F460">
            <v>0</v>
          </cell>
          <cell r="G460">
            <v>0</v>
          </cell>
          <cell r="H460">
            <v>0</v>
          </cell>
          <cell r="I460">
            <v>0</v>
          </cell>
          <cell r="J460">
            <v>0</v>
          </cell>
          <cell r="K460">
            <v>0</v>
          </cell>
          <cell r="L460">
            <v>0</v>
          </cell>
          <cell r="M460">
            <v>0</v>
          </cell>
          <cell r="N460">
            <v>0</v>
          </cell>
          <cell r="O460">
            <v>0</v>
          </cell>
          <cell r="P460">
            <v>0</v>
          </cell>
          <cell r="Q460">
            <v>0</v>
          </cell>
          <cell r="R460">
            <v>0</v>
          </cell>
        </row>
        <row r="461">
          <cell r="A461" t="str">
            <v>07.03.01</v>
          </cell>
          <cell r="B461" t="str">
            <v>TRABAJOS PRELIMINARES</v>
          </cell>
          <cell r="C461">
            <v>0</v>
          </cell>
          <cell r="D461">
            <v>0</v>
          </cell>
          <cell r="E461">
            <v>0</v>
          </cell>
          <cell r="F461">
            <v>0</v>
          </cell>
          <cell r="G461">
            <v>0</v>
          </cell>
          <cell r="H461">
            <v>0</v>
          </cell>
          <cell r="I461">
            <v>0</v>
          </cell>
          <cell r="J461">
            <v>0</v>
          </cell>
          <cell r="K461">
            <v>0</v>
          </cell>
          <cell r="L461">
            <v>0</v>
          </cell>
          <cell r="M461">
            <v>0</v>
          </cell>
          <cell r="N461">
            <v>0</v>
          </cell>
          <cell r="O461">
            <v>0</v>
          </cell>
          <cell r="P461">
            <v>0</v>
          </cell>
          <cell r="Q461">
            <v>0</v>
          </cell>
          <cell r="R461">
            <v>0</v>
          </cell>
        </row>
        <row r="462">
          <cell r="A462" t="str">
            <v>07.03.01.01</v>
          </cell>
          <cell r="B462" t="str">
            <v>LIMPIEZA DE TERRENO MANUAL</v>
          </cell>
          <cell r="C462" t="str">
            <v>m2</v>
          </cell>
          <cell r="D462">
            <v>48.75</v>
          </cell>
          <cell r="E462">
            <v>1.0900000000000001</v>
          </cell>
          <cell r="F462">
            <v>53.137500000000003</v>
          </cell>
          <cell r="G462">
            <v>0</v>
          </cell>
          <cell r="H462">
            <v>0</v>
          </cell>
          <cell r="I462" t="str">
            <v>0.00%</v>
          </cell>
          <cell r="J462">
            <v>0</v>
          </cell>
          <cell r="K462">
            <v>0</v>
          </cell>
          <cell r="L462" t="str">
            <v>0.00%</v>
          </cell>
          <cell r="M462">
            <v>0</v>
          </cell>
          <cell r="N462">
            <v>0</v>
          </cell>
          <cell r="O462" t="str">
            <v>0.00%</v>
          </cell>
          <cell r="P462">
            <v>48.75</v>
          </cell>
          <cell r="Q462">
            <v>53.137500000000003</v>
          </cell>
          <cell r="R462">
            <v>1</v>
          </cell>
        </row>
        <row r="463">
          <cell r="A463" t="str">
            <v>07.03.01.02</v>
          </cell>
          <cell r="B463" t="str">
            <v>TRAZO DURANTE LA EJECUCION DE LA OBRA</v>
          </cell>
          <cell r="C463" t="str">
            <v>m2</v>
          </cell>
          <cell r="D463">
            <v>49.2</v>
          </cell>
          <cell r="E463">
            <v>3.49</v>
          </cell>
          <cell r="F463">
            <v>171.70800000000003</v>
          </cell>
          <cell r="G463">
            <v>0</v>
          </cell>
          <cell r="H463">
            <v>0</v>
          </cell>
          <cell r="I463" t="str">
            <v>0.00%</v>
          </cell>
          <cell r="J463">
            <v>0</v>
          </cell>
          <cell r="K463">
            <v>0</v>
          </cell>
          <cell r="L463" t="str">
            <v>0.00%</v>
          </cell>
          <cell r="M463">
            <v>0</v>
          </cell>
          <cell r="N463">
            <v>0</v>
          </cell>
          <cell r="O463" t="str">
            <v>0.00%</v>
          </cell>
          <cell r="P463">
            <v>49.2</v>
          </cell>
          <cell r="Q463">
            <v>171.70800000000003</v>
          </cell>
          <cell r="R463">
            <v>1</v>
          </cell>
        </row>
        <row r="464">
          <cell r="A464" t="str">
            <v>07.03.02</v>
          </cell>
          <cell r="B464" t="str">
            <v>MOVIMIENTO DE TIERRAS</v>
          </cell>
          <cell r="C464">
            <v>0</v>
          </cell>
          <cell r="D464">
            <v>0</v>
          </cell>
          <cell r="E464">
            <v>0</v>
          </cell>
          <cell r="F464">
            <v>0</v>
          </cell>
          <cell r="G464">
            <v>0</v>
          </cell>
          <cell r="H464">
            <v>0</v>
          </cell>
          <cell r="I464">
            <v>0</v>
          </cell>
          <cell r="J464">
            <v>0</v>
          </cell>
          <cell r="K464">
            <v>0</v>
          </cell>
          <cell r="L464">
            <v>0</v>
          </cell>
          <cell r="M464">
            <v>0</v>
          </cell>
          <cell r="N464">
            <v>0</v>
          </cell>
          <cell r="O464">
            <v>0</v>
          </cell>
          <cell r="P464">
            <v>0</v>
          </cell>
          <cell r="Q464">
            <v>0</v>
          </cell>
          <cell r="R464">
            <v>0</v>
          </cell>
        </row>
        <row r="465">
          <cell r="A465" t="str">
            <v>07.03.02.01</v>
          </cell>
          <cell r="B465" t="str">
            <v>EXCAVACION MANUAL EN TERRENO NORMAL h=0.30cm</v>
          </cell>
          <cell r="C465" t="str">
            <v>m3</v>
          </cell>
          <cell r="D465">
            <v>12.3</v>
          </cell>
          <cell r="E465">
            <v>38.020000000000003</v>
          </cell>
          <cell r="F465">
            <v>467.64600000000007</v>
          </cell>
          <cell r="G465">
            <v>0</v>
          </cell>
          <cell r="H465">
            <v>0</v>
          </cell>
          <cell r="I465" t="str">
            <v>0.00%</v>
          </cell>
          <cell r="J465">
            <v>0</v>
          </cell>
          <cell r="K465">
            <v>0</v>
          </cell>
          <cell r="L465" t="str">
            <v>0.00%</v>
          </cell>
          <cell r="M465">
            <v>0</v>
          </cell>
          <cell r="N465">
            <v>0</v>
          </cell>
          <cell r="O465" t="str">
            <v>0.00%</v>
          </cell>
          <cell r="P465">
            <v>12.3</v>
          </cell>
          <cell r="Q465">
            <v>467.64600000000007</v>
          </cell>
          <cell r="R465">
            <v>1</v>
          </cell>
        </row>
        <row r="466">
          <cell r="A466" t="str">
            <v>07.03.02.02</v>
          </cell>
          <cell r="B466" t="str">
            <v>ACARREO INTERNO, MATERIAL PROCEDENTE DE EXCAVACIONES  Y OTROS</v>
          </cell>
          <cell r="C466" t="str">
            <v>m3</v>
          </cell>
          <cell r="D466">
            <v>15.38</v>
          </cell>
          <cell r="E466">
            <v>19</v>
          </cell>
          <cell r="F466">
            <v>292.22000000000003</v>
          </cell>
          <cell r="G466">
            <v>0</v>
          </cell>
          <cell r="H466">
            <v>0</v>
          </cell>
          <cell r="I466" t="str">
            <v>0.00%</v>
          </cell>
          <cell r="J466">
            <v>0</v>
          </cell>
          <cell r="K466">
            <v>0</v>
          </cell>
          <cell r="L466" t="str">
            <v>0.00%</v>
          </cell>
          <cell r="M466">
            <v>0</v>
          </cell>
          <cell r="N466">
            <v>0</v>
          </cell>
          <cell r="O466" t="str">
            <v>0.00%</v>
          </cell>
          <cell r="P466">
            <v>15.38</v>
          </cell>
          <cell r="Q466">
            <v>292.22000000000003</v>
          </cell>
          <cell r="R466">
            <v>1</v>
          </cell>
        </row>
        <row r="467">
          <cell r="A467" t="str">
            <v>07.03.02.03</v>
          </cell>
          <cell r="B467" t="str">
            <v>ELIMINACION DE MATERIAL EXCEDENTE CON EQUIPO</v>
          </cell>
          <cell r="C467" t="str">
            <v>m3</v>
          </cell>
          <cell r="D467">
            <v>15.38</v>
          </cell>
          <cell r="E467">
            <v>14.64</v>
          </cell>
          <cell r="F467">
            <v>225.16320000000002</v>
          </cell>
          <cell r="G467">
            <v>0</v>
          </cell>
          <cell r="H467">
            <v>0</v>
          </cell>
          <cell r="I467" t="str">
            <v>0.00%</v>
          </cell>
          <cell r="J467">
            <v>0</v>
          </cell>
          <cell r="K467">
            <v>0</v>
          </cell>
          <cell r="L467" t="str">
            <v>0.00%</v>
          </cell>
          <cell r="M467">
            <v>0</v>
          </cell>
          <cell r="N467">
            <v>0</v>
          </cell>
          <cell r="O467" t="str">
            <v>0.00%</v>
          </cell>
          <cell r="P467">
            <v>15.38</v>
          </cell>
          <cell r="Q467">
            <v>225.16320000000002</v>
          </cell>
          <cell r="R467">
            <v>1</v>
          </cell>
        </row>
        <row r="468">
          <cell r="A468" t="str">
            <v>07.03.02.04</v>
          </cell>
          <cell r="B468" t="str">
            <v xml:space="preserve">AFIRMADO e=20 cm </v>
          </cell>
          <cell r="C468" t="str">
            <v>m3</v>
          </cell>
          <cell r="D468">
            <v>4.38</v>
          </cell>
          <cell r="E468">
            <v>82.36</v>
          </cell>
          <cell r="F468">
            <v>360.73680000000002</v>
          </cell>
          <cell r="G468">
            <v>0</v>
          </cell>
          <cell r="H468">
            <v>0</v>
          </cell>
          <cell r="I468" t="str">
            <v>0.00%</v>
          </cell>
          <cell r="J468">
            <v>0</v>
          </cell>
          <cell r="K468">
            <v>0</v>
          </cell>
          <cell r="L468" t="str">
            <v>0.00%</v>
          </cell>
          <cell r="M468">
            <v>0</v>
          </cell>
          <cell r="N468">
            <v>0</v>
          </cell>
          <cell r="O468" t="str">
            <v>0.00%</v>
          </cell>
          <cell r="P468">
            <v>4.38</v>
          </cell>
          <cell r="Q468">
            <v>360.73680000000002</v>
          </cell>
          <cell r="R468">
            <v>1</v>
          </cell>
        </row>
        <row r="469">
          <cell r="A469" t="str">
            <v>07.03.02.05</v>
          </cell>
          <cell r="B469" t="str">
            <v xml:space="preserve">NIVELACION Y COMPACTACION PARA FALSO PISOS, VEREDAS Y PATIOS </v>
          </cell>
          <cell r="C469" t="str">
            <v>m2</v>
          </cell>
          <cell r="D469">
            <v>49.2</v>
          </cell>
          <cell r="E469">
            <v>9.3800000000000008</v>
          </cell>
          <cell r="F469">
            <v>461.49600000000004</v>
          </cell>
          <cell r="G469">
            <v>0</v>
          </cell>
          <cell r="H469">
            <v>0</v>
          </cell>
          <cell r="I469" t="str">
            <v>0.00%</v>
          </cell>
          <cell r="J469">
            <v>0</v>
          </cell>
          <cell r="K469">
            <v>0</v>
          </cell>
          <cell r="L469" t="str">
            <v>0.00%</v>
          </cell>
          <cell r="M469">
            <v>0</v>
          </cell>
          <cell r="N469">
            <v>0</v>
          </cell>
          <cell r="O469" t="str">
            <v>0.00%</v>
          </cell>
          <cell r="P469">
            <v>49.2</v>
          </cell>
          <cell r="Q469">
            <v>461.49600000000004</v>
          </cell>
          <cell r="R469">
            <v>1</v>
          </cell>
        </row>
        <row r="470">
          <cell r="A470" t="str">
            <v>07.03.03</v>
          </cell>
          <cell r="B470" t="str">
            <v>PAVIMENTOS</v>
          </cell>
          <cell r="C470">
            <v>0</v>
          </cell>
          <cell r="D470">
            <v>0</v>
          </cell>
          <cell r="E470">
            <v>0</v>
          </cell>
          <cell r="F470">
            <v>0</v>
          </cell>
          <cell r="G470">
            <v>0</v>
          </cell>
          <cell r="H470">
            <v>0</v>
          </cell>
          <cell r="I470">
            <v>0</v>
          </cell>
          <cell r="J470">
            <v>0</v>
          </cell>
          <cell r="K470">
            <v>0</v>
          </cell>
          <cell r="L470">
            <v>0</v>
          </cell>
          <cell r="M470">
            <v>0</v>
          </cell>
          <cell r="N470">
            <v>0</v>
          </cell>
          <cell r="O470">
            <v>0</v>
          </cell>
          <cell r="P470">
            <v>0</v>
          </cell>
          <cell r="Q470">
            <v>0</v>
          </cell>
          <cell r="R470">
            <v>0</v>
          </cell>
        </row>
        <row r="471">
          <cell r="A471" t="str">
            <v>07.03.03.01</v>
          </cell>
          <cell r="B471" t="str">
            <v>PREPARACION DE SUB RASANTE, PERFILADO, REGADO Y COMPACTACION</v>
          </cell>
          <cell r="C471" t="str">
            <v>m2</v>
          </cell>
          <cell r="D471">
            <v>49.2</v>
          </cell>
          <cell r="E471">
            <v>17.100000000000001</v>
          </cell>
          <cell r="F471">
            <v>841.32000000000016</v>
          </cell>
          <cell r="G471">
            <v>0</v>
          </cell>
          <cell r="H471">
            <v>0</v>
          </cell>
          <cell r="I471" t="str">
            <v>0.00%</v>
          </cell>
          <cell r="J471">
            <v>0</v>
          </cell>
          <cell r="K471">
            <v>0</v>
          </cell>
          <cell r="L471" t="str">
            <v>0.00%</v>
          </cell>
          <cell r="M471">
            <v>0</v>
          </cell>
          <cell r="N471">
            <v>0</v>
          </cell>
          <cell r="O471" t="str">
            <v>0.00%</v>
          </cell>
          <cell r="P471">
            <v>49.2</v>
          </cell>
          <cell r="Q471">
            <v>841.32000000000016</v>
          </cell>
          <cell r="R471">
            <v>1</v>
          </cell>
        </row>
        <row r="472">
          <cell r="A472" t="str">
            <v>07.03.03.02</v>
          </cell>
          <cell r="B472" t="str">
            <v>SUMINISTRO DE AFIRMADO</v>
          </cell>
          <cell r="C472" t="str">
            <v>m3</v>
          </cell>
          <cell r="D472">
            <v>4.38</v>
          </cell>
          <cell r="E472">
            <v>30.5</v>
          </cell>
          <cell r="F472">
            <v>133.59</v>
          </cell>
          <cell r="G472">
            <v>0</v>
          </cell>
          <cell r="H472">
            <v>0</v>
          </cell>
          <cell r="I472" t="str">
            <v>0.00%</v>
          </cell>
          <cell r="J472">
            <v>0</v>
          </cell>
          <cell r="K472">
            <v>0</v>
          </cell>
          <cell r="L472" t="str">
            <v>0.00%</v>
          </cell>
          <cell r="M472">
            <v>0</v>
          </cell>
          <cell r="N472">
            <v>0</v>
          </cell>
          <cell r="O472" t="str">
            <v>0.00%</v>
          </cell>
          <cell r="P472">
            <v>4.38</v>
          </cell>
          <cell r="Q472">
            <v>133.59</v>
          </cell>
          <cell r="R472">
            <v>1</v>
          </cell>
        </row>
        <row r="473">
          <cell r="A473" t="str">
            <v>07.03.03.03</v>
          </cell>
          <cell r="B473" t="str">
            <v>PREPARACION DE LA BASE, BATIDO, REGADO Y COMPACTACION E=15cm.</v>
          </cell>
          <cell r="C473" t="str">
            <v>m2</v>
          </cell>
          <cell r="D473">
            <v>49.2</v>
          </cell>
          <cell r="E473">
            <v>39.47</v>
          </cell>
          <cell r="F473">
            <v>1941.924</v>
          </cell>
          <cell r="G473">
            <v>0</v>
          </cell>
          <cell r="H473">
            <v>0</v>
          </cell>
          <cell r="I473" t="str">
            <v>0.00%</v>
          </cell>
          <cell r="J473">
            <v>0</v>
          </cell>
          <cell r="K473">
            <v>0</v>
          </cell>
          <cell r="L473" t="str">
            <v>0.00%</v>
          </cell>
          <cell r="M473">
            <v>0</v>
          </cell>
          <cell r="N473">
            <v>0</v>
          </cell>
          <cell r="O473" t="str">
            <v>0.00%</v>
          </cell>
          <cell r="P473">
            <v>49.2</v>
          </cell>
          <cell r="Q473">
            <v>1941.924</v>
          </cell>
          <cell r="R473">
            <v>1</v>
          </cell>
        </row>
        <row r="474">
          <cell r="A474" t="str">
            <v>07.03.04</v>
          </cell>
          <cell r="B474" t="str">
            <v>CONCRETO SIMPLE</v>
          </cell>
          <cell r="C474">
            <v>0</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row>
        <row r="475">
          <cell r="A475" t="str">
            <v>07.03.04.01</v>
          </cell>
          <cell r="B475" t="str">
            <v>CONCRETO EN SARDINELES F'C= 175KG/CM2</v>
          </cell>
          <cell r="C475" t="str">
            <v>m3</v>
          </cell>
          <cell r="D475">
            <v>1.8</v>
          </cell>
          <cell r="E475">
            <v>384.85</v>
          </cell>
          <cell r="F475">
            <v>692.73</v>
          </cell>
          <cell r="G475">
            <v>0</v>
          </cell>
          <cell r="H475">
            <v>0</v>
          </cell>
          <cell r="I475" t="str">
            <v>0.00%</v>
          </cell>
          <cell r="J475">
            <v>0</v>
          </cell>
          <cell r="K475">
            <v>0</v>
          </cell>
          <cell r="L475" t="str">
            <v>0.00%</v>
          </cell>
          <cell r="M475">
            <v>0</v>
          </cell>
          <cell r="N475">
            <v>0</v>
          </cell>
          <cell r="O475" t="str">
            <v>0.00%</v>
          </cell>
          <cell r="P475">
            <v>1.8</v>
          </cell>
          <cell r="Q475">
            <v>692.73</v>
          </cell>
          <cell r="R475">
            <v>1</v>
          </cell>
        </row>
        <row r="476">
          <cell r="A476" t="str">
            <v>07.03.04.02</v>
          </cell>
          <cell r="B476" t="str">
            <v>ENCOFRADO Y DESENCOFRADO DE SARDINELES</v>
          </cell>
          <cell r="C476" t="str">
            <v>m2</v>
          </cell>
          <cell r="D476">
            <v>18.239999999999998</v>
          </cell>
          <cell r="E476">
            <v>17.3</v>
          </cell>
          <cell r="F476">
            <v>315.55199999999996</v>
          </cell>
          <cell r="G476">
            <v>0</v>
          </cell>
          <cell r="H476">
            <v>0</v>
          </cell>
          <cell r="I476" t="str">
            <v>0.00%</v>
          </cell>
          <cell r="J476">
            <v>0</v>
          </cell>
          <cell r="K476">
            <v>0</v>
          </cell>
          <cell r="L476" t="str">
            <v>0.00%</v>
          </cell>
          <cell r="M476">
            <v>0</v>
          </cell>
          <cell r="N476">
            <v>0</v>
          </cell>
          <cell r="O476" t="str">
            <v>0.00%</v>
          </cell>
          <cell r="P476">
            <v>18.239999999999998</v>
          </cell>
          <cell r="Q476">
            <v>315.55199999999996</v>
          </cell>
          <cell r="R476">
            <v>1</v>
          </cell>
        </row>
        <row r="477">
          <cell r="A477" t="str">
            <v>07.03.04.03</v>
          </cell>
          <cell r="B477" t="str">
            <v>CONCRETO F'C= 175 KG/CM2 EN RAMPA</v>
          </cell>
          <cell r="C477" t="str">
            <v>m3</v>
          </cell>
          <cell r="D477">
            <v>8.6199999999999992</v>
          </cell>
          <cell r="E477">
            <v>480.98</v>
          </cell>
          <cell r="F477">
            <v>4146.0475999999999</v>
          </cell>
          <cell r="G477">
            <v>0</v>
          </cell>
          <cell r="H477">
            <v>0</v>
          </cell>
          <cell r="I477" t="str">
            <v>0.00%</v>
          </cell>
          <cell r="J477">
            <v>0</v>
          </cell>
          <cell r="K477">
            <v>0</v>
          </cell>
          <cell r="L477" t="str">
            <v>0.00%</v>
          </cell>
          <cell r="M477">
            <v>0</v>
          </cell>
          <cell r="N477">
            <v>0</v>
          </cell>
          <cell r="O477" t="str">
            <v>0.00%</v>
          </cell>
          <cell r="P477">
            <v>8.6199999999999992</v>
          </cell>
          <cell r="Q477">
            <v>4146.0475999999999</v>
          </cell>
          <cell r="R477">
            <v>1</v>
          </cell>
        </row>
        <row r="478">
          <cell r="A478" t="str">
            <v>07.03.04.04</v>
          </cell>
          <cell r="B478" t="str">
            <v>ENCOFRADO Y DESENCOFRADO EN RAMPA</v>
          </cell>
          <cell r="C478" t="str">
            <v>m2</v>
          </cell>
          <cell r="D478">
            <v>14.79</v>
          </cell>
          <cell r="E478">
            <v>45</v>
          </cell>
          <cell r="F478">
            <v>665.55</v>
          </cell>
          <cell r="G478">
            <v>0</v>
          </cell>
          <cell r="H478">
            <v>0</v>
          </cell>
          <cell r="I478" t="str">
            <v>0.00%</v>
          </cell>
          <cell r="J478">
            <v>0</v>
          </cell>
          <cell r="K478">
            <v>0</v>
          </cell>
          <cell r="L478" t="str">
            <v>0.00%</v>
          </cell>
          <cell r="M478">
            <v>0</v>
          </cell>
          <cell r="N478">
            <v>0</v>
          </cell>
          <cell r="O478" t="str">
            <v>0.00%</v>
          </cell>
          <cell r="P478">
            <v>14.79</v>
          </cell>
          <cell r="Q478">
            <v>665.55</v>
          </cell>
          <cell r="R478">
            <v>1</v>
          </cell>
        </row>
        <row r="479">
          <cell r="A479" t="str">
            <v>07.03.05</v>
          </cell>
          <cell r="B479" t="str">
            <v>JUNTAS DE CONSTRUCCION</v>
          </cell>
          <cell r="C479">
            <v>0</v>
          </cell>
          <cell r="D479">
            <v>0</v>
          </cell>
          <cell r="E479">
            <v>0</v>
          </cell>
          <cell r="F479">
            <v>0</v>
          </cell>
          <cell r="G479">
            <v>0</v>
          </cell>
          <cell r="H479">
            <v>0</v>
          </cell>
          <cell r="I479">
            <v>0</v>
          </cell>
          <cell r="J479">
            <v>0</v>
          </cell>
          <cell r="K479">
            <v>0</v>
          </cell>
          <cell r="L479">
            <v>0</v>
          </cell>
          <cell r="M479">
            <v>0</v>
          </cell>
          <cell r="N479">
            <v>0</v>
          </cell>
          <cell r="O479">
            <v>0</v>
          </cell>
          <cell r="P479">
            <v>0</v>
          </cell>
          <cell r="Q479">
            <v>0</v>
          </cell>
          <cell r="R479">
            <v>0</v>
          </cell>
        </row>
        <row r="480">
          <cell r="A480" t="str">
            <v>07.03.05.01</v>
          </cell>
          <cell r="B480" t="str">
            <v>JUNTAS DE TEKNOPOR DE  1"</v>
          </cell>
          <cell r="C480" t="str">
            <v>m</v>
          </cell>
          <cell r="D480">
            <v>19.5</v>
          </cell>
          <cell r="E480">
            <v>9.0500000000000007</v>
          </cell>
          <cell r="F480">
            <v>176.47500000000002</v>
          </cell>
          <cell r="G480">
            <v>0</v>
          </cell>
          <cell r="H480">
            <v>0</v>
          </cell>
          <cell r="I480" t="str">
            <v>0.00%</v>
          </cell>
          <cell r="J480">
            <v>0</v>
          </cell>
          <cell r="K480">
            <v>0</v>
          </cell>
          <cell r="L480" t="str">
            <v>0.00%</v>
          </cell>
          <cell r="M480">
            <v>0</v>
          </cell>
          <cell r="N480">
            <v>0</v>
          </cell>
          <cell r="O480" t="str">
            <v>0.00%</v>
          </cell>
          <cell r="P480">
            <v>19.5</v>
          </cell>
          <cell r="Q480">
            <v>176.47500000000002</v>
          </cell>
          <cell r="R480">
            <v>1</v>
          </cell>
        </row>
        <row r="481">
          <cell r="A481" t="str">
            <v>07.03.06</v>
          </cell>
          <cell r="B481" t="str">
            <v>PRUEBAS</v>
          </cell>
          <cell r="C481">
            <v>0</v>
          </cell>
          <cell r="D481">
            <v>0</v>
          </cell>
          <cell r="E481">
            <v>0</v>
          </cell>
          <cell r="F481">
            <v>0</v>
          </cell>
          <cell r="G481">
            <v>0</v>
          </cell>
          <cell r="H481">
            <v>0</v>
          </cell>
          <cell r="I481">
            <v>0</v>
          </cell>
          <cell r="J481">
            <v>0</v>
          </cell>
          <cell r="K481">
            <v>0</v>
          </cell>
          <cell r="L481">
            <v>0</v>
          </cell>
          <cell r="M481">
            <v>0</v>
          </cell>
          <cell r="N481">
            <v>0</v>
          </cell>
          <cell r="O481">
            <v>0</v>
          </cell>
          <cell r="P481">
            <v>0</v>
          </cell>
          <cell r="Q481">
            <v>0</v>
          </cell>
          <cell r="R481">
            <v>0</v>
          </cell>
        </row>
        <row r="482">
          <cell r="A482" t="str">
            <v>07.03.06.01</v>
          </cell>
          <cell r="B482" t="str">
            <v>PRUEBA DE CALIDAD DEL CONCRETO (PRUEBA A LA COMPRESION)</v>
          </cell>
          <cell r="C482" t="str">
            <v>und</v>
          </cell>
          <cell r="D482">
            <v>1</v>
          </cell>
          <cell r="E482">
            <v>40</v>
          </cell>
          <cell r="F482">
            <v>40</v>
          </cell>
          <cell r="G482">
            <v>0</v>
          </cell>
          <cell r="H482">
            <v>0</v>
          </cell>
          <cell r="I482" t="str">
            <v>0.00%</v>
          </cell>
          <cell r="J482">
            <v>0</v>
          </cell>
          <cell r="K482">
            <v>0</v>
          </cell>
          <cell r="L482" t="str">
            <v>0.00%</v>
          </cell>
          <cell r="M482">
            <v>0</v>
          </cell>
          <cell r="N482">
            <v>0</v>
          </cell>
          <cell r="O482" t="str">
            <v>0.00%</v>
          </cell>
          <cell r="P482">
            <v>1</v>
          </cell>
          <cell r="Q482">
            <v>40</v>
          </cell>
          <cell r="R482">
            <v>1</v>
          </cell>
        </row>
        <row r="483">
          <cell r="A483" t="str">
            <v>07.04</v>
          </cell>
          <cell r="B483" t="str">
            <v>GRADERIA</v>
          </cell>
          <cell r="C483">
            <v>0</v>
          </cell>
          <cell r="D483">
            <v>0</v>
          </cell>
          <cell r="E483">
            <v>0</v>
          </cell>
          <cell r="F483">
            <v>0</v>
          </cell>
          <cell r="G483">
            <v>0</v>
          </cell>
          <cell r="H483">
            <v>0</v>
          </cell>
          <cell r="I483">
            <v>0</v>
          </cell>
          <cell r="J483">
            <v>0</v>
          </cell>
          <cell r="K483">
            <v>0</v>
          </cell>
          <cell r="L483">
            <v>0</v>
          </cell>
          <cell r="M483">
            <v>0</v>
          </cell>
          <cell r="N483">
            <v>0</v>
          </cell>
          <cell r="O483">
            <v>0</v>
          </cell>
          <cell r="P483">
            <v>0</v>
          </cell>
          <cell r="Q483">
            <v>0</v>
          </cell>
          <cell r="R483">
            <v>0</v>
          </cell>
        </row>
        <row r="484">
          <cell r="A484" t="str">
            <v>07.04.01</v>
          </cell>
          <cell r="B484" t="str">
            <v>TRABAJOS PRELIMINARES</v>
          </cell>
          <cell r="C484">
            <v>0</v>
          </cell>
          <cell r="D484">
            <v>0</v>
          </cell>
          <cell r="E484">
            <v>0</v>
          </cell>
          <cell r="F484">
            <v>0</v>
          </cell>
          <cell r="G484">
            <v>0</v>
          </cell>
          <cell r="H484">
            <v>0</v>
          </cell>
          <cell r="I484">
            <v>0</v>
          </cell>
          <cell r="J484">
            <v>0</v>
          </cell>
          <cell r="K484">
            <v>0</v>
          </cell>
          <cell r="L484">
            <v>0</v>
          </cell>
          <cell r="M484">
            <v>0</v>
          </cell>
          <cell r="N484">
            <v>0</v>
          </cell>
          <cell r="O484">
            <v>0</v>
          </cell>
          <cell r="P484">
            <v>0</v>
          </cell>
          <cell r="Q484">
            <v>0</v>
          </cell>
          <cell r="R484">
            <v>0</v>
          </cell>
        </row>
        <row r="485">
          <cell r="A485" t="str">
            <v>07.04.01.01</v>
          </cell>
          <cell r="B485" t="str">
            <v>LIMPIEZA DE TERRENO MANUAL</v>
          </cell>
          <cell r="C485" t="str">
            <v>m2</v>
          </cell>
          <cell r="D485">
            <v>10.82</v>
          </cell>
          <cell r="E485">
            <v>1.0900000000000001</v>
          </cell>
          <cell r="F485">
            <v>11.793800000000001</v>
          </cell>
          <cell r="G485">
            <v>0</v>
          </cell>
          <cell r="H485">
            <v>0</v>
          </cell>
          <cell r="I485" t="str">
            <v>0.00%</v>
          </cell>
          <cell r="J485">
            <v>0</v>
          </cell>
          <cell r="K485">
            <v>0</v>
          </cell>
          <cell r="L485" t="str">
            <v>0.00%</v>
          </cell>
          <cell r="M485">
            <v>0</v>
          </cell>
          <cell r="N485">
            <v>0</v>
          </cell>
          <cell r="O485" t="str">
            <v>0.00%</v>
          </cell>
          <cell r="P485">
            <v>10.82</v>
          </cell>
          <cell r="Q485">
            <v>11.793800000000001</v>
          </cell>
          <cell r="R485">
            <v>1</v>
          </cell>
        </row>
        <row r="486">
          <cell r="A486" t="str">
            <v>07.04.01.02</v>
          </cell>
          <cell r="B486" t="str">
            <v>TRAZO DURANTE LA EJECUCION DE LA OBRA</v>
          </cell>
          <cell r="C486" t="str">
            <v>m2</v>
          </cell>
          <cell r="D486">
            <v>10.82</v>
          </cell>
          <cell r="E486">
            <v>3.49</v>
          </cell>
          <cell r="F486">
            <v>37.761800000000001</v>
          </cell>
          <cell r="G486">
            <v>0</v>
          </cell>
          <cell r="H486">
            <v>0</v>
          </cell>
          <cell r="I486" t="str">
            <v>0.00%</v>
          </cell>
          <cell r="J486">
            <v>0</v>
          </cell>
          <cell r="K486">
            <v>0</v>
          </cell>
          <cell r="L486" t="str">
            <v>0.00%</v>
          </cell>
          <cell r="M486">
            <v>0</v>
          </cell>
          <cell r="N486">
            <v>0</v>
          </cell>
          <cell r="O486" t="str">
            <v>0.00%</v>
          </cell>
          <cell r="P486">
            <v>10.82</v>
          </cell>
          <cell r="Q486">
            <v>37.761800000000001</v>
          </cell>
          <cell r="R486">
            <v>1</v>
          </cell>
        </row>
        <row r="487">
          <cell r="A487" t="str">
            <v>07.04.02</v>
          </cell>
          <cell r="B487" t="str">
            <v>MOVIMIENTO DE TIERRAS</v>
          </cell>
          <cell r="C487">
            <v>0</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row>
        <row r="488">
          <cell r="A488" t="str">
            <v>07.04.02.01</v>
          </cell>
          <cell r="B488" t="str">
            <v>EXCAVACION MANUAL EN TERRENO NORMAL h=0.30cm</v>
          </cell>
          <cell r="C488" t="str">
            <v>m3</v>
          </cell>
          <cell r="D488">
            <v>2.7</v>
          </cell>
          <cell r="E488">
            <v>38.020000000000003</v>
          </cell>
          <cell r="F488">
            <v>102.65400000000001</v>
          </cell>
          <cell r="G488">
            <v>0</v>
          </cell>
          <cell r="H488">
            <v>0</v>
          </cell>
          <cell r="I488" t="str">
            <v>0.00%</v>
          </cell>
          <cell r="J488">
            <v>0</v>
          </cell>
          <cell r="K488">
            <v>0</v>
          </cell>
          <cell r="L488" t="str">
            <v>0.00%</v>
          </cell>
          <cell r="M488">
            <v>0</v>
          </cell>
          <cell r="N488">
            <v>0</v>
          </cell>
          <cell r="O488" t="str">
            <v>0.00%</v>
          </cell>
          <cell r="P488">
            <v>2.7</v>
          </cell>
          <cell r="Q488">
            <v>102.65400000000001</v>
          </cell>
          <cell r="R488">
            <v>1</v>
          </cell>
        </row>
        <row r="489">
          <cell r="A489" t="str">
            <v>07.04.02.02</v>
          </cell>
          <cell r="B489" t="str">
            <v>ACARREO INTERNO, MATERIAL PROCEDENTE DE EXCAVACIONES  Y OTROS</v>
          </cell>
          <cell r="C489" t="str">
            <v>m3</v>
          </cell>
          <cell r="D489">
            <v>3.38</v>
          </cell>
          <cell r="E489">
            <v>19</v>
          </cell>
          <cell r="F489">
            <v>64.22</v>
          </cell>
          <cell r="G489">
            <v>0</v>
          </cell>
          <cell r="H489">
            <v>0</v>
          </cell>
          <cell r="I489" t="str">
            <v>0.00%</v>
          </cell>
          <cell r="J489">
            <v>0</v>
          </cell>
          <cell r="K489">
            <v>0</v>
          </cell>
          <cell r="L489" t="str">
            <v>0.00%</v>
          </cell>
          <cell r="M489">
            <v>0</v>
          </cell>
          <cell r="N489">
            <v>0</v>
          </cell>
          <cell r="O489" t="str">
            <v>0.00%</v>
          </cell>
          <cell r="P489">
            <v>3.38</v>
          </cell>
          <cell r="Q489">
            <v>64.22</v>
          </cell>
          <cell r="R489">
            <v>1</v>
          </cell>
        </row>
        <row r="490">
          <cell r="A490" t="str">
            <v>07.04.02.03</v>
          </cell>
          <cell r="B490" t="str">
            <v>ELIMINACION DE MATERIAL EXCEDENTE CON EQUIPO</v>
          </cell>
          <cell r="C490" t="str">
            <v>m3</v>
          </cell>
          <cell r="D490">
            <v>3.38</v>
          </cell>
          <cell r="E490">
            <v>14.64</v>
          </cell>
          <cell r="F490">
            <v>49.483200000000004</v>
          </cell>
          <cell r="G490">
            <v>0</v>
          </cell>
          <cell r="H490">
            <v>0</v>
          </cell>
          <cell r="I490" t="str">
            <v>0.00%</v>
          </cell>
          <cell r="J490">
            <v>0</v>
          </cell>
          <cell r="K490">
            <v>0</v>
          </cell>
          <cell r="L490" t="str">
            <v>0.00%</v>
          </cell>
          <cell r="M490">
            <v>0</v>
          </cell>
          <cell r="N490">
            <v>0</v>
          </cell>
          <cell r="O490" t="str">
            <v>0.00%</v>
          </cell>
          <cell r="P490">
            <v>3.38</v>
          </cell>
          <cell r="Q490">
            <v>49.483200000000004</v>
          </cell>
          <cell r="R490">
            <v>1</v>
          </cell>
        </row>
        <row r="491">
          <cell r="A491" t="str">
            <v>07.04.02.04</v>
          </cell>
          <cell r="B491" t="str">
            <v xml:space="preserve">AFIRMADO e=20 cm </v>
          </cell>
          <cell r="C491" t="str">
            <v>m3</v>
          </cell>
          <cell r="D491">
            <v>1.08</v>
          </cell>
          <cell r="E491">
            <v>82.36</v>
          </cell>
          <cell r="F491">
            <v>88.948800000000006</v>
          </cell>
          <cell r="G491">
            <v>0</v>
          </cell>
          <cell r="H491">
            <v>0</v>
          </cell>
          <cell r="I491" t="str">
            <v>0.00%</v>
          </cell>
          <cell r="J491">
            <v>0</v>
          </cell>
          <cell r="K491">
            <v>0</v>
          </cell>
          <cell r="L491" t="str">
            <v>0.00%</v>
          </cell>
          <cell r="M491">
            <v>0</v>
          </cell>
          <cell r="N491">
            <v>0</v>
          </cell>
          <cell r="O491" t="str">
            <v>0.00%</v>
          </cell>
          <cell r="P491">
            <v>1.08</v>
          </cell>
          <cell r="Q491">
            <v>88.948800000000006</v>
          </cell>
          <cell r="R491">
            <v>1</v>
          </cell>
        </row>
        <row r="492">
          <cell r="A492" t="str">
            <v>07.04.02.05</v>
          </cell>
          <cell r="B492" t="str">
            <v xml:space="preserve">NIVELACION Y COMPACTACION PARA FALSO PISOS, VEREDAS Y PATIOS </v>
          </cell>
          <cell r="C492" t="str">
            <v>m2</v>
          </cell>
          <cell r="D492">
            <v>10.82</v>
          </cell>
          <cell r="E492">
            <v>9.3800000000000008</v>
          </cell>
          <cell r="F492">
            <v>101.49160000000001</v>
          </cell>
          <cell r="G492">
            <v>0</v>
          </cell>
          <cell r="H492">
            <v>0</v>
          </cell>
          <cell r="I492" t="str">
            <v>0.00%</v>
          </cell>
          <cell r="J492">
            <v>0</v>
          </cell>
          <cell r="K492">
            <v>0</v>
          </cell>
          <cell r="L492" t="str">
            <v>0.00%</v>
          </cell>
          <cell r="M492">
            <v>0</v>
          </cell>
          <cell r="N492">
            <v>0</v>
          </cell>
          <cell r="O492" t="str">
            <v>0.00%</v>
          </cell>
          <cell r="P492">
            <v>10.82</v>
          </cell>
          <cell r="Q492">
            <v>101.49160000000001</v>
          </cell>
          <cell r="R492">
            <v>1</v>
          </cell>
        </row>
        <row r="493">
          <cell r="A493" t="str">
            <v>07.04.03</v>
          </cell>
          <cell r="B493" t="str">
            <v>OBRAS DE CONCRETO SIMPLE</v>
          </cell>
          <cell r="C493">
            <v>0</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row>
        <row r="494">
          <cell r="A494" t="str">
            <v>07.04.03.01</v>
          </cell>
          <cell r="B494" t="str">
            <v>CONCRETO F'C= 175 KG/CM2 EN GRADERIA</v>
          </cell>
          <cell r="C494" t="str">
            <v>m3</v>
          </cell>
          <cell r="D494">
            <v>1.76</v>
          </cell>
          <cell r="E494">
            <v>368.88</v>
          </cell>
          <cell r="F494">
            <v>649.22879999999998</v>
          </cell>
          <cell r="G494">
            <v>0</v>
          </cell>
          <cell r="H494">
            <v>0</v>
          </cell>
          <cell r="I494" t="str">
            <v>0.00%</v>
          </cell>
          <cell r="J494">
            <v>0</v>
          </cell>
          <cell r="K494">
            <v>0</v>
          </cell>
          <cell r="L494" t="str">
            <v>0.00%</v>
          </cell>
          <cell r="M494">
            <v>0</v>
          </cell>
          <cell r="N494">
            <v>0</v>
          </cell>
          <cell r="O494" t="str">
            <v>0.00%</v>
          </cell>
          <cell r="P494">
            <v>1.76</v>
          </cell>
          <cell r="Q494">
            <v>649.22879999999998</v>
          </cell>
          <cell r="R494">
            <v>1</v>
          </cell>
        </row>
        <row r="495">
          <cell r="A495" t="str">
            <v>07.04.03.02</v>
          </cell>
          <cell r="B495" t="str">
            <v>ENCOFRADO Y DESENCOFRADO NORMAL GRADERIA</v>
          </cell>
          <cell r="C495" t="str">
            <v>m2</v>
          </cell>
          <cell r="D495">
            <v>5.65</v>
          </cell>
          <cell r="E495">
            <v>35.26</v>
          </cell>
          <cell r="F495">
            <v>199.21899999999999</v>
          </cell>
          <cell r="G495">
            <v>0</v>
          </cell>
          <cell r="H495">
            <v>0</v>
          </cell>
          <cell r="I495" t="str">
            <v>0.00%</v>
          </cell>
          <cell r="J495">
            <v>0</v>
          </cell>
          <cell r="K495">
            <v>0</v>
          </cell>
          <cell r="L495" t="str">
            <v>0.00%</v>
          </cell>
          <cell r="M495">
            <v>0</v>
          </cell>
          <cell r="N495">
            <v>0</v>
          </cell>
          <cell r="O495" t="str">
            <v>0.00%</v>
          </cell>
          <cell r="P495">
            <v>5.65</v>
          </cell>
          <cell r="Q495">
            <v>199.21899999999999</v>
          </cell>
          <cell r="R495">
            <v>1</v>
          </cell>
        </row>
        <row r="496">
          <cell r="A496" t="str">
            <v>07.04.04</v>
          </cell>
          <cell r="B496" t="str">
            <v>JUNTAS DE CONSTRUCCION</v>
          </cell>
          <cell r="C496">
            <v>0</v>
          </cell>
          <cell r="D496">
            <v>0</v>
          </cell>
          <cell r="E496">
            <v>0</v>
          </cell>
          <cell r="F496">
            <v>0</v>
          </cell>
          <cell r="G496">
            <v>0</v>
          </cell>
          <cell r="H496">
            <v>0</v>
          </cell>
          <cell r="I496">
            <v>0</v>
          </cell>
          <cell r="J496">
            <v>0</v>
          </cell>
          <cell r="K496">
            <v>0</v>
          </cell>
          <cell r="L496">
            <v>0</v>
          </cell>
          <cell r="M496">
            <v>0</v>
          </cell>
          <cell r="N496">
            <v>0</v>
          </cell>
          <cell r="O496">
            <v>0</v>
          </cell>
          <cell r="P496">
            <v>0</v>
          </cell>
          <cell r="Q496">
            <v>0</v>
          </cell>
          <cell r="R496">
            <v>0</v>
          </cell>
        </row>
        <row r="497">
          <cell r="A497" t="str">
            <v>07.04.04.01</v>
          </cell>
          <cell r="B497" t="str">
            <v>JUNTAS DE TEKNOPOR DE  1"</v>
          </cell>
          <cell r="C497" t="str">
            <v>m</v>
          </cell>
          <cell r="D497">
            <v>37.200000000000003</v>
          </cell>
          <cell r="E497">
            <v>9.0500000000000007</v>
          </cell>
          <cell r="F497">
            <v>336.66</v>
          </cell>
          <cell r="G497">
            <v>0</v>
          </cell>
          <cell r="H497">
            <v>0</v>
          </cell>
          <cell r="I497" t="str">
            <v>0.00%</v>
          </cell>
          <cell r="J497">
            <v>0</v>
          </cell>
          <cell r="K497">
            <v>0</v>
          </cell>
          <cell r="L497" t="str">
            <v>0.00%</v>
          </cell>
          <cell r="M497">
            <v>0</v>
          </cell>
          <cell r="N497">
            <v>0</v>
          </cell>
          <cell r="O497" t="str">
            <v>0.00%</v>
          </cell>
          <cell r="P497">
            <v>37.200000000000003</v>
          </cell>
          <cell r="Q497">
            <v>336.66</v>
          </cell>
          <cell r="R497">
            <v>1</v>
          </cell>
        </row>
        <row r="498">
          <cell r="A498" t="str">
            <v>07.04.05</v>
          </cell>
          <cell r="B498" t="str">
            <v>PRUEBAS</v>
          </cell>
          <cell r="C498">
            <v>0</v>
          </cell>
          <cell r="D498">
            <v>0</v>
          </cell>
          <cell r="E498">
            <v>0</v>
          </cell>
          <cell r="F498">
            <v>0</v>
          </cell>
          <cell r="G498">
            <v>0</v>
          </cell>
          <cell r="H498">
            <v>0</v>
          </cell>
          <cell r="I498">
            <v>0</v>
          </cell>
          <cell r="J498">
            <v>0</v>
          </cell>
          <cell r="K498">
            <v>0</v>
          </cell>
          <cell r="L498">
            <v>0</v>
          </cell>
          <cell r="M498">
            <v>0</v>
          </cell>
          <cell r="N498">
            <v>0</v>
          </cell>
          <cell r="O498">
            <v>0</v>
          </cell>
          <cell r="P498">
            <v>0</v>
          </cell>
          <cell r="Q498">
            <v>0</v>
          </cell>
          <cell r="R498">
            <v>0</v>
          </cell>
        </row>
        <row r="499">
          <cell r="A499" t="str">
            <v>07.04.05.01</v>
          </cell>
          <cell r="B499" t="str">
            <v>PRUEBA DE CALIDAD DEL CONCRETO (PRUEBA A LA COMPRESION)</v>
          </cell>
          <cell r="C499" t="str">
            <v>und</v>
          </cell>
          <cell r="D499">
            <v>1</v>
          </cell>
          <cell r="E499">
            <v>40</v>
          </cell>
          <cell r="F499">
            <v>40</v>
          </cell>
          <cell r="G499">
            <v>0</v>
          </cell>
          <cell r="H499">
            <v>0</v>
          </cell>
          <cell r="I499" t="str">
            <v>0.00%</v>
          </cell>
          <cell r="J499">
            <v>0</v>
          </cell>
          <cell r="K499">
            <v>0</v>
          </cell>
          <cell r="L499" t="str">
            <v>0.00%</v>
          </cell>
          <cell r="M499">
            <v>0</v>
          </cell>
          <cell r="N499">
            <v>0</v>
          </cell>
          <cell r="O499" t="str">
            <v>0.00%</v>
          </cell>
          <cell r="P499">
            <v>1</v>
          </cell>
          <cell r="Q499">
            <v>40</v>
          </cell>
          <cell r="R499">
            <v>1</v>
          </cell>
        </row>
        <row r="500">
          <cell r="A500" t="str">
            <v>07.05</v>
          </cell>
          <cell r="B500" t="str">
            <v>ACCESO DE CIRCULACION</v>
          </cell>
          <cell r="C500">
            <v>0</v>
          </cell>
          <cell r="D500">
            <v>0</v>
          </cell>
          <cell r="E500">
            <v>0</v>
          </cell>
          <cell r="F500">
            <v>0</v>
          </cell>
          <cell r="G500">
            <v>0</v>
          </cell>
          <cell r="H500">
            <v>0</v>
          </cell>
          <cell r="I500">
            <v>0</v>
          </cell>
          <cell r="J500">
            <v>0</v>
          </cell>
          <cell r="K500">
            <v>0</v>
          </cell>
          <cell r="L500">
            <v>0</v>
          </cell>
          <cell r="M500">
            <v>0</v>
          </cell>
          <cell r="N500">
            <v>0</v>
          </cell>
          <cell r="O500">
            <v>0</v>
          </cell>
          <cell r="P500">
            <v>0</v>
          </cell>
          <cell r="Q500">
            <v>0</v>
          </cell>
          <cell r="R500">
            <v>0</v>
          </cell>
        </row>
        <row r="501">
          <cell r="A501" t="str">
            <v>07.05.01</v>
          </cell>
          <cell r="B501" t="str">
            <v>TRABAJOS PRELIMINARES</v>
          </cell>
          <cell r="C501">
            <v>0</v>
          </cell>
          <cell r="D501">
            <v>0</v>
          </cell>
          <cell r="E501">
            <v>0</v>
          </cell>
          <cell r="F501">
            <v>0</v>
          </cell>
          <cell r="G501">
            <v>0</v>
          </cell>
          <cell r="H501">
            <v>0</v>
          </cell>
          <cell r="I501">
            <v>0</v>
          </cell>
          <cell r="J501">
            <v>0</v>
          </cell>
          <cell r="K501">
            <v>0</v>
          </cell>
          <cell r="L501">
            <v>0</v>
          </cell>
          <cell r="M501">
            <v>0</v>
          </cell>
          <cell r="N501">
            <v>0</v>
          </cell>
          <cell r="O501">
            <v>0</v>
          </cell>
          <cell r="P501">
            <v>0</v>
          </cell>
          <cell r="Q501">
            <v>0</v>
          </cell>
          <cell r="R501">
            <v>0</v>
          </cell>
        </row>
        <row r="502">
          <cell r="A502" t="str">
            <v>07.05.01.01</v>
          </cell>
          <cell r="B502" t="str">
            <v>LIMPIEZA DE TERRENO MANUAL</v>
          </cell>
          <cell r="C502" t="str">
            <v>m2</v>
          </cell>
          <cell r="D502">
            <v>139.08000000000001</v>
          </cell>
          <cell r="E502">
            <v>1.0900000000000001</v>
          </cell>
          <cell r="F502">
            <v>151.59720000000002</v>
          </cell>
          <cell r="G502">
            <v>0</v>
          </cell>
          <cell r="H502">
            <v>0</v>
          </cell>
          <cell r="I502" t="str">
            <v>0.00%</v>
          </cell>
          <cell r="J502">
            <v>0</v>
          </cell>
          <cell r="K502">
            <v>0</v>
          </cell>
          <cell r="L502" t="str">
            <v>0.00%</v>
          </cell>
          <cell r="M502">
            <v>0</v>
          </cell>
          <cell r="N502">
            <v>0</v>
          </cell>
          <cell r="O502" t="str">
            <v>0.00%</v>
          </cell>
          <cell r="P502">
            <v>139.08000000000001</v>
          </cell>
          <cell r="Q502">
            <v>151.59720000000002</v>
          </cell>
          <cell r="R502">
            <v>1</v>
          </cell>
        </row>
        <row r="503">
          <cell r="A503" t="str">
            <v>07.05.01.02</v>
          </cell>
          <cell r="B503" t="str">
            <v>TRAZO DURANTE LA EJECUCION DE LA OBRA</v>
          </cell>
          <cell r="C503" t="str">
            <v>m2</v>
          </cell>
          <cell r="D503">
            <v>139.08000000000001</v>
          </cell>
          <cell r="E503">
            <v>3.49</v>
          </cell>
          <cell r="F503">
            <v>485.38920000000007</v>
          </cell>
          <cell r="G503">
            <v>0</v>
          </cell>
          <cell r="H503">
            <v>0</v>
          </cell>
          <cell r="I503" t="str">
            <v>0.00%</v>
          </cell>
          <cell r="J503">
            <v>0</v>
          </cell>
          <cell r="K503">
            <v>0</v>
          </cell>
          <cell r="L503" t="str">
            <v>0.00%</v>
          </cell>
          <cell r="M503">
            <v>0</v>
          </cell>
          <cell r="N503">
            <v>0</v>
          </cell>
          <cell r="O503" t="str">
            <v>0.00%</v>
          </cell>
          <cell r="P503">
            <v>139.08000000000001</v>
          </cell>
          <cell r="Q503">
            <v>485.38920000000007</v>
          </cell>
          <cell r="R503">
            <v>1</v>
          </cell>
        </row>
        <row r="504">
          <cell r="A504" t="str">
            <v>07.05.02</v>
          </cell>
          <cell r="B504" t="str">
            <v>MOVIMIENTO DE TIERRAS</v>
          </cell>
          <cell r="C504">
            <v>0</v>
          </cell>
          <cell r="D504">
            <v>0</v>
          </cell>
          <cell r="E504">
            <v>0</v>
          </cell>
          <cell r="F504">
            <v>0</v>
          </cell>
          <cell r="G504">
            <v>0</v>
          </cell>
          <cell r="H504">
            <v>0</v>
          </cell>
          <cell r="I504">
            <v>0</v>
          </cell>
          <cell r="J504">
            <v>0</v>
          </cell>
          <cell r="K504">
            <v>0</v>
          </cell>
          <cell r="L504">
            <v>0</v>
          </cell>
          <cell r="M504">
            <v>0</v>
          </cell>
          <cell r="N504">
            <v>0</v>
          </cell>
          <cell r="O504">
            <v>0</v>
          </cell>
          <cell r="P504">
            <v>0</v>
          </cell>
          <cell r="Q504">
            <v>0</v>
          </cell>
          <cell r="R504">
            <v>0</v>
          </cell>
        </row>
        <row r="505">
          <cell r="A505" t="str">
            <v>07.05.02.01</v>
          </cell>
          <cell r="B505" t="str">
            <v xml:space="preserve">EXCAVACION PARA CIMIENTOS-ZAPATAS </v>
          </cell>
          <cell r="C505" t="str">
            <v>m3</v>
          </cell>
          <cell r="D505">
            <v>27.82</v>
          </cell>
          <cell r="E505">
            <v>44.73</v>
          </cell>
          <cell r="F505">
            <v>1244.3886</v>
          </cell>
          <cell r="G505">
            <v>0</v>
          </cell>
          <cell r="H505">
            <v>0</v>
          </cell>
          <cell r="I505" t="str">
            <v>0.00%</v>
          </cell>
          <cell r="J505">
            <v>0</v>
          </cell>
          <cell r="K505">
            <v>0</v>
          </cell>
          <cell r="L505" t="str">
            <v>0.00%</v>
          </cell>
          <cell r="M505">
            <v>0</v>
          </cell>
          <cell r="N505">
            <v>0</v>
          </cell>
          <cell r="O505" t="str">
            <v>0.00%</v>
          </cell>
          <cell r="P505">
            <v>27.82</v>
          </cell>
          <cell r="Q505">
            <v>1244.3886</v>
          </cell>
          <cell r="R505">
            <v>1</v>
          </cell>
        </row>
        <row r="506">
          <cell r="A506" t="str">
            <v>07.05.02.02</v>
          </cell>
          <cell r="B506" t="str">
            <v>ACARREO INTERNO, MATERIAL PROCEDENTE DE EXCAVACIONES  Y OTROS</v>
          </cell>
          <cell r="C506" t="str">
            <v>m3</v>
          </cell>
          <cell r="D506">
            <v>34.78</v>
          </cell>
          <cell r="E506">
            <v>19</v>
          </cell>
          <cell r="F506">
            <v>660.82</v>
          </cell>
          <cell r="G506">
            <v>0</v>
          </cell>
          <cell r="H506">
            <v>0</v>
          </cell>
          <cell r="I506" t="str">
            <v>0.00%</v>
          </cell>
          <cell r="J506">
            <v>0</v>
          </cell>
          <cell r="K506">
            <v>0</v>
          </cell>
          <cell r="L506" t="str">
            <v>0.00%</v>
          </cell>
          <cell r="M506">
            <v>0</v>
          </cell>
          <cell r="N506">
            <v>0</v>
          </cell>
          <cell r="O506" t="str">
            <v>0.00%</v>
          </cell>
          <cell r="P506">
            <v>34.78</v>
          </cell>
          <cell r="Q506">
            <v>660.82</v>
          </cell>
          <cell r="R506">
            <v>1</v>
          </cell>
        </row>
        <row r="507">
          <cell r="A507" t="str">
            <v>07.05.02.03</v>
          </cell>
          <cell r="B507" t="str">
            <v>ELIMINACION DE MATERIAL EXCEDENTE CON EQUIPO</v>
          </cell>
          <cell r="C507" t="str">
            <v>m3</v>
          </cell>
          <cell r="D507">
            <v>34.78</v>
          </cell>
          <cell r="E507">
            <v>14.64</v>
          </cell>
          <cell r="F507">
            <v>509.17920000000004</v>
          </cell>
          <cell r="G507">
            <v>0</v>
          </cell>
          <cell r="H507">
            <v>0</v>
          </cell>
          <cell r="I507" t="str">
            <v>0.00%</v>
          </cell>
          <cell r="J507">
            <v>0</v>
          </cell>
          <cell r="K507">
            <v>0</v>
          </cell>
          <cell r="L507" t="str">
            <v>0.00%</v>
          </cell>
          <cell r="M507">
            <v>0</v>
          </cell>
          <cell r="N507">
            <v>0</v>
          </cell>
          <cell r="O507" t="str">
            <v>0.00%</v>
          </cell>
          <cell r="P507">
            <v>34.78</v>
          </cell>
          <cell r="Q507">
            <v>509.17920000000004</v>
          </cell>
          <cell r="R507">
            <v>1</v>
          </cell>
        </row>
        <row r="508">
          <cell r="A508" t="str">
            <v>07.05.02.04</v>
          </cell>
          <cell r="B508" t="str">
            <v xml:space="preserve">AFIRMADO e=20 cm </v>
          </cell>
          <cell r="C508" t="str">
            <v>m3</v>
          </cell>
          <cell r="D508">
            <v>13.91</v>
          </cell>
          <cell r="E508">
            <v>82.36</v>
          </cell>
          <cell r="F508">
            <v>1145.6276</v>
          </cell>
          <cell r="G508">
            <v>0</v>
          </cell>
          <cell r="H508">
            <v>0</v>
          </cell>
          <cell r="I508" t="str">
            <v>0.00%</v>
          </cell>
          <cell r="J508">
            <v>0</v>
          </cell>
          <cell r="K508">
            <v>0</v>
          </cell>
          <cell r="L508" t="str">
            <v>0.00%</v>
          </cell>
          <cell r="M508">
            <v>0</v>
          </cell>
          <cell r="N508">
            <v>0</v>
          </cell>
          <cell r="O508" t="str">
            <v>0.00%</v>
          </cell>
          <cell r="P508">
            <v>13.91</v>
          </cell>
          <cell r="Q508">
            <v>1145.6276</v>
          </cell>
          <cell r="R508">
            <v>1</v>
          </cell>
        </row>
        <row r="509">
          <cell r="A509" t="str">
            <v>07.05.02.05</v>
          </cell>
          <cell r="B509" t="str">
            <v xml:space="preserve">NIVELACION Y COMPACTACION PARA FALSO PISOS, VEREDAS Y PATIOS </v>
          </cell>
          <cell r="C509" t="str">
            <v>m2</v>
          </cell>
          <cell r="D509">
            <v>139.08000000000001</v>
          </cell>
          <cell r="E509">
            <v>9.3800000000000008</v>
          </cell>
          <cell r="F509">
            <v>1304.5704000000003</v>
          </cell>
          <cell r="G509">
            <v>0</v>
          </cell>
          <cell r="H509">
            <v>0</v>
          </cell>
          <cell r="I509" t="str">
            <v>0.00%</v>
          </cell>
          <cell r="J509">
            <v>0</v>
          </cell>
          <cell r="K509">
            <v>0</v>
          </cell>
          <cell r="L509" t="str">
            <v>0.00%</v>
          </cell>
          <cell r="M509">
            <v>0</v>
          </cell>
          <cell r="N509">
            <v>0</v>
          </cell>
          <cell r="O509" t="str">
            <v>0.00%</v>
          </cell>
          <cell r="P509">
            <v>139.08000000000001</v>
          </cell>
          <cell r="Q509">
            <v>1304.5704000000003</v>
          </cell>
          <cell r="R509">
            <v>1</v>
          </cell>
        </row>
        <row r="510">
          <cell r="A510" t="str">
            <v>07.06</v>
          </cell>
          <cell r="B510" t="str">
            <v>CISTERNA SUBTERRANEA, CASETA DE BOMBEO Y TANQUE ELEVADO</v>
          </cell>
          <cell r="C510">
            <v>0</v>
          </cell>
          <cell r="D510">
            <v>0</v>
          </cell>
          <cell r="E510">
            <v>0</v>
          </cell>
          <cell r="F510">
            <v>0</v>
          </cell>
          <cell r="G510">
            <v>0</v>
          </cell>
          <cell r="H510">
            <v>0</v>
          </cell>
          <cell r="I510">
            <v>0</v>
          </cell>
          <cell r="J510">
            <v>0</v>
          </cell>
          <cell r="K510">
            <v>0</v>
          </cell>
          <cell r="L510">
            <v>0</v>
          </cell>
          <cell r="M510">
            <v>0</v>
          </cell>
          <cell r="N510">
            <v>0</v>
          </cell>
          <cell r="O510">
            <v>0</v>
          </cell>
          <cell r="P510">
            <v>0</v>
          </cell>
          <cell r="Q510">
            <v>0</v>
          </cell>
          <cell r="R510">
            <v>0</v>
          </cell>
        </row>
        <row r="511">
          <cell r="A511" t="str">
            <v>07.06.01</v>
          </cell>
          <cell r="B511" t="str">
            <v>TRABAJOS PRELIMINARES</v>
          </cell>
          <cell r="C511">
            <v>0</v>
          </cell>
          <cell r="D511">
            <v>0</v>
          </cell>
          <cell r="E511">
            <v>0</v>
          </cell>
          <cell r="F511">
            <v>0</v>
          </cell>
          <cell r="G511">
            <v>0</v>
          </cell>
          <cell r="H511">
            <v>0</v>
          </cell>
          <cell r="I511">
            <v>0</v>
          </cell>
          <cell r="J511">
            <v>0</v>
          </cell>
          <cell r="K511">
            <v>0</v>
          </cell>
          <cell r="L511">
            <v>0</v>
          </cell>
          <cell r="M511">
            <v>0</v>
          </cell>
          <cell r="N511">
            <v>0</v>
          </cell>
          <cell r="O511">
            <v>0</v>
          </cell>
          <cell r="P511">
            <v>0</v>
          </cell>
          <cell r="Q511">
            <v>0</v>
          </cell>
          <cell r="R511">
            <v>0</v>
          </cell>
        </row>
        <row r="512">
          <cell r="A512" t="str">
            <v>07.06.01.01</v>
          </cell>
          <cell r="B512" t="str">
            <v>LIMPIEZA DE TERRENO MANUAL</v>
          </cell>
          <cell r="C512" t="str">
            <v>m2</v>
          </cell>
          <cell r="D512">
            <v>17.600000000000001</v>
          </cell>
          <cell r="E512">
            <v>1.0900000000000001</v>
          </cell>
          <cell r="F512">
            <v>19.184000000000005</v>
          </cell>
          <cell r="G512">
            <v>17.600000000000001</v>
          </cell>
          <cell r="H512">
            <v>19.184000000000005</v>
          </cell>
          <cell r="I512">
            <v>1</v>
          </cell>
          <cell r="J512">
            <v>0</v>
          </cell>
          <cell r="K512">
            <v>0</v>
          </cell>
          <cell r="L512" t="str">
            <v>0.00%</v>
          </cell>
          <cell r="M512">
            <v>17.600000000000001</v>
          </cell>
          <cell r="N512">
            <v>19.184000000000005</v>
          </cell>
          <cell r="O512">
            <v>1</v>
          </cell>
          <cell r="P512">
            <v>0</v>
          </cell>
          <cell r="Q512">
            <v>0</v>
          </cell>
          <cell r="R512" t="str">
            <v>0.00%</v>
          </cell>
        </row>
        <row r="513">
          <cell r="A513" t="str">
            <v>07.06.01.02</v>
          </cell>
          <cell r="B513" t="str">
            <v>TRAZO DURANTE LA EJECUCION DE LA OBRA</v>
          </cell>
          <cell r="C513" t="str">
            <v>m2</v>
          </cell>
          <cell r="D513">
            <v>17.600000000000001</v>
          </cell>
          <cell r="E513">
            <v>3.49</v>
          </cell>
          <cell r="F513">
            <v>61.424000000000007</v>
          </cell>
          <cell r="G513">
            <v>17.600000000000001</v>
          </cell>
          <cell r="H513">
            <v>61.424000000000007</v>
          </cell>
          <cell r="I513">
            <v>1</v>
          </cell>
          <cell r="J513">
            <v>0</v>
          </cell>
          <cell r="K513">
            <v>0</v>
          </cell>
          <cell r="L513" t="str">
            <v>0.00%</v>
          </cell>
          <cell r="M513">
            <v>17.600000000000001</v>
          </cell>
          <cell r="N513">
            <v>61.424000000000007</v>
          </cell>
          <cell r="O513">
            <v>1</v>
          </cell>
          <cell r="P513">
            <v>0</v>
          </cell>
          <cell r="Q513">
            <v>0</v>
          </cell>
          <cell r="R513" t="str">
            <v>0.00%</v>
          </cell>
        </row>
        <row r="514">
          <cell r="A514" t="str">
            <v>07.06.02</v>
          </cell>
          <cell r="B514" t="str">
            <v>MOVIMIENTO DE TIERRAS</v>
          </cell>
          <cell r="C514">
            <v>0</v>
          </cell>
          <cell r="D514">
            <v>0</v>
          </cell>
          <cell r="E514">
            <v>0</v>
          </cell>
          <cell r="F514">
            <v>0</v>
          </cell>
          <cell r="G514">
            <v>0</v>
          </cell>
          <cell r="H514">
            <v>0</v>
          </cell>
          <cell r="I514">
            <v>0</v>
          </cell>
          <cell r="J514">
            <v>0</v>
          </cell>
          <cell r="K514">
            <v>0</v>
          </cell>
          <cell r="L514">
            <v>0</v>
          </cell>
          <cell r="M514">
            <v>0</v>
          </cell>
          <cell r="N514">
            <v>0</v>
          </cell>
          <cell r="O514">
            <v>0</v>
          </cell>
          <cell r="P514">
            <v>0</v>
          </cell>
          <cell r="Q514">
            <v>0</v>
          </cell>
          <cell r="R514">
            <v>0</v>
          </cell>
        </row>
        <row r="515">
          <cell r="A515" t="str">
            <v>07.06.02.01</v>
          </cell>
          <cell r="B515" t="str">
            <v xml:space="preserve">EXCAVACION PARA CIMIENTOS-ZAPATAS </v>
          </cell>
          <cell r="C515" t="str">
            <v>m3</v>
          </cell>
          <cell r="D515">
            <v>44.87</v>
          </cell>
          <cell r="E515">
            <v>44.73</v>
          </cell>
          <cell r="F515">
            <v>2007.0350999999998</v>
          </cell>
          <cell r="G515">
            <v>44.87</v>
          </cell>
          <cell r="H515">
            <v>2007.0350999999998</v>
          </cell>
          <cell r="I515">
            <v>1</v>
          </cell>
          <cell r="J515">
            <v>0</v>
          </cell>
          <cell r="K515">
            <v>0</v>
          </cell>
          <cell r="L515" t="str">
            <v>0.00%</v>
          </cell>
          <cell r="M515">
            <v>44.87</v>
          </cell>
          <cell r="N515">
            <v>2007.0350999999998</v>
          </cell>
          <cell r="O515">
            <v>1</v>
          </cell>
          <cell r="P515">
            <v>0</v>
          </cell>
          <cell r="Q515">
            <v>0</v>
          </cell>
          <cell r="R515" t="str">
            <v>0.00%</v>
          </cell>
        </row>
        <row r="516">
          <cell r="A516" t="str">
            <v>07.06.02.02</v>
          </cell>
          <cell r="B516" t="str">
            <v>ELIMINACION DE MATERIAL EXCEDENTE CON EQUIPO</v>
          </cell>
          <cell r="C516" t="str">
            <v>m3</v>
          </cell>
          <cell r="D516">
            <v>56.09</v>
          </cell>
          <cell r="E516">
            <v>14.64</v>
          </cell>
          <cell r="F516">
            <v>821.15760000000012</v>
          </cell>
          <cell r="G516">
            <v>56.09</v>
          </cell>
          <cell r="H516">
            <v>821.15760000000012</v>
          </cell>
          <cell r="I516">
            <v>1</v>
          </cell>
          <cell r="J516">
            <v>0</v>
          </cell>
          <cell r="K516">
            <v>0</v>
          </cell>
          <cell r="L516" t="str">
            <v>0.00%</v>
          </cell>
          <cell r="M516">
            <v>56.09</v>
          </cell>
          <cell r="N516">
            <v>821.15760000000012</v>
          </cell>
          <cell r="O516">
            <v>1</v>
          </cell>
          <cell r="P516">
            <v>0</v>
          </cell>
          <cell r="Q516">
            <v>0</v>
          </cell>
          <cell r="R516" t="str">
            <v>0.00%</v>
          </cell>
        </row>
        <row r="517">
          <cell r="A517" t="str">
            <v>07.06.02.03</v>
          </cell>
          <cell r="B517" t="str">
            <v>NIVELACION INTERIOR APISONADO MANUAL</v>
          </cell>
          <cell r="C517" t="str">
            <v>m2</v>
          </cell>
          <cell r="D517">
            <v>17.600000000000001</v>
          </cell>
          <cell r="E517">
            <v>2.2000000000000002</v>
          </cell>
          <cell r="F517">
            <v>38.720000000000006</v>
          </cell>
          <cell r="G517">
            <v>0</v>
          </cell>
          <cell r="H517">
            <v>0</v>
          </cell>
          <cell r="I517" t="str">
            <v>0.00%</v>
          </cell>
          <cell r="J517">
            <v>17.600000000000001</v>
          </cell>
          <cell r="K517">
            <v>38.720000000000006</v>
          </cell>
          <cell r="L517">
            <v>1</v>
          </cell>
          <cell r="M517">
            <v>17.600000000000001</v>
          </cell>
          <cell r="N517">
            <v>38.720000000000006</v>
          </cell>
          <cell r="O517">
            <v>1</v>
          </cell>
          <cell r="P517">
            <v>0</v>
          </cell>
          <cell r="Q517">
            <v>0</v>
          </cell>
          <cell r="R517" t="str">
            <v>0.00%</v>
          </cell>
        </row>
        <row r="518">
          <cell r="A518" t="str">
            <v>07.06.03</v>
          </cell>
          <cell r="B518" t="str">
            <v>CONCRETO SIMPLE</v>
          </cell>
          <cell r="C518">
            <v>0</v>
          </cell>
          <cell r="D518">
            <v>0</v>
          </cell>
          <cell r="E518">
            <v>0</v>
          </cell>
          <cell r="F518">
            <v>0</v>
          </cell>
          <cell r="G518">
            <v>0</v>
          </cell>
          <cell r="H518">
            <v>0</v>
          </cell>
          <cell r="I518">
            <v>0</v>
          </cell>
          <cell r="J518">
            <v>0</v>
          </cell>
          <cell r="K518">
            <v>0</v>
          </cell>
          <cell r="L518">
            <v>0</v>
          </cell>
          <cell r="M518">
            <v>0</v>
          </cell>
          <cell r="N518">
            <v>0</v>
          </cell>
          <cell r="O518">
            <v>0</v>
          </cell>
          <cell r="P518">
            <v>0</v>
          </cell>
          <cell r="Q518">
            <v>0</v>
          </cell>
          <cell r="R518">
            <v>0</v>
          </cell>
        </row>
        <row r="519">
          <cell r="A519" t="str">
            <v>07.06.03.01</v>
          </cell>
          <cell r="B519" t="str">
            <v>SOLADOS</v>
          </cell>
          <cell r="C519">
            <v>0</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row>
        <row r="520">
          <cell r="A520" t="str">
            <v>07.06.03.01.01</v>
          </cell>
          <cell r="B520" t="str">
            <v>SOLADO E= 2" MEZCLA 1:12 CEMENTO-HORMIGON</v>
          </cell>
          <cell r="C520" t="str">
            <v>m2</v>
          </cell>
          <cell r="D520">
            <v>17.600000000000001</v>
          </cell>
          <cell r="E520">
            <v>29.02</v>
          </cell>
          <cell r="F520">
            <v>510.75200000000001</v>
          </cell>
          <cell r="G520">
            <v>0</v>
          </cell>
          <cell r="H520">
            <v>0</v>
          </cell>
          <cell r="I520" t="str">
            <v>0.00%</v>
          </cell>
          <cell r="J520">
            <v>17.600000000000001</v>
          </cell>
          <cell r="K520">
            <v>510.75200000000001</v>
          </cell>
          <cell r="L520">
            <v>1</v>
          </cell>
          <cell r="M520">
            <v>17.600000000000001</v>
          </cell>
          <cell r="N520">
            <v>510.75200000000001</v>
          </cell>
          <cell r="O520">
            <v>1</v>
          </cell>
          <cell r="P520">
            <v>0</v>
          </cell>
          <cell r="Q520">
            <v>0</v>
          </cell>
          <cell r="R520" t="str">
            <v>0.00%</v>
          </cell>
        </row>
        <row r="521">
          <cell r="A521" t="str">
            <v>07.06.04</v>
          </cell>
          <cell r="B521" t="str">
            <v>CONCRETO ARMADO</v>
          </cell>
          <cell r="C521">
            <v>0</v>
          </cell>
          <cell r="D521">
            <v>0</v>
          </cell>
          <cell r="E521">
            <v>0</v>
          </cell>
          <cell r="F521">
            <v>0</v>
          </cell>
          <cell r="G521">
            <v>0</v>
          </cell>
          <cell r="H521">
            <v>0</v>
          </cell>
          <cell r="I521">
            <v>0</v>
          </cell>
          <cell r="J521">
            <v>0</v>
          </cell>
          <cell r="K521">
            <v>0</v>
          </cell>
          <cell r="L521">
            <v>0</v>
          </cell>
          <cell r="M521">
            <v>0</v>
          </cell>
          <cell r="N521">
            <v>0</v>
          </cell>
          <cell r="O521">
            <v>0</v>
          </cell>
          <cell r="P521">
            <v>0</v>
          </cell>
          <cell r="Q521">
            <v>0</v>
          </cell>
          <cell r="R521">
            <v>0</v>
          </cell>
        </row>
        <row r="522">
          <cell r="A522" t="str">
            <v>07.06.04.01</v>
          </cell>
          <cell r="B522" t="str">
            <v>CISTERNA SUBTERRANEA</v>
          </cell>
          <cell r="C522">
            <v>0</v>
          </cell>
          <cell r="D522">
            <v>0</v>
          </cell>
          <cell r="E522">
            <v>0</v>
          </cell>
          <cell r="F522">
            <v>0</v>
          </cell>
          <cell r="G522">
            <v>0</v>
          </cell>
          <cell r="H522">
            <v>0</v>
          </cell>
          <cell r="I522">
            <v>0</v>
          </cell>
          <cell r="J522">
            <v>0</v>
          </cell>
          <cell r="K522">
            <v>0</v>
          </cell>
          <cell r="L522">
            <v>0</v>
          </cell>
          <cell r="M522">
            <v>0</v>
          </cell>
          <cell r="N522">
            <v>0</v>
          </cell>
          <cell r="O522">
            <v>0</v>
          </cell>
          <cell r="P522">
            <v>0</v>
          </cell>
          <cell r="Q522">
            <v>0</v>
          </cell>
          <cell r="R522">
            <v>0</v>
          </cell>
        </row>
        <row r="523">
          <cell r="A523" t="str">
            <v>07.06.04.01.01</v>
          </cell>
          <cell r="B523" t="str">
            <v>CONCRETO EN CISTERNA SUBTERRANEA F'C=210 KG/CM2</v>
          </cell>
          <cell r="C523" t="str">
            <v>m3</v>
          </cell>
          <cell r="D523">
            <v>19.440000000000001</v>
          </cell>
          <cell r="E523">
            <v>521.12</v>
          </cell>
          <cell r="F523">
            <v>10130.5728</v>
          </cell>
          <cell r="G523">
            <v>0</v>
          </cell>
          <cell r="H523">
            <v>0</v>
          </cell>
          <cell r="I523" t="str">
            <v>0.00%</v>
          </cell>
          <cell r="J523">
            <v>0</v>
          </cell>
          <cell r="K523">
            <v>0</v>
          </cell>
          <cell r="L523" t="str">
            <v>0.00%</v>
          </cell>
          <cell r="M523">
            <v>0</v>
          </cell>
          <cell r="N523">
            <v>0</v>
          </cell>
          <cell r="O523" t="str">
            <v>0.00%</v>
          </cell>
          <cell r="P523">
            <v>19.440000000000001</v>
          </cell>
          <cell r="Q523">
            <v>10130.5728</v>
          </cell>
          <cell r="R523">
            <v>1</v>
          </cell>
        </row>
        <row r="524">
          <cell r="A524" t="str">
            <v>07.06.04.01.02</v>
          </cell>
          <cell r="B524" t="str">
            <v>ACERO F'Y=4200 KG/CM2 GRADO 60 EN CISTERNA</v>
          </cell>
          <cell r="C524" t="str">
            <v>kg</v>
          </cell>
          <cell r="D524">
            <v>1362.57</v>
          </cell>
          <cell r="E524">
            <v>4.5</v>
          </cell>
          <cell r="F524">
            <v>6131.5649999999996</v>
          </cell>
          <cell r="G524">
            <v>0</v>
          </cell>
          <cell r="H524">
            <v>0</v>
          </cell>
          <cell r="I524" t="str">
            <v>0.00%</v>
          </cell>
          <cell r="J524">
            <v>1362.57</v>
          </cell>
          <cell r="K524">
            <v>6131.5649999999996</v>
          </cell>
          <cell r="L524">
            <v>1</v>
          </cell>
          <cell r="M524">
            <v>1362.57</v>
          </cell>
          <cell r="N524">
            <v>6131.5649999999996</v>
          </cell>
          <cell r="O524">
            <v>1</v>
          </cell>
          <cell r="P524">
            <v>0</v>
          </cell>
          <cell r="Q524">
            <v>0</v>
          </cell>
          <cell r="R524" t="str">
            <v>0.00%</v>
          </cell>
        </row>
        <row r="525">
          <cell r="A525" t="str">
            <v>07.06.04.01.03</v>
          </cell>
          <cell r="B525" t="str">
            <v>ENCOFRADO Y DESENCOFRADO NORMAL EN CISTERNA</v>
          </cell>
          <cell r="C525" t="str">
            <v>m2</v>
          </cell>
          <cell r="D525">
            <v>167.71</v>
          </cell>
          <cell r="E525">
            <v>49.71</v>
          </cell>
          <cell r="F525">
            <v>8336.8641000000007</v>
          </cell>
          <cell r="G525">
            <v>0</v>
          </cell>
          <cell r="H525">
            <v>0</v>
          </cell>
          <cell r="I525" t="str">
            <v>0.00%</v>
          </cell>
          <cell r="J525">
            <v>0</v>
          </cell>
          <cell r="K525">
            <v>0</v>
          </cell>
          <cell r="L525" t="str">
            <v>0.00%</v>
          </cell>
          <cell r="M525">
            <v>0</v>
          </cell>
          <cell r="N525">
            <v>0</v>
          </cell>
          <cell r="O525" t="str">
            <v>0.00%</v>
          </cell>
          <cell r="P525">
            <v>167.71</v>
          </cell>
          <cell r="Q525">
            <v>8336.8641000000007</v>
          </cell>
          <cell r="R525">
            <v>1</v>
          </cell>
        </row>
        <row r="526">
          <cell r="A526" t="str">
            <v>07.06.05</v>
          </cell>
          <cell r="B526" t="str">
            <v>PRUEBAS</v>
          </cell>
          <cell r="C526">
            <v>0</v>
          </cell>
          <cell r="D526">
            <v>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row>
        <row r="527">
          <cell r="A527" t="str">
            <v>07.06.05.01</v>
          </cell>
          <cell r="B527" t="str">
            <v>PRUEBA DE CALIDAD DEL CONCRETO (PRUEBA A LA COMPRESION)</v>
          </cell>
          <cell r="C527" t="str">
            <v>und</v>
          </cell>
          <cell r="D527">
            <v>1</v>
          </cell>
          <cell r="E527">
            <v>40</v>
          </cell>
          <cell r="F527">
            <v>40</v>
          </cell>
          <cell r="G527">
            <v>0</v>
          </cell>
          <cell r="H527">
            <v>0</v>
          </cell>
          <cell r="I527" t="str">
            <v>0.00%</v>
          </cell>
          <cell r="J527">
            <v>0</v>
          </cell>
          <cell r="K527">
            <v>0</v>
          </cell>
          <cell r="L527" t="str">
            <v>0.00%</v>
          </cell>
          <cell r="M527">
            <v>0</v>
          </cell>
          <cell r="N527">
            <v>0</v>
          </cell>
          <cell r="O527" t="str">
            <v>0.00%</v>
          </cell>
          <cell r="P527">
            <v>1</v>
          </cell>
          <cell r="Q527">
            <v>40</v>
          </cell>
          <cell r="R527">
            <v>1</v>
          </cell>
        </row>
        <row r="528">
          <cell r="A528" t="str">
            <v>07.07</v>
          </cell>
          <cell r="B528" t="str">
            <v>ATRIO DE INGRESO Y CONTROL</v>
          </cell>
          <cell r="C528">
            <v>0</v>
          </cell>
          <cell r="D528">
            <v>0</v>
          </cell>
          <cell r="E528">
            <v>0</v>
          </cell>
          <cell r="F528">
            <v>0</v>
          </cell>
          <cell r="G528">
            <v>0</v>
          </cell>
          <cell r="H528">
            <v>0</v>
          </cell>
          <cell r="I528">
            <v>0</v>
          </cell>
          <cell r="J528">
            <v>0</v>
          </cell>
          <cell r="K528">
            <v>0</v>
          </cell>
          <cell r="L528">
            <v>0</v>
          </cell>
          <cell r="M528">
            <v>0</v>
          </cell>
          <cell r="N528">
            <v>0</v>
          </cell>
          <cell r="O528">
            <v>0</v>
          </cell>
          <cell r="P528">
            <v>0</v>
          </cell>
          <cell r="Q528">
            <v>0</v>
          </cell>
          <cell r="R528">
            <v>0</v>
          </cell>
        </row>
        <row r="529">
          <cell r="A529" t="str">
            <v>07.07.01</v>
          </cell>
          <cell r="B529" t="str">
            <v>TRABAJOS PRELIMINARES</v>
          </cell>
          <cell r="C529">
            <v>0</v>
          </cell>
          <cell r="D529">
            <v>0</v>
          </cell>
          <cell r="E529">
            <v>0</v>
          </cell>
          <cell r="F529">
            <v>0</v>
          </cell>
          <cell r="G529">
            <v>0</v>
          </cell>
          <cell r="H529">
            <v>0</v>
          </cell>
          <cell r="I529">
            <v>0</v>
          </cell>
          <cell r="J529">
            <v>0</v>
          </cell>
          <cell r="K529">
            <v>0</v>
          </cell>
          <cell r="L529">
            <v>0</v>
          </cell>
          <cell r="M529">
            <v>0</v>
          </cell>
          <cell r="N529">
            <v>0</v>
          </cell>
          <cell r="O529">
            <v>0</v>
          </cell>
          <cell r="P529">
            <v>0</v>
          </cell>
          <cell r="Q529">
            <v>0</v>
          </cell>
          <cell r="R529">
            <v>0</v>
          </cell>
        </row>
        <row r="530">
          <cell r="A530" t="str">
            <v>07.07.01.01</v>
          </cell>
          <cell r="B530" t="str">
            <v>LIMPIEZA DE TERRENO MANUAL</v>
          </cell>
          <cell r="C530" t="str">
            <v>m2</v>
          </cell>
          <cell r="D530">
            <v>34.380000000000003</v>
          </cell>
          <cell r="E530">
            <v>1.0900000000000001</v>
          </cell>
          <cell r="F530">
            <v>37.474200000000003</v>
          </cell>
          <cell r="G530">
            <v>0</v>
          </cell>
          <cell r="H530">
            <v>0</v>
          </cell>
          <cell r="I530" t="str">
            <v>0.00%</v>
          </cell>
          <cell r="J530">
            <v>0</v>
          </cell>
          <cell r="K530">
            <v>0</v>
          </cell>
          <cell r="L530" t="str">
            <v>0.00%</v>
          </cell>
          <cell r="M530">
            <v>0</v>
          </cell>
          <cell r="N530">
            <v>0</v>
          </cell>
          <cell r="O530" t="str">
            <v>0.00%</v>
          </cell>
          <cell r="P530">
            <v>34.380000000000003</v>
          </cell>
          <cell r="Q530">
            <v>37.474200000000003</v>
          </cell>
          <cell r="R530">
            <v>1</v>
          </cell>
        </row>
        <row r="531">
          <cell r="A531" t="str">
            <v>07.07.01.02</v>
          </cell>
          <cell r="B531" t="str">
            <v>TRAZO DURANTE LA EJECUCION DE LA OBRA</v>
          </cell>
          <cell r="C531" t="str">
            <v>m2</v>
          </cell>
          <cell r="D531">
            <v>34.380000000000003</v>
          </cell>
          <cell r="E531">
            <v>3.49</v>
          </cell>
          <cell r="F531">
            <v>119.98620000000001</v>
          </cell>
          <cell r="G531">
            <v>0</v>
          </cell>
          <cell r="H531">
            <v>0</v>
          </cell>
          <cell r="I531" t="str">
            <v>0.00%</v>
          </cell>
          <cell r="J531">
            <v>0</v>
          </cell>
          <cell r="K531">
            <v>0</v>
          </cell>
          <cell r="L531" t="str">
            <v>0.00%</v>
          </cell>
          <cell r="M531">
            <v>0</v>
          </cell>
          <cell r="N531">
            <v>0</v>
          </cell>
          <cell r="O531" t="str">
            <v>0.00%</v>
          </cell>
          <cell r="P531">
            <v>34.380000000000003</v>
          </cell>
          <cell r="Q531">
            <v>119.98620000000001</v>
          </cell>
          <cell r="R531">
            <v>1</v>
          </cell>
        </row>
        <row r="532">
          <cell r="A532" t="str">
            <v>07.07.02</v>
          </cell>
          <cell r="B532" t="str">
            <v>MOVIMIENTO DE TIERRAS</v>
          </cell>
          <cell r="C532">
            <v>0</v>
          </cell>
          <cell r="D532">
            <v>0</v>
          </cell>
          <cell r="E532">
            <v>0</v>
          </cell>
          <cell r="F532">
            <v>0</v>
          </cell>
          <cell r="G532">
            <v>0</v>
          </cell>
          <cell r="H532">
            <v>0</v>
          </cell>
          <cell r="I532">
            <v>0</v>
          </cell>
          <cell r="J532">
            <v>0</v>
          </cell>
          <cell r="K532">
            <v>0</v>
          </cell>
          <cell r="L532">
            <v>0</v>
          </cell>
          <cell r="M532">
            <v>0</v>
          </cell>
          <cell r="N532">
            <v>0</v>
          </cell>
          <cell r="O532">
            <v>0</v>
          </cell>
          <cell r="P532">
            <v>0</v>
          </cell>
          <cell r="Q532">
            <v>0</v>
          </cell>
          <cell r="R532">
            <v>0</v>
          </cell>
        </row>
        <row r="533">
          <cell r="A533" t="str">
            <v>07.07.02.01</v>
          </cell>
          <cell r="B533" t="str">
            <v xml:space="preserve">EXCAVACION PARA CIMIENTOS-ZAPATAS </v>
          </cell>
          <cell r="C533" t="str">
            <v>m3</v>
          </cell>
          <cell r="D533">
            <v>2.56</v>
          </cell>
          <cell r="E533">
            <v>44.73</v>
          </cell>
          <cell r="F533">
            <v>114.50879999999999</v>
          </cell>
          <cell r="G533">
            <v>0</v>
          </cell>
          <cell r="H533">
            <v>0</v>
          </cell>
          <cell r="I533" t="str">
            <v>0.00%</v>
          </cell>
          <cell r="J533">
            <v>0</v>
          </cell>
          <cell r="K533">
            <v>0</v>
          </cell>
          <cell r="L533" t="str">
            <v>0.00%</v>
          </cell>
          <cell r="M533">
            <v>0</v>
          </cell>
          <cell r="N533">
            <v>0</v>
          </cell>
          <cell r="O533" t="str">
            <v>0.00%</v>
          </cell>
          <cell r="P533">
            <v>2.56</v>
          </cell>
          <cell r="Q533">
            <v>114.50879999999999</v>
          </cell>
          <cell r="R533">
            <v>1</v>
          </cell>
        </row>
        <row r="534">
          <cell r="A534" t="str">
            <v>07.07.02.02</v>
          </cell>
          <cell r="B534" t="str">
            <v>RELLENO COMPACTADO CON MATERIAL PROPIO EN CAPAS DE 0.20m.</v>
          </cell>
          <cell r="C534" t="str">
            <v>m3</v>
          </cell>
          <cell r="D534">
            <v>0.36</v>
          </cell>
          <cell r="E534">
            <v>53.95</v>
          </cell>
          <cell r="F534">
            <v>19.422000000000001</v>
          </cell>
          <cell r="G534">
            <v>0</v>
          </cell>
          <cell r="H534">
            <v>0</v>
          </cell>
          <cell r="I534" t="str">
            <v>0.00%</v>
          </cell>
          <cell r="J534">
            <v>0</v>
          </cell>
          <cell r="K534">
            <v>0</v>
          </cell>
          <cell r="L534" t="str">
            <v>0.00%</v>
          </cell>
          <cell r="M534">
            <v>0</v>
          </cell>
          <cell r="N534">
            <v>0</v>
          </cell>
          <cell r="O534" t="str">
            <v>0.00%</v>
          </cell>
          <cell r="P534">
            <v>0.36</v>
          </cell>
          <cell r="Q534">
            <v>19.422000000000001</v>
          </cell>
          <cell r="R534">
            <v>1</v>
          </cell>
        </row>
        <row r="535">
          <cell r="A535" t="str">
            <v>07.07.02.03</v>
          </cell>
          <cell r="B535" t="str">
            <v>ACARREO INTERNO, MATERIAL PROCEDENTE DE EXCAVACIONES  Y OTROS</v>
          </cell>
          <cell r="C535" t="str">
            <v>m3</v>
          </cell>
          <cell r="D535">
            <v>2.2000000000000002</v>
          </cell>
          <cell r="E535">
            <v>19</v>
          </cell>
          <cell r="F535">
            <v>41.800000000000004</v>
          </cell>
          <cell r="G535">
            <v>0</v>
          </cell>
          <cell r="H535">
            <v>0</v>
          </cell>
          <cell r="I535" t="str">
            <v>0.00%</v>
          </cell>
          <cell r="J535">
            <v>0</v>
          </cell>
          <cell r="K535">
            <v>0</v>
          </cell>
          <cell r="L535" t="str">
            <v>0.00%</v>
          </cell>
          <cell r="M535">
            <v>0</v>
          </cell>
          <cell r="N535">
            <v>0</v>
          </cell>
          <cell r="O535" t="str">
            <v>0.00%</v>
          </cell>
          <cell r="P535">
            <v>2.2000000000000002</v>
          </cell>
          <cell r="Q535">
            <v>41.800000000000004</v>
          </cell>
          <cell r="R535">
            <v>1</v>
          </cell>
        </row>
        <row r="536">
          <cell r="A536" t="str">
            <v>07.07.02.04</v>
          </cell>
          <cell r="B536" t="str">
            <v>ELIMINACION DE MATERIAL EXCEDENTE CON EQUIPO</v>
          </cell>
          <cell r="C536" t="str">
            <v>m3</v>
          </cell>
          <cell r="D536">
            <v>2.2000000000000002</v>
          </cell>
          <cell r="E536">
            <v>14.64</v>
          </cell>
          <cell r="F536">
            <v>32.208000000000006</v>
          </cell>
          <cell r="G536">
            <v>0</v>
          </cell>
          <cell r="H536">
            <v>0</v>
          </cell>
          <cell r="I536" t="str">
            <v>0.00%</v>
          </cell>
          <cell r="J536">
            <v>0</v>
          </cell>
          <cell r="K536">
            <v>0</v>
          </cell>
          <cell r="L536" t="str">
            <v>0.00%</v>
          </cell>
          <cell r="M536">
            <v>0</v>
          </cell>
          <cell r="N536">
            <v>0</v>
          </cell>
          <cell r="O536" t="str">
            <v>0.00%</v>
          </cell>
          <cell r="P536">
            <v>2.2000000000000002</v>
          </cell>
          <cell r="Q536">
            <v>32.208000000000006</v>
          </cell>
          <cell r="R536">
            <v>1</v>
          </cell>
        </row>
        <row r="537">
          <cell r="A537" t="str">
            <v>07.07.02.05</v>
          </cell>
          <cell r="B537" t="str">
            <v xml:space="preserve">AFIRMADO e=20 cm </v>
          </cell>
          <cell r="C537" t="str">
            <v>m3</v>
          </cell>
          <cell r="D537">
            <v>3.44</v>
          </cell>
          <cell r="E537">
            <v>82.36</v>
          </cell>
          <cell r="F537">
            <v>283.3184</v>
          </cell>
          <cell r="G537">
            <v>0</v>
          </cell>
          <cell r="H537">
            <v>0</v>
          </cell>
          <cell r="I537" t="str">
            <v>0.00%</v>
          </cell>
          <cell r="J537">
            <v>0</v>
          </cell>
          <cell r="K537">
            <v>0</v>
          </cell>
          <cell r="L537" t="str">
            <v>0.00%</v>
          </cell>
          <cell r="M537">
            <v>0</v>
          </cell>
          <cell r="N537">
            <v>0</v>
          </cell>
          <cell r="O537" t="str">
            <v>0.00%</v>
          </cell>
          <cell r="P537">
            <v>3.44</v>
          </cell>
          <cell r="Q537">
            <v>283.3184</v>
          </cell>
          <cell r="R537">
            <v>1</v>
          </cell>
        </row>
        <row r="538">
          <cell r="A538" t="str">
            <v>07.07.02.06</v>
          </cell>
          <cell r="B538" t="str">
            <v xml:space="preserve">NIVELACION Y COMPACTACION PARA FALSO PISOS, VEREDAS Y PATIOS </v>
          </cell>
          <cell r="C538" t="str">
            <v>m2</v>
          </cell>
          <cell r="D538">
            <v>34.380000000000003</v>
          </cell>
          <cell r="E538">
            <v>9.3800000000000008</v>
          </cell>
          <cell r="F538">
            <v>322.48440000000005</v>
          </cell>
          <cell r="G538">
            <v>0</v>
          </cell>
          <cell r="H538">
            <v>0</v>
          </cell>
          <cell r="I538" t="str">
            <v>0.00%</v>
          </cell>
          <cell r="J538">
            <v>0</v>
          </cell>
          <cell r="K538">
            <v>0</v>
          </cell>
          <cell r="L538" t="str">
            <v>0.00%</v>
          </cell>
          <cell r="M538">
            <v>0</v>
          </cell>
          <cell r="N538">
            <v>0</v>
          </cell>
          <cell r="O538" t="str">
            <v>0.00%</v>
          </cell>
          <cell r="P538">
            <v>34.380000000000003</v>
          </cell>
          <cell r="Q538">
            <v>322.48440000000005</v>
          </cell>
          <cell r="R538">
            <v>1</v>
          </cell>
        </row>
        <row r="539">
          <cell r="A539" t="str">
            <v>07.07.03</v>
          </cell>
          <cell r="B539" t="str">
            <v>CONCRETO SIMPLE</v>
          </cell>
          <cell r="C539">
            <v>0</v>
          </cell>
          <cell r="D539">
            <v>0</v>
          </cell>
          <cell r="E539">
            <v>0</v>
          </cell>
          <cell r="F539">
            <v>0</v>
          </cell>
          <cell r="G539">
            <v>0</v>
          </cell>
          <cell r="H539">
            <v>0</v>
          </cell>
          <cell r="I539">
            <v>0</v>
          </cell>
          <cell r="J539">
            <v>0</v>
          </cell>
          <cell r="K539">
            <v>0</v>
          </cell>
          <cell r="L539">
            <v>0</v>
          </cell>
          <cell r="M539">
            <v>0</v>
          </cell>
          <cell r="N539">
            <v>0</v>
          </cell>
          <cell r="O539">
            <v>0</v>
          </cell>
          <cell r="P539">
            <v>0</v>
          </cell>
          <cell r="Q539">
            <v>0</v>
          </cell>
          <cell r="R539">
            <v>0</v>
          </cell>
        </row>
        <row r="540">
          <cell r="A540" t="str">
            <v>07.07.03.01</v>
          </cell>
          <cell r="B540" t="str">
            <v>SOLADOS</v>
          </cell>
          <cell r="C540">
            <v>0</v>
          </cell>
          <cell r="D540">
            <v>0</v>
          </cell>
          <cell r="E540">
            <v>0</v>
          </cell>
          <cell r="F540">
            <v>0</v>
          </cell>
          <cell r="G540">
            <v>0</v>
          </cell>
          <cell r="H540">
            <v>0</v>
          </cell>
          <cell r="I540">
            <v>0</v>
          </cell>
          <cell r="J540">
            <v>0</v>
          </cell>
          <cell r="K540">
            <v>0</v>
          </cell>
          <cell r="L540">
            <v>0</v>
          </cell>
          <cell r="M540">
            <v>0</v>
          </cell>
          <cell r="N540">
            <v>0</v>
          </cell>
          <cell r="O540">
            <v>0</v>
          </cell>
          <cell r="P540">
            <v>0</v>
          </cell>
          <cell r="Q540">
            <v>0</v>
          </cell>
          <cell r="R540">
            <v>0</v>
          </cell>
        </row>
        <row r="541">
          <cell r="A541" t="str">
            <v>07.07.03.01.01</v>
          </cell>
          <cell r="B541" t="str">
            <v>SOLADO E= 2" MEZCLA 1:12 CEMENTO-HORMIGON</v>
          </cell>
          <cell r="C541" t="str">
            <v>m2</v>
          </cell>
          <cell r="D541">
            <v>6.4</v>
          </cell>
          <cell r="E541">
            <v>29.02</v>
          </cell>
          <cell r="F541">
            <v>185.72800000000001</v>
          </cell>
          <cell r="G541">
            <v>0</v>
          </cell>
          <cell r="H541">
            <v>0</v>
          </cell>
          <cell r="I541" t="str">
            <v>0.00%</v>
          </cell>
          <cell r="J541">
            <v>0</v>
          </cell>
          <cell r="K541">
            <v>0</v>
          </cell>
          <cell r="L541" t="str">
            <v>0.00%</v>
          </cell>
          <cell r="M541">
            <v>0</v>
          </cell>
          <cell r="N541">
            <v>0</v>
          </cell>
          <cell r="O541" t="str">
            <v>0.00%</v>
          </cell>
          <cell r="P541">
            <v>6.4</v>
          </cell>
          <cell r="Q541">
            <v>185.72800000000001</v>
          </cell>
          <cell r="R541">
            <v>1</v>
          </cell>
        </row>
        <row r="542">
          <cell r="A542" t="str">
            <v>07.07.03.02</v>
          </cell>
          <cell r="B542" t="str">
            <v>CIMIENTOS CORRIDOS</v>
          </cell>
          <cell r="C542">
            <v>0</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0</v>
          </cell>
        </row>
        <row r="543">
          <cell r="A543" t="str">
            <v>07.07.03.02.01</v>
          </cell>
          <cell r="B543" t="str">
            <v>CIMIENTOS CORRIDOS MEZCLA 1:10 CEMENTO-HORMIGON 30% PIEDRA</v>
          </cell>
          <cell r="C543" t="str">
            <v>m3</v>
          </cell>
          <cell r="D543">
            <v>2.56</v>
          </cell>
          <cell r="E543">
            <v>248.48</v>
          </cell>
          <cell r="F543">
            <v>636.10879999999997</v>
          </cell>
          <cell r="G543">
            <v>0</v>
          </cell>
          <cell r="H543">
            <v>0</v>
          </cell>
          <cell r="I543" t="str">
            <v>0.00%</v>
          </cell>
          <cell r="J543">
            <v>0</v>
          </cell>
          <cell r="K543">
            <v>0</v>
          </cell>
          <cell r="L543" t="str">
            <v>0.00%</v>
          </cell>
          <cell r="M543">
            <v>0</v>
          </cell>
          <cell r="N543">
            <v>0</v>
          </cell>
          <cell r="O543" t="str">
            <v>0.00%</v>
          </cell>
          <cell r="P543">
            <v>2.56</v>
          </cell>
          <cell r="Q543">
            <v>636.10879999999997</v>
          </cell>
          <cell r="R543">
            <v>1</v>
          </cell>
        </row>
        <row r="544">
          <cell r="A544" t="str">
            <v>07.07.03.03</v>
          </cell>
          <cell r="B544" t="str">
            <v>SOBRECIMIENTOS</v>
          </cell>
          <cell r="C544">
            <v>0</v>
          </cell>
          <cell r="D544">
            <v>0</v>
          </cell>
          <cell r="E544">
            <v>0</v>
          </cell>
          <cell r="F544">
            <v>0</v>
          </cell>
          <cell r="G544">
            <v>0</v>
          </cell>
          <cell r="H544">
            <v>0</v>
          </cell>
          <cell r="I544">
            <v>0</v>
          </cell>
          <cell r="J544">
            <v>0</v>
          </cell>
          <cell r="K544">
            <v>0</v>
          </cell>
          <cell r="L544">
            <v>0</v>
          </cell>
          <cell r="M544">
            <v>0</v>
          </cell>
          <cell r="N544">
            <v>0</v>
          </cell>
          <cell r="O544">
            <v>0</v>
          </cell>
          <cell r="P544">
            <v>0</v>
          </cell>
          <cell r="Q544">
            <v>0</v>
          </cell>
          <cell r="R544">
            <v>0</v>
          </cell>
        </row>
        <row r="545">
          <cell r="A545" t="str">
            <v>07.07.03.03.01</v>
          </cell>
          <cell r="B545" t="str">
            <v>CONCRETO 1:8+25% P.M. PARA SOBRECIMIENTOS</v>
          </cell>
          <cell r="C545" t="str">
            <v>m3</v>
          </cell>
          <cell r="D545">
            <v>0.48</v>
          </cell>
          <cell r="E545">
            <v>312.47000000000003</v>
          </cell>
          <cell r="F545">
            <v>149.98560000000001</v>
          </cell>
          <cell r="G545">
            <v>0</v>
          </cell>
          <cell r="H545">
            <v>0</v>
          </cell>
          <cell r="I545" t="str">
            <v>0.00%</v>
          </cell>
          <cell r="J545">
            <v>0</v>
          </cell>
          <cell r="K545">
            <v>0</v>
          </cell>
          <cell r="L545" t="str">
            <v>0.00%</v>
          </cell>
          <cell r="M545">
            <v>0</v>
          </cell>
          <cell r="N545">
            <v>0</v>
          </cell>
          <cell r="O545" t="str">
            <v>0.00%</v>
          </cell>
          <cell r="P545">
            <v>0.48</v>
          </cell>
          <cell r="Q545">
            <v>149.98560000000001</v>
          </cell>
          <cell r="R545">
            <v>1</v>
          </cell>
        </row>
        <row r="546">
          <cell r="A546" t="str">
            <v>07.07.03.03.02</v>
          </cell>
          <cell r="B546" t="str">
            <v>ENCOFRADO Y DESENCOFRADO NORMAL PARA SOBRECIMIENTOS HASTA 0.60M.</v>
          </cell>
          <cell r="C546" t="str">
            <v>m2</v>
          </cell>
          <cell r="D546">
            <v>6.4</v>
          </cell>
          <cell r="E546">
            <v>44.43</v>
          </cell>
          <cell r="F546">
            <v>284.35200000000003</v>
          </cell>
          <cell r="G546">
            <v>0</v>
          </cell>
          <cell r="H546">
            <v>0</v>
          </cell>
          <cell r="I546" t="str">
            <v>0.00%</v>
          </cell>
          <cell r="J546">
            <v>0</v>
          </cell>
          <cell r="K546">
            <v>0</v>
          </cell>
          <cell r="L546" t="str">
            <v>0.00%</v>
          </cell>
          <cell r="M546">
            <v>0</v>
          </cell>
          <cell r="N546">
            <v>0</v>
          </cell>
          <cell r="O546" t="str">
            <v>0.00%</v>
          </cell>
          <cell r="P546">
            <v>6.4</v>
          </cell>
          <cell r="Q546">
            <v>284.35200000000003</v>
          </cell>
          <cell r="R546">
            <v>1</v>
          </cell>
        </row>
        <row r="547">
          <cell r="A547" t="str">
            <v>07.07.04</v>
          </cell>
          <cell r="B547" t="str">
            <v>CONCRETO ARMADO</v>
          </cell>
          <cell r="C547">
            <v>0</v>
          </cell>
          <cell r="D547">
            <v>0</v>
          </cell>
          <cell r="E547">
            <v>0</v>
          </cell>
          <cell r="F547">
            <v>0</v>
          </cell>
          <cell r="G547">
            <v>0</v>
          </cell>
          <cell r="H547">
            <v>0</v>
          </cell>
          <cell r="I547">
            <v>0</v>
          </cell>
          <cell r="J547">
            <v>0</v>
          </cell>
          <cell r="K547">
            <v>0</v>
          </cell>
          <cell r="L547">
            <v>0</v>
          </cell>
          <cell r="M547">
            <v>0</v>
          </cell>
          <cell r="N547">
            <v>0</v>
          </cell>
          <cell r="O547">
            <v>0</v>
          </cell>
          <cell r="P547">
            <v>0</v>
          </cell>
          <cell r="Q547">
            <v>0</v>
          </cell>
          <cell r="R547">
            <v>0</v>
          </cell>
        </row>
        <row r="548">
          <cell r="A548" t="str">
            <v>07.07.04.01</v>
          </cell>
          <cell r="B548" t="str">
            <v>ZAPATAS</v>
          </cell>
          <cell r="C548">
            <v>0</v>
          </cell>
          <cell r="D548">
            <v>0</v>
          </cell>
          <cell r="E548">
            <v>0</v>
          </cell>
          <cell r="F548">
            <v>0</v>
          </cell>
          <cell r="G548">
            <v>0</v>
          </cell>
          <cell r="H548">
            <v>0</v>
          </cell>
          <cell r="I548">
            <v>0</v>
          </cell>
          <cell r="J548">
            <v>0</v>
          </cell>
          <cell r="K548">
            <v>0</v>
          </cell>
          <cell r="L548">
            <v>0</v>
          </cell>
          <cell r="M548">
            <v>0</v>
          </cell>
          <cell r="N548">
            <v>0</v>
          </cell>
          <cell r="O548">
            <v>0</v>
          </cell>
          <cell r="P548">
            <v>0</v>
          </cell>
          <cell r="Q548">
            <v>0</v>
          </cell>
          <cell r="R548">
            <v>0</v>
          </cell>
        </row>
        <row r="549">
          <cell r="A549" t="str">
            <v>07.07.04.01.01</v>
          </cell>
          <cell r="B549" t="str">
            <v>ACERO F'Y=4200 KG/CM2 GRADO 60 EN ZAPATAS</v>
          </cell>
          <cell r="C549" t="str">
            <v>kg</v>
          </cell>
          <cell r="D549">
            <v>493.52</v>
          </cell>
          <cell r="E549">
            <v>4.3</v>
          </cell>
          <cell r="F549">
            <v>2122.136</v>
          </cell>
          <cell r="G549">
            <v>0</v>
          </cell>
          <cell r="H549">
            <v>0</v>
          </cell>
          <cell r="I549" t="str">
            <v>0.00%</v>
          </cell>
          <cell r="J549">
            <v>0</v>
          </cell>
          <cell r="K549">
            <v>0</v>
          </cell>
          <cell r="L549" t="str">
            <v>0.00%</v>
          </cell>
          <cell r="M549">
            <v>0</v>
          </cell>
          <cell r="N549">
            <v>0</v>
          </cell>
          <cell r="O549" t="str">
            <v>0.00%</v>
          </cell>
          <cell r="P549">
            <v>493.52</v>
          </cell>
          <cell r="Q549">
            <v>2122.136</v>
          </cell>
          <cell r="R549">
            <v>1</v>
          </cell>
        </row>
        <row r="550">
          <cell r="A550" t="str">
            <v>07.07.04.01.02</v>
          </cell>
          <cell r="B550" t="str">
            <v>CONCRETO PARA ZAPATAS F'C=210 KG/CM2</v>
          </cell>
          <cell r="C550" t="str">
            <v>m3</v>
          </cell>
          <cell r="D550">
            <v>8</v>
          </cell>
          <cell r="E550">
            <v>427.63</v>
          </cell>
          <cell r="F550">
            <v>3421.04</v>
          </cell>
          <cell r="G550">
            <v>0</v>
          </cell>
          <cell r="H550">
            <v>0</v>
          </cell>
          <cell r="I550" t="str">
            <v>0.00%</v>
          </cell>
          <cell r="J550">
            <v>0</v>
          </cell>
          <cell r="K550">
            <v>0</v>
          </cell>
          <cell r="L550" t="str">
            <v>0.00%</v>
          </cell>
          <cell r="M550">
            <v>0</v>
          </cell>
          <cell r="N550">
            <v>0</v>
          </cell>
          <cell r="O550" t="str">
            <v>0.00%</v>
          </cell>
          <cell r="P550">
            <v>8</v>
          </cell>
          <cell r="Q550">
            <v>3421.04</v>
          </cell>
          <cell r="R550">
            <v>1</v>
          </cell>
        </row>
        <row r="551">
          <cell r="A551" t="str">
            <v>07.07.04.02</v>
          </cell>
          <cell r="B551" t="str">
            <v>COLUMNAS</v>
          </cell>
          <cell r="C551">
            <v>0</v>
          </cell>
          <cell r="D551">
            <v>0</v>
          </cell>
          <cell r="E551">
            <v>0</v>
          </cell>
          <cell r="F551">
            <v>0</v>
          </cell>
          <cell r="G551">
            <v>0</v>
          </cell>
          <cell r="H551">
            <v>0</v>
          </cell>
          <cell r="I551">
            <v>0</v>
          </cell>
          <cell r="J551">
            <v>0</v>
          </cell>
          <cell r="K551">
            <v>0</v>
          </cell>
          <cell r="L551">
            <v>0</v>
          </cell>
          <cell r="M551">
            <v>0</v>
          </cell>
          <cell r="N551">
            <v>0</v>
          </cell>
          <cell r="O551">
            <v>0</v>
          </cell>
          <cell r="P551">
            <v>0</v>
          </cell>
          <cell r="Q551">
            <v>0</v>
          </cell>
          <cell r="R551">
            <v>0</v>
          </cell>
        </row>
        <row r="552">
          <cell r="A552" t="str">
            <v>07.07.04.02.01</v>
          </cell>
          <cell r="B552" t="str">
            <v>CONCRETO EN COLUMNAS F'C=210 KG/CM2</v>
          </cell>
          <cell r="C552" t="str">
            <v>m3</v>
          </cell>
          <cell r="D552">
            <v>1.73</v>
          </cell>
          <cell r="E552">
            <v>521.12</v>
          </cell>
          <cell r="F552">
            <v>901.5376</v>
          </cell>
          <cell r="G552">
            <v>0</v>
          </cell>
          <cell r="H552">
            <v>0</v>
          </cell>
          <cell r="I552" t="str">
            <v>0.00%</v>
          </cell>
          <cell r="J552">
            <v>0</v>
          </cell>
          <cell r="K552">
            <v>0</v>
          </cell>
          <cell r="L552" t="str">
            <v>0.00%</v>
          </cell>
          <cell r="M552">
            <v>0</v>
          </cell>
          <cell r="N552">
            <v>0</v>
          </cell>
          <cell r="O552" t="str">
            <v>0.00%</v>
          </cell>
          <cell r="P552">
            <v>1.73</v>
          </cell>
          <cell r="Q552">
            <v>901.5376</v>
          </cell>
          <cell r="R552">
            <v>1</v>
          </cell>
        </row>
        <row r="553">
          <cell r="A553" t="str">
            <v>07.07.04.02.02</v>
          </cell>
          <cell r="B553" t="str">
            <v>ACERO F'Y=4200 KG/CM2 GRADO 60 EN COLUMNAS</v>
          </cell>
          <cell r="C553" t="str">
            <v>kg</v>
          </cell>
          <cell r="D553">
            <v>725.4</v>
          </cell>
          <cell r="E553">
            <v>4.5</v>
          </cell>
          <cell r="F553">
            <v>3264.2999999999997</v>
          </cell>
          <cell r="G553">
            <v>0</v>
          </cell>
          <cell r="H553">
            <v>0</v>
          </cell>
          <cell r="I553" t="str">
            <v>0.00%</v>
          </cell>
          <cell r="J553">
            <v>0</v>
          </cell>
          <cell r="K553">
            <v>0</v>
          </cell>
          <cell r="L553" t="str">
            <v>0.00%</v>
          </cell>
          <cell r="M553">
            <v>0</v>
          </cell>
          <cell r="N553">
            <v>0</v>
          </cell>
          <cell r="O553" t="str">
            <v>0.00%</v>
          </cell>
          <cell r="P553">
            <v>725.4</v>
          </cell>
          <cell r="Q553">
            <v>3264.2999999999997</v>
          </cell>
          <cell r="R553">
            <v>1</v>
          </cell>
        </row>
        <row r="554">
          <cell r="A554" t="str">
            <v>07.07.04.02.03</v>
          </cell>
          <cell r="B554" t="str">
            <v>ENCOFRADO Y DESENCOFRADO NORMAL EN COLUMNAS</v>
          </cell>
          <cell r="C554" t="str">
            <v>m2</v>
          </cell>
          <cell r="D554">
            <v>23.04</v>
          </cell>
          <cell r="E554">
            <v>49.71</v>
          </cell>
          <cell r="F554">
            <v>1145.3183999999999</v>
          </cell>
          <cell r="G554">
            <v>0</v>
          </cell>
          <cell r="H554">
            <v>0</v>
          </cell>
          <cell r="I554" t="str">
            <v>0.00%</v>
          </cell>
          <cell r="J554">
            <v>0</v>
          </cell>
          <cell r="K554">
            <v>0</v>
          </cell>
          <cell r="L554" t="str">
            <v>0.00%</v>
          </cell>
          <cell r="M554">
            <v>0</v>
          </cell>
          <cell r="N554">
            <v>0</v>
          </cell>
          <cell r="O554" t="str">
            <v>0.00%</v>
          </cell>
          <cell r="P554">
            <v>23.04</v>
          </cell>
          <cell r="Q554">
            <v>1145.3183999999999</v>
          </cell>
          <cell r="R554">
            <v>1</v>
          </cell>
        </row>
        <row r="555">
          <cell r="A555" t="str">
            <v>07.07.04.03</v>
          </cell>
          <cell r="B555" t="str">
            <v>VIGAS</v>
          </cell>
          <cell r="C555">
            <v>0</v>
          </cell>
          <cell r="D555">
            <v>0</v>
          </cell>
          <cell r="E555">
            <v>0</v>
          </cell>
          <cell r="F555">
            <v>0</v>
          </cell>
          <cell r="G555">
            <v>0</v>
          </cell>
          <cell r="H555">
            <v>0</v>
          </cell>
          <cell r="I555">
            <v>0</v>
          </cell>
          <cell r="J555">
            <v>0</v>
          </cell>
          <cell r="K555">
            <v>0</v>
          </cell>
          <cell r="L555">
            <v>0</v>
          </cell>
          <cell r="M555">
            <v>0</v>
          </cell>
          <cell r="N555">
            <v>0</v>
          </cell>
          <cell r="O555">
            <v>0</v>
          </cell>
          <cell r="P555">
            <v>0</v>
          </cell>
          <cell r="Q555">
            <v>0</v>
          </cell>
          <cell r="R555">
            <v>0</v>
          </cell>
        </row>
        <row r="556">
          <cell r="A556" t="str">
            <v>07.07.04.03.01</v>
          </cell>
          <cell r="B556" t="str">
            <v>CONCRETO EN VIGAS F'C=210 KG/CM2</v>
          </cell>
          <cell r="C556" t="str">
            <v>m3</v>
          </cell>
          <cell r="D556">
            <v>13.69</v>
          </cell>
          <cell r="E556">
            <v>486.07</v>
          </cell>
          <cell r="F556">
            <v>6654.2982999999995</v>
          </cell>
          <cell r="G556">
            <v>0</v>
          </cell>
          <cell r="H556">
            <v>0</v>
          </cell>
          <cell r="I556" t="str">
            <v>0.00%</v>
          </cell>
          <cell r="J556">
            <v>0</v>
          </cell>
          <cell r="K556">
            <v>0</v>
          </cell>
          <cell r="L556" t="str">
            <v>0.00%</v>
          </cell>
          <cell r="M556">
            <v>0</v>
          </cell>
          <cell r="N556">
            <v>0</v>
          </cell>
          <cell r="O556" t="str">
            <v>0.00%</v>
          </cell>
          <cell r="P556">
            <v>13.69</v>
          </cell>
          <cell r="Q556">
            <v>6654.2982999999995</v>
          </cell>
          <cell r="R556">
            <v>1</v>
          </cell>
        </row>
        <row r="557">
          <cell r="A557" t="str">
            <v>07.07.04.03.02</v>
          </cell>
          <cell r="B557" t="str">
            <v>ACERO F'Y=4200 KG/CM2 GRADO 60 EN VIGAS</v>
          </cell>
          <cell r="C557" t="str">
            <v>kg</v>
          </cell>
          <cell r="D557">
            <v>3141.54</v>
          </cell>
          <cell r="E557">
            <v>4.5</v>
          </cell>
          <cell r="F557">
            <v>14136.93</v>
          </cell>
          <cell r="G557">
            <v>0</v>
          </cell>
          <cell r="H557">
            <v>0</v>
          </cell>
          <cell r="I557" t="str">
            <v>0.00%</v>
          </cell>
          <cell r="J557">
            <v>0</v>
          </cell>
          <cell r="K557">
            <v>0</v>
          </cell>
          <cell r="L557" t="str">
            <v>0.00%</v>
          </cell>
          <cell r="M557">
            <v>0</v>
          </cell>
          <cell r="N557">
            <v>0</v>
          </cell>
          <cell r="O557" t="str">
            <v>0.00%</v>
          </cell>
          <cell r="P557">
            <v>3141.54</v>
          </cell>
          <cell r="Q557">
            <v>14136.93</v>
          </cell>
          <cell r="R557">
            <v>1</v>
          </cell>
        </row>
        <row r="558">
          <cell r="A558" t="str">
            <v>07.07.04.03.03</v>
          </cell>
          <cell r="B558" t="str">
            <v>ENCOFRADO Y DESNCOFRADO NORMAL EN VIGAS</v>
          </cell>
          <cell r="C558" t="str">
            <v>m2</v>
          </cell>
          <cell r="D558">
            <v>167.31</v>
          </cell>
          <cell r="E558">
            <v>54.02</v>
          </cell>
          <cell r="F558">
            <v>9038.0862000000016</v>
          </cell>
          <cell r="G558">
            <v>0</v>
          </cell>
          <cell r="H558">
            <v>0</v>
          </cell>
          <cell r="I558" t="str">
            <v>0.00%</v>
          </cell>
          <cell r="J558">
            <v>0</v>
          </cell>
          <cell r="K558">
            <v>0</v>
          </cell>
          <cell r="L558" t="str">
            <v>0.00%</v>
          </cell>
          <cell r="M558">
            <v>0</v>
          </cell>
          <cell r="N558">
            <v>0</v>
          </cell>
          <cell r="O558" t="str">
            <v>0.00%</v>
          </cell>
          <cell r="P558">
            <v>167.31</v>
          </cell>
          <cell r="Q558">
            <v>9038.0862000000016</v>
          </cell>
          <cell r="R558">
            <v>1</v>
          </cell>
        </row>
        <row r="559">
          <cell r="A559" t="str">
            <v>07.07.04.04</v>
          </cell>
          <cell r="B559" t="str">
            <v>LOSAS MACIZAS</v>
          </cell>
          <cell r="C559">
            <v>0</v>
          </cell>
          <cell r="D559">
            <v>0</v>
          </cell>
          <cell r="E559">
            <v>0</v>
          </cell>
          <cell r="F559">
            <v>0</v>
          </cell>
          <cell r="G559">
            <v>0</v>
          </cell>
          <cell r="H559">
            <v>0</v>
          </cell>
          <cell r="I559">
            <v>0</v>
          </cell>
          <cell r="J559">
            <v>0</v>
          </cell>
          <cell r="K559">
            <v>0</v>
          </cell>
          <cell r="L559">
            <v>0</v>
          </cell>
          <cell r="M559">
            <v>0</v>
          </cell>
          <cell r="N559">
            <v>0</v>
          </cell>
          <cell r="O559">
            <v>0</v>
          </cell>
          <cell r="P559">
            <v>0</v>
          </cell>
          <cell r="Q559">
            <v>0</v>
          </cell>
          <cell r="R559">
            <v>0</v>
          </cell>
        </row>
        <row r="560">
          <cell r="A560" t="str">
            <v>07.07.04.04.01</v>
          </cell>
          <cell r="B560" t="str">
            <v>CONCRETO EN LOSAS MACIZAS F'C=210 KG/CM2</v>
          </cell>
          <cell r="C560" t="str">
            <v>m3</v>
          </cell>
          <cell r="D560">
            <v>2</v>
          </cell>
          <cell r="E560">
            <v>459.51</v>
          </cell>
          <cell r="F560">
            <v>919.02</v>
          </cell>
          <cell r="G560">
            <v>0</v>
          </cell>
          <cell r="H560">
            <v>0</v>
          </cell>
          <cell r="I560" t="str">
            <v>0.00%</v>
          </cell>
          <cell r="J560">
            <v>0</v>
          </cell>
          <cell r="K560">
            <v>0</v>
          </cell>
          <cell r="L560" t="str">
            <v>0.00%</v>
          </cell>
          <cell r="M560">
            <v>0</v>
          </cell>
          <cell r="N560">
            <v>0</v>
          </cell>
          <cell r="O560" t="str">
            <v>0.00%</v>
          </cell>
          <cell r="P560">
            <v>2</v>
          </cell>
          <cell r="Q560">
            <v>919.02</v>
          </cell>
          <cell r="R560">
            <v>1</v>
          </cell>
        </row>
        <row r="561">
          <cell r="A561" t="str">
            <v>07.07.04.04.02</v>
          </cell>
          <cell r="B561" t="str">
            <v>ACERO F'Y=4200 KG/CM2 GRADO 60 EN LOSAS MACIZAS</v>
          </cell>
          <cell r="C561" t="str">
            <v>kg</v>
          </cell>
          <cell r="D561">
            <v>440.2</v>
          </cell>
          <cell r="E561">
            <v>4.13</v>
          </cell>
          <cell r="F561">
            <v>1818.0259999999998</v>
          </cell>
          <cell r="G561">
            <v>0</v>
          </cell>
          <cell r="H561">
            <v>0</v>
          </cell>
          <cell r="I561" t="str">
            <v>0.00%</v>
          </cell>
          <cell r="J561">
            <v>0</v>
          </cell>
          <cell r="K561">
            <v>0</v>
          </cell>
          <cell r="L561" t="str">
            <v>0.00%</v>
          </cell>
          <cell r="M561">
            <v>0</v>
          </cell>
          <cell r="N561">
            <v>0</v>
          </cell>
          <cell r="O561" t="str">
            <v>0.00%</v>
          </cell>
          <cell r="P561">
            <v>440.2</v>
          </cell>
          <cell r="Q561">
            <v>1818.0259999999998</v>
          </cell>
          <cell r="R561">
            <v>1</v>
          </cell>
        </row>
        <row r="562">
          <cell r="A562" t="str">
            <v>07.07.04.04.03</v>
          </cell>
          <cell r="B562" t="str">
            <v>ENCOFRADO Y DESENCOFRADO NORMAL DE LOSAS MACIZAS</v>
          </cell>
          <cell r="C562" t="str">
            <v>m2</v>
          </cell>
          <cell r="D562">
            <v>20</v>
          </cell>
          <cell r="E562">
            <v>43.54</v>
          </cell>
          <cell r="F562">
            <v>870.8</v>
          </cell>
          <cell r="G562">
            <v>0</v>
          </cell>
          <cell r="H562">
            <v>0</v>
          </cell>
          <cell r="I562" t="str">
            <v>0.00%</v>
          </cell>
          <cell r="J562">
            <v>0</v>
          </cell>
          <cell r="K562">
            <v>0</v>
          </cell>
          <cell r="L562" t="str">
            <v>0.00%</v>
          </cell>
          <cell r="M562">
            <v>0</v>
          </cell>
          <cell r="N562">
            <v>0</v>
          </cell>
          <cell r="O562" t="str">
            <v>0.00%</v>
          </cell>
          <cell r="P562">
            <v>20</v>
          </cell>
          <cell r="Q562">
            <v>870.8</v>
          </cell>
          <cell r="R562">
            <v>1</v>
          </cell>
        </row>
        <row r="563">
          <cell r="A563" t="str">
            <v>07.07.05</v>
          </cell>
          <cell r="B563" t="str">
            <v>JUNTAS DE CONSTRUCCION</v>
          </cell>
          <cell r="C563">
            <v>0</v>
          </cell>
          <cell r="D563">
            <v>0</v>
          </cell>
          <cell r="E563">
            <v>0</v>
          </cell>
          <cell r="F563">
            <v>0</v>
          </cell>
          <cell r="G563">
            <v>0</v>
          </cell>
          <cell r="H563">
            <v>0</v>
          </cell>
          <cell r="I563">
            <v>0</v>
          </cell>
          <cell r="J563">
            <v>0</v>
          </cell>
          <cell r="K563">
            <v>0</v>
          </cell>
          <cell r="L563">
            <v>0</v>
          </cell>
          <cell r="M563">
            <v>0</v>
          </cell>
          <cell r="N563">
            <v>0</v>
          </cell>
          <cell r="O563">
            <v>0</v>
          </cell>
          <cell r="P563">
            <v>0</v>
          </cell>
          <cell r="Q563">
            <v>0</v>
          </cell>
          <cell r="R563">
            <v>0</v>
          </cell>
        </row>
        <row r="564">
          <cell r="A564" t="str">
            <v>07.07.05.01</v>
          </cell>
          <cell r="B564" t="str">
            <v>JUNTAS DE TEKNOPOR DE  1"</v>
          </cell>
          <cell r="C564" t="str">
            <v>m</v>
          </cell>
          <cell r="D564">
            <v>35.6</v>
          </cell>
          <cell r="E564">
            <v>9.0500000000000007</v>
          </cell>
          <cell r="F564">
            <v>322.18000000000006</v>
          </cell>
          <cell r="G564">
            <v>0</v>
          </cell>
          <cell r="H564">
            <v>0</v>
          </cell>
          <cell r="I564" t="str">
            <v>0.00%</v>
          </cell>
          <cell r="J564">
            <v>0</v>
          </cell>
          <cell r="K564">
            <v>0</v>
          </cell>
          <cell r="L564" t="str">
            <v>0.00%</v>
          </cell>
          <cell r="M564">
            <v>0</v>
          </cell>
          <cell r="N564">
            <v>0</v>
          </cell>
          <cell r="O564" t="str">
            <v>0.00%</v>
          </cell>
          <cell r="P564">
            <v>35.6</v>
          </cell>
          <cell r="Q564">
            <v>322.18000000000006</v>
          </cell>
          <cell r="R564">
            <v>1</v>
          </cell>
        </row>
        <row r="565">
          <cell r="A565" t="str">
            <v>07.07.06</v>
          </cell>
          <cell r="B565" t="str">
            <v>PRUEBAS</v>
          </cell>
          <cell r="C565">
            <v>0</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row>
        <row r="566">
          <cell r="A566" t="str">
            <v>07.07.06.01</v>
          </cell>
          <cell r="B566" t="str">
            <v>PRUEBA DE CALIDAD DEL CONCRETO (PRUEBA A LA COMPRESION)</v>
          </cell>
          <cell r="C566" t="str">
            <v>und</v>
          </cell>
          <cell r="D566">
            <v>2</v>
          </cell>
          <cell r="E566">
            <v>40</v>
          </cell>
          <cell r="F566">
            <v>80</v>
          </cell>
          <cell r="G566">
            <v>0</v>
          </cell>
          <cell r="H566">
            <v>0</v>
          </cell>
          <cell r="I566" t="str">
            <v>0.00%</v>
          </cell>
          <cell r="J566">
            <v>0</v>
          </cell>
          <cell r="K566">
            <v>0</v>
          </cell>
          <cell r="L566" t="str">
            <v>0.00%</v>
          </cell>
          <cell r="M566">
            <v>0</v>
          </cell>
          <cell r="N566">
            <v>0</v>
          </cell>
          <cell r="O566" t="str">
            <v>0.00%</v>
          </cell>
          <cell r="P566">
            <v>2</v>
          </cell>
          <cell r="Q566">
            <v>80</v>
          </cell>
          <cell r="R566">
            <v>1</v>
          </cell>
        </row>
        <row r="567">
          <cell r="A567" t="str">
            <v>07.08</v>
          </cell>
          <cell r="B567" t="str">
            <v>MUROS DE CONTENCION</v>
          </cell>
          <cell r="C567">
            <v>0</v>
          </cell>
          <cell r="D567">
            <v>0</v>
          </cell>
          <cell r="E567">
            <v>0</v>
          </cell>
          <cell r="F567">
            <v>0</v>
          </cell>
          <cell r="G567">
            <v>0</v>
          </cell>
          <cell r="H567">
            <v>0</v>
          </cell>
          <cell r="I567">
            <v>0</v>
          </cell>
          <cell r="J567">
            <v>0</v>
          </cell>
          <cell r="K567">
            <v>0</v>
          </cell>
          <cell r="L567">
            <v>0</v>
          </cell>
          <cell r="M567">
            <v>0</v>
          </cell>
          <cell r="N567">
            <v>0</v>
          </cell>
          <cell r="O567">
            <v>0</v>
          </cell>
          <cell r="P567">
            <v>0</v>
          </cell>
          <cell r="Q567">
            <v>0</v>
          </cell>
          <cell r="R567">
            <v>0</v>
          </cell>
        </row>
        <row r="568">
          <cell r="A568" t="str">
            <v>07.08.01</v>
          </cell>
          <cell r="B568" t="str">
            <v>TRABAJOS PRELIMINARES</v>
          </cell>
          <cell r="C568">
            <v>0</v>
          </cell>
          <cell r="D568">
            <v>0</v>
          </cell>
          <cell r="E568">
            <v>0</v>
          </cell>
          <cell r="F568">
            <v>0</v>
          </cell>
          <cell r="G568">
            <v>0</v>
          </cell>
          <cell r="H568">
            <v>0</v>
          </cell>
          <cell r="I568">
            <v>0</v>
          </cell>
          <cell r="J568">
            <v>0</v>
          </cell>
          <cell r="K568">
            <v>0</v>
          </cell>
          <cell r="L568">
            <v>0</v>
          </cell>
          <cell r="M568">
            <v>0</v>
          </cell>
          <cell r="N568">
            <v>0</v>
          </cell>
          <cell r="O568">
            <v>0</v>
          </cell>
          <cell r="P568">
            <v>0</v>
          </cell>
          <cell r="Q568">
            <v>0</v>
          </cell>
          <cell r="R568">
            <v>0</v>
          </cell>
        </row>
        <row r="569">
          <cell r="A569" t="str">
            <v>07.08.01.01</v>
          </cell>
          <cell r="B569" t="str">
            <v>LIMPIEZA DE TERRENO MANUAL</v>
          </cell>
          <cell r="C569" t="str">
            <v>m2</v>
          </cell>
          <cell r="D569">
            <v>180.89</v>
          </cell>
          <cell r="E569">
            <v>1.0900000000000001</v>
          </cell>
          <cell r="F569">
            <v>197.17009999999999</v>
          </cell>
          <cell r="G569">
            <v>90.44</v>
          </cell>
          <cell r="H569">
            <v>98.579599999999999</v>
          </cell>
          <cell r="I569">
            <v>0.49997235889214442</v>
          </cell>
          <cell r="J569">
            <v>90.45</v>
          </cell>
          <cell r="K569">
            <v>98.590500000000006</v>
          </cell>
          <cell r="L569">
            <v>0.50002764110785569</v>
          </cell>
          <cell r="M569">
            <v>180.89</v>
          </cell>
          <cell r="N569">
            <v>197.17009999999999</v>
          </cell>
          <cell r="O569">
            <v>1</v>
          </cell>
          <cell r="P569">
            <v>0</v>
          </cell>
          <cell r="Q569">
            <v>0</v>
          </cell>
          <cell r="R569" t="str">
            <v>0.00%</v>
          </cell>
        </row>
        <row r="570">
          <cell r="A570" t="str">
            <v>07.08.01.02</v>
          </cell>
          <cell r="B570" t="str">
            <v>TRAZO DURANTE LA EJECUCION DE LA OBRA</v>
          </cell>
          <cell r="C570" t="str">
            <v>m2</v>
          </cell>
          <cell r="D570">
            <v>180.89</v>
          </cell>
          <cell r="E570">
            <v>3.49</v>
          </cell>
          <cell r="F570">
            <v>631.30610000000001</v>
          </cell>
          <cell r="G570">
            <v>90.44</v>
          </cell>
          <cell r="H570">
            <v>315.63560000000001</v>
          </cell>
          <cell r="I570">
            <v>0.49997235889214442</v>
          </cell>
          <cell r="J570">
            <v>90.45</v>
          </cell>
          <cell r="K570">
            <v>315.6705</v>
          </cell>
          <cell r="L570">
            <v>0.50002764110785558</v>
          </cell>
          <cell r="M570">
            <v>180.89</v>
          </cell>
          <cell r="N570">
            <v>631.30610000000001</v>
          </cell>
          <cell r="O570">
            <v>1</v>
          </cell>
          <cell r="P570">
            <v>0</v>
          </cell>
          <cell r="Q570">
            <v>0</v>
          </cell>
          <cell r="R570" t="str">
            <v>0.00%</v>
          </cell>
        </row>
        <row r="571">
          <cell r="A571" t="str">
            <v>07.08.02</v>
          </cell>
          <cell r="B571" t="str">
            <v>MOVIMIENTO DE TIERRAS</v>
          </cell>
          <cell r="C571">
            <v>0</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row>
        <row r="572">
          <cell r="A572" t="str">
            <v>07.08.02.01</v>
          </cell>
          <cell r="B572" t="str">
            <v>CORTE DE MATERIAL SUELTO CON MAQUINARIA</v>
          </cell>
          <cell r="C572" t="str">
            <v>m3</v>
          </cell>
          <cell r="D572">
            <v>222.81</v>
          </cell>
          <cell r="E572">
            <v>5.54</v>
          </cell>
          <cell r="F572">
            <v>1234.3674000000001</v>
          </cell>
          <cell r="G572">
            <v>44.04</v>
          </cell>
          <cell r="H572">
            <v>243.98159999999999</v>
          </cell>
          <cell r="I572">
            <v>0.19765719671468962</v>
          </cell>
          <cell r="J572">
            <v>178.77</v>
          </cell>
          <cell r="K572">
            <v>990.38580000000002</v>
          </cell>
          <cell r="L572">
            <v>0.80234280328531027</v>
          </cell>
          <cell r="M572">
            <v>222.81</v>
          </cell>
          <cell r="N572">
            <v>1234.3674000000001</v>
          </cell>
          <cell r="O572">
            <v>1</v>
          </cell>
          <cell r="P572">
            <v>0</v>
          </cell>
          <cell r="Q572">
            <v>0</v>
          </cell>
          <cell r="R572" t="str">
            <v>0.00%</v>
          </cell>
        </row>
        <row r="573">
          <cell r="A573" t="str">
            <v>07.08.02.02</v>
          </cell>
          <cell r="B573" t="str">
            <v>RELLENO COMPACTADO CON MATERIAL PROPIO EN CAPAS DE 0.20m.</v>
          </cell>
          <cell r="C573" t="str">
            <v>m3</v>
          </cell>
          <cell r="D573">
            <v>107.77</v>
          </cell>
          <cell r="E573">
            <v>53.95</v>
          </cell>
          <cell r="F573">
            <v>5814.1914999999999</v>
          </cell>
          <cell r="G573">
            <v>0</v>
          </cell>
          <cell r="H573">
            <v>0</v>
          </cell>
          <cell r="I573" t="str">
            <v>0.00%</v>
          </cell>
          <cell r="J573">
            <v>0</v>
          </cell>
          <cell r="K573">
            <v>0</v>
          </cell>
          <cell r="L573" t="str">
            <v>0.00%</v>
          </cell>
          <cell r="M573">
            <v>0</v>
          </cell>
          <cell r="N573">
            <v>0</v>
          </cell>
          <cell r="O573" t="str">
            <v>0.00%</v>
          </cell>
          <cell r="P573">
            <v>107.77</v>
          </cell>
          <cell r="Q573">
            <v>5814.1914999999999</v>
          </cell>
          <cell r="R573">
            <v>1</v>
          </cell>
        </row>
        <row r="574">
          <cell r="A574" t="str">
            <v>07.08.02.03</v>
          </cell>
          <cell r="B574" t="str">
            <v>ACARREO INTERNO, MATERIAL PROCEDENTE DE EXCAVACIONES  Y OTROS</v>
          </cell>
          <cell r="C574" t="str">
            <v>m3</v>
          </cell>
          <cell r="D574">
            <v>194.41</v>
          </cell>
          <cell r="E574">
            <v>19</v>
          </cell>
          <cell r="F574">
            <v>3693.79</v>
          </cell>
          <cell r="G574">
            <v>74.42</v>
          </cell>
          <cell r="H574">
            <v>1413.98</v>
          </cell>
          <cell r="I574">
            <v>0.38279923872228794</v>
          </cell>
          <cell r="J574">
            <v>119.99</v>
          </cell>
          <cell r="K574">
            <v>2279.81</v>
          </cell>
          <cell r="L574">
            <v>0.61720076127771206</v>
          </cell>
          <cell r="M574">
            <v>194.41</v>
          </cell>
          <cell r="N574">
            <v>3693.79</v>
          </cell>
          <cell r="O574">
            <v>1</v>
          </cell>
          <cell r="P574">
            <v>0</v>
          </cell>
          <cell r="Q574">
            <v>0</v>
          </cell>
          <cell r="R574" t="str">
            <v>0.00%</v>
          </cell>
        </row>
        <row r="575">
          <cell r="A575" t="str">
            <v>07.08.02.04</v>
          </cell>
          <cell r="B575" t="str">
            <v>ELIMINACION DE MATERIAL EXCEDENTE CON EQUIPO</v>
          </cell>
          <cell r="C575" t="str">
            <v>m3</v>
          </cell>
          <cell r="D575">
            <v>194.41</v>
          </cell>
          <cell r="E575">
            <v>14.64</v>
          </cell>
          <cell r="F575">
            <v>2846.1624000000002</v>
          </cell>
          <cell r="G575">
            <v>74.42</v>
          </cell>
          <cell r="H575">
            <v>1089.5088000000001</v>
          </cell>
          <cell r="I575">
            <v>0.38279923872228794</v>
          </cell>
          <cell r="J575">
            <v>119.99</v>
          </cell>
          <cell r="K575">
            <v>1756.6536000000001</v>
          </cell>
          <cell r="L575">
            <v>0.61720076127771206</v>
          </cell>
          <cell r="M575">
            <v>194.41</v>
          </cell>
          <cell r="N575">
            <v>2846.1624000000002</v>
          </cell>
          <cell r="O575">
            <v>1</v>
          </cell>
          <cell r="P575">
            <v>0</v>
          </cell>
          <cell r="Q575">
            <v>0</v>
          </cell>
          <cell r="R575" t="str">
            <v>0.00%</v>
          </cell>
        </row>
        <row r="576">
          <cell r="A576" t="str">
            <v>07.08.03</v>
          </cell>
          <cell r="B576" t="str">
            <v>MUROS DE CONTENCION DE CONCRETO CICLOPEO</v>
          </cell>
          <cell r="C576">
            <v>0</v>
          </cell>
          <cell r="D576">
            <v>0</v>
          </cell>
          <cell r="E576">
            <v>0</v>
          </cell>
          <cell r="F576">
            <v>0</v>
          </cell>
          <cell r="G576">
            <v>0</v>
          </cell>
          <cell r="H576">
            <v>0</v>
          </cell>
          <cell r="I576">
            <v>0</v>
          </cell>
          <cell r="J576">
            <v>0</v>
          </cell>
          <cell r="K576">
            <v>0</v>
          </cell>
          <cell r="L576">
            <v>0</v>
          </cell>
          <cell r="M576">
            <v>0</v>
          </cell>
          <cell r="N576">
            <v>0</v>
          </cell>
          <cell r="O576">
            <v>0</v>
          </cell>
          <cell r="P576">
            <v>0</v>
          </cell>
          <cell r="Q576">
            <v>0</v>
          </cell>
          <cell r="R576">
            <v>0</v>
          </cell>
        </row>
        <row r="577">
          <cell r="A577" t="str">
            <v>07.08.03.01</v>
          </cell>
          <cell r="B577" t="str">
            <v>CONCRETO CICLOPEO  FC=140 KG/CM2  + 70 % PG.</v>
          </cell>
          <cell r="C577" t="str">
            <v>m3</v>
          </cell>
          <cell r="D577">
            <v>193.96</v>
          </cell>
          <cell r="E577">
            <v>203.49</v>
          </cell>
          <cell r="F577">
            <v>39468.920400000003</v>
          </cell>
          <cell r="G577">
            <v>21.72</v>
          </cell>
          <cell r="H577">
            <v>4419.8028000000004</v>
          </cell>
          <cell r="I577">
            <v>0.11198185192823262</v>
          </cell>
          <cell r="J577">
            <v>29.670999999999996</v>
          </cell>
          <cell r="K577">
            <v>6037.7517899999993</v>
          </cell>
          <cell r="L577">
            <v>0.15297484017323157</v>
          </cell>
          <cell r="M577">
            <v>51.390999999999991</v>
          </cell>
          <cell r="N577">
            <v>10457.55459</v>
          </cell>
          <cell r="O577">
            <v>0.26495669210146422</v>
          </cell>
          <cell r="P577">
            <v>142.56900000000002</v>
          </cell>
          <cell r="Q577">
            <v>29011.365810000003</v>
          </cell>
          <cell r="R577">
            <v>0.73504330789853578</v>
          </cell>
        </row>
        <row r="578">
          <cell r="A578" t="str">
            <v>07.08.03.02</v>
          </cell>
          <cell r="B578" t="str">
            <v>ENCOFRADO Y DESENCOFRADO NORMAL EN MUROS DE CONTENCION</v>
          </cell>
          <cell r="C578" t="str">
            <v>m2</v>
          </cell>
          <cell r="D578">
            <v>516.24</v>
          </cell>
          <cell r="E578">
            <v>53.31</v>
          </cell>
          <cell r="F578">
            <v>27520.754400000002</v>
          </cell>
          <cell r="G578">
            <v>0</v>
          </cell>
          <cell r="H578">
            <v>0</v>
          </cell>
          <cell r="I578" t="str">
            <v>0.00%</v>
          </cell>
          <cell r="J578">
            <v>210.64399999999998</v>
          </cell>
          <cell r="K578">
            <v>11229.431639999999</v>
          </cell>
          <cell r="L578">
            <v>0.40803502247016887</v>
          </cell>
          <cell r="M578">
            <v>210.64399999999998</v>
          </cell>
          <cell r="N578">
            <v>11229.431639999999</v>
          </cell>
          <cell r="O578">
            <v>0.40803502247016887</v>
          </cell>
          <cell r="P578">
            <v>305.596</v>
          </cell>
          <cell r="Q578">
            <v>16291.322760000003</v>
          </cell>
          <cell r="R578">
            <v>0.59196497752983113</v>
          </cell>
        </row>
        <row r="579">
          <cell r="A579" t="str">
            <v>07.08.04</v>
          </cell>
          <cell r="B579" t="str">
            <v>MUROS DE CONTENCION DE CONCRETO ARMADO</v>
          </cell>
          <cell r="C579">
            <v>0</v>
          </cell>
          <cell r="D579">
            <v>0</v>
          </cell>
          <cell r="E579">
            <v>0</v>
          </cell>
          <cell r="F579">
            <v>0</v>
          </cell>
          <cell r="G579">
            <v>0</v>
          </cell>
          <cell r="H579">
            <v>0</v>
          </cell>
          <cell r="I579">
            <v>0</v>
          </cell>
          <cell r="J579">
            <v>0</v>
          </cell>
          <cell r="K579">
            <v>0</v>
          </cell>
          <cell r="L579">
            <v>0</v>
          </cell>
          <cell r="M579">
            <v>0</v>
          </cell>
          <cell r="N579">
            <v>0</v>
          </cell>
          <cell r="O579">
            <v>0</v>
          </cell>
          <cell r="P579">
            <v>0</v>
          </cell>
          <cell r="Q579">
            <v>0</v>
          </cell>
          <cell r="R579">
            <v>0</v>
          </cell>
        </row>
        <row r="580">
          <cell r="A580" t="str">
            <v>07.08.04.01</v>
          </cell>
          <cell r="B580" t="str">
            <v>CONCRETO EN MUROS DE CONTENCION F'C= 210 KG/CM2</v>
          </cell>
          <cell r="C580" t="str">
            <v>m3</v>
          </cell>
          <cell r="D580">
            <v>66.84</v>
          </cell>
          <cell r="E580">
            <v>547.66</v>
          </cell>
          <cell r="F580">
            <v>36605.594400000002</v>
          </cell>
          <cell r="G580">
            <v>0</v>
          </cell>
          <cell r="H580">
            <v>0</v>
          </cell>
          <cell r="I580" t="str">
            <v>0.00%</v>
          </cell>
          <cell r="J580">
            <v>0</v>
          </cell>
          <cell r="K580">
            <v>0</v>
          </cell>
          <cell r="L580" t="str">
            <v>0.00%</v>
          </cell>
          <cell r="M580">
            <v>0</v>
          </cell>
          <cell r="N580">
            <v>0</v>
          </cell>
          <cell r="O580" t="str">
            <v>0.00%</v>
          </cell>
          <cell r="P580">
            <v>66.84</v>
          </cell>
          <cell r="Q580">
            <v>36605.594400000002</v>
          </cell>
          <cell r="R580">
            <v>1</v>
          </cell>
        </row>
        <row r="581">
          <cell r="A581" t="str">
            <v>07.08.04.02</v>
          </cell>
          <cell r="B581" t="str">
            <v>ACERO F'Y=4200 KG/CM2 EN MURO DE CONTENCION</v>
          </cell>
          <cell r="C581" t="str">
            <v>kg</v>
          </cell>
          <cell r="D581">
            <v>5828.71</v>
          </cell>
          <cell r="E581">
            <v>4.3899999999999997</v>
          </cell>
          <cell r="F581">
            <v>25588.036899999999</v>
          </cell>
          <cell r="G581">
            <v>0</v>
          </cell>
          <cell r="H581">
            <v>0</v>
          </cell>
          <cell r="I581" t="str">
            <v>0.00%</v>
          </cell>
          <cell r="J581">
            <v>3044.6018999999997</v>
          </cell>
          <cell r="K581">
            <v>13365.802340999997</v>
          </cell>
          <cell r="L581">
            <v>0.52234575060347821</v>
          </cell>
          <cell r="M581">
            <v>3044.6018999999997</v>
          </cell>
          <cell r="N581">
            <v>13365.802340999997</v>
          </cell>
          <cell r="O581">
            <v>0.52234575060347821</v>
          </cell>
          <cell r="P581">
            <v>2784.1081000000004</v>
          </cell>
          <cell r="Q581">
            <v>12222.234559000002</v>
          </cell>
          <cell r="R581">
            <v>0.47765424939652179</v>
          </cell>
        </row>
        <row r="582">
          <cell r="A582" t="str">
            <v>07.08.04.03</v>
          </cell>
          <cell r="B582" t="str">
            <v>ENCOFRADO Y DESENCOF MUROS DE CONTENCION</v>
          </cell>
          <cell r="C582" t="str">
            <v>m2</v>
          </cell>
          <cell r="D582">
            <v>218.17</v>
          </cell>
          <cell r="E582">
            <v>38.049999999999997</v>
          </cell>
          <cell r="F582">
            <v>8301.3684999999987</v>
          </cell>
          <cell r="G582">
            <v>0</v>
          </cell>
          <cell r="H582">
            <v>0</v>
          </cell>
          <cell r="I582" t="str">
            <v>0.00%</v>
          </cell>
          <cell r="J582">
            <v>0</v>
          </cell>
          <cell r="K582">
            <v>0</v>
          </cell>
          <cell r="L582" t="str">
            <v>0.00%</v>
          </cell>
          <cell r="M582">
            <v>0</v>
          </cell>
          <cell r="N582">
            <v>0</v>
          </cell>
          <cell r="O582" t="str">
            <v>0.00%</v>
          </cell>
          <cell r="P582">
            <v>218.17</v>
          </cell>
          <cell r="Q582">
            <v>8301.3684999999987</v>
          </cell>
          <cell r="R582">
            <v>1</v>
          </cell>
        </row>
        <row r="583">
          <cell r="A583" t="str">
            <v>07.09</v>
          </cell>
          <cell r="B583" t="str">
            <v xml:space="preserve">CERCO PERIMETRICO </v>
          </cell>
          <cell r="C583">
            <v>0</v>
          </cell>
          <cell r="D583">
            <v>0</v>
          </cell>
          <cell r="E583">
            <v>0</v>
          </cell>
          <cell r="F583">
            <v>0</v>
          </cell>
          <cell r="G583">
            <v>0</v>
          </cell>
          <cell r="H583">
            <v>0</v>
          </cell>
          <cell r="I583">
            <v>0</v>
          </cell>
          <cell r="J583">
            <v>0</v>
          </cell>
          <cell r="K583">
            <v>0</v>
          </cell>
          <cell r="L583">
            <v>0</v>
          </cell>
          <cell r="M583">
            <v>0</v>
          </cell>
          <cell r="N583">
            <v>0</v>
          </cell>
          <cell r="O583">
            <v>0</v>
          </cell>
          <cell r="P583">
            <v>0</v>
          </cell>
          <cell r="Q583">
            <v>0</v>
          </cell>
          <cell r="R583">
            <v>0</v>
          </cell>
        </row>
        <row r="584">
          <cell r="A584" t="str">
            <v>07.09.01</v>
          </cell>
          <cell r="B584" t="str">
            <v>TRABAJOS PRELIMINARES</v>
          </cell>
          <cell r="C584">
            <v>0</v>
          </cell>
          <cell r="D584">
            <v>0</v>
          </cell>
          <cell r="E584">
            <v>0</v>
          </cell>
          <cell r="F584">
            <v>0</v>
          </cell>
          <cell r="G584">
            <v>0</v>
          </cell>
          <cell r="H584">
            <v>0</v>
          </cell>
          <cell r="I584">
            <v>0</v>
          </cell>
          <cell r="J584">
            <v>0</v>
          </cell>
          <cell r="K584">
            <v>0</v>
          </cell>
          <cell r="L584">
            <v>0</v>
          </cell>
          <cell r="M584">
            <v>0</v>
          </cell>
          <cell r="N584">
            <v>0</v>
          </cell>
          <cell r="O584">
            <v>0</v>
          </cell>
          <cell r="P584">
            <v>0</v>
          </cell>
          <cell r="Q584">
            <v>0</v>
          </cell>
          <cell r="R584">
            <v>0</v>
          </cell>
        </row>
        <row r="585">
          <cell r="A585" t="str">
            <v>07.09.01.01</v>
          </cell>
          <cell r="B585" t="str">
            <v>LIMPIEZA DE TERRENO MANUAL</v>
          </cell>
          <cell r="C585" t="str">
            <v>m2</v>
          </cell>
          <cell r="D585">
            <v>361.78</v>
          </cell>
          <cell r="E585">
            <v>1.0900000000000001</v>
          </cell>
          <cell r="F585">
            <v>394.34019999999998</v>
          </cell>
          <cell r="G585">
            <v>180.89099999999999</v>
          </cell>
          <cell r="H585">
            <v>197.17119</v>
          </cell>
          <cell r="I585">
            <v>0.50000276411078559</v>
          </cell>
          <cell r="J585">
            <v>180.88499999999999</v>
          </cell>
          <cell r="K585">
            <v>197.16464999999999</v>
          </cell>
          <cell r="L585">
            <v>0.49998617944607221</v>
          </cell>
          <cell r="M585">
            <v>361.77599999999995</v>
          </cell>
          <cell r="N585">
            <v>394.33583999999996</v>
          </cell>
          <cell r="O585">
            <v>0.99998894355685775</v>
          </cell>
          <cell r="P585">
            <v>4.0000000000190994E-3</v>
          </cell>
          <cell r="Q585">
            <v>4.3600000000196815E-3</v>
          </cell>
          <cell r="R585">
            <v>1.1056443142291051E-5</v>
          </cell>
        </row>
        <row r="586">
          <cell r="A586" t="str">
            <v>07.09.01.02</v>
          </cell>
          <cell r="B586" t="str">
            <v>TRAZO DURANTE LA EJECUCION DE LA OBRA</v>
          </cell>
          <cell r="C586" t="str">
            <v>m2</v>
          </cell>
          <cell r="D586">
            <v>361.78</v>
          </cell>
          <cell r="E586">
            <v>3.49</v>
          </cell>
          <cell r="F586">
            <v>1262.6122</v>
          </cell>
          <cell r="G586">
            <v>180.89099999999999</v>
          </cell>
          <cell r="H586">
            <v>631.30958999999996</v>
          </cell>
          <cell r="I586">
            <v>0.50000276411078548</v>
          </cell>
          <cell r="J586">
            <v>180.88900000000001</v>
          </cell>
          <cell r="K586">
            <v>631.30261000000007</v>
          </cell>
          <cell r="L586">
            <v>0.49999723588921446</v>
          </cell>
          <cell r="M586">
            <v>361.78</v>
          </cell>
          <cell r="N586">
            <v>1262.6122</v>
          </cell>
          <cell r="O586">
            <v>1</v>
          </cell>
          <cell r="P586">
            <v>0</v>
          </cell>
          <cell r="Q586">
            <v>0</v>
          </cell>
          <cell r="R586" t="str">
            <v>0.00%</v>
          </cell>
        </row>
        <row r="587">
          <cell r="A587" t="str">
            <v>07.09.02</v>
          </cell>
          <cell r="B587" t="str">
            <v>CONCRETO SIMPLE</v>
          </cell>
          <cell r="C587">
            <v>0</v>
          </cell>
          <cell r="D587">
            <v>0</v>
          </cell>
          <cell r="E587">
            <v>0</v>
          </cell>
          <cell r="F587">
            <v>0</v>
          </cell>
          <cell r="G587">
            <v>0</v>
          </cell>
          <cell r="H587">
            <v>0</v>
          </cell>
          <cell r="I587">
            <v>0</v>
          </cell>
          <cell r="J587">
            <v>0</v>
          </cell>
          <cell r="K587">
            <v>0</v>
          </cell>
          <cell r="L587">
            <v>0</v>
          </cell>
          <cell r="M587">
            <v>0</v>
          </cell>
          <cell r="N587">
            <v>0</v>
          </cell>
          <cell r="O587">
            <v>0</v>
          </cell>
          <cell r="P587">
            <v>0</v>
          </cell>
          <cell r="Q587">
            <v>0</v>
          </cell>
          <cell r="R587">
            <v>0</v>
          </cell>
        </row>
        <row r="588">
          <cell r="A588" t="str">
            <v>07.09.02.01</v>
          </cell>
          <cell r="B588" t="str">
            <v>SOBRECIMIENTOS</v>
          </cell>
          <cell r="C588">
            <v>0</v>
          </cell>
          <cell r="D588">
            <v>0</v>
          </cell>
          <cell r="E588">
            <v>0</v>
          </cell>
          <cell r="F588">
            <v>0</v>
          </cell>
          <cell r="G588">
            <v>0</v>
          </cell>
          <cell r="H588">
            <v>0</v>
          </cell>
          <cell r="I588">
            <v>0</v>
          </cell>
          <cell r="J588">
            <v>0</v>
          </cell>
          <cell r="K588">
            <v>0</v>
          </cell>
          <cell r="L588">
            <v>0</v>
          </cell>
          <cell r="M588">
            <v>0</v>
          </cell>
          <cell r="N588">
            <v>0</v>
          </cell>
          <cell r="O588">
            <v>0</v>
          </cell>
          <cell r="P588">
            <v>0</v>
          </cell>
          <cell r="Q588">
            <v>0</v>
          </cell>
          <cell r="R588">
            <v>0</v>
          </cell>
        </row>
        <row r="589">
          <cell r="A589" t="str">
            <v>07.09.02.01.01</v>
          </cell>
          <cell r="B589" t="str">
            <v>CONCRETO 1:8+25% P.M. PARA SOBRECIMIENTOS</v>
          </cell>
          <cell r="C589" t="str">
            <v>m3</v>
          </cell>
          <cell r="D589">
            <v>3.32</v>
          </cell>
          <cell r="E589">
            <v>312.47000000000003</v>
          </cell>
          <cell r="F589">
            <v>1037.4004</v>
          </cell>
          <cell r="G589">
            <v>0</v>
          </cell>
          <cell r="H589">
            <v>0</v>
          </cell>
          <cell r="I589" t="str">
            <v>0.00%</v>
          </cell>
          <cell r="J589">
            <v>2.3058000000000001</v>
          </cell>
          <cell r="K589">
            <v>720.49332600000014</v>
          </cell>
          <cell r="L589">
            <v>0.69451807228915674</v>
          </cell>
          <cell r="M589">
            <v>2.3058000000000001</v>
          </cell>
          <cell r="N589">
            <v>720.49332600000014</v>
          </cell>
          <cell r="O589">
            <v>0.69451807228915674</v>
          </cell>
          <cell r="P589">
            <v>1.0141999999999998</v>
          </cell>
          <cell r="Q589">
            <v>316.90707399999985</v>
          </cell>
          <cell r="R589">
            <v>0.30548192771084326</v>
          </cell>
        </row>
        <row r="590">
          <cell r="A590" t="str">
            <v>07.09.02.01.02</v>
          </cell>
          <cell r="B590" t="str">
            <v>ENCOFRADO Y DESENCOFRADO NORMAL PARA SOBRECIMIENTOS HASTA 0.60M.</v>
          </cell>
          <cell r="C590" t="str">
            <v>m2</v>
          </cell>
          <cell r="D590">
            <v>74.430000000000007</v>
          </cell>
          <cell r="E590">
            <v>44.43</v>
          </cell>
          <cell r="F590">
            <v>3306.9249000000004</v>
          </cell>
          <cell r="G590">
            <v>0</v>
          </cell>
          <cell r="H590">
            <v>0</v>
          </cell>
          <cell r="I590" t="str">
            <v>0.00%</v>
          </cell>
          <cell r="J590">
            <v>30.744</v>
          </cell>
          <cell r="K590">
            <v>1365.9559199999999</v>
          </cell>
          <cell r="L590">
            <v>0.41305925030229734</v>
          </cell>
          <cell r="M590">
            <v>30.744</v>
          </cell>
          <cell r="N590">
            <v>1365.9559199999999</v>
          </cell>
          <cell r="O590">
            <v>0.41305925030229734</v>
          </cell>
          <cell r="P590">
            <v>43.686000000000007</v>
          </cell>
          <cell r="Q590">
            <v>1940.9689800000006</v>
          </cell>
          <cell r="R590">
            <v>0.5869407496977026</v>
          </cell>
        </row>
        <row r="591">
          <cell r="A591" t="str">
            <v>07.09.02.02</v>
          </cell>
          <cell r="B591" t="str">
            <v>CALZADURAS DE CONCRETO SIMPLE</v>
          </cell>
          <cell r="C591">
            <v>0</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row>
        <row r="592">
          <cell r="A592" t="str">
            <v>07.09.02.02.01</v>
          </cell>
          <cell r="B592" t="str">
            <v>CONCRETO 1:12 +30% P.G. PARA CALZADURAS</v>
          </cell>
          <cell r="C592" t="str">
            <v>m3</v>
          </cell>
          <cell r="D592">
            <v>140.56</v>
          </cell>
          <cell r="E592">
            <v>331.23</v>
          </cell>
          <cell r="F592">
            <v>46557.688800000004</v>
          </cell>
          <cell r="G592">
            <v>0</v>
          </cell>
          <cell r="H592">
            <v>0</v>
          </cell>
          <cell r="I592" t="str">
            <v>0.00%</v>
          </cell>
          <cell r="J592">
            <v>140.56</v>
          </cell>
          <cell r="K592">
            <v>46557.688800000004</v>
          </cell>
          <cell r="L592">
            <v>1</v>
          </cell>
          <cell r="M592">
            <v>140.56</v>
          </cell>
          <cell r="N592">
            <v>46557.688800000004</v>
          </cell>
          <cell r="O592">
            <v>1</v>
          </cell>
          <cell r="P592">
            <v>0</v>
          </cell>
          <cell r="Q592">
            <v>0</v>
          </cell>
          <cell r="R592" t="str">
            <v>0.00%</v>
          </cell>
        </row>
        <row r="593">
          <cell r="A593" t="str">
            <v>07.09.02.02.02</v>
          </cell>
          <cell r="B593" t="str">
            <v>ENCOFRADO Y DESENCOFRADO NORMAL EN CALZADURAS</v>
          </cell>
          <cell r="C593" t="str">
            <v>m2</v>
          </cell>
          <cell r="D593">
            <v>201.39</v>
          </cell>
          <cell r="E593">
            <v>51.91</v>
          </cell>
          <cell r="F593">
            <v>10454.154899999998</v>
          </cell>
          <cell r="G593">
            <v>0</v>
          </cell>
          <cell r="H593">
            <v>0</v>
          </cell>
          <cell r="I593" t="str">
            <v>0.00%</v>
          </cell>
          <cell r="J593">
            <v>201.39</v>
          </cell>
          <cell r="K593">
            <v>10454.154899999998</v>
          </cell>
          <cell r="L593">
            <v>1</v>
          </cell>
          <cell r="M593">
            <v>201.39</v>
          </cell>
          <cell r="N593">
            <v>10454.154899999998</v>
          </cell>
          <cell r="O593">
            <v>1</v>
          </cell>
          <cell r="P593">
            <v>0</v>
          </cell>
          <cell r="Q593">
            <v>0</v>
          </cell>
          <cell r="R593" t="str">
            <v>0.00%</v>
          </cell>
        </row>
        <row r="594">
          <cell r="A594" t="str">
            <v>07.09.03</v>
          </cell>
          <cell r="B594" t="str">
            <v>CONCRETO ARMADO</v>
          </cell>
          <cell r="C594">
            <v>0</v>
          </cell>
          <cell r="D594">
            <v>0</v>
          </cell>
          <cell r="E594">
            <v>0</v>
          </cell>
          <cell r="F594">
            <v>0</v>
          </cell>
          <cell r="G594">
            <v>0</v>
          </cell>
          <cell r="H594">
            <v>0</v>
          </cell>
          <cell r="I594">
            <v>0</v>
          </cell>
          <cell r="J594">
            <v>0</v>
          </cell>
          <cell r="K594">
            <v>0</v>
          </cell>
          <cell r="L594">
            <v>0</v>
          </cell>
          <cell r="M594">
            <v>0</v>
          </cell>
          <cell r="N594">
            <v>0</v>
          </cell>
          <cell r="O594">
            <v>0</v>
          </cell>
          <cell r="P594">
            <v>0</v>
          </cell>
          <cell r="Q594">
            <v>0</v>
          </cell>
          <cell r="R594">
            <v>0</v>
          </cell>
        </row>
        <row r="595">
          <cell r="A595" t="str">
            <v>07.09.03.01</v>
          </cell>
          <cell r="B595" t="str">
            <v>COLUMNAS</v>
          </cell>
          <cell r="C595">
            <v>0</v>
          </cell>
          <cell r="D595">
            <v>0</v>
          </cell>
          <cell r="E595">
            <v>0</v>
          </cell>
          <cell r="F595">
            <v>0</v>
          </cell>
          <cell r="G595">
            <v>0</v>
          </cell>
          <cell r="H595">
            <v>0</v>
          </cell>
          <cell r="I595">
            <v>0</v>
          </cell>
          <cell r="J595">
            <v>0</v>
          </cell>
          <cell r="K595">
            <v>0</v>
          </cell>
          <cell r="L595">
            <v>0</v>
          </cell>
          <cell r="M595">
            <v>0</v>
          </cell>
          <cell r="N595">
            <v>0</v>
          </cell>
          <cell r="O595">
            <v>0</v>
          </cell>
          <cell r="P595">
            <v>0</v>
          </cell>
          <cell r="Q595">
            <v>0</v>
          </cell>
          <cell r="R595">
            <v>0</v>
          </cell>
        </row>
        <row r="596">
          <cell r="A596" t="str">
            <v>07.09.03.01.01</v>
          </cell>
          <cell r="B596" t="str">
            <v>CONCRETO EN COLUMNAS F'C=210 KG/CM2</v>
          </cell>
          <cell r="C596" t="str">
            <v>m3</v>
          </cell>
          <cell r="D596">
            <v>2.15</v>
          </cell>
          <cell r="E596">
            <v>521.12</v>
          </cell>
          <cell r="F596">
            <v>1120.4079999999999</v>
          </cell>
          <cell r="G596">
            <v>0</v>
          </cell>
          <cell r="H596">
            <v>0</v>
          </cell>
          <cell r="I596" t="str">
            <v>0.00%</v>
          </cell>
          <cell r="J596">
            <v>0</v>
          </cell>
          <cell r="K596">
            <v>0</v>
          </cell>
          <cell r="L596" t="str">
            <v>0.00%</v>
          </cell>
          <cell r="M596">
            <v>0</v>
          </cell>
          <cell r="N596">
            <v>0</v>
          </cell>
          <cell r="O596" t="str">
            <v>0.00%</v>
          </cell>
          <cell r="P596">
            <v>2.15</v>
          </cell>
          <cell r="Q596">
            <v>1120.4079999999999</v>
          </cell>
          <cell r="R596">
            <v>1</v>
          </cell>
        </row>
        <row r="597">
          <cell r="A597" t="str">
            <v>07.09.03.01.02</v>
          </cell>
          <cell r="B597" t="str">
            <v>ACERO F'Y=4200 KG/CM2 GRADO 60 EN COLUMNAS</v>
          </cell>
          <cell r="C597" t="str">
            <v>kg</v>
          </cell>
          <cell r="D597">
            <v>370.55</v>
          </cell>
          <cell r="E597">
            <v>4.5</v>
          </cell>
          <cell r="F597">
            <v>1667.4750000000001</v>
          </cell>
          <cell r="G597">
            <v>0</v>
          </cell>
          <cell r="H597">
            <v>0</v>
          </cell>
          <cell r="I597" t="str">
            <v>0.00%</v>
          </cell>
          <cell r="J597">
            <v>228.03200000000004</v>
          </cell>
          <cell r="K597">
            <v>1026.1440000000002</v>
          </cell>
          <cell r="L597">
            <v>0.61538793685062754</v>
          </cell>
          <cell r="M597">
            <v>228.03200000000004</v>
          </cell>
          <cell r="N597">
            <v>1026.1440000000002</v>
          </cell>
          <cell r="O597">
            <v>0.61538793685062754</v>
          </cell>
          <cell r="P597">
            <v>142.51799999999997</v>
          </cell>
          <cell r="Q597">
            <v>641.3309999999999</v>
          </cell>
          <cell r="R597">
            <v>0.38461206314937246</v>
          </cell>
        </row>
        <row r="598">
          <cell r="A598" t="str">
            <v>07.09.03.01.03</v>
          </cell>
          <cell r="B598" t="str">
            <v>ENCOFRADO Y DESENCOFRADO NORMAL EN COLUMNAS</v>
          </cell>
          <cell r="C598" t="str">
            <v>m2</v>
          </cell>
          <cell r="D598">
            <v>35.75</v>
          </cell>
          <cell r="E598">
            <v>49.71</v>
          </cell>
          <cell r="F598">
            <v>1777.1324999999999</v>
          </cell>
          <cell r="G598">
            <v>0</v>
          </cell>
          <cell r="H598">
            <v>0</v>
          </cell>
          <cell r="I598" t="str">
            <v>0.00%</v>
          </cell>
          <cell r="J598">
            <v>0</v>
          </cell>
          <cell r="K598">
            <v>0</v>
          </cell>
          <cell r="L598" t="str">
            <v>0.00%</v>
          </cell>
          <cell r="M598">
            <v>0</v>
          </cell>
          <cell r="N598">
            <v>0</v>
          </cell>
          <cell r="O598" t="str">
            <v>0.00%</v>
          </cell>
          <cell r="P598">
            <v>35.75</v>
          </cell>
          <cell r="Q598">
            <v>1777.1324999999999</v>
          </cell>
          <cell r="R598">
            <v>1</v>
          </cell>
        </row>
        <row r="599">
          <cell r="A599" t="str">
            <v>07.09.03.02</v>
          </cell>
          <cell r="B599" t="str">
            <v>VIGAS DE CORONACION</v>
          </cell>
          <cell r="C599">
            <v>0</v>
          </cell>
          <cell r="D599">
            <v>0</v>
          </cell>
          <cell r="E599">
            <v>0</v>
          </cell>
          <cell r="F599">
            <v>0</v>
          </cell>
          <cell r="G599">
            <v>0</v>
          </cell>
          <cell r="H599">
            <v>0</v>
          </cell>
          <cell r="I599">
            <v>0</v>
          </cell>
          <cell r="J599">
            <v>0</v>
          </cell>
          <cell r="K599">
            <v>0</v>
          </cell>
          <cell r="L599">
            <v>0</v>
          </cell>
          <cell r="M599">
            <v>0</v>
          </cell>
          <cell r="N599">
            <v>0</v>
          </cell>
          <cell r="O599">
            <v>0</v>
          </cell>
          <cell r="P599">
            <v>0</v>
          </cell>
          <cell r="Q599">
            <v>0</v>
          </cell>
          <cell r="R599">
            <v>0</v>
          </cell>
        </row>
        <row r="600">
          <cell r="A600" t="str">
            <v>07.09.03.02.01</v>
          </cell>
          <cell r="B600" t="str">
            <v>CONCRETO EN VIGAS F'C=210 KG/CM2</v>
          </cell>
          <cell r="C600" t="str">
            <v>m3</v>
          </cell>
          <cell r="D600">
            <v>10</v>
          </cell>
          <cell r="E600">
            <v>486.07</v>
          </cell>
          <cell r="F600">
            <v>4860.7</v>
          </cell>
          <cell r="G600">
            <v>0</v>
          </cell>
          <cell r="H600">
            <v>0</v>
          </cell>
          <cell r="I600" t="str">
            <v>0.00%</v>
          </cell>
          <cell r="J600">
            <v>0</v>
          </cell>
          <cell r="K600">
            <v>0</v>
          </cell>
          <cell r="L600" t="str">
            <v>0.00%</v>
          </cell>
          <cell r="M600">
            <v>0</v>
          </cell>
          <cell r="N600">
            <v>0</v>
          </cell>
          <cell r="O600" t="str">
            <v>0.00%</v>
          </cell>
          <cell r="P600">
            <v>10</v>
          </cell>
          <cell r="Q600">
            <v>4860.7</v>
          </cell>
          <cell r="R600">
            <v>1</v>
          </cell>
        </row>
        <row r="601">
          <cell r="A601" t="str">
            <v>07.09.03.02.02</v>
          </cell>
          <cell r="B601" t="str">
            <v>ACERO F'Y=4200 KG/CM2 GRADO 60 EN VIGAS</v>
          </cell>
          <cell r="C601" t="str">
            <v>kg</v>
          </cell>
          <cell r="D601">
            <v>961.7</v>
          </cell>
          <cell r="E601">
            <v>4.5</v>
          </cell>
          <cell r="F601">
            <v>4327.6500000000005</v>
          </cell>
          <cell r="G601">
            <v>0</v>
          </cell>
          <cell r="H601">
            <v>0</v>
          </cell>
          <cell r="I601" t="str">
            <v>0.00%</v>
          </cell>
          <cell r="J601">
            <v>0</v>
          </cell>
          <cell r="K601">
            <v>0</v>
          </cell>
          <cell r="L601" t="str">
            <v>0.00%</v>
          </cell>
          <cell r="M601">
            <v>0</v>
          </cell>
          <cell r="N601">
            <v>0</v>
          </cell>
          <cell r="O601" t="str">
            <v>0.00%</v>
          </cell>
          <cell r="P601">
            <v>961.7</v>
          </cell>
          <cell r="Q601">
            <v>4327.6500000000005</v>
          </cell>
          <cell r="R601">
            <v>1</v>
          </cell>
        </row>
        <row r="602">
          <cell r="A602" t="str">
            <v>07.09.03.02.03</v>
          </cell>
          <cell r="B602" t="str">
            <v>ENCOFRADO Y DESNCOFRADO NORMAL EN VIGAS</v>
          </cell>
          <cell r="C602" t="str">
            <v>m2</v>
          </cell>
          <cell r="D602">
            <v>81.72</v>
          </cell>
          <cell r="E602">
            <v>54.02</v>
          </cell>
          <cell r="F602">
            <v>4414.5144</v>
          </cell>
          <cell r="G602">
            <v>0</v>
          </cell>
          <cell r="H602">
            <v>0</v>
          </cell>
          <cell r="I602" t="str">
            <v>0.00%</v>
          </cell>
          <cell r="J602">
            <v>0</v>
          </cell>
          <cell r="K602">
            <v>0</v>
          </cell>
          <cell r="L602" t="str">
            <v>0.00%</v>
          </cell>
          <cell r="M602">
            <v>0</v>
          </cell>
          <cell r="N602">
            <v>0</v>
          </cell>
          <cell r="O602" t="str">
            <v>0.00%</v>
          </cell>
          <cell r="P602">
            <v>81.72</v>
          </cell>
          <cell r="Q602">
            <v>4414.5144</v>
          </cell>
          <cell r="R602">
            <v>1</v>
          </cell>
        </row>
        <row r="603">
          <cell r="A603" t="str">
            <v>07.09.03.03</v>
          </cell>
          <cell r="B603" t="str">
            <v>VENTANAS GEOMETRICAS</v>
          </cell>
          <cell r="C603">
            <v>0</v>
          </cell>
          <cell r="D603">
            <v>0</v>
          </cell>
          <cell r="E603">
            <v>0</v>
          </cell>
          <cell r="F603">
            <v>0</v>
          </cell>
          <cell r="G603">
            <v>0</v>
          </cell>
          <cell r="H603">
            <v>0</v>
          </cell>
          <cell r="I603">
            <v>0</v>
          </cell>
          <cell r="J603">
            <v>0</v>
          </cell>
          <cell r="K603">
            <v>0</v>
          </cell>
          <cell r="L603">
            <v>0</v>
          </cell>
          <cell r="M603">
            <v>0</v>
          </cell>
          <cell r="N603">
            <v>0</v>
          </cell>
          <cell r="O603">
            <v>0</v>
          </cell>
          <cell r="P603">
            <v>0</v>
          </cell>
          <cell r="Q603">
            <v>0</v>
          </cell>
          <cell r="R603">
            <v>0</v>
          </cell>
        </row>
        <row r="604">
          <cell r="A604" t="str">
            <v>07.09.03.03.01</v>
          </cell>
          <cell r="B604" t="str">
            <v>CONCRETO FC=175 KG/CM2 EN VENTANAS GEOMETRICAS</v>
          </cell>
          <cell r="C604" t="str">
            <v>m3</v>
          </cell>
          <cell r="D604">
            <v>2.0099999999999998</v>
          </cell>
          <cell r="E604">
            <v>459.39</v>
          </cell>
          <cell r="F604">
            <v>923.37389999999982</v>
          </cell>
          <cell r="G604">
            <v>0</v>
          </cell>
          <cell r="H604">
            <v>0</v>
          </cell>
          <cell r="I604" t="str">
            <v>0.00%</v>
          </cell>
          <cell r="J604">
            <v>0</v>
          </cell>
          <cell r="K604">
            <v>0</v>
          </cell>
          <cell r="L604" t="str">
            <v>0.00%</v>
          </cell>
          <cell r="M604">
            <v>0</v>
          </cell>
          <cell r="N604">
            <v>0</v>
          </cell>
          <cell r="O604" t="str">
            <v>0.00%</v>
          </cell>
          <cell r="P604">
            <v>2.0099999999999998</v>
          </cell>
          <cell r="Q604">
            <v>923.37389999999982</v>
          </cell>
          <cell r="R604">
            <v>1</v>
          </cell>
        </row>
        <row r="605">
          <cell r="A605" t="str">
            <v>07.09.03.03.02</v>
          </cell>
          <cell r="B605" t="str">
            <v>ACERO F'Y=4200 KG/CM2 GRADO 60 EN VENTANAS GEOMETRICAS</v>
          </cell>
          <cell r="C605" t="str">
            <v>kg</v>
          </cell>
          <cell r="D605">
            <v>132.03</v>
          </cell>
          <cell r="E605">
            <v>4.5</v>
          </cell>
          <cell r="F605">
            <v>594.13499999999999</v>
          </cell>
          <cell r="G605">
            <v>0</v>
          </cell>
          <cell r="H605">
            <v>0</v>
          </cell>
          <cell r="I605" t="str">
            <v>0.00%</v>
          </cell>
          <cell r="J605">
            <v>0</v>
          </cell>
          <cell r="K605">
            <v>0</v>
          </cell>
          <cell r="L605" t="str">
            <v>0.00%</v>
          </cell>
          <cell r="M605">
            <v>0</v>
          </cell>
          <cell r="N605">
            <v>0</v>
          </cell>
          <cell r="O605" t="str">
            <v>0.00%</v>
          </cell>
          <cell r="P605">
            <v>132.03</v>
          </cell>
          <cell r="Q605">
            <v>594.13499999999999</v>
          </cell>
          <cell r="R605">
            <v>1</v>
          </cell>
        </row>
        <row r="606">
          <cell r="A606" t="str">
            <v>07.09.03.03.03</v>
          </cell>
          <cell r="B606" t="str">
            <v>ENCOFRADO Y DESENCOFRADO EN VENTANAS GEOMETRICAS</v>
          </cell>
          <cell r="C606" t="str">
            <v>m2</v>
          </cell>
          <cell r="D606">
            <v>51.75</v>
          </cell>
          <cell r="E606">
            <v>38.409999999999997</v>
          </cell>
          <cell r="F606">
            <v>1987.7174999999997</v>
          </cell>
          <cell r="G606">
            <v>0</v>
          </cell>
          <cell r="H606">
            <v>0</v>
          </cell>
          <cell r="I606" t="str">
            <v>0.00%</v>
          </cell>
          <cell r="J606">
            <v>0</v>
          </cell>
          <cell r="K606">
            <v>0</v>
          </cell>
          <cell r="L606" t="str">
            <v>0.00%</v>
          </cell>
          <cell r="M606">
            <v>0</v>
          </cell>
          <cell r="N606">
            <v>0</v>
          </cell>
          <cell r="O606" t="str">
            <v>0.00%</v>
          </cell>
          <cell r="P606">
            <v>51.75</v>
          </cell>
          <cell r="Q606">
            <v>1987.7174999999997</v>
          </cell>
          <cell r="R606">
            <v>1</v>
          </cell>
        </row>
        <row r="607">
          <cell r="A607" t="str">
            <v>07.09.04</v>
          </cell>
          <cell r="B607" t="str">
            <v>JUNTAS DE CONSTRUCCION</v>
          </cell>
          <cell r="C607">
            <v>0</v>
          </cell>
          <cell r="D607">
            <v>0</v>
          </cell>
          <cell r="E607">
            <v>0</v>
          </cell>
          <cell r="F607">
            <v>0</v>
          </cell>
          <cell r="G607">
            <v>0</v>
          </cell>
          <cell r="H607">
            <v>0</v>
          </cell>
          <cell r="I607">
            <v>0</v>
          </cell>
          <cell r="J607">
            <v>0</v>
          </cell>
          <cell r="K607">
            <v>0</v>
          </cell>
          <cell r="L607">
            <v>0</v>
          </cell>
          <cell r="M607">
            <v>0</v>
          </cell>
          <cell r="N607">
            <v>0</v>
          </cell>
          <cell r="O607">
            <v>0</v>
          </cell>
          <cell r="P607">
            <v>0</v>
          </cell>
          <cell r="Q607">
            <v>0</v>
          </cell>
          <cell r="R607">
            <v>0</v>
          </cell>
        </row>
        <row r="608">
          <cell r="A608" t="str">
            <v>07.09.04.01</v>
          </cell>
          <cell r="B608" t="str">
            <v>JUNTAS DE TEKNOPOR DE  1"</v>
          </cell>
          <cell r="C608" t="str">
            <v>m</v>
          </cell>
          <cell r="D608">
            <v>9.6</v>
          </cell>
          <cell r="E608">
            <v>9.0500000000000007</v>
          </cell>
          <cell r="F608">
            <v>86.88000000000001</v>
          </cell>
          <cell r="G608">
            <v>0</v>
          </cell>
          <cell r="H608">
            <v>0</v>
          </cell>
          <cell r="I608" t="str">
            <v>0.00%</v>
          </cell>
          <cell r="J608">
            <v>0</v>
          </cell>
          <cell r="K608">
            <v>0</v>
          </cell>
          <cell r="L608" t="str">
            <v>0.00%</v>
          </cell>
          <cell r="M608">
            <v>0</v>
          </cell>
          <cell r="N608">
            <v>0</v>
          </cell>
          <cell r="O608" t="str">
            <v>0.00%</v>
          </cell>
          <cell r="P608">
            <v>9.6</v>
          </cell>
          <cell r="Q608">
            <v>86.88000000000001</v>
          </cell>
          <cell r="R608">
            <v>1</v>
          </cell>
        </row>
        <row r="609">
          <cell r="A609" t="str">
            <v>07.09.05</v>
          </cell>
          <cell r="B609" t="str">
            <v>PRUEBAS</v>
          </cell>
          <cell r="C609">
            <v>0</v>
          </cell>
          <cell r="D609">
            <v>0</v>
          </cell>
          <cell r="E609">
            <v>0</v>
          </cell>
          <cell r="F609">
            <v>0</v>
          </cell>
          <cell r="G609">
            <v>0</v>
          </cell>
          <cell r="H609">
            <v>0</v>
          </cell>
          <cell r="I609">
            <v>0</v>
          </cell>
          <cell r="J609">
            <v>0</v>
          </cell>
          <cell r="K609">
            <v>0</v>
          </cell>
          <cell r="L609">
            <v>0</v>
          </cell>
          <cell r="M609">
            <v>0</v>
          </cell>
          <cell r="N609">
            <v>0</v>
          </cell>
          <cell r="O609">
            <v>0</v>
          </cell>
          <cell r="P609">
            <v>0</v>
          </cell>
          <cell r="Q609">
            <v>0</v>
          </cell>
          <cell r="R609">
            <v>0</v>
          </cell>
        </row>
        <row r="610">
          <cell r="A610" t="str">
            <v>07.09.05.01</v>
          </cell>
          <cell r="B610" t="str">
            <v>PRUEBA DE CALIDAD DEL CONCRETO (PRUEBA A LA COMPRESION)</v>
          </cell>
          <cell r="C610" t="str">
            <v>und</v>
          </cell>
          <cell r="D610">
            <v>4</v>
          </cell>
          <cell r="E610">
            <v>40</v>
          </cell>
          <cell r="F610">
            <v>160</v>
          </cell>
          <cell r="G610">
            <v>0</v>
          </cell>
          <cell r="H610">
            <v>0</v>
          </cell>
          <cell r="I610" t="str">
            <v>0.00%</v>
          </cell>
          <cell r="J610">
            <v>0</v>
          </cell>
          <cell r="K610">
            <v>0</v>
          </cell>
          <cell r="L610" t="str">
            <v>0.00%</v>
          </cell>
          <cell r="M610">
            <v>0</v>
          </cell>
          <cell r="N610">
            <v>0</v>
          </cell>
          <cell r="O610" t="str">
            <v>0.00%</v>
          </cell>
          <cell r="P610">
            <v>4</v>
          </cell>
          <cell r="Q610">
            <v>160</v>
          </cell>
          <cell r="R610">
            <v>1</v>
          </cell>
        </row>
        <row r="611">
          <cell r="A611">
            <v>0</v>
          </cell>
          <cell r="B611">
            <v>0</v>
          </cell>
          <cell r="C611">
            <v>0</v>
          </cell>
          <cell r="D611">
            <v>0</v>
          </cell>
          <cell r="E611">
            <v>0</v>
          </cell>
          <cell r="F611">
            <v>0</v>
          </cell>
          <cell r="G611">
            <v>0</v>
          </cell>
          <cell r="H611">
            <v>0</v>
          </cell>
          <cell r="I611">
            <v>0</v>
          </cell>
          <cell r="J611">
            <v>0</v>
          </cell>
          <cell r="K611">
            <v>0</v>
          </cell>
          <cell r="L611">
            <v>0</v>
          </cell>
          <cell r="M611">
            <v>0</v>
          </cell>
          <cell r="N611">
            <v>0</v>
          </cell>
          <cell r="O611">
            <v>0</v>
          </cell>
          <cell r="P611">
            <v>0</v>
          </cell>
          <cell r="Q611">
            <v>0</v>
          </cell>
          <cell r="R611">
            <v>0</v>
          </cell>
        </row>
        <row r="612">
          <cell r="A612">
            <v>0</v>
          </cell>
          <cell r="B612" t="str">
            <v>COSTO ESTRUCTURAS</v>
          </cell>
          <cell r="C612">
            <v>0</v>
          </cell>
          <cell r="D612">
            <v>0</v>
          </cell>
          <cell r="E612">
            <v>0</v>
          </cell>
          <cell r="F612">
            <v>0</v>
          </cell>
          <cell r="G612">
            <v>0</v>
          </cell>
          <cell r="H612">
            <v>0</v>
          </cell>
          <cell r="I612">
            <v>0</v>
          </cell>
          <cell r="J612">
            <v>0</v>
          </cell>
          <cell r="K612">
            <v>0</v>
          </cell>
          <cell r="L612">
            <v>0</v>
          </cell>
          <cell r="M612">
            <v>0</v>
          </cell>
          <cell r="N612">
            <v>0</v>
          </cell>
          <cell r="O612">
            <v>0</v>
          </cell>
          <cell r="P612">
            <v>0</v>
          </cell>
          <cell r="Q612">
            <v>0</v>
          </cell>
          <cell r="R612">
            <v>0</v>
          </cell>
        </row>
        <row r="613">
          <cell r="A613">
            <v>0</v>
          </cell>
          <cell r="B613">
            <v>0</v>
          </cell>
          <cell r="C613">
            <v>0</v>
          </cell>
          <cell r="D613">
            <v>0</v>
          </cell>
          <cell r="E613">
            <v>0</v>
          </cell>
          <cell r="F613">
            <v>0</v>
          </cell>
          <cell r="G613">
            <v>0</v>
          </cell>
          <cell r="H613">
            <v>0</v>
          </cell>
          <cell r="I613">
            <v>0</v>
          </cell>
          <cell r="J613">
            <v>0</v>
          </cell>
          <cell r="K613">
            <v>0</v>
          </cell>
          <cell r="L613">
            <v>0</v>
          </cell>
          <cell r="M613">
            <v>0</v>
          </cell>
          <cell r="N613">
            <v>0</v>
          </cell>
          <cell r="O613">
            <v>0</v>
          </cell>
          <cell r="P613">
            <v>0</v>
          </cell>
          <cell r="Q613">
            <v>0</v>
          </cell>
          <cell r="R613">
            <v>0</v>
          </cell>
        </row>
        <row r="614">
          <cell r="A614">
            <v>0</v>
          </cell>
          <cell r="B614" t="str">
            <v>COSTO DIRECTO</v>
          </cell>
          <cell r="C614">
            <v>0</v>
          </cell>
          <cell r="D614">
            <v>0</v>
          </cell>
          <cell r="E614">
            <v>0</v>
          </cell>
          <cell r="F614">
            <v>1609460.5071200007</v>
          </cell>
          <cell r="G614">
            <v>0</v>
          </cell>
          <cell r="H614">
            <v>913412.29336130049</v>
          </cell>
          <cell r="I614">
            <v>0.56752700008512658</v>
          </cell>
          <cell r="J614">
            <v>0</v>
          </cell>
          <cell r="K614">
            <v>197342.74778107999</v>
          </cell>
          <cell r="L614">
            <v>0.12261422191353354</v>
          </cell>
          <cell r="M614">
            <v>0</v>
          </cell>
          <cell r="N614">
            <v>1110755.0411423806</v>
          </cell>
          <cell r="O614">
            <v>0.69014122199866013</v>
          </cell>
          <cell r="P614">
            <v>0</v>
          </cell>
          <cell r="Q614">
            <v>498705.46597762004</v>
          </cell>
          <cell r="R614">
            <v>0.30985877800133976</v>
          </cell>
        </row>
        <row r="615">
          <cell r="A615">
            <v>0</v>
          </cell>
          <cell r="B615" t="str">
            <v xml:space="preserve">GASTOS GENERALES   </v>
          </cell>
          <cell r="C615">
            <v>0</v>
          </cell>
          <cell r="D615">
            <v>0.1087</v>
          </cell>
          <cell r="E615">
            <v>0</v>
          </cell>
          <cell r="F615">
            <v>174948.35712394409</v>
          </cell>
          <cell r="G615">
            <v>0</v>
          </cell>
          <cell r="H615">
            <v>99287.916288373366</v>
          </cell>
          <cell r="I615">
            <v>0.56752700008512658</v>
          </cell>
          <cell r="J615">
            <v>0</v>
          </cell>
          <cell r="K615">
            <v>21451.156683803394</v>
          </cell>
          <cell r="L615">
            <v>0.12261422191353352</v>
          </cell>
          <cell r="M615">
            <v>0</v>
          </cell>
          <cell r="N615">
            <v>120739.07297217677</v>
          </cell>
          <cell r="O615">
            <v>0.69014122199866013</v>
          </cell>
          <cell r="P615">
            <v>0</v>
          </cell>
          <cell r="Q615">
            <v>54209.284151767301</v>
          </cell>
          <cell r="R615">
            <v>0.30985877800133976</v>
          </cell>
        </row>
        <row r="616">
          <cell r="A616">
            <v>0</v>
          </cell>
          <cell r="B616" t="str">
            <v xml:space="preserve">GASTOS DE SUPERVISION    </v>
          </cell>
          <cell r="C616">
            <v>0</v>
          </cell>
          <cell r="D616">
            <v>4.4999999999999998E-2</v>
          </cell>
          <cell r="E616">
            <v>0</v>
          </cell>
          <cell r="F616">
            <v>72425.722820400028</v>
          </cell>
          <cell r="G616">
            <v>0</v>
          </cell>
          <cell r="H616">
            <v>41103.553201258517</v>
          </cell>
          <cell r="I616">
            <v>0.56752700008512658</v>
          </cell>
          <cell r="J616">
            <v>0</v>
          </cell>
          <cell r="K616">
            <v>8880.4236501485993</v>
          </cell>
          <cell r="L616">
            <v>0.12261422191353354</v>
          </cell>
          <cell r="M616">
            <v>0</v>
          </cell>
          <cell r="N616">
            <v>49983.976851407126</v>
          </cell>
          <cell r="O616">
            <v>0.69014122199866024</v>
          </cell>
          <cell r="P616">
            <v>0</v>
          </cell>
          <cell r="Q616">
            <v>22441.745968992902</v>
          </cell>
          <cell r="R616">
            <v>0.30985877800133982</v>
          </cell>
        </row>
        <row r="617">
          <cell r="A617">
            <v>0</v>
          </cell>
          <cell r="B617">
            <v>0</v>
          </cell>
          <cell r="C617">
            <v>0</v>
          </cell>
          <cell r="D617">
            <v>0</v>
          </cell>
          <cell r="E617">
            <v>0</v>
          </cell>
          <cell r="F617">
            <v>0</v>
          </cell>
          <cell r="G617">
            <v>0</v>
          </cell>
          <cell r="H617">
            <v>0</v>
          </cell>
          <cell r="I617">
            <v>0</v>
          </cell>
          <cell r="J617">
            <v>0</v>
          </cell>
          <cell r="K617">
            <v>0</v>
          </cell>
          <cell r="L617">
            <v>0</v>
          </cell>
          <cell r="M617">
            <v>0</v>
          </cell>
          <cell r="N617">
            <v>0</v>
          </cell>
          <cell r="O617">
            <v>0</v>
          </cell>
          <cell r="P617">
            <v>0</v>
          </cell>
          <cell r="Q617">
            <v>0</v>
          </cell>
          <cell r="R617">
            <v>0</v>
          </cell>
        </row>
        <row r="618">
          <cell r="A618">
            <v>0</v>
          </cell>
          <cell r="B618" t="str">
            <v>SUB TOTAL</v>
          </cell>
          <cell r="C618">
            <v>0</v>
          </cell>
          <cell r="D618">
            <v>0</v>
          </cell>
          <cell r="E618">
            <v>0</v>
          </cell>
          <cell r="F618">
            <v>1856834.5870643447</v>
          </cell>
          <cell r="G618">
            <v>0</v>
          </cell>
          <cell r="H618">
            <v>1053803.7628509323</v>
          </cell>
          <cell r="I618">
            <v>0.56752700008512658</v>
          </cell>
          <cell r="J618">
            <v>0</v>
          </cell>
          <cell r="K618">
            <v>227674.32811503197</v>
          </cell>
          <cell r="L618">
            <v>0.12261422191353354</v>
          </cell>
          <cell r="M618">
            <v>0</v>
          </cell>
          <cell r="N618">
            <v>1281478.0909659646</v>
          </cell>
          <cell r="O618">
            <v>0.69014122199866024</v>
          </cell>
          <cell r="P618">
            <v>0</v>
          </cell>
          <cell r="Q618">
            <v>575356.4960983803</v>
          </cell>
          <cell r="R618">
            <v>0.30985877800133982</v>
          </cell>
        </row>
        <row r="619">
          <cell r="A619">
            <v>0</v>
          </cell>
          <cell r="B619">
            <v>0</v>
          </cell>
          <cell r="C619">
            <v>0</v>
          </cell>
          <cell r="D619">
            <v>0</v>
          </cell>
          <cell r="E619">
            <v>0</v>
          </cell>
          <cell r="F619">
            <v>0</v>
          </cell>
          <cell r="G619">
            <v>0</v>
          </cell>
          <cell r="H619">
            <v>0</v>
          </cell>
          <cell r="I619">
            <v>0</v>
          </cell>
          <cell r="J619">
            <v>0</v>
          </cell>
          <cell r="K619">
            <v>0</v>
          </cell>
          <cell r="L619">
            <v>0</v>
          </cell>
          <cell r="M619">
            <v>0</v>
          </cell>
          <cell r="N619">
            <v>0</v>
          </cell>
          <cell r="O619">
            <v>0</v>
          </cell>
          <cell r="P619">
            <v>0</v>
          </cell>
          <cell r="Q619">
            <v>0</v>
          </cell>
          <cell r="R619">
            <v>0</v>
          </cell>
        </row>
        <row r="620">
          <cell r="A620">
            <v>0</v>
          </cell>
          <cell r="B620" t="str">
            <v>SUB PRESUPUESTO 003 ARQUITECTURA</v>
          </cell>
          <cell r="C620">
            <v>0</v>
          </cell>
          <cell r="D620">
            <v>0</v>
          </cell>
          <cell r="E620">
            <v>0</v>
          </cell>
          <cell r="F620">
            <v>0</v>
          </cell>
          <cell r="G620">
            <v>0</v>
          </cell>
          <cell r="H620">
            <v>0</v>
          </cell>
          <cell r="I620">
            <v>0</v>
          </cell>
          <cell r="J620">
            <v>0</v>
          </cell>
          <cell r="K620">
            <v>0</v>
          </cell>
          <cell r="L620">
            <v>0</v>
          </cell>
          <cell r="M620">
            <v>0</v>
          </cell>
          <cell r="N620">
            <v>0</v>
          </cell>
          <cell r="O620">
            <v>0</v>
          </cell>
          <cell r="P620">
            <v>0</v>
          </cell>
          <cell r="Q620">
            <v>0</v>
          </cell>
          <cell r="R620">
            <v>0</v>
          </cell>
        </row>
        <row r="621">
          <cell r="A621" t="str">
            <v>08</v>
          </cell>
          <cell r="B621" t="str">
            <v>BLOQUE - 1</v>
          </cell>
          <cell r="C621">
            <v>0</v>
          </cell>
          <cell r="D621">
            <v>0</v>
          </cell>
          <cell r="E621">
            <v>0</v>
          </cell>
          <cell r="F621">
            <v>0</v>
          </cell>
          <cell r="G621">
            <v>0</v>
          </cell>
          <cell r="H621">
            <v>0</v>
          </cell>
          <cell r="I621">
            <v>0</v>
          </cell>
          <cell r="J621">
            <v>0</v>
          </cell>
          <cell r="K621">
            <v>0</v>
          </cell>
          <cell r="L621">
            <v>0</v>
          </cell>
          <cell r="M621">
            <v>0</v>
          </cell>
          <cell r="N621">
            <v>0</v>
          </cell>
          <cell r="O621">
            <v>0</v>
          </cell>
          <cell r="P621">
            <v>0</v>
          </cell>
          <cell r="Q621">
            <v>0</v>
          </cell>
          <cell r="R621">
            <v>0</v>
          </cell>
        </row>
        <row r="622">
          <cell r="A622" t="str">
            <v>08.01</v>
          </cell>
          <cell r="B622" t="str">
            <v>MUROS Y TABIQUES</v>
          </cell>
          <cell r="C622">
            <v>0</v>
          </cell>
          <cell r="D622">
            <v>0</v>
          </cell>
          <cell r="E622">
            <v>0</v>
          </cell>
          <cell r="F622">
            <v>0</v>
          </cell>
          <cell r="G622">
            <v>0</v>
          </cell>
          <cell r="H622">
            <v>0</v>
          </cell>
          <cell r="I622">
            <v>0</v>
          </cell>
          <cell r="J622">
            <v>0</v>
          </cell>
          <cell r="K622">
            <v>0</v>
          </cell>
          <cell r="L622">
            <v>0</v>
          </cell>
          <cell r="M622">
            <v>0</v>
          </cell>
          <cell r="N622">
            <v>0</v>
          </cell>
          <cell r="O622">
            <v>0</v>
          </cell>
          <cell r="P622">
            <v>0</v>
          </cell>
          <cell r="Q622">
            <v>0</v>
          </cell>
          <cell r="R622">
            <v>0</v>
          </cell>
        </row>
        <row r="623">
          <cell r="A623" t="str">
            <v>08.01.01</v>
          </cell>
          <cell r="B623" t="str">
            <v>MURO DE CABEZA LADRILLO KIN-KONG DE ARCILLA</v>
          </cell>
          <cell r="C623" t="str">
            <v>m2</v>
          </cell>
          <cell r="D623">
            <v>204.32</v>
          </cell>
          <cell r="E623">
            <v>151.13999999999999</v>
          </cell>
          <cell r="F623">
            <v>30880.924799999997</v>
          </cell>
          <cell r="G623">
            <v>204.32</v>
          </cell>
          <cell r="H623">
            <v>30880.924799999997</v>
          </cell>
          <cell r="I623">
            <v>1</v>
          </cell>
          <cell r="J623">
            <v>0</v>
          </cell>
          <cell r="K623">
            <v>0</v>
          </cell>
          <cell r="L623" t="str">
            <v>0.00%</v>
          </cell>
          <cell r="M623">
            <v>204.32</v>
          </cell>
          <cell r="N623">
            <v>30880.924799999997</v>
          </cell>
          <cell r="O623">
            <v>1</v>
          </cell>
          <cell r="P623">
            <v>0</v>
          </cell>
          <cell r="Q623">
            <v>0</v>
          </cell>
          <cell r="R623" t="str">
            <v>0.00%</v>
          </cell>
        </row>
        <row r="624">
          <cell r="A624" t="str">
            <v>08.01.02</v>
          </cell>
          <cell r="B624" t="str">
            <v>MURO DE SOGA LADRILLO KIN-KONG DE ARCILLA</v>
          </cell>
          <cell r="C624" t="str">
            <v>m2</v>
          </cell>
          <cell r="D624">
            <v>87.08</v>
          </cell>
          <cell r="E624">
            <v>99.24</v>
          </cell>
          <cell r="F624">
            <v>8641.8191999999999</v>
          </cell>
          <cell r="G624">
            <v>87.08</v>
          </cell>
          <cell r="H624">
            <v>8641.8191999999999</v>
          </cell>
          <cell r="I624">
            <v>1</v>
          </cell>
          <cell r="J624">
            <v>0</v>
          </cell>
          <cell r="K624">
            <v>0</v>
          </cell>
          <cell r="L624" t="str">
            <v>0.00%</v>
          </cell>
          <cell r="M624">
            <v>87.08</v>
          </cell>
          <cell r="N624">
            <v>8641.8191999999999</v>
          </cell>
          <cell r="O624">
            <v>1</v>
          </cell>
          <cell r="P624">
            <v>0</v>
          </cell>
          <cell r="Q624">
            <v>0</v>
          </cell>
          <cell r="R624" t="str">
            <v>0.00%</v>
          </cell>
        </row>
        <row r="625">
          <cell r="A625" t="str">
            <v>08.02</v>
          </cell>
          <cell r="B625" t="str">
            <v>REVOQUES ENLUCIDOS Y MOLDURAS</v>
          </cell>
          <cell r="C625">
            <v>0</v>
          </cell>
          <cell r="D625">
            <v>0</v>
          </cell>
          <cell r="E625">
            <v>0</v>
          </cell>
          <cell r="F625">
            <v>0</v>
          </cell>
          <cell r="G625">
            <v>0</v>
          </cell>
          <cell r="H625">
            <v>0</v>
          </cell>
          <cell r="I625">
            <v>0</v>
          </cell>
          <cell r="J625">
            <v>0</v>
          </cell>
          <cell r="K625">
            <v>0</v>
          </cell>
          <cell r="L625">
            <v>0</v>
          </cell>
          <cell r="M625">
            <v>0</v>
          </cell>
          <cell r="N625">
            <v>0</v>
          </cell>
          <cell r="O625">
            <v>0</v>
          </cell>
          <cell r="P625">
            <v>0</v>
          </cell>
          <cell r="Q625">
            <v>0</v>
          </cell>
          <cell r="R625">
            <v>0</v>
          </cell>
        </row>
        <row r="626">
          <cell r="A626" t="str">
            <v>08.02.01</v>
          </cell>
          <cell r="B626" t="str">
            <v>TARRAJEO EN MUROS INTERIORES MEZCLA 1:5 CEMENTO:ARENA</v>
          </cell>
          <cell r="C626" t="str">
            <v>m2</v>
          </cell>
          <cell r="D626">
            <v>410.83</v>
          </cell>
          <cell r="E626">
            <v>26.91</v>
          </cell>
          <cell r="F626">
            <v>11055.435299999999</v>
          </cell>
          <cell r="G626">
            <v>0</v>
          </cell>
          <cell r="H626">
            <v>0</v>
          </cell>
          <cell r="I626" t="str">
            <v>0.00%</v>
          </cell>
          <cell r="J626">
            <v>144.94080000000002</v>
          </cell>
          <cell r="K626">
            <v>3900.3569280000006</v>
          </cell>
          <cell r="L626">
            <v>0.35279994158167621</v>
          </cell>
          <cell r="M626">
            <v>144.94080000000002</v>
          </cell>
          <cell r="N626">
            <v>3900.3569280000006</v>
          </cell>
          <cell r="O626">
            <v>0.35279994158167621</v>
          </cell>
          <cell r="P626">
            <v>265.88919999999996</v>
          </cell>
          <cell r="Q626">
            <v>7155.0783719999981</v>
          </cell>
          <cell r="R626">
            <v>0.64720005841832373</v>
          </cell>
        </row>
        <row r="627">
          <cell r="A627" t="str">
            <v>08.02.02</v>
          </cell>
          <cell r="B627" t="str">
            <v>TARRAJEO EN MUROS EXTERIORES MEZCLA 1:5 CEMENTO:ARENA</v>
          </cell>
          <cell r="C627" t="str">
            <v>m2</v>
          </cell>
          <cell r="D627">
            <v>171.97</v>
          </cell>
          <cell r="E627">
            <v>33.57</v>
          </cell>
          <cell r="F627">
            <v>5773.0329000000002</v>
          </cell>
          <cell r="G627">
            <v>0</v>
          </cell>
          <cell r="H627">
            <v>0</v>
          </cell>
          <cell r="I627" t="str">
            <v>0.00%</v>
          </cell>
          <cell r="J627">
            <v>0</v>
          </cell>
          <cell r="K627">
            <v>0</v>
          </cell>
          <cell r="L627" t="str">
            <v>0.00%</v>
          </cell>
          <cell r="M627">
            <v>0</v>
          </cell>
          <cell r="N627">
            <v>0</v>
          </cell>
          <cell r="O627" t="str">
            <v>0.00%</v>
          </cell>
          <cell r="P627">
            <v>171.97</v>
          </cell>
          <cell r="Q627">
            <v>5773.0329000000002</v>
          </cell>
          <cell r="R627">
            <v>1</v>
          </cell>
        </row>
        <row r="628">
          <cell r="A628" t="str">
            <v>08.02.03</v>
          </cell>
          <cell r="B628" t="str">
            <v>TARRAJEO EN PESTAÑAS DE LAS VENTANAS</v>
          </cell>
          <cell r="C628" t="str">
            <v>m</v>
          </cell>
          <cell r="D628">
            <v>151.91999999999999</v>
          </cell>
          <cell r="E628">
            <v>18.16</v>
          </cell>
          <cell r="F628">
            <v>2758.8671999999997</v>
          </cell>
          <cell r="G628">
            <v>0</v>
          </cell>
          <cell r="H628">
            <v>0</v>
          </cell>
          <cell r="I628" t="str">
            <v>0.00%</v>
          </cell>
          <cell r="J628">
            <v>0</v>
          </cell>
          <cell r="K628">
            <v>0</v>
          </cell>
          <cell r="L628" t="str">
            <v>0.00%</v>
          </cell>
          <cell r="M628">
            <v>0</v>
          </cell>
          <cell r="N628">
            <v>0</v>
          </cell>
          <cell r="O628" t="str">
            <v>0.00%</v>
          </cell>
          <cell r="P628">
            <v>151.91999999999999</v>
          </cell>
          <cell r="Q628">
            <v>2758.8671999999997</v>
          </cell>
          <cell r="R628">
            <v>1</v>
          </cell>
        </row>
        <row r="629">
          <cell r="A629" t="str">
            <v>08.02.04</v>
          </cell>
          <cell r="B629" t="str">
            <v>TARRAJEO DE SUPERFICIE COLUMNAS INCL. ARISTAS MEZCLA 1:5 CEMENTO:ARENA</v>
          </cell>
          <cell r="C629" t="str">
            <v>m2</v>
          </cell>
          <cell r="D629">
            <v>241.31</v>
          </cell>
          <cell r="E629">
            <v>29.04</v>
          </cell>
          <cell r="F629">
            <v>7007.6423999999997</v>
          </cell>
          <cell r="G629">
            <v>0</v>
          </cell>
          <cell r="H629">
            <v>0</v>
          </cell>
          <cell r="I629" t="str">
            <v>0.00%</v>
          </cell>
          <cell r="J629">
            <v>109.77499999999999</v>
          </cell>
          <cell r="K629">
            <v>3187.8659999999995</v>
          </cell>
          <cell r="L629">
            <v>0.45491276780904227</v>
          </cell>
          <cell r="M629">
            <v>109.77499999999999</v>
          </cell>
          <cell r="N629">
            <v>3187.8659999999995</v>
          </cell>
          <cell r="O629">
            <v>0.45491276780904227</v>
          </cell>
          <cell r="P629">
            <v>131.53500000000003</v>
          </cell>
          <cell r="Q629">
            <v>3819.7764000000002</v>
          </cell>
          <cell r="R629">
            <v>0.54508723219095778</v>
          </cell>
        </row>
        <row r="630">
          <cell r="A630" t="str">
            <v>08.02.05</v>
          </cell>
          <cell r="B630" t="str">
            <v>TARRAJEO DE SUPERF.VIGAS INCL.ARISTAS, MEZCLA 1:5 CEMENTO:ARENA</v>
          </cell>
          <cell r="C630" t="str">
            <v>m2</v>
          </cell>
          <cell r="D630">
            <v>199.51</v>
          </cell>
          <cell r="E630">
            <v>34.25</v>
          </cell>
          <cell r="F630">
            <v>6833.2174999999997</v>
          </cell>
          <cell r="G630">
            <v>0</v>
          </cell>
          <cell r="H630">
            <v>0</v>
          </cell>
          <cell r="I630" t="str">
            <v>0.00%</v>
          </cell>
          <cell r="J630">
            <v>99.366000000000028</v>
          </cell>
          <cell r="K630">
            <v>3403.2855000000009</v>
          </cell>
          <cell r="L630">
            <v>0.49805022304646396</v>
          </cell>
          <cell r="M630">
            <v>99.366000000000028</v>
          </cell>
          <cell r="N630">
            <v>3403.2855000000009</v>
          </cell>
          <cell r="O630">
            <v>0.49805022304646396</v>
          </cell>
          <cell r="P630">
            <v>100.14399999999996</v>
          </cell>
          <cell r="Q630">
            <v>3429.9319999999989</v>
          </cell>
          <cell r="R630">
            <v>0.50194977695353604</v>
          </cell>
        </row>
        <row r="631">
          <cell r="A631" t="str">
            <v>08.02.06</v>
          </cell>
          <cell r="B631" t="str">
            <v>TARRAJEO CON IMPERMEABILIZANTE EN COBERTURAS</v>
          </cell>
          <cell r="C631" t="str">
            <v>m2</v>
          </cell>
          <cell r="D631">
            <v>184.76</v>
          </cell>
          <cell r="E631">
            <v>60.76</v>
          </cell>
          <cell r="F631">
            <v>11226.017599999999</v>
          </cell>
          <cell r="G631">
            <v>0</v>
          </cell>
          <cell r="H631">
            <v>0</v>
          </cell>
          <cell r="I631" t="str">
            <v>0.00%</v>
          </cell>
          <cell r="J631">
            <v>0</v>
          </cell>
          <cell r="K631">
            <v>0</v>
          </cell>
          <cell r="L631" t="str">
            <v>0.00%</v>
          </cell>
          <cell r="M631">
            <v>0</v>
          </cell>
          <cell r="N631">
            <v>0</v>
          </cell>
          <cell r="O631" t="str">
            <v>0.00%</v>
          </cell>
          <cell r="P631">
            <v>184.76</v>
          </cell>
          <cell r="Q631">
            <v>11226.017599999999</v>
          </cell>
          <cell r="R631">
            <v>1</v>
          </cell>
        </row>
        <row r="632">
          <cell r="A632" t="str">
            <v>08.02.07</v>
          </cell>
          <cell r="B632" t="str">
            <v>TARRAJEO EN CUNETA DE EVACUACION PLUVIAL EXTERIOR - TECHO</v>
          </cell>
          <cell r="C632" t="str">
            <v>m2</v>
          </cell>
          <cell r="D632">
            <v>57.3</v>
          </cell>
          <cell r="E632">
            <v>39.65</v>
          </cell>
          <cell r="F632">
            <v>2271.9449999999997</v>
          </cell>
          <cell r="G632">
            <v>0</v>
          </cell>
          <cell r="H632">
            <v>0</v>
          </cell>
          <cell r="I632" t="str">
            <v>0.00%</v>
          </cell>
          <cell r="J632">
            <v>0</v>
          </cell>
          <cell r="K632">
            <v>0</v>
          </cell>
          <cell r="L632" t="str">
            <v>0.00%</v>
          </cell>
          <cell r="M632">
            <v>0</v>
          </cell>
          <cell r="N632">
            <v>0</v>
          </cell>
          <cell r="O632" t="str">
            <v>0.00%</v>
          </cell>
          <cell r="P632">
            <v>57.3</v>
          </cell>
          <cell r="Q632">
            <v>2271.9449999999997</v>
          </cell>
          <cell r="R632">
            <v>1</v>
          </cell>
        </row>
        <row r="633">
          <cell r="A633" t="str">
            <v>08.02.08</v>
          </cell>
          <cell r="B633" t="str">
            <v>TARRAJEO CON IMPERMEABILIZANTE EN  CUNETA INTERIOR - TECHO</v>
          </cell>
          <cell r="C633" t="str">
            <v>m2</v>
          </cell>
          <cell r="D633">
            <v>39.520000000000003</v>
          </cell>
          <cell r="E633">
            <v>42.36</v>
          </cell>
          <cell r="F633">
            <v>1674.0672000000002</v>
          </cell>
          <cell r="G633">
            <v>0</v>
          </cell>
          <cell r="H633">
            <v>0</v>
          </cell>
          <cell r="I633" t="str">
            <v>0.00%</v>
          </cell>
          <cell r="J633">
            <v>0</v>
          </cell>
          <cell r="K633">
            <v>0</v>
          </cell>
          <cell r="L633" t="str">
            <v>0.00%</v>
          </cell>
          <cell r="M633">
            <v>0</v>
          </cell>
          <cell r="N633">
            <v>0</v>
          </cell>
          <cell r="O633" t="str">
            <v>0.00%</v>
          </cell>
          <cell r="P633">
            <v>39.520000000000003</v>
          </cell>
          <cell r="Q633">
            <v>1674.0672000000002</v>
          </cell>
          <cell r="R633">
            <v>1</v>
          </cell>
        </row>
        <row r="634">
          <cell r="A634" t="str">
            <v>08.02.09</v>
          </cell>
          <cell r="B634" t="str">
            <v xml:space="preserve">VESTIDURA DE DERRAMES </v>
          </cell>
          <cell r="C634" t="str">
            <v>m</v>
          </cell>
          <cell r="D634">
            <v>260.72000000000003</v>
          </cell>
          <cell r="E634">
            <v>24.82</v>
          </cell>
          <cell r="F634">
            <v>6471.0704000000005</v>
          </cell>
          <cell r="G634">
            <v>0</v>
          </cell>
          <cell r="H634">
            <v>0</v>
          </cell>
          <cell r="I634" t="str">
            <v>0.00%</v>
          </cell>
          <cell r="J634">
            <v>0</v>
          </cell>
          <cell r="K634">
            <v>0</v>
          </cell>
          <cell r="L634" t="str">
            <v>0.00%</v>
          </cell>
          <cell r="M634">
            <v>0</v>
          </cell>
          <cell r="N634">
            <v>0</v>
          </cell>
          <cell r="O634" t="str">
            <v>0.00%</v>
          </cell>
          <cell r="P634">
            <v>260.72000000000003</v>
          </cell>
          <cell r="Q634">
            <v>6471.0704000000005</v>
          </cell>
          <cell r="R634">
            <v>1</v>
          </cell>
        </row>
        <row r="635">
          <cell r="A635" t="str">
            <v>08.02.10</v>
          </cell>
          <cell r="B635" t="str">
            <v>BRUÑA DE 1CM ENTRE MUROS Y ESTRUCTURAS</v>
          </cell>
          <cell r="C635" t="str">
            <v>m</v>
          </cell>
          <cell r="D635">
            <v>858.72</v>
          </cell>
          <cell r="E635">
            <v>2.08</v>
          </cell>
          <cell r="F635">
            <v>1786.1376</v>
          </cell>
          <cell r="G635">
            <v>0</v>
          </cell>
          <cell r="H635">
            <v>0</v>
          </cell>
          <cell r="I635" t="str">
            <v>0.00%</v>
          </cell>
          <cell r="J635">
            <v>441.16000000000008</v>
          </cell>
          <cell r="K635">
            <v>917.61280000000022</v>
          </cell>
          <cell r="L635">
            <v>0.51374138252282475</v>
          </cell>
          <cell r="M635">
            <v>441.16000000000008</v>
          </cell>
          <cell r="N635">
            <v>917.61280000000022</v>
          </cell>
          <cell r="O635">
            <v>0.51374138252282475</v>
          </cell>
          <cell r="P635">
            <v>417.55999999999995</v>
          </cell>
          <cell r="Q635">
            <v>868.5247999999998</v>
          </cell>
          <cell r="R635">
            <v>0.48625861747717519</v>
          </cell>
        </row>
        <row r="636">
          <cell r="A636" t="str">
            <v>08.03</v>
          </cell>
          <cell r="B636" t="str">
            <v>ESTRUCTURAS METALICAS</v>
          </cell>
          <cell r="C636">
            <v>0</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row>
        <row r="637">
          <cell r="A637" t="str">
            <v>08.03.01</v>
          </cell>
          <cell r="B637" t="str">
            <v>CORREAS DE TUBO LAC 2"X2"X2mm</v>
          </cell>
          <cell r="C637" t="str">
            <v>m</v>
          </cell>
          <cell r="D637">
            <v>257.60000000000002</v>
          </cell>
          <cell r="E637">
            <v>28.38</v>
          </cell>
          <cell r="F637">
            <v>7310.6880000000001</v>
          </cell>
          <cell r="G637">
            <v>0</v>
          </cell>
          <cell r="H637">
            <v>0</v>
          </cell>
          <cell r="I637" t="str">
            <v>0.00%</v>
          </cell>
          <cell r="J637">
            <v>0</v>
          </cell>
          <cell r="K637">
            <v>0</v>
          </cell>
          <cell r="L637" t="str">
            <v>0.00%</v>
          </cell>
          <cell r="M637">
            <v>0</v>
          </cell>
          <cell r="N637">
            <v>0</v>
          </cell>
          <cell r="O637" t="str">
            <v>0.00%</v>
          </cell>
          <cell r="P637">
            <v>257.60000000000002</v>
          </cell>
          <cell r="Q637">
            <v>7310.6880000000001</v>
          </cell>
          <cell r="R637">
            <v>1</v>
          </cell>
        </row>
        <row r="638">
          <cell r="A638" t="str">
            <v>08.03.02</v>
          </cell>
          <cell r="B638" t="str">
            <v>TIJERAL TIPO - I CON TUBO RECTANGULAR LAC (SEGUN DISEÑO)</v>
          </cell>
          <cell r="C638" t="str">
            <v>und</v>
          </cell>
          <cell r="D638">
            <v>5</v>
          </cell>
          <cell r="E638">
            <v>549.16</v>
          </cell>
          <cell r="F638">
            <v>2745.7999999999997</v>
          </cell>
          <cell r="G638">
            <v>0</v>
          </cell>
          <cell r="H638">
            <v>0</v>
          </cell>
          <cell r="I638" t="str">
            <v>0.00%</v>
          </cell>
          <cell r="J638">
            <v>0</v>
          </cell>
          <cell r="K638">
            <v>0</v>
          </cell>
          <cell r="L638" t="str">
            <v>0.00%</v>
          </cell>
          <cell r="M638">
            <v>0</v>
          </cell>
          <cell r="N638">
            <v>0</v>
          </cell>
          <cell r="O638" t="str">
            <v>0.00%</v>
          </cell>
          <cell r="P638">
            <v>5</v>
          </cell>
          <cell r="Q638">
            <v>2745.7999999999997</v>
          </cell>
          <cell r="R638">
            <v>1</v>
          </cell>
        </row>
        <row r="639">
          <cell r="A639" t="str">
            <v>08.04</v>
          </cell>
          <cell r="B639" t="str">
            <v>COBERTURA</v>
          </cell>
          <cell r="C639">
            <v>0</v>
          </cell>
          <cell r="D639">
            <v>0</v>
          </cell>
          <cell r="E639">
            <v>0</v>
          </cell>
          <cell r="F639">
            <v>0</v>
          </cell>
          <cell r="G639">
            <v>0</v>
          </cell>
          <cell r="H639">
            <v>0</v>
          </cell>
          <cell r="I639">
            <v>0</v>
          </cell>
          <cell r="J639">
            <v>0</v>
          </cell>
          <cell r="K639">
            <v>0</v>
          </cell>
          <cell r="L639">
            <v>0</v>
          </cell>
          <cell r="M639">
            <v>0</v>
          </cell>
          <cell r="N639">
            <v>0</v>
          </cell>
          <cell r="O639">
            <v>0</v>
          </cell>
          <cell r="P639">
            <v>0</v>
          </cell>
          <cell r="Q639">
            <v>0</v>
          </cell>
          <cell r="R639">
            <v>0</v>
          </cell>
        </row>
        <row r="640">
          <cell r="A640" t="str">
            <v>08.04.01</v>
          </cell>
          <cell r="B640" t="str">
            <v>COBERTURA DE PLACA ONDUVILLA</v>
          </cell>
          <cell r="C640" t="str">
            <v>m2</v>
          </cell>
          <cell r="D640">
            <v>146.94</v>
          </cell>
          <cell r="E640">
            <v>147.85</v>
          </cell>
          <cell r="F640">
            <v>21725.078999999998</v>
          </cell>
          <cell r="G640">
            <v>0</v>
          </cell>
          <cell r="H640">
            <v>0</v>
          </cell>
          <cell r="I640" t="str">
            <v>0.00%</v>
          </cell>
          <cell r="J640">
            <v>0</v>
          </cell>
          <cell r="K640">
            <v>0</v>
          </cell>
          <cell r="L640" t="str">
            <v>0.00%</v>
          </cell>
          <cell r="M640">
            <v>0</v>
          </cell>
          <cell r="N640">
            <v>0</v>
          </cell>
          <cell r="O640" t="str">
            <v>0.00%</v>
          </cell>
          <cell r="P640">
            <v>146.94</v>
          </cell>
          <cell r="Q640">
            <v>21725.078999999998</v>
          </cell>
          <cell r="R640">
            <v>1</v>
          </cell>
        </row>
        <row r="641">
          <cell r="A641" t="str">
            <v>08.04.02</v>
          </cell>
          <cell r="B641" t="str">
            <v>CUMBRERA DE ONDUVILLA</v>
          </cell>
          <cell r="C641" t="str">
            <v>m</v>
          </cell>
          <cell r="D641">
            <v>15.8</v>
          </cell>
          <cell r="E641">
            <v>101.1</v>
          </cell>
          <cell r="F641">
            <v>1597.3799999999999</v>
          </cell>
          <cell r="G641">
            <v>0</v>
          </cell>
          <cell r="H641">
            <v>0</v>
          </cell>
          <cell r="I641" t="str">
            <v>0.00%</v>
          </cell>
          <cell r="J641">
            <v>0</v>
          </cell>
          <cell r="K641">
            <v>0</v>
          </cell>
          <cell r="L641" t="str">
            <v>0.00%</v>
          </cell>
          <cell r="M641">
            <v>0</v>
          </cell>
          <cell r="N641">
            <v>0</v>
          </cell>
          <cell r="O641" t="str">
            <v>0.00%</v>
          </cell>
          <cell r="P641">
            <v>15.8</v>
          </cell>
          <cell r="Q641">
            <v>1597.3799999999999</v>
          </cell>
          <cell r="R641">
            <v>1</v>
          </cell>
        </row>
        <row r="642">
          <cell r="A642" t="str">
            <v>08.04.03</v>
          </cell>
          <cell r="B642" t="str">
            <v>COBERTURA LADRILLO PASTELERO ASENTADO C/MEZCLA</v>
          </cell>
          <cell r="C642" t="str">
            <v>m2</v>
          </cell>
          <cell r="D642">
            <v>37.82</v>
          </cell>
          <cell r="E642">
            <v>45.53</v>
          </cell>
          <cell r="F642">
            <v>1721.9446</v>
          </cell>
          <cell r="G642">
            <v>0</v>
          </cell>
          <cell r="H642">
            <v>0</v>
          </cell>
          <cell r="I642" t="str">
            <v>0.00%</v>
          </cell>
          <cell r="J642">
            <v>0</v>
          </cell>
          <cell r="K642">
            <v>0</v>
          </cell>
          <cell r="L642" t="str">
            <v>0.00%</v>
          </cell>
          <cell r="M642">
            <v>0</v>
          </cell>
          <cell r="N642">
            <v>0</v>
          </cell>
          <cell r="O642" t="str">
            <v>0.00%</v>
          </cell>
          <cell r="P642">
            <v>37.82</v>
          </cell>
          <cell r="Q642">
            <v>1721.9446</v>
          </cell>
          <cell r="R642">
            <v>1</v>
          </cell>
        </row>
        <row r="643">
          <cell r="A643" t="str">
            <v>08.04.04</v>
          </cell>
          <cell r="B643" t="str">
            <v>COBERTURA DE POLICARBONATO ALVEOLAR TRASLUCIDO DE 6 MM.</v>
          </cell>
          <cell r="C643" t="str">
            <v>m2</v>
          </cell>
          <cell r="D643">
            <v>40.96</v>
          </cell>
          <cell r="E643">
            <v>63.81</v>
          </cell>
          <cell r="F643">
            <v>2613.6576</v>
          </cell>
          <cell r="G643">
            <v>0</v>
          </cell>
          <cell r="H643">
            <v>0</v>
          </cell>
          <cell r="I643" t="str">
            <v>0.00%</v>
          </cell>
          <cell r="J643">
            <v>0</v>
          </cell>
          <cell r="K643">
            <v>0</v>
          </cell>
          <cell r="L643" t="str">
            <v>0.00%</v>
          </cell>
          <cell r="M643">
            <v>0</v>
          </cell>
          <cell r="N643">
            <v>0</v>
          </cell>
          <cell r="O643" t="str">
            <v>0.00%</v>
          </cell>
          <cell r="P643">
            <v>40.96</v>
          </cell>
          <cell r="Q643">
            <v>2613.6576</v>
          </cell>
          <cell r="R643">
            <v>1</v>
          </cell>
        </row>
        <row r="644">
          <cell r="A644" t="str">
            <v>08.05</v>
          </cell>
          <cell r="B644" t="str">
            <v>CIELORRASOS</v>
          </cell>
          <cell r="C644">
            <v>0</v>
          </cell>
          <cell r="D644">
            <v>0</v>
          </cell>
          <cell r="E644">
            <v>0</v>
          </cell>
          <cell r="F644">
            <v>0</v>
          </cell>
          <cell r="G644">
            <v>0</v>
          </cell>
          <cell r="H644">
            <v>0</v>
          </cell>
          <cell r="I644">
            <v>0</v>
          </cell>
          <cell r="J644">
            <v>0</v>
          </cell>
          <cell r="K644">
            <v>0</v>
          </cell>
          <cell r="L644">
            <v>0</v>
          </cell>
          <cell r="M644">
            <v>0</v>
          </cell>
          <cell r="N644">
            <v>0</v>
          </cell>
          <cell r="O644">
            <v>0</v>
          </cell>
          <cell r="P644">
            <v>0</v>
          </cell>
          <cell r="Q644">
            <v>0</v>
          </cell>
          <cell r="R644">
            <v>0</v>
          </cell>
        </row>
        <row r="645">
          <cell r="A645" t="str">
            <v>08.05.01</v>
          </cell>
          <cell r="B645" t="str">
            <v>CIELORRASOS CON MEZCLA C:A 1:5 e= 1.5 CM</v>
          </cell>
          <cell r="C645" t="str">
            <v>m2</v>
          </cell>
          <cell r="D645">
            <v>360.43</v>
          </cell>
          <cell r="E645">
            <v>41.21</v>
          </cell>
          <cell r="F645">
            <v>14853.320300000001</v>
          </cell>
          <cell r="G645">
            <v>0</v>
          </cell>
          <cell r="H645">
            <v>0</v>
          </cell>
          <cell r="I645" t="str">
            <v>0.00%</v>
          </cell>
          <cell r="J645">
            <v>159.32999999999998</v>
          </cell>
          <cell r="K645">
            <v>6565.9892999999993</v>
          </cell>
          <cell r="L645">
            <v>0.44205532280886711</v>
          </cell>
          <cell r="M645">
            <v>159.32999999999998</v>
          </cell>
          <cell r="N645">
            <v>6565.9892999999993</v>
          </cell>
          <cell r="O645">
            <v>0.44205532280886711</v>
          </cell>
          <cell r="P645">
            <v>201.10000000000002</v>
          </cell>
          <cell r="Q645">
            <v>8287.3310000000019</v>
          </cell>
          <cell r="R645">
            <v>0.55794467719113294</v>
          </cell>
        </row>
        <row r="646">
          <cell r="A646" t="str">
            <v>08.06</v>
          </cell>
          <cell r="B646" t="str">
            <v>PISOS Y PAVIMENTOS</v>
          </cell>
          <cell r="C646">
            <v>0</v>
          </cell>
          <cell r="D646">
            <v>0</v>
          </cell>
          <cell r="E646">
            <v>0</v>
          </cell>
          <cell r="F646">
            <v>0</v>
          </cell>
          <cell r="G646">
            <v>0</v>
          </cell>
          <cell r="H646">
            <v>0</v>
          </cell>
          <cell r="I646">
            <v>0</v>
          </cell>
          <cell r="J646">
            <v>0</v>
          </cell>
          <cell r="K646">
            <v>0</v>
          </cell>
          <cell r="L646">
            <v>0</v>
          </cell>
          <cell r="M646">
            <v>0</v>
          </cell>
          <cell r="N646">
            <v>0</v>
          </cell>
          <cell r="O646">
            <v>0</v>
          </cell>
          <cell r="P646">
            <v>0</v>
          </cell>
          <cell r="Q646">
            <v>0</v>
          </cell>
          <cell r="R646">
            <v>0</v>
          </cell>
        </row>
        <row r="647">
          <cell r="A647" t="str">
            <v>08.06.01</v>
          </cell>
          <cell r="B647" t="str">
            <v>FALSO PISO DE 4" DE CONCRETO 1:10</v>
          </cell>
          <cell r="C647" t="str">
            <v>m2</v>
          </cell>
          <cell r="D647">
            <v>218.38</v>
          </cell>
          <cell r="E647">
            <v>34.700000000000003</v>
          </cell>
          <cell r="F647">
            <v>7577.7860000000001</v>
          </cell>
          <cell r="G647">
            <v>0</v>
          </cell>
          <cell r="H647">
            <v>0</v>
          </cell>
          <cell r="I647" t="str">
            <v>0.00%</v>
          </cell>
          <cell r="J647">
            <v>0</v>
          </cell>
          <cell r="K647">
            <v>0</v>
          </cell>
          <cell r="L647" t="str">
            <v>0.00%</v>
          </cell>
          <cell r="M647">
            <v>0</v>
          </cell>
          <cell r="N647">
            <v>0</v>
          </cell>
          <cell r="O647" t="str">
            <v>0.00%</v>
          </cell>
          <cell r="P647">
            <v>218.38</v>
          </cell>
          <cell r="Q647">
            <v>7577.7860000000001</v>
          </cell>
          <cell r="R647">
            <v>1</v>
          </cell>
        </row>
        <row r="648">
          <cell r="A648" t="str">
            <v>08.06.02</v>
          </cell>
          <cell r="B648" t="str">
            <v>CONTRAPISO DE 48 MM.</v>
          </cell>
          <cell r="C648" t="str">
            <v>m2</v>
          </cell>
          <cell r="D648">
            <v>410.17</v>
          </cell>
          <cell r="E648">
            <v>33.57</v>
          </cell>
          <cell r="F648">
            <v>13769.4069</v>
          </cell>
          <cell r="G648">
            <v>0</v>
          </cell>
          <cell r="H648">
            <v>0</v>
          </cell>
          <cell r="I648" t="str">
            <v>0.00%</v>
          </cell>
          <cell r="J648">
            <v>0</v>
          </cell>
          <cell r="K648">
            <v>0</v>
          </cell>
          <cell r="L648" t="str">
            <v>0.00%</v>
          </cell>
          <cell r="M648">
            <v>0</v>
          </cell>
          <cell r="N648">
            <v>0</v>
          </cell>
          <cell r="O648" t="str">
            <v>0.00%</v>
          </cell>
          <cell r="P648">
            <v>410.17</v>
          </cell>
          <cell r="Q648">
            <v>13769.4069</v>
          </cell>
          <cell r="R648">
            <v>1</v>
          </cell>
        </row>
        <row r="649">
          <cell r="A649" t="str">
            <v>08.06.03</v>
          </cell>
          <cell r="B649" t="str">
            <v>PISO DE PORCELANATO 0.60 x 0.60 m.</v>
          </cell>
          <cell r="C649" t="str">
            <v>m2</v>
          </cell>
          <cell r="D649">
            <v>341.41</v>
          </cell>
          <cell r="E649">
            <v>182.85</v>
          </cell>
          <cell r="F649">
            <v>62426.818500000001</v>
          </cell>
          <cell r="G649">
            <v>0</v>
          </cell>
          <cell r="H649">
            <v>0</v>
          </cell>
          <cell r="I649" t="str">
            <v>0.00%</v>
          </cell>
          <cell r="J649">
            <v>0</v>
          </cell>
          <cell r="K649">
            <v>0</v>
          </cell>
          <cell r="L649" t="str">
            <v>0.00%</v>
          </cell>
          <cell r="M649">
            <v>0</v>
          </cell>
          <cell r="N649">
            <v>0</v>
          </cell>
          <cell r="O649" t="str">
            <v>0.00%</v>
          </cell>
          <cell r="P649">
            <v>341.41</v>
          </cell>
          <cell r="Q649">
            <v>62426.818500000001</v>
          </cell>
          <cell r="R649">
            <v>1</v>
          </cell>
        </row>
        <row r="650">
          <cell r="A650" t="str">
            <v>08.06.04</v>
          </cell>
          <cell r="B650" t="str">
            <v>PISO DE CERAMICO ANTIDESLIZANTE AT. 0.40x0.40 M</v>
          </cell>
          <cell r="C650" t="str">
            <v>m2</v>
          </cell>
          <cell r="D650">
            <v>68.760000000000005</v>
          </cell>
          <cell r="E650">
            <v>56.63</v>
          </cell>
          <cell r="F650">
            <v>3893.8788000000004</v>
          </cell>
          <cell r="G650">
            <v>0</v>
          </cell>
          <cell r="H650">
            <v>0</v>
          </cell>
          <cell r="I650" t="str">
            <v>0.00%</v>
          </cell>
          <cell r="J650">
            <v>0</v>
          </cell>
          <cell r="K650">
            <v>0</v>
          </cell>
          <cell r="L650" t="str">
            <v>0.00%</v>
          </cell>
          <cell r="M650">
            <v>0</v>
          </cell>
          <cell r="N650">
            <v>0</v>
          </cell>
          <cell r="O650" t="str">
            <v>0.00%</v>
          </cell>
          <cell r="P650">
            <v>68.760000000000005</v>
          </cell>
          <cell r="Q650">
            <v>3893.8788000000004</v>
          </cell>
          <cell r="R650">
            <v>1</v>
          </cell>
        </row>
        <row r="651">
          <cell r="A651" t="str">
            <v>08.06.05</v>
          </cell>
          <cell r="B651" t="str">
            <v>PISO DE CEMENTO FROTACHADO BRUÑADO</v>
          </cell>
          <cell r="C651" t="str">
            <v>m2</v>
          </cell>
          <cell r="D651">
            <v>12.17</v>
          </cell>
          <cell r="E651">
            <v>18.29</v>
          </cell>
          <cell r="F651">
            <v>222.58929999999998</v>
          </cell>
          <cell r="G651">
            <v>0</v>
          </cell>
          <cell r="H651">
            <v>0</v>
          </cell>
          <cell r="I651" t="str">
            <v>0.00%</v>
          </cell>
          <cell r="J651">
            <v>0</v>
          </cell>
          <cell r="K651">
            <v>0</v>
          </cell>
          <cell r="L651" t="str">
            <v>0.00%</v>
          </cell>
          <cell r="M651">
            <v>0</v>
          </cell>
          <cell r="N651">
            <v>0</v>
          </cell>
          <cell r="O651" t="str">
            <v>0.00%</v>
          </cell>
          <cell r="P651">
            <v>12.17</v>
          </cell>
          <cell r="Q651">
            <v>222.58929999999998</v>
          </cell>
          <cell r="R651">
            <v>1</v>
          </cell>
        </row>
        <row r="652">
          <cell r="A652" t="str">
            <v>08.06.06</v>
          </cell>
          <cell r="B652" t="str">
            <v>COLOCACION DE BLOQUE DE VIDRIO 30 x 30 x 8 CM. PARA PISO</v>
          </cell>
          <cell r="C652" t="str">
            <v>und</v>
          </cell>
          <cell r="D652">
            <v>24</v>
          </cell>
          <cell r="E652">
            <v>20.87</v>
          </cell>
          <cell r="F652">
            <v>500.88</v>
          </cell>
          <cell r="G652">
            <v>0</v>
          </cell>
          <cell r="H652">
            <v>0</v>
          </cell>
          <cell r="I652" t="str">
            <v>0.00%</v>
          </cell>
          <cell r="J652">
            <v>0</v>
          </cell>
          <cell r="K652">
            <v>0</v>
          </cell>
          <cell r="L652" t="str">
            <v>0.00%</v>
          </cell>
          <cell r="M652">
            <v>0</v>
          </cell>
          <cell r="N652">
            <v>0</v>
          </cell>
          <cell r="O652" t="str">
            <v>0.00%</v>
          </cell>
          <cell r="P652">
            <v>24</v>
          </cell>
          <cell r="Q652">
            <v>500.88</v>
          </cell>
          <cell r="R652">
            <v>1</v>
          </cell>
        </row>
        <row r="653">
          <cell r="A653" t="str">
            <v>08.07</v>
          </cell>
          <cell r="B653" t="str">
            <v>VEREDA</v>
          </cell>
          <cell r="C653">
            <v>0</v>
          </cell>
          <cell r="D653">
            <v>0</v>
          </cell>
          <cell r="E653">
            <v>0</v>
          </cell>
          <cell r="F653">
            <v>0</v>
          </cell>
          <cell r="G653">
            <v>0</v>
          </cell>
          <cell r="H653">
            <v>0</v>
          </cell>
          <cell r="I653">
            <v>0</v>
          </cell>
          <cell r="J653">
            <v>0</v>
          </cell>
          <cell r="K653">
            <v>0</v>
          </cell>
          <cell r="L653">
            <v>0</v>
          </cell>
          <cell r="M653">
            <v>0</v>
          </cell>
          <cell r="N653">
            <v>0</v>
          </cell>
          <cell r="O653">
            <v>0</v>
          </cell>
          <cell r="P653">
            <v>0</v>
          </cell>
          <cell r="Q653">
            <v>0</v>
          </cell>
          <cell r="R653">
            <v>0</v>
          </cell>
        </row>
        <row r="654">
          <cell r="A654" t="str">
            <v>08.07.01</v>
          </cell>
          <cell r="B654" t="str">
            <v>AFIRMADO DE 4" PARA VEREDAS</v>
          </cell>
          <cell r="C654" t="str">
            <v>m2</v>
          </cell>
          <cell r="D654">
            <v>12.17</v>
          </cell>
          <cell r="E654">
            <v>11.27</v>
          </cell>
          <cell r="F654">
            <v>137.1559</v>
          </cell>
          <cell r="G654">
            <v>0</v>
          </cell>
          <cell r="H654">
            <v>0</v>
          </cell>
          <cell r="I654" t="str">
            <v>0.00%</v>
          </cell>
          <cell r="J654">
            <v>0</v>
          </cell>
          <cell r="K654">
            <v>0</v>
          </cell>
          <cell r="L654" t="str">
            <v>0.00%</v>
          </cell>
          <cell r="M654">
            <v>0</v>
          </cell>
          <cell r="N654">
            <v>0</v>
          </cell>
          <cell r="O654" t="str">
            <v>0.00%</v>
          </cell>
          <cell r="P654">
            <v>12.17</v>
          </cell>
          <cell r="Q654">
            <v>137.1559</v>
          </cell>
          <cell r="R654">
            <v>1</v>
          </cell>
        </row>
        <row r="655">
          <cell r="A655" t="str">
            <v>08.07.02</v>
          </cell>
          <cell r="B655" t="str">
            <v>VEREDA DE CONCRETO F'C= 175 KG/CM2.</v>
          </cell>
          <cell r="C655" t="str">
            <v>m2</v>
          </cell>
          <cell r="D655">
            <v>12.17</v>
          </cell>
          <cell r="E655">
            <v>64.63</v>
          </cell>
          <cell r="F655">
            <v>786.54709999999989</v>
          </cell>
          <cell r="G655">
            <v>0</v>
          </cell>
          <cell r="H655">
            <v>0</v>
          </cell>
          <cell r="I655" t="str">
            <v>0.00%</v>
          </cell>
          <cell r="J655">
            <v>0</v>
          </cell>
          <cell r="K655">
            <v>0</v>
          </cell>
          <cell r="L655" t="str">
            <v>0.00%</v>
          </cell>
          <cell r="M655">
            <v>0</v>
          </cell>
          <cell r="N655">
            <v>0</v>
          </cell>
          <cell r="O655" t="str">
            <v>0.00%</v>
          </cell>
          <cell r="P655">
            <v>12.17</v>
          </cell>
          <cell r="Q655">
            <v>786.54709999999989</v>
          </cell>
          <cell r="R655">
            <v>1</v>
          </cell>
        </row>
        <row r="656">
          <cell r="A656" t="str">
            <v>08.07.03</v>
          </cell>
          <cell r="B656" t="str">
            <v>ENCOFRADO Y DESENCOFRADO DE VEREDA</v>
          </cell>
          <cell r="C656" t="str">
            <v>m2</v>
          </cell>
          <cell r="D656">
            <v>3.61</v>
          </cell>
          <cell r="E656">
            <v>45.51</v>
          </cell>
          <cell r="F656">
            <v>164.2911</v>
          </cell>
          <cell r="G656">
            <v>0</v>
          </cell>
          <cell r="H656">
            <v>0</v>
          </cell>
          <cell r="I656" t="str">
            <v>0.00%</v>
          </cell>
          <cell r="J656">
            <v>0</v>
          </cell>
          <cell r="K656">
            <v>0</v>
          </cell>
          <cell r="L656" t="str">
            <v>0.00%</v>
          </cell>
          <cell r="M656">
            <v>0</v>
          </cell>
          <cell r="N656">
            <v>0</v>
          </cell>
          <cell r="O656" t="str">
            <v>0.00%</v>
          </cell>
          <cell r="P656">
            <v>3.61</v>
          </cell>
          <cell r="Q656">
            <v>164.2911</v>
          </cell>
          <cell r="R656">
            <v>1</v>
          </cell>
        </row>
        <row r="657">
          <cell r="A657" t="str">
            <v>08.08</v>
          </cell>
          <cell r="B657" t="str">
            <v>ZOCALOS Y CONTRAZOCALOS</v>
          </cell>
          <cell r="C657">
            <v>0</v>
          </cell>
          <cell r="D657">
            <v>0</v>
          </cell>
          <cell r="E657">
            <v>0</v>
          </cell>
          <cell r="F657">
            <v>0</v>
          </cell>
          <cell r="G657">
            <v>0</v>
          </cell>
          <cell r="H657">
            <v>0</v>
          </cell>
          <cell r="I657">
            <v>0</v>
          </cell>
          <cell r="J657">
            <v>0</v>
          </cell>
          <cell r="K657">
            <v>0</v>
          </cell>
          <cell r="L657">
            <v>0</v>
          </cell>
          <cell r="M657">
            <v>0</v>
          </cell>
          <cell r="N657">
            <v>0</v>
          </cell>
          <cell r="O657">
            <v>0</v>
          </cell>
          <cell r="P657">
            <v>0</v>
          </cell>
          <cell r="Q657">
            <v>0</v>
          </cell>
          <cell r="R657">
            <v>0</v>
          </cell>
        </row>
        <row r="658">
          <cell r="A658" t="str">
            <v>08.08.01</v>
          </cell>
          <cell r="B658" t="str">
            <v>ZOCALO DE CERAMICO 0.30 x 0.20 M</v>
          </cell>
          <cell r="C658" t="str">
            <v>m2</v>
          </cell>
          <cell r="D658">
            <v>98.1</v>
          </cell>
          <cell r="E658">
            <v>64.3</v>
          </cell>
          <cell r="F658">
            <v>6307.829999999999</v>
          </cell>
          <cell r="G658">
            <v>0</v>
          </cell>
          <cell r="H658">
            <v>0</v>
          </cell>
          <cell r="I658" t="str">
            <v>0.00%</v>
          </cell>
          <cell r="J658">
            <v>0</v>
          </cell>
          <cell r="K658">
            <v>0</v>
          </cell>
          <cell r="L658" t="str">
            <v>0.00%</v>
          </cell>
          <cell r="M658">
            <v>0</v>
          </cell>
          <cell r="N658">
            <v>0</v>
          </cell>
          <cell r="O658" t="str">
            <v>0.00%</v>
          </cell>
          <cell r="P658">
            <v>98.1</v>
          </cell>
          <cell r="Q658">
            <v>6307.829999999999</v>
          </cell>
          <cell r="R658">
            <v>1</v>
          </cell>
        </row>
        <row r="659">
          <cell r="A659" t="str">
            <v>08.08.02</v>
          </cell>
          <cell r="B659" t="str">
            <v>ZOCALO DE CEMENTO PULIDO C/MORTERO 1:5 DE 2CM. DE H= 40 CM. - EXTERIOR</v>
          </cell>
          <cell r="C659" t="str">
            <v>m</v>
          </cell>
          <cell r="D659">
            <v>20.86</v>
          </cell>
          <cell r="E659">
            <v>13.08</v>
          </cell>
          <cell r="F659">
            <v>272.84879999999998</v>
          </cell>
          <cell r="G659">
            <v>0</v>
          </cell>
          <cell r="H659">
            <v>0</v>
          </cell>
          <cell r="I659" t="str">
            <v>0.00%</v>
          </cell>
          <cell r="J659">
            <v>0</v>
          </cell>
          <cell r="K659">
            <v>0</v>
          </cell>
          <cell r="L659" t="str">
            <v>0.00%</v>
          </cell>
          <cell r="M659">
            <v>0</v>
          </cell>
          <cell r="N659">
            <v>0</v>
          </cell>
          <cell r="O659" t="str">
            <v>0.00%</v>
          </cell>
          <cell r="P659">
            <v>20.86</v>
          </cell>
          <cell r="Q659">
            <v>272.84879999999998</v>
          </cell>
          <cell r="R659">
            <v>1</v>
          </cell>
        </row>
        <row r="660">
          <cell r="A660" t="str">
            <v>08.08.03</v>
          </cell>
          <cell r="B660" t="str">
            <v>CONTRAZOCALO DE CERAMICO DE 40 x 40 CM. H=10CM. - INTERIOR</v>
          </cell>
          <cell r="C660" t="str">
            <v>m</v>
          </cell>
          <cell r="D660">
            <v>44.44</v>
          </cell>
          <cell r="E660">
            <v>14.75</v>
          </cell>
          <cell r="F660">
            <v>655.49</v>
          </cell>
          <cell r="G660">
            <v>0</v>
          </cell>
          <cell r="H660">
            <v>0</v>
          </cell>
          <cell r="I660" t="str">
            <v>0.00%</v>
          </cell>
          <cell r="J660">
            <v>0</v>
          </cell>
          <cell r="K660">
            <v>0</v>
          </cell>
          <cell r="L660" t="str">
            <v>0.00%</v>
          </cell>
          <cell r="M660">
            <v>0</v>
          </cell>
          <cell r="N660">
            <v>0</v>
          </cell>
          <cell r="O660" t="str">
            <v>0.00%</v>
          </cell>
          <cell r="P660">
            <v>44.44</v>
          </cell>
          <cell r="Q660">
            <v>655.49</v>
          </cell>
          <cell r="R660">
            <v>1</v>
          </cell>
        </row>
        <row r="661">
          <cell r="A661" t="str">
            <v>08.08.04</v>
          </cell>
          <cell r="B661" t="str">
            <v>CONTRAZOCALO DE PORCELANATO H=0.10M</v>
          </cell>
          <cell r="C661" t="str">
            <v>m</v>
          </cell>
          <cell r="D661">
            <v>128.82</v>
          </cell>
          <cell r="E661">
            <v>22.15</v>
          </cell>
          <cell r="F661">
            <v>2853.3629999999998</v>
          </cell>
          <cell r="G661">
            <v>0</v>
          </cell>
          <cell r="H661">
            <v>0</v>
          </cell>
          <cell r="I661" t="str">
            <v>0.00%</v>
          </cell>
          <cell r="J661">
            <v>0</v>
          </cell>
          <cell r="K661">
            <v>0</v>
          </cell>
          <cell r="L661" t="str">
            <v>0.00%</v>
          </cell>
          <cell r="M661">
            <v>0</v>
          </cell>
          <cell r="N661">
            <v>0</v>
          </cell>
          <cell r="O661" t="str">
            <v>0.00%</v>
          </cell>
          <cell r="P661">
            <v>128.82</v>
          </cell>
          <cell r="Q661">
            <v>2853.3629999999998</v>
          </cell>
          <cell r="R661">
            <v>1</v>
          </cell>
        </row>
        <row r="662">
          <cell r="A662" t="str">
            <v>08.09</v>
          </cell>
          <cell r="B662" t="str">
            <v>CARPINTERIA DE MADERA</v>
          </cell>
          <cell r="C662">
            <v>0</v>
          </cell>
          <cell r="D662">
            <v>0</v>
          </cell>
          <cell r="E662">
            <v>0</v>
          </cell>
          <cell r="F662">
            <v>0</v>
          </cell>
          <cell r="G662">
            <v>0</v>
          </cell>
          <cell r="H662">
            <v>0</v>
          </cell>
          <cell r="I662">
            <v>0</v>
          </cell>
          <cell r="J662">
            <v>0</v>
          </cell>
          <cell r="K662">
            <v>0</v>
          </cell>
          <cell r="L662">
            <v>0</v>
          </cell>
          <cell r="M662">
            <v>0</v>
          </cell>
          <cell r="N662">
            <v>0</v>
          </cell>
          <cell r="O662">
            <v>0</v>
          </cell>
          <cell r="P662">
            <v>0</v>
          </cell>
          <cell r="Q662">
            <v>0</v>
          </cell>
          <cell r="R662">
            <v>0</v>
          </cell>
        </row>
        <row r="663">
          <cell r="A663" t="str">
            <v>08.09.01</v>
          </cell>
          <cell r="B663" t="str">
            <v>PUERTA DE MADERA MACHIMBRADA C/SOBRE LUZ</v>
          </cell>
          <cell r="C663" t="str">
            <v>m2</v>
          </cell>
          <cell r="D663">
            <v>19.8</v>
          </cell>
          <cell r="E663">
            <v>340.61</v>
          </cell>
          <cell r="F663">
            <v>6744.0780000000004</v>
          </cell>
          <cell r="G663">
            <v>0</v>
          </cell>
          <cell r="H663">
            <v>0</v>
          </cell>
          <cell r="I663" t="str">
            <v>0.00%</v>
          </cell>
          <cell r="J663">
            <v>0</v>
          </cell>
          <cell r="K663">
            <v>0</v>
          </cell>
          <cell r="L663" t="str">
            <v>0.00%</v>
          </cell>
          <cell r="M663">
            <v>0</v>
          </cell>
          <cell r="N663">
            <v>0</v>
          </cell>
          <cell r="O663" t="str">
            <v>0.00%</v>
          </cell>
          <cell r="P663">
            <v>19.8</v>
          </cell>
          <cell r="Q663">
            <v>6744.0780000000004</v>
          </cell>
          <cell r="R663">
            <v>1</v>
          </cell>
        </row>
        <row r="664">
          <cell r="A664" t="str">
            <v>08.09.02</v>
          </cell>
          <cell r="B664" t="str">
            <v>PUERTA DE MADERA DOBLE HOJA MACHIMBRADA C/SOBRE LUZ</v>
          </cell>
          <cell r="C664" t="str">
            <v>m2</v>
          </cell>
          <cell r="D664">
            <v>17.600000000000001</v>
          </cell>
          <cell r="E664">
            <v>340.61</v>
          </cell>
          <cell r="F664">
            <v>5994.7360000000008</v>
          </cell>
          <cell r="G664">
            <v>0</v>
          </cell>
          <cell r="H664">
            <v>0</v>
          </cell>
          <cell r="I664" t="str">
            <v>0.00%</v>
          </cell>
          <cell r="J664">
            <v>0</v>
          </cell>
          <cell r="K664">
            <v>0</v>
          </cell>
          <cell r="L664" t="str">
            <v>0.00%</v>
          </cell>
          <cell r="M664">
            <v>0</v>
          </cell>
          <cell r="N664">
            <v>0</v>
          </cell>
          <cell r="O664" t="str">
            <v>0.00%</v>
          </cell>
          <cell r="P664">
            <v>17.600000000000001</v>
          </cell>
          <cell r="Q664">
            <v>5994.7360000000008</v>
          </cell>
          <cell r="R664">
            <v>1</v>
          </cell>
        </row>
        <row r="665">
          <cell r="A665" t="str">
            <v>08.09.03</v>
          </cell>
          <cell r="B665" t="str">
            <v>PUERTA CONTRAPLACADA CON PLANCHA DE TRIPLAY DE 6 mm. C/SOBRELUZ</v>
          </cell>
          <cell r="C665" t="str">
            <v>m2</v>
          </cell>
          <cell r="D665">
            <v>9.52</v>
          </cell>
          <cell r="E665">
            <v>329.53</v>
          </cell>
          <cell r="F665">
            <v>3137.1255999999994</v>
          </cell>
          <cell r="G665">
            <v>0</v>
          </cell>
          <cell r="H665">
            <v>0</v>
          </cell>
          <cell r="I665" t="str">
            <v>0.00%</v>
          </cell>
          <cell r="J665">
            <v>0</v>
          </cell>
          <cell r="K665">
            <v>0</v>
          </cell>
          <cell r="L665" t="str">
            <v>0.00%</v>
          </cell>
          <cell r="M665">
            <v>0</v>
          </cell>
          <cell r="N665">
            <v>0</v>
          </cell>
          <cell r="O665" t="str">
            <v>0.00%</v>
          </cell>
          <cell r="P665">
            <v>9.52</v>
          </cell>
          <cell r="Q665">
            <v>3137.1255999999994</v>
          </cell>
          <cell r="R665">
            <v>1</v>
          </cell>
        </row>
        <row r="666">
          <cell r="A666" t="str">
            <v>08.10</v>
          </cell>
          <cell r="B666" t="str">
            <v>CARPINTERIA METALICA</v>
          </cell>
          <cell r="C666">
            <v>0</v>
          </cell>
          <cell r="D666">
            <v>0</v>
          </cell>
          <cell r="E666">
            <v>0</v>
          </cell>
          <cell r="F666">
            <v>0</v>
          </cell>
          <cell r="G666">
            <v>0</v>
          </cell>
          <cell r="H666">
            <v>0</v>
          </cell>
          <cell r="I666">
            <v>0</v>
          </cell>
          <cell r="J666">
            <v>0</v>
          </cell>
          <cell r="K666">
            <v>0</v>
          </cell>
          <cell r="L666">
            <v>0</v>
          </cell>
          <cell r="M666">
            <v>0</v>
          </cell>
          <cell r="N666">
            <v>0</v>
          </cell>
          <cell r="O666">
            <v>0</v>
          </cell>
          <cell r="P666">
            <v>0</v>
          </cell>
          <cell r="Q666">
            <v>0</v>
          </cell>
          <cell r="R666">
            <v>0</v>
          </cell>
        </row>
        <row r="667">
          <cell r="A667" t="str">
            <v>08.10.01</v>
          </cell>
          <cell r="B667" t="str">
            <v>BARANDA CON VIDRIO TEMPLADO H=1.00 M. S/D - TIPO I</v>
          </cell>
          <cell r="C667" t="str">
            <v>m</v>
          </cell>
          <cell r="D667">
            <v>9.35</v>
          </cell>
          <cell r="E667">
            <v>381.69</v>
          </cell>
          <cell r="F667">
            <v>3568.8015</v>
          </cell>
          <cell r="G667">
            <v>0</v>
          </cell>
          <cell r="H667">
            <v>0</v>
          </cell>
          <cell r="I667" t="str">
            <v>0.00%</v>
          </cell>
          <cell r="J667">
            <v>0</v>
          </cell>
          <cell r="K667">
            <v>0</v>
          </cell>
          <cell r="L667" t="str">
            <v>0.00%</v>
          </cell>
          <cell r="M667">
            <v>0</v>
          </cell>
          <cell r="N667">
            <v>0</v>
          </cell>
          <cell r="O667" t="str">
            <v>0.00%</v>
          </cell>
          <cell r="P667">
            <v>9.35</v>
          </cell>
          <cell r="Q667">
            <v>3568.8015</v>
          </cell>
          <cell r="R667">
            <v>1</v>
          </cell>
        </row>
        <row r="668">
          <cell r="A668" t="str">
            <v>08.11</v>
          </cell>
          <cell r="B668" t="str">
            <v>CERRAJERIA</v>
          </cell>
          <cell r="C668">
            <v>0</v>
          </cell>
          <cell r="D668">
            <v>0</v>
          </cell>
          <cell r="E668">
            <v>0</v>
          </cell>
          <cell r="F668">
            <v>0</v>
          </cell>
          <cell r="G668">
            <v>0</v>
          </cell>
          <cell r="H668">
            <v>0</v>
          </cell>
          <cell r="I668">
            <v>0</v>
          </cell>
          <cell r="J668">
            <v>0</v>
          </cell>
          <cell r="K668">
            <v>0</v>
          </cell>
          <cell r="L668">
            <v>0</v>
          </cell>
          <cell r="M668">
            <v>0</v>
          </cell>
          <cell r="N668">
            <v>0</v>
          </cell>
          <cell r="O668">
            <v>0</v>
          </cell>
          <cell r="P668">
            <v>0</v>
          </cell>
          <cell r="Q668">
            <v>0</v>
          </cell>
          <cell r="R668">
            <v>0</v>
          </cell>
        </row>
        <row r="669">
          <cell r="A669" t="str">
            <v>08.11.01</v>
          </cell>
          <cell r="B669" t="str">
            <v>BISAGRA CAPUCHINA DE 4"</v>
          </cell>
          <cell r="C669" t="str">
            <v>und</v>
          </cell>
          <cell r="D669">
            <v>80</v>
          </cell>
          <cell r="E669">
            <v>15.83</v>
          </cell>
          <cell r="F669">
            <v>1266.4000000000001</v>
          </cell>
          <cell r="G669">
            <v>0</v>
          </cell>
          <cell r="H669">
            <v>0</v>
          </cell>
          <cell r="I669" t="str">
            <v>0.00%</v>
          </cell>
          <cell r="J669">
            <v>0</v>
          </cell>
          <cell r="K669">
            <v>0</v>
          </cell>
          <cell r="L669" t="str">
            <v>0.00%</v>
          </cell>
          <cell r="M669">
            <v>0</v>
          </cell>
          <cell r="N669">
            <v>0</v>
          </cell>
          <cell r="O669" t="str">
            <v>0.00%</v>
          </cell>
          <cell r="P669">
            <v>80</v>
          </cell>
          <cell r="Q669">
            <v>1266.4000000000001</v>
          </cell>
          <cell r="R669">
            <v>1</v>
          </cell>
        </row>
        <row r="670">
          <cell r="A670" t="str">
            <v>08.11.02</v>
          </cell>
          <cell r="B670" t="str">
            <v>CERRADURA PARA PUERTA DE TRES GOLPES</v>
          </cell>
          <cell r="C670" t="str">
            <v>und</v>
          </cell>
          <cell r="D670">
            <v>4</v>
          </cell>
          <cell r="E670">
            <v>137.22999999999999</v>
          </cell>
          <cell r="F670">
            <v>548.91999999999996</v>
          </cell>
          <cell r="G670">
            <v>0</v>
          </cell>
          <cell r="H670">
            <v>0</v>
          </cell>
          <cell r="I670" t="str">
            <v>0.00%</v>
          </cell>
          <cell r="J670">
            <v>0</v>
          </cell>
          <cell r="K670">
            <v>0</v>
          </cell>
          <cell r="L670" t="str">
            <v>0.00%</v>
          </cell>
          <cell r="M670">
            <v>0</v>
          </cell>
          <cell r="N670">
            <v>0</v>
          </cell>
          <cell r="O670" t="str">
            <v>0.00%</v>
          </cell>
          <cell r="P670">
            <v>4</v>
          </cell>
          <cell r="Q670">
            <v>548.91999999999996</v>
          </cell>
          <cell r="R670">
            <v>1</v>
          </cell>
        </row>
        <row r="671">
          <cell r="A671" t="str">
            <v>08.11.03</v>
          </cell>
          <cell r="B671" t="str">
            <v>CERRADURA DE PERILLA CON SEGURIDAD INTERIOR</v>
          </cell>
          <cell r="C671" t="str">
            <v>und</v>
          </cell>
          <cell r="D671">
            <v>16</v>
          </cell>
          <cell r="E671">
            <v>92.23</v>
          </cell>
          <cell r="F671">
            <v>1475.68</v>
          </cell>
          <cell r="G671">
            <v>0</v>
          </cell>
          <cell r="H671">
            <v>0</v>
          </cell>
          <cell r="I671" t="str">
            <v>0.00%</v>
          </cell>
          <cell r="J671">
            <v>0</v>
          </cell>
          <cell r="K671">
            <v>0</v>
          </cell>
          <cell r="L671" t="str">
            <v>0.00%</v>
          </cell>
          <cell r="M671">
            <v>0</v>
          </cell>
          <cell r="N671">
            <v>0</v>
          </cell>
          <cell r="O671" t="str">
            <v>0.00%</v>
          </cell>
          <cell r="P671">
            <v>16</v>
          </cell>
          <cell r="Q671">
            <v>1475.68</v>
          </cell>
          <cell r="R671">
            <v>1</v>
          </cell>
        </row>
        <row r="672">
          <cell r="A672" t="str">
            <v>08.12</v>
          </cell>
          <cell r="B672" t="str">
            <v>VIDRIOS, CRISTALES Y SIMILARES</v>
          </cell>
          <cell r="C672">
            <v>0</v>
          </cell>
          <cell r="D672">
            <v>0</v>
          </cell>
          <cell r="E672">
            <v>0</v>
          </cell>
          <cell r="F672">
            <v>0</v>
          </cell>
          <cell r="G672">
            <v>0</v>
          </cell>
          <cell r="H672">
            <v>0</v>
          </cell>
          <cell r="I672">
            <v>0</v>
          </cell>
          <cell r="J672">
            <v>0</v>
          </cell>
          <cell r="K672">
            <v>0</v>
          </cell>
          <cell r="L672">
            <v>0</v>
          </cell>
          <cell r="M672">
            <v>0</v>
          </cell>
          <cell r="N672">
            <v>0</v>
          </cell>
          <cell r="O672">
            <v>0</v>
          </cell>
          <cell r="P672">
            <v>0</v>
          </cell>
          <cell r="Q672">
            <v>0</v>
          </cell>
          <cell r="R672">
            <v>0</v>
          </cell>
        </row>
        <row r="673">
          <cell r="A673" t="str">
            <v>08.12.01</v>
          </cell>
          <cell r="B673" t="str">
            <v>VIDRIO (8MM.) SISTEMA NOVA INC. ACCESORIOS</v>
          </cell>
          <cell r="C673" t="str">
            <v>p2</v>
          </cell>
          <cell r="D673">
            <v>571.71</v>
          </cell>
          <cell r="E673">
            <v>18.54</v>
          </cell>
          <cell r="F673">
            <v>10599.5034</v>
          </cell>
          <cell r="G673">
            <v>0</v>
          </cell>
          <cell r="H673">
            <v>0</v>
          </cell>
          <cell r="I673" t="str">
            <v>0.00%</v>
          </cell>
          <cell r="J673">
            <v>0</v>
          </cell>
          <cell r="K673">
            <v>0</v>
          </cell>
          <cell r="L673" t="str">
            <v>0.00%</v>
          </cell>
          <cell r="M673">
            <v>0</v>
          </cell>
          <cell r="N673">
            <v>0</v>
          </cell>
          <cell r="O673" t="str">
            <v>0.00%</v>
          </cell>
          <cell r="P673">
            <v>571.71</v>
          </cell>
          <cell r="Q673">
            <v>10599.5034</v>
          </cell>
          <cell r="R673">
            <v>1</v>
          </cell>
        </row>
        <row r="674">
          <cell r="A674" t="str">
            <v>08.12.02</v>
          </cell>
          <cell r="B674" t="str">
            <v>VIDRIO CRUDO INCOLORO DE 6MM.</v>
          </cell>
          <cell r="C674" t="str">
            <v>p2</v>
          </cell>
          <cell r="D674">
            <v>20.88</v>
          </cell>
          <cell r="E674">
            <v>9.51</v>
          </cell>
          <cell r="F674">
            <v>198.56879999999998</v>
          </cell>
          <cell r="G674">
            <v>0</v>
          </cell>
          <cell r="H674">
            <v>0</v>
          </cell>
          <cell r="I674" t="str">
            <v>0.00%</v>
          </cell>
          <cell r="J674">
            <v>0</v>
          </cell>
          <cell r="K674">
            <v>0</v>
          </cell>
          <cell r="L674" t="str">
            <v>0.00%</v>
          </cell>
          <cell r="M674">
            <v>0</v>
          </cell>
          <cell r="N674">
            <v>0</v>
          </cell>
          <cell r="O674" t="str">
            <v>0.00%</v>
          </cell>
          <cell r="P674">
            <v>20.88</v>
          </cell>
          <cell r="Q674">
            <v>198.56879999999998</v>
          </cell>
          <cell r="R674">
            <v>1</v>
          </cell>
        </row>
        <row r="675">
          <cell r="A675" t="str">
            <v>08.13</v>
          </cell>
          <cell r="B675" t="str">
            <v>PINTURA</v>
          </cell>
          <cell r="C675">
            <v>0</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row>
        <row r="676">
          <cell r="A676" t="str">
            <v>08.13.01</v>
          </cell>
          <cell r="B676" t="str">
            <v>PINTURA EN CIELORRASO</v>
          </cell>
          <cell r="C676" t="str">
            <v>m2</v>
          </cell>
          <cell r="D676">
            <v>360.43</v>
          </cell>
          <cell r="E676">
            <v>12.59</v>
          </cell>
          <cell r="F676">
            <v>4537.8136999999997</v>
          </cell>
          <cell r="G676">
            <v>0</v>
          </cell>
          <cell r="H676">
            <v>0</v>
          </cell>
          <cell r="I676" t="str">
            <v>0.00%</v>
          </cell>
          <cell r="J676">
            <v>0</v>
          </cell>
          <cell r="K676">
            <v>0</v>
          </cell>
          <cell r="L676" t="str">
            <v>0.00%</v>
          </cell>
          <cell r="M676">
            <v>0</v>
          </cell>
          <cell r="N676">
            <v>0</v>
          </cell>
          <cell r="O676" t="str">
            <v>0.00%</v>
          </cell>
          <cell r="P676">
            <v>360.43</v>
          </cell>
          <cell r="Q676">
            <v>4537.8136999999997</v>
          </cell>
          <cell r="R676">
            <v>1</v>
          </cell>
        </row>
        <row r="677">
          <cell r="A677" t="str">
            <v>08.13.02</v>
          </cell>
          <cell r="B677" t="str">
            <v xml:space="preserve">PINTURA EN INTERIORES </v>
          </cell>
          <cell r="C677" t="str">
            <v>m2</v>
          </cell>
          <cell r="D677">
            <v>410.83</v>
          </cell>
          <cell r="E677">
            <v>9.6999999999999993</v>
          </cell>
          <cell r="F677">
            <v>3985.0509999999995</v>
          </cell>
          <cell r="G677">
            <v>0</v>
          </cell>
          <cell r="H677">
            <v>0</v>
          </cell>
          <cell r="I677" t="str">
            <v>0.00%</v>
          </cell>
          <cell r="J677">
            <v>0</v>
          </cell>
          <cell r="K677">
            <v>0</v>
          </cell>
          <cell r="L677" t="str">
            <v>0.00%</v>
          </cell>
          <cell r="M677">
            <v>0</v>
          </cell>
          <cell r="N677">
            <v>0</v>
          </cell>
          <cell r="O677" t="str">
            <v>0.00%</v>
          </cell>
          <cell r="P677">
            <v>410.83</v>
          </cell>
          <cell r="Q677">
            <v>3985.0509999999995</v>
          </cell>
          <cell r="R677">
            <v>1</v>
          </cell>
        </row>
        <row r="678">
          <cell r="A678" t="str">
            <v>08.13.03</v>
          </cell>
          <cell r="B678" t="str">
            <v>PINTURA EN EXTERIORES</v>
          </cell>
          <cell r="C678" t="str">
            <v>m2</v>
          </cell>
          <cell r="D678">
            <v>171.97</v>
          </cell>
          <cell r="E678">
            <v>19.04</v>
          </cell>
          <cell r="F678">
            <v>3274.3087999999998</v>
          </cell>
          <cell r="G678">
            <v>0</v>
          </cell>
          <cell r="H678">
            <v>0</v>
          </cell>
          <cell r="I678" t="str">
            <v>0.00%</v>
          </cell>
          <cell r="J678">
            <v>0</v>
          </cell>
          <cell r="K678">
            <v>0</v>
          </cell>
          <cell r="L678" t="str">
            <v>0.00%</v>
          </cell>
          <cell r="M678">
            <v>0</v>
          </cell>
          <cell r="N678">
            <v>0</v>
          </cell>
          <cell r="O678" t="str">
            <v>0.00%</v>
          </cell>
          <cell r="P678">
            <v>171.97</v>
          </cell>
          <cell r="Q678">
            <v>3274.3087999999998</v>
          </cell>
          <cell r="R678">
            <v>1</v>
          </cell>
        </row>
        <row r="679">
          <cell r="A679" t="str">
            <v>08.13.04</v>
          </cell>
          <cell r="B679" t="str">
            <v>PINTURA EN COLUMNAS</v>
          </cell>
          <cell r="C679" t="str">
            <v>m2</v>
          </cell>
          <cell r="D679">
            <v>241.31</v>
          </cell>
          <cell r="E679">
            <v>10.35</v>
          </cell>
          <cell r="F679">
            <v>2497.5585000000001</v>
          </cell>
          <cell r="G679">
            <v>0</v>
          </cell>
          <cell r="H679">
            <v>0</v>
          </cell>
          <cell r="I679" t="str">
            <v>0.00%</v>
          </cell>
          <cell r="J679">
            <v>0</v>
          </cell>
          <cell r="K679">
            <v>0</v>
          </cell>
          <cell r="L679" t="str">
            <v>0.00%</v>
          </cell>
          <cell r="M679">
            <v>0</v>
          </cell>
          <cell r="N679">
            <v>0</v>
          </cell>
          <cell r="O679" t="str">
            <v>0.00%</v>
          </cell>
          <cell r="P679">
            <v>241.31</v>
          </cell>
          <cell r="Q679">
            <v>2497.5585000000001</v>
          </cell>
          <cell r="R679">
            <v>1</v>
          </cell>
        </row>
        <row r="680">
          <cell r="A680" t="str">
            <v>08.13.05</v>
          </cell>
          <cell r="B680" t="str">
            <v>PINTURA EN VIGA</v>
          </cell>
          <cell r="C680" t="str">
            <v>m2</v>
          </cell>
          <cell r="D680">
            <v>199.51</v>
          </cell>
          <cell r="E680">
            <v>10.35</v>
          </cell>
          <cell r="F680">
            <v>2064.9285</v>
          </cell>
          <cell r="G680">
            <v>0</v>
          </cell>
          <cell r="H680">
            <v>0</v>
          </cell>
          <cell r="I680" t="str">
            <v>0.00%</v>
          </cell>
          <cell r="J680">
            <v>0</v>
          </cell>
          <cell r="K680">
            <v>0</v>
          </cell>
          <cell r="L680" t="str">
            <v>0.00%</v>
          </cell>
          <cell r="M680">
            <v>0</v>
          </cell>
          <cell r="N680">
            <v>0</v>
          </cell>
          <cell r="O680" t="str">
            <v>0.00%</v>
          </cell>
          <cell r="P680">
            <v>199.51</v>
          </cell>
          <cell r="Q680">
            <v>2064.9285</v>
          </cell>
          <cell r="R680">
            <v>1</v>
          </cell>
        </row>
        <row r="681">
          <cell r="A681" t="str">
            <v>08.13.06</v>
          </cell>
          <cell r="B681" t="str">
            <v>PINTURA EN CUNETA DE EVACUACION PLUVIAL EN TECHO</v>
          </cell>
          <cell r="C681" t="str">
            <v>m2</v>
          </cell>
          <cell r="D681">
            <v>57.3</v>
          </cell>
          <cell r="E681">
            <v>9.25</v>
          </cell>
          <cell r="F681">
            <v>530.02499999999998</v>
          </cell>
          <cell r="G681">
            <v>0</v>
          </cell>
          <cell r="H681">
            <v>0</v>
          </cell>
          <cell r="I681" t="str">
            <v>0.00%</v>
          </cell>
          <cell r="J681">
            <v>0</v>
          </cell>
          <cell r="K681">
            <v>0</v>
          </cell>
          <cell r="L681" t="str">
            <v>0.00%</v>
          </cell>
          <cell r="M681">
            <v>0</v>
          </cell>
          <cell r="N681">
            <v>0</v>
          </cell>
          <cell r="O681" t="str">
            <v>0.00%</v>
          </cell>
          <cell r="P681">
            <v>57.3</v>
          </cell>
          <cell r="Q681">
            <v>530.02499999999998</v>
          </cell>
          <cell r="R681">
            <v>1</v>
          </cell>
        </row>
        <row r="682">
          <cell r="A682" t="str">
            <v>08.13.07</v>
          </cell>
          <cell r="B682" t="str">
            <v>PINTURA EN CONTRAZOCALOS Y ZOCALOS H= 0.40M C/ESMALTE</v>
          </cell>
          <cell r="C682" t="str">
            <v>m</v>
          </cell>
          <cell r="D682">
            <v>20.86</v>
          </cell>
          <cell r="E682">
            <v>7.19</v>
          </cell>
          <cell r="F682">
            <v>149.98340000000002</v>
          </cell>
          <cell r="G682">
            <v>0</v>
          </cell>
          <cell r="H682">
            <v>0</v>
          </cell>
          <cell r="I682" t="str">
            <v>0.00%</v>
          </cell>
          <cell r="J682">
            <v>0</v>
          </cell>
          <cell r="K682">
            <v>0</v>
          </cell>
          <cell r="L682" t="str">
            <v>0.00%</v>
          </cell>
          <cell r="M682">
            <v>0</v>
          </cell>
          <cell r="N682">
            <v>0</v>
          </cell>
          <cell r="O682" t="str">
            <v>0.00%</v>
          </cell>
          <cell r="P682">
            <v>20.86</v>
          </cell>
          <cell r="Q682">
            <v>149.98340000000002</v>
          </cell>
          <cell r="R682">
            <v>1</v>
          </cell>
        </row>
        <row r="683">
          <cell r="A683" t="str">
            <v>08.13.08</v>
          </cell>
          <cell r="B683" t="str">
            <v>PINTURA EN BARANDAS METALICAS</v>
          </cell>
          <cell r="C683" t="str">
            <v>m</v>
          </cell>
          <cell r="D683">
            <v>9.35</v>
          </cell>
          <cell r="E683">
            <v>9.49</v>
          </cell>
          <cell r="F683">
            <v>88.731499999999997</v>
          </cell>
          <cell r="G683">
            <v>0</v>
          </cell>
          <cell r="H683">
            <v>0</v>
          </cell>
          <cell r="I683" t="str">
            <v>0.00%</v>
          </cell>
          <cell r="J683">
            <v>0</v>
          </cell>
          <cell r="K683">
            <v>0</v>
          </cell>
          <cell r="L683" t="str">
            <v>0.00%</v>
          </cell>
          <cell r="M683">
            <v>0</v>
          </cell>
          <cell r="N683">
            <v>0</v>
          </cell>
          <cell r="O683" t="str">
            <v>0.00%</v>
          </cell>
          <cell r="P683">
            <v>9.35</v>
          </cell>
          <cell r="Q683">
            <v>88.731499999999997</v>
          </cell>
          <cell r="R683">
            <v>1</v>
          </cell>
        </row>
        <row r="684">
          <cell r="A684" t="str">
            <v>08.13.09</v>
          </cell>
          <cell r="B684" t="str">
            <v>PINTURA EN PUERTAS C/BARNIZ 2 MANOS</v>
          </cell>
          <cell r="C684" t="str">
            <v>m2</v>
          </cell>
          <cell r="D684">
            <v>46.92</v>
          </cell>
          <cell r="E684">
            <v>12.86</v>
          </cell>
          <cell r="F684">
            <v>603.39120000000003</v>
          </cell>
          <cell r="G684">
            <v>0</v>
          </cell>
          <cell r="H684">
            <v>0</v>
          </cell>
          <cell r="I684" t="str">
            <v>0.00%</v>
          </cell>
          <cell r="J684">
            <v>0</v>
          </cell>
          <cell r="K684">
            <v>0</v>
          </cell>
          <cell r="L684" t="str">
            <v>0.00%</v>
          </cell>
          <cell r="M684">
            <v>0</v>
          </cell>
          <cell r="N684">
            <v>0</v>
          </cell>
          <cell r="O684" t="str">
            <v>0.00%</v>
          </cell>
          <cell r="P684">
            <v>46.92</v>
          </cell>
          <cell r="Q684">
            <v>603.39120000000003</v>
          </cell>
          <cell r="R684">
            <v>1</v>
          </cell>
        </row>
        <row r="685">
          <cell r="A685" t="str">
            <v>08.14</v>
          </cell>
          <cell r="B685" t="str">
            <v>OBRAS VARIAS</v>
          </cell>
          <cell r="C685">
            <v>0</v>
          </cell>
          <cell r="D685">
            <v>0</v>
          </cell>
          <cell r="E685">
            <v>0</v>
          </cell>
          <cell r="F685">
            <v>0</v>
          </cell>
          <cell r="G685">
            <v>0</v>
          </cell>
          <cell r="H685">
            <v>0</v>
          </cell>
          <cell r="I685">
            <v>0</v>
          </cell>
          <cell r="J685">
            <v>0</v>
          </cell>
          <cell r="K685">
            <v>0</v>
          </cell>
          <cell r="L685">
            <v>0</v>
          </cell>
          <cell r="M685">
            <v>0</v>
          </cell>
          <cell r="N685">
            <v>0</v>
          </cell>
          <cell r="O685">
            <v>0</v>
          </cell>
          <cell r="P685">
            <v>0</v>
          </cell>
          <cell r="Q685">
            <v>0</v>
          </cell>
          <cell r="R685">
            <v>0</v>
          </cell>
        </row>
        <row r="686">
          <cell r="A686" t="str">
            <v>08.14.01</v>
          </cell>
          <cell r="B686" t="str">
            <v>SARDINEL DE CONCRETO SOBRE VIGAS TIMPANO F'C= 175KG/CM2</v>
          </cell>
          <cell r="C686" t="str">
            <v>m3</v>
          </cell>
          <cell r="D686">
            <v>3.72</v>
          </cell>
          <cell r="E686">
            <v>388.98</v>
          </cell>
          <cell r="F686">
            <v>1447.0056000000002</v>
          </cell>
          <cell r="G686">
            <v>0</v>
          </cell>
          <cell r="H686">
            <v>0</v>
          </cell>
          <cell r="I686" t="str">
            <v>0.00%</v>
          </cell>
          <cell r="J686">
            <v>0</v>
          </cell>
          <cell r="K686">
            <v>0</v>
          </cell>
          <cell r="L686" t="str">
            <v>0.00%</v>
          </cell>
          <cell r="M686">
            <v>0</v>
          </cell>
          <cell r="N686">
            <v>0</v>
          </cell>
          <cell r="O686" t="str">
            <v>0.00%</v>
          </cell>
          <cell r="P686">
            <v>3.72</v>
          </cell>
          <cell r="Q686">
            <v>1447.0056000000002</v>
          </cell>
          <cell r="R686">
            <v>1</v>
          </cell>
        </row>
        <row r="687">
          <cell r="A687" t="str">
            <v>08.14.02</v>
          </cell>
          <cell r="B687" t="str">
            <v>ENCOFRADO Y DESENCOFRADO DE SARDINELES SOBRE VIGA TIMPANO</v>
          </cell>
          <cell r="C687" t="str">
            <v>m2</v>
          </cell>
          <cell r="D687">
            <v>27.9</v>
          </cell>
          <cell r="E687">
            <v>17.3</v>
          </cell>
          <cell r="F687">
            <v>482.67</v>
          </cell>
          <cell r="G687">
            <v>0</v>
          </cell>
          <cell r="H687">
            <v>0</v>
          </cell>
          <cell r="I687" t="str">
            <v>0.00%</v>
          </cell>
          <cell r="J687">
            <v>0</v>
          </cell>
          <cell r="K687">
            <v>0</v>
          </cell>
          <cell r="L687" t="str">
            <v>0.00%</v>
          </cell>
          <cell r="M687">
            <v>0</v>
          </cell>
          <cell r="N687">
            <v>0</v>
          </cell>
          <cell r="O687" t="str">
            <v>0.00%</v>
          </cell>
          <cell r="P687">
            <v>27.9</v>
          </cell>
          <cell r="Q687">
            <v>482.67</v>
          </cell>
          <cell r="R687">
            <v>1</v>
          </cell>
        </row>
        <row r="688">
          <cell r="A688" t="str">
            <v>08.14.03</v>
          </cell>
          <cell r="B688" t="str">
            <v xml:space="preserve">TAPA JUNTA EN VANOS MUROS/COLUMNA
</v>
          </cell>
          <cell r="C688" t="str">
            <v>m</v>
          </cell>
          <cell r="D688">
            <v>448.2</v>
          </cell>
          <cell r="E688">
            <v>13.49</v>
          </cell>
          <cell r="F688">
            <v>6046.2179999999998</v>
          </cell>
          <cell r="G688">
            <v>0</v>
          </cell>
          <cell r="H688">
            <v>0</v>
          </cell>
          <cell r="I688" t="str">
            <v>0.00%</v>
          </cell>
          <cell r="J688">
            <v>448.2</v>
          </cell>
          <cell r="K688">
            <v>6046.2179999999998</v>
          </cell>
          <cell r="L688">
            <v>1</v>
          </cell>
          <cell r="M688">
            <v>448.2</v>
          </cell>
          <cell r="N688">
            <v>6046.2179999999998</v>
          </cell>
          <cell r="O688">
            <v>1</v>
          </cell>
          <cell r="P688">
            <v>0</v>
          </cell>
          <cell r="Q688">
            <v>0</v>
          </cell>
          <cell r="R688" t="str">
            <v>0.00%</v>
          </cell>
        </row>
        <row r="689">
          <cell r="A689" t="str">
            <v>08.14.04</v>
          </cell>
          <cell r="B689" t="str">
            <v>TAPA JUNTA  METALICA</v>
          </cell>
          <cell r="C689" t="str">
            <v>m</v>
          </cell>
          <cell r="D689">
            <v>16.100000000000001</v>
          </cell>
          <cell r="E689">
            <v>50.83</v>
          </cell>
          <cell r="F689">
            <v>818.36300000000006</v>
          </cell>
          <cell r="G689">
            <v>0</v>
          </cell>
          <cell r="H689">
            <v>0</v>
          </cell>
          <cell r="I689" t="str">
            <v>0.00%</v>
          </cell>
          <cell r="J689">
            <v>0</v>
          </cell>
          <cell r="K689">
            <v>0</v>
          </cell>
          <cell r="L689" t="str">
            <v>0.00%</v>
          </cell>
          <cell r="M689">
            <v>0</v>
          </cell>
          <cell r="N689">
            <v>0</v>
          </cell>
          <cell r="O689" t="str">
            <v>0.00%</v>
          </cell>
          <cell r="P689">
            <v>16.100000000000001</v>
          </cell>
          <cell r="Q689">
            <v>818.36300000000006</v>
          </cell>
          <cell r="R689">
            <v>1</v>
          </cell>
        </row>
        <row r="690">
          <cell r="A690" t="str">
            <v>09</v>
          </cell>
          <cell r="B690" t="str">
            <v xml:space="preserve">BLOQUE - 2 </v>
          </cell>
          <cell r="C690">
            <v>0</v>
          </cell>
          <cell r="D690">
            <v>0</v>
          </cell>
          <cell r="E690">
            <v>0</v>
          </cell>
          <cell r="F690">
            <v>0</v>
          </cell>
          <cell r="G690">
            <v>0</v>
          </cell>
          <cell r="H690">
            <v>0</v>
          </cell>
          <cell r="I690">
            <v>0</v>
          </cell>
          <cell r="J690">
            <v>0</v>
          </cell>
          <cell r="K690">
            <v>0</v>
          </cell>
          <cell r="L690">
            <v>0</v>
          </cell>
          <cell r="M690">
            <v>0</v>
          </cell>
          <cell r="N690">
            <v>0</v>
          </cell>
          <cell r="O690">
            <v>0</v>
          </cell>
          <cell r="P690">
            <v>0</v>
          </cell>
          <cell r="Q690">
            <v>0</v>
          </cell>
          <cell r="R690">
            <v>0</v>
          </cell>
        </row>
        <row r="691">
          <cell r="A691" t="str">
            <v>09.01</v>
          </cell>
          <cell r="B691" t="str">
            <v>MUROS Y TABIQUES</v>
          </cell>
          <cell r="C691">
            <v>0</v>
          </cell>
          <cell r="D691">
            <v>0</v>
          </cell>
          <cell r="E691">
            <v>0</v>
          </cell>
          <cell r="F691">
            <v>0</v>
          </cell>
          <cell r="G691">
            <v>0</v>
          </cell>
          <cell r="H691">
            <v>0</v>
          </cell>
          <cell r="I691">
            <v>0</v>
          </cell>
          <cell r="J691">
            <v>0</v>
          </cell>
          <cell r="K691">
            <v>0</v>
          </cell>
          <cell r="L691">
            <v>0</v>
          </cell>
          <cell r="M691">
            <v>0</v>
          </cell>
          <cell r="N691">
            <v>0</v>
          </cell>
          <cell r="O691">
            <v>0</v>
          </cell>
          <cell r="P691">
            <v>0</v>
          </cell>
          <cell r="Q691">
            <v>0</v>
          </cell>
          <cell r="R691">
            <v>0</v>
          </cell>
        </row>
        <row r="692">
          <cell r="A692" t="str">
            <v>09.01.01</v>
          </cell>
          <cell r="B692" t="str">
            <v>MURO DE CABEZA LADRILLO KIN-KONG DE ARCILLA</v>
          </cell>
          <cell r="C692" t="str">
            <v>m2</v>
          </cell>
          <cell r="D692">
            <v>272.74</v>
          </cell>
          <cell r="E692">
            <v>151.13999999999999</v>
          </cell>
          <cell r="F692">
            <v>41221.923599999995</v>
          </cell>
          <cell r="G692">
            <v>272.73999999999995</v>
          </cell>
          <cell r="H692">
            <v>41221.923599999987</v>
          </cell>
          <cell r="I692">
            <v>0.99999999999999978</v>
          </cell>
          <cell r="J692">
            <v>0</v>
          </cell>
          <cell r="K692">
            <v>0</v>
          </cell>
          <cell r="L692" t="str">
            <v>0.00%</v>
          </cell>
          <cell r="M692">
            <v>272.73999999999995</v>
          </cell>
          <cell r="N692">
            <v>41221.923599999987</v>
          </cell>
          <cell r="O692">
            <v>0.99999999999999978</v>
          </cell>
          <cell r="P692">
            <v>5.6843418860808015E-14</v>
          </cell>
          <cell r="Q692">
            <v>7.2759576141834259E-12</v>
          </cell>
          <cell r="R692">
            <v>1.7650698896990403E-16</v>
          </cell>
        </row>
        <row r="693">
          <cell r="A693" t="str">
            <v>09.01.02</v>
          </cell>
          <cell r="B693" t="str">
            <v>MURO DE SOGA LADRILLO KIN-KONG DE ARCILLA</v>
          </cell>
          <cell r="C693" t="str">
            <v>m2</v>
          </cell>
          <cell r="D693">
            <v>87.08</v>
          </cell>
          <cell r="E693">
            <v>99.24</v>
          </cell>
          <cell r="F693">
            <v>8641.8191999999999</v>
          </cell>
          <cell r="G693">
            <v>87.08</v>
          </cell>
          <cell r="H693">
            <v>8641.8191999999999</v>
          </cell>
          <cell r="I693">
            <v>1</v>
          </cell>
          <cell r="J693">
            <v>0</v>
          </cell>
          <cell r="K693">
            <v>0</v>
          </cell>
          <cell r="L693" t="str">
            <v>0.00%</v>
          </cell>
          <cell r="M693">
            <v>87.08</v>
          </cell>
          <cell r="N693">
            <v>8641.8191999999999</v>
          </cell>
          <cell r="O693">
            <v>1</v>
          </cell>
          <cell r="P693">
            <v>0</v>
          </cell>
          <cell r="Q693">
            <v>0</v>
          </cell>
          <cell r="R693" t="str">
            <v>0.00%</v>
          </cell>
        </row>
        <row r="694">
          <cell r="A694" t="str">
            <v>09.02</v>
          </cell>
          <cell r="B694" t="str">
            <v>REVOQUES ENLUCIDOS Y MOLDURAS</v>
          </cell>
          <cell r="C694">
            <v>0</v>
          </cell>
          <cell r="D694">
            <v>0</v>
          </cell>
          <cell r="E694">
            <v>0</v>
          </cell>
          <cell r="F694">
            <v>0</v>
          </cell>
          <cell r="G694">
            <v>0</v>
          </cell>
          <cell r="H694">
            <v>0</v>
          </cell>
          <cell r="I694">
            <v>0</v>
          </cell>
          <cell r="J694">
            <v>0</v>
          </cell>
          <cell r="K694">
            <v>0</v>
          </cell>
          <cell r="L694">
            <v>0</v>
          </cell>
          <cell r="M694">
            <v>0</v>
          </cell>
          <cell r="N694">
            <v>0</v>
          </cell>
          <cell r="O694">
            <v>0</v>
          </cell>
          <cell r="P694">
            <v>0</v>
          </cell>
          <cell r="Q694">
            <v>0</v>
          </cell>
          <cell r="R694">
            <v>0</v>
          </cell>
        </row>
        <row r="695">
          <cell r="A695" t="str">
            <v>09.02.01</v>
          </cell>
          <cell r="B695" t="str">
            <v>TARRAJEO EN MUROS INTERIORES MEZCLA 1:5 CEMENTO:ARENA</v>
          </cell>
          <cell r="C695" t="str">
            <v>m2</v>
          </cell>
          <cell r="D695">
            <v>479.25</v>
          </cell>
          <cell r="E695">
            <v>26.91</v>
          </cell>
          <cell r="F695">
            <v>12896.6175</v>
          </cell>
          <cell r="G695">
            <v>0</v>
          </cell>
          <cell r="H695">
            <v>0</v>
          </cell>
          <cell r="I695" t="str">
            <v>0.00%</v>
          </cell>
          <cell r="J695">
            <v>247.04479999999992</v>
          </cell>
          <cell r="K695">
            <v>6647.975567999998</v>
          </cell>
          <cell r="L695">
            <v>0.51548210745957213</v>
          </cell>
          <cell r="M695">
            <v>247.04479999999992</v>
          </cell>
          <cell r="N695">
            <v>6647.975567999998</v>
          </cell>
          <cell r="O695">
            <v>0.51548210745957213</v>
          </cell>
          <cell r="P695">
            <v>232.20520000000008</v>
          </cell>
          <cell r="Q695">
            <v>6248.6419320000023</v>
          </cell>
          <cell r="R695">
            <v>0.48451789254042793</v>
          </cell>
        </row>
        <row r="696">
          <cell r="A696" t="str">
            <v>09.02.02</v>
          </cell>
          <cell r="B696" t="str">
            <v>TARRAJEO EN MUROS EXTERIORES MEZCLA 1:5 CEMENTO:ARENA</v>
          </cell>
          <cell r="C696" t="str">
            <v>m2</v>
          </cell>
          <cell r="D696">
            <v>205.63</v>
          </cell>
          <cell r="E696">
            <v>33.57</v>
          </cell>
          <cell r="F696">
            <v>6902.9991</v>
          </cell>
          <cell r="G696">
            <v>0</v>
          </cell>
          <cell r="H696">
            <v>0</v>
          </cell>
          <cell r="I696" t="str">
            <v>0.00%</v>
          </cell>
          <cell r="J696">
            <v>0</v>
          </cell>
          <cell r="K696">
            <v>0</v>
          </cell>
          <cell r="L696" t="str">
            <v>0.00%</v>
          </cell>
          <cell r="M696">
            <v>0</v>
          </cell>
          <cell r="N696">
            <v>0</v>
          </cell>
          <cell r="O696" t="str">
            <v>0.00%</v>
          </cell>
          <cell r="P696">
            <v>205.63</v>
          </cell>
          <cell r="Q696">
            <v>6902.9991</v>
          </cell>
          <cell r="R696">
            <v>1</v>
          </cell>
        </row>
        <row r="697">
          <cell r="A697" t="str">
            <v>09.02.03</v>
          </cell>
          <cell r="B697" t="str">
            <v>TARRAJEO EN PESTAÑAS DE LAS VENTANAS</v>
          </cell>
          <cell r="C697" t="str">
            <v>m</v>
          </cell>
          <cell r="D697">
            <v>253.92</v>
          </cell>
          <cell r="E697">
            <v>18.16</v>
          </cell>
          <cell r="F697">
            <v>4611.1871999999994</v>
          </cell>
          <cell r="G697">
            <v>0</v>
          </cell>
          <cell r="H697">
            <v>0</v>
          </cell>
          <cell r="I697" t="str">
            <v>0.00%</v>
          </cell>
          <cell r="J697">
            <v>0</v>
          </cell>
          <cell r="K697">
            <v>0</v>
          </cell>
          <cell r="L697" t="str">
            <v>0.00%</v>
          </cell>
          <cell r="M697">
            <v>0</v>
          </cell>
          <cell r="N697">
            <v>0</v>
          </cell>
          <cell r="O697" t="str">
            <v>0.00%</v>
          </cell>
          <cell r="P697">
            <v>253.92</v>
          </cell>
          <cell r="Q697">
            <v>4611.1871999999994</v>
          </cell>
          <cell r="R697">
            <v>1</v>
          </cell>
        </row>
        <row r="698">
          <cell r="A698" t="str">
            <v>09.02.04</v>
          </cell>
          <cell r="B698" t="str">
            <v>TARRAJEO DE SUPERFICIE COLUMNAS INCL. ARISTAS MEZCLA 1:5 CEMENTO:ARENA</v>
          </cell>
          <cell r="C698" t="str">
            <v>m2</v>
          </cell>
          <cell r="D698">
            <v>326</v>
          </cell>
          <cell r="E698">
            <v>29.04</v>
          </cell>
          <cell r="F698">
            <v>9467.0399999999991</v>
          </cell>
          <cell r="G698">
            <v>0</v>
          </cell>
          <cell r="H698">
            <v>0</v>
          </cell>
          <cell r="I698" t="str">
            <v>0.00%</v>
          </cell>
          <cell r="J698">
            <v>142.94499999999999</v>
          </cell>
          <cell r="K698">
            <v>4151.1228000000001</v>
          </cell>
          <cell r="L698">
            <v>0.43848159509202461</v>
          </cell>
          <cell r="M698">
            <v>142.94499999999999</v>
          </cell>
          <cell r="N698">
            <v>4151.1228000000001</v>
          </cell>
          <cell r="O698">
            <v>0.43848159509202461</v>
          </cell>
          <cell r="P698">
            <v>183.05500000000001</v>
          </cell>
          <cell r="Q698">
            <v>5315.917199999999</v>
          </cell>
          <cell r="R698">
            <v>0.56151840490797544</v>
          </cell>
        </row>
        <row r="699">
          <cell r="A699" t="str">
            <v>09.02.05</v>
          </cell>
          <cell r="B699" t="str">
            <v>TARRAJEO DE SUPERF.VIGAS INCL.ARISTAS, MEZCLA 1:5 CEMENTO:ARENA</v>
          </cell>
          <cell r="C699" t="str">
            <v>m2</v>
          </cell>
          <cell r="D699">
            <v>269.3</v>
          </cell>
          <cell r="E699">
            <v>34.25</v>
          </cell>
          <cell r="F699">
            <v>9223.5249999999996</v>
          </cell>
          <cell r="G699">
            <v>0</v>
          </cell>
          <cell r="H699">
            <v>0</v>
          </cell>
          <cell r="I699" t="str">
            <v>0.00%</v>
          </cell>
          <cell r="J699">
            <v>131.06200000000004</v>
          </cell>
          <cell r="K699">
            <v>4488.8735000000015</v>
          </cell>
          <cell r="L699">
            <v>0.48667656888228761</v>
          </cell>
          <cell r="M699">
            <v>131.06200000000004</v>
          </cell>
          <cell r="N699">
            <v>4488.8735000000015</v>
          </cell>
          <cell r="O699">
            <v>0.48667656888228761</v>
          </cell>
          <cell r="P699">
            <v>138.23799999999997</v>
          </cell>
          <cell r="Q699">
            <v>4734.6514999999981</v>
          </cell>
          <cell r="R699">
            <v>0.51332343111771239</v>
          </cell>
        </row>
        <row r="700">
          <cell r="A700" t="str">
            <v>09.02.06</v>
          </cell>
          <cell r="B700" t="str">
            <v>TARRAJEO CON IMPERMEABILIZANTE EN COBERTURAS</v>
          </cell>
          <cell r="C700" t="str">
            <v>m2</v>
          </cell>
          <cell r="D700">
            <v>258.23</v>
          </cell>
          <cell r="E700">
            <v>60.76</v>
          </cell>
          <cell r="F700">
            <v>15690.0548</v>
          </cell>
          <cell r="G700">
            <v>0</v>
          </cell>
          <cell r="H700">
            <v>0</v>
          </cell>
          <cell r="I700" t="str">
            <v>0.00%</v>
          </cell>
          <cell r="J700">
            <v>0</v>
          </cell>
          <cell r="K700">
            <v>0</v>
          </cell>
          <cell r="L700" t="str">
            <v>0.00%</v>
          </cell>
          <cell r="M700">
            <v>0</v>
          </cell>
          <cell r="N700">
            <v>0</v>
          </cell>
          <cell r="O700" t="str">
            <v>0.00%</v>
          </cell>
          <cell r="P700">
            <v>258.23</v>
          </cell>
          <cell r="Q700">
            <v>15690.0548</v>
          </cell>
          <cell r="R700">
            <v>1</v>
          </cell>
        </row>
        <row r="701">
          <cell r="A701" t="str">
            <v>09.02.07</v>
          </cell>
          <cell r="B701" t="str">
            <v>TARRAJEO EN CUNETA DE EVACUACION PLUVIAL EXTERIOR - TECHO</v>
          </cell>
          <cell r="C701" t="str">
            <v>m2</v>
          </cell>
          <cell r="D701">
            <v>79.489999999999995</v>
          </cell>
          <cell r="E701">
            <v>39.65</v>
          </cell>
          <cell r="F701">
            <v>3151.7784999999999</v>
          </cell>
          <cell r="G701">
            <v>0</v>
          </cell>
          <cell r="H701">
            <v>0</v>
          </cell>
          <cell r="I701" t="str">
            <v>0.00%</v>
          </cell>
          <cell r="J701">
            <v>0</v>
          </cell>
          <cell r="K701">
            <v>0</v>
          </cell>
          <cell r="L701" t="str">
            <v>0.00%</v>
          </cell>
          <cell r="M701">
            <v>0</v>
          </cell>
          <cell r="N701">
            <v>0</v>
          </cell>
          <cell r="O701" t="str">
            <v>0.00%</v>
          </cell>
          <cell r="P701">
            <v>79.489999999999995</v>
          </cell>
          <cell r="Q701">
            <v>3151.7784999999999</v>
          </cell>
          <cell r="R701">
            <v>1</v>
          </cell>
        </row>
        <row r="702">
          <cell r="A702" t="str">
            <v>09.02.08</v>
          </cell>
          <cell r="B702" t="str">
            <v>TARRAJEO CON IMPERMEABILIZANTE EN  CUNETA INTERIOR - TECHO</v>
          </cell>
          <cell r="C702" t="str">
            <v>m2</v>
          </cell>
          <cell r="D702">
            <v>54.82</v>
          </cell>
          <cell r="E702">
            <v>42.36</v>
          </cell>
          <cell r="F702">
            <v>2322.1752000000001</v>
          </cell>
          <cell r="G702">
            <v>0</v>
          </cell>
          <cell r="H702">
            <v>0</v>
          </cell>
          <cell r="I702" t="str">
            <v>0.00%</v>
          </cell>
          <cell r="J702">
            <v>0</v>
          </cell>
          <cell r="K702">
            <v>0</v>
          </cell>
          <cell r="L702" t="str">
            <v>0.00%</v>
          </cell>
          <cell r="M702">
            <v>0</v>
          </cell>
          <cell r="N702">
            <v>0</v>
          </cell>
          <cell r="O702" t="str">
            <v>0.00%</v>
          </cell>
          <cell r="P702">
            <v>54.82</v>
          </cell>
          <cell r="Q702">
            <v>2322.1752000000001</v>
          </cell>
          <cell r="R702">
            <v>1</v>
          </cell>
        </row>
        <row r="703">
          <cell r="A703" t="str">
            <v>09.02.09</v>
          </cell>
          <cell r="B703" t="str">
            <v xml:space="preserve">VESTIDURA DE DERRAMES </v>
          </cell>
          <cell r="C703" t="str">
            <v>m</v>
          </cell>
          <cell r="D703">
            <v>376.92</v>
          </cell>
          <cell r="E703">
            <v>24.82</v>
          </cell>
          <cell r="F703">
            <v>9355.1544000000013</v>
          </cell>
          <cell r="G703">
            <v>0</v>
          </cell>
          <cell r="H703">
            <v>0</v>
          </cell>
          <cell r="I703" t="str">
            <v>0.00%</v>
          </cell>
          <cell r="J703">
            <v>0</v>
          </cell>
          <cell r="K703">
            <v>0</v>
          </cell>
          <cell r="L703" t="str">
            <v>0.00%</v>
          </cell>
          <cell r="M703">
            <v>0</v>
          </cell>
          <cell r="N703">
            <v>0</v>
          </cell>
          <cell r="O703" t="str">
            <v>0.00%</v>
          </cell>
          <cell r="P703">
            <v>376.92</v>
          </cell>
          <cell r="Q703">
            <v>9355.1544000000013</v>
          </cell>
          <cell r="R703">
            <v>1</v>
          </cell>
        </row>
        <row r="704">
          <cell r="A704" t="str">
            <v>09.02.10</v>
          </cell>
          <cell r="B704" t="str">
            <v>BRUÑA DE 1CM ENTRE MUROS Y ESTRUCTURAS</v>
          </cell>
          <cell r="C704" t="str">
            <v>m</v>
          </cell>
          <cell r="D704">
            <v>1184.76</v>
          </cell>
          <cell r="E704">
            <v>2.08</v>
          </cell>
          <cell r="F704">
            <v>2464.3008</v>
          </cell>
          <cell r="G704">
            <v>0</v>
          </cell>
          <cell r="H704">
            <v>0</v>
          </cell>
          <cell r="I704" t="str">
            <v>0.00%</v>
          </cell>
          <cell r="J704">
            <v>594.58000000000015</v>
          </cell>
          <cell r="K704">
            <v>1236.7264000000005</v>
          </cell>
          <cell r="L704">
            <v>0.50185691616867567</v>
          </cell>
          <cell r="M704">
            <v>594.58000000000015</v>
          </cell>
          <cell r="N704">
            <v>1236.7264000000005</v>
          </cell>
          <cell r="O704">
            <v>0.50185691616867567</v>
          </cell>
          <cell r="P704">
            <v>590.17999999999984</v>
          </cell>
          <cell r="Q704">
            <v>1227.5743999999995</v>
          </cell>
          <cell r="R704">
            <v>0.49814308383132427</v>
          </cell>
        </row>
        <row r="705">
          <cell r="A705" t="str">
            <v>09.03</v>
          </cell>
          <cell r="B705" t="str">
            <v>ESTRUCTURAS METALICAS</v>
          </cell>
          <cell r="C705">
            <v>0</v>
          </cell>
          <cell r="D705">
            <v>0</v>
          </cell>
          <cell r="E705">
            <v>0</v>
          </cell>
          <cell r="F705">
            <v>0</v>
          </cell>
          <cell r="G705">
            <v>0</v>
          </cell>
          <cell r="H705">
            <v>0</v>
          </cell>
          <cell r="I705">
            <v>0</v>
          </cell>
          <cell r="J705">
            <v>0</v>
          </cell>
          <cell r="K705">
            <v>0</v>
          </cell>
          <cell r="L705">
            <v>0</v>
          </cell>
          <cell r="M705">
            <v>0</v>
          </cell>
          <cell r="N705">
            <v>0</v>
          </cell>
          <cell r="O705">
            <v>0</v>
          </cell>
          <cell r="P705">
            <v>0</v>
          </cell>
          <cell r="Q705">
            <v>0</v>
          </cell>
          <cell r="R705">
            <v>0</v>
          </cell>
        </row>
        <row r="706">
          <cell r="A706" t="str">
            <v>09.03.01</v>
          </cell>
          <cell r="B706" t="str">
            <v>CORREAS DE TUBO LAC 2"X2"X2mm</v>
          </cell>
          <cell r="C706" t="str">
            <v>m</v>
          </cell>
          <cell r="D706">
            <v>406.5</v>
          </cell>
          <cell r="E706">
            <v>28.38</v>
          </cell>
          <cell r="F706">
            <v>11536.47</v>
          </cell>
          <cell r="G706">
            <v>0</v>
          </cell>
          <cell r="H706">
            <v>0</v>
          </cell>
          <cell r="I706" t="str">
            <v>0.00%</v>
          </cell>
          <cell r="J706">
            <v>0</v>
          </cell>
          <cell r="K706">
            <v>0</v>
          </cell>
          <cell r="L706" t="str">
            <v>0.00%</v>
          </cell>
          <cell r="M706">
            <v>0</v>
          </cell>
          <cell r="N706">
            <v>0</v>
          </cell>
          <cell r="O706" t="str">
            <v>0.00%</v>
          </cell>
          <cell r="P706">
            <v>406.5</v>
          </cell>
          <cell r="Q706">
            <v>11536.47</v>
          </cell>
          <cell r="R706">
            <v>1</v>
          </cell>
        </row>
        <row r="707">
          <cell r="A707" t="str">
            <v>09.03.02</v>
          </cell>
          <cell r="B707" t="str">
            <v>TIJERAL TIPO - II CON TUBO RECTANGULAR LAC (SEGUN DISEÑO)</v>
          </cell>
          <cell r="C707" t="str">
            <v>und</v>
          </cell>
          <cell r="D707">
            <v>8</v>
          </cell>
          <cell r="E707">
            <v>562.24</v>
          </cell>
          <cell r="F707">
            <v>4497.92</v>
          </cell>
          <cell r="G707">
            <v>0</v>
          </cell>
          <cell r="H707">
            <v>0</v>
          </cell>
          <cell r="I707" t="str">
            <v>0.00%</v>
          </cell>
          <cell r="J707">
            <v>0</v>
          </cell>
          <cell r="K707">
            <v>0</v>
          </cell>
          <cell r="L707" t="str">
            <v>0.00%</v>
          </cell>
          <cell r="M707">
            <v>0</v>
          </cell>
          <cell r="N707">
            <v>0</v>
          </cell>
          <cell r="O707" t="str">
            <v>0.00%</v>
          </cell>
          <cell r="P707">
            <v>8</v>
          </cell>
          <cell r="Q707">
            <v>4497.92</v>
          </cell>
          <cell r="R707">
            <v>1</v>
          </cell>
        </row>
        <row r="708">
          <cell r="A708" t="str">
            <v>09.04</v>
          </cell>
          <cell r="B708" t="str">
            <v>COBERTURA</v>
          </cell>
          <cell r="C708">
            <v>0</v>
          </cell>
          <cell r="D708">
            <v>0</v>
          </cell>
          <cell r="E708">
            <v>0</v>
          </cell>
          <cell r="F708">
            <v>0</v>
          </cell>
          <cell r="G708">
            <v>0</v>
          </cell>
          <cell r="H708">
            <v>0</v>
          </cell>
          <cell r="I708">
            <v>0</v>
          </cell>
          <cell r="J708">
            <v>0</v>
          </cell>
          <cell r="K708">
            <v>0</v>
          </cell>
          <cell r="L708">
            <v>0</v>
          </cell>
          <cell r="M708">
            <v>0</v>
          </cell>
          <cell r="N708">
            <v>0</v>
          </cell>
          <cell r="O708">
            <v>0</v>
          </cell>
          <cell r="P708">
            <v>0</v>
          </cell>
          <cell r="Q708">
            <v>0</v>
          </cell>
          <cell r="R708">
            <v>0</v>
          </cell>
        </row>
        <row r="709">
          <cell r="A709" t="str">
            <v>09.04.01</v>
          </cell>
          <cell r="B709" t="str">
            <v>COBERTURA DE PLACA ONDUVILLA</v>
          </cell>
          <cell r="C709" t="str">
            <v>m2</v>
          </cell>
          <cell r="D709">
            <v>220.41</v>
          </cell>
          <cell r="E709">
            <v>147.85</v>
          </cell>
          <cell r="F709">
            <v>32587.618499999997</v>
          </cell>
          <cell r="G709">
            <v>0</v>
          </cell>
          <cell r="H709">
            <v>0</v>
          </cell>
          <cell r="I709" t="str">
            <v>0.00%</v>
          </cell>
          <cell r="J709">
            <v>0</v>
          </cell>
          <cell r="K709">
            <v>0</v>
          </cell>
          <cell r="L709" t="str">
            <v>0.00%</v>
          </cell>
          <cell r="M709">
            <v>0</v>
          </cell>
          <cell r="N709">
            <v>0</v>
          </cell>
          <cell r="O709" t="str">
            <v>0.00%</v>
          </cell>
          <cell r="P709">
            <v>220.41</v>
          </cell>
          <cell r="Q709">
            <v>32587.618499999997</v>
          </cell>
          <cell r="R709">
            <v>1</v>
          </cell>
        </row>
        <row r="710">
          <cell r="A710" t="str">
            <v>09.04.02</v>
          </cell>
          <cell r="B710" t="str">
            <v>CUMBRERA DE ONDUVILLA</v>
          </cell>
          <cell r="C710" t="str">
            <v>m</v>
          </cell>
          <cell r="D710">
            <v>23.45</v>
          </cell>
          <cell r="E710">
            <v>101.1</v>
          </cell>
          <cell r="F710">
            <v>2370.7949999999996</v>
          </cell>
          <cell r="G710">
            <v>0</v>
          </cell>
          <cell r="H710">
            <v>0</v>
          </cell>
          <cell r="I710" t="str">
            <v>0.00%</v>
          </cell>
          <cell r="J710">
            <v>0</v>
          </cell>
          <cell r="K710">
            <v>0</v>
          </cell>
          <cell r="L710" t="str">
            <v>0.00%</v>
          </cell>
          <cell r="M710">
            <v>0</v>
          </cell>
          <cell r="N710">
            <v>0</v>
          </cell>
          <cell r="O710" t="str">
            <v>0.00%</v>
          </cell>
          <cell r="P710">
            <v>23.45</v>
          </cell>
          <cell r="Q710">
            <v>2370.7949999999996</v>
          </cell>
          <cell r="R710">
            <v>1</v>
          </cell>
        </row>
        <row r="711">
          <cell r="A711" t="str">
            <v>09.04.03</v>
          </cell>
          <cell r="B711" t="str">
            <v>COBERTURA LADRILLO PASTELERO ASENTADO C/MEZCLA</v>
          </cell>
          <cell r="C711" t="str">
            <v>m2</v>
          </cell>
          <cell r="D711">
            <v>37.82</v>
          </cell>
          <cell r="E711">
            <v>45.53</v>
          </cell>
          <cell r="F711">
            <v>1721.9446</v>
          </cell>
          <cell r="G711">
            <v>0</v>
          </cell>
          <cell r="H711">
            <v>0</v>
          </cell>
          <cell r="I711" t="str">
            <v>0.00%</v>
          </cell>
          <cell r="J711">
            <v>0</v>
          </cell>
          <cell r="K711">
            <v>0</v>
          </cell>
          <cell r="L711" t="str">
            <v>0.00%</v>
          </cell>
          <cell r="M711">
            <v>0</v>
          </cell>
          <cell r="N711">
            <v>0</v>
          </cell>
          <cell r="O711" t="str">
            <v>0.00%</v>
          </cell>
          <cell r="P711">
            <v>37.82</v>
          </cell>
          <cell r="Q711">
            <v>1721.9446</v>
          </cell>
          <cell r="R711">
            <v>1</v>
          </cell>
        </row>
        <row r="712">
          <cell r="A712" t="str">
            <v>09.04.04</v>
          </cell>
          <cell r="B712" t="str">
            <v>COBERTURA DE POLICARBONATO ALVEOLAR TRASLUCIDO DE 6 MM.</v>
          </cell>
          <cell r="C712" t="str">
            <v>m2</v>
          </cell>
          <cell r="D712">
            <v>70.17</v>
          </cell>
          <cell r="E712">
            <v>63.81</v>
          </cell>
          <cell r="F712">
            <v>4477.5477000000001</v>
          </cell>
          <cell r="G712">
            <v>0</v>
          </cell>
          <cell r="H712">
            <v>0</v>
          </cell>
          <cell r="I712" t="str">
            <v>0.00%</v>
          </cell>
          <cell r="J712">
            <v>0</v>
          </cell>
          <cell r="K712">
            <v>0</v>
          </cell>
          <cell r="L712" t="str">
            <v>0.00%</v>
          </cell>
          <cell r="M712">
            <v>0</v>
          </cell>
          <cell r="N712">
            <v>0</v>
          </cell>
          <cell r="O712" t="str">
            <v>0.00%</v>
          </cell>
          <cell r="P712">
            <v>70.17</v>
          </cell>
          <cell r="Q712">
            <v>4477.5477000000001</v>
          </cell>
          <cell r="R712">
            <v>1</v>
          </cell>
        </row>
        <row r="713">
          <cell r="A713" t="str">
            <v>09.05</v>
          </cell>
          <cell r="B713" t="str">
            <v>CIELORRASOS</v>
          </cell>
          <cell r="C713">
            <v>0</v>
          </cell>
          <cell r="D713">
            <v>0</v>
          </cell>
          <cell r="E713">
            <v>0</v>
          </cell>
          <cell r="F713">
            <v>0</v>
          </cell>
          <cell r="G713">
            <v>0</v>
          </cell>
          <cell r="H713">
            <v>0</v>
          </cell>
          <cell r="I713">
            <v>0</v>
          </cell>
          <cell r="J713">
            <v>0</v>
          </cell>
          <cell r="K713">
            <v>0</v>
          </cell>
          <cell r="L713">
            <v>0</v>
          </cell>
          <cell r="M713">
            <v>0</v>
          </cell>
          <cell r="N713">
            <v>0</v>
          </cell>
          <cell r="O713">
            <v>0</v>
          </cell>
          <cell r="P713">
            <v>0</v>
          </cell>
          <cell r="Q713">
            <v>0</v>
          </cell>
          <cell r="R713">
            <v>0</v>
          </cell>
        </row>
        <row r="714">
          <cell r="A714" t="str">
            <v>09.05.01</v>
          </cell>
          <cell r="B714" t="str">
            <v>CIELORRASOS CON MEZCLA C:A 1:5 e= 1.5 CM</v>
          </cell>
          <cell r="C714" t="str">
            <v>m2</v>
          </cell>
          <cell r="D714">
            <v>501.16</v>
          </cell>
          <cell r="E714">
            <v>41.21</v>
          </cell>
          <cell r="F714">
            <v>20652.803600000003</v>
          </cell>
          <cell r="G714">
            <v>0</v>
          </cell>
          <cell r="H714">
            <v>0</v>
          </cell>
          <cell r="I714" t="str">
            <v>0.00%</v>
          </cell>
          <cell r="J714">
            <v>222.16499999999996</v>
          </cell>
          <cell r="K714">
            <v>9155.419649999998</v>
          </cell>
          <cell r="L714">
            <v>0.443301540426211</v>
          </cell>
          <cell r="M714">
            <v>222.16499999999996</v>
          </cell>
          <cell r="N714">
            <v>9155.419649999998</v>
          </cell>
          <cell r="O714">
            <v>0.443301540426211</v>
          </cell>
          <cell r="P714">
            <v>278.99500000000006</v>
          </cell>
          <cell r="Q714">
            <v>11497.383950000005</v>
          </cell>
          <cell r="R714">
            <v>0.55669845957378894</v>
          </cell>
        </row>
        <row r="715">
          <cell r="A715" t="str">
            <v>09.06</v>
          </cell>
          <cell r="B715" t="str">
            <v>PISOS Y PAVIMENTOS</v>
          </cell>
          <cell r="C715">
            <v>0</v>
          </cell>
          <cell r="D715">
            <v>0</v>
          </cell>
          <cell r="E715">
            <v>0</v>
          </cell>
          <cell r="F715">
            <v>0</v>
          </cell>
          <cell r="G715">
            <v>0</v>
          </cell>
          <cell r="H715">
            <v>0</v>
          </cell>
          <cell r="I715">
            <v>0</v>
          </cell>
          <cell r="J715">
            <v>0</v>
          </cell>
          <cell r="K715">
            <v>0</v>
          </cell>
          <cell r="L715">
            <v>0</v>
          </cell>
          <cell r="M715">
            <v>0</v>
          </cell>
          <cell r="N715">
            <v>0</v>
          </cell>
          <cell r="O715">
            <v>0</v>
          </cell>
          <cell r="P715">
            <v>0</v>
          </cell>
          <cell r="Q715">
            <v>0</v>
          </cell>
          <cell r="R715">
            <v>0</v>
          </cell>
        </row>
        <row r="716">
          <cell r="A716" t="str">
            <v>09.06.01</v>
          </cell>
          <cell r="B716" t="str">
            <v>FALSO PISO DE 4" DE CONCRETO 1:10</v>
          </cell>
          <cell r="C716" t="str">
            <v>m2</v>
          </cell>
          <cell r="D716">
            <v>296.08999999999997</v>
          </cell>
          <cell r="E716">
            <v>34.700000000000003</v>
          </cell>
          <cell r="F716">
            <v>10274.323</v>
          </cell>
          <cell r="G716">
            <v>0</v>
          </cell>
          <cell r="H716">
            <v>0</v>
          </cell>
          <cell r="I716" t="str">
            <v>0.00%</v>
          </cell>
          <cell r="J716">
            <v>0</v>
          </cell>
          <cell r="K716">
            <v>0</v>
          </cell>
          <cell r="L716" t="str">
            <v>0.00%</v>
          </cell>
          <cell r="M716">
            <v>0</v>
          </cell>
          <cell r="N716">
            <v>0</v>
          </cell>
          <cell r="O716" t="str">
            <v>0.00%</v>
          </cell>
          <cell r="P716">
            <v>296.08999999999997</v>
          </cell>
          <cell r="Q716">
            <v>10274.323</v>
          </cell>
          <cell r="R716">
            <v>1</v>
          </cell>
        </row>
        <row r="717">
          <cell r="A717" t="str">
            <v>09.06.02</v>
          </cell>
          <cell r="B717" t="str">
            <v>CONTRAPISO DE 48 MM.</v>
          </cell>
          <cell r="C717" t="str">
            <v>m2</v>
          </cell>
          <cell r="D717">
            <v>560.55999999999995</v>
          </cell>
          <cell r="E717">
            <v>33.57</v>
          </cell>
          <cell r="F717">
            <v>18817.999199999998</v>
          </cell>
          <cell r="G717">
            <v>0</v>
          </cell>
          <cell r="H717">
            <v>0</v>
          </cell>
          <cell r="I717" t="str">
            <v>0.00%</v>
          </cell>
          <cell r="J717">
            <v>0</v>
          </cell>
          <cell r="K717">
            <v>0</v>
          </cell>
          <cell r="L717" t="str">
            <v>0.00%</v>
          </cell>
          <cell r="M717">
            <v>0</v>
          </cell>
          <cell r="N717">
            <v>0</v>
          </cell>
          <cell r="O717" t="str">
            <v>0.00%</v>
          </cell>
          <cell r="P717">
            <v>560.55999999999995</v>
          </cell>
          <cell r="Q717">
            <v>18817.999199999998</v>
          </cell>
          <cell r="R717">
            <v>1</v>
          </cell>
        </row>
        <row r="718">
          <cell r="A718" t="str">
            <v>09.06.03</v>
          </cell>
          <cell r="B718" t="str">
            <v>PISO DE PORCELANATO 0.60 x 0.60 m.</v>
          </cell>
          <cell r="C718" t="str">
            <v>m2</v>
          </cell>
          <cell r="D718">
            <v>491.8</v>
          </cell>
          <cell r="E718">
            <v>182.85</v>
          </cell>
          <cell r="F718">
            <v>89925.63</v>
          </cell>
          <cell r="G718">
            <v>0</v>
          </cell>
          <cell r="H718">
            <v>0</v>
          </cell>
          <cell r="I718" t="str">
            <v>0.00%</v>
          </cell>
          <cell r="J718">
            <v>0</v>
          </cell>
          <cell r="K718">
            <v>0</v>
          </cell>
          <cell r="L718" t="str">
            <v>0.00%</v>
          </cell>
          <cell r="M718">
            <v>0</v>
          </cell>
          <cell r="N718">
            <v>0</v>
          </cell>
          <cell r="O718" t="str">
            <v>0.00%</v>
          </cell>
          <cell r="P718">
            <v>491.8</v>
          </cell>
          <cell r="Q718">
            <v>89925.63</v>
          </cell>
          <cell r="R718">
            <v>1</v>
          </cell>
        </row>
        <row r="719">
          <cell r="A719" t="str">
            <v>09.06.04</v>
          </cell>
          <cell r="B719" t="str">
            <v>PISO DE CERAMICO ANTIDESLIZANTE AT. 0.40x0.40 M</v>
          </cell>
          <cell r="C719" t="str">
            <v>m2</v>
          </cell>
          <cell r="D719">
            <v>68.760000000000005</v>
          </cell>
          <cell r="E719">
            <v>56.63</v>
          </cell>
          <cell r="F719">
            <v>3893.8788000000004</v>
          </cell>
          <cell r="G719">
            <v>0</v>
          </cell>
          <cell r="H719">
            <v>0</v>
          </cell>
          <cell r="I719" t="str">
            <v>0.00%</v>
          </cell>
          <cell r="J719">
            <v>0</v>
          </cell>
          <cell r="K719">
            <v>0</v>
          </cell>
          <cell r="L719" t="str">
            <v>0.00%</v>
          </cell>
          <cell r="M719">
            <v>0</v>
          </cell>
          <cell r="N719">
            <v>0</v>
          </cell>
          <cell r="O719" t="str">
            <v>0.00%</v>
          </cell>
          <cell r="P719">
            <v>68.760000000000005</v>
          </cell>
          <cell r="Q719">
            <v>3893.8788000000004</v>
          </cell>
          <cell r="R719">
            <v>1</v>
          </cell>
        </row>
        <row r="720">
          <cell r="A720" t="str">
            <v>09.06.05</v>
          </cell>
          <cell r="B720" t="str">
            <v>PISO DE CEMENTO FROTACHADO BRUÑADO</v>
          </cell>
          <cell r="C720" t="str">
            <v>m2</v>
          </cell>
          <cell r="D720">
            <v>16.260000000000002</v>
          </cell>
          <cell r="E720">
            <v>18.29</v>
          </cell>
          <cell r="F720">
            <v>297.3954</v>
          </cell>
          <cell r="G720">
            <v>0</v>
          </cell>
          <cell r="H720">
            <v>0</v>
          </cell>
          <cell r="I720" t="str">
            <v>0.00%</v>
          </cell>
          <cell r="J720">
            <v>0</v>
          </cell>
          <cell r="K720">
            <v>0</v>
          </cell>
          <cell r="L720" t="str">
            <v>0.00%</v>
          </cell>
          <cell r="M720">
            <v>0</v>
          </cell>
          <cell r="N720">
            <v>0</v>
          </cell>
          <cell r="O720" t="str">
            <v>0.00%</v>
          </cell>
          <cell r="P720">
            <v>16.260000000000002</v>
          </cell>
          <cell r="Q720">
            <v>297.3954</v>
          </cell>
          <cell r="R720">
            <v>1</v>
          </cell>
        </row>
        <row r="721">
          <cell r="A721" t="str">
            <v>09.07</v>
          </cell>
          <cell r="B721" t="str">
            <v>VEREDA</v>
          </cell>
          <cell r="C721">
            <v>0</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row>
        <row r="722">
          <cell r="A722" t="str">
            <v>09.07.01</v>
          </cell>
          <cell r="B722" t="str">
            <v>AFIRMADO DE 4" PARA VEREDAS</v>
          </cell>
          <cell r="C722" t="str">
            <v>m2</v>
          </cell>
          <cell r="D722">
            <v>16.260000000000002</v>
          </cell>
          <cell r="E722">
            <v>11.27</v>
          </cell>
          <cell r="F722">
            <v>183.25020000000001</v>
          </cell>
          <cell r="G722">
            <v>0</v>
          </cell>
          <cell r="H722">
            <v>0</v>
          </cell>
          <cell r="I722" t="str">
            <v>0.00%</v>
          </cell>
          <cell r="J722">
            <v>0</v>
          </cell>
          <cell r="K722">
            <v>0</v>
          </cell>
          <cell r="L722" t="str">
            <v>0.00%</v>
          </cell>
          <cell r="M722">
            <v>0</v>
          </cell>
          <cell r="N722">
            <v>0</v>
          </cell>
          <cell r="O722" t="str">
            <v>0.00%</v>
          </cell>
          <cell r="P722">
            <v>16.260000000000002</v>
          </cell>
          <cell r="Q722">
            <v>183.25020000000001</v>
          </cell>
          <cell r="R722">
            <v>1</v>
          </cell>
        </row>
        <row r="723">
          <cell r="A723" t="str">
            <v>09.07.02</v>
          </cell>
          <cell r="B723" t="str">
            <v>VEREDA DE CONCRETO F'C= 175 KG/CM2.</v>
          </cell>
          <cell r="C723" t="str">
            <v>m2</v>
          </cell>
          <cell r="D723">
            <v>16.260000000000002</v>
          </cell>
          <cell r="E723">
            <v>64.63</v>
          </cell>
          <cell r="F723">
            <v>1050.8838000000001</v>
          </cell>
          <cell r="G723">
            <v>0</v>
          </cell>
          <cell r="H723">
            <v>0</v>
          </cell>
          <cell r="I723" t="str">
            <v>0.00%</v>
          </cell>
          <cell r="J723">
            <v>0</v>
          </cell>
          <cell r="K723">
            <v>0</v>
          </cell>
          <cell r="L723" t="str">
            <v>0.00%</v>
          </cell>
          <cell r="M723">
            <v>0</v>
          </cell>
          <cell r="N723">
            <v>0</v>
          </cell>
          <cell r="O723" t="str">
            <v>0.00%</v>
          </cell>
          <cell r="P723">
            <v>16.260000000000002</v>
          </cell>
          <cell r="Q723">
            <v>1050.8838000000001</v>
          </cell>
          <cell r="R723">
            <v>1</v>
          </cell>
        </row>
        <row r="724">
          <cell r="A724" t="str">
            <v>09.07.03</v>
          </cell>
          <cell r="B724" t="str">
            <v>ENCOFRADO Y DESENCOFRADO DE VEREDA</v>
          </cell>
          <cell r="C724" t="str">
            <v>m2</v>
          </cell>
          <cell r="D724">
            <v>4.91</v>
          </cell>
          <cell r="E724">
            <v>45.51</v>
          </cell>
          <cell r="F724">
            <v>223.45409999999998</v>
          </cell>
          <cell r="G724">
            <v>0</v>
          </cell>
          <cell r="H724">
            <v>0</v>
          </cell>
          <cell r="I724" t="str">
            <v>0.00%</v>
          </cell>
          <cell r="J724">
            <v>0</v>
          </cell>
          <cell r="K724">
            <v>0</v>
          </cell>
          <cell r="L724" t="str">
            <v>0.00%</v>
          </cell>
          <cell r="M724">
            <v>0</v>
          </cell>
          <cell r="N724">
            <v>0</v>
          </cell>
          <cell r="O724" t="str">
            <v>0.00%</v>
          </cell>
          <cell r="P724">
            <v>4.91</v>
          </cell>
          <cell r="Q724">
            <v>223.45409999999998</v>
          </cell>
          <cell r="R724">
            <v>1</v>
          </cell>
        </row>
        <row r="725">
          <cell r="A725" t="str">
            <v>09.08</v>
          </cell>
          <cell r="B725" t="str">
            <v>ZOCALOS Y CONTRAZOCALOS</v>
          </cell>
          <cell r="C725">
            <v>0</v>
          </cell>
          <cell r="D725">
            <v>0</v>
          </cell>
          <cell r="E725">
            <v>0</v>
          </cell>
          <cell r="F725">
            <v>0</v>
          </cell>
          <cell r="G725">
            <v>0</v>
          </cell>
          <cell r="H725">
            <v>0</v>
          </cell>
          <cell r="I725">
            <v>0</v>
          </cell>
          <cell r="J725">
            <v>0</v>
          </cell>
          <cell r="K725">
            <v>0</v>
          </cell>
          <cell r="L725">
            <v>0</v>
          </cell>
          <cell r="M725">
            <v>0</v>
          </cell>
          <cell r="N725">
            <v>0</v>
          </cell>
          <cell r="O725">
            <v>0</v>
          </cell>
          <cell r="P725">
            <v>0</v>
          </cell>
          <cell r="Q725">
            <v>0</v>
          </cell>
          <cell r="R725">
            <v>0</v>
          </cell>
        </row>
        <row r="726">
          <cell r="A726" t="str">
            <v>09.08.01</v>
          </cell>
          <cell r="B726" t="str">
            <v>ZOCALO DE CERAMICO 0.30 x 0.20 M</v>
          </cell>
          <cell r="C726" t="str">
            <v>m2</v>
          </cell>
          <cell r="D726">
            <v>98.1</v>
          </cell>
          <cell r="E726">
            <v>64.3</v>
          </cell>
          <cell r="F726">
            <v>6307.829999999999</v>
          </cell>
          <cell r="G726">
            <v>0</v>
          </cell>
          <cell r="H726">
            <v>0</v>
          </cell>
          <cell r="I726" t="str">
            <v>0.00%</v>
          </cell>
          <cell r="J726">
            <v>0</v>
          </cell>
          <cell r="K726">
            <v>0</v>
          </cell>
          <cell r="L726" t="str">
            <v>0.00%</v>
          </cell>
          <cell r="M726">
            <v>0</v>
          </cell>
          <cell r="N726">
            <v>0</v>
          </cell>
          <cell r="O726" t="str">
            <v>0.00%</v>
          </cell>
          <cell r="P726">
            <v>98.1</v>
          </cell>
          <cell r="Q726">
            <v>6307.829999999999</v>
          </cell>
          <cell r="R726">
            <v>1</v>
          </cell>
        </row>
        <row r="727">
          <cell r="A727" t="str">
            <v>09.08.02</v>
          </cell>
          <cell r="B727" t="str">
            <v>ZOCALO DE CEMENTO PULIDO C/MORTERO 1:5 DE 2CM. DE H= 40 CM. - EXTERIOR</v>
          </cell>
          <cell r="C727" t="str">
            <v>m</v>
          </cell>
          <cell r="D727">
            <v>29.04</v>
          </cell>
          <cell r="E727">
            <v>13.08</v>
          </cell>
          <cell r="F727">
            <v>379.84319999999997</v>
          </cell>
          <cell r="G727">
            <v>0</v>
          </cell>
          <cell r="H727">
            <v>0</v>
          </cell>
          <cell r="I727" t="str">
            <v>0.00%</v>
          </cell>
          <cell r="J727">
            <v>0</v>
          </cell>
          <cell r="K727">
            <v>0</v>
          </cell>
          <cell r="L727" t="str">
            <v>0.00%</v>
          </cell>
          <cell r="M727">
            <v>0</v>
          </cell>
          <cell r="N727">
            <v>0</v>
          </cell>
          <cell r="O727" t="str">
            <v>0.00%</v>
          </cell>
          <cell r="P727">
            <v>29.04</v>
          </cell>
          <cell r="Q727">
            <v>379.84319999999997</v>
          </cell>
          <cell r="R727">
            <v>1</v>
          </cell>
        </row>
        <row r="728">
          <cell r="A728" t="str">
            <v>09.08.03</v>
          </cell>
          <cell r="B728" t="str">
            <v>CONTRAZOCALO DE CERAMICO DE 40 x 40 CM. H=10CM. - INTERIOR</v>
          </cell>
          <cell r="C728" t="str">
            <v>m</v>
          </cell>
          <cell r="D728">
            <v>44.44</v>
          </cell>
          <cell r="E728">
            <v>14.75</v>
          </cell>
          <cell r="F728">
            <v>655.49</v>
          </cell>
          <cell r="G728">
            <v>0</v>
          </cell>
          <cell r="H728">
            <v>0</v>
          </cell>
          <cell r="I728" t="str">
            <v>0.00%</v>
          </cell>
          <cell r="J728">
            <v>0</v>
          </cell>
          <cell r="K728">
            <v>0</v>
          </cell>
          <cell r="L728" t="str">
            <v>0.00%</v>
          </cell>
          <cell r="M728">
            <v>0</v>
          </cell>
          <cell r="N728">
            <v>0</v>
          </cell>
          <cell r="O728" t="str">
            <v>0.00%</v>
          </cell>
          <cell r="P728">
            <v>44.44</v>
          </cell>
          <cell r="Q728">
            <v>655.49</v>
          </cell>
          <cell r="R728">
            <v>1</v>
          </cell>
        </row>
        <row r="729">
          <cell r="A729" t="str">
            <v>09.08.04</v>
          </cell>
          <cell r="B729" t="str">
            <v>CONTRAZOCALO DE PORCELANATO H=0.10M</v>
          </cell>
          <cell r="C729" t="str">
            <v>m</v>
          </cell>
          <cell r="D729">
            <v>204.01</v>
          </cell>
          <cell r="E729">
            <v>22.15</v>
          </cell>
          <cell r="F729">
            <v>4518.8214999999991</v>
          </cell>
          <cell r="G729">
            <v>0</v>
          </cell>
          <cell r="H729">
            <v>0</v>
          </cell>
          <cell r="I729" t="str">
            <v>0.00%</v>
          </cell>
          <cell r="J729">
            <v>0</v>
          </cell>
          <cell r="K729">
            <v>0</v>
          </cell>
          <cell r="L729" t="str">
            <v>0.00%</v>
          </cell>
          <cell r="M729">
            <v>0</v>
          </cell>
          <cell r="N729">
            <v>0</v>
          </cell>
          <cell r="O729" t="str">
            <v>0.00%</v>
          </cell>
          <cell r="P729">
            <v>204.01</v>
          </cell>
          <cell r="Q729">
            <v>4518.8214999999991</v>
          </cell>
          <cell r="R729">
            <v>1</v>
          </cell>
        </row>
        <row r="730">
          <cell r="A730" t="str">
            <v>09.09</v>
          </cell>
          <cell r="B730" t="str">
            <v>CARPINTERIA DE MADERA</v>
          </cell>
          <cell r="C730">
            <v>0</v>
          </cell>
          <cell r="D730">
            <v>0</v>
          </cell>
          <cell r="E730">
            <v>0</v>
          </cell>
          <cell r="F730">
            <v>0</v>
          </cell>
          <cell r="G730">
            <v>0</v>
          </cell>
          <cell r="H730">
            <v>0</v>
          </cell>
          <cell r="I730">
            <v>0</v>
          </cell>
          <cell r="J730">
            <v>0</v>
          </cell>
          <cell r="K730">
            <v>0</v>
          </cell>
          <cell r="L730">
            <v>0</v>
          </cell>
          <cell r="M730">
            <v>0</v>
          </cell>
          <cell r="N730">
            <v>0</v>
          </cell>
          <cell r="O730">
            <v>0</v>
          </cell>
          <cell r="P730">
            <v>0</v>
          </cell>
          <cell r="Q730">
            <v>0</v>
          </cell>
          <cell r="R730">
            <v>0</v>
          </cell>
        </row>
        <row r="731">
          <cell r="A731" t="str">
            <v>09.09.01</v>
          </cell>
          <cell r="B731" t="str">
            <v>PUERTA DE MADERA MACHIMBRADA C/SOBRE LUZ</v>
          </cell>
          <cell r="C731" t="str">
            <v>m2</v>
          </cell>
          <cell r="D731">
            <v>19.8</v>
          </cell>
          <cell r="E731">
            <v>340.61</v>
          </cell>
          <cell r="F731">
            <v>6744.0780000000004</v>
          </cell>
          <cell r="G731">
            <v>0</v>
          </cell>
          <cell r="H731">
            <v>0</v>
          </cell>
          <cell r="I731" t="str">
            <v>0.00%</v>
          </cell>
          <cell r="J731">
            <v>0</v>
          </cell>
          <cell r="K731">
            <v>0</v>
          </cell>
          <cell r="L731" t="str">
            <v>0.00%</v>
          </cell>
          <cell r="M731">
            <v>0</v>
          </cell>
          <cell r="N731">
            <v>0</v>
          </cell>
          <cell r="O731" t="str">
            <v>0.00%</v>
          </cell>
          <cell r="P731">
            <v>19.8</v>
          </cell>
          <cell r="Q731">
            <v>6744.0780000000004</v>
          </cell>
          <cell r="R731">
            <v>1</v>
          </cell>
        </row>
        <row r="732">
          <cell r="A732" t="str">
            <v>09.09.02</v>
          </cell>
          <cell r="B732" t="str">
            <v>PUERTA DE MADERA DOBLE HOJA MACHIMBRADA C/SOBRE LUZ</v>
          </cell>
          <cell r="C732" t="str">
            <v>m2</v>
          </cell>
          <cell r="D732">
            <v>26.4</v>
          </cell>
          <cell r="E732">
            <v>340.61</v>
          </cell>
          <cell r="F732">
            <v>8992.1039999999994</v>
          </cell>
          <cell r="G732">
            <v>0</v>
          </cell>
          <cell r="H732">
            <v>0</v>
          </cell>
          <cell r="I732" t="str">
            <v>0.00%</v>
          </cell>
          <cell r="J732">
            <v>0</v>
          </cell>
          <cell r="K732">
            <v>0</v>
          </cell>
          <cell r="L732" t="str">
            <v>0.00%</v>
          </cell>
          <cell r="M732">
            <v>0</v>
          </cell>
          <cell r="N732">
            <v>0</v>
          </cell>
          <cell r="O732" t="str">
            <v>0.00%</v>
          </cell>
          <cell r="P732">
            <v>26.4</v>
          </cell>
          <cell r="Q732">
            <v>8992.1039999999994</v>
          </cell>
          <cell r="R732">
            <v>1</v>
          </cell>
        </row>
        <row r="733">
          <cell r="A733" t="str">
            <v>09.09.03</v>
          </cell>
          <cell r="B733" t="str">
            <v>PUERTA CONTRAPLACADA CON PLANCHA DE TRIPLAY DE 6 mm. C/SOBRELUZ</v>
          </cell>
          <cell r="C733" t="str">
            <v>m2</v>
          </cell>
          <cell r="D733">
            <v>9.52</v>
          </cell>
          <cell r="E733">
            <v>329.53</v>
          </cell>
          <cell r="F733">
            <v>3137.1255999999994</v>
          </cell>
          <cell r="G733">
            <v>0</v>
          </cell>
          <cell r="H733">
            <v>0</v>
          </cell>
          <cell r="I733" t="str">
            <v>0.00%</v>
          </cell>
          <cell r="J733">
            <v>0</v>
          </cell>
          <cell r="K733">
            <v>0</v>
          </cell>
          <cell r="L733" t="str">
            <v>0.00%</v>
          </cell>
          <cell r="M733">
            <v>0</v>
          </cell>
          <cell r="N733">
            <v>0</v>
          </cell>
          <cell r="O733" t="str">
            <v>0.00%</v>
          </cell>
          <cell r="P733">
            <v>9.52</v>
          </cell>
          <cell r="Q733">
            <v>3137.1255999999994</v>
          </cell>
          <cell r="R733">
            <v>1</v>
          </cell>
        </row>
        <row r="734">
          <cell r="A734" t="str">
            <v>09.10</v>
          </cell>
          <cell r="B734" t="str">
            <v>CARPINTERIA METALICA</v>
          </cell>
          <cell r="C734">
            <v>0</v>
          </cell>
          <cell r="D734">
            <v>0</v>
          </cell>
          <cell r="E734">
            <v>0</v>
          </cell>
          <cell r="F734">
            <v>0</v>
          </cell>
          <cell r="G734">
            <v>0</v>
          </cell>
          <cell r="H734">
            <v>0</v>
          </cell>
          <cell r="I734">
            <v>0</v>
          </cell>
          <cell r="J734">
            <v>0</v>
          </cell>
          <cell r="K734">
            <v>0</v>
          </cell>
          <cell r="L734">
            <v>0</v>
          </cell>
          <cell r="M734">
            <v>0</v>
          </cell>
          <cell r="N734">
            <v>0</v>
          </cell>
          <cell r="O734">
            <v>0</v>
          </cell>
          <cell r="P734">
            <v>0</v>
          </cell>
          <cell r="Q734">
            <v>0</v>
          </cell>
          <cell r="R734">
            <v>0</v>
          </cell>
        </row>
        <row r="735">
          <cell r="A735" t="str">
            <v>09.10.01</v>
          </cell>
          <cell r="B735" t="str">
            <v>BARANDA CON VIDRIO TEMPLADO H=1.00 M. S/D - TIPO I</v>
          </cell>
          <cell r="C735" t="str">
            <v>m</v>
          </cell>
          <cell r="D735">
            <v>20.05</v>
          </cell>
          <cell r="E735">
            <v>381.69</v>
          </cell>
          <cell r="F735">
            <v>7652.8845000000001</v>
          </cell>
          <cell r="G735">
            <v>0</v>
          </cell>
          <cell r="H735">
            <v>0</v>
          </cell>
          <cell r="I735" t="str">
            <v>0.00%</v>
          </cell>
          <cell r="J735">
            <v>0</v>
          </cell>
          <cell r="K735">
            <v>0</v>
          </cell>
          <cell r="L735" t="str">
            <v>0.00%</v>
          </cell>
          <cell r="M735">
            <v>0</v>
          </cell>
          <cell r="N735">
            <v>0</v>
          </cell>
          <cell r="O735" t="str">
            <v>0.00%</v>
          </cell>
          <cell r="P735">
            <v>20.05</v>
          </cell>
          <cell r="Q735">
            <v>7652.8845000000001</v>
          </cell>
          <cell r="R735">
            <v>1</v>
          </cell>
        </row>
        <row r="736">
          <cell r="A736" t="str">
            <v>09.10.02</v>
          </cell>
          <cell r="B736" t="str">
            <v>BARANDAS METALICAS S/D - TIPO II</v>
          </cell>
          <cell r="C736" t="str">
            <v>m</v>
          </cell>
          <cell r="D736">
            <v>13.79</v>
          </cell>
          <cell r="E736">
            <v>178.41</v>
          </cell>
          <cell r="F736">
            <v>2460.2738999999997</v>
          </cell>
          <cell r="G736">
            <v>0</v>
          </cell>
          <cell r="H736">
            <v>0</v>
          </cell>
          <cell r="I736" t="str">
            <v>0.00%</v>
          </cell>
          <cell r="J736">
            <v>0</v>
          </cell>
          <cell r="K736">
            <v>0</v>
          </cell>
          <cell r="L736" t="str">
            <v>0.00%</v>
          </cell>
          <cell r="M736">
            <v>0</v>
          </cell>
          <cell r="N736">
            <v>0</v>
          </cell>
          <cell r="O736" t="str">
            <v>0.00%</v>
          </cell>
          <cell r="P736">
            <v>13.79</v>
          </cell>
          <cell r="Q736">
            <v>2460.2738999999997</v>
          </cell>
          <cell r="R736">
            <v>1</v>
          </cell>
        </row>
        <row r="737">
          <cell r="A737" t="str">
            <v>09.11</v>
          </cell>
          <cell r="B737" t="str">
            <v>CERRAJERIA</v>
          </cell>
          <cell r="C737">
            <v>0</v>
          </cell>
          <cell r="D737">
            <v>0</v>
          </cell>
          <cell r="E737">
            <v>0</v>
          </cell>
          <cell r="F737">
            <v>0</v>
          </cell>
          <cell r="G737">
            <v>0</v>
          </cell>
          <cell r="H737">
            <v>0</v>
          </cell>
          <cell r="I737">
            <v>0</v>
          </cell>
          <cell r="J737">
            <v>0</v>
          </cell>
          <cell r="K737">
            <v>0</v>
          </cell>
          <cell r="L737">
            <v>0</v>
          </cell>
          <cell r="M737">
            <v>0</v>
          </cell>
          <cell r="N737">
            <v>0</v>
          </cell>
          <cell r="O737">
            <v>0</v>
          </cell>
          <cell r="P737">
            <v>0</v>
          </cell>
          <cell r="Q737">
            <v>0</v>
          </cell>
          <cell r="R737">
            <v>0</v>
          </cell>
        </row>
        <row r="738">
          <cell r="A738" t="str">
            <v>09.11.01</v>
          </cell>
          <cell r="B738" t="str">
            <v>BISAGRA CAPUCHINA DE 4"</v>
          </cell>
          <cell r="C738" t="str">
            <v>und</v>
          </cell>
          <cell r="D738">
            <v>112</v>
          </cell>
          <cell r="E738">
            <v>15.83</v>
          </cell>
          <cell r="F738">
            <v>1772.96</v>
          </cell>
          <cell r="G738">
            <v>0</v>
          </cell>
          <cell r="H738">
            <v>0</v>
          </cell>
          <cell r="I738" t="str">
            <v>0.00%</v>
          </cell>
          <cell r="J738">
            <v>0</v>
          </cell>
          <cell r="K738">
            <v>0</v>
          </cell>
          <cell r="L738" t="str">
            <v>0.00%</v>
          </cell>
          <cell r="M738">
            <v>0</v>
          </cell>
          <cell r="N738">
            <v>0</v>
          </cell>
          <cell r="O738" t="str">
            <v>0.00%</v>
          </cell>
          <cell r="P738">
            <v>112</v>
          </cell>
          <cell r="Q738">
            <v>1772.96</v>
          </cell>
          <cell r="R738">
            <v>1</v>
          </cell>
        </row>
        <row r="739">
          <cell r="A739" t="str">
            <v>09.11.02</v>
          </cell>
          <cell r="B739" t="str">
            <v>CERRADURA PARA PUERTA DE TRES GOLPES</v>
          </cell>
          <cell r="C739" t="str">
            <v>und</v>
          </cell>
          <cell r="D739">
            <v>6</v>
          </cell>
          <cell r="E739">
            <v>137.22999999999999</v>
          </cell>
          <cell r="F739">
            <v>823.37999999999988</v>
          </cell>
          <cell r="G739">
            <v>0</v>
          </cell>
          <cell r="H739">
            <v>0</v>
          </cell>
          <cell r="I739" t="str">
            <v>0.00%</v>
          </cell>
          <cell r="J739">
            <v>0</v>
          </cell>
          <cell r="K739">
            <v>0</v>
          </cell>
          <cell r="L739" t="str">
            <v>0.00%</v>
          </cell>
          <cell r="M739">
            <v>0</v>
          </cell>
          <cell r="N739">
            <v>0</v>
          </cell>
          <cell r="O739" t="str">
            <v>0.00%</v>
          </cell>
          <cell r="P739">
            <v>6</v>
          </cell>
          <cell r="Q739">
            <v>823.37999999999988</v>
          </cell>
          <cell r="R739">
            <v>1</v>
          </cell>
        </row>
        <row r="740">
          <cell r="A740" t="str">
            <v>09.11.03</v>
          </cell>
          <cell r="B740" t="str">
            <v>CERRADURA DE PERILLA CON SEGURIDAD INTERIOR</v>
          </cell>
          <cell r="C740" t="str">
            <v>und</v>
          </cell>
          <cell r="D740">
            <v>8</v>
          </cell>
          <cell r="E740">
            <v>92.23</v>
          </cell>
          <cell r="F740">
            <v>737.84</v>
          </cell>
          <cell r="G740">
            <v>0</v>
          </cell>
          <cell r="H740">
            <v>0</v>
          </cell>
          <cell r="I740" t="str">
            <v>0.00%</v>
          </cell>
          <cell r="J740">
            <v>0</v>
          </cell>
          <cell r="K740">
            <v>0</v>
          </cell>
          <cell r="L740" t="str">
            <v>0.00%</v>
          </cell>
          <cell r="M740">
            <v>0</v>
          </cell>
          <cell r="N740">
            <v>0</v>
          </cell>
          <cell r="O740" t="str">
            <v>0.00%</v>
          </cell>
          <cell r="P740">
            <v>8</v>
          </cell>
          <cell r="Q740">
            <v>737.84</v>
          </cell>
          <cell r="R740">
            <v>1</v>
          </cell>
        </row>
        <row r="741">
          <cell r="A741" t="str">
            <v>09.12</v>
          </cell>
          <cell r="B741" t="str">
            <v>VIDRIOS, CRISTALES Y SIMILARES</v>
          </cell>
          <cell r="C741">
            <v>0</v>
          </cell>
          <cell r="D741">
            <v>0</v>
          </cell>
          <cell r="E741">
            <v>0</v>
          </cell>
          <cell r="F741">
            <v>0</v>
          </cell>
          <cell r="G741">
            <v>0</v>
          </cell>
          <cell r="H741">
            <v>0</v>
          </cell>
          <cell r="I741">
            <v>0</v>
          </cell>
          <cell r="J741">
            <v>0</v>
          </cell>
          <cell r="K741">
            <v>0</v>
          </cell>
          <cell r="L741">
            <v>0</v>
          </cell>
          <cell r="M741">
            <v>0</v>
          </cell>
          <cell r="N741">
            <v>0</v>
          </cell>
          <cell r="O741">
            <v>0</v>
          </cell>
          <cell r="P741">
            <v>0</v>
          </cell>
          <cell r="Q741">
            <v>0</v>
          </cell>
          <cell r="R741">
            <v>0</v>
          </cell>
        </row>
        <row r="742">
          <cell r="A742" t="str">
            <v>09.12.01</v>
          </cell>
          <cell r="B742" t="str">
            <v>VIDRIO (8MM.) SISTEMA NOVA INC. ACCESORIOS</v>
          </cell>
          <cell r="C742" t="str">
            <v>p2</v>
          </cell>
          <cell r="D742">
            <v>1180.0899999999999</v>
          </cell>
          <cell r="E742">
            <v>18.54</v>
          </cell>
          <cell r="F742">
            <v>21878.868599999998</v>
          </cell>
          <cell r="G742">
            <v>0</v>
          </cell>
          <cell r="H742">
            <v>0</v>
          </cell>
          <cell r="I742" t="str">
            <v>0.00%</v>
          </cell>
          <cell r="J742">
            <v>0</v>
          </cell>
          <cell r="K742">
            <v>0</v>
          </cell>
          <cell r="L742" t="str">
            <v>0.00%</v>
          </cell>
          <cell r="M742">
            <v>0</v>
          </cell>
          <cell r="N742">
            <v>0</v>
          </cell>
          <cell r="O742" t="str">
            <v>0.00%</v>
          </cell>
          <cell r="P742">
            <v>1180.0899999999999</v>
          </cell>
          <cell r="Q742">
            <v>21878.868599999998</v>
          </cell>
          <cell r="R742">
            <v>1</v>
          </cell>
        </row>
        <row r="743">
          <cell r="A743" t="str">
            <v>09.12.02</v>
          </cell>
          <cell r="B743" t="str">
            <v>VIDRIO CRUDO INCOLORO DE 6MM.</v>
          </cell>
          <cell r="C743" t="str">
            <v>p2</v>
          </cell>
          <cell r="D743">
            <v>79.44</v>
          </cell>
          <cell r="E743">
            <v>9.51</v>
          </cell>
          <cell r="F743">
            <v>755.47439999999995</v>
          </cell>
          <cell r="G743">
            <v>0</v>
          </cell>
          <cell r="H743">
            <v>0</v>
          </cell>
          <cell r="I743" t="str">
            <v>0.00%</v>
          </cell>
          <cell r="J743">
            <v>0</v>
          </cell>
          <cell r="K743">
            <v>0</v>
          </cell>
          <cell r="L743" t="str">
            <v>0.00%</v>
          </cell>
          <cell r="M743">
            <v>0</v>
          </cell>
          <cell r="N743">
            <v>0</v>
          </cell>
          <cell r="O743" t="str">
            <v>0.00%</v>
          </cell>
          <cell r="P743">
            <v>79.44</v>
          </cell>
          <cell r="Q743">
            <v>755.47439999999995</v>
          </cell>
          <cell r="R743">
            <v>1</v>
          </cell>
        </row>
        <row r="744">
          <cell r="A744" t="str">
            <v>09.13</v>
          </cell>
          <cell r="B744" t="str">
            <v>PINTURA</v>
          </cell>
          <cell r="C744">
            <v>0</v>
          </cell>
          <cell r="D744">
            <v>0</v>
          </cell>
          <cell r="E744">
            <v>0</v>
          </cell>
          <cell r="F744">
            <v>0</v>
          </cell>
          <cell r="G744">
            <v>0</v>
          </cell>
          <cell r="H744">
            <v>0</v>
          </cell>
          <cell r="I744">
            <v>0</v>
          </cell>
          <cell r="J744">
            <v>0</v>
          </cell>
          <cell r="K744">
            <v>0</v>
          </cell>
          <cell r="L744">
            <v>0</v>
          </cell>
          <cell r="M744">
            <v>0</v>
          </cell>
          <cell r="N744">
            <v>0</v>
          </cell>
          <cell r="O744">
            <v>0</v>
          </cell>
          <cell r="P744">
            <v>0</v>
          </cell>
          <cell r="Q744">
            <v>0</v>
          </cell>
          <cell r="R744">
            <v>0</v>
          </cell>
        </row>
        <row r="745">
          <cell r="A745" t="str">
            <v>09.13.01</v>
          </cell>
          <cell r="B745" t="str">
            <v>PINTURA EN CIELORRASO</v>
          </cell>
          <cell r="C745" t="str">
            <v>m2</v>
          </cell>
          <cell r="D745">
            <v>501.16</v>
          </cell>
          <cell r="E745">
            <v>12.59</v>
          </cell>
          <cell r="F745">
            <v>6309.6044000000002</v>
          </cell>
          <cell r="G745">
            <v>0</v>
          </cell>
          <cell r="H745">
            <v>0</v>
          </cell>
          <cell r="I745" t="str">
            <v>0.00%</v>
          </cell>
          <cell r="J745">
            <v>0</v>
          </cell>
          <cell r="K745">
            <v>0</v>
          </cell>
          <cell r="L745" t="str">
            <v>0.00%</v>
          </cell>
          <cell r="M745">
            <v>0</v>
          </cell>
          <cell r="N745">
            <v>0</v>
          </cell>
          <cell r="O745" t="str">
            <v>0.00%</v>
          </cell>
          <cell r="P745">
            <v>501.16</v>
          </cell>
          <cell r="Q745">
            <v>6309.6044000000002</v>
          </cell>
          <cell r="R745">
            <v>1</v>
          </cell>
        </row>
        <row r="746">
          <cell r="A746" t="str">
            <v>09.13.02</v>
          </cell>
          <cell r="B746" t="str">
            <v xml:space="preserve">PINTURA EN INTERIORES </v>
          </cell>
          <cell r="C746" t="str">
            <v>m2</v>
          </cell>
          <cell r="D746">
            <v>479.25</v>
          </cell>
          <cell r="E746">
            <v>9.6999999999999993</v>
          </cell>
          <cell r="F746">
            <v>4648.7249999999995</v>
          </cell>
          <cell r="G746">
            <v>0</v>
          </cell>
          <cell r="H746">
            <v>0</v>
          </cell>
          <cell r="I746" t="str">
            <v>0.00%</v>
          </cell>
          <cell r="J746">
            <v>0</v>
          </cell>
          <cell r="K746">
            <v>0</v>
          </cell>
          <cell r="L746" t="str">
            <v>0.00%</v>
          </cell>
          <cell r="M746">
            <v>0</v>
          </cell>
          <cell r="N746">
            <v>0</v>
          </cell>
          <cell r="O746" t="str">
            <v>0.00%</v>
          </cell>
          <cell r="P746">
            <v>479.25</v>
          </cell>
          <cell r="Q746">
            <v>4648.7249999999995</v>
          </cell>
          <cell r="R746">
            <v>1</v>
          </cell>
        </row>
        <row r="747">
          <cell r="A747" t="str">
            <v>09.13.03</v>
          </cell>
          <cell r="B747" t="str">
            <v>PINTURA EN EXTERIORES</v>
          </cell>
          <cell r="C747" t="str">
            <v>m2</v>
          </cell>
          <cell r="D747">
            <v>95.4</v>
          </cell>
          <cell r="E747">
            <v>19.04</v>
          </cell>
          <cell r="F747">
            <v>1816.4159999999999</v>
          </cell>
          <cell r="G747">
            <v>0</v>
          </cell>
          <cell r="H747">
            <v>0</v>
          </cell>
          <cell r="I747" t="str">
            <v>0.00%</v>
          </cell>
          <cell r="J747">
            <v>0</v>
          </cell>
          <cell r="K747">
            <v>0</v>
          </cell>
          <cell r="L747" t="str">
            <v>0.00%</v>
          </cell>
          <cell r="M747">
            <v>0</v>
          </cell>
          <cell r="N747">
            <v>0</v>
          </cell>
          <cell r="O747" t="str">
            <v>0.00%</v>
          </cell>
          <cell r="P747">
            <v>95.4</v>
          </cell>
          <cell r="Q747">
            <v>1816.4159999999999</v>
          </cell>
          <cell r="R747">
            <v>1</v>
          </cell>
        </row>
        <row r="748">
          <cell r="A748" t="str">
            <v>09.13.04</v>
          </cell>
          <cell r="B748" t="str">
            <v>PINTURA EN COLUMNAS</v>
          </cell>
          <cell r="C748" t="str">
            <v>m2</v>
          </cell>
          <cell r="D748">
            <v>326</v>
          </cell>
          <cell r="E748">
            <v>10.35</v>
          </cell>
          <cell r="F748">
            <v>3374.1</v>
          </cell>
          <cell r="G748">
            <v>0</v>
          </cell>
          <cell r="H748">
            <v>0</v>
          </cell>
          <cell r="I748" t="str">
            <v>0.00%</v>
          </cell>
          <cell r="J748">
            <v>0</v>
          </cell>
          <cell r="K748">
            <v>0</v>
          </cell>
          <cell r="L748" t="str">
            <v>0.00%</v>
          </cell>
          <cell r="M748">
            <v>0</v>
          </cell>
          <cell r="N748">
            <v>0</v>
          </cell>
          <cell r="O748" t="str">
            <v>0.00%</v>
          </cell>
          <cell r="P748">
            <v>326</v>
          </cell>
          <cell r="Q748">
            <v>3374.1</v>
          </cell>
          <cell r="R748">
            <v>1</v>
          </cell>
        </row>
        <row r="749">
          <cell r="A749" t="str">
            <v>09.13.05</v>
          </cell>
          <cell r="B749" t="str">
            <v>PINTURA EN VIGA</v>
          </cell>
          <cell r="C749" t="str">
            <v>m2</v>
          </cell>
          <cell r="D749">
            <v>269.3</v>
          </cell>
          <cell r="E749">
            <v>10.35</v>
          </cell>
          <cell r="F749">
            <v>2787.2550000000001</v>
          </cell>
          <cell r="G749">
            <v>0</v>
          </cell>
          <cell r="H749">
            <v>0</v>
          </cell>
          <cell r="I749" t="str">
            <v>0.00%</v>
          </cell>
          <cell r="J749">
            <v>0</v>
          </cell>
          <cell r="K749">
            <v>0</v>
          </cell>
          <cell r="L749" t="str">
            <v>0.00%</v>
          </cell>
          <cell r="M749">
            <v>0</v>
          </cell>
          <cell r="N749">
            <v>0</v>
          </cell>
          <cell r="O749" t="str">
            <v>0.00%</v>
          </cell>
          <cell r="P749">
            <v>269.3</v>
          </cell>
          <cell r="Q749">
            <v>2787.2550000000001</v>
          </cell>
          <cell r="R749">
            <v>1</v>
          </cell>
        </row>
        <row r="750">
          <cell r="A750" t="str">
            <v>09.13.06</v>
          </cell>
          <cell r="B750" t="str">
            <v>PINTURA EN CUNETA DE EVACUACION PLUVIAL EN TECHO</v>
          </cell>
          <cell r="C750" t="str">
            <v>m2</v>
          </cell>
          <cell r="D750">
            <v>57.3</v>
          </cell>
          <cell r="E750">
            <v>9.25</v>
          </cell>
          <cell r="F750">
            <v>530.02499999999998</v>
          </cell>
          <cell r="G750">
            <v>0</v>
          </cell>
          <cell r="H750">
            <v>0</v>
          </cell>
          <cell r="I750" t="str">
            <v>0.00%</v>
          </cell>
          <cell r="J750">
            <v>0</v>
          </cell>
          <cell r="K750">
            <v>0</v>
          </cell>
          <cell r="L750" t="str">
            <v>0.00%</v>
          </cell>
          <cell r="M750">
            <v>0</v>
          </cell>
          <cell r="N750">
            <v>0</v>
          </cell>
          <cell r="O750" t="str">
            <v>0.00%</v>
          </cell>
          <cell r="P750">
            <v>57.3</v>
          </cell>
          <cell r="Q750">
            <v>530.02499999999998</v>
          </cell>
          <cell r="R750">
            <v>1</v>
          </cell>
        </row>
        <row r="751">
          <cell r="A751" t="str">
            <v>09.13.07</v>
          </cell>
          <cell r="B751" t="str">
            <v>PINTURA EN CONTRAZOCALOS Y ZOCALOS H= 0.40M C/ESMALTE</v>
          </cell>
          <cell r="C751" t="str">
            <v>m</v>
          </cell>
          <cell r="D751">
            <v>29.04</v>
          </cell>
          <cell r="E751">
            <v>7.19</v>
          </cell>
          <cell r="F751">
            <v>208.79760000000002</v>
          </cell>
          <cell r="G751">
            <v>0</v>
          </cell>
          <cell r="H751">
            <v>0</v>
          </cell>
          <cell r="I751" t="str">
            <v>0.00%</v>
          </cell>
          <cell r="J751">
            <v>0</v>
          </cell>
          <cell r="K751">
            <v>0</v>
          </cell>
          <cell r="L751" t="str">
            <v>0.00%</v>
          </cell>
          <cell r="M751">
            <v>0</v>
          </cell>
          <cell r="N751">
            <v>0</v>
          </cell>
          <cell r="O751" t="str">
            <v>0.00%</v>
          </cell>
          <cell r="P751">
            <v>29.04</v>
          </cell>
          <cell r="Q751">
            <v>208.79760000000002</v>
          </cell>
          <cell r="R751">
            <v>1</v>
          </cell>
        </row>
        <row r="752">
          <cell r="A752" t="str">
            <v>09.13.08</v>
          </cell>
          <cell r="B752" t="str">
            <v>PINTURA EN BARANDAS METALICAS</v>
          </cell>
          <cell r="C752" t="str">
            <v>m</v>
          </cell>
          <cell r="D752">
            <v>13.79</v>
          </cell>
          <cell r="E752">
            <v>9.49</v>
          </cell>
          <cell r="F752">
            <v>130.86709999999999</v>
          </cell>
          <cell r="G752">
            <v>0</v>
          </cell>
          <cell r="H752">
            <v>0</v>
          </cell>
          <cell r="I752" t="str">
            <v>0.00%</v>
          </cell>
          <cell r="J752">
            <v>0</v>
          </cell>
          <cell r="K752">
            <v>0</v>
          </cell>
          <cell r="L752" t="str">
            <v>0.00%</v>
          </cell>
          <cell r="M752">
            <v>0</v>
          </cell>
          <cell r="N752">
            <v>0</v>
          </cell>
          <cell r="O752" t="str">
            <v>0.00%</v>
          </cell>
          <cell r="P752">
            <v>13.79</v>
          </cell>
          <cell r="Q752">
            <v>130.86709999999999</v>
          </cell>
          <cell r="R752">
            <v>1</v>
          </cell>
        </row>
        <row r="753">
          <cell r="A753" t="str">
            <v>09.13.09</v>
          </cell>
          <cell r="B753" t="str">
            <v>PINTURA EN PUERTAS C/BARNIZ 2 MANOS</v>
          </cell>
          <cell r="C753" t="str">
            <v>m2</v>
          </cell>
          <cell r="D753">
            <v>55.72</v>
          </cell>
          <cell r="E753">
            <v>12.86</v>
          </cell>
          <cell r="F753">
            <v>716.55919999999992</v>
          </cell>
          <cell r="G753">
            <v>0</v>
          </cell>
          <cell r="H753">
            <v>0</v>
          </cell>
          <cell r="I753" t="str">
            <v>0.00%</v>
          </cell>
          <cell r="J753">
            <v>0</v>
          </cell>
          <cell r="K753">
            <v>0</v>
          </cell>
          <cell r="L753" t="str">
            <v>0.00%</v>
          </cell>
          <cell r="M753">
            <v>0</v>
          </cell>
          <cell r="N753">
            <v>0</v>
          </cell>
          <cell r="O753" t="str">
            <v>0.00%</v>
          </cell>
          <cell r="P753">
            <v>55.72</v>
          </cell>
          <cell r="Q753">
            <v>716.55919999999992</v>
          </cell>
          <cell r="R753">
            <v>1</v>
          </cell>
        </row>
        <row r="754">
          <cell r="A754" t="str">
            <v>09.14</v>
          </cell>
          <cell r="B754" t="str">
            <v>OBRAS VARIAS</v>
          </cell>
          <cell r="C754">
            <v>0</v>
          </cell>
          <cell r="D754">
            <v>0</v>
          </cell>
          <cell r="E754">
            <v>0</v>
          </cell>
          <cell r="F754">
            <v>0</v>
          </cell>
          <cell r="G754">
            <v>0</v>
          </cell>
          <cell r="H754">
            <v>0</v>
          </cell>
          <cell r="I754">
            <v>0</v>
          </cell>
          <cell r="J754">
            <v>0</v>
          </cell>
          <cell r="K754">
            <v>0</v>
          </cell>
          <cell r="L754">
            <v>0</v>
          </cell>
          <cell r="M754">
            <v>0</v>
          </cell>
          <cell r="N754">
            <v>0</v>
          </cell>
          <cell r="O754">
            <v>0</v>
          </cell>
          <cell r="P754">
            <v>0</v>
          </cell>
          <cell r="Q754">
            <v>0</v>
          </cell>
          <cell r="R754">
            <v>0</v>
          </cell>
        </row>
        <row r="755">
          <cell r="A755" t="str">
            <v>09.14.01</v>
          </cell>
          <cell r="B755" t="str">
            <v>SARDINEL DE CONCRETO SOBRE VIGAS TIMPANO F'C= 175KG/CM2</v>
          </cell>
          <cell r="C755" t="str">
            <v>m3</v>
          </cell>
          <cell r="D755">
            <v>5</v>
          </cell>
          <cell r="E755">
            <v>388.98</v>
          </cell>
          <cell r="F755">
            <v>1944.9</v>
          </cell>
          <cell r="G755">
            <v>0</v>
          </cell>
          <cell r="H755">
            <v>0</v>
          </cell>
          <cell r="I755" t="str">
            <v>0.00%</v>
          </cell>
          <cell r="J755">
            <v>0</v>
          </cell>
          <cell r="K755">
            <v>0</v>
          </cell>
          <cell r="L755" t="str">
            <v>0.00%</v>
          </cell>
          <cell r="M755">
            <v>0</v>
          </cell>
          <cell r="N755">
            <v>0</v>
          </cell>
          <cell r="O755" t="str">
            <v>0.00%</v>
          </cell>
          <cell r="P755">
            <v>5</v>
          </cell>
          <cell r="Q755">
            <v>1944.9</v>
          </cell>
          <cell r="R755">
            <v>1</v>
          </cell>
        </row>
        <row r="756">
          <cell r="A756" t="str">
            <v>09.14.02</v>
          </cell>
          <cell r="B756" t="str">
            <v>ENCOFRADO Y DESENCOFRADO DE SARDINELES SOBRE VIGA TIMPANO</v>
          </cell>
          <cell r="C756" t="str">
            <v>m2</v>
          </cell>
          <cell r="D756">
            <v>37.200000000000003</v>
          </cell>
          <cell r="E756">
            <v>17.3</v>
          </cell>
          <cell r="F756">
            <v>643.56000000000006</v>
          </cell>
          <cell r="G756">
            <v>0</v>
          </cell>
          <cell r="H756">
            <v>0</v>
          </cell>
          <cell r="I756" t="str">
            <v>0.00%</v>
          </cell>
          <cell r="J756">
            <v>0</v>
          </cell>
          <cell r="K756">
            <v>0</v>
          </cell>
          <cell r="L756" t="str">
            <v>0.00%</v>
          </cell>
          <cell r="M756">
            <v>0</v>
          </cell>
          <cell r="N756">
            <v>0</v>
          </cell>
          <cell r="O756" t="str">
            <v>0.00%</v>
          </cell>
          <cell r="P756">
            <v>37.200000000000003</v>
          </cell>
          <cell r="Q756">
            <v>643.56000000000006</v>
          </cell>
          <cell r="R756">
            <v>1</v>
          </cell>
        </row>
        <row r="757">
          <cell r="A757" t="str">
            <v>09.14.03</v>
          </cell>
          <cell r="B757" t="str">
            <v xml:space="preserve">TAPA JUNTA EN VANOS MUROS/COLUMNA
</v>
          </cell>
          <cell r="C757" t="str">
            <v>m</v>
          </cell>
          <cell r="D757">
            <v>567.79999999999995</v>
          </cell>
          <cell r="E757">
            <v>13.49</v>
          </cell>
          <cell r="F757">
            <v>7659.6219999999994</v>
          </cell>
          <cell r="G757">
            <v>0</v>
          </cell>
          <cell r="H757">
            <v>0</v>
          </cell>
          <cell r="I757" t="str">
            <v>0.00%</v>
          </cell>
          <cell r="J757">
            <v>283.89999999999998</v>
          </cell>
          <cell r="K757">
            <v>3829.8109999999997</v>
          </cell>
          <cell r="L757">
            <v>0.5</v>
          </cell>
          <cell r="M757">
            <v>283.89999999999998</v>
          </cell>
          <cell r="N757">
            <v>3829.8109999999997</v>
          </cell>
          <cell r="O757">
            <v>0.5</v>
          </cell>
          <cell r="P757">
            <v>283.89999999999998</v>
          </cell>
          <cell r="Q757">
            <v>3829.8109999999997</v>
          </cell>
          <cell r="R757">
            <v>0.5</v>
          </cell>
        </row>
        <row r="758">
          <cell r="A758" t="str">
            <v>09.14.04</v>
          </cell>
          <cell r="B758" t="str">
            <v>TAPA JUNTA  METALICA</v>
          </cell>
          <cell r="C758" t="str">
            <v>m</v>
          </cell>
          <cell r="D758">
            <v>16.100000000000001</v>
          </cell>
          <cell r="E758">
            <v>50.83</v>
          </cell>
          <cell r="F758">
            <v>818.36300000000006</v>
          </cell>
          <cell r="G758">
            <v>0</v>
          </cell>
          <cell r="H758">
            <v>0</v>
          </cell>
          <cell r="I758" t="str">
            <v>0.00%</v>
          </cell>
          <cell r="J758">
            <v>0</v>
          </cell>
          <cell r="K758">
            <v>0</v>
          </cell>
          <cell r="L758" t="str">
            <v>0.00%</v>
          </cell>
          <cell r="M758">
            <v>0</v>
          </cell>
          <cell r="N758">
            <v>0</v>
          </cell>
          <cell r="O758" t="str">
            <v>0.00%</v>
          </cell>
          <cell r="P758">
            <v>16.100000000000001</v>
          </cell>
          <cell r="Q758">
            <v>818.36300000000006</v>
          </cell>
          <cell r="R758">
            <v>1</v>
          </cell>
        </row>
        <row r="759">
          <cell r="A759" t="str">
            <v>10</v>
          </cell>
          <cell r="B759" t="str">
            <v>BLOQUE - 3</v>
          </cell>
          <cell r="C759">
            <v>0</v>
          </cell>
          <cell r="D759">
            <v>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0</v>
          </cell>
        </row>
        <row r="760">
          <cell r="A760" t="str">
            <v>10.01</v>
          </cell>
          <cell r="B760" t="str">
            <v>MUROS Y TABIQUES</v>
          </cell>
          <cell r="C760">
            <v>0</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row>
        <row r="761">
          <cell r="A761" t="str">
            <v>10.01.01</v>
          </cell>
          <cell r="B761" t="str">
            <v>MURO DE CABEZA LADRILLO KIN-KONG DE ARCILLA</v>
          </cell>
          <cell r="C761" t="str">
            <v>m2</v>
          </cell>
          <cell r="D761">
            <v>168.62</v>
          </cell>
          <cell r="E761">
            <v>151.13999999999999</v>
          </cell>
          <cell r="F761">
            <v>25485.226799999997</v>
          </cell>
          <cell r="G761">
            <v>49.362000000000002</v>
          </cell>
          <cell r="H761">
            <v>7460.5726799999993</v>
          </cell>
          <cell r="I761">
            <v>0.2927410746056221</v>
          </cell>
          <cell r="J761">
            <v>119.25500000000001</v>
          </cell>
          <cell r="K761">
            <v>18024.200700000001</v>
          </cell>
          <cell r="L761">
            <v>0.70724113391056831</v>
          </cell>
          <cell r="M761">
            <v>168.61700000000002</v>
          </cell>
          <cell r="N761">
            <v>25484.773379999999</v>
          </cell>
          <cell r="O761">
            <v>0.99998220851619035</v>
          </cell>
          <cell r="P761">
            <v>2.9999999999859028E-3</v>
          </cell>
          <cell r="Q761">
            <v>0.45341999999800464</v>
          </cell>
          <cell r="R761">
            <v>1.7791483809671439E-5</v>
          </cell>
        </row>
        <row r="762">
          <cell r="A762" t="str">
            <v>10.01.02</v>
          </cell>
          <cell r="B762" t="str">
            <v>MURO DE SOGA LADRILLO KIN-KONG DE ARCILLA</v>
          </cell>
          <cell r="C762" t="str">
            <v>m2</v>
          </cell>
          <cell r="D762">
            <v>120.58</v>
          </cell>
          <cell r="E762">
            <v>99.24</v>
          </cell>
          <cell r="F762">
            <v>11966.359199999999</v>
          </cell>
          <cell r="G762">
            <v>0</v>
          </cell>
          <cell r="H762">
            <v>0</v>
          </cell>
          <cell r="I762" t="str">
            <v>0.00%</v>
          </cell>
          <cell r="J762">
            <v>120.5765</v>
          </cell>
          <cell r="K762">
            <v>11966.011859999999</v>
          </cell>
          <cell r="L762">
            <v>0.99997097362746723</v>
          </cell>
          <cell r="M762">
            <v>120.5765</v>
          </cell>
          <cell r="N762">
            <v>11966.011859999999</v>
          </cell>
          <cell r="O762">
            <v>0.99997097362746723</v>
          </cell>
          <cell r="P762">
            <v>3.5000000000025011E-3</v>
          </cell>
          <cell r="Q762">
            <v>0.34734000000025844</v>
          </cell>
          <cell r="R762">
            <v>2.9026372532779933E-5</v>
          </cell>
        </row>
        <row r="763">
          <cell r="A763" t="str">
            <v>10.02</v>
          </cell>
          <cell r="B763" t="str">
            <v>REVOQUES ENLUCIDOS Y MOLDURAS</v>
          </cell>
          <cell r="C763">
            <v>0</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row>
        <row r="764">
          <cell r="A764" t="str">
            <v>10.02.01</v>
          </cell>
          <cell r="B764" t="str">
            <v>TARRAJEO EN MUROS INTERIORES MEZCLA 1:5 CEMENTO:ARENA</v>
          </cell>
          <cell r="C764" t="str">
            <v>m2</v>
          </cell>
          <cell r="D764">
            <v>412.11</v>
          </cell>
          <cell r="E764">
            <v>26.91</v>
          </cell>
          <cell r="F764">
            <v>11089.8801</v>
          </cell>
          <cell r="G764">
            <v>0</v>
          </cell>
          <cell r="H764">
            <v>0</v>
          </cell>
          <cell r="I764" t="str">
            <v>0.00%</v>
          </cell>
          <cell r="J764">
            <v>20.662500000000001</v>
          </cell>
          <cell r="K764">
            <v>556.02787499999999</v>
          </cell>
          <cell r="L764">
            <v>5.0138312586445362E-2</v>
          </cell>
          <cell r="M764">
            <v>20.662500000000001</v>
          </cell>
          <cell r="N764">
            <v>556.02787499999999</v>
          </cell>
          <cell r="O764">
            <v>5.0138312586445362E-2</v>
          </cell>
          <cell r="P764">
            <v>391.44749999999999</v>
          </cell>
          <cell r="Q764">
            <v>10533.852225000001</v>
          </cell>
          <cell r="R764">
            <v>0.9498616874135547</v>
          </cell>
        </row>
        <row r="765">
          <cell r="A765" t="str">
            <v>10.02.02</v>
          </cell>
          <cell r="B765" t="str">
            <v>TARRAJEO EN MUROS EXTERIORES MEZCLA 1:5 CEMENTO:ARENA</v>
          </cell>
          <cell r="C765" t="str">
            <v>m2</v>
          </cell>
          <cell r="D765">
            <v>166.27</v>
          </cell>
          <cell r="E765">
            <v>33.57</v>
          </cell>
          <cell r="F765">
            <v>5581.6839</v>
          </cell>
          <cell r="G765">
            <v>0</v>
          </cell>
          <cell r="H765">
            <v>0</v>
          </cell>
          <cell r="I765" t="str">
            <v>0.00%</v>
          </cell>
          <cell r="J765">
            <v>0</v>
          </cell>
          <cell r="K765">
            <v>0</v>
          </cell>
          <cell r="L765" t="str">
            <v>0.00%</v>
          </cell>
          <cell r="M765">
            <v>0</v>
          </cell>
          <cell r="N765">
            <v>0</v>
          </cell>
          <cell r="O765" t="str">
            <v>0.00%</v>
          </cell>
          <cell r="P765">
            <v>166.27</v>
          </cell>
          <cell r="Q765">
            <v>5581.6839</v>
          </cell>
          <cell r="R765">
            <v>1</v>
          </cell>
        </row>
        <row r="766">
          <cell r="A766" t="str">
            <v>10.02.03</v>
          </cell>
          <cell r="B766" t="str">
            <v>TARRAJEO EN PESTAÑAS DE LAS VENTANAS</v>
          </cell>
          <cell r="C766" t="str">
            <v>m</v>
          </cell>
          <cell r="D766">
            <v>44</v>
          </cell>
          <cell r="E766">
            <v>18.16</v>
          </cell>
          <cell r="F766">
            <v>799.04</v>
          </cell>
          <cell r="G766">
            <v>0</v>
          </cell>
          <cell r="H766">
            <v>0</v>
          </cell>
          <cell r="I766" t="str">
            <v>0.00%</v>
          </cell>
          <cell r="J766">
            <v>0</v>
          </cell>
          <cell r="K766">
            <v>0</v>
          </cell>
          <cell r="L766" t="str">
            <v>0.00%</v>
          </cell>
          <cell r="M766">
            <v>0</v>
          </cell>
          <cell r="N766">
            <v>0</v>
          </cell>
          <cell r="O766" t="str">
            <v>0.00%</v>
          </cell>
          <cell r="P766">
            <v>44</v>
          </cell>
          <cell r="Q766">
            <v>799.04</v>
          </cell>
          <cell r="R766">
            <v>1</v>
          </cell>
        </row>
        <row r="767">
          <cell r="A767" t="str">
            <v>10.02.04</v>
          </cell>
          <cell r="B767" t="str">
            <v>TARRAJEO DE SUPERFICIE COLUMNAS INCL. ARISTAS MEZCLA 1:5 CEMENTO:ARENA</v>
          </cell>
          <cell r="C767" t="str">
            <v>m2</v>
          </cell>
          <cell r="D767">
            <v>213.37</v>
          </cell>
          <cell r="E767">
            <v>29.04</v>
          </cell>
          <cell r="F767">
            <v>6196.2647999999999</v>
          </cell>
          <cell r="G767">
            <v>0</v>
          </cell>
          <cell r="H767">
            <v>0</v>
          </cell>
          <cell r="I767" t="str">
            <v>0.00%</v>
          </cell>
          <cell r="J767">
            <v>0</v>
          </cell>
          <cell r="K767">
            <v>0</v>
          </cell>
          <cell r="L767" t="str">
            <v>0.00%</v>
          </cell>
          <cell r="M767">
            <v>0</v>
          </cell>
          <cell r="N767">
            <v>0</v>
          </cell>
          <cell r="O767" t="str">
            <v>0.00%</v>
          </cell>
          <cell r="P767">
            <v>213.37</v>
          </cell>
          <cell r="Q767">
            <v>6196.2647999999999</v>
          </cell>
          <cell r="R767">
            <v>1</v>
          </cell>
        </row>
        <row r="768">
          <cell r="A768" t="str">
            <v>10.02.05</v>
          </cell>
          <cell r="B768" t="str">
            <v>TARRAJEO DE SUPERF.VIGAS INCL.ARISTAS, MEZCLA 1:5 CEMENTO:ARENA</v>
          </cell>
          <cell r="C768" t="str">
            <v>m2</v>
          </cell>
          <cell r="D768">
            <v>173.03</v>
          </cell>
          <cell r="E768">
            <v>34.25</v>
          </cell>
          <cell r="F768">
            <v>5926.2775000000001</v>
          </cell>
          <cell r="G768">
            <v>0</v>
          </cell>
          <cell r="H768">
            <v>0</v>
          </cell>
          <cell r="I768" t="str">
            <v>0.00%</v>
          </cell>
          <cell r="J768">
            <v>94.51600000000002</v>
          </cell>
          <cell r="K768">
            <v>3237.1730000000007</v>
          </cell>
          <cell r="L768">
            <v>0.54624053632318104</v>
          </cell>
          <cell r="M768">
            <v>94.51600000000002</v>
          </cell>
          <cell r="N768">
            <v>3237.1730000000007</v>
          </cell>
          <cell r="O768">
            <v>0.54624053632318104</v>
          </cell>
          <cell r="P768">
            <v>78.513999999999982</v>
          </cell>
          <cell r="Q768">
            <v>2689.1044999999995</v>
          </cell>
          <cell r="R768">
            <v>0.45375946367681896</v>
          </cell>
        </row>
        <row r="769">
          <cell r="A769" t="str">
            <v>10.02.06</v>
          </cell>
          <cell r="B769" t="str">
            <v>TARRAJEO CON IMPERMEABILIZANTE EN COBERTURAS</v>
          </cell>
          <cell r="C769" t="str">
            <v>m2</v>
          </cell>
          <cell r="D769">
            <v>155.72999999999999</v>
          </cell>
          <cell r="E769">
            <v>60.76</v>
          </cell>
          <cell r="F769">
            <v>9462.1547999999984</v>
          </cell>
          <cell r="G769">
            <v>0</v>
          </cell>
          <cell r="H769">
            <v>0</v>
          </cell>
          <cell r="I769" t="str">
            <v>0.00%</v>
          </cell>
          <cell r="J769">
            <v>0</v>
          </cell>
          <cell r="K769">
            <v>0</v>
          </cell>
          <cell r="L769" t="str">
            <v>0.00%</v>
          </cell>
          <cell r="M769">
            <v>0</v>
          </cell>
          <cell r="N769">
            <v>0</v>
          </cell>
          <cell r="O769" t="str">
            <v>0.00%</v>
          </cell>
          <cell r="P769">
            <v>155.72999999999999</v>
          </cell>
          <cell r="Q769">
            <v>9462.1547999999984</v>
          </cell>
          <cell r="R769">
            <v>1</v>
          </cell>
        </row>
        <row r="770">
          <cell r="A770" t="str">
            <v>10.02.07</v>
          </cell>
          <cell r="B770" t="str">
            <v>TARRAJEO EN CUNETA DE EVACUACION PLUVIAL EXTERIOR - TECHO</v>
          </cell>
          <cell r="C770" t="str">
            <v>m2</v>
          </cell>
          <cell r="D770">
            <v>28.18</v>
          </cell>
          <cell r="E770">
            <v>39.65</v>
          </cell>
          <cell r="F770">
            <v>1117.337</v>
          </cell>
          <cell r="G770">
            <v>0</v>
          </cell>
          <cell r="H770">
            <v>0</v>
          </cell>
          <cell r="I770" t="str">
            <v>0.00%</v>
          </cell>
          <cell r="J770">
            <v>0</v>
          </cell>
          <cell r="K770">
            <v>0</v>
          </cell>
          <cell r="L770" t="str">
            <v>0.00%</v>
          </cell>
          <cell r="M770">
            <v>0</v>
          </cell>
          <cell r="N770">
            <v>0</v>
          </cell>
          <cell r="O770" t="str">
            <v>0.00%</v>
          </cell>
          <cell r="P770">
            <v>28.18</v>
          </cell>
          <cell r="Q770">
            <v>1117.337</v>
          </cell>
          <cell r="R770">
            <v>1</v>
          </cell>
        </row>
        <row r="771">
          <cell r="A771" t="str">
            <v>10.02.08</v>
          </cell>
          <cell r="B771" t="str">
            <v>TARRAJEO CON IMPERMEABILIZANTE EN  CUNETA INTERIOR - TECHO</v>
          </cell>
          <cell r="C771" t="str">
            <v>m2</v>
          </cell>
          <cell r="D771">
            <v>20.25</v>
          </cell>
          <cell r="E771">
            <v>42.36</v>
          </cell>
          <cell r="F771">
            <v>857.79</v>
          </cell>
          <cell r="G771">
            <v>0</v>
          </cell>
          <cell r="H771">
            <v>0</v>
          </cell>
          <cell r="I771" t="str">
            <v>0.00%</v>
          </cell>
          <cell r="J771">
            <v>0</v>
          </cell>
          <cell r="K771">
            <v>0</v>
          </cell>
          <cell r="L771" t="str">
            <v>0.00%</v>
          </cell>
          <cell r="M771">
            <v>0</v>
          </cell>
          <cell r="N771">
            <v>0</v>
          </cell>
          <cell r="O771" t="str">
            <v>0.00%</v>
          </cell>
          <cell r="P771">
            <v>20.25</v>
          </cell>
          <cell r="Q771">
            <v>857.79</v>
          </cell>
          <cell r="R771">
            <v>1</v>
          </cell>
        </row>
        <row r="772">
          <cell r="A772" t="str">
            <v>10.02.09</v>
          </cell>
          <cell r="B772" t="str">
            <v xml:space="preserve">VESTIDURA DE DERRAMES </v>
          </cell>
          <cell r="C772" t="str">
            <v>m</v>
          </cell>
          <cell r="D772">
            <v>187.4</v>
          </cell>
          <cell r="E772">
            <v>24.82</v>
          </cell>
          <cell r="F772">
            <v>4651.268</v>
          </cell>
          <cell r="G772">
            <v>0</v>
          </cell>
          <cell r="H772">
            <v>0</v>
          </cell>
          <cell r="I772" t="str">
            <v>0.00%</v>
          </cell>
          <cell r="J772">
            <v>0</v>
          </cell>
          <cell r="K772">
            <v>0</v>
          </cell>
          <cell r="L772" t="str">
            <v>0.00%</v>
          </cell>
          <cell r="M772">
            <v>0</v>
          </cell>
          <cell r="N772">
            <v>0</v>
          </cell>
          <cell r="O772" t="str">
            <v>0.00%</v>
          </cell>
          <cell r="P772">
            <v>187.4</v>
          </cell>
          <cell r="Q772">
            <v>4651.268</v>
          </cell>
          <cell r="R772">
            <v>1</v>
          </cell>
        </row>
        <row r="773">
          <cell r="A773" t="str">
            <v>10.02.10</v>
          </cell>
          <cell r="B773" t="str">
            <v>BRUÑA DE 1CM ENTRE MUROS Y ESTRUCTURAS</v>
          </cell>
          <cell r="C773" t="str">
            <v>m</v>
          </cell>
          <cell r="D773">
            <v>757.88</v>
          </cell>
          <cell r="E773">
            <v>2.08</v>
          </cell>
          <cell r="F773">
            <v>1576.3904</v>
          </cell>
          <cell r="G773">
            <v>0</v>
          </cell>
          <cell r="H773">
            <v>0</v>
          </cell>
          <cell r="I773" t="str">
            <v>0.00%</v>
          </cell>
          <cell r="J773">
            <v>77.540000000000006</v>
          </cell>
          <cell r="K773">
            <v>161.28320000000002</v>
          </cell>
          <cell r="L773">
            <v>0.10231171161661479</v>
          </cell>
          <cell r="M773">
            <v>77.540000000000006</v>
          </cell>
          <cell r="N773">
            <v>161.28320000000002</v>
          </cell>
          <cell r="O773">
            <v>0.10231171161661479</v>
          </cell>
          <cell r="P773">
            <v>680.34</v>
          </cell>
          <cell r="Q773">
            <v>1415.1071999999999</v>
          </cell>
          <cell r="R773">
            <v>0.89768828838338521</v>
          </cell>
        </row>
        <row r="774">
          <cell r="A774" t="str">
            <v>10.03</v>
          </cell>
          <cell r="B774" t="str">
            <v>ESTRUCTURAS METALICAS</v>
          </cell>
          <cell r="C774">
            <v>0</v>
          </cell>
          <cell r="D774">
            <v>0</v>
          </cell>
          <cell r="E774">
            <v>0</v>
          </cell>
          <cell r="F774">
            <v>0</v>
          </cell>
          <cell r="G774">
            <v>0</v>
          </cell>
          <cell r="H774">
            <v>0</v>
          </cell>
          <cell r="I774">
            <v>0</v>
          </cell>
          <cell r="J774">
            <v>0</v>
          </cell>
          <cell r="K774">
            <v>0</v>
          </cell>
          <cell r="L774">
            <v>0</v>
          </cell>
          <cell r="M774">
            <v>0</v>
          </cell>
          <cell r="N774">
            <v>0</v>
          </cell>
          <cell r="O774">
            <v>0</v>
          </cell>
          <cell r="P774">
            <v>0</v>
          </cell>
          <cell r="Q774">
            <v>0</v>
          </cell>
          <cell r="R774">
            <v>0</v>
          </cell>
        </row>
        <row r="775">
          <cell r="A775" t="str">
            <v>10.03.01</v>
          </cell>
          <cell r="B775" t="str">
            <v>CORREAS DE TUBO LAC 2"X2"X2mm</v>
          </cell>
          <cell r="C775" t="str">
            <v>m</v>
          </cell>
          <cell r="D775">
            <v>118.5</v>
          </cell>
          <cell r="E775">
            <v>28.38</v>
          </cell>
          <cell r="F775">
            <v>3363.0299999999997</v>
          </cell>
          <cell r="G775">
            <v>0</v>
          </cell>
          <cell r="H775">
            <v>0</v>
          </cell>
          <cell r="I775" t="str">
            <v>0.00%</v>
          </cell>
          <cell r="J775">
            <v>0</v>
          </cell>
          <cell r="K775">
            <v>0</v>
          </cell>
          <cell r="L775" t="str">
            <v>0.00%</v>
          </cell>
          <cell r="M775">
            <v>0</v>
          </cell>
          <cell r="N775">
            <v>0</v>
          </cell>
          <cell r="O775" t="str">
            <v>0.00%</v>
          </cell>
          <cell r="P775">
            <v>118.5</v>
          </cell>
          <cell r="Q775">
            <v>3363.0299999999997</v>
          </cell>
          <cell r="R775">
            <v>1</v>
          </cell>
        </row>
        <row r="776">
          <cell r="A776" t="str">
            <v>10.03.02</v>
          </cell>
          <cell r="B776" t="str">
            <v>TIJERAL TIPO - III CON TUBO RECTANGULAR LAC (SEGUN DISEÑO)</v>
          </cell>
          <cell r="C776" t="str">
            <v>und</v>
          </cell>
          <cell r="D776">
            <v>7</v>
          </cell>
          <cell r="E776">
            <v>570.22</v>
          </cell>
          <cell r="F776">
            <v>3991.54</v>
          </cell>
          <cell r="G776">
            <v>0</v>
          </cell>
          <cell r="H776">
            <v>0</v>
          </cell>
          <cell r="I776" t="str">
            <v>0.00%</v>
          </cell>
          <cell r="J776">
            <v>0</v>
          </cell>
          <cell r="K776">
            <v>0</v>
          </cell>
          <cell r="L776" t="str">
            <v>0.00%</v>
          </cell>
          <cell r="M776">
            <v>0</v>
          </cell>
          <cell r="N776">
            <v>0</v>
          </cell>
          <cell r="O776" t="str">
            <v>0.00%</v>
          </cell>
          <cell r="P776">
            <v>7</v>
          </cell>
          <cell r="Q776">
            <v>3991.54</v>
          </cell>
          <cell r="R776">
            <v>1</v>
          </cell>
        </row>
        <row r="777">
          <cell r="A777" t="str">
            <v>10.04</v>
          </cell>
          <cell r="B777" t="str">
            <v>COBERTURA</v>
          </cell>
          <cell r="C777">
            <v>0</v>
          </cell>
          <cell r="D777">
            <v>0</v>
          </cell>
          <cell r="E777">
            <v>0</v>
          </cell>
          <cell r="F777">
            <v>0</v>
          </cell>
          <cell r="G777">
            <v>0</v>
          </cell>
          <cell r="H777">
            <v>0</v>
          </cell>
          <cell r="I777">
            <v>0</v>
          </cell>
          <cell r="J777">
            <v>0</v>
          </cell>
          <cell r="K777">
            <v>0</v>
          </cell>
          <cell r="L777">
            <v>0</v>
          </cell>
          <cell r="M777">
            <v>0</v>
          </cell>
          <cell r="N777">
            <v>0</v>
          </cell>
          <cell r="O777">
            <v>0</v>
          </cell>
          <cell r="P777">
            <v>0</v>
          </cell>
          <cell r="Q777">
            <v>0</v>
          </cell>
          <cell r="R777">
            <v>0</v>
          </cell>
        </row>
        <row r="778">
          <cell r="A778" t="str">
            <v>10.04.01</v>
          </cell>
          <cell r="B778" t="str">
            <v>COBERTURA DE PLACA ONDUVILLA</v>
          </cell>
          <cell r="C778" t="str">
            <v>m2</v>
          </cell>
          <cell r="D778">
            <v>83.42</v>
          </cell>
          <cell r="E778">
            <v>147.85</v>
          </cell>
          <cell r="F778">
            <v>12333.646999999999</v>
          </cell>
          <cell r="G778">
            <v>0</v>
          </cell>
          <cell r="H778">
            <v>0</v>
          </cell>
          <cell r="I778" t="str">
            <v>0.00%</v>
          </cell>
          <cell r="J778">
            <v>0</v>
          </cell>
          <cell r="K778">
            <v>0</v>
          </cell>
          <cell r="L778" t="str">
            <v>0.00%</v>
          </cell>
          <cell r="M778">
            <v>0</v>
          </cell>
          <cell r="N778">
            <v>0</v>
          </cell>
          <cell r="O778" t="str">
            <v>0.00%</v>
          </cell>
          <cell r="P778">
            <v>83.42</v>
          </cell>
          <cell r="Q778">
            <v>12333.646999999999</v>
          </cell>
          <cell r="R778">
            <v>1</v>
          </cell>
        </row>
        <row r="779">
          <cell r="A779" t="str">
            <v>10.04.02</v>
          </cell>
          <cell r="B779" t="str">
            <v>CUMBRERA DE ONDUVILLA</v>
          </cell>
          <cell r="C779" t="str">
            <v>m</v>
          </cell>
          <cell r="D779">
            <v>12.45</v>
          </cell>
          <cell r="E779">
            <v>101.1</v>
          </cell>
          <cell r="F779">
            <v>1258.6949999999999</v>
          </cell>
          <cell r="G779">
            <v>0</v>
          </cell>
          <cell r="H779">
            <v>0</v>
          </cell>
          <cell r="I779" t="str">
            <v>0.00%</v>
          </cell>
          <cell r="J779">
            <v>0</v>
          </cell>
          <cell r="K779">
            <v>0</v>
          </cell>
          <cell r="L779" t="str">
            <v>0.00%</v>
          </cell>
          <cell r="M779">
            <v>0</v>
          </cell>
          <cell r="N779">
            <v>0</v>
          </cell>
          <cell r="O779" t="str">
            <v>0.00%</v>
          </cell>
          <cell r="P779">
            <v>12.45</v>
          </cell>
          <cell r="Q779">
            <v>1258.6949999999999</v>
          </cell>
          <cell r="R779">
            <v>1</v>
          </cell>
        </row>
        <row r="780">
          <cell r="A780" t="str">
            <v>10.04.03</v>
          </cell>
          <cell r="B780" t="str">
            <v>COBERTURA LADRILLO PASTELERO ASENTADO C/MEZCLA</v>
          </cell>
          <cell r="C780" t="str">
            <v>m2</v>
          </cell>
          <cell r="D780">
            <v>23.27</v>
          </cell>
          <cell r="E780">
            <v>45.53</v>
          </cell>
          <cell r="F780">
            <v>1059.4830999999999</v>
          </cell>
          <cell r="G780">
            <v>0</v>
          </cell>
          <cell r="H780">
            <v>0</v>
          </cell>
          <cell r="I780" t="str">
            <v>0.00%</v>
          </cell>
          <cell r="J780">
            <v>0</v>
          </cell>
          <cell r="K780">
            <v>0</v>
          </cell>
          <cell r="L780" t="str">
            <v>0.00%</v>
          </cell>
          <cell r="M780">
            <v>0</v>
          </cell>
          <cell r="N780">
            <v>0</v>
          </cell>
          <cell r="O780" t="str">
            <v>0.00%</v>
          </cell>
          <cell r="P780">
            <v>23.27</v>
          </cell>
          <cell r="Q780">
            <v>1059.4830999999999</v>
          </cell>
          <cell r="R780">
            <v>1</v>
          </cell>
        </row>
        <row r="781">
          <cell r="A781" t="str">
            <v>10.04.04</v>
          </cell>
          <cell r="B781" t="str">
            <v>COBERTURA DE POLICARBONATO ALVEOLAR TRASLUCIDO DE 6 MM.</v>
          </cell>
          <cell r="C781" t="str">
            <v>m2</v>
          </cell>
          <cell r="D781">
            <v>12.5</v>
          </cell>
          <cell r="E781">
            <v>63.81</v>
          </cell>
          <cell r="F781">
            <v>797.625</v>
          </cell>
          <cell r="G781">
            <v>0</v>
          </cell>
          <cell r="H781">
            <v>0</v>
          </cell>
          <cell r="I781" t="str">
            <v>0.00%</v>
          </cell>
          <cell r="J781">
            <v>0</v>
          </cell>
          <cell r="K781">
            <v>0</v>
          </cell>
          <cell r="L781" t="str">
            <v>0.00%</v>
          </cell>
          <cell r="M781">
            <v>0</v>
          </cell>
          <cell r="N781">
            <v>0</v>
          </cell>
          <cell r="O781" t="str">
            <v>0.00%</v>
          </cell>
          <cell r="P781">
            <v>12.5</v>
          </cell>
          <cell r="Q781">
            <v>797.625</v>
          </cell>
          <cell r="R781">
            <v>1</v>
          </cell>
        </row>
        <row r="782">
          <cell r="A782" t="str">
            <v>10.05</v>
          </cell>
          <cell r="B782" t="str">
            <v>CIELORRASOS</v>
          </cell>
          <cell r="C782">
            <v>0</v>
          </cell>
          <cell r="D782">
            <v>0</v>
          </cell>
          <cell r="E782">
            <v>0</v>
          </cell>
          <cell r="F782">
            <v>0</v>
          </cell>
          <cell r="G782">
            <v>0</v>
          </cell>
          <cell r="H782">
            <v>0</v>
          </cell>
          <cell r="I782">
            <v>0</v>
          </cell>
          <cell r="J782">
            <v>0</v>
          </cell>
          <cell r="K782">
            <v>0</v>
          </cell>
          <cell r="L782">
            <v>0</v>
          </cell>
          <cell r="M782">
            <v>0</v>
          </cell>
          <cell r="N782">
            <v>0</v>
          </cell>
          <cell r="O782">
            <v>0</v>
          </cell>
          <cell r="P782">
            <v>0</v>
          </cell>
          <cell r="Q782">
            <v>0</v>
          </cell>
          <cell r="R782">
            <v>0</v>
          </cell>
        </row>
        <row r="783">
          <cell r="A783" t="str">
            <v>10.05.01</v>
          </cell>
          <cell r="B783" t="str">
            <v>CIELORRASOS CON MEZCLA C:A 1:5 e= 1.5 CM</v>
          </cell>
          <cell r="C783" t="str">
            <v>m2</v>
          </cell>
          <cell r="D783">
            <v>245.38</v>
          </cell>
          <cell r="E783">
            <v>41.21</v>
          </cell>
          <cell r="F783">
            <v>10112.1098</v>
          </cell>
          <cell r="G783">
            <v>0</v>
          </cell>
          <cell r="H783">
            <v>0</v>
          </cell>
          <cell r="I783" t="str">
            <v>0.00%</v>
          </cell>
          <cell r="J783">
            <v>126.00119999999998</v>
          </cell>
          <cell r="K783">
            <v>5192.5094519999993</v>
          </cell>
          <cell r="L783">
            <v>0.51349417230418115</v>
          </cell>
          <cell r="M783">
            <v>126.00119999999998</v>
          </cell>
          <cell r="N783">
            <v>5192.5094519999993</v>
          </cell>
          <cell r="O783">
            <v>0.51349417230418115</v>
          </cell>
          <cell r="P783">
            <v>119.37880000000001</v>
          </cell>
          <cell r="Q783">
            <v>4919.6003480000008</v>
          </cell>
          <cell r="R783">
            <v>0.48650582769581879</v>
          </cell>
        </row>
        <row r="784">
          <cell r="A784" t="str">
            <v>10.06</v>
          </cell>
          <cell r="B784" t="str">
            <v>PISOS Y PAVIMENTOS</v>
          </cell>
          <cell r="C784">
            <v>0</v>
          </cell>
          <cell r="D784">
            <v>0</v>
          </cell>
          <cell r="E784">
            <v>0</v>
          </cell>
          <cell r="F784">
            <v>0</v>
          </cell>
          <cell r="G784">
            <v>0</v>
          </cell>
          <cell r="H784">
            <v>0</v>
          </cell>
          <cell r="I784">
            <v>0</v>
          </cell>
          <cell r="J784">
            <v>0</v>
          </cell>
          <cell r="K784">
            <v>0</v>
          </cell>
          <cell r="L784">
            <v>0</v>
          </cell>
          <cell r="M784">
            <v>0</v>
          </cell>
          <cell r="N784">
            <v>0</v>
          </cell>
          <cell r="O784">
            <v>0</v>
          </cell>
          <cell r="P784">
            <v>0</v>
          </cell>
          <cell r="Q784">
            <v>0</v>
          </cell>
          <cell r="R784">
            <v>0</v>
          </cell>
        </row>
        <row r="785">
          <cell r="A785" t="str">
            <v>10.06.01</v>
          </cell>
          <cell r="B785" t="str">
            <v>FALSO PISO DE 4" DE CONCRETO 1:10</v>
          </cell>
          <cell r="C785" t="str">
            <v>m2</v>
          </cell>
          <cell r="D785">
            <v>121.67</v>
          </cell>
          <cell r="E785">
            <v>34.700000000000003</v>
          </cell>
          <cell r="F785">
            <v>4221.9490000000005</v>
          </cell>
          <cell r="G785">
            <v>0</v>
          </cell>
          <cell r="H785">
            <v>0</v>
          </cell>
          <cell r="I785" t="str">
            <v>0.00%</v>
          </cell>
          <cell r="J785">
            <v>0</v>
          </cell>
          <cell r="K785">
            <v>0</v>
          </cell>
          <cell r="L785" t="str">
            <v>0.00%</v>
          </cell>
          <cell r="M785">
            <v>0</v>
          </cell>
          <cell r="N785">
            <v>0</v>
          </cell>
          <cell r="O785" t="str">
            <v>0.00%</v>
          </cell>
          <cell r="P785">
            <v>121.67</v>
          </cell>
          <cell r="Q785">
            <v>4221.9490000000005</v>
          </cell>
          <cell r="R785">
            <v>1</v>
          </cell>
        </row>
        <row r="786">
          <cell r="A786" t="str">
            <v>10.06.02</v>
          </cell>
          <cell r="B786" t="str">
            <v>CONTRAPISO DE 48 MM.</v>
          </cell>
          <cell r="C786" t="str">
            <v>m2</v>
          </cell>
          <cell r="D786">
            <v>243.22</v>
          </cell>
          <cell r="E786">
            <v>33.57</v>
          </cell>
          <cell r="F786">
            <v>8164.8954000000003</v>
          </cell>
          <cell r="G786">
            <v>0</v>
          </cell>
          <cell r="H786">
            <v>0</v>
          </cell>
          <cell r="I786" t="str">
            <v>0.00%</v>
          </cell>
          <cell r="J786">
            <v>0</v>
          </cell>
          <cell r="K786">
            <v>0</v>
          </cell>
          <cell r="L786" t="str">
            <v>0.00%</v>
          </cell>
          <cell r="M786">
            <v>0</v>
          </cell>
          <cell r="N786">
            <v>0</v>
          </cell>
          <cell r="O786" t="str">
            <v>0.00%</v>
          </cell>
          <cell r="P786">
            <v>243.22</v>
          </cell>
          <cell r="Q786">
            <v>8164.8954000000003</v>
          </cell>
          <cell r="R786">
            <v>1</v>
          </cell>
        </row>
        <row r="787">
          <cell r="A787" t="str">
            <v>10.06.03</v>
          </cell>
          <cell r="B787" t="str">
            <v>PISO DE PORCELANATO 0.60 x 0.60 m.</v>
          </cell>
          <cell r="C787" t="str">
            <v>m2</v>
          </cell>
          <cell r="D787">
            <v>180.74</v>
          </cell>
          <cell r="E787">
            <v>182.85</v>
          </cell>
          <cell r="F787">
            <v>33048.309000000001</v>
          </cell>
          <cell r="G787">
            <v>0</v>
          </cell>
          <cell r="H787">
            <v>0</v>
          </cell>
          <cell r="I787" t="str">
            <v>0.00%</v>
          </cell>
          <cell r="J787">
            <v>0</v>
          </cell>
          <cell r="K787">
            <v>0</v>
          </cell>
          <cell r="L787" t="str">
            <v>0.00%</v>
          </cell>
          <cell r="M787">
            <v>0</v>
          </cell>
          <cell r="N787">
            <v>0</v>
          </cell>
          <cell r="O787" t="str">
            <v>0.00%</v>
          </cell>
          <cell r="P787">
            <v>180.74</v>
          </cell>
          <cell r="Q787">
            <v>33048.309000000001</v>
          </cell>
          <cell r="R787">
            <v>1</v>
          </cell>
        </row>
        <row r="788">
          <cell r="A788" t="str">
            <v>10.06.04</v>
          </cell>
          <cell r="B788" t="str">
            <v>PISO DE CERAMICO ANTIDESLIZANTE AT. 0.40x0.40 M</v>
          </cell>
          <cell r="C788" t="str">
            <v>m2</v>
          </cell>
          <cell r="D788">
            <v>62.48</v>
          </cell>
          <cell r="E788">
            <v>56.63</v>
          </cell>
          <cell r="F788">
            <v>3538.2424000000001</v>
          </cell>
          <cell r="G788">
            <v>0</v>
          </cell>
          <cell r="H788">
            <v>0</v>
          </cell>
          <cell r="I788" t="str">
            <v>0.00%</v>
          </cell>
          <cell r="J788">
            <v>0</v>
          </cell>
          <cell r="K788">
            <v>0</v>
          </cell>
          <cell r="L788" t="str">
            <v>0.00%</v>
          </cell>
          <cell r="M788">
            <v>0</v>
          </cell>
          <cell r="N788">
            <v>0</v>
          </cell>
          <cell r="O788" t="str">
            <v>0.00%</v>
          </cell>
          <cell r="P788">
            <v>62.48</v>
          </cell>
          <cell r="Q788">
            <v>3538.2424000000001</v>
          </cell>
          <cell r="R788">
            <v>1</v>
          </cell>
        </row>
        <row r="789">
          <cell r="A789" t="str">
            <v>10.06.05</v>
          </cell>
          <cell r="B789" t="str">
            <v>PISO DE CEMENTO FROTACHADO BRUÑADO</v>
          </cell>
          <cell r="C789" t="str">
            <v>m2</v>
          </cell>
          <cell r="D789">
            <v>9.9499999999999993</v>
          </cell>
          <cell r="E789">
            <v>18.29</v>
          </cell>
          <cell r="F789">
            <v>181.98549999999997</v>
          </cell>
          <cell r="G789">
            <v>0</v>
          </cell>
          <cell r="H789">
            <v>0</v>
          </cell>
          <cell r="I789" t="str">
            <v>0.00%</v>
          </cell>
          <cell r="J789">
            <v>0</v>
          </cell>
          <cell r="K789">
            <v>0</v>
          </cell>
          <cell r="L789" t="str">
            <v>0.00%</v>
          </cell>
          <cell r="M789">
            <v>0</v>
          </cell>
          <cell r="N789">
            <v>0</v>
          </cell>
          <cell r="O789" t="str">
            <v>0.00%</v>
          </cell>
          <cell r="P789">
            <v>9.9499999999999993</v>
          </cell>
          <cell r="Q789">
            <v>181.98549999999997</v>
          </cell>
          <cell r="R789">
            <v>1</v>
          </cell>
        </row>
        <row r="790">
          <cell r="A790" t="str">
            <v>10.06.06</v>
          </cell>
          <cell r="B790" t="str">
            <v>COLOCACION DE BLOQUE DE VIDRIO 30 x 30 x 8 CM. PARA PISO</v>
          </cell>
          <cell r="C790" t="str">
            <v>und</v>
          </cell>
          <cell r="D790">
            <v>8</v>
          </cell>
          <cell r="E790">
            <v>20.87</v>
          </cell>
          <cell r="F790">
            <v>166.96</v>
          </cell>
          <cell r="G790">
            <v>0</v>
          </cell>
          <cell r="H790">
            <v>0</v>
          </cell>
          <cell r="I790" t="str">
            <v>0.00%</v>
          </cell>
          <cell r="J790">
            <v>0</v>
          </cell>
          <cell r="K790">
            <v>0</v>
          </cell>
          <cell r="L790" t="str">
            <v>0.00%</v>
          </cell>
          <cell r="M790">
            <v>0</v>
          </cell>
          <cell r="N790">
            <v>0</v>
          </cell>
          <cell r="O790" t="str">
            <v>0.00%</v>
          </cell>
          <cell r="P790">
            <v>8</v>
          </cell>
          <cell r="Q790">
            <v>166.96</v>
          </cell>
          <cell r="R790">
            <v>1</v>
          </cell>
        </row>
        <row r="791">
          <cell r="A791" t="str">
            <v>10.07</v>
          </cell>
          <cell r="B791" t="str">
            <v>VEREDA</v>
          </cell>
          <cell r="C791">
            <v>0</v>
          </cell>
          <cell r="D791">
            <v>0</v>
          </cell>
          <cell r="E791">
            <v>0</v>
          </cell>
          <cell r="F791">
            <v>0</v>
          </cell>
          <cell r="G791">
            <v>0</v>
          </cell>
          <cell r="H791">
            <v>0</v>
          </cell>
          <cell r="I791">
            <v>0</v>
          </cell>
          <cell r="J791">
            <v>0</v>
          </cell>
          <cell r="K791">
            <v>0</v>
          </cell>
          <cell r="L791">
            <v>0</v>
          </cell>
          <cell r="M791">
            <v>0</v>
          </cell>
          <cell r="N791">
            <v>0</v>
          </cell>
          <cell r="O791">
            <v>0</v>
          </cell>
          <cell r="P791">
            <v>0</v>
          </cell>
          <cell r="Q791">
            <v>0</v>
          </cell>
          <cell r="R791">
            <v>0</v>
          </cell>
        </row>
        <row r="792">
          <cell r="A792" t="str">
            <v>10.07.01</v>
          </cell>
          <cell r="B792" t="str">
            <v>AFIRMADO DE 4" PARA VEREDAS</v>
          </cell>
          <cell r="C792" t="str">
            <v>m2</v>
          </cell>
          <cell r="D792">
            <v>9.9499999999999993</v>
          </cell>
          <cell r="E792">
            <v>11.27</v>
          </cell>
          <cell r="F792">
            <v>112.13649999999998</v>
          </cell>
          <cell r="G792">
            <v>0</v>
          </cell>
          <cell r="H792">
            <v>0</v>
          </cell>
          <cell r="I792" t="str">
            <v>0.00%</v>
          </cell>
          <cell r="J792">
            <v>0</v>
          </cell>
          <cell r="K792">
            <v>0</v>
          </cell>
          <cell r="L792" t="str">
            <v>0.00%</v>
          </cell>
          <cell r="M792">
            <v>0</v>
          </cell>
          <cell r="N792">
            <v>0</v>
          </cell>
          <cell r="O792" t="str">
            <v>0.00%</v>
          </cell>
          <cell r="P792">
            <v>9.9499999999999993</v>
          </cell>
          <cell r="Q792">
            <v>112.13649999999998</v>
          </cell>
          <cell r="R792">
            <v>1</v>
          </cell>
        </row>
        <row r="793">
          <cell r="A793" t="str">
            <v>10.07.02</v>
          </cell>
          <cell r="B793" t="str">
            <v>VEREDA DE CONCRETO F'C= 175 KG/CM2.</v>
          </cell>
          <cell r="C793" t="str">
            <v>m2</v>
          </cell>
          <cell r="D793">
            <v>9.9499999999999993</v>
          </cell>
          <cell r="E793">
            <v>64.63</v>
          </cell>
          <cell r="F793">
            <v>643.06849999999986</v>
          </cell>
          <cell r="G793">
            <v>0</v>
          </cell>
          <cell r="H793">
            <v>0</v>
          </cell>
          <cell r="I793" t="str">
            <v>0.00%</v>
          </cell>
          <cell r="J793">
            <v>0</v>
          </cell>
          <cell r="K793">
            <v>0</v>
          </cell>
          <cell r="L793" t="str">
            <v>0.00%</v>
          </cell>
          <cell r="M793">
            <v>0</v>
          </cell>
          <cell r="N793">
            <v>0</v>
          </cell>
          <cell r="O793" t="str">
            <v>0.00%</v>
          </cell>
          <cell r="P793">
            <v>9.9499999999999993</v>
          </cell>
          <cell r="Q793">
            <v>643.06849999999986</v>
          </cell>
          <cell r="R793">
            <v>1</v>
          </cell>
        </row>
        <row r="794">
          <cell r="A794" t="str">
            <v>10.07.03</v>
          </cell>
          <cell r="B794" t="str">
            <v>ENCOFRADO Y DESENCOFRADO DE VEREDA</v>
          </cell>
          <cell r="C794" t="str">
            <v>m2</v>
          </cell>
          <cell r="D794">
            <v>6.49</v>
          </cell>
          <cell r="E794">
            <v>45.51</v>
          </cell>
          <cell r="F794">
            <v>295.35989999999998</v>
          </cell>
          <cell r="G794">
            <v>0</v>
          </cell>
          <cell r="H794">
            <v>0</v>
          </cell>
          <cell r="I794" t="str">
            <v>0.00%</v>
          </cell>
          <cell r="J794">
            <v>0</v>
          </cell>
          <cell r="K794">
            <v>0</v>
          </cell>
          <cell r="L794" t="str">
            <v>0.00%</v>
          </cell>
          <cell r="M794">
            <v>0</v>
          </cell>
          <cell r="N794">
            <v>0</v>
          </cell>
          <cell r="O794" t="str">
            <v>0.00%</v>
          </cell>
          <cell r="P794">
            <v>6.49</v>
          </cell>
          <cell r="Q794">
            <v>295.35989999999998</v>
          </cell>
          <cell r="R794">
            <v>1</v>
          </cell>
        </row>
        <row r="795">
          <cell r="A795" t="str">
            <v>10.08</v>
          </cell>
          <cell r="B795" t="str">
            <v>ZOCALOS Y CONTRAZOCALOS</v>
          </cell>
          <cell r="C795">
            <v>0</v>
          </cell>
          <cell r="D795">
            <v>0</v>
          </cell>
          <cell r="E795">
            <v>0</v>
          </cell>
          <cell r="F795">
            <v>0</v>
          </cell>
          <cell r="G795">
            <v>0</v>
          </cell>
          <cell r="H795">
            <v>0</v>
          </cell>
          <cell r="I795">
            <v>0</v>
          </cell>
          <cell r="J795">
            <v>0</v>
          </cell>
          <cell r="K795">
            <v>0</v>
          </cell>
          <cell r="L795">
            <v>0</v>
          </cell>
          <cell r="M795">
            <v>0</v>
          </cell>
          <cell r="N795">
            <v>0</v>
          </cell>
          <cell r="O795">
            <v>0</v>
          </cell>
          <cell r="P795">
            <v>0</v>
          </cell>
          <cell r="Q795">
            <v>0</v>
          </cell>
          <cell r="R795">
            <v>0</v>
          </cell>
        </row>
        <row r="796">
          <cell r="A796" t="str">
            <v>10.08.01</v>
          </cell>
          <cell r="B796" t="str">
            <v>ZOCALO DE CERAMICO 0.30 x 0.20 M</v>
          </cell>
          <cell r="C796" t="str">
            <v>m2</v>
          </cell>
          <cell r="D796">
            <v>39.299999999999997</v>
          </cell>
          <cell r="E796">
            <v>64.3</v>
          </cell>
          <cell r="F796">
            <v>2526.9899999999998</v>
          </cell>
          <cell r="G796">
            <v>0</v>
          </cell>
          <cell r="H796">
            <v>0</v>
          </cell>
          <cell r="I796" t="str">
            <v>0.00%</v>
          </cell>
          <cell r="J796">
            <v>0</v>
          </cell>
          <cell r="K796">
            <v>0</v>
          </cell>
          <cell r="L796" t="str">
            <v>0.00%</v>
          </cell>
          <cell r="M796">
            <v>0</v>
          </cell>
          <cell r="N796">
            <v>0</v>
          </cell>
          <cell r="O796" t="str">
            <v>0.00%</v>
          </cell>
          <cell r="P796">
            <v>39.299999999999997</v>
          </cell>
          <cell r="Q796">
            <v>2526.9899999999998</v>
          </cell>
          <cell r="R796">
            <v>1</v>
          </cell>
        </row>
        <row r="797">
          <cell r="A797" t="str">
            <v>10.08.02</v>
          </cell>
          <cell r="B797" t="str">
            <v>ZOCALO DE CEMENTO PULIDO C/MORTERO 1:5 DE 2CM. DE H= 40 CM. - EXTERIOR</v>
          </cell>
          <cell r="C797" t="str">
            <v>m</v>
          </cell>
          <cell r="D797">
            <v>19.899999999999999</v>
          </cell>
          <cell r="E797">
            <v>13.08</v>
          </cell>
          <cell r="F797">
            <v>260.29199999999997</v>
          </cell>
          <cell r="G797">
            <v>0</v>
          </cell>
          <cell r="H797">
            <v>0</v>
          </cell>
          <cell r="I797" t="str">
            <v>0.00%</v>
          </cell>
          <cell r="J797">
            <v>0</v>
          </cell>
          <cell r="K797">
            <v>0</v>
          </cell>
          <cell r="L797" t="str">
            <v>0.00%</v>
          </cell>
          <cell r="M797">
            <v>0</v>
          </cell>
          <cell r="N797">
            <v>0</v>
          </cell>
          <cell r="O797" t="str">
            <v>0.00%</v>
          </cell>
          <cell r="P797">
            <v>19.899999999999999</v>
          </cell>
          <cell r="Q797">
            <v>260.29199999999997</v>
          </cell>
          <cell r="R797">
            <v>1</v>
          </cell>
        </row>
        <row r="798">
          <cell r="A798" t="str">
            <v>10.08.03</v>
          </cell>
          <cell r="B798" t="str">
            <v>CONTRAZOCALO DE CERAMICO DE 40 x 40 CM. H=10CM. - INTERIOR</v>
          </cell>
          <cell r="C798" t="str">
            <v>m</v>
          </cell>
          <cell r="D798">
            <v>61.49</v>
          </cell>
          <cell r="E798">
            <v>14.75</v>
          </cell>
          <cell r="F798">
            <v>906.97750000000008</v>
          </cell>
          <cell r="G798">
            <v>0</v>
          </cell>
          <cell r="H798">
            <v>0</v>
          </cell>
          <cell r="I798" t="str">
            <v>0.00%</v>
          </cell>
          <cell r="J798">
            <v>0</v>
          </cell>
          <cell r="K798">
            <v>0</v>
          </cell>
          <cell r="L798" t="str">
            <v>0.00%</v>
          </cell>
          <cell r="M798">
            <v>0</v>
          </cell>
          <cell r="N798">
            <v>0</v>
          </cell>
          <cell r="O798" t="str">
            <v>0.00%</v>
          </cell>
          <cell r="P798">
            <v>61.49</v>
          </cell>
          <cell r="Q798">
            <v>906.97750000000008</v>
          </cell>
          <cell r="R798">
            <v>1</v>
          </cell>
        </row>
        <row r="799">
          <cell r="A799" t="str">
            <v>10.08.04</v>
          </cell>
          <cell r="B799" t="str">
            <v>CONTRAZOCALO DE PORCELANATO H=0.10M</v>
          </cell>
          <cell r="C799" t="str">
            <v>m</v>
          </cell>
          <cell r="D799">
            <v>82.7</v>
          </cell>
          <cell r="E799">
            <v>22.15</v>
          </cell>
          <cell r="F799">
            <v>1831.8049999999998</v>
          </cell>
          <cell r="G799">
            <v>0</v>
          </cell>
          <cell r="H799">
            <v>0</v>
          </cell>
          <cell r="I799" t="str">
            <v>0.00%</v>
          </cell>
          <cell r="J799">
            <v>0</v>
          </cell>
          <cell r="K799">
            <v>0</v>
          </cell>
          <cell r="L799" t="str">
            <v>0.00%</v>
          </cell>
          <cell r="M799">
            <v>0</v>
          </cell>
          <cell r="N799">
            <v>0</v>
          </cell>
          <cell r="O799" t="str">
            <v>0.00%</v>
          </cell>
          <cell r="P799">
            <v>82.7</v>
          </cell>
          <cell r="Q799">
            <v>1831.8049999999998</v>
          </cell>
          <cell r="R799">
            <v>1</v>
          </cell>
        </row>
        <row r="800">
          <cell r="A800" t="str">
            <v>10.09</v>
          </cell>
          <cell r="B800" t="str">
            <v>CARPINTERIA DE MADERA</v>
          </cell>
          <cell r="C800">
            <v>0</v>
          </cell>
          <cell r="D800">
            <v>0</v>
          </cell>
          <cell r="E800">
            <v>0</v>
          </cell>
          <cell r="F800">
            <v>0</v>
          </cell>
          <cell r="G800">
            <v>0</v>
          </cell>
          <cell r="H800">
            <v>0</v>
          </cell>
          <cell r="I800">
            <v>0</v>
          </cell>
          <cell r="J800">
            <v>0</v>
          </cell>
          <cell r="K800">
            <v>0</v>
          </cell>
          <cell r="L800">
            <v>0</v>
          </cell>
          <cell r="M800">
            <v>0</v>
          </cell>
          <cell r="N800">
            <v>0</v>
          </cell>
          <cell r="O800">
            <v>0</v>
          </cell>
          <cell r="P800">
            <v>0</v>
          </cell>
          <cell r="Q800">
            <v>0</v>
          </cell>
          <cell r="R800">
            <v>0</v>
          </cell>
        </row>
        <row r="801">
          <cell r="A801" t="str">
            <v>10.09.01</v>
          </cell>
          <cell r="B801" t="str">
            <v>PUERTA DE MADERA MACHIMBRADA C/SOBRE LUZ</v>
          </cell>
          <cell r="C801" t="str">
            <v>m2</v>
          </cell>
          <cell r="D801">
            <v>20.34</v>
          </cell>
          <cell r="E801">
            <v>340.61</v>
          </cell>
          <cell r="F801">
            <v>6928.0074000000004</v>
          </cell>
          <cell r="G801">
            <v>0</v>
          </cell>
          <cell r="H801">
            <v>0</v>
          </cell>
          <cell r="I801" t="str">
            <v>0.00%</v>
          </cell>
          <cell r="J801">
            <v>0</v>
          </cell>
          <cell r="K801">
            <v>0</v>
          </cell>
          <cell r="L801" t="str">
            <v>0.00%</v>
          </cell>
          <cell r="M801">
            <v>0</v>
          </cell>
          <cell r="N801">
            <v>0</v>
          </cell>
          <cell r="O801" t="str">
            <v>0.00%</v>
          </cell>
          <cell r="P801">
            <v>20.34</v>
          </cell>
          <cell r="Q801">
            <v>6928.0074000000004</v>
          </cell>
          <cell r="R801">
            <v>1</v>
          </cell>
        </row>
        <row r="802">
          <cell r="A802" t="str">
            <v>10.09.02</v>
          </cell>
          <cell r="B802" t="str">
            <v>PUERTA DE MADERA DOBLE HOJA MACHIMBRADA C/SOBRE LUZ</v>
          </cell>
          <cell r="C802" t="str">
            <v>m2</v>
          </cell>
          <cell r="D802">
            <v>9.1199999999999992</v>
          </cell>
          <cell r="E802">
            <v>340.61</v>
          </cell>
          <cell r="F802">
            <v>3106.3631999999998</v>
          </cell>
          <cell r="G802">
            <v>0</v>
          </cell>
          <cell r="H802">
            <v>0</v>
          </cell>
          <cell r="I802" t="str">
            <v>0.00%</v>
          </cell>
          <cell r="J802">
            <v>0</v>
          </cell>
          <cell r="K802">
            <v>0</v>
          </cell>
          <cell r="L802" t="str">
            <v>0.00%</v>
          </cell>
          <cell r="M802">
            <v>0</v>
          </cell>
          <cell r="N802">
            <v>0</v>
          </cell>
          <cell r="O802" t="str">
            <v>0.00%</v>
          </cell>
          <cell r="P802">
            <v>9.1199999999999992</v>
          </cell>
          <cell r="Q802">
            <v>3106.3631999999998</v>
          </cell>
          <cell r="R802">
            <v>1</v>
          </cell>
        </row>
        <row r="803">
          <cell r="A803" t="str">
            <v>10.10</v>
          </cell>
          <cell r="B803" t="str">
            <v>CERRAJERIA</v>
          </cell>
          <cell r="C803">
            <v>0</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row>
        <row r="804">
          <cell r="A804" t="str">
            <v>10.10.01</v>
          </cell>
          <cell r="B804" t="str">
            <v>BISAGRA CAPUCHINA DE 4"</v>
          </cell>
          <cell r="C804" t="str">
            <v>und</v>
          </cell>
          <cell r="D804">
            <v>48</v>
          </cell>
          <cell r="E804">
            <v>15.83</v>
          </cell>
          <cell r="F804">
            <v>759.84</v>
          </cell>
          <cell r="G804">
            <v>0</v>
          </cell>
          <cell r="H804">
            <v>0</v>
          </cell>
          <cell r="I804" t="str">
            <v>0.00%</v>
          </cell>
          <cell r="J804">
            <v>0</v>
          </cell>
          <cell r="K804">
            <v>0</v>
          </cell>
          <cell r="L804" t="str">
            <v>0.00%</v>
          </cell>
          <cell r="M804">
            <v>0</v>
          </cell>
          <cell r="N804">
            <v>0</v>
          </cell>
          <cell r="O804" t="str">
            <v>0.00%</v>
          </cell>
          <cell r="P804">
            <v>48</v>
          </cell>
          <cell r="Q804">
            <v>759.84</v>
          </cell>
          <cell r="R804">
            <v>1</v>
          </cell>
        </row>
        <row r="805">
          <cell r="A805" t="str">
            <v>10.10.02</v>
          </cell>
          <cell r="B805" t="str">
            <v>CERRADURA PARA PUERTA DE TRES GOLPES</v>
          </cell>
          <cell r="C805" t="str">
            <v>und</v>
          </cell>
          <cell r="D805">
            <v>2</v>
          </cell>
          <cell r="E805">
            <v>137.22999999999999</v>
          </cell>
          <cell r="F805">
            <v>274.45999999999998</v>
          </cell>
          <cell r="G805">
            <v>0</v>
          </cell>
          <cell r="H805">
            <v>0</v>
          </cell>
          <cell r="I805" t="str">
            <v>0.00%</v>
          </cell>
          <cell r="J805">
            <v>0</v>
          </cell>
          <cell r="K805">
            <v>0</v>
          </cell>
          <cell r="L805" t="str">
            <v>0.00%</v>
          </cell>
          <cell r="M805">
            <v>0</v>
          </cell>
          <cell r="N805">
            <v>0</v>
          </cell>
          <cell r="O805" t="str">
            <v>0.00%</v>
          </cell>
          <cell r="P805">
            <v>2</v>
          </cell>
          <cell r="Q805">
            <v>274.45999999999998</v>
          </cell>
          <cell r="R805">
            <v>1</v>
          </cell>
        </row>
        <row r="806">
          <cell r="A806" t="str">
            <v>10.10.03</v>
          </cell>
          <cell r="B806" t="str">
            <v>CERRADURA DE PERILLA CON SEGURIDAD INTERIOR</v>
          </cell>
          <cell r="C806" t="str">
            <v>und</v>
          </cell>
          <cell r="D806">
            <v>8</v>
          </cell>
          <cell r="E806">
            <v>92.23</v>
          </cell>
          <cell r="F806">
            <v>737.84</v>
          </cell>
          <cell r="G806">
            <v>0</v>
          </cell>
          <cell r="H806">
            <v>0</v>
          </cell>
          <cell r="I806" t="str">
            <v>0.00%</v>
          </cell>
          <cell r="J806">
            <v>0</v>
          </cell>
          <cell r="K806">
            <v>0</v>
          </cell>
          <cell r="L806" t="str">
            <v>0.00%</v>
          </cell>
          <cell r="M806">
            <v>0</v>
          </cell>
          <cell r="N806">
            <v>0</v>
          </cell>
          <cell r="O806" t="str">
            <v>0.00%</v>
          </cell>
          <cell r="P806">
            <v>8</v>
          </cell>
          <cell r="Q806">
            <v>737.84</v>
          </cell>
          <cell r="R806">
            <v>1</v>
          </cell>
        </row>
        <row r="807">
          <cell r="A807" t="str">
            <v>10.11</v>
          </cell>
          <cell r="B807" t="str">
            <v>VIDRIOS, CRISTALES Y SIMILARES</v>
          </cell>
          <cell r="C807">
            <v>0</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row>
        <row r="808">
          <cell r="A808" t="str">
            <v>10.11.01</v>
          </cell>
          <cell r="B808" t="str">
            <v>VIDRIO (8MM.) SISTEMA NOVA INC. ACCESORIOS</v>
          </cell>
          <cell r="C808" t="str">
            <v>p2</v>
          </cell>
          <cell r="D808">
            <v>433.79</v>
          </cell>
          <cell r="E808">
            <v>18.54</v>
          </cell>
          <cell r="F808">
            <v>8042.4665999999997</v>
          </cell>
          <cell r="G808">
            <v>0</v>
          </cell>
          <cell r="H808">
            <v>0</v>
          </cell>
          <cell r="I808" t="str">
            <v>0.00%</v>
          </cell>
          <cell r="J808">
            <v>0</v>
          </cell>
          <cell r="K808">
            <v>0</v>
          </cell>
          <cell r="L808" t="str">
            <v>0.00%</v>
          </cell>
          <cell r="M808">
            <v>0</v>
          </cell>
          <cell r="N808">
            <v>0</v>
          </cell>
          <cell r="O808" t="str">
            <v>0.00%</v>
          </cell>
          <cell r="P808">
            <v>433.79</v>
          </cell>
          <cell r="Q808">
            <v>8042.4665999999997</v>
          </cell>
          <cell r="R808">
            <v>1</v>
          </cell>
        </row>
        <row r="809">
          <cell r="A809" t="str">
            <v>10.11.02</v>
          </cell>
          <cell r="B809" t="str">
            <v>VIDRIO CRUDO INCOLORO DE 6MM.</v>
          </cell>
          <cell r="C809" t="str">
            <v>p2</v>
          </cell>
          <cell r="D809">
            <v>52.54</v>
          </cell>
          <cell r="E809">
            <v>9.51</v>
          </cell>
          <cell r="F809">
            <v>499.65539999999999</v>
          </cell>
          <cell r="G809">
            <v>0</v>
          </cell>
          <cell r="H809">
            <v>0</v>
          </cell>
          <cell r="I809" t="str">
            <v>0.00%</v>
          </cell>
          <cell r="J809">
            <v>0</v>
          </cell>
          <cell r="K809">
            <v>0</v>
          </cell>
          <cell r="L809" t="str">
            <v>0.00%</v>
          </cell>
          <cell r="M809">
            <v>0</v>
          </cell>
          <cell r="N809">
            <v>0</v>
          </cell>
          <cell r="O809" t="str">
            <v>0.00%</v>
          </cell>
          <cell r="P809">
            <v>52.54</v>
          </cell>
          <cell r="Q809">
            <v>499.65539999999999</v>
          </cell>
          <cell r="R809">
            <v>1</v>
          </cell>
        </row>
        <row r="810">
          <cell r="A810" t="str">
            <v>10.11.03</v>
          </cell>
          <cell r="B810" t="str">
            <v>MURO CON BLOQUE DE VIDRIO S/DETALLE</v>
          </cell>
          <cell r="C810" t="str">
            <v>m2</v>
          </cell>
          <cell r="D810">
            <v>2.2400000000000002</v>
          </cell>
          <cell r="E810">
            <v>216.65</v>
          </cell>
          <cell r="F810">
            <v>485.29600000000005</v>
          </cell>
          <cell r="G810">
            <v>0</v>
          </cell>
          <cell r="H810">
            <v>0</v>
          </cell>
          <cell r="I810" t="str">
            <v>0.00%</v>
          </cell>
          <cell r="J810">
            <v>0</v>
          </cell>
          <cell r="K810">
            <v>0</v>
          </cell>
          <cell r="L810" t="str">
            <v>0.00%</v>
          </cell>
          <cell r="M810">
            <v>0</v>
          </cell>
          <cell r="N810">
            <v>0</v>
          </cell>
          <cell r="O810" t="str">
            <v>0.00%</v>
          </cell>
          <cell r="P810">
            <v>2.2400000000000002</v>
          </cell>
          <cell r="Q810">
            <v>485.29600000000005</v>
          </cell>
          <cell r="R810">
            <v>1</v>
          </cell>
        </row>
        <row r="811">
          <cell r="A811" t="str">
            <v>10.12</v>
          </cell>
          <cell r="B811" t="str">
            <v>PINTURA</v>
          </cell>
          <cell r="C811">
            <v>0</v>
          </cell>
          <cell r="D811">
            <v>0</v>
          </cell>
          <cell r="E811">
            <v>0</v>
          </cell>
          <cell r="F811">
            <v>0</v>
          </cell>
          <cell r="G811">
            <v>0</v>
          </cell>
          <cell r="H811">
            <v>0</v>
          </cell>
          <cell r="I811">
            <v>0</v>
          </cell>
          <cell r="J811">
            <v>0</v>
          </cell>
          <cell r="K811">
            <v>0</v>
          </cell>
          <cell r="L811">
            <v>0</v>
          </cell>
          <cell r="M811">
            <v>0</v>
          </cell>
          <cell r="N811">
            <v>0</v>
          </cell>
          <cell r="O811">
            <v>0</v>
          </cell>
          <cell r="P811">
            <v>0</v>
          </cell>
          <cell r="Q811">
            <v>0</v>
          </cell>
          <cell r="R811">
            <v>0</v>
          </cell>
        </row>
        <row r="812">
          <cell r="A812" t="str">
            <v>10.12.01</v>
          </cell>
          <cell r="B812" t="str">
            <v>PINTURA EN CIELORRASO</v>
          </cell>
          <cell r="C812" t="str">
            <v>m2</v>
          </cell>
          <cell r="D812">
            <v>245.38</v>
          </cell>
          <cell r="E812">
            <v>12.59</v>
          </cell>
          <cell r="F812">
            <v>3089.3341999999998</v>
          </cell>
          <cell r="G812">
            <v>0</v>
          </cell>
          <cell r="H812">
            <v>0</v>
          </cell>
          <cell r="I812" t="str">
            <v>0.00%</v>
          </cell>
          <cell r="J812">
            <v>0</v>
          </cell>
          <cell r="K812">
            <v>0</v>
          </cell>
          <cell r="L812" t="str">
            <v>0.00%</v>
          </cell>
          <cell r="M812">
            <v>0</v>
          </cell>
          <cell r="N812">
            <v>0</v>
          </cell>
          <cell r="O812" t="str">
            <v>0.00%</v>
          </cell>
          <cell r="P812">
            <v>245.38</v>
          </cell>
          <cell r="Q812">
            <v>3089.3341999999998</v>
          </cell>
          <cell r="R812">
            <v>1</v>
          </cell>
        </row>
        <row r="813">
          <cell r="A813" t="str">
            <v>10.12.02</v>
          </cell>
          <cell r="B813" t="str">
            <v xml:space="preserve">PINTURA EN INTERIORES </v>
          </cell>
          <cell r="C813" t="str">
            <v>m2</v>
          </cell>
          <cell r="D813">
            <v>412.11</v>
          </cell>
          <cell r="E813">
            <v>9.6999999999999993</v>
          </cell>
          <cell r="F813">
            <v>3997.4669999999996</v>
          </cell>
          <cell r="G813">
            <v>0</v>
          </cell>
          <cell r="H813">
            <v>0</v>
          </cell>
          <cell r="I813" t="str">
            <v>0.00%</v>
          </cell>
          <cell r="J813">
            <v>0</v>
          </cell>
          <cell r="K813">
            <v>0</v>
          </cell>
          <cell r="L813" t="str">
            <v>0.00%</v>
          </cell>
          <cell r="M813">
            <v>0</v>
          </cell>
          <cell r="N813">
            <v>0</v>
          </cell>
          <cell r="O813" t="str">
            <v>0.00%</v>
          </cell>
          <cell r="P813">
            <v>412.11</v>
          </cell>
          <cell r="Q813">
            <v>3997.4669999999996</v>
          </cell>
          <cell r="R813">
            <v>1</v>
          </cell>
        </row>
        <row r="814">
          <cell r="A814" t="str">
            <v>10.12.03</v>
          </cell>
          <cell r="B814" t="str">
            <v>PINTURA EN EXTERIORES</v>
          </cell>
          <cell r="C814" t="str">
            <v>m2</v>
          </cell>
          <cell r="D814">
            <v>166.27</v>
          </cell>
          <cell r="E814">
            <v>19.04</v>
          </cell>
          <cell r="F814">
            <v>3165.7808</v>
          </cell>
          <cell r="G814">
            <v>0</v>
          </cell>
          <cell r="H814">
            <v>0</v>
          </cell>
          <cell r="I814" t="str">
            <v>0.00%</v>
          </cell>
          <cell r="J814">
            <v>0</v>
          </cell>
          <cell r="K814">
            <v>0</v>
          </cell>
          <cell r="L814" t="str">
            <v>0.00%</v>
          </cell>
          <cell r="M814">
            <v>0</v>
          </cell>
          <cell r="N814">
            <v>0</v>
          </cell>
          <cell r="O814" t="str">
            <v>0.00%</v>
          </cell>
          <cell r="P814">
            <v>166.27</v>
          </cell>
          <cell r="Q814">
            <v>3165.7808</v>
          </cell>
          <cell r="R814">
            <v>1</v>
          </cell>
        </row>
        <row r="815">
          <cell r="A815" t="str">
            <v>10.12.04</v>
          </cell>
          <cell r="B815" t="str">
            <v>PINTURA EN COLUMNAS</v>
          </cell>
          <cell r="C815" t="str">
            <v>m2</v>
          </cell>
          <cell r="D815">
            <v>213.37</v>
          </cell>
          <cell r="E815">
            <v>10.35</v>
          </cell>
          <cell r="F815">
            <v>2208.3795</v>
          </cell>
          <cell r="G815">
            <v>0</v>
          </cell>
          <cell r="H815">
            <v>0</v>
          </cell>
          <cell r="I815" t="str">
            <v>0.00%</v>
          </cell>
          <cell r="J815">
            <v>0</v>
          </cell>
          <cell r="K815">
            <v>0</v>
          </cell>
          <cell r="L815" t="str">
            <v>0.00%</v>
          </cell>
          <cell r="M815">
            <v>0</v>
          </cell>
          <cell r="N815">
            <v>0</v>
          </cell>
          <cell r="O815" t="str">
            <v>0.00%</v>
          </cell>
          <cell r="P815">
            <v>213.37</v>
          </cell>
          <cell r="Q815">
            <v>2208.3795</v>
          </cell>
          <cell r="R815">
            <v>1</v>
          </cell>
        </row>
        <row r="816">
          <cell r="A816" t="str">
            <v>10.12.05</v>
          </cell>
          <cell r="B816" t="str">
            <v>PINTURA EN VIGA</v>
          </cell>
          <cell r="C816" t="str">
            <v>m2</v>
          </cell>
          <cell r="D816">
            <v>173.03</v>
          </cell>
          <cell r="E816">
            <v>10.35</v>
          </cell>
          <cell r="F816">
            <v>1790.8605</v>
          </cell>
          <cell r="G816">
            <v>0</v>
          </cell>
          <cell r="H816">
            <v>0</v>
          </cell>
          <cell r="I816" t="str">
            <v>0.00%</v>
          </cell>
          <cell r="J816">
            <v>0</v>
          </cell>
          <cell r="K816">
            <v>0</v>
          </cell>
          <cell r="L816" t="str">
            <v>0.00%</v>
          </cell>
          <cell r="M816">
            <v>0</v>
          </cell>
          <cell r="N816">
            <v>0</v>
          </cell>
          <cell r="O816" t="str">
            <v>0.00%</v>
          </cell>
          <cell r="P816">
            <v>173.03</v>
          </cell>
          <cell r="Q816">
            <v>1790.8605</v>
          </cell>
          <cell r="R816">
            <v>1</v>
          </cell>
        </row>
        <row r="817">
          <cell r="A817" t="str">
            <v>10.12.06</v>
          </cell>
          <cell r="B817" t="str">
            <v>PINTURA EN CUNETA DE EVACUACION PLUVIAL EN TECHO</v>
          </cell>
          <cell r="C817" t="str">
            <v>m2</v>
          </cell>
          <cell r="D817">
            <v>28.18</v>
          </cell>
          <cell r="E817">
            <v>9.25</v>
          </cell>
          <cell r="F817">
            <v>260.66500000000002</v>
          </cell>
          <cell r="G817">
            <v>0</v>
          </cell>
          <cell r="H817">
            <v>0</v>
          </cell>
          <cell r="I817" t="str">
            <v>0.00%</v>
          </cell>
          <cell r="J817">
            <v>0</v>
          </cell>
          <cell r="K817">
            <v>0</v>
          </cell>
          <cell r="L817" t="str">
            <v>0.00%</v>
          </cell>
          <cell r="M817">
            <v>0</v>
          </cell>
          <cell r="N817">
            <v>0</v>
          </cell>
          <cell r="O817" t="str">
            <v>0.00%</v>
          </cell>
          <cell r="P817">
            <v>28.18</v>
          </cell>
          <cell r="Q817">
            <v>260.66500000000002</v>
          </cell>
          <cell r="R817">
            <v>1</v>
          </cell>
        </row>
        <row r="818">
          <cell r="A818" t="str">
            <v>10.12.07</v>
          </cell>
          <cell r="B818" t="str">
            <v>PINTURA EN CONTRAZOCALOS Y ZOCALOS H= 0.40M C/ESMALTE</v>
          </cell>
          <cell r="C818" t="str">
            <v>m</v>
          </cell>
          <cell r="D818">
            <v>19.899999999999999</v>
          </cell>
          <cell r="E818">
            <v>7.19</v>
          </cell>
          <cell r="F818">
            <v>143.08099999999999</v>
          </cell>
          <cell r="G818">
            <v>0</v>
          </cell>
          <cell r="H818">
            <v>0</v>
          </cell>
          <cell r="I818" t="str">
            <v>0.00%</v>
          </cell>
          <cell r="J818">
            <v>0</v>
          </cell>
          <cell r="K818">
            <v>0</v>
          </cell>
          <cell r="L818" t="str">
            <v>0.00%</v>
          </cell>
          <cell r="M818">
            <v>0</v>
          </cell>
          <cell r="N818">
            <v>0</v>
          </cell>
          <cell r="O818" t="str">
            <v>0.00%</v>
          </cell>
          <cell r="P818">
            <v>19.899999999999999</v>
          </cell>
          <cell r="Q818">
            <v>143.08099999999999</v>
          </cell>
          <cell r="R818">
            <v>1</v>
          </cell>
        </row>
        <row r="819">
          <cell r="A819" t="str">
            <v>10.12.08</v>
          </cell>
          <cell r="B819" t="str">
            <v>PINTURA EN PUERTAS C/BARNIZ 2 MANOS</v>
          </cell>
          <cell r="C819" t="str">
            <v>m2</v>
          </cell>
          <cell r="D819">
            <v>29.46</v>
          </cell>
          <cell r="E819">
            <v>12.86</v>
          </cell>
          <cell r="F819">
            <v>378.85559999999998</v>
          </cell>
          <cell r="G819">
            <v>0</v>
          </cell>
          <cell r="H819">
            <v>0</v>
          </cell>
          <cell r="I819" t="str">
            <v>0.00%</v>
          </cell>
          <cell r="J819">
            <v>0</v>
          </cell>
          <cell r="K819">
            <v>0</v>
          </cell>
          <cell r="L819" t="str">
            <v>0.00%</v>
          </cell>
          <cell r="M819">
            <v>0</v>
          </cell>
          <cell r="N819">
            <v>0</v>
          </cell>
          <cell r="O819" t="str">
            <v>0.00%</v>
          </cell>
          <cell r="P819">
            <v>29.46</v>
          </cell>
          <cell r="Q819">
            <v>378.85559999999998</v>
          </cell>
          <cell r="R819">
            <v>1</v>
          </cell>
        </row>
        <row r="820">
          <cell r="A820" t="str">
            <v>10.13</v>
          </cell>
          <cell r="B820" t="str">
            <v>OBRAS VARIAS</v>
          </cell>
          <cell r="C820">
            <v>0</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row>
        <row r="821">
          <cell r="A821" t="str">
            <v>10.13.01</v>
          </cell>
          <cell r="B821" t="str">
            <v>SARDINEL DE CONCRETO SOBRE VIGAS TIMPANO F'C= 175KG/CM2</v>
          </cell>
          <cell r="C821" t="str">
            <v>m3</v>
          </cell>
          <cell r="D821">
            <v>2.0099999999999998</v>
          </cell>
          <cell r="E821">
            <v>388.98</v>
          </cell>
          <cell r="F821">
            <v>781.84979999999996</v>
          </cell>
          <cell r="G821">
            <v>0</v>
          </cell>
          <cell r="H821">
            <v>0</v>
          </cell>
          <cell r="I821" t="str">
            <v>0.00%</v>
          </cell>
          <cell r="J821">
            <v>0</v>
          </cell>
          <cell r="K821">
            <v>0</v>
          </cell>
          <cell r="L821" t="str">
            <v>0.00%</v>
          </cell>
          <cell r="M821">
            <v>0</v>
          </cell>
          <cell r="N821">
            <v>0</v>
          </cell>
          <cell r="O821" t="str">
            <v>0.00%</v>
          </cell>
          <cell r="P821">
            <v>2.0099999999999998</v>
          </cell>
          <cell r="Q821">
            <v>781.84979999999996</v>
          </cell>
          <cell r="R821">
            <v>1</v>
          </cell>
        </row>
        <row r="822">
          <cell r="A822" t="str">
            <v>10.13.02</v>
          </cell>
          <cell r="B822" t="str">
            <v>ENCOFRADO Y DESENCOFRADO DE SARDINELES SOBRE VIGA TIMPANO</v>
          </cell>
          <cell r="C822" t="str">
            <v>m2</v>
          </cell>
          <cell r="D822">
            <v>13.4</v>
          </cell>
          <cell r="E822">
            <v>17.3</v>
          </cell>
          <cell r="F822">
            <v>231.82000000000002</v>
          </cell>
          <cell r="G822">
            <v>0</v>
          </cell>
          <cell r="H822">
            <v>0</v>
          </cell>
          <cell r="I822" t="str">
            <v>0.00%</v>
          </cell>
          <cell r="J822">
            <v>0</v>
          </cell>
          <cell r="K822">
            <v>0</v>
          </cell>
          <cell r="L822" t="str">
            <v>0.00%</v>
          </cell>
          <cell r="M822">
            <v>0</v>
          </cell>
          <cell r="N822">
            <v>0</v>
          </cell>
          <cell r="O822" t="str">
            <v>0.00%</v>
          </cell>
          <cell r="P822">
            <v>13.4</v>
          </cell>
          <cell r="Q822">
            <v>231.82000000000002</v>
          </cell>
          <cell r="R822">
            <v>1</v>
          </cell>
        </row>
        <row r="823">
          <cell r="A823" t="str">
            <v>10.13.03</v>
          </cell>
          <cell r="B823" t="str">
            <v xml:space="preserve">TAPA JUNTA EN VANOS MUROS/COLUMNA
</v>
          </cell>
          <cell r="C823" t="str">
            <v>m</v>
          </cell>
          <cell r="D823">
            <v>550.20000000000005</v>
          </cell>
          <cell r="E823">
            <v>13.49</v>
          </cell>
          <cell r="F823">
            <v>7422.1980000000003</v>
          </cell>
          <cell r="G823">
            <v>0</v>
          </cell>
          <cell r="H823">
            <v>0</v>
          </cell>
          <cell r="I823" t="str">
            <v>0.00%</v>
          </cell>
          <cell r="J823">
            <v>0</v>
          </cell>
          <cell r="K823">
            <v>0</v>
          </cell>
          <cell r="L823" t="str">
            <v>0.00%</v>
          </cell>
          <cell r="M823">
            <v>0</v>
          </cell>
          <cell r="N823">
            <v>0</v>
          </cell>
          <cell r="O823" t="str">
            <v>0.00%</v>
          </cell>
          <cell r="P823">
            <v>550.20000000000005</v>
          </cell>
          <cell r="Q823">
            <v>7422.1980000000003</v>
          </cell>
          <cell r="R823">
            <v>1</v>
          </cell>
        </row>
        <row r="824">
          <cell r="A824" t="str">
            <v>10.13.04</v>
          </cell>
          <cell r="B824" t="str">
            <v>TAPA JUNTA  METALICA</v>
          </cell>
          <cell r="C824" t="str">
            <v>m</v>
          </cell>
          <cell r="D824">
            <v>13.58</v>
          </cell>
          <cell r="E824">
            <v>50.83</v>
          </cell>
          <cell r="F824">
            <v>690.27139999999997</v>
          </cell>
          <cell r="G824">
            <v>0</v>
          </cell>
          <cell r="H824">
            <v>0</v>
          </cell>
          <cell r="I824" t="str">
            <v>0.00%</v>
          </cell>
          <cell r="J824">
            <v>0</v>
          </cell>
          <cell r="K824">
            <v>0</v>
          </cell>
          <cell r="L824" t="str">
            <v>0.00%</v>
          </cell>
          <cell r="M824">
            <v>0</v>
          </cell>
          <cell r="N824">
            <v>0</v>
          </cell>
          <cell r="O824" t="str">
            <v>0.00%</v>
          </cell>
          <cell r="P824">
            <v>13.58</v>
          </cell>
          <cell r="Q824">
            <v>690.27139999999997</v>
          </cell>
          <cell r="R824">
            <v>1</v>
          </cell>
        </row>
        <row r="825">
          <cell r="A825" t="str">
            <v>11</v>
          </cell>
          <cell r="B825" t="str">
            <v>BLOQUE - 4</v>
          </cell>
          <cell r="C825">
            <v>0</v>
          </cell>
          <cell r="D825">
            <v>0</v>
          </cell>
          <cell r="E825">
            <v>0</v>
          </cell>
          <cell r="F825">
            <v>0</v>
          </cell>
          <cell r="G825">
            <v>0</v>
          </cell>
          <cell r="H825">
            <v>0</v>
          </cell>
          <cell r="I825">
            <v>0</v>
          </cell>
          <cell r="J825">
            <v>0</v>
          </cell>
          <cell r="K825">
            <v>0</v>
          </cell>
          <cell r="L825">
            <v>0</v>
          </cell>
          <cell r="M825">
            <v>0</v>
          </cell>
          <cell r="N825">
            <v>0</v>
          </cell>
          <cell r="O825">
            <v>0</v>
          </cell>
          <cell r="P825">
            <v>0</v>
          </cell>
          <cell r="Q825">
            <v>0</v>
          </cell>
          <cell r="R825">
            <v>0</v>
          </cell>
        </row>
        <row r="826">
          <cell r="A826" t="str">
            <v>11.01</v>
          </cell>
          <cell r="B826" t="str">
            <v>MUROS Y TABIQUES</v>
          </cell>
          <cell r="C826">
            <v>0</v>
          </cell>
          <cell r="D826">
            <v>0</v>
          </cell>
          <cell r="E826">
            <v>0</v>
          </cell>
          <cell r="F826">
            <v>0</v>
          </cell>
          <cell r="G826">
            <v>0</v>
          </cell>
          <cell r="H826">
            <v>0</v>
          </cell>
          <cell r="I826">
            <v>0</v>
          </cell>
          <cell r="J826">
            <v>0</v>
          </cell>
          <cell r="K826">
            <v>0</v>
          </cell>
          <cell r="L826">
            <v>0</v>
          </cell>
          <cell r="M826">
            <v>0</v>
          </cell>
          <cell r="N826">
            <v>0</v>
          </cell>
          <cell r="O826">
            <v>0</v>
          </cell>
          <cell r="P826">
            <v>0</v>
          </cell>
          <cell r="Q826">
            <v>0</v>
          </cell>
          <cell r="R826">
            <v>0</v>
          </cell>
        </row>
        <row r="827">
          <cell r="A827" t="str">
            <v>11.01.01</v>
          </cell>
          <cell r="B827" t="str">
            <v>MURO DE CABEZA LADRILLO KIN-KONG DE ARCILLA</v>
          </cell>
          <cell r="C827" t="str">
            <v>m2</v>
          </cell>
          <cell r="D827">
            <v>170.12</v>
          </cell>
          <cell r="E827">
            <v>151.13999999999999</v>
          </cell>
          <cell r="F827">
            <v>25711.936799999999</v>
          </cell>
          <cell r="G827">
            <v>0</v>
          </cell>
          <cell r="H827">
            <v>0</v>
          </cell>
          <cell r="I827" t="str">
            <v>0.00%</v>
          </cell>
          <cell r="J827">
            <v>0</v>
          </cell>
          <cell r="K827">
            <v>0</v>
          </cell>
          <cell r="L827" t="str">
            <v>0.00%</v>
          </cell>
          <cell r="M827">
            <v>0</v>
          </cell>
          <cell r="N827">
            <v>0</v>
          </cell>
          <cell r="O827" t="str">
            <v>0.00%</v>
          </cell>
          <cell r="P827">
            <v>170.12</v>
          </cell>
          <cell r="Q827">
            <v>25711.936799999999</v>
          </cell>
          <cell r="R827">
            <v>1</v>
          </cell>
        </row>
        <row r="828">
          <cell r="A828" t="str">
            <v>11.01.02</v>
          </cell>
          <cell r="B828" t="str">
            <v>MURO DE SOGA LADRILLO KIN-KONG DE ARCILLA</v>
          </cell>
          <cell r="C828" t="str">
            <v>m2</v>
          </cell>
          <cell r="D828">
            <v>63.05</v>
          </cell>
          <cell r="E828">
            <v>99.24</v>
          </cell>
          <cell r="F828">
            <v>6257.0819999999994</v>
          </cell>
          <cell r="G828">
            <v>0</v>
          </cell>
          <cell r="H828">
            <v>0</v>
          </cell>
          <cell r="I828" t="str">
            <v>0.00%</v>
          </cell>
          <cell r="J828">
            <v>0</v>
          </cell>
          <cell r="K828">
            <v>0</v>
          </cell>
          <cell r="L828" t="str">
            <v>0.00%</v>
          </cell>
          <cell r="M828">
            <v>0</v>
          </cell>
          <cell r="N828">
            <v>0</v>
          </cell>
          <cell r="O828" t="str">
            <v>0.00%</v>
          </cell>
          <cell r="P828">
            <v>63.05</v>
          </cell>
          <cell r="Q828">
            <v>6257.0819999999994</v>
          </cell>
          <cell r="R828">
            <v>1</v>
          </cell>
        </row>
        <row r="829">
          <cell r="A829" t="str">
            <v>11.01.03</v>
          </cell>
          <cell r="B829" t="str">
            <v>TABIQUERIA DRYWALL E=13CM C/RELLENO ACUSTICO C/PLANCHA 5/8"</v>
          </cell>
          <cell r="C829" t="str">
            <v>m2</v>
          </cell>
          <cell r="D829">
            <v>28.57</v>
          </cell>
          <cell r="E829">
            <v>84.62</v>
          </cell>
          <cell r="F829">
            <v>2417.5934000000002</v>
          </cell>
          <cell r="G829">
            <v>0</v>
          </cell>
          <cell r="H829">
            <v>0</v>
          </cell>
          <cell r="I829" t="str">
            <v>0.00%</v>
          </cell>
          <cell r="J829">
            <v>0</v>
          </cell>
          <cell r="K829">
            <v>0</v>
          </cell>
          <cell r="L829" t="str">
            <v>0.00%</v>
          </cell>
          <cell r="M829">
            <v>0</v>
          </cell>
          <cell r="N829">
            <v>0</v>
          </cell>
          <cell r="O829" t="str">
            <v>0.00%</v>
          </cell>
          <cell r="P829">
            <v>28.57</v>
          </cell>
          <cell r="Q829">
            <v>2417.5934000000002</v>
          </cell>
          <cell r="R829">
            <v>1</v>
          </cell>
        </row>
        <row r="830">
          <cell r="A830" t="str">
            <v>11.02</v>
          </cell>
          <cell r="B830" t="str">
            <v>REVOQUES ENLUCIDOS Y MOLDURAS</v>
          </cell>
          <cell r="C830">
            <v>0</v>
          </cell>
          <cell r="D830">
            <v>0</v>
          </cell>
          <cell r="E830">
            <v>0</v>
          </cell>
          <cell r="F830">
            <v>0</v>
          </cell>
          <cell r="G830">
            <v>0</v>
          </cell>
          <cell r="H830">
            <v>0</v>
          </cell>
          <cell r="I830">
            <v>0</v>
          </cell>
          <cell r="J830">
            <v>0</v>
          </cell>
          <cell r="K830">
            <v>0</v>
          </cell>
          <cell r="L830">
            <v>0</v>
          </cell>
          <cell r="M830">
            <v>0</v>
          </cell>
          <cell r="N830">
            <v>0</v>
          </cell>
          <cell r="O830">
            <v>0</v>
          </cell>
          <cell r="P830">
            <v>0</v>
          </cell>
          <cell r="Q830">
            <v>0</v>
          </cell>
          <cell r="R830">
            <v>0</v>
          </cell>
        </row>
        <row r="831">
          <cell r="A831" t="str">
            <v>11.02.01</v>
          </cell>
          <cell r="B831" t="str">
            <v>TARRAJEO EN MUROS INTERIORES MEZCLA 1:5 CEMENTO:ARENA</v>
          </cell>
          <cell r="C831" t="str">
            <v>m2</v>
          </cell>
          <cell r="D831">
            <v>296.20999999999998</v>
          </cell>
          <cell r="E831">
            <v>26.91</v>
          </cell>
          <cell r="F831">
            <v>7971.0110999999997</v>
          </cell>
          <cell r="G831">
            <v>0</v>
          </cell>
          <cell r="H831">
            <v>0</v>
          </cell>
          <cell r="I831" t="str">
            <v>0.00%</v>
          </cell>
          <cell r="J831">
            <v>0</v>
          </cell>
          <cell r="K831">
            <v>0</v>
          </cell>
          <cell r="L831" t="str">
            <v>0.00%</v>
          </cell>
          <cell r="M831">
            <v>0</v>
          </cell>
          <cell r="N831">
            <v>0</v>
          </cell>
          <cell r="O831" t="str">
            <v>0.00%</v>
          </cell>
          <cell r="P831">
            <v>296.20999999999998</v>
          </cell>
          <cell r="Q831">
            <v>7971.0110999999997</v>
          </cell>
          <cell r="R831">
            <v>1</v>
          </cell>
        </row>
        <row r="832">
          <cell r="A832" t="str">
            <v>11.02.02</v>
          </cell>
          <cell r="B832" t="str">
            <v>TARRAJEO EN MUROS EXTERIORES MEZCLA 1:5 CEMENTO:ARENA</v>
          </cell>
          <cell r="C832" t="str">
            <v>m2</v>
          </cell>
          <cell r="D832">
            <v>189.71</v>
          </cell>
          <cell r="E832">
            <v>33.57</v>
          </cell>
          <cell r="F832">
            <v>6368.5646999999999</v>
          </cell>
          <cell r="G832">
            <v>0</v>
          </cell>
          <cell r="H832">
            <v>0</v>
          </cell>
          <cell r="I832" t="str">
            <v>0.00%</v>
          </cell>
          <cell r="J832">
            <v>0</v>
          </cell>
          <cell r="K832">
            <v>0</v>
          </cell>
          <cell r="L832" t="str">
            <v>0.00%</v>
          </cell>
          <cell r="M832">
            <v>0</v>
          </cell>
          <cell r="N832">
            <v>0</v>
          </cell>
          <cell r="O832" t="str">
            <v>0.00%</v>
          </cell>
          <cell r="P832">
            <v>189.71</v>
          </cell>
          <cell r="Q832">
            <v>6368.5646999999999</v>
          </cell>
          <cell r="R832">
            <v>1</v>
          </cell>
        </row>
        <row r="833">
          <cell r="A833" t="str">
            <v>11.02.03</v>
          </cell>
          <cell r="B833" t="str">
            <v>TARRAJEO EN PESTAÑAS DE LAS VENTANAS</v>
          </cell>
          <cell r="C833" t="str">
            <v>m</v>
          </cell>
          <cell r="D833">
            <v>16.2</v>
          </cell>
          <cell r="E833">
            <v>18.16</v>
          </cell>
          <cell r="F833">
            <v>294.19200000000001</v>
          </cell>
          <cell r="G833">
            <v>0</v>
          </cell>
          <cell r="H833">
            <v>0</v>
          </cell>
          <cell r="I833" t="str">
            <v>0.00%</v>
          </cell>
          <cell r="J833">
            <v>0</v>
          </cell>
          <cell r="K833">
            <v>0</v>
          </cell>
          <cell r="L833" t="str">
            <v>0.00%</v>
          </cell>
          <cell r="M833">
            <v>0</v>
          </cell>
          <cell r="N833">
            <v>0</v>
          </cell>
          <cell r="O833" t="str">
            <v>0.00%</v>
          </cell>
          <cell r="P833">
            <v>16.2</v>
          </cell>
          <cell r="Q833">
            <v>294.19200000000001</v>
          </cell>
          <cell r="R833">
            <v>1</v>
          </cell>
        </row>
        <row r="834">
          <cell r="A834" t="str">
            <v>11.02.04</v>
          </cell>
          <cell r="B834" t="str">
            <v>TARRAJEO DE SUPERFICIE COLUMNAS INCL. ARISTAS MEZCLA 1:5 CEMENTO:ARENA</v>
          </cell>
          <cell r="C834" t="str">
            <v>m2</v>
          </cell>
          <cell r="D834">
            <v>84.07</v>
          </cell>
          <cell r="E834">
            <v>29.04</v>
          </cell>
          <cell r="F834">
            <v>2441.3927999999996</v>
          </cell>
          <cell r="G834">
            <v>0</v>
          </cell>
          <cell r="H834">
            <v>0</v>
          </cell>
          <cell r="I834" t="str">
            <v>0.00%</v>
          </cell>
          <cell r="J834">
            <v>0</v>
          </cell>
          <cell r="K834">
            <v>0</v>
          </cell>
          <cell r="L834" t="str">
            <v>0.00%</v>
          </cell>
          <cell r="M834">
            <v>0</v>
          </cell>
          <cell r="N834">
            <v>0</v>
          </cell>
          <cell r="O834" t="str">
            <v>0.00%</v>
          </cell>
          <cell r="P834">
            <v>84.07</v>
          </cell>
          <cell r="Q834">
            <v>2441.3927999999996</v>
          </cell>
          <cell r="R834">
            <v>1</v>
          </cell>
        </row>
        <row r="835">
          <cell r="A835" t="str">
            <v>11.02.05</v>
          </cell>
          <cell r="B835" t="str">
            <v>TARRAJEO DE SUPERF.VIGAS INCL.ARISTAS, MEZCLA 1:5 CEMENTO:ARENA</v>
          </cell>
          <cell r="C835" t="str">
            <v>m2</v>
          </cell>
          <cell r="D835">
            <v>77.7</v>
          </cell>
          <cell r="E835">
            <v>34.25</v>
          </cell>
          <cell r="F835">
            <v>2661.2249999999999</v>
          </cell>
          <cell r="G835">
            <v>0</v>
          </cell>
          <cell r="H835">
            <v>0</v>
          </cell>
          <cell r="I835" t="str">
            <v>0.00%</v>
          </cell>
          <cell r="J835">
            <v>0</v>
          </cell>
          <cell r="K835">
            <v>0</v>
          </cell>
          <cell r="L835" t="str">
            <v>0.00%</v>
          </cell>
          <cell r="M835">
            <v>0</v>
          </cell>
          <cell r="N835">
            <v>0</v>
          </cell>
          <cell r="O835" t="str">
            <v>0.00%</v>
          </cell>
          <cell r="P835">
            <v>77.7</v>
          </cell>
          <cell r="Q835">
            <v>2661.2249999999999</v>
          </cell>
          <cell r="R835">
            <v>1</v>
          </cell>
        </row>
        <row r="836">
          <cell r="A836" t="str">
            <v>11.02.06</v>
          </cell>
          <cell r="B836" t="str">
            <v>TARRAJEO CON IMPERMEABILIZANTE EN COBERTURAS</v>
          </cell>
          <cell r="C836" t="str">
            <v>m2</v>
          </cell>
          <cell r="D836">
            <v>77.180000000000007</v>
          </cell>
          <cell r="E836">
            <v>60.76</v>
          </cell>
          <cell r="F836">
            <v>4689.4567999999999</v>
          </cell>
          <cell r="G836">
            <v>0</v>
          </cell>
          <cell r="H836">
            <v>0</v>
          </cell>
          <cell r="I836" t="str">
            <v>0.00%</v>
          </cell>
          <cell r="J836">
            <v>0</v>
          </cell>
          <cell r="K836">
            <v>0</v>
          </cell>
          <cell r="L836" t="str">
            <v>0.00%</v>
          </cell>
          <cell r="M836">
            <v>0</v>
          </cell>
          <cell r="N836">
            <v>0</v>
          </cell>
          <cell r="O836" t="str">
            <v>0.00%</v>
          </cell>
          <cell r="P836">
            <v>77.180000000000007</v>
          </cell>
          <cell r="Q836">
            <v>4689.4567999999999</v>
          </cell>
          <cell r="R836">
            <v>1</v>
          </cell>
        </row>
        <row r="837">
          <cell r="A837" t="str">
            <v>11.02.07</v>
          </cell>
          <cell r="B837" t="str">
            <v>TARRAJEO EN CUNETA DE EVACUACION PLUVIAL EXTERIOR - TECHO</v>
          </cell>
          <cell r="C837" t="str">
            <v>m2</v>
          </cell>
          <cell r="D837">
            <v>14.34</v>
          </cell>
          <cell r="E837">
            <v>39.65</v>
          </cell>
          <cell r="F837">
            <v>568.58100000000002</v>
          </cell>
          <cell r="G837">
            <v>0</v>
          </cell>
          <cell r="H837">
            <v>0</v>
          </cell>
          <cell r="I837" t="str">
            <v>0.00%</v>
          </cell>
          <cell r="J837">
            <v>0</v>
          </cell>
          <cell r="K837">
            <v>0</v>
          </cell>
          <cell r="L837" t="str">
            <v>0.00%</v>
          </cell>
          <cell r="M837">
            <v>0</v>
          </cell>
          <cell r="N837">
            <v>0</v>
          </cell>
          <cell r="O837" t="str">
            <v>0.00%</v>
          </cell>
          <cell r="P837">
            <v>14.34</v>
          </cell>
          <cell r="Q837">
            <v>568.58100000000002</v>
          </cell>
          <cell r="R837">
            <v>1</v>
          </cell>
        </row>
        <row r="838">
          <cell r="A838" t="str">
            <v>11.02.08</v>
          </cell>
          <cell r="B838" t="str">
            <v>TARRAJEO CON IMPERMEABILIZANTE EN  CUNETA INTERIOR - TECHO</v>
          </cell>
          <cell r="C838" t="str">
            <v>m2</v>
          </cell>
          <cell r="D838">
            <v>33.89</v>
          </cell>
          <cell r="E838">
            <v>42.36</v>
          </cell>
          <cell r="F838">
            <v>1435.5804000000001</v>
          </cell>
          <cell r="G838">
            <v>0</v>
          </cell>
          <cell r="H838">
            <v>0</v>
          </cell>
          <cell r="I838" t="str">
            <v>0.00%</v>
          </cell>
          <cell r="J838">
            <v>0</v>
          </cell>
          <cell r="K838">
            <v>0</v>
          </cell>
          <cell r="L838" t="str">
            <v>0.00%</v>
          </cell>
          <cell r="M838">
            <v>0</v>
          </cell>
          <cell r="N838">
            <v>0</v>
          </cell>
          <cell r="O838" t="str">
            <v>0.00%</v>
          </cell>
          <cell r="P838">
            <v>33.89</v>
          </cell>
          <cell r="Q838">
            <v>1435.5804000000001</v>
          </cell>
          <cell r="R838">
            <v>1</v>
          </cell>
        </row>
        <row r="839">
          <cell r="A839" t="str">
            <v>11.02.09</v>
          </cell>
          <cell r="B839" t="str">
            <v xml:space="preserve">VESTIDURA DE DERRAMES </v>
          </cell>
          <cell r="C839" t="str">
            <v>m</v>
          </cell>
          <cell r="D839">
            <v>130.30000000000001</v>
          </cell>
          <cell r="E839">
            <v>24.82</v>
          </cell>
          <cell r="F839">
            <v>3234.0460000000003</v>
          </cell>
          <cell r="G839">
            <v>0</v>
          </cell>
          <cell r="H839">
            <v>0</v>
          </cell>
          <cell r="I839" t="str">
            <v>0.00%</v>
          </cell>
          <cell r="J839">
            <v>0</v>
          </cell>
          <cell r="K839">
            <v>0</v>
          </cell>
          <cell r="L839" t="str">
            <v>0.00%</v>
          </cell>
          <cell r="M839">
            <v>0</v>
          </cell>
          <cell r="N839">
            <v>0</v>
          </cell>
          <cell r="O839" t="str">
            <v>0.00%</v>
          </cell>
          <cell r="P839">
            <v>130.30000000000001</v>
          </cell>
          <cell r="Q839">
            <v>3234.0460000000003</v>
          </cell>
          <cell r="R839">
            <v>1</v>
          </cell>
        </row>
        <row r="840">
          <cell r="A840" t="str">
            <v>11.02.10</v>
          </cell>
          <cell r="B840" t="str">
            <v>BRUÑA DE 1CM ENTRE MUROS Y ESTRUCTURAS</v>
          </cell>
          <cell r="C840" t="str">
            <v>m</v>
          </cell>
          <cell r="D840">
            <v>306.16000000000003</v>
          </cell>
          <cell r="E840">
            <v>2.08</v>
          </cell>
          <cell r="F840">
            <v>636.81280000000004</v>
          </cell>
          <cell r="G840">
            <v>0</v>
          </cell>
          <cell r="H840">
            <v>0</v>
          </cell>
          <cell r="I840" t="str">
            <v>0.00%</v>
          </cell>
          <cell r="J840">
            <v>0</v>
          </cell>
          <cell r="K840">
            <v>0</v>
          </cell>
          <cell r="L840" t="str">
            <v>0.00%</v>
          </cell>
          <cell r="M840">
            <v>0</v>
          </cell>
          <cell r="N840">
            <v>0</v>
          </cell>
          <cell r="O840" t="str">
            <v>0.00%</v>
          </cell>
          <cell r="P840">
            <v>306.16000000000003</v>
          </cell>
          <cell r="Q840">
            <v>636.81280000000004</v>
          </cell>
          <cell r="R840">
            <v>1</v>
          </cell>
        </row>
        <row r="841">
          <cell r="A841" t="str">
            <v>11.02.11</v>
          </cell>
          <cell r="B841" t="str">
            <v xml:space="preserve">TARRAJEO EN FONDO DE ESCALERA CON MEZCLA C:A 1:4 E=1.5cm </v>
          </cell>
          <cell r="C841" t="str">
            <v>m2</v>
          </cell>
          <cell r="D841">
            <v>17.559999999999999</v>
          </cell>
          <cell r="E841">
            <v>34.33</v>
          </cell>
          <cell r="F841">
            <v>602.83479999999997</v>
          </cell>
          <cell r="G841">
            <v>0</v>
          </cell>
          <cell r="H841">
            <v>0</v>
          </cell>
          <cell r="I841" t="str">
            <v>0.00%</v>
          </cell>
          <cell r="J841">
            <v>0</v>
          </cell>
          <cell r="K841">
            <v>0</v>
          </cell>
          <cell r="L841" t="str">
            <v>0.00%</v>
          </cell>
          <cell r="M841">
            <v>0</v>
          </cell>
          <cell r="N841">
            <v>0</v>
          </cell>
          <cell r="O841" t="str">
            <v>0.00%</v>
          </cell>
          <cell r="P841">
            <v>17.559999999999999</v>
          </cell>
          <cell r="Q841">
            <v>602.83479999999997</v>
          </cell>
          <cell r="R841">
            <v>1</v>
          </cell>
        </row>
        <row r="842">
          <cell r="A842" t="str">
            <v>11.03</v>
          </cell>
          <cell r="B842" t="str">
            <v>ESTRUCTURAS METALICAS</v>
          </cell>
          <cell r="C842">
            <v>0</v>
          </cell>
          <cell r="D842">
            <v>0</v>
          </cell>
          <cell r="E842">
            <v>0</v>
          </cell>
          <cell r="F842">
            <v>0</v>
          </cell>
          <cell r="G842">
            <v>0</v>
          </cell>
          <cell r="H842">
            <v>0</v>
          </cell>
          <cell r="I842">
            <v>0</v>
          </cell>
          <cell r="J842">
            <v>0</v>
          </cell>
          <cell r="K842">
            <v>0</v>
          </cell>
          <cell r="L842">
            <v>0</v>
          </cell>
          <cell r="M842">
            <v>0</v>
          </cell>
          <cell r="N842">
            <v>0</v>
          </cell>
          <cell r="O842">
            <v>0</v>
          </cell>
          <cell r="P842">
            <v>0</v>
          </cell>
          <cell r="Q842">
            <v>0</v>
          </cell>
          <cell r="R842">
            <v>0</v>
          </cell>
        </row>
        <row r="843">
          <cell r="A843" t="str">
            <v>11.03.01</v>
          </cell>
          <cell r="B843" t="str">
            <v>CORREAS DE TUBO LAC 2"X2"X2mm</v>
          </cell>
          <cell r="C843" t="str">
            <v>m</v>
          </cell>
          <cell r="D843">
            <v>191.2</v>
          </cell>
          <cell r="E843">
            <v>28.38</v>
          </cell>
          <cell r="F843">
            <v>5426.2559999999994</v>
          </cell>
          <cell r="G843">
            <v>0</v>
          </cell>
          <cell r="H843">
            <v>0</v>
          </cell>
          <cell r="I843" t="str">
            <v>0.00%</v>
          </cell>
          <cell r="J843">
            <v>0</v>
          </cell>
          <cell r="K843">
            <v>0</v>
          </cell>
          <cell r="L843" t="str">
            <v>0.00%</v>
          </cell>
          <cell r="M843">
            <v>0</v>
          </cell>
          <cell r="N843">
            <v>0</v>
          </cell>
          <cell r="O843" t="str">
            <v>0.00%</v>
          </cell>
          <cell r="P843">
            <v>191.2</v>
          </cell>
          <cell r="Q843">
            <v>5426.2559999999994</v>
          </cell>
          <cell r="R843">
            <v>1</v>
          </cell>
        </row>
        <row r="844">
          <cell r="A844" t="str">
            <v>11.03.02</v>
          </cell>
          <cell r="B844" t="str">
            <v>TIJERAL TIPO - V CON TUBO RECTANGULAR LAC (SEGUN DISEÑO)</v>
          </cell>
          <cell r="C844" t="str">
            <v>und</v>
          </cell>
          <cell r="D844">
            <v>4</v>
          </cell>
          <cell r="E844">
            <v>535.76</v>
          </cell>
          <cell r="F844">
            <v>2143.04</v>
          </cell>
          <cell r="G844">
            <v>0</v>
          </cell>
          <cell r="H844">
            <v>0</v>
          </cell>
          <cell r="I844" t="str">
            <v>0.00%</v>
          </cell>
          <cell r="J844">
            <v>0</v>
          </cell>
          <cell r="K844">
            <v>0</v>
          </cell>
          <cell r="L844" t="str">
            <v>0.00%</v>
          </cell>
          <cell r="M844">
            <v>0</v>
          </cell>
          <cell r="N844">
            <v>0</v>
          </cell>
          <cell r="O844" t="str">
            <v>0.00%</v>
          </cell>
          <cell r="P844">
            <v>4</v>
          </cell>
          <cell r="Q844">
            <v>2143.04</v>
          </cell>
          <cell r="R844">
            <v>1</v>
          </cell>
        </row>
        <row r="845">
          <cell r="A845" t="str">
            <v>11.04</v>
          </cell>
          <cell r="B845" t="str">
            <v>COBERTURA</v>
          </cell>
          <cell r="C845">
            <v>0</v>
          </cell>
          <cell r="D845">
            <v>0</v>
          </cell>
          <cell r="E845">
            <v>0</v>
          </cell>
          <cell r="F845">
            <v>0</v>
          </cell>
          <cell r="G845">
            <v>0</v>
          </cell>
          <cell r="H845">
            <v>0</v>
          </cell>
          <cell r="I845">
            <v>0</v>
          </cell>
          <cell r="J845">
            <v>0</v>
          </cell>
          <cell r="K845">
            <v>0</v>
          </cell>
          <cell r="L845">
            <v>0</v>
          </cell>
          <cell r="M845">
            <v>0</v>
          </cell>
          <cell r="N845">
            <v>0</v>
          </cell>
          <cell r="O845">
            <v>0</v>
          </cell>
          <cell r="P845">
            <v>0</v>
          </cell>
          <cell r="Q845">
            <v>0</v>
          </cell>
          <cell r="R845">
            <v>0</v>
          </cell>
        </row>
        <row r="846">
          <cell r="A846" t="str">
            <v>11.04.01</v>
          </cell>
          <cell r="B846" t="str">
            <v>COBERTURA DE PLACA ONDUVILLA</v>
          </cell>
          <cell r="C846" t="str">
            <v>m2</v>
          </cell>
          <cell r="D846">
            <v>77.180000000000007</v>
          </cell>
          <cell r="E846">
            <v>147.85</v>
          </cell>
          <cell r="F846">
            <v>11411.063</v>
          </cell>
          <cell r="G846">
            <v>0</v>
          </cell>
          <cell r="H846">
            <v>0</v>
          </cell>
          <cell r="I846" t="str">
            <v>0.00%</v>
          </cell>
          <cell r="J846">
            <v>0</v>
          </cell>
          <cell r="K846">
            <v>0</v>
          </cell>
          <cell r="L846" t="str">
            <v>0.00%</v>
          </cell>
          <cell r="M846">
            <v>0</v>
          </cell>
          <cell r="N846">
            <v>0</v>
          </cell>
          <cell r="O846" t="str">
            <v>0.00%</v>
          </cell>
          <cell r="P846">
            <v>77.180000000000007</v>
          </cell>
          <cell r="Q846">
            <v>11411.063</v>
          </cell>
          <cell r="R846">
            <v>1</v>
          </cell>
        </row>
        <row r="847">
          <cell r="A847" t="str">
            <v>11.04.02</v>
          </cell>
          <cell r="B847" t="str">
            <v>CUMBRERA DE ONDUVILLA</v>
          </cell>
          <cell r="C847" t="str">
            <v>m</v>
          </cell>
          <cell r="D847">
            <v>12.25</v>
          </cell>
          <cell r="E847">
            <v>101.1</v>
          </cell>
          <cell r="F847">
            <v>1238.4749999999999</v>
          </cell>
          <cell r="G847">
            <v>0</v>
          </cell>
          <cell r="H847">
            <v>0</v>
          </cell>
          <cell r="I847" t="str">
            <v>0.00%</v>
          </cell>
          <cell r="J847">
            <v>0</v>
          </cell>
          <cell r="K847">
            <v>0</v>
          </cell>
          <cell r="L847" t="str">
            <v>0.00%</v>
          </cell>
          <cell r="M847">
            <v>0</v>
          </cell>
          <cell r="N847">
            <v>0</v>
          </cell>
          <cell r="O847" t="str">
            <v>0.00%</v>
          </cell>
          <cell r="P847">
            <v>12.25</v>
          </cell>
          <cell r="Q847">
            <v>1238.4749999999999</v>
          </cell>
          <cell r="R847">
            <v>1</v>
          </cell>
        </row>
        <row r="848">
          <cell r="A848" t="str">
            <v>11.04.03</v>
          </cell>
          <cell r="B848" t="str">
            <v>COBERTURA DE POLICARBONATO ALVEOLAR TRASLUCIDO DE 6 MM.</v>
          </cell>
          <cell r="C848" t="str">
            <v>m2</v>
          </cell>
          <cell r="D848">
            <v>12.38</v>
          </cell>
          <cell r="E848">
            <v>63.81</v>
          </cell>
          <cell r="F848">
            <v>789.96780000000012</v>
          </cell>
          <cell r="G848">
            <v>0</v>
          </cell>
          <cell r="H848">
            <v>0</v>
          </cell>
          <cell r="I848" t="str">
            <v>0.00%</v>
          </cell>
          <cell r="J848">
            <v>0</v>
          </cell>
          <cell r="K848">
            <v>0</v>
          </cell>
          <cell r="L848" t="str">
            <v>0.00%</v>
          </cell>
          <cell r="M848">
            <v>0</v>
          </cell>
          <cell r="N848">
            <v>0</v>
          </cell>
          <cell r="O848" t="str">
            <v>0.00%</v>
          </cell>
          <cell r="P848">
            <v>12.38</v>
          </cell>
          <cell r="Q848">
            <v>789.96780000000012</v>
          </cell>
          <cell r="R848">
            <v>1</v>
          </cell>
        </row>
        <row r="849">
          <cell r="A849" t="str">
            <v>11.05</v>
          </cell>
          <cell r="B849" t="str">
            <v>CIELORRASOS</v>
          </cell>
          <cell r="C849">
            <v>0</v>
          </cell>
          <cell r="D849">
            <v>0</v>
          </cell>
          <cell r="E849">
            <v>0</v>
          </cell>
          <cell r="F849">
            <v>0</v>
          </cell>
          <cell r="G849">
            <v>0</v>
          </cell>
          <cell r="H849">
            <v>0</v>
          </cell>
          <cell r="I849">
            <v>0</v>
          </cell>
          <cell r="J849">
            <v>0</v>
          </cell>
          <cell r="K849">
            <v>0</v>
          </cell>
          <cell r="L849">
            <v>0</v>
          </cell>
          <cell r="M849">
            <v>0</v>
          </cell>
          <cell r="N849">
            <v>0</v>
          </cell>
          <cell r="O849">
            <v>0</v>
          </cell>
          <cell r="P849">
            <v>0</v>
          </cell>
          <cell r="Q849">
            <v>0</v>
          </cell>
          <cell r="R849">
            <v>0</v>
          </cell>
        </row>
        <row r="850">
          <cell r="A850" t="str">
            <v>11.05.01</v>
          </cell>
          <cell r="B850" t="str">
            <v>CIELORRASOS CON MEZCLA C:A 1:5 e= 1.5 CM</v>
          </cell>
          <cell r="C850" t="str">
            <v>m2</v>
          </cell>
          <cell r="D850">
            <v>159.34</v>
          </cell>
          <cell r="E850">
            <v>41.21</v>
          </cell>
          <cell r="F850">
            <v>6566.4014000000006</v>
          </cell>
          <cell r="G850">
            <v>0</v>
          </cell>
          <cell r="H850">
            <v>0</v>
          </cell>
          <cell r="I850" t="str">
            <v>0.00%</v>
          </cell>
          <cell r="J850">
            <v>0</v>
          </cell>
          <cell r="K850">
            <v>0</v>
          </cell>
          <cell r="L850" t="str">
            <v>0.00%</v>
          </cell>
          <cell r="M850">
            <v>0</v>
          </cell>
          <cell r="N850">
            <v>0</v>
          </cell>
          <cell r="O850" t="str">
            <v>0.00%</v>
          </cell>
          <cell r="P850">
            <v>159.34</v>
          </cell>
          <cell r="Q850">
            <v>6566.4014000000006</v>
          </cell>
          <cell r="R850">
            <v>1</v>
          </cell>
        </row>
        <row r="851">
          <cell r="A851" t="str">
            <v>11.06</v>
          </cell>
          <cell r="B851" t="str">
            <v>PISOS Y PAVIMENTOS</v>
          </cell>
          <cell r="C851">
            <v>0</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row>
        <row r="852">
          <cell r="A852" t="str">
            <v>11.06.01</v>
          </cell>
          <cell r="B852" t="str">
            <v>FALSO PISO DE 4" DE CONCRETO 1:10</v>
          </cell>
          <cell r="C852" t="str">
            <v>m2</v>
          </cell>
          <cell r="D852">
            <v>77.989999999999995</v>
          </cell>
          <cell r="E852">
            <v>34.700000000000003</v>
          </cell>
          <cell r="F852">
            <v>2706.2530000000002</v>
          </cell>
          <cell r="G852">
            <v>0</v>
          </cell>
          <cell r="H852">
            <v>0</v>
          </cell>
          <cell r="I852" t="str">
            <v>0.00%</v>
          </cell>
          <cell r="J852">
            <v>0</v>
          </cell>
          <cell r="K852">
            <v>0</v>
          </cell>
          <cell r="L852" t="str">
            <v>0.00%</v>
          </cell>
          <cell r="M852">
            <v>0</v>
          </cell>
          <cell r="N852">
            <v>0</v>
          </cell>
          <cell r="O852" t="str">
            <v>0.00%</v>
          </cell>
          <cell r="P852">
            <v>77.989999999999995</v>
          </cell>
          <cell r="Q852">
            <v>2706.2530000000002</v>
          </cell>
          <cell r="R852">
            <v>1</v>
          </cell>
        </row>
        <row r="853">
          <cell r="A853" t="str">
            <v>11.06.02</v>
          </cell>
          <cell r="B853" t="str">
            <v>CONTRAPISO DE 48 MM.</v>
          </cell>
          <cell r="C853" t="str">
            <v>m2</v>
          </cell>
          <cell r="D853">
            <v>148.25</v>
          </cell>
          <cell r="E853">
            <v>33.57</v>
          </cell>
          <cell r="F853">
            <v>4976.7524999999996</v>
          </cell>
          <cell r="G853">
            <v>0</v>
          </cell>
          <cell r="H853">
            <v>0</v>
          </cell>
          <cell r="I853" t="str">
            <v>0.00%</v>
          </cell>
          <cell r="J853">
            <v>0</v>
          </cell>
          <cell r="K853">
            <v>0</v>
          </cell>
          <cell r="L853" t="str">
            <v>0.00%</v>
          </cell>
          <cell r="M853">
            <v>0</v>
          </cell>
          <cell r="N853">
            <v>0</v>
          </cell>
          <cell r="O853" t="str">
            <v>0.00%</v>
          </cell>
          <cell r="P853">
            <v>148.25</v>
          </cell>
          <cell r="Q853">
            <v>4976.7524999999996</v>
          </cell>
          <cell r="R853">
            <v>1</v>
          </cell>
        </row>
        <row r="854">
          <cell r="A854" t="str">
            <v>11.06.03</v>
          </cell>
          <cell r="B854" t="str">
            <v>PISO DE PORCELANATO 0.60 x 0.60 m.</v>
          </cell>
          <cell r="C854" t="str">
            <v>m2</v>
          </cell>
          <cell r="D854">
            <v>159.61000000000001</v>
          </cell>
          <cell r="E854">
            <v>182.85</v>
          </cell>
          <cell r="F854">
            <v>29184.6885</v>
          </cell>
          <cell r="G854">
            <v>0</v>
          </cell>
          <cell r="H854">
            <v>0</v>
          </cell>
          <cell r="I854" t="str">
            <v>0.00%</v>
          </cell>
          <cell r="J854">
            <v>0</v>
          </cell>
          <cell r="K854">
            <v>0</v>
          </cell>
          <cell r="L854" t="str">
            <v>0.00%</v>
          </cell>
          <cell r="M854">
            <v>0</v>
          </cell>
          <cell r="N854">
            <v>0</v>
          </cell>
          <cell r="O854" t="str">
            <v>0.00%</v>
          </cell>
          <cell r="P854">
            <v>159.61000000000001</v>
          </cell>
          <cell r="Q854">
            <v>29184.6885</v>
          </cell>
          <cell r="R854">
            <v>1</v>
          </cell>
        </row>
        <row r="855">
          <cell r="A855" t="str">
            <v>11.06.04</v>
          </cell>
          <cell r="B855" t="str">
            <v>PISO DE CERAMICO ANTIDESLIZANTE AT. 0.40x0.40 M</v>
          </cell>
          <cell r="C855" t="str">
            <v>m2</v>
          </cell>
          <cell r="D855">
            <v>5.89</v>
          </cell>
          <cell r="E855">
            <v>56.63</v>
          </cell>
          <cell r="F855">
            <v>333.55070000000001</v>
          </cell>
          <cell r="G855">
            <v>0</v>
          </cell>
          <cell r="H855">
            <v>0</v>
          </cell>
          <cell r="I855" t="str">
            <v>0.00%</v>
          </cell>
          <cell r="J855">
            <v>0</v>
          </cell>
          <cell r="K855">
            <v>0</v>
          </cell>
          <cell r="L855" t="str">
            <v>0.00%</v>
          </cell>
          <cell r="M855">
            <v>0</v>
          </cell>
          <cell r="N855">
            <v>0</v>
          </cell>
          <cell r="O855" t="str">
            <v>0.00%</v>
          </cell>
          <cell r="P855">
            <v>5.89</v>
          </cell>
          <cell r="Q855">
            <v>333.55070000000001</v>
          </cell>
          <cell r="R855">
            <v>1</v>
          </cell>
        </row>
        <row r="856">
          <cell r="A856" t="str">
            <v>11.07</v>
          </cell>
          <cell r="B856" t="str">
            <v>ZOCALOS Y CONTRAZOCALOS</v>
          </cell>
          <cell r="C856">
            <v>0</v>
          </cell>
          <cell r="D856">
            <v>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row>
        <row r="857">
          <cell r="A857" t="str">
            <v>11.07.01</v>
          </cell>
          <cell r="B857" t="str">
            <v>ZOCALO DE CERAMICO 0.30 x 0.20 M</v>
          </cell>
          <cell r="C857" t="str">
            <v>m2</v>
          </cell>
          <cell r="D857">
            <v>16.7</v>
          </cell>
          <cell r="E857">
            <v>64.3</v>
          </cell>
          <cell r="F857">
            <v>1073.81</v>
          </cell>
          <cell r="G857">
            <v>0</v>
          </cell>
          <cell r="H857">
            <v>0</v>
          </cell>
          <cell r="I857" t="str">
            <v>0.00%</v>
          </cell>
          <cell r="J857">
            <v>0</v>
          </cell>
          <cell r="K857">
            <v>0</v>
          </cell>
          <cell r="L857" t="str">
            <v>0.00%</v>
          </cell>
          <cell r="M857">
            <v>0</v>
          </cell>
          <cell r="N857">
            <v>0</v>
          </cell>
          <cell r="O857" t="str">
            <v>0.00%</v>
          </cell>
          <cell r="P857">
            <v>16.7</v>
          </cell>
          <cell r="Q857">
            <v>1073.81</v>
          </cell>
          <cell r="R857">
            <v>1</v>
          </cell>
        </row>
        <row r="858">
          <cell r="A858" t="str">
            <v>11.07.02</v>
          </cell>
          <cell r="B858" t="str">
            <v>ZOCALO DE CEMENTO PULIDO C/MORTERO 1:5 DE 2CM. DE H= 40 CM. - EXTERIOR</v>
          </cell>
          <cell r="C858" t="str">
            <v>m</v>
          </cell>
          <cell r="D858">
            <v>12.9</v>
          </cell>
          <cell r="E858">
            <v>13.08</v>
          </cell>
          <cell r="F858">
            <v>168.732</v>
          </cell>
          <cell r="G858">
            <v>0</v>
          </cell>
          <cell r="H858">
            <v>0</v>
          </cell>
          <cell r="I858" t="str">
            <v>0.00%</v>
          </cell>
          <cell r="J858">
            <v>0</v>
          </cell>
          <cell r="K858">
            <v>0</v>
          </cell>
          <cell r="L858" t="str">
            <v>0.00%</v>
          </cell>
          <cell r="M858">
            <v>0</v>
          </cell>
          <cell r="N858">
            <v>0</v>
          </cell>
          <cell r="O858" t="str">
            <v>0.00%</v>
          </cell>
          <cell r="P858">
            <v>12.9</v>
          </cell>
          <cell r="Q858">
            <v>168.732</v>
          </cell>
          <cell r="R858">
            <v>1</v>
          </cell>
        </row>
        <row r="859">
          <cell r="A859" t="str">
            <v>11.07.03</v>
          </cell>
          <cell r="B859" t="str">
            <v>CONTRAZOCALO DE PORCELANATO H=0.10M</v>
          </cell>
          <cell r="C859" t="str">
            <v>m</v>
          </cell>
          <cell r="D859">
            <v>148.69999999999999</v>
          </cell>
          <cell r="E859">
            <v>22.15</v>
          </cell>
          <cell r="F859">
            <v>3293.7049999999995</v>
          </cell>
          <cell r="G859">
            <v>0</v>
          </cell>
          <cell r="H859">
            <v>0</v>
          </cell>
          <cell r="I859" t="str">
            <v>0.00%</v>
          </cell>
          <cell r="J859">
            <v>0</v>
          </cell>
          <cell r="K859">
            <v>0</v>
          </cell>
          <cell r="L859" t="str">
            <v>0.00%</v>
          </cell>
          <cell r="M859">
            <v>0</v>
          </cell>
          <cell r="N859">
            <v>0</v>
          </cell>
          <cell r="O859" t="str">
            <v>0.00%</v>
          </cell>
          <cell r="P859">
            <v>148.69999999999999</v>
          </cell>
          <cell r="Q859">
            <v>3293.7049999999995</v>
          </cell>
          <cell r="R859">
            <v>1</v>
          </cell>
        </row>
        <row r="860">
          <cell r="A860" t="str">
            <v>11.08</v>
          </cell>
          <cell r="B860" t="str">
            <v>CARPINTERIA DE MADERA</v>
          </cell>
          <cell r="C860">
            <v>0</v>
          </cell>
          <cell r="D860">
            <v>0</v>
          </cell>
          <cell r="E860">
            <v>0</v>
          </cell>
          <cell r="F860">
            <v>0</v>
          </cell>
          <cell r="G860">
            <v>0</v>
          </cell>
          <cell r="H860">
            <v>0</v>
          </cell>
          <cell r="I860">
            <v>0</v>
          </cell>
          <cell r="J860">
            <v>0</v>
          </cell>
          <cell r="K860">
            <v>0</v>
          </cell>
          <cell r="L860">
            <v>0</v>
          </cell>
          <cell r="M860">
            <v>0</v>
          </cell>
          <cell r="N860">
            <v>0</v>
          </cell>
          <cell r="O860">
            <v>0</v>
          </cell>
          <cell r="P860">
            <v>0</v>
          </cell>
          <cell r="Q860">
            <v>0</v>
          </cell>
          <cell r="R860">
            <v>0</v>
          </cell>
        </row>
        <row r="861">
          <cell r="A861" t="str">
            <v>11.08.01</v>
          </cell>
          <cell r="B861" t="str">
            <v>PUERTA DE MADERA MACHIMBRADA C/SOBRE LUZ</v>
          </cell>
          <cell r="C861" t="str">
            <v>m2</v>
          </cell>
          <cell r="D861">
            <v>8.8000000000000007</v>
          </cell>
          <cell r="E861">
            <v>340.61</v>
          </cell>
          <cell r="F861">
            <v>2997.3680000000004</v>
          </cell>
          <cell r="G861">
            <v>0</v>
          </cell>
          <cell r="H861">
            <v>0</v>
          </cell>
          <cell r="I861" t="str">
            <v>0.00%</v>
          </cell>
          <cell r="J861">
            <v>0</v>
          </cell>
          <cell r="K861">
            <v>0</v>
          </cell>
          <cell r="L861" t="str">
            <v>0.00%</v>
          </cell>
          <cell r="M861">
            <v>0</v>
          </cell>
          <cell r="N861">
            <v>0</v>
          </cell>
          <cell r="O861" t="str">
            <v>0.00%</v>
          </cell>
          <cell r="P861">
            <v>8.8000000000000007</v>
          </cell>
          <cell r="Q861">
            <v>2997.3680000000004</v>
          </cell>
          <cell r="R861">
            <v>1</v>
          </cell>
        </row>
        <row r="862">
          <cell r="A862" t="str">
            <v>11.08.02</v>
          </cell>
          <cell r="B862" t="str">
            <v>PUERTA DE MADERA DOBLE HOJA MACHIMBRADA C/SOBRE LUZ</v>
          </cell>
          <cell r="C862" t="str">
            <v>m2</v>
          </cell>
          <cell r="D862">
            <v>12.83</v>
          </cell>
          <cell r="E862">
            <v>340.61</v>
          </cell>
          <cell r="F862">
            <v>4370.0263000000004</v>
          </cell>
          <cell r="G862">
            <v>0</v>
          </cell>
          <cell r="H862">
            <v>0</v>
          </cell>
          <cell r="I862" t="str">
            <v>0.00%</v>
          </cell>
          <cell r="J862">
            <v>0</v>
          </cell>
          <cell r="K862">
            <v>0</v>
          </cell>
          <cell r="L862" t="str">
            <v>0.00%</v>
          </cell>
          <cell r="M862">
            <v>0</v>
          </cell>
          <cell r="N862">
            <v>0</v>
          </cell>
          <cell r="O862" t="str">
            <v>0.00%</v>
          </cell>
          <cell r="P862">
            <v>12.83</v>
          </cell>
          <cell r="Q862">
            <v>4370.0263000000004</v>
          </cell>
          <cell r="R862">
            <v>1</v>
          </cell>
        </row>
        <row r="863">
          <cell r="A863" t="str">
            <v>11.09</v>
          </cell>
          <cell r="B863" t="str">
            <v>CARPINTERIA METALICA</v>
          </cell>
          <cell r="C863">
            <v>0</v>
          </cell>
          <cell r="D863">
            <v>0</v>
          </cell>
          <cell r="E863">
            <v>0</v>
          </cell>
          <cell r="F863">
            <v>0</v>
          </cell>
          <cell r="G863">
            <v>0</v>
          </cell>
          <cell r="H863">
            <v>0</v>
          </cell>
          <cell r="I863">
            <v>0</v>
          </cell>
          <cell r="J863">
            <v>0</v>
          </cell>
          <cell r="K863">
            <v>0</v>
          </cell>
          <cell r="L863">
            <v>0</v>
          </cell>
          <cell r="M863">
            <v>0</v>
          </cell>
          <cell r="N863">
            <v>0</v>
          </cell>
          <cell r="O863">
            <v>0</v>
          </cell>
          <cell r="P863">
            <v>0</v>
          </cell>
          <cell r="Q863">
            <v>0</v>
          </cell>
          <cell r="R863">
            <v>0</v>
          </cell>
        </row>
        <row r="864">
          <cell r="A864" t="str">
            <v>11.09.01</v>
          </cell>
          <cell r="B864" t="str">
            <v>BARANDAS METALICAS S/D - TIPO II</v>
          </cell>
          <cell r="C864" t="str">
            <v>m</v>
          </cell>
          <cell r="D864">
            <v>12.96</v>
          </cell>
          <cell r="E864">
            <v>178.41</v>
          </cell>
          <cell r="F864">
            <v>2312.1936000000001</v>
          </cell>
          <cell r="G864">
            <v>0</v>
          </cell>
          <cell r="H864">
            <v>0</v>
          </cell>
          <cell r="I864" t="str">
            <v>0.00%</v>
          </cell>
          <cell r="J864">
            <v>0</v>
          </cell>
          <cell r="K864">
            <v>0</v>
          </cell>
          <cell r="L864" t="str">
            <v>0.00%</v>
          </cell>
          <cell r="M864">
            <v>0</v>
          </cell>
          <cell r="N864">
            <v>0</v>
          </cell>
          <cell r="O864" t="str">
            <v>0.00%</v>
          </cell>
          <cell r="P864">
            <v>12.96</v>
          </cell>
          <cell r="Q864">
            <v>2312.1936000000001</v>
          </cell>
          <cell r="R864">
            <v>1</v>
          </cell>
        </row>
        <row r="865">
          <cell r="A865" t="str">
            <v>11.09.02</v>
          </cell>
          <cell r="B865" t="str">
            <v>CANTONERA DE FIERRO ESTRIADO EN ESCALERA</v>
          </cell>
          <cell r="C865" t="str">
            <v>m</v>
          </cell>
          <cell r="D865">
            <v>33</v>
          </cell>
          <cell r="E865">
            <v>107.03</v>
          </cell>
          <cell r="F865">
            <v>3531.9900000000002</v>
          </cell>
          <cell r="G865">
            <v>0</v>
          </cell>
          <cell r="H865">
            <v>0</v>
          </cell>
          <cell r="I865" t="str">
            <v>0.00%</v>
          </cell>
          <cell r="J865">
            <v>0</v>
          </cell>
          <cell r="K865">
            <v>0</v>
          </cell>
          <cell r="L865" t="str">
            <v>0.00%</v>
          </cell>
          <cell r="M865">
            <v>0</v>
          </cell>
          <cell r="N865">
            <v>0</v>
          </cell>
          <cell r="O865" t="str">
            <v>0.00%</v>
          </cell>
          <cell r="P865">
            <v>33</v>
          </cell>
          <cell r="Q865">
            <v>3531.9900000000002</v>
          </cell>
          <cell r="R865">
            <v>1</v>
          </cell>
        </row>
        <row r="866">
          <cell r="A866" t="str">
            <v>11.10</v>
          </cell>
          <cell r="B866" t="str">
            <v>CERRAJERIA</v>
          </cell>
          <cell r="C866">
            <v>0</v>
          </cell>
          <cell r="D866">
            <v>0</v>
          </cell>
          <cell r="E866">
            <v>0</v>
          </cell>
          <cell r="F866">
            <v>0</v>
          </cell>
          <cell r="G866">
            <v>0</v>
          </cell>
          <cell r="H866">
            <v>0</v>
          </cell>
          <cell r="I866">
            <v>0</v>
          </cell>
          <cell r="J866">
            <v>0</v>
          </cell>
          <cell r="K866">
            <v>0</v>
          </cell>
          <cell r="L866">
            <v>0</v>
          </cell>
          <cell r="M866">
            <v>0</v>
          </cell>
          <cell r="N866">
            <v>0</v>
          </cell>
          <cell r="O866">
            <v>0</v>
          </cell>
          <cell r="P866">
            <v>0</v>
          </cell>
          <cell r="Q866">
            <v>0</v>
          </cell>
          <cell r="R866">
            <v>0</v>
          </cell>
        </row>
        <row r="867">
          <cell r="A867" t="str">
            <v>11.10.01</v>
          </cell>
          <cell r="B867" t="str">
            <v>BISAGRA CAPUCHINA DE 4"</v>
          </cell>
          <cell r="C867" t="str">
            <v>und</v>
          </cell>
          <cell r="D867">
            <v>32</v>
          </cell>
          <cell r="E867">
            <v>15.83</v>
          </cell>
          <cell r="F867">
            <v>506.56</v>
          </cell>
          <cell r="G867">
            <v>0</v>
          </cell>
          <cell r="H867">
            <v>0</v>
          </cell>
          <cell r="I867" t="str">
            <v>0.00%</v>
          </cell>
          <cell r="J867">
            <v>0</v>
          </cell>
          <cell r="K867">
            <v>0</v>
          </cell>
          <cell r="L867" t="str">
            <v>0.00%</v>
          </cell>
          <cell r="M867">
            <v>0</v>
          </cell>
          <cell r="N867">
            <v>0</v>
          </cell>
          <cell r="O867" t="str">
            <v>0.00%</v>
          </cell>
          <cell r="P867">
            <v>32</v>
          </cell>
          <cell r="Q867">
            <v>506.56</v>
          </cell>
          <cell r="R867">
            <v>1</v>
          </cell>
        </row>
        <row r="868">
          <cell r="A868" t="str">
            <v>11.10.02</v>
          </cell>
          <cell r="B868" t="str">
            <v>CERRADURA PARA PUERTA DE TRES GOLPES</v>
          </cell>
          <cell r="C868" t="str">
            <v>und</v>
          </cell>
          <cell r="D868">
            <v>6</v>
          </cell>
          <cell r="E868">
            <v>137.22999999999999</v>
          </cell>
          <cell r="F868">
            <v>823.37999999999988</v>
          </cell>
          <cell r="G868">
            <v>0</v>
          </cell>
          <cell r="H868">
            <v>0</v>
          </cell>
          <cell r="I868" t="str">
            <v>0.00%</v>
          </cell>
          <cell r="J868">
            <v>0</v>
          </cell>
          <cell r="K868">
            <v>0</v>
          </cell>
          <cell r="L868" t="str">
            <v>0.00%</v>
          </cell>
          <cell r="M868">
            <v>0</v>
          </cell>
          <cell r="N868">
            <v>0</v>
          </cell>
          <cell r="O868" t="str">
            <v>0.00%</v>
          </cell>
          <cell r="P868">
            <v>6</v>
          </cell>
          <cell r="Q868">
            <v>823.37999999999988</v>
          </cell>
          <cell r="R868">
            <v>1</v>
          </cell>
        </row>
        <row r="869">
          <cell r="A869" t="str">
            <v>11.10.03</v>
          </cell>
          <cell r="B869" t="str">
            <v>CERRADURA DE PERILLA CON SEGURIDAD INTERIOR</v>
          </cell>
          <cell r="C869" t="str">
            <v>und</v>
          </cell>
          <cell r="D869">
            <v>2</v>
          </cell>
          <cell r="E869">
            <v>92.23</v>
          </cell>
          <cell r="F869">
            <v>184.46</v>
          </cell>
          <cell r="G869">
            <v>0</v>
          </cell>
          <cell r="H869">
            <v>0</v>
          </cell>
          <cell r="I869" t="str">
            <v>0.00%</v>
          </cell>
          <cell r="J869">
            <v>0</v>
          </cell>
          <cell r="K869">
            <v>0</v>
          </cell>
          <cell r="L869" t="str">
            <v>0.00%</v>
          </cell>
          <cell r="M869">
            <v>0</v>
          </cell>
          <cell r="N869">
            <v>0</v>
          </cell>
          <cell r="O869" t="str">
            <v>0.00%</v>
          </cell>
          <cell r="P869">
            <v>2</v>
          </cell>
          <cell r="Q869">
            <v>184.46</v>
          </cell>
          <cell r="R869">
            <v>1</v>
          </cell>
        </row>
        <row r="870">
          <cell r="A870" t="str">
            <v>11.11</v>
          </cell>
          <cell r="B870" t="str">
            <v>VIDRIOS, CRISTALES Y SIMILARES</v>
          </cell>
          <cell r="C870">
            <v>0</v>
          </cell>
          <cell r="D870">
            <v>0</v>
          </cell>
          <cell r="E870">
            <v>0</v>
          </cell>
          <cell r="F870">
            <v>0</v>
          </cell>
          <cell r="G870">
            <v>0</v>
          </cell>
          <cell r="H870">
            <v>0</v>
          </cell>
          <cell r="I870">
            <v>0</v>
          </cell>
          <cell r="J870">
            <v>0</v>
          </cell>
          <cell r="K870">
            <v>0</v>
          </cell>
          <cell r="L870">
            <v>0</v>
          </cell>
          <cell r="M870">
            <v>0</v>
          </cell>
          <cell r="N870">
            <v>0</v>
          </cell>
          <cell r="O870">
            <v>0</v>
          </cell>
          <cell r="P870">
            <v>0</v>
          </cell>
          <cell r="Q870">
            <v>0</v>
          </cell>
          <cell r="R870">
            <v>0</v>
          </cell>
        </row>
        <row r="871">
          <cell r="A871" t="str">
            <v>11.11.01</v>
          </cell>
          <cell r="B871" t="str">
            <v>VIDRIO (8MM.) SISTEMA NOVA INC. ACCESORIOS</v>
          </cell>
          <cell r="C871" t="str">
            <v>p2</v>
          </cell>
          <cell r="D871">
            <v>24.16</v>
          </cell>
          <cell r="E871">
            <v>18.54</v>
          </cell>
          <cell r="F871">
            <v>447.9264</v>
          </cell>
          <cell r="G871">
            <v>0</v>
          </cell>
          <cell r="H871">
            <v>0</v>
          </cell>
          <cell r="I871" t="str">
            <v>0.00%</v>
          </cell>
          <cell r="J871">
            <v>0</v>
          </cell>
          <cell r="K871">
            <v>0</v>
          </cell>
          <cell r="L871" t="str">
            <v>0.00%</v>
          </cell>
          <cell r="M871">
            <v>0</v>
          </cell>
          <cell r="N871">
            <v>0</v>
          </cell>
          <cell r="O871" t="str">
            <v>0.00%</v>
          </cell>
          <cell r="P871">
            <v>24.16</v>
          </cell>
          <cell r="Q871">
            <v>447.9264</v>
          </cell>
          <cell r="R871">
            <v>1</v>
          </cell>
        </row>
        <row r="872">
          <cell r="A872" t="str">
            <v>11.11.02</v>
          </cell>
          <cell r="B872" t="str">
            <v>VIDRIO CRUDO INCOLORO DE 6MM.</v>
          </cell>
          <cell r="C872" t="str">
            <v>p2</v>
          </cell>
          <cell r="D872">
            <v>5.34</v>
          </cell>
          <cell r="E872">
            <v>9.51</v>
          </cell>
          <cell r="F872">
            <v>50.7834</v>
          </cell>
          <cell r="G872">
            <v>0</v>
          </cell>
          <cell r="H872">
            <v>0</v>
          </cell>
          <cell r="I872" t="str">
            <v>0.00%</v>
          </cell>
          <cell r="J872">
            <v>0</v>
          </cell>
          <cell r="K872">
            <v>0</v>
          </cell>
          <cell r="L872" t="str">
            <v>0.00%</v>
          </cell>
          <cell r="M872">
            <v>0</v>
          </cell>
          <cell r="N872">
            <v>0</v>
          </cell>
          <cell r="O872" t="str">
            <v>0.00%</v>
          </cell>
          <cell r="P872">
            <v>5.34</v>
          </cell>
          <cell r="Q872">
            <v>50.7834</v>
          </cell>
          <cell r="R872">
            <v>1</v>
          </cell>
        </row>
        <row r="873">
          <cell r="A873" t="str">
            <v>11.11.03</v>
          </cell>
          <cell r="B873" t="str">
            <v>MURO CON BLOQUE DE VIDRIO S/DETALLE</v>
          </cell>
          <cell r="C873" t="str">
            <v>m2</v>
          </cell>
          <cell r="D873">
            <v>2.04</v>
          </cell>
          <cell r="E873">
            <v>216.65</v>
          </cell>
          <cell r="F873">
            <v>441.96600000000001</v>
          </cell>
          <cell r="G873">
            <v>0</v>
          </cell>
          <cell r="H873">
            <v>0</v>
          </cell>
          <cell r="I873" t="str">
            <v>0.00%</v>
          </cell>
          <cell r="J873">
            <v>0</v>
          </cell>
          <cell r="K873">
            <v>0</v>
          </cell>
          <cell r="L873" t="str">
            <v>0.00%</v>
          </cell>
          <cell r="M873">
            <v>0</v>
          </cell>
          <cell r="N873">
            <v>0</v>
          </cell>
          <cell r="O873" t="str">
            <v>0.00%</v>
          </cell>
          <cell r="P873">
            <v>2.04</v>
          </cell>
          <cell r="Q873">
            <v>441.96600000000001</v>
          </cell>
          <cell r="R873">
            <v>1</v>
          </cell>
        </row>
        <row r="874">
          <cell r="A874" t="str">
            <v>11.12</v>
          </cell>
          <cell r="B874" t="str">
            <v>PINTURA</v>
          </cell>
          <cell r="C874">
            <v>0</v>
          </cell>
          <cell r="D874">
            <v>0</v>
          </cell>
          <cell r="E874">
            <v>0</v>
          </cell>
          <cell r="F874">
            <v>0</v>
          </cell>
          <cell r="G874">
            <v>0</v>
          </cell>
          <cell r="H874">
            <v>0</v>
          </cell>
          <cell r="I874">
            <v>0</v>
          </cell>
          <cell r="J874">
            <v>0</v>
          </cell>
          <cell r="K874">
            <v>0</v>
          </cell>
          <cell r="L874">
            <v>0</v>
          </cell>
          <cell r="M874">
            <v>0</v>
          </cell>
          <cell r="N874">
            <v>0</v>
          </cell>
          <cell r="O874">
            <v>0</v>
          </cell>
          <cell r="P874">
            <v>0</v>
          </cell>
          <cell r="Q874">
            <v>0</v>
          </cell>
          <cell r="R874">
            <v>0</v>
          </cell>
        </row>
        <row r="875">
          <cell r="A875" t="str">
            <v>11.12.01</v>
          </cell>
          <cell r="B875" t="str">
            <v>PINTURA EN CIELORRASO</v>
          </cell>
          <cell r="C875" t="str">
            <v>m2</v>
          </cell>
          <cell r="D875">
            <v>159.34</v>
          </cell>
          <cell r="E875">
            <v>12.59</v>
          </cell>
          <cell r="F875">
            <v>2006.0906</v>
          </cell>
          <cell r="G875">
            <v>0</v>
          </cell>
          <cell r="H875">
            <v>0</v>
          </cell>
          <cell r="I875" t="str">
            <v>0.00%</v>
          </cell>
          <cell r="J875">
            <v>0</v>
          </cell>
          <cell r="K875">
            <v>0</v>
          </cell>
          <cell r="L875" t="str">
            <v>0.00%</v>
          </cell>
          <cell r="M875">
            <v>0</v>
          </cell>
          <cell r="N875">
            <v>0</v>
          </cell>
          <cell r="O875" t="str">
            <v>0.00%</v>
          </cell>
          <cell r="P875">
            <v>159.34</v>
          </cell>
          <cell r="Q875">
            <v>2006.0906</v>
          </cell>
          <cell r="R875">
            <v>1</v>
          </cell>
        </row>
        <row r="876">
          <cell r="A876" t="str">
            <v>11.12.02</v>
          </cell>
          <cell r="B876" t="str">
            <v xml:space="preserve">PINTURA EN INTERIORES </v>
          </cell>
          <cell r="C876" t="str">
            <v>m2</v>
          </cell>
          <cell r="D876">
            <v>296.20999999999998</v>
          </cell>
          <cell r="E876">
            <v>9.6999999999999993</v>
          </cell>
          <cell r="F876">
            <v>2873.2369999999996</v>
          </cell>
          <cell r="G876">
            <v>0</v>
          </cell>
          <cell r="H876">
            <v>0</v>
          </cell>
          <cell r="I876" t="str">
            <v>0.00%</v>
          </cell>
          <cell r="J876">
            <v>0</v>
          </cell>
          <cell r="K876">
            <v>0</v>
          </cell>
          <cell r="L876" t="str">
            <v>0.00%</v>
          </cell>
          <cell r="M876">
            <v>0</v>
          </cell>
          <cell r="N876">
            <v>0</v>
          </cell>
          <cell r="O876" t="str">
            <v>0.00%</v>
          </cell>
          <cell r="P876">
            <v>296.20999999999998</v>
          </cell>
          <cell r="Q876">
            <v>2873.2369999999996</v>
          </cell>
          <cell r="R876">
            <v>1</v>
          </cell>
        </row>
        <row r="877">
          <cell r="A877" t="str">
            <v>11.12.03</v>
          </cell>
          <cell r="B877" t="str">
            <v>PINTURA EN EXTERIORES</v>
          </cell>
          <cell r="C877" t="str">
            <v>m2</v>
          </cell>
          <cell r="D877">
            <v>189.71</v>
          </cell>
          <cell r="E877">
            <v>19.04</v>
          </cell>
          <cell r="F877">
            <v>3612.0783999999999</v>
          </cell>
          <cell r="G877">
            <v>0</v>
          </cell>
          <cell r="H877">
            <v>0</v>
          </cell>
          <cell r="I877" t="str">
            <v>0.00%</v>
          </cell>
          <cell r="J877">
            <v>0</v>
          </cell>
          <cell r="K877">
            <v>0</v>
          </cell>
          <cell r="L877" t="str">
            <v>0.00%</v>
          </cell>
          <cell r="M877">
            <v>0</v>
          </cell>
          <cell r="N877">
            <v>0</v>
          </cell>
          <cell r="O877" t="str">
            <v>0.00%</v>
          </cell>
          <cell r="P877">
            <v>189.71</v>
          </cell>
          <cell r="Q877">
            <v>3612.0783999999999</v>
          </cell>
          <cell r="R877">
            <v>1</v>
          </cell>
        </row>
        <row r="878">
          <cell r="A878" t="str">
            <v>11.12.04</v>
          </cell>
          <cell r="B878" t="str">
            <v>PINTURA EN COLUMNAS</v>
          </cell>
          <cell r="C878" t="str">
            <v>m2</v>
          </cell>
          <cell r="D878">
            <v>84.07</v>
          </cell>
          <cell r="E878">
            <v>10.35</v>
          </cell>
          <cell r="F878">
            <v>870.1244999999999</v>
          </cell>
          <cell r="G878">
            <v>0</v>
          </cell>
          <cell r="H878">
            <v>0</v>
          </cell>
          <cell r="I878" t="str">
            <v>0.00%</v>
          </cell>
          <cell r="J878">
            <v>0</v>
          </cell>
          <cell r="K878">
            <v>0</v>
          </cell>
          <cell r="L878" t="str">
            <v>0.00%</v>
          </cell>
          <cell r="M878">
            <v>0</v>
          </cell>
          <cell r="N878">
            <v>0</v>
          </cell>
          <cell r="O878" t="str">
            <v>0.00%</v>
          </cell>
          <cell r="P878">
            <v>84.07</v>
          </cell>
          <cell r="Q878">
            <v>870.1244999999999</v>
          </cell>
          <cell r="R878">
            <v>1</v>
          </cell>
        </row>
        <row r="879">
          <cell r="A879" t="str">
            <v>11.12.05</v>
          </cell>
          <cell r="B879" t="str">
            <v>PINTURA EN VIGA</v>
          </cell>
          <cell r="C879" t="str">
            <v>m2</v>
          </cell>
          <cell r="D879">
            <v>77.7</v>
          </cell>
          <cell r="E879">
            <v>10.35</v>
          </cell>
          <cell r="F879">
            <v>804.19500000000005</v>
          </cell>
          <cell r="G879">
            <v>0</v>
          </cell>
          <cell r="H879">
            <v>0</v>
          </cell>
          <cell r="I879" t="str">
            <v>0.00%</v>
          </cell>
          <cell r="J879">
            <v>0</v>
          </cell>
          <cell r="K879">
            <v>0</v>
          </cell>
          <cell r="L879" t="str">
            <v>0.00%</v>
          </cell>
          <cell r="M879">
            <v>0</v>
          </cell>
          <cell r="N879">
            <v>0</v>
          </cell>
          <cell r="O879" t="str">
            <v>0.00%</v>
          </cell>
          <cell r="P879">
            <v>77.7</v>
          </cell>
          <cell r="Q879">
            <v>804.19500000000005</v>
          </cell>
          <cell r="R879">
            <v>1</v>
          </cell>
        </row>
        <row r="880">
          <cell r="A880" t="str">
            <v>11.12.06</v>
          </cell>
          <cell r="B880" t="str">
            <v>PINTURA EN CONTRAZOCALOS Y ZOCALOS H= 0.40M C/ESMALTE</v>
          </cell>
          <cell r="C880" t="str">
            <v>m</v>
          </cell>
          <cell r="D880">
            <v>5.16</v>
          </cell>
          <cell r="E880">
            <v>7.19</v>
          </cell>
          <cell r="F880">
            <v>37.1004</v>
          </cell>
          <cell r="G880">
            <v>0</v>
          </cell>
          <cell r="H880">
            <v>0</v>
          </cell>
          <cell r="I880" t="str">
            <v>0.00%</v>
          </cell>
          <cell r="J880">
            <v>0</v>
          </cell>
          <cell r="K880">
            <v>0</v>
          </cell>
          <cell r="L880" t="str">
            <v>0.00%</v>
          </cell>
          <cell r="M880">
            <v>0</v>
          </cell>
          <cell r="N880">
            <v>0</v>
          </cell>
          <cell r="O880" t="str">
            <v>0.00%</v>
          </cell>
          <cell r="P880">
            <v>5.16</v>
          </cell>
          <cell r="Q880">
            <v>37.1004</v>
          </cell>
          <cell r="R880">
            <v>1</v>
          </cell>
        </row>
        <row r="881">
          <cell r="A881" t="str">
            <v>11.12.07</v>
          </cell>
          <cell r="B881" t="str">
            <v>PINTURA EN BARANDAS METALICAS</v>
          </cell>
          <cell r="C881" t="str">
            <v>m</v>
          </cell>
          <cell r="D881">
            <v>12.95</v>
          </cell>
          <cell r="E881">
            <v>9.49</v>
          </cell>
          <cell r="F881">
            <v>122.8955</v>
          </cell>
          <cell r="G881">
            <v>0</v>
          </cell>
          <cell r="H881">
            <v>0</v>
          </cell>
          <cell r="I881" t="str">
            <v>0.00%</v>
          </cell>
          <cell r="J881">
            <v>0</v>
          </cell>
          <cell r="K881">
            <v>0</v>
          </cell>
          <cell r="L881" t="str">
            <v>0.00%</v>
          </cell>
          <cell r="M881">
            <v>0</v>
          </cell>
          <cell r="N881">
            <v>0</v>
          </cell>
          <cell r="O881" t="str">
            <v>0.00%</v>
          </cell>
          <cell r="P881">
            <v>12.95</v>
          </cell>
          <cell r="Q881">
            <v>122.8955</v>
          </cell>
          <cell r="R881">
            <v>1</v>
          </cell>
        </row>
        <row r="882">
          <cell r="A882" t="str">
            <v>11.12.08</v>
          </cell>
          <cell r="B882" t="str">
            <v>PINTURA EN PUERTAS C/BARNIZ 2 MANOS</v>
          </cell>
          <cell r="C882" t="str">
            <v>m2</v>
          </cell>
          <cell r="D882">
            <v>21.63</v>
          </cell>
          <cell r="E882">
            <v>12.86</v>
          </cell>
          <cell r="F882">
            <v>278.16179999999997</v>
          </cell>
          <cell r="G882">
            <v>0</v>
          </cell>
          <cell r="H882">
            <v>0</v>
          </cell>
          <cell r="I882" t="str">
            <v>0.00%</v>
          </cell>
          <cell r="J882">
            <v>0</v>
          </cell>
          <cell r="K882">
            <v>0</v>
          </cell>
          <cell r="L882" t="str">
            <v>0.00%</v>
          </cell>
          <cell r="M882">
            <v>0</v>
          </cell>
          <cell r="N882">
            <v>0</v>
          </cell>
          <cell r="O882" t="str">
            <v>0.00%</v>
          </cell>
          <cell r="P882">
            <v>21.63</v>
          </cell>
          <cell r="Q882">
            <v>278.16179999999997</v>
          </cell>
          <cell r="R882">
            <v>1</v>
          </cell>
        </row>
        <row r="883">
          <cell r="A883" t="str">
            <v>11.13</v>
          </cell>
          <cell r="B883" t="str">
            <v>OBRAS VARIAS</v>
          </cell>
          <cell r="C883">
            <v>0</v>
          </cell>
          <cell r="D883">
            <v>0</v>
          </cell>
          <cell r="E883">
            <v>0</v>
          </cell>
          <cell r="F883">
            <v>0</v>
          </cell>
          <cell r="G883">
            <v>0</v>
          </cell>
          <cell r="H883">
            <v>0</v>
          </cell>
          <cell r="I883">
            <v>0</v>
          </cell>
          <cell r="J883">
            <v>0</v>
          </cell>
          <cell r="K883">
            <v>0</v>
          </cell>
          <cell r="L883">
            <v>0</v>
          </cell>
          <cell r="M883">
            <v>0</v>
          </cell>
          <cell r="N883">
            <v>0</v>
          </cell>
          <cell r="O883">
            <v>0</v>
          </cell>
          <cell r="P883">
            <v>0</v>
          </cell>
          <cell r="Q883">
            <v>0</v>
          </cell>
          <cell r="R883">
            <v>0</v>
          </cell>
        </row>
        <row r="884">
          <cell r="A884" t="str">
            <v>11.13.01</v>
          </cell>
          <cell r="B884" t="str">
            <v>SARDINEL DE CONCRETO SOBRE VIGAS TIMPANO F'C= 175KG/CM2</v>
          </cell>
          <cell r="C884" t="str">
            <v>m3</v>
          </cell>
          <cell r="D884">
            <v>1.03</v>
          </cell>
          <cell r="E884">
            <v>388.98</v>
          </cell>
          <cell r="F884">
            <v>400.64940000000001</v>
          </cell>
          <cell r="G884">
            <v>0</v>
          </cell>
          <cell r="H884">
            <v>0</v>
          </cell>
          <cell r="I884" t="str">
            <v>0.00%</v>
          </cell>
          <cell r="J884">
            <v>1.03</v>
          </cell>
          <cell r="K884">
            <v>400.64940000000001</v>
          </cell>
          <cell r="L884">
            <v>1</v>
          </cell>
          <cell r="M884">
            <v>1.03</v>
          </cell>
          <cell r="N884">
            <v>400.64940000000001</v>
          </cell>
          <cell r="O884">
            <v>1</v>
          </cell>
          <cell r="P884">
            <v>0</v>
          </cell>
          <cell r="Q884">
            <v>0</v>
          </cell>
          <cell r="R884" t="str">
            <v>0.00%</v>
          </cell>
        </row>
        <row r="885">
          <cell r="A885" t="str">
            <v>11.13.02</v>
          </cell>
          <cell r="B885" t="str">
            <v>ENCOFRADO Y DESENCOFRADO DE SARDINELES SOBRE VIGA TIMPANO</v>
          </cell>
          <cell r="C885" t="str">
            <v>m2</v>
          </cell>
          <cell r="D885">
            <v>6.85</v>
          </cell>
          <cell r="E885">
            <v>17.3</v>
          </cell>
          <cell r="F885">
            <v>118.505</v>
          </cell>
          <cell r="G885">
            <v>0</v>
          </cell>
          <cell r="H885">
            <v>0</v>
          </cell>
          <cell r="I885" t="str">
            <v>0.00%</v>
          </cell>
          <cell r="J885">
            <v>6.85</v>
          </cell>
          <cell r="K885">
            <v>118.505</v>
          </cell>
          <cell r="L885">
            <v>1</v>
          </cell>
          <cell r="M885">
            <v>6.85</v>
          </cell>
          <cell r="N885">
            <v>118.505</v>
          </cell>
          <cell r="O885">
            <v>1</v>
          </cell>
          <cell r="P885">
            <v>0</v>
          </cell>
          <cell r="Q885">
            <v>0</v>
          </cell>
          <cell r="R885" t="str">
            <v>0.00%</v>
          </cell>
        </row>
        <row r="886">
          <cell r="A886" t="str">
            <v>11.13.03</v>
          </cell>
          <cell r="B886" t="str">
            <v xml:space="preserve">TAPA JUNTA EN VANOS MUROS/COLUMNA
</v>
          </cell>
          <cell r="C886" t="str">
            <v>m</v>
          </cell>
          <cell r="D886">
            <v>88</v>
          </cell>
          <cell r="E886">
            <v>13.49</v>
          </cell>
          <cell r="F886">
            <v>1187.1200000000001</v>
          </cell>
          <cell r="G886">
            <v>0</v>
          </cell>
          <cell r="H886">
            <v>0</v>
          </cell>
          <cell r="I886" t="str">
            <v>0.00%</v>
          </cell>
          <cell r="J886">
            <v>0</v>
          </cell>
          <cell r="K886">
            <v>0</v>
          </cell>
          <cell r="L886" t="str">
            <v>0.00%</v>
          </cell>
          <cell r="M886">
            <v>0</v>
          </cell>
          <cell r="N886">
            <v>0</v>
          </cell>
          <cell r="O886" t="str">
            <v>0.00%</v>
          </cell>
          <cell r="P886">
            <v>88</v>
          </cell>
          <cell r="Q886">
            <v>1187.1200000000001</v>
          </cell>
          <cell r="R886">
            <v>1</v>
          </cell>
        </row>
        <row r="887">
          <cell r="A887" t="str">
            <v>11.13.04</v>
          </cell>
          <cell r="B887" t="str">
            <v>TAPA JUNTA  METALICA</v>
          </cell>
          <cell r="C887" t="str">
            <v>m</v>
          </cell>
          <cell r="D887">
            <v>5.86</v>
          </cell>
          <cell r="E887">
            <v>50.83</v>
          </cell>
          <cell r="F887">
            <v>297.86380000000003</v>
          </cell>
          <cell r="G887">
            <v>0</v>
          </cell>
          <cell r="H887">
            <v>0</v>
          </cell>
          <cell r="I887" t="str">
            <v>0.00%</v>
          </cell>
          <cell r="J887">
            <v>0</v>
          </cell>
          <cell r="K887">
            <v>0</v>
          </cell>
          <cell r="L887" t="str">
            <v>0.00%</v>
          </cell>
          <cell r="M887">
            <v>0</v>
          </cell>
          <cell r="N887">
            <v>0</v>
          </cell>
          <cell r="O887" t="str">
            <v>0.00%</v>
          </cell>
          <cell r="P887">
            <v>5.86</v>
          </cell>
          <cell r="Q887">
            <v>297.86380000000003</v>
          </cell>
          <cell r="R887">
            <v>1</v>
          </cell>
        </row>
        <row r="888">
          <cell r="A888" t="str">
            <v>12</v>
          </cell>
          <cell r="B888" t="str">
            <v>BLOQUE - 5</v>
          </cell>
          <cell r="C888">
            <v>0</v>
          </cell>
          <cell r="D888">
            <v>0</v>
          </cell>
          <cell r="E888">
            <v>0</v>
          </cell>
          <cell r="F888">
            <v>0</v>
          </cell>
          <cell r="G888">
            <v>0</v>
          </cell>
          <cell r="H888">
            <v>0</v>
          </cell>
          <cell r="I888">
            <v>0</v>
          </cell>
          <cell r="J888">
            <v>0</v>
          </cell>
          <cell r="K888">
            <v>0</v>
          </cell>
          <cell r="L888">
            <v>0</v>
          </cell>
          <cell r="M888">
            <v>0</v>
          </cell>
          <cell r="N888">
            <v>0</v>
          </cell>
          <cell r="O888">
            <v>0</v>
          </cell>
          <cell r="P888">
            <v>0</v>
          </cell>
          <cell r="Q888">
            <v>0</v>
          </cell>
          <cell r="R888">
            <v>0</v>
          </cell>
        </row>
        <row r="889">
          <cell r="A889" t="str">
            <v>12.01</v>
          </cell>
          <cell r="B889" t="str">
            <v>MUROS Y TABIQUES</v>
          </cell>
          <cell r="C889">
            <v>0</v>
          </cell>
          <cell r="D889">
            <v>0</v>
          </cell>
          <cell r="E889">
            <v>0</v>
          </cell>
          <cell r="F889">
            <v>0</v>
          </cell>
          <cell r="G889">
            <v>0</v>
          </cell>
          <cell r="H889">
            <v>0</v>
          </cell>
          <cell r="I889">
            <v>0</v>
          </cell>
          <cell r="J889">
            <v>0</v>
          </cell>
          <cell r="K889">
            <v>0</v>
          </cell>
          <cell r="L889">
            <v>0</v>
          </cell>
          <cell r="M889">
            <v>0</v>
          </cell>
          <cell r="N889">
            <v>0</v>
          </cell>
          <cell r="O889">
            <v>0</v>
          </cell>
          <cell r="P889">
            <v>0</v>
          </cell>
          <cell r="Q889">
            <v>0</v>
          </cell>
          <cell r="R889">
            <v>0</v>
          </cell>
        </row>
        <row r="890">
          <cell r="A890" t="str">
            <v>12.01.01</v>
          </cell>
          <cell r="B890" t="str">
            <v>MURO DE CABEZA LADRILLO KIN-KONG DE ARCILLA</v>
          </cell>
          <cell r="C890" t="str">
            <v>m2</v>
          </cell>
          <cell r="D890">
            <v>121.41</v>
          </cell>
          <cell r="E890">
            <v>151.13999999999999</v>
          </cell>
          <cell r="F890">
            <v>18349.907399999996</v>
          </cell>
          <cell r="G890">
            <v>0</v>
          </cell>
          <cell r="H890">
            <v>0</v>
          </cell>
          <cell r="I890" t="str">
            <v>0.00%</v>
          </cell>
          <cell r="J890">
            <v>0</v>
          </cell>
          <cell r="K890">
            <v>0</v>
          </cell>
          <cell r="L890" t="str">
            <v>0.00%</v>
          </cell>
          <cell r="M890">
            <v>0</v>
          </cell>
          <cell r="N890">
            <v>0</v>
          </cell>
          <cell r="O890" t="str">
            <v>0.00%</v>
          </cell>
          <cell r="P890">
            <v>121.41</v>
          </cell>
          <cell r="Q890">
            <v>18349.907399999996</v>
          </cell>
          <cell r="R890">
            <v>1</v>
          </cell>
        </row>
        <row r="891">
          <cell r="A891" t="str">
            <v>12.01.02</v>
          </cell>
          <cell r="B891" t="str">
            <v>MURO DE SOGA LADRILLO KIN-KONG DE ARCILLA</v>
          </cell>
          <cell r="C891" t="str">
            <v>m2</v>
          </cell>
          <cell r="D891">
            <v>37.35</v>
          </cell>
          <cell r="E891">
            <v>99.24</v>
          </cell>
          <cell r="F891">
            <v>3706.614</v>
          </cell>
          <cell r="G891">
            <v>0</v>
          </cell>
          <cell r="H891">
            <v>0</v>
          </cell>
          <cell r="I891" t="str">
            <v>0.00%</v>
          </cell>
          <cell r="J891">
            <v>0</v>
          </cell>
          <cell r="K891">
            <v>0</v>
          </cell>
          <cell r="L891" t="str">
            <v>0.00%</v>
          </cell>
          <cell r="M891">
            <v>0</v>
          </cell>
          <cell r="N891">
            <v>0</v>
          </cell>
          <cell r="O891" t="str">
            <v>0.00%</v>
          </cell>
          <cell r="P891">
            <v>37.35</v>
          </cell>
          <cell r="Q891">
            <v>3706.614</v>
          </cell>
          <cell r="R891">
            <v>1</v>
          </cell>
        </row>
        <row r="892">
          <cell r="A892" t="str">
            <v>12.02</v>
          </cell>
          <cell r="B892" t="str">
            <v>REVOQUES ENLUCIDOS Y MOLDURAS</v>
          </cell>
          <cell r="C892">
            <v>0</v>
          </cell>
          <cell r="D892">
            <v>0</v>
          </cell>
          <cell r="E892">
            <v>0</v>
          </cell>
          <cell r="F892">
            <v>0</v>
          </cell>
          <cell r="G892">
            <v>0</v>
          </cell>
          <cell r="H892">
            <v>0</v>
          </cell>
          <cell r="I892">
            <v>0</v>
          </cell>
          <cell r="J892">
            <v>0</v>
          </cell>
          <cell r="K892">
            <v>0</v>
          </cell>
          <cell r="L892">
            <v>0</v>
          </cell>
          <cell r="M892">
            <v>0</v>
          </cell>
          <cell r="N892">
            <v>0</v>
          </cell>
          <cell r="O892">
            <v>0</v>
          </cell>
          <cell r="P892">
            <v>0</v>
          </cell>
          <cell r="Q892">
            <v>0</v>
          </cell>
          <cell r="R892">
            <v>0</v>
          </cell>
        </row>
        <row r="893">
          <cell r="A893" t="str">
            <v>12.02.01</v>
          </cell>
          <cell r="B893" t="str">
            <v>TARRAJEO EN MUROS INTERIORES MEZCLA 1:5 CEMENTO:ARENA</v>
          </cell>
          <cell r="C893" t="str">
            <v>m2</v>
          </cell>
          <cell r="D893">
            <v>225.46</v>
          </cell>
          <cell r="E893">
            <v>26.91</v>
          </cell>
          <cell r="F893">
            <v>6067.1286</v>
          </cell>
          <cell r="G893">
            <v>0</v>
          </cell>
          <cell r="H893">
            <v>0</v>
          </cell>
          <cell r="I893" t="str">
            <v>0.00%</v>
          </cell>
          <cell r="J893">
            <v>0</v>
          </cell>
          <cell r="K893">
            <v>0</v>
          </cell>
          <cell r="L893" t="str">
            <v>0.00%</v>
          </cell>
          <cell r="M893">
            <v>0</v>
          </cell>
          <cell r="N893">
            <v>0</v>
          </cell>
          <cell r="O893" t="str">
            <v>0.00%</v>
          </cell>
          <cell r="P893">
            <v>225.46</v>
          </cell>
          <cell r="Q893">
            <v>6067.1286</v>
          </cell>
          <cell r="R893">
            <v>1</v>
          </cell>
        </row>
        <row r="894">
          <cell r="A894" t="str">
            <v>12.02.02</v>
          </cell>
          <cell r="B894" t="str">
            <v>TARRAJEO EN MUROS EXTERIORES MEZCLA 1:5 CEMENTO:ARENA</v>
          </cell>
          <cell r="C894" t="str">
            <v>m2</v>
          </cell>
          <cell r="D894">
            <v>92.05</v>
          </cell>
          <cell r="E894">
            <v>33.57</v>
          </cell>
          <cell r="F894">
            <v>3090.1185</v>
          </cell>
          <cell r="G894">
            <v>0</v>
          </cell>
          <cell r="H894">
            <v>0</v>
          </cell>
          <cell r="I894" t="str">
            <v>0.00%</v>
          </cell>
          <cell r="J894">
            <v>0</v>
          </cell>
          <cell r="K894">
            <v>0</v>
          </cell>
          <cell r="L894" t="str">
            <v>0.00%</v>
          </cell>
          <cell r="M894">
            <v>0</v>
          </cell>
          <cell r="N894">
            <v>0</v>
          </cell>
          <cell r="O894" t="str">
            <v>0.00%</v>
          </cell>
          <cell r="P894">
            <v>92.05</v>
          </cell>
          <cell r="Q894">
            <v>3090.1185</v>
          </cell>
          <cell r="R894">
            <v>1</v>
          </cell>
        </row>
        <row r="895">
          <cell r="A895" t="str">
            <v>12.02.03</v>
          </cell>
          <cell r="B895" t="str">
            <v>TARRAJEO DE SUPERFICIE COLUMNAS INCL. ARISTAS MEZCLA 1:5 CEMENTO:ARENA</v>
          </cell>
          <cell r="C895" t="str">
            <v>m2</v>
          </cell>
          <cell r="D895">
            <v>99.5</v>
          </cell>
          <cell r="E895">
            <v>29.04</v>
          </cell>
          <cell r="F895">
            <v>2889.48</v>
          </cell>
          <cell r="G895">
            <v>0</v>
          </cell>
          <cell r="H895">
            <v>0</v>
          </cell>
          <cell r="I895" t="str">
            <v>0.00%</v>
          </cell>
          <cell r="J895">
            <v>0</v>
          </cell>
          <cell r="K895">
            <v>0</v>
          </cell>
          <cell r="L895" t="str">
            <v>0.00%</v>
          </cell>
          <cell r="M895">
            <v>0</v>
          </cell>
          <cell r="N895">
            <v>0</v>
          </cell>
          <cell r="O895" t="str">
            <v>0.00%</v>
          </cell>
          <cell r="P895">
            <v>99.5</v>
          </cell>
          <cell r="Q895">
            <v>2889.48</v>
          </cell>
          <cell r="R895">
            <v>1</v>
          </cell>
        </row>
        <row r="896">
          <cell r="A896" t="str">
            <v>12.02.04</v>
          </cell>
          <cell r="B896" t="str">
            <v>TARRAJEO DE SUPERF.VIGAS INCL.ARISTAS, MEZCLA 1:5 CEMENTO:ARENA</v>
          </cell>
          <cell r="C896" t="str">
            <v>m2</v>
          </cell>
          <cell r="D896">
            <v>104.91</v>
          </cell>
          <cell r="E896">
            <v>34.25</v>
          </cell>
          <cell r="F896">
            <v>3593.1675</v>
          </cell>
          <cell r="G896">
            <v>0</v>
          </cell>
          <cell r="H896">
            <v>0</v>
          </cell>
          <cell r="I896" t="str">
            <v>0.00%</v>
          </cell>
          <cell r="J896">
            <v>0</v>
          </cell>
          <cell r="K896">
            <v>0</v>
          </cell>
          <cell r="L896" t="str">
            <v>0.00%</v>
          </cell>
          <cell r="M896">
            <v>0</v>
          </cell>
          <cell r="N896">
            <v>0</v>
          </cell>
          <cell r="O896" t="str">
            <v>0.00%</v>
          </cell>
          <cell r="P896">
            <v>104.91</v>
          </cell>
          <cell r="Q896">
            <v>3593.1675</v>
          </cell>
          <cell r="R896">
            <v>1</v>
          </cell>
        </row>
        <row r="897">
          <cell r="A897" t="str">
            <v>12.02.05</v>
          </cell>
          <cell r="B897" t="str">
            <v>TARRAJEO CON IMPERMEABILIZANTE EN COBERTURAS</v>
          </cell>
          <cell r="C897" t="str">
            <v>m2</v>
          </cell>
          <cell r="D897">
            <v>173.73</v>
          </cell>
          <cell r="E897">
            <v>60.76</v>
          </cell>
          <cell r="F897">
            <v>10555.834799999999</v>
          </cell>
          <cell r="G897">
            <v>0</v>
          </cell>
          <cell r="H897">
            <v>0</v>
          </cell>
          <cell r="I897" t="str">
            <v>0.00%</v>
          </cell>
          <cell r="J897">
            <v>0</v>
          </cell>
          <cell r="K897">
            <v>0</v>
          </cell>
          <cell r="L897" t="str">
            <v>0.00%</v>
          </cell>
          <cell r="M897">
            <v>0</v>
          </cell>
          <cell r="N897">
            <v>0</v>
          </cell>
          <cell r="O897" t="str">
            <v>0.00%</v>
          </cell>
          <cell r="P897">
            <v>173.73</v>
          </cell>
          <cell r="Q897">
            <v>10555.834799999999</v>
          </cell>
          <cell r="R897">
            <v>1</v>
          </cell>
        </row>
        <row r="898">
          <cell r="A898" t="str">
            <v>12.02.06</v>
          </cell>
          <cell r="B898" t="str">
            <v>TARRAJEO EN CUNETA DE EVACUACION PLUVIAL EXTERIOR - TECHO</v>
          </cell>
          <cell r="C898" t="str">
            <v>m2</v>
          </cell>
          <cell r="D898">
            <v>46.57</v>
          </cell>
          <cell r="E898">
            <v>39.65</v>
          </cell>
          <cell r="F898">
            <v>1846.5004999999999</v>
          </cell>
          <cell r="G898">
            <v>0</v>
          </cell>
          <cell r="H898">
            <v>0</v>
          </cell>
          <cell r="I898" t="str">
            <v>0.00%</v>
          </cell>
          <cell r="J898">
            <v>0</v>
          </cell>
          <cell r="K898">
            <v>0</v>
          </cell>
          <cell r="L898" t="str">
            <v>0.00%</v>
          </cell>
          <cell r="M898">
            <v>0</v>
          </cell>
          <cell r="N898">
            <v>0</v>
          </cell>
          <cell r="O898" t="str">
            <v>0.00%</v>
          </cell>
          <cell r="P898">
            <v>46.57</v>
          </cell>
          <cell r="Q898">
            <v>1846.5004999999999</v>
          </cell>
          <cell r="R898">
            <v>1</v>
          </cell>
        </row>
        <row r="899">
          <cell r="A899" t="str">
            <v>12.02.07</v>
          </cell>
          <cell r="B899" t="str">
            <v>TARRAJEO CON IMPERMEABILIZANTE EN  CUNETA INTERIOR - TECHO</v>
          </cell>
          <cell r="C899" t="str">
            <v>m2</v>
          </cell>
          <cell r="D899">
            <v>46.57</v>
          </cell>
          <cell r="E899">
            <v>42.36</v>
          </cell>
          <cell r="F899">
            <v>1972.7051999999999</v>
          </cell>
          <cell r="G899">
            <v>0</v>
          </cell>
          <cell r="H899">
            <v>0</v>
          </cell>
          <cell r="I899" t="str">
            <v>0.00%</v>
          </cell>
          <cell r="J899">
            <v>0</v>
          </cell>
          <cell r="K899">
            <v>0</v>
          </cell>
          <cell r="L899" t="str">
            <v>0.00%</v>
          </cell>
          <cell r="M899">
            <v>0</v>
          </cell>
          <cell r="N899">
            <v>0</v>
          </cell>
          <cell r="O899" t="str">
            <v>0.00%</v>
          </cell>
          <cell r="P899">
            <v>46.57</v>
          </cell>
          <cell r="Q899">
            <v>1972.7051999999999</v>
          </cell>
          <cell r="R899">
            <v>1</v>
          </cell>
        </row>
        <row r="900">
          <cell r="A900" t="str">
            <v>12.02.08</v>
          </cell>
          <cell r="B900" t="str">
            <v xml:space="preserve">VESTIDURA DE DERRAMES </v>
          </cell>
          <cell r="C900" t="str">
            <v>m</v>
          </cell>
          <cell r="D900">
            <v>127.9</v>
          </cell>
          <cell r="E900">
            <v>24.82</v>
          </cell>
          <cell r="F900">
            <v>3174.4780000000001</v>
          </cell>
          <cell r="G900">
            <v>0</v>
          </cell>
          <cell r="H900">
            <v>0</v>
          </cell>
          <cell r="I900" t="str">
            <v>0.00%</v>
          </cell>
          <cell r="J900">
            <v>0</v>
          </cell>
          <cell r="K900">
            <v>0</v>
          </cell>
          <cell r="L900" t="str">
            <v>0.00%</v>
          </cell>
          <cell r="M900">
            <v>0</v>
          </cell>
          <cell r="N900">
            <v>0</v>
          </cell>
          <cell r="O900" t="str">
            <v>0.00%</v>
          </cell>
          <cell r="P900">
            <v>127.9</v>
          </cell>
          <cell r="Q900">
            <v>3174.4780000000001</v>
          </cell>
          <cell r="R900">
            <v>1</v>
          </cell>
        </row>
        <row r="901">
          <cell r="A901" t="str">
            <v>12.02.09</v>
          </cell>
          <cell r="B901" t="str">
            <v>BRUÑA DE 1CM ENTRE MUROS Y ESTRUCTURAS</v>
          </cell>
          <cell r="C901" t="str">
            <v>m</v>
          </cell>
          <cell r="D901">
            <v>220.5</v>
          </cell>
          <cell r="E901">
            <v>2.08</v>
          </cell>
          <cell r="F901">
            <v>458.64000000000004</v>
          </cell>
          <cell r="G901">
            <v>0</v>
          </cell>
          <cell r="H901">
            <v>0</v>
          </cell>
          <cell r="I901" t="str">
            <v>0.00%</v>
          </cell>
          <cell r="J901">
            <v>0</v>
          </cell>
          <cell r="K901">
            <v>0</v>
          </cell>
          <cell r="L901" t="str">
            <v>0.00%</v>
          </cell>
          <cell r="M901">
            <v>0</v>
          </cell>
          <cell r="N901">
            <v>0</v>
          </cell>
          <cell r="O901" t="str">
            <v>0.00%</v>
          </cell>
          <cell r="P901">
            <v>220.5</v>
          </cell>
          <cell r="Q901">
            <v>458.64000000000004</v>
          </cell>
          <cell r="R901">
            <v>1</v>
          </cell>
        </row>
        <row r="902">
          <cell r="A902" t="str">
            <v>12.03</v>
          </cell>
          <cell r="B902" t="str">
            <v>ESTRUCTURAS METALICAS</v>
          </cell>
          <cell r="C902">
            <v>0</v>
          </cell>
          <cell r="D902">
            <v>0</v>
          </cell>
          <cell r="E902">
            <v>0</v>
          </cell>
          <cell r="F902">
            <v>0</v>
          </cell>
          <cell r="G902">
            <v>0</v>
          </cell>
          <cell r="H902">
            <v>0</v>
          </cell>
          <cell r="I902">
            <v>0</v>
          </cell>
          <cell r="J902">
            <v>0</v>
          </cell>
          <cell r="K902">
            <v>0</v>
          </cell>
          <cell r="L902">
            <v>0</v>
          </cell>
          <cell r="M902">
            <v>0</v>
          </cell>
          <cell r="N902">
            <v>0</v>
          </cell>
          <cell r="O902">
            <v>0</v>
          </cell>
          <cell r="P902">
            <v>0</v>
          </cell>
          <cell r="Q902">
            <v>0</v>
          </cell>
          <cell r="R902">
            <v>0</v>
          </cell>
        </row>
        <row r="903">
          <cell r="A903" t="str">
            <v>12.03.01</v>
          </cell>
          <cell r="B903" t="str">
            <v>CORREAS DE TUBO LAC 2"X2"X2mm</v>
          </cell>
          <cell r="C903" t="str">
            <v>m</v>
          </cell>
          <cell r="D903">
            <v>156</v>
          </cell>
          <cell r="E903">
            <v>28.38</v>
          </cell>
          <cell r="F903">
            <v>4427.28</v>
          </cell>
          <cell r="G903">
            <v>0</v>
          </cell>
          <cell r="H903">
            <v>0</v>
          </cell>
          <cell r="I903" t="str">
            <v>0.00%</v>
          </cell>
          <cell r="J903">
            <v>0</v>
          </cell>
          <cell r="K903">
            <v>0</v>
          </cell>
          <cell r="L903" t="str">
            <v>0.00%</v>
          </cell>
          <cell r="M903">
            <v>0</v>
          </cell>
          <cell r="N903">
            <v>0</v>
          </cell>
          <cell r="O903" t="str">
            <v>0.00%</v>
          </cell>
          <cell r="P903">
            <v>156</v>
          </cell>
          <cell r="Q903">
            <v>4427.28</v>
          </cell>
          <cell r="R903">
            <v>1</v>
          </cell>
        </row>
        <row r="904">
          <cell r="A904" t="str">
            <v>12.04</v>
          </cell>
          <cell r="B904" t="str">
            <v>COBERTURA</v>
          </cell>
          <cell r="C904">
            <v>0</v>
          </cell>
          <cell r="D904">
            <v>0</v>
          </cell>
          <cell r="E904">
            <v>0</v>
          </cell>
          <cell r="F904">
            <v>0</v>
          </cell>
          <cell r="G904">
            <v>0</v>
          </cell>
          <cell r="H904">
            <v>0</v>
          </cell>
          <cell r="I904">
            <v>0</v>
          </cell>
          <cell r="J904">
            <v>0</v>
          </cell>
          <cell r="K904">
            <v>0</v>
          </cell>
          <cell r="L904">
            <v>0</v>
          </cell>
          <cell r="M904">
            <v>0</v>
          </cell>
          <cell r="N904">
            <v>0</v>
          </cell>
          <cell r="O904">
            <v>0</v>
          </cell>
          <cell r="P904">
            <v>0</v>
          </cell>
          <cell r="Q904">
            <v>0</v>
          </cell>
          <cell r="R904">
            <v>0</v>
          </cell>
        </row>
        <row r="905">
          <cell r="A905" t="str">
            <v>12.04.01</v>
          </cell>
          <cell r="B905" t="str">
            <v>COBERTURA DE PLACA ONDUVILLA</v>
          </cell>
          <cell r="C905" t="str">
            <v>m2</v>
          </cell>
          <cell r="D905">
            <v>135.80000000000001</v>
          </cell>
          <cell r="E905">
            <v>147.85</v>
          </cell>
          <cell r="F905">
            <v>20078.030000000002</v>
          </cell>
          <cell r="G905">
            <v>0</v>
          </cell>
          <cell r="H905">
            <v>0</v>
          </cell>
          <cell r="I905" t="str">
            <v>0.00%</v>
          </cell>
          <cell r="J905">
            <v>0</v>
          </cell>
          <cell r="K905">
            <v>0</v>
          </cell>
          <cell r="L905" t="str">
            <v>0.00%</v>
          </cell>
          <cell r="M905">
            <v>0</v>
          </cell>
          <cell r="N905">
            <v>0</v>
          </cell>
          <cell r="O905" t="str">
            <v>0.00%</v>
          </cell>
          <cell r="P905">
            <v>135.80000000000001</v>
          </cell>
          <cell r="Q905">
            <v>20078.030000000002</v>
          </cell>
          <cell r="R905">
            <v>1</v>
          </cell>
        </row>
        <row r="906">
          <cell r="A906" t="str">
            <v>12.04.02</v>
          </cell>
          <cell r="B906" t="str">
            <v>CUMBRERA DE ONDUVILLA</v>
          </cell>
          <cell r="C906" t="str">
            <v>m</v>
          </cell>
          <cell r="D906">
            <v>14</v>
          </cell>
          <cell r="E906">
            <v>101.1</v>
          </cell>
          <cell r="F906">
            <v>1415.3999999999999</v>
          </cell>
          <cell r="G906">
            <v>0</v>
          </cell>
          <cell r="H906">
            <v>0</v>
          </cell>
          <cell r="I906" t="str">
            <v>0.00%</v>
          </cell>
          <cell r="J906">
            <v>0</v>
          </cell>
          <cell r="K906">
            <v>0</v>
          </cell>
          <cell r="L906" t="str">
            <v>0.00%</v>
          </cell>
          <cell r="M906">
            <v>0</v>
          </cell>
          <cell r="N906">
            <v>0</v>
          </cell>
          <cell r="O906" t="str">
            <v>0.00%</v>
          </cell>
          <cell r="P906">
            <v>14</v>
          </cell>
          <cell r="Q906">
            <v>1415.3999999999999</v>
          </cell>
          <cell r="R906">
            <v>1</v>
          </cell>
        </row>
        <row r="907">
          <cell r="A907" t="str">
            <v>12.04.03</v>
          </cell>
          <cell r="B907" t="str">
            <v>COBERTURA DE POLICARBONATO ALVEOLAR TRASLUCIDO DE 6 MM.</v>
          </cell>
          <cell r="C907" t="str">
            <v>m2</v>
          </cell>
          <cell r="D907">
            <v>37.54</v>
          </cell>
          <cell r="E907">
            <v>63.81</v>
          </cell>
          <cell r="F907">
            <v>2395.4274</v>
          </cell>
          <cell r="G907">
            <v>0</v>
          </cell>
          <cell r="H907">
            <v>0</v>
          </cell>
          <cell r="I907" t="str">
            <v>0.00%</v>
          </cell>
          <cell r="J907">
            <v>0</v>
          </cell>
          <cell r="K907">
            <v>0</v>
          </cell>
          <cell r="L907" t="str">
            <v>0.00%</v>
          </cell>
          <cell r="M907">
            <v>0</v>
          </cell>
          <cell r="N907">
            <v>0</v>
          </cell>
          <cell r="O907" t="str">
            <v>0.00%</v>
          </cell>
          <cell r="P907">
            <v>37.54</v>
          </cell>
          <cell r="Q907">
            <v>2395.4274</v>
          </cell>
          <cell r="R907">
            <v>1</v>
          </cell>
        </row>
        <row r="908">
          <cell r="A908" t="str">
            <v>12.05</v>
          </cell>
          <cell r="B908" t="str">
            <v>CIELORRASOS</v>
          </cell>
          <cell r="C908">
            <v>0</v>
          </cell>
          <cell r="D908">
            <v>0</v>
          </cell>
          <cell r="E908">
            <v>0</v>
          </cell>
          <cell r="F908">
            <v>0</v>
          </cell>
          <cell r="G908">
            <v>0</v>
          </cell>
          <cell r="H908">
            <v>0</v>
          </cell>
          <cell r="I908">
            <v>0</v>
          </cell>
          <cell r="J908">
            <v>0</v>
          </cell>
          <cell r="K908">
            <v>0</v>
          </cell>
          <cell r="L908">
            <v>0</v>
          </cell>
          <cell r="M908">
            <v>0</v>
          </cell>
          <cell r="N908">
            <v>0</v>
          </cell>
          <cell r="O908">
            <v>0</v>
          </cell>
          <cell r="P908">
            <v>0</v>
          </cell>
          <cell r="Q908">
            <v>0</v>
          </cell>
          <cell r="R908">
            <v>0</v>
          </cell>
        </row>
        <row r="909">
          <cell r="A909" t="str">
            <v>12.05.01</v>
          </cell>
          <cell r="B909" t="str">
            <v>CIELORRASOS CON MEZCLA C:A 1:5 e= 1.5 CM</v>
          </cell>
          <cell r="C909" t="str">
            <v>m2</v>
          </cell>
          <cell r="D909">
            <v>153.93</v>
          </cell>
          <cell r="E909">
            <v>41.21</v>
          </cell>
          <cell r="F909">
            <v>6343.4553000000005</v>
          </cell>
          <cell r="G909">
            <v>0</v>
          </cell>
          <cell r="H909">
            <v>0</v>
          </cell>
          <cell r="I909" t="str">
            <v>0.00%</v>
          </cell>
          <cell r="J909">
            <v>0</v>
          </cell>
          <cell r="K909">
            <v>0</v>
          </cell>
          <cell r="L909" t="str">
            <v>0.00%</v>
          </cell>
          <cell r="M909">
            <v>0</v>
          </cell>
          <cell r="N909">
            <v>0</v>
          </cell>
          <cell r="O909" t="str">
            <v>0.00%</v>
          </cell>
          <cell r="P909">
            <v>153.93</v>
          </cell>
          <cell r="Q909">
            <v>6343.4553000000005</v>
          </cell>
          <cell r="R909">
            <v>1</v>
          </cell>
        </row>
        <row r="910">
          <cell r="A910" t="str">
            <v>12.06</v>
          </cell>
          <cell r="B910" t="str">
            <v>PISOS Y PAVIMENTOS</v>
          </cell>
          <cell r="C910">
            <v>0</v>
          </cell>
          <cell r="D910">
            <v>0</v>
          </cell>
          <cell r="E910">
            <v>0</v>
          </cell>
          <cell r="F910">
            <v>0</v>
          </cell>
          <cell r="G910">
            <v>0</v>
          </cell>
          <cell r="H910">
            <v>0</v>
          </cell>
          <cell r="I910">
            <v>0</v>
          </cell>
          <cell r="J910">
            <v>0</v>
          </cell>
          <cell r="K910">
            <v>0</v>
          </cell>
          <cell r="L910">
            <v>0</v>
          </cell>
          <cell r="M910">
            <v>0</v>
          </cell>
          <cell r="N910">
            <v>0</v>
          </cell>
          <cell r="O910">
            <v>0</v>
          </cell>
          <cell r="P910">
            <v>0</v>
          </cell>
          <cell r="Q910">
            <v>0</v>
          </cell>
          <cell r="R910">
            <v>0</v>
          </cell>
        </row>
        <row r="911">
          <cell r="A911" t="str">
            <v>12.06.01</v>
          </cell>
          <cell r="B911" t="str">
            <v>FALSO PISO DE 4" DE CONCRETO 1:10</v>
          </cell>
          <cell r="C911" t="str">
            <v>m2</v>
          </cell>
          <cell r="D911">
            <v>174.38</v>
          </cell>
          <cell r="E911">
            <v>34.700000000000003</v>
          </cell>
          <cell r="F911">
            <v>6050.9860000000008</v>
          </cell>
          <cell r="G911">
            <v>0</v>
          </cell>
          <cell r="H911">
            <v>0</v>
          </cell>
          <cell r="I911" t="str">
            <v>0.00%</v>
          </cell>
          <cell r="J911">
            <v>0</v>
          </cell>
          <cell r="K911">
            <v>0</v>
          </cell>
          <cell r="L911" t="str">
            <v>0.00%</v>
          </cell>
          <cell r="M911">
            <v>0</v>
          </cell>
          <cell r="N911">
            <v>0</v>
          </cell>
          <cell r="O911" t="str">
            <v>0.00%</v>
          </cell>
          <cell r="P911">
            <v>174.38</v>
          </cell>
          <cell r="Q911">
            <v>6050.9860000000008</v>
          </cell>
          <cell r="R911">
            <v>1</v>
          </cell>
        </row>
        <row r="912">
          <cell r="A912" t="str">
            <v>12.06.02</v>
          </cell>
          <cell r="B912" t="str">
            <v>CONTRAPISO DE 48 MM.</v>
          </cell>
          <cell r="C912" t="str">
            <v>m2</v>
          </cell>
          <cell r="D912">
            <v>174.38</v>
          </cell>
          <cell r="E912">
            <v>33.57</v>
          </cell>
          <cell r="F912">
            <v>5853.9366</v>
          </cell>
          <cell r="G912">
            <v>0</v>
          </cell>
          <cell r="H912">
            <v>0</v>
          </cell>
          <cell r="I912" t="str">
            <v>0.00%</v>
          </cell>
          <cell r="J912">
            <v>0</v>
          </cell>
          <cell r="K912">
            <v>0</v>
          </cell>
          <cell r="L912" t="str">
            <v>0.00%</v>
          </cell>
          <cell r="M912">
            <v>0</v>
          </cell>
          <cell r="N912">
            <v>0</v>
          </cell>
          <cell r="O912" t="str">
            <v>0.00%</v>
          </cell>
          <cell r="P912">
            <v>174.38</v>
          </cell>
          <cell r="Q912">
            <v>5853.9366</v>
          </cell>
          <cell r="R912">
            <v>1</v>
          </cell>
        </row>
        <row r="913">
          <cell r="A913" t="str">
            <v>12.06.03</v>
          </cell>
          <cell r="B913" t="str">
            <v>PISO DE PORCELANATO 0.60 x 0.60 m.</v>
          </cell>
          <cell r="C913" t="str">
            <v>m2</v>
          </cell>
          <cell r="D913">
            <v>139.79</v>
          </cell>
          <cell r="E913">
            <v>182.85</v>
          </cell>
          <cell r="F913">
            <v>25560.601499999997</v>
          </cell>
          <cell r="G913">
            <v>0</v>
          </cell>
          <cell r="H913">
            <v>0</v>
          </cell>
          <cell r="I913" t="str">
            <v>0.00%</v>
          </cell>
          <cell r="J913">
            <v>0</v>
          </cell>
          <cell r="K913">
            <v>0</v>
          </cell>
          <cell r="L913" t="str">
            <v>0.00%</v>
          </cell>
          <cell r="M913">
            <v>0</v>
          </cell>
          <cell r="N913">
            <v>0</v>
          </cell>
          <cell r="O913" t="str">
            <v>0.00%</v>
          </cell>
          <cell r="P913">
            <v>139.79</v>
          </cell>
          <cell r="Q913">
            <v>25560.601499999997</v>
          </cell>
          <cell r="R913">
            <v>1</v>
          </cell>
        </row>
        <row r="914">
          <cell r="A914" t="str">
            <v>12.06.04</v>
          </cell>
          <cell r="B914" t="str">
            <v>PISO DE CERAMICO ANTIDESLIZANTE AT. 0.40x0.40 M</v>
          </cell>
          <cell r="C914" t="str">
            <v>m2</v>
          </cell>
          <cell r="D914">
            <v>34.590000000000003</v>
          </cell>
          <cell r="E914">
            <v>56.63</v>
          </cell>
          <cell r="F914">
            <v>1958.8317000000002</v>
          </cell>
          <cell r="G914">
            <v>0</v>
          </cell>
          <cell r="H914">
            <v>0</v>
          </cell>
          <cell r="I914" t="str">
            <v>0.00%</v>
          </cell>
          <cell r="J914">
            <v>0</v>
          </cell>
          <cell r="K914">
            <v>0</v>
          </cell>
          <cell r="L914" t="str">
            <v>0.00%</v>
          </cell>
          <cell r="M914">
            <v>0</v>
          </cell>
          <cell r="N914">
            <v>0</v>
          </cell>
          <cell r="O914" t="str">
            <v>0.00%</v>
          </cell>
          <cell r="P914">
            <v>34.590000000000003</v>
          </cell>
          <cell r="Q914">
            <v>1958.8317000000002</v>
          </cell>
          <cell r="R914">
            <v>1</v>
          </cell>
        </row>
        <row r="915">
          <cell r="A915" t="str">
            <v>12.07</v>
          </cell>
          <cell r="B915" t="str">
            <v>ZOCALOS Y CONTRAZOCALOS</v>
          </cell>
          <cell r="C915">
            <v>0</v>
          </cell>
          <cell r="D915">
            <v>0</v>
          </cell>
          <cell r="E915">
            <v>0</v>
          </cell>
          <cell r="F915">
            <v>0</v>
          </cell>
          <cell r="G915">
            <v>0</v>
          </cell>
          <cell r="H915">
            <v>0</v>
          </cell>
          <cell r="I915">
            <v>0</v>
          </cell>
          <cell r="J915">
            <v>0</v>
          </cell>
          <cell r="K915">
            <v>0</v>
          </cell>
          <cell r="L915">
            <v>0</v>
          </cell>
          <cell r="M915">
            <v>0</v>
          </cell>
          <cell r="N915">
            <v>0</v>
          </cell>
          <cell r="O915">
            <v>0</v>
          </cell>
          <cell r="P915">
            <v>0</v>
          </cell>
          <cell r="Q915">
            <v>0</v>
          </cell>
          <cell r="R915">
            <v>0</v>
          </cell>
        </row>
        <row r="916">
          <cell r="A916" t="str">
            <v>12.07.01</v>
          </cell>
          <cell r="B916" t="str">
            <v>ZOCALO DE CERAMICO 0.30 x 0.20 M</v>
          </cell>
          <cell r="C916" t="str">
            <v>m2</v>
          </cell>
          <cell r="D916">
            <v>49.26</v>
          </cell>
          <cell r="E916">
            <v>64.3</v>
          </cell>
          <cell r="F916">
            <v>3167.4179999999997</v>
          </cell>
          <cell r="G916">
            <v>0</v>
          </cell>
          <cell r="H916">
            <v>0</v>
          </cell>
          <cell r="I916" t="str">
            <v>0.00%</v>
          </cell>
          <cell r="J916">
            <v>0</v>
          </cell>
          <cell r="K916">
            <v>0</v>
          </cell>
          <cell r="L916" t="str">
            <v>0.00%</v>
          </cell>
          <cell r="M916">
            <v>0</v>
          </cell>
          <cell r="N916">
            <v>0</v>
          </cell>
          <cell r="O916" t="str">
            <v>0.00%</v>
          </cell>
          <cell r="P916">
            <v>49.26</v>
          </cell>
          <cell r="Q916">
            <v>3167.4179999999997</v>
          </cell>
          <cell r="R916">
            <v>1</v>
          </cell>
        </row>
        <row r="917">
          <cell r="A917" t="str">
            <v>12.07.02</v>
          </cell>
          <cell r="B917" t="str">
            <v>CONTRAZOCALO DE CERAMICO DE 40 x 40 CM. H=10CM. - INTERIOR</v>
          </cell>
          <cell r="C917" t="str">
            <v>m</v>
          </cell>
          <cell r="D917">
            <v>21.12</v>
          </cell>
          <cell r="E917">
            <v>14.75</v>
          </cell>
          <cell r="F917">
            <v>311.52000000000004</v>
          </cell>
          <cell r="G917">
            <v>0</v>
          </cell>
          <cell r="H917">
            <v>0</v>
          </cell>
          <cell r="I917" t="str">
            <v>0.00%</v>
          </cell>
          <cell r="J917">
            <v>0</v>
          </cell>
          <cell r="K917">
            <v>0</v>
          </cell>
          <cell r="L917" t="str">
            <v>0.00%</v>
          </cell>
          <cell r="M917">
            <v>0</v>
          </cell>
          <cell r="N917">
            <v>0</v>
          </cell>
          <cell r="O917" t="str">
            <v>0.00%</v>
          </cell>
          <cell r="P917">
            <v>21.12</v>
          </cell>
          <cell r="Q917">
            <v>311.52000000000004</v>
          </cell>
          <cell r="R917">
            <v>1</v>
          </cell>
        </row>
        <row r="918">
          <cell r="A918" t="str">
            <v>12.07.03</v>
          </cell>
          <cell r="B918" t="str">
            <v>CONTRAZOCALO DE PORCELANATO H=0.10M</v>
          </cell>
          <cell r="C918" t="str">
            <v>m</v>
          </cell>
          <cell r="D918">
            <v>74.31</v>
          </cell>
          <cell r="E918">
            <v>22.15</v>
          </cell>
          <cell r="F918">
            <v>1645.9665</v>
          </cell>
          <cell r="G918">
            <v>0</v>
          </cell>
          <cell r="H918">
            <v>0</v>
          </cell>
          <cell r="I918" t="str">
            <v>0.00%</v>
          </cell>
          <cell r="J918">
            <v>0</v>
          </cell>
          <cell r="K918">
            <v>0</v>
          </cell>
          <cell r="L918" t="str">
            <v>0.00%</v>
          </cell>
          <cell r="M918">
            <v>0</v>
          </cell>
          <cell r="N918">
            <v>0</v>
          </cell>
          <cell r="O918" t="str">
            <v>0.00%</v>
          </cell>
          <cell r="P918">
            <v>74.31</v>
          </cell>
          <cell r="Q918">
            <v>1645.9665</v>
          </cell>
          <cell r="R918">
            <v>1</v>
          </cell>
        </row>
        <row r="919">
          <cell r="A919" t="str">
            <v>12.08</v>
          </cell>
          <cell r="B919" t="str">
            <v>CARPINTERIA DE MADERA</v>
          </cell>
          <cell r="C919">
            <v>0</v>
          </cell>
          <cell r="D919">
            <v>0</v>
          </cell>
          <cell r="E919">
            <v>0</v>
          </cell>
          <cell r="F919">
            <v>0</v>
          </cell>
          <cell r="G919">
            <v>0</v>
          </cell>
          <cell r="H919">
            <v>0</v>
          </cell>
          <cell r="I919">
            <v>0</v>
          </cell>
          <cell r="J919">
            <v>0</v>
          </cell>
          <cell r="K919">
            <v>0</v>
          </cell>
          <cell r="L919">
            <v>0</v>
          </cell>
          <cell r="M919">
            <v>0</v>
          </cell>
          <cell r="N919">
            <v>0</v>
          </cell>
          <cell r="O919">
            <v>0</v>
          </cell>
          <cell r="P919">
            <v>0</v>
          </cell>
          <cell r="Q919">
            <v>0</v>
          </cell>
          <cell r="R919">
            <v>0</v>
          </cell>
        </row>
        <row r="920">
          <cell r="A920" t="str">
            <v>12.08.01</v>
          </cell>
          <cell r="B920" t="str">
            <v>PUERTA DE MADERA MACHIMBRADA C/SOBRE LUZ</v>
          </cell>
          <cell r="C920" t="str">
            <v>m2</v>
          </cell>
          <cell r="D920">
            <v>10.26</v>
          </cell>
          <cell r="E920">
            <v>340.61</v>
          </cell>
          <cell r="F920">
            <v>3494.6586000000002</v>
          </cell>
          <cell r="G920">
            <v>0</v>
          </cell>
          <cell r="H920">
            <v>0</v>
          </cell>
          <cell r="I920" t="str">
            <v>0.00%</v>
          </cell>
          <cell r="J920">
            <v>0</v>
          </cell>
          <cell r="K920">
            <v>0</v>
          </cell>
          <cell r="L920" t="str">
            <v>0.00%</v>
          </cell>
          <cell r="M920">
            <v>0</v>
          </cell>
          <cell r="N920">
            <v>0</v>
          </cell>
          <cell r="O920" t="str">
            <v>0.00%</v>
          </cell>
          <cell r="P920">
            <v>10.26</v>
          </cell>
          <cell r="Q920">
            <v>3494.6586000000002</v>
          </cell>
          <cell r="R920">
            <v>1</v>
          </cell>
        </row>
        <row r="921">
          <cell r="A921" t="str">
            <v>12.08.02</v>
          </cell>
          <cell r="B921" t="str">
            <v>PUERTA DE MADERA DOBLE HOJA MACHIMBRADA C/SOBRE LUZ</v>
          </cell>
          <cell r="C921" t="str">
            <v>m2</v>
          </cell>
          <cell r="D921">
            <v>9.1199999999999992</v>
          </cell>
          <cell r="E921">
            <v>340.61</v>
          </cell>
          <cell r="F921">
            <v>3106.3631999999998</v>
          </cell>
          <cell r="G921">
            <v>0</v>
          </cell>
          <cell r="H921">
            <v>0</v>
          </cell>
          <cell r="I921" t="str">
            <v>0.00%</v>
          </cell>
          <cell r="J921">
            <v>0</v>
          </cell>
          <cell r="K921">
            <v>0</v>
          </cell>
          <cell r="L921" t="str">
            <v>0.00%</v>
          </cell>
          <cell r="M921">
            <v>0</v>
          </cell>
          <cell r="N921">
            <v>0</v>
          </cell>
          <cell r="O921" t="str">
            <v>0.00%</v>
          </cell>
          <cell r="P921">
            <v>9.1199999999999992</v>
          </cell>
          <cell r="Q921">
            <v>3106.3631999999998</v>
          </cell>
          <cell r="R921">
            <v>1</v>
          </cell>
        </row>
        <row r="922">
          <cell r="A922" t="str">
            <v>12.08.03</v>
          </cell>
          <cell r="B922" t="str">
            <v>PUERTA CONTRAPLACADA CON PLANCHA DE TRIPLAY DE 6 mm. C/SOBRELUZ</v>
          </cell>
          <cell r="C922" t="str">
            <v>m2</v>
          </cell>
          <cell r="D922">
            <v>4.76</v>
          </cell>
          <cell r="E922">
            <v>329.53</v>
          </cell>
          <cell r="F922">
            <v>1568.5627999999997</v>
          </cell>
          <cell r="G922">
            <v>0</v>
          </cell>
          <cell r="H922">
            <v>0</v>
          </cell>
          <cell r="I922" t="str">
            <v>0.00%</v>
          </cell>
          <cell r="J922">
            <v>0</v>
          </cell>
          <cell r="K922">
            <v>0</v>
          </cell>
          <cell r="L922" t="str">
            <v>0.00%</v>
          </cell>
          <cell r="M922">
            <v>0</v>
          </cell>
          <cell r="N922">
            <v>0</v>
          </cell>
          <cell r="O922" t="str">
            <v>0.00%</v>
          </cell>
          <cell r="P922">
            <v>4.76</v>
          </cell>
          <cell r="Q922">
            <v>1568.5627999999997</v>
          </cell>
          <cell r="R922">
            <v>1</v>
          </cell>
        </row>
        <row r="923">
          <cell r="A923" t="str">
            <v>12.09</v>
          </cell>
          <cell r="B923" t="str">
            <v>CERRAJERIA</v>
          </cell>
          <cell r="C923">
            <v>0</v>
          </cell>
          <cell r="D923">
            <v>0</v>
          </cell>
          <cell r="E923">
            <v>0</v>
          </cell>
          <cell r="F923">
            <v>0</v>
          </cell>
          <cell r="G923">
            <v>0</v>
          </cell>
          <cell r="H923">
            <v>0</v>
          </cell>
          <cell r="I923">
            <v>0</v>
          </cell>
          <cell r="J923">
            <v>0</v>
          </cell>
          <cell r="K923">
            <v>0</v>
          </cell>
          <cell r="L923">
            <v>0</v>
          </cell>
          <cell r="M923">
            <v>0</v>
          </cell>
          <cell r="N923">
            <v>0</v>
          </cell>
          <cell r="O923">
            <v>0</v>
          </cell>
          <cell r="P923">
            <v>0</v>
          </cell>
          <cell r="Q923">
            <v>0</v>
          </cell>
          <cell r="R923">
            <v>0</v>
          </cell>
        </row>
        <row r="924">
          <cell r="A924" t="str">
            <v>12.09.01</v>
          </cell>
          <cell r="B924" t="str">
            <v>BISAGRA CAPUCHINA DE 4"</v>
          </cell>
          <cell r="C924" t="str">
            <v>und</v>
          </cell>
          <cell r="D924">
            <v>40</v>
          </cell>
          <cell r="E924">
            <v>15.83</v>
          </cell>
          <cell r="F924">
            <v>633.20000000000005</v>
          </cell>
          <cell r="G924">
            <v>0</v>
          </cell>
          <cell r="H924">
            <v>0</v>
          </cell>
          <cell r="I924" t="str">
            <v>0.00%</v>
          </cell>
          <cell r="J924">
            <v>0</v>
          </cell>
          <cell r="K924">
            <v>0</v>
          </cell>
          <cell r="L924" t="str">
            <v>0.00%</v>
          </cell>
          <cell r="M924">
            <v>0</v>
          </cell>
          <cell r="N924">
            <v>0</v>
          </cell>
          <cell r="O924" t="str">
            <v>0.00%</v>
          </cell>
          <cell r="P924">
            <v>40</v>
          </cell>
          <cell r="Q924">
            <v>633.20000000000005</v>
          </cell>
          <cell r="R924">
            <v>1</v>
          </cell>
        </row>
        <row r="925">
          <cell r="A925" t="str">
            <v>12.09.02</v>
          </cell>
          <cell r="B925" t="str">
            <v>CERRADURA PARA PUERTA DE TRES GOLPES</v>
          </cell>
          <cell r="C925" t="str">
            <v>und</v>
          </cell>
          <cell r="D925">
            <v>2</v>
          </cell>
          <cell r="E925">
            <v>137.22999999999999</v>
          </cell>
          <cell r="F925">
            <v>274.45999999999998</v>
          </cell>
          <cell r="G925">
            <v>0</v>
          </cell>
          <cell r="H925">
            <v>0</v>
          </cell>
          <cell r="I925" t="str">
            <v>0.00%</v>
          </cell>
          <cell r="J925">
            <v>0</v>
          </cell>
          <cell r="K925">
            <v>0</v>
          </cell>
          <cell r="L925" t="str">
            <v>0.00%</v>
          </cell>
          <cell r="M925">
            <v>0</v>
          </cell>
          <cell r="N925">
            <v>0</v>
          </cell>
          <cell r="O925" t="str">
            <v>0.00%</v>
          </cell>
          <cell r="P925">
            <v>2</v>
          </cell>
          <cell r="Q925">
            <v>274.45999999999998</v>
          </cell>
          <cell r="R925">
            <v>1</v>
          </cell>
        </row>
        <row r="926">
          <cell r="A926" t="str">
            <v>12.09.03</v>
          </cell>
          <cell r="B926" t="str">
            <v>CERRADURA DE PERILLA CON SEGURIDAD INTERIOR</v>
          </cell>
          <cell r="C926" t="str">
            <v>und</v>
          </cell>
          <cell r="D926">
            <v>16</v>
          </cell>
          <cell r="E926">
            <v>92.23</v>
          </cell>
          <cell r="F926">
            <v>1475.68</v>
          </cell>
          <cell r="G926">
            <v>0</v>
          </cell>
          <cell r="H926">
            <v>0</v>
          </cell>
          <cell r="I926" t="str">
            <v>0.00%</v>
          </cell>
          <cell r="J926">
            <v>0</v>
          </cell>
          <cell r="K926">
            <v>0</v>
          </cell>
          <cell r="L926" t="str">
            <v>0.00%</v>
          </cell>
          <cell r="M926">
            <v>0</v>
          </cell>
          <cell r="N926">
            <v>0</v>
          </cell>
          <cell r="O926" t="str">
            <v>0.00%</v>
          </cell>
          <cell r="P926">
            <v>16</v>
          </cell>
          <cell r="Q926">
            <v>1475.68</v>
          </cell>
          <cell r="R926">
            <v>1</v>
          </cell>
        </row>
        <row r="927">
          <cell r="A927" t="str">
            <v>12.10</v>
          </cell>
          <cell r="B927" t="str">
            <v>VIDRIOS, CRISTALES Y SIMILARES</v>
          </cell>
          <cell r="C927">
            <v>0</v>
          </cell>
          <cell r="D927">
            <v>0</v>
          </cell>
          <cell r="E927">
            <v>0</v>
          </cell>
          <cell r="F927">
            <v>0</v>
          </cell>
          <cell r="G927">
            <v>0</v>
          </cell>
          <cell r="H927">
            <v>0</v>
          </cell>
          <cell r="I927">
            <v>0</v>
          </cell>
          <cell r="J927">
            <v>0</v>
          </cell>
          <cell r="K927">
            <v>0</v>
          </cell>
          <cell r="L927">
            <v>0</v>
          </cell>
          <cell r="M927">
            <v>0</v>
          </cell>
          <cell r="N927">
            <v>0</v>
          </cell>
          <cell r="O927">
            <v>0</v>
          </cell>
          <cell r="P927">
            <v>0</v>
          </cell>
          <cell r="Q927">
            <v>0</v>
          </cell>
          <cell r="R927">
            <v>0</v>
          </cell>
        </row>
        <row r="928">
          <cell r="A928" t="str">
            <v>12.10.01</v>
          </cell>
          <cell r="B928" t="str">
            <v>VIDRIO (8MM.) SISTEMA NOVA INC. ACCESORIOS</v>
          </cell>
          <cell r="C928" t="str">
            <v>p2</v>
          </cell>
          <cell r="D928">
            <v>369.6</v>
          </cell>
          <cell r="E928">
            <v>18.54</v>
          </cell>
          <cell r="F928">
            <v>6852.384</v>
          </cell>
          <cell r="G928">
            <v>0</v>
          </cell>
          <cell r="H928">
            <v>0</v>
          </cell>
          <cell r="I928" t="str">
            <v>0.00%</v>
          </cell>
          <cell r="J928">
            <v>0</v>
          </cell>
          <cell r="K928">
            <v>0</v>
          </cell>
          <cell r="L928" t="str">
            <v>0.00%</v>
          </cell>
          <cell r="M928">
            <v>0</v>
          </cell>
          <cell r="N928">
            <v>0</v>
          </cell>
          <cell r="O928" t="str">
            <v>0.00%</v>
          </cell>
          <cell r="P928">
            <v>369.6</v>
          </cell>
          <cell r="Q928">
            <v>6852.384</v>
          </cell>
          <cell r="R928">
            <v>1</v>
          </cell>
        </row>
        <row r="929">
          <cell r="A929" t="str">
            <v>12.10.02</v>
          </cell>
          <cell r="B929" t="str">
            <v>VIDRIO CRUDO INCOLORO DE 6MM.</v>
          </cell>
          <cell r="C929" t="str">
            <v>p2</v>
          </cell>
          <cell r="D929">
            <v>38.32</v>
          </cell>
          <cell r="E929">
            <v>9.51</v>
          </cell>
          <cell r="F929">
            <v>364.42320000000001</v>
          </cell>
          <cell r="G929">
            <v>0</v>
          </cell>
          <cell r="H929">
            <v>0</v>
          </cell>
          <cell r="I929" t="str">
            <v>0.00%</v>
          </cell>
          <cell r="J929">
            <v>0</v>
          </cell>
          <cell r="K929">
            <v>0</v>
          </cell>
          <cell r="L929" t="str">
            <v>0.00%</v>
          </cell>
          <cell r="M929">
            <v>0</v>
          </cell>
          <cell r="N929">
            <v>0</v>
          </cell>
          <cell r="O929" t="str">
            <v>0.00%</v>
          </cell>
          <cell r="P929">
            <v>38.32</v>
          </cell>
          <cell r="Q929">
            <v>364.42320000000001</v>
          </cell>
          <cell r="R929">
            <v>1</v>
          </cell>
        </row>
        <row r="930">
          <cell r="A930" t="str">
            <v>12.10.03</v>
          </cell>
          <cell r="B930" t="str">
            <v>MURO CON BLOQUE DE VIDRIO S/DETALLE</v>
          </cell>
          <cell r="C930" t="str">
            <v>m2</v>
          </cell>
          <cell r="D930">
            <v>4.42</v>
          </cell>
          <cell r="E930">
            <v>216.65</v>
          </cell>
          <cell r="F930">
            <v>957.59299999999996</v>
          </cell>
          <cell r="G930">
            <v>0</v>
          </cell>
          <cell r="H930">
            <v>0</v>
          </cell>
          <cell r="I930" t="str">
            <v>0.00%</v>
          </cell>
          <cell r="J930">
            <v>0</v>
          </cell>
          <cell r="K930">
            <v>0</v>
          </cell>
          <cell r="L930" t="str">
            <v>0.00%</v>
          </cell>
          <cell r="M930">
            <v>0</v>
          </cell>
          <cell r="N930">
            <v>0</v>
          </cell>
          <cell r="O930" t="str">
            <v>0.00%</v>
          </cell>
          <cell r="P930">
            <v>4.42</v>
          </cell>
          <cell r="Q930">
            <v>957.59299999999996</v>
          </cell>
          <cell r="R930">
            <v>1</v>
          </cell>
        </row>
        <row r="931">
          <cell r="A931" t="str">
            <v>12.11</v>
          </cell>
          <cell r="B931" t="str">
            <v>PINTURA</v>
          </cell>
          <cell r="C931">
            <v>0</v>
          </cell>
          <cell r="D931">
            <v>0</v>
          </cell>
          <cell r="E931">
            <v>0</v>
          </cell>
          <cell r="F931">
            <v>0</v>
          </cell>
          <cell r="G931">
            <v>0</v>
          </cell>
          <cell r="H931">
            <v>0</v>
          </cell>
          <cell r="I931">
            <v>0</v>
          </cell>
          <cell r="J931">
            <v>0</v>
          </cell>
          <cell r="K931">
            <v>0</v>
          </cell>
          <cell r="L931">
            <v>0</v>
          </cell>
          <cell r="M931">
            <v>0</v>
          </cell>
          <cell r="N931">
            <v>0</v>
          </cell>
          <cell r="O931">
            <v>0</v>
          </cell>
          <cell r="P931">
            <v>0</v>
          </cell>
          <cell r="Q931">
            <v>0</v>
          </cell>
          <cell r="R931">
            <v>0</v>
          </cell>
        </row>
        <row r="932">
          <cell r="A932" t="str">
            <v>12.11.01</v>
          </cell>
          <cell r="B932" t="str">
            <v>PINTURA EN CIELORRASO</v>
          </cell>
          <cell r="C932" t="str">
            <v>m2</v>
          </cell>
          <cell r="D932">
            <v>153.93</v>
          </cell>
          <cell r="E932">
            <v>12.59</v>
          </cell>
          <cell r="F932">
            <v>1937.9787000000001</v>
          </cell>
          <cell r="G932">
            <v>0</v>
          </cell>
          <cell r="H932">
            <v>0</v>
          </cell>
          <cell r="I932" t="str">
            <v>0.00%</v>
          </cell>
          <cell r="J932">
            <v>0</v>
          </cell>
          <cell r="K932">
            <v>0</v>
          </cell>
          <cell r="L932" t="str">
            <v>0.00%</v>
          </cell>
          <cell r="M932">
            <v>0</v>
          </cell>
          <cell r="N932">
            <v>0</v>
          </cell>
          <cell r="O932" t="str">
            <v>0.00%</v>
          </cell>
          <cell r="P932">
            <v>153.93</v>
          </cell>
          <cell r="Q932">
            <v>1937.9787000000001</v>
          </cell>
          <cell r="R932">
            <v>1</v>
          </cell>
        </row>
        <row r="933">
          <cell r="A933" t="str">
            <v>12.11.02</v>
          </cell>
          <cell r="B933" t="str">
            <v xml:space="preserve">PINTURA EN INTERIORES </v>
          </cell>
          <cell r="C933" t="str">
            <v>m2</v>
          </cell>
          <cell r="D933">
            <v>225.46</v>
          </cell>
          <cell r="E933">
            <v>9.6999999999999993</v>
          </cell>
          <cell r="F933">
            <v>2186.962</v>
          </cell>
          <cell r="G933">
            <v>0</v>
          </cell>
          <cell r="H933">
            <v>0</v>
          </cell>
          <cell r="I933" t="str">
            <v>0.00%</v>
          </cell>
          <cell r="J933">
            <v>0</v>
          </cell>
          <cell r="K933">
            <v>0</v>
          </cell>
          <cell r="L933" t="str">
            <v>0.00%</v>
          </cell>
          <cell r="M933">
            <v>0</v>
          </cell>
          <cell r="N933">
            <v>0</v>
          </cell>
          <cell r="O933" t="str">
            <v>0.00%</v>
          </cell>
          <cell r="P933">
            <v>225.46</v>
          </cell>
          <cell r="Q933">
            <v>2186.962</v>
          </cell>
          <cell r="R933">
            <v>1</v>
          </cell>
        </row>
        <row r="934">
          <cell r="A934" t="str">
            <v>12.11.03</v>
          </cell>
          <cell r="B934" t="str">
            <v>PINTURA EN EXTERIORES</v>
          </cell>
          <cell r="C934" t="str">
            <v>m2</v>
          </cell>
          <cell r="D934">
            <v>92.05</v>
          </cell>
          <cell r="E934">
            <v>19.04</v>
          </cell>
          <cell r="F934">
            <v>1752.6319999999998</v>
          </cell>
          <cell r="G934">
            <v>0</v>
          </cell>
          <cell r="H934">
            <v>0</v>
          </cell>
          <cell r="I934" t="str">
            <v>0.00%</v>
          </cell>
          <cell r="J934">
            <v>0</v>
          </cell>
          <cell r="K934">
            <v>0</v>
          </cell>
          <cell r="L934" t="str">
            <v>0.00%</v>
          </cell>
          <cell r="M934">
            <v>0</v>
          </cell>
          <cell r="N934">
            <v>0</v>
          </cell>
          <cell r="O934" t="str">
            <v>0.00%</v>
          </cell>
          <cell r="P934">
            <v>92.05</v>
          </cell>
          <cell r="Q934">
            <v>1752.6319999999998</v>
          </cell>
          <cell r="R934">
            <v>1</v>
          </cell>
        </row>
        <row r="935">
          <cell r="A935" t="str">
            <v>12.11.04</v>
          </cell>
          <cell r="B935" t="str">
            <v>PINTURA EN COLUMNAS</v>
          </cell>
          <cell r="C935" t="str">
            <v>m2</v>
          </cell>
          <cell r="D935">
            <v>99.5</v>
          </cell>
          <cell r="E935">
            <v>10.35</v>
          </cell>
          <cell r="F935">
            <v>1029.825</v>
          </cell>
          <cell r="G935">
            <v>0</v>
          </cell>
          <cell r="H935">
            <v>0</v>
          </cell>
          <cell r="I935" t="str">
            <v>0.00%</v>
          </cell>
          <cell r="J935">
            <v>0</v>
          </cell>
          <cell r="K935">
            <v>0</v>
          </cell>
          <cell r="L935" t="str">
            <v>0.00%</v>
          </cell>
          <cell r="M935">
            <v>0</v>
          </cell>
          <cell r="N935">
            <v>0</v>
          </cell>
          <cell r="O935" t="str">
            <v>0.00%</v>
          </cell>
          <cell r="P935">
            <v>99.5</v>
          </cell>
          <cell r="Q935">
            <v>1029.825</v>
          </cell>
          <cell r="R935">
            <v>1</v>
          </cell>
        </row>
        <row r="936">
          <cell r="A936" t="str">
            <v>12.11.05</v>
          </cell>
          <cell r="B936" t="str">
            <v>PINTURA EN VIGA</v>
          </cell>
          <cell r="C936" t="str">
            <v>m2</v>
          </cell>
          <cell r="D936">
            <v>104.91</v>
          </cell>
          <cell r="E936">
            <v>10.35</v>
          </cell>
          <cell r="F936">
            <v>1085.8184999999999</v>
          </cell>
          <cell r="G936">
            <v>0</v>
          </cell>
          <cell r="H936">
            <v>0</v>
          </cell>
          <cell r="I936" t="str">
            <v>0.00%</v>
          </cell>
          <cell r="J936">
            <v>0</v>
          </cell>
          <cell r="K936">
            <v>0</v>
          </cell>
          <cell r="L936" t="str">
            <v>0.00%</v>
          </cell>
          <cell r="M936">
            <v>0</v>
          </cell>
          <cell r="N936">
            <v>0</v>
          </cell>
          <cell r="O936" t="str">
            <v>0.00%</v>
          </cell>
          <cell r="P936">
            <v>104.91</v>
          </cell>
          <cell r="Q936">
            <v>1085.8184999999999</v>
          </cell>
          <cell r="R936">
            <v>1</v>
          </cell>
        </row>
        <row r="937">
          <cell r="A937" t="str">
            <v>12.11.06</v>
          </cell>
          <cell r="B937" t="str">
            <v>PINTURA EN CUNETA DE EVACUACION PLUVIAL EN TECHO</v>
          </cell>
          <cell r="C937" t="str">
            <v>m2</v>
          </cell>
          <cell r="D937">
            <v>46.57</v>
          </cell>
          <cell r="E937">
            <v>9.25</v>
          </cell>
          <cell r="F937">
            <v>430.77249999999998</v>
          </cell>
          <cell r="G937">
            <v>0</v>
          </cell>
          <cell r="H937">
            <v>0</v>
          </cell>
          <cell r="I937" t="str">
            <v>0.00%</v>
          </cell>
          <cell r="J937">
            <v>0</v>
          </cell>
          <cell r="K937">
            <v>0</v>
          </cell>
          <cell r="L937" t="str">
            <v>0.00%</v>
          </cell>
          <cell r="M937">
            <v>0</v>
          </cell>
          <cell r="N937">
            <v>0</v>
          </cell>
          <cell r="O937" t="str">
            <v>0.00%</v>
          </cell>
          <cell r="P937">
            <v>46.57</v>
          </cell>
          <cell r="Q937">
            <v>430.77249999999998</v>
          </cell>
          <cell r="R937">
            <v>1</v>
          </cell>
        </row>
        <row r="938">
          <cell r="A938" t="str">
            <v>12.11.07</v>
          </cell>
          <cell r="B938" t="str">
            <v>PINTURA EN PUERTAS C/BARNIZ 2 MANOS</v>
          </cell>
          <cell r="C938" t="str">
            <v>m2</v>
          </cell>
          <cell r="D938">
            <v>24.14</v>
          </cell>
          <cell r="E938">
            <v>12.86</v>
          </cell>
          <cell r="F938">
            <v>310.44040000000001</v>
          </cell>
          <cell r="G938">
            <v>0</v>
          </cell>
          <cell r="H938">
            <v>0</v>
          </cell>
          <cell r="I938" t="str">
            <v>0.00%</v>
          </cell>
          <cell r="J938">
            <v>0</v>
          </cell>
          <cell r="K938">
            <v>0</v>
          </cell>
          <cell r="L938" t="str">
            <v>0.00%</v>
          </cell>
          <cell r="M938">
            <v>0</v>
          </cell>
          <cell r="N938">
            <v>0</v>
          </cell>
          <cell r="O938" t="str">
            <v>0.00%</v>
          </cell>
          <cell r="P938">
            <v>24.14</v>
          </cell>
          <cell r="Q938">
            <v>310.44040000000001</v>
          </cell>
          <cell r="R938">
            <v>1</v>
          </cell>
        </row>
        <row r="939">
          <cell r="A939" t="str">
            <v>12.12</v>
          </cell>
          <cell r="B939" t="str">
            <v>OBRAS VARIAS</v>
          </cell>
          <cell r="C939">
            <v>0</v>
          </cell>
          <cell r="D939">
            <v>0</v>
          </cell>
          <cell r="E939">
            <v>0</v>
          </cell>
          <cell r="F939">
            <v>0</v>
          </cell>
          <cell r="G939">
            <v>0</v>
          </cell>
          <cell r="H939">
            <v>0</v>
          </cell>
          <cell r="I939">
            <v>0</v>
          </cell>
          <cell r="J939">
            <v>0</v>
          </cell>
          <cell r="K939">
            <v>0</v>
          </cell>
          <cell r="L939">
            <v>0</v>
          </cell>
          <cell r="M939">
            <v>0</v>
          </cell>
          <cell r="N939">
            <v>0</v>
          </cell>
          <cell r="O939">
            <v>0</v>
          </cell>
          <cell r="P939">
            <v>0</v>
          </cell>
          <cell r="Q939">
            <v>0</v>
          </cell>
          <cell r="R939">
            <v>0</v>
          </cell>
        </row>
        <row r="940">
          <cell r="A940" t="str">
            <v>12.12.01</v>
          </cell>
          <cell r="B940" t="str">
            <v>SARDINEL DE CONCRETO SOBRE VIGAS TIMPANO F'C= 175KG/CM2</v>
          </cell>
          <cell r="C940" t="str">
            <v>m3</v>
          </cell>
          <cell r="D940">
            <v>4.37</v>
          </cell>
          <cell r="E940">
            <v>388.98</v>
          </cell>
          <cell r="F940">
            <v>1699.8426000000002</v>
          </cell>
          <cell r="G940">
            <v>0</v>
          </cell>
          <cell r="H940">
            <v>0</v>
          </cell>
          <cell r="I940" t="str">
            <v>0.00%</v>
          </cell>
          <cell r="J940">
            <v>0</v>
          </cell>
          <cell r="K940">
            <v>0</v>
          </cell>
          <cell r="L940" t="str">
            <v>0.00%</v>
          </cell>
          <cell r="M940">
            <v>0</v>
          </cell>
          <cell r="N940">
            <v>0</v>
          </cell>
          <cell r="O940" t="str">
            <v>0.00%</v>
          </cell>
          <cell r="P940">
            <v>4.37</v>
          </cell>
          <cell r="Q940">
            <v>1699.8426000000002</v>
          </cell>
          <cell r="R940">
            <v>1</v>
          </cell>
        </row>
        <row r="941">
          <cell r="A941" t="str">
            <v>12.12.02</v>
          </cell>
          <cell r="B941" t="str">
            <v>ENCOFRADO Y DESENCOFRADO DE SARDINELES SOBRE VIGA TIMPANO</v>
          </cell>
          <cell r="C941" t="str">
            <v>m2</v>
          </cell>
          <cell r="D941">
            <v>29.1</v>
          </cell>
          <cell r="E941">
            <v>17.3</v>
          </cell>
          <cell r="F941">
            <v>503.43000000000006</v>
          </cell>
          <cell r="G941">
            <v>0</v>
          </cell>
          <cell r="H941">
            <v>0</v>
          </cell>
          <cell r="I941" t="str">
            <v>0.00%</v>
          </cell>
          <cell r="J941">
            <v>0</v>
          </cell>
          <cell r="K941">
            <v>0</v>
          </cell>
          <cell r="L941" t="str">
            <v>0.00%</v>
          </cell>
          <cell r="M941">
            <v>0</v>
          </cell>
          <cell r="N941">
            <v>0</v>
          </cell>
          <cell r="O941" t="str">
            <v>0.00%</v>
          </cell>
          <cell r="P941">
            <v>29.1</v>
          </cell>
          <cell r="Q941">
            <v>503.43000000000006</v>
          </cell>
          <cell r="R941">
            <v>1</v>
          </cell>
        </row>
        <row r="942">
          <cell r="A942" t="str">
            <v>12.12.03</v>
          </cell>
          <cell r="B942" t="str">
            <v xml:space="preserve">TAPA JUNTA EN VANOS MUROS/COLUMNA
</v>
          </cell>
          <cell r="C942" t="str">
            <v>m</v>
          </cell>
          <cell r="D942">
            <v>220.5</v>
          </cell>
          <cell r="E942">
            <v>13.49</v>
          </cell>
          <cell r="F942">
            <v>2974.5450000000001</v>
          </cell>
          <cell r="G942">
            <v>0</v>
          </cell>
          <cell r="H942">
            <v>0</v>
          </cell>
          <cell r="I942" t="str">
            <v>0.00%</v>
          </cell>
          <cell r="J942">
            <v>0</v>
          </cell>
          <cell r="K942">
            <v>0</v>
          </cell>
          <cell r="L942" t="str">
            <v>0.00%</v>
          </cell>
          <cell r="M942">
            <v>0</v>
          </cell>
          <cell r="N942">
            <v>0</v>
          </cell>
          <cell r="O942" t="str">
            <v>0.00%</v>
          </cell>
          <cell r="P942">
            <v>220.5</v>
          </cell>
          <cell r="Q942">
            <v>2974.5450000000001</v>
          </cell>
          <cell r="R942">
            <v>1</v>
          </cell>
        </row>
        <row r="943">
          <cell r="A943" t="str">
            <v>12.12.04</v>
          </cell>
          <cell r="B943" t="str">
            <v>TAPA JUNTA  METALICA</v>
          </cell>
          <cell r="C943" t="str">
            <v>m</v>
          </cell>
          <cell r="D943">
            <v>8.06</v>
          </cell>
          <cell r="E943">
            <v>50.83</v>
          </cell>
          <cell r="F943">
            <v>409.68979999999999</v>
          </cell>
          <cell r="G943">
            <v>0</v>
          </cell>
          <cell r="H943">
            <v>0</v>
          </cell>
          <cell r="I943" t="str">
            <v>0.00%</v>
          </cell>
          <cell r="J943">
            <v>0</v>
          </cell>
          <cell r="K943">
            <v>0</v>
          </cell>
          <cell r="L943" t="str">
            <v>0.00%</v>
          </cell>
          <cell r="M943">
            <v>0</v>
          </cell>
          <cell r="N943">
            <v>0</v>
          </cell>
          <cell r="O943" t="str">
            <v>0.00%</v>
          </cell>
          <cell r="P943">
            <v>8.06</v>
          </cell>
          <cell r="Q943">
            <v>409.68979999999999</v>
          </cell>
          <cell r="R943">
            <v>1</v>
          </cell>
        </row>
        <row r="944">
          <cell r="A944" t="str">
            <v>13</v>
          </cell>
          <cell r="B944" t="str">
            <v>OBRAS EXTERIORES</v>
          </cell>
          <cell r="C944">
            <v>0</v>
          </cell>
          <cell r="D944">
            <v>0</v>
          </cell>
          <cell r="E944">
            <v>0</v>
          </cell>
          <cell r="F944">
            <v>0</v>
          </cell>
          <cell r="G944">
            <v>0</v>
          </cell>
          <cell r="H944">
            <v>0</v>
          </cell>
          <cell r="I944">
            <v>0</v>
          </cell>
          <cell r="J944">
            <v>0</v>
          </cell>
          <cell r="K944">
            <v>0</v>
          </cell>
          <cell r="L944">
            <v>0</v>
          </cell>
          <cell r="M944">
            <v>0</v>
          </cell>
          <cell r="N944">
            <v>0</v>
          </cell>
          <cell r="O944">
            <v>0</v>
          </cell>
          <cell r="P944">
            <v>0</v>
          </cell>
          <cell r="Q944">
            <v>0</v>
          </cell>
          <cell r="R944">
            <v>0</v>
          </cell>
        </row>
        <row r="945">
          <cell r="A945" t="str">
            <v>13.01</v>
          </cell>
          <cell r="B945" t="str">
            <v>LOSA DEPORTIVA</v>
          </cell>
          <cell r="C945">
            <v>0</v>
          </cell>
          <cell r="D945">
            <v>0</v>
          </cell>
          <cell r="E945">
            <v>0</v>
          </cell>
          <cell r="F945">
            <v>0</v>
          </cell>
          <cell r="G945">
            <v>0</v>
          </cell>
          <cell r="H945">
            <v>0</v>
          </cell>
          <cell r="I945">
            <v>0</v>
          </cell>
          <cell r="J945">
            <v>0</v>
          </cell>
          <cell r="K945">
            <v>0</v>
          </cell>
          <cell r="L945">
            <v>0</v>
          </cell>
          <cell r="M945">
            <v>0</v>
          </cell>
          <cell r="N945">
            <v>0</v>
          </cell>
          <cell r="O945">
            <v>0</v>
          </cell>
          <cell r="P945">
            <v>0</v>
          </cell>
          <cell r="Q945">
            <v>0</v>
          </cell>
          <cell r="R945">
            <v>0</v>
          </cell>
        </row>
        <row r="946">
          <cell r="A946" t="str">
            <v>13.01.01</v>
          </cell>
          <cell r="B946" t="str">
            <v>REVOQUES ENLUCIDOS Y MOLDURAS</v>
          </cell>
          <cell r="C946">
            <v>0</v>
          </cell>
          <cell r="D946">
            <v>0</v>
          </cell>
          <cell r="E946">
            <v>0</v>
          </cell>
          <cell r="F946">
            <v>0</v>
          </cell>
          <cell r="G946">
            <v>0</v>
          </cell>
          <cell r="H946">
            <v>0</v>
          </cell>
          <cell r="I946">
            <v>0</v>
          </cell>
          <cell r="J946">
            <v>0</v>
          </cell>
          <cell r="K946">
            <v>0</v>
          </cell>
          <cell r="L946">
            <v>0</v>
          </cell>
          <cell r="M946">
            <v>0</v>
          </cell>
          <cell r="N946">
            <v>0</v>
          </cell>
          <cell r="O946">
            <v>0</v>
          </cell>
          <cell r="P946">
            <v>0</v>
          </cell>
          <cell r="Q946">
            <v>0</v>
          </cell>
          <cell r="R946">
            <v>0</v>
          </cell>
        </row>
        <row r="947">
          <cell r="A947" t="str">
            <v>13.01.01.01</v>
          </cell>
          <cell r="B947" t="str">
            <v>TARRAJEO DE SUPERFICIE COLUMNAS INCL. ARISTAS MEZCLA 1:5 CEMENTO:ARENA</v>
          </cell>
          <cell r="C947" t="str">
            <v>m2</v>
          </cell>
          <cell r="D947">
            <v>0.86</v>
          </cell>
          <cell r="E947">
            <v>29.04</v>
          </cell>
          <cell r="F947">
            <v>24.974399999999999</v>
          </cell>
          <cell r="G947">
            <v>0</v>
          </cell>
          <cell r="H947">
            <v>0</v>
          </cell>
          <cell r="I947" t="str">
            <v>0.00%</v>
          </cell>
          <cell r="J947">
            <v>0</v>
          </cell>
          <cell r="K947">
            <v>0</v>
          </cell>
          <cell r="L947" t="str">
            <v>0.00%</v>
          </cell>
          <cell r="M947">
            <v>0</v>
          </cell>
          <cell r="N947">
            <v>0</v>
          </cell>
          <cell r="O947" t="str">
            <v>0.00%</v>
          </cell>
          <cell r="P947">
            <v>0.86</v>
          </cell>
          <cell r="Q947">
            <v>24.974399999999999</v>
          </cell>
          <cell r="R947">
            <v>1</v>
          </cell>
        </row>
        <row r="948">
          <cell r="A948" t="str">
            <v>13.01.01.02</v>
          </cell>
          <cell r="B948" t="str">
            <v>TARRAJEO DE SUPERF. GRADERIAS INCL.ARISTAS, MEZCLA 1:5 CEMENTO:ARENA</v>
          </cell>
          <cell r="C948" t="str">
            <v>m2</v>
          </cell>
          <cell r="D948">
            <v>28.13</v>
          </cell>
          <cell r="E948">
            <v>34.25</v>
          </cell>
          <cell r="F948">
            <v>963.45249999999999</v>
          </cell>
          <cell r="G948">
            <v>0</v>
          </cell>
          <cell r="H948">
            <v>0</v>
          </cell>
          <cell r="I948" t="str">
            <v>0.00%</v>
          </cell>
          <cell r="J948">
            <v>0</v>
          </cell>
          <cell r="K948">
            <v>0</v>
          </cell>
          <cell r="L948" t="str">
            <v>0.00%</v>
          </cell>
          <cell r="M948">
            <v>0</v>
          </cell>
          <cell r="N948">
            <v>0</v>
          </cell>
          <cell r="O948" t="str">
            <v>0.00%</v>
          </cell>
          <cell r="P948">
            <v>28.13</v>
          </cell>
          <cell r="Q948">
            <v>963.45249999999999</v>
          </cell>
          <cell r="R948">
            <v>1</v>
          </cell>
        </row>
        <row r="949">
          <cell r="A949" t="str">
            <v>13.01.01.03</v>
          </cell>
          <cell r="B949" t="str">
            <v>BRUÑA DE 1CM ENTRE MUROS Y ESTRUCTURAS</v>
          </cell>
          <cell r="C949" t="str">
            <v>m</v>
          </cell>
          <cell r="D949">
            <v>7.8</v>
          </cell>
          <cell r="E949">
            <v>2.08</v>
          </cell>
          <cell r="F949">
            <v>16.224</v>
          </cell>
          <cell r="G949">
            <v>0</v>
          </cell>
          <cell r="H949">
            <v>0</v>
          </cell>
          <cell r="I949" t="str">
            <v>0.00%</v>
          </cell>
          <cell r="J949">
            <v>0</v>
          </cell>
          <cell r="K949">
            <v>0</v>
          </cell>
          <cell r="L949" t="str">
            <v>0.00%</v>
          </cell>
          <cell r="M949">
            <v>0</v>
          </cell>
          <cell r="N949">
            <v>0</v>
          </cell>
          <cell r="O949" t="str">
            <v>0.00%</v>
          </cell>
          <cell r="P949">
            <v>7.8</v>
          </cell>
          <cell r="Q949">
            <v>16.224</v>
          </cell>
          <cell r="R949">
            <v>1</v>
          </cell>
        </row>
        <row r="950">
          <cell r="A950" t="str">
            <v>13.01.02</v>
          </cell>
          <cell r="B950" t="str">
            <v>PISOS Y PAVIMENTOS</v>
          </cell>
          <cell r="C950">
            <v>0</v>
          </cell>
          <cell r="D950">
            <v>0</v>
          </cell>
          <cell r="E950">
            <v>0</v>
          </cell>
          <cell r="F950">
            <v>0</v>
          </cell>
          <cell r="G950">
            <v>0</v>
          </cell>
          <cell r="H950">
            <v>0</v>
          </cell>
          <cell r="I950">
            <v>0</v>
          </cell>
          <cell r="J950">
            <v>0</v>
          </cell>
          <cell r="K950">
            <v>0</v>
          </cell>
          <cell r="L950">
            <v>0</v>
          </cell>
          <cell r="M950">
            <v>0</v>
          </cell>
          <cell r="N950">
            <v>0</v>
          </cell>
          <cell r="O950">
            <v>0</v>
          </cell>
          <cell r="P950">
            <v>0</v>
          </cell>
          <cell r="Q950">
            <v>0</v>
          </cell>
          <cell r="R950">
            <v>0</v>
          </cell>
        </row>
        <row r="951">
          <cell r="A951" t="str">
            <v>13.01.02.01</v>
          </cell>
          <cell r="B951" t="str">
            <v>PISO DE CEMENTO FROTACHADO BRUÑADO</v>
          </cell>
          <cell r="C951" t="str">
            <v>m2</v>
          </cell>
          <cell r="D951">
            <v>274</v>
          </cell>
          <cell r="E951">
            <v>18.29</v>
          </cell>
          <cell r="F951">
            <v>5011.46</v>
          </cell>
          <cell r="G951">
            <v>0</v>
          </cell>
          <cell r="H951">
            <v>0</v>
          </cell>
          <cell r="I951" t="str">
            <v>0.00%</v>
          </cell>
          <cell r="J951">
            <v>0</v>
          </cell>
          <cell r="K951">
            <v>0</v>
          </cell>
          <cell r="L951" t="str">
            <v>0.00%</v>
          </cell>
          <cell r="M951">
            <v>0</v>
          </cell>
          <cell r="N951">
            <v>0</v>
          </cell>
          <cell r="O951" t="str">
            <v>0.00%</v>
          </cell>
          <cell r="P951">
            <v>274</v>
          </cell>
          <cell r="Q951">
            <v>5011.46</v>
          </cell>
          <cell r="R951">
            <v>1</v>
          </cell>
        </row>
        <row r="952">
          <cell r="A952" t="str">
            <v>13.01.03</v>
          </cell>
          <cell r="B952" t="str">
            <v xml:space="preserve">JUNTAS </v>
          </cell>
          <cell r="C952">
            <v>0</v>
          </cell>
          <cell r="D952">
            <v>0</v>
          </cell>
          <cell r="E952">
            <v>0</v>
          </cell>
          <cell r="F952">
            <v>0</v>
          </cell>
          <cell r="G952">
            <v>0</v>
          </cell>
          <cell r="H952">
            <v>0</v>
          </cell>
          <cell r="I952">
            <v>0</v>
          </cell>
          <cell r="J952">
            <v>0</v>
          </cell>
          <cell r="K952">
            <v>0</v>
          </cell>
          <cell r="L952">
            <v>0</v>
          </cell>
          <cell r="M952">
            <v>0</v>
          </cell>
          <cell r="N952">
            <v>0</v>
          </cell>
          <cell r="O952">
            <v>0</v>
          </cell>
          <cell r="P952">
            <v>0</v>
          </cell>
          <cell r="Q952">
            <v>0</v>
          </cell>
          <cell r="R952">
            <v>0</v>
          </cell>
        </row>
        <row r="953">
          <cell r="A953" t="str">
            <v>13.01.03.01</v>
          </cell>
          <cell r="B953" t="str">
            <v xml:space="preserve">JUNTAS ASFALTICAS </v>
          </cell>
          <cell r="C953" t="str">
            <v>m</v>
          </cell>
          <cell r="D953">
            <v>157.6</v>
          </cell>
          <cell r="E953">
            <v>10.09</v>
          </cell>
          <cell r="F953">
            <v>1590.184</v>
          </cell>
          <cell r="G953">
            <v>0</v>
          </cell>
          <cell r="H953">
            <v>0</v>
          </cell>
          <cell r="I953" t="str">
            <v>0.00%</v>
          </cell>
          <cell r="J953">
            <v>0</v>
          </cell>
          <cell r="K953">
            <v>0</v>
          </cell>
          <cell r="L953" t="str">
            <v>0.00%</v>
          </cell>
          <cell r="M953">
            <v>0</v>
          </cell>
          <cell r="N953">
            <v>0</v>
          </cell>
          <cell r="O953" t="str">
            <v>0.00%</v>
          </cell>
          <cell r="P953">
            <v>157.6</v>
          </cell>
          <cell r="Q953">
            <v>1590.184</v>
          </cell>
          <cell r="R953">
            <v>1</v>
          </cell>
        </row>
        <row r="954">
          <cell r="A954" t="str">
            <v>13.01.04</v>
          </cell>
          <cell r="B954" t="str">
            <v>COBERTURA</v>
          </cell>
          <cell r="C954">
            <v>0</v>
          </cell>
          <cell r="D954">
            <v>0</v>
          </cell>
          <cell r="E954">
            <v>0</v>
          </cell>
          <cell r="F954">
            <v>0</v>
          </cell>
          <cell r="G954">
            <v>0</v>
          </cell>
          <cell r="H954">
            <v>0</v>
          </cell>
          <cell r="I954">
            <v>0</v>
          </cell>
          <cell r="J954">
            <v>0</v>
          </cell>
          <cell r="K954">
            <v>0</v>
          </cell>
          <cell r="L954">
            <v>0</v>
          </cell>
          <cell r="M954">
            <v>0</v>
          </cell>
          <cell r="N954">
            <v>0</v>
          </cell>
          <cell r="O954">
            <v>0</v>
          </cell>
          <cell r="P954">
            <v>0</v>
          </cell>
          <cell r="Q954">
            <v>0</v>
          </cell>
          <cell r="R954">
            <v>0</v>
          </cell>
        </row>
        <row r="955">
          <cell r="A955" t="str">
            <v>13.01.04.01</v>
          </cell>
          <cell r="B955" t="str">
            <v>COBERTURA DE POLICARBONATO ALVEOLAR TRASLUCIDO DE 6 MM.</v>
          </cell>
          <cell r="C955" t="str">
            <v>m2</v>
          </cell>
          <cell r="D955">
            <v>245.86</v>
          </cell>
          <cell r="E955">
            <v>63.81</v>
          </cell>
          <cell r="F955">
            <v>15688.326600000002</v>
          </cell>
          <cell r="G955">
            <v>0</v>
          </cell>
          <cell r="H955">
            <v>0</v>
          </cell>
          <cell r="I955" t="str">
            <v>0.00%</v>
          </cell>
          <cell r="J955">
            <v>0</v>
          </cell>
          <cell r="K955">
            <v>0</v>
          </cell>
          <cell r="L955" t="str">
            <v>0.00%</v>
          </cell>
          <cell r="M955">
            <v>0</v>
          </cell>
          <cell r="N955">
            <v>0</v>
          </cell>
          <cell r="O955" t="str">
            <v>0.00%</v>
          </cell>
          <cell r="P955">
            <v>245.86</v>
          </cell>
          <cell r="Q955">
            <v>15688.326600000002</v>
          </cell>
          <cell r="R955">
            <v>1</v>
          </cell>
        </row>
        <row r="956">
          <cell r="A956" t="str">
            <v>13.01.05</v>
          </cell>
          <cell r="B956" t="str">
            <v>CARPINTERIA METALICA</v>
          </cell>
          <cell r="C956">
            <v>0</v>
          </cell>
          <cell r="D956">
            <v>0</v>
          </cell>
          <cell r="E956">
            <v>0</v>
          </cell>
          <cell r="F956">
            <v>0</v>
          </cell>
          <cell r="G956">
            <v>0</v>
          </cell>
          <cell r="H956">
            <v>0</v>
          </cell>
          <cell r="I956">
            <v>0</v>
          </cell>
          <cell r="J956">
            <v>0</v>
          </cell>
          <cell r="K956">
            <v>0</v>
          </cell>
          <cell r="L956">
            <v>0</v>
          </cell>
          <cell r="M956">
            <v>0</v>
          </cell>
          <cell r="N956">
            <v>0</v>
          </cell>
          <cell r="O956">
            <v>0</v>
          </cell>
          <cell r="P956">
            <v>0</v>
          </cell>
          <cell r="Q956">
            <v>0</v>
          </cell>
          <cell r="R956">
            <v>0</v>
          </cell>
        </row>
        <row r="957">
          <cell r="A957" t="str">
            <v>13.01.05.01</v>
          </cell>
          <cell r="B957" t="str">
            <v>ASTA DE BANDERA TIPICA</v>
          </cell>
          <cell r="C957" t="str">
            <v>und</v>
          </cell>
          <cell r="D957">
            <v>1</v>
          </cell>
          <cell r="E957">
            <v>2252.71</v>
          </cell>
          <cell r="F957">
            <v>2252.71</v>
          </cell>
          <cell r="G957">
            <v>0</v>
          </cell>
          <cell r="H957">
            <v>0</v>
          </cell>
          <cell r="I957" t="str">
            <v>0.00%</v>
          </cell>
          <cell r="J957">
            <v>0</v>
          </cell>
          <cell r="K957">
            <v>0</v>
          </cell>
          <cell r="L957" t="str">
            <v>0.00%</v>
          </cell>
          <cell r="M957">
            <v>0</v>
          </cell>
          <cell r="N957">
            <v>0</v>
          </cell>
          <cell r="O957" t="str">
            <v>0.00%</v>
          </cell>
          <cell r="P957">
            <v>1</v>
          </cell>
          <cell r="Q957">
            <v>2252.71</v>
          </cell>
          <cell r="R957">
            <v>1</v>
          </cell>
        </row>
        <row r="958">
          <cell r="A958" t="str">
            <v>13.01.05.02</v>
          </cell>
          <cell r="B958" t="str">
            <v>BARANDAS METALICAS S/D - TIPO II</v>
          </cell>
          <cell r="C958" t="str">
            <v>m</v>
          </cell>
          <cell r="D958">
            <v>11</v>
          </cell>
          <cell r="E958">
            <v>178.41</v>
          </cell>
          <cell r="F958">
            <v>1962.51</v>
          </cell>
          <cell r="G958">
            <v>0</v>
          </cell>
          <cell r="H958">
            <v>0</v>
          </cell>
          <cell r="I958" t="str">
            <v>0.00%</v>
          </cell>
          <cell r="J958">
            <v>0</v>
          </cell>
          <cell r="K958">
            <v>0</v>
          </cell>
          <cell r="L958" t="str">
            <v>0.00%</v>
          </cell>
          <cell r="M958">
            <v>0</v>
          </cell>
          <cell r="N958">
            <v>0</v>
          </cell>
          <cell r="O958" t="str">
            <v>0.00%</v>
          </cell>
          <cell r="P958">
            <v>11</v>
          </cell>
          <cell r="Q958">
            <v>1962.51</v>
          </cell>
          <cell r="R958">
            <v>1</v>
          </cell>
        </row>
        <row r="959">
          <cell r="A959" t="str">
            <v>13.01.06</v>
          </cell>
          <cell r="B959" t="str">
            <v>PINTURA</v>
          </cell>
          <cell r="C959">
            <v>0</v>
          </cell>
          <cell r="D959">
            <v>0</v>
          </cell>
          <cell r="E959">
            <v>0</v>
          </cell>
          <cell r="F959">
            <v>0</v>
          </cell>
          <cell r="G959">
            <v>0</v>
          </cell>
          <cell r="H959">
            <v>0</v>
          </cell>
          <cell r="I959">
            <v>0</v>
          </cell>
          <cell r="J959">
            <v>0</v>
          </cell>
          <cell r="K959">
            <v>0</v>
          </cell>
          <cell r="L959">
            <v>0</v>
          </cell>
          <cell r="M959">
            <v>0</v>
          </cell>
          <cell r="N959">
            <v>0</v>
          </cell>
          <cell r="O959">
            <v>0</v>
          </cell>
          <cell r="P959">
            <v>0</v>
          </cell>
          <cell r="Q959">
            <v>0</v>
          </cell>
          <cell r="R959">
            <v>0</v>
          </cell>
        </row>
        <row r="960">
          <cell r="A960" t="str">
            <v>13.01.06.01</v>
          </cell>
          <cell r="B960" t="str">
            <v>PINTURA EN TRIBUNA C/ESMALTE</v>
          </cell>
          <cell r="C960" t="str">
            <v>m2</v>
          </cell>
          <cell r="D960">
            <v>12.98</v>
          </cell>
          <cell r="E960">
            <v>7.16</v>
          </cell>
          <cell r="F960">
            <v>92.936800000000005</v>
          </cell>
          <cell r="G960">
            <v>0</v>
          </cell>
          <cell r="H960">
            <v>0</v>
          </cell>
          <cell r="I960" t="str">
            <v>0.00%</v>
          </cell>
          <cell r="J960">
            <v>0</v>
          </cell>
          <cell r="K960">
            <v>0</v>
          </cell>
          <cell r="L960" t="str">
            <v>0.00%</v>
          </cell>
          <cell r="M960">
            <v>0</v>
          </cell>
          <cell r="N960">
            <v>0</v>
          </cell>
          <cell r="O960" t="str">
            <v>0.00%</v>
          </cell>
          <cell r="P960">
            <v>12.98</v>
          </cell>
          <cell r="Q960">
            <v>92.936800000000005</v>
          </cell>
          <cell r="R960">
            <v>1</v>
          </cell>
        </row>
        <row r="961">
          <cell r="A961" t="str">
            <v>13.01.06.02</v>
          </cell>
          <cell r="B961" t="str">
            <v>PINTADO DE LAS MARCAS - LOSA DEPORTIVA</v>
          </cell>
          <cell r="C961" t="str">
            <v>m</v>
          </cell>
          <cell r="D961">
            <v>62.82</v>
          </cell>
          <cell r="E961">
            <v>22.7</v>
          </cell>
          <cell r="F961">
            <v>1426.0139999999999</v>
          </cell>
          <cell r="G961">
            <v>0</v>
          </cell>
          <cell r="H961">
            <v>0</v>
          </cell>
          <cell r="I961" t="str">
            <v>0.00%</v>
          </cell>
          <cell r="J961">
            <v>0</v>
          </cell>
          <cell r="K961">
            <v>0</v>
          </cell>
          <cell r="L961" t="str">
            <v>0.00%</v>
          </cell>
          <cell r="M961">
            <v>0</v>
          </cell>
          <cell r="N961">
            <v>0</v>
          </cell>
          <cell r="O961" t="str">
            <v>0.00%</v>
          </cell>
          <cell r="P961">
            <v>62.82</v>
          </cell>
          <cell r="Q961">
            <v>1426.0139999999999</v>
          </cell>
          <cell r="R961">
            <v>1</v>
          </cell>
        </row>
        <row r="962">
          <cell r="A962" t="str">
            <v>13.02</v>
          </cell>
          <cell r="B962" t="str">
            <v>SARDINELES</v>
          </cell>
          <cell r="C962">
            <v>0</v>
          </cell>
          <cell r="D962">
            <v>0</v>
          </cell>
          <cell r="E962">
            <v>0</v>
          </cell>
          <cell r="F962">
            <v>0</v>
          </cell>
          <cell r="G962">
            <v>0</v>
          </cell>
          <cell r="H962">
            <v>0</v>
          </cell>
          <cell r="I962">
            <v>0</v>
          </cell>
          <cell r="J962">
            <v>0</v>
          </cell>
          <cell r="K962">
            <v>0</v>
          </cell>
          <cell r="L962">
            <v>0</v>
          </cell>
          <cell r="M962">
            <v>0</v>
          </cell>
          <cell r="N962">
            <v>0</v>
          </cell>
          <cell r="O962">
            <v>0</v>
          </cell>
          <cell r="P962">
            <v>0</v>
          </cell>
          <cell r="Q962">
            <v>0</v>
          </cell>
          <cell r="R962">
            <v>0</v>
          </cell>
        </row>
        <row r="963">
          <cell r="A963" t="str">
            <v>13.02.01</v>
          </cell>
          <cell r="B963" t="str">
            <v>REVOQUES ENLUCIDOS Y MOLDURAS</v>
          </cell>
          <cell r="C963">
            <v>0</v>
          </cell>
          <cell r="D963">
            <v>0</v>
          </cell>
          <cell r="E963">
            <v>0</v>
          </cell>
          <cell r="F963">
            <v>0</v>
          </cell>
          <cell r="G963">
            <v>0</v>
          </cell>
          <cell r="H963">
            <v>0</v>
          </cell>
          <cell r="I963">
            <v>0</v>
          </cell>
          <cell r="J963">
            <v>0</v>
          </cell>
          <cell r="K963">
            <v>0</v>
          </cell>
          <cell r="L963">
            <v>0</v>
          </cell>
          <cell r="M963">
            <v>0</v>
          </cell>
          <cell r="N963">
            <v>0</v>
          </cell>
          <cell r="O963">
            <v>0</v>
          </cell>
          <cell r="P963">
            <v>0</v>
          </cell>
          <cell r="Q963">
            <v>0</v>
          </cell>
          <cell r="R963">
            <v>0</v>
          </cell>
        </row>
        <row r="964">
          <cell r="A964" t="str">
            <v>13.02.01.01</v>
          </cell>
          <cell r="B964" t="str">
            <v>TARRAJEO EN SARDINELES MEZCLA 1:5 CEMENTO:ARENA</v>
          </cell>
          <cell r="C964" t="str">
            <v>m2</v>
          </cell>
          <cell r="D964">
            <v>119.06</v>
          </cell>
          <cell r="E964">
            <v>30.23</v>
          </cell>
          <cell r="F964">
            <v>3599.1838000000002</v>
          </cell>
          <cell r="G964">
            <v>0</v>
          </cell>
          <cell r="H964">
            <v>0</v>
          </cell>
          <cell r="I964" t="str">
            <v>0.00%</v>
          </cell>
          <cell r="J964">
            <v>0</v>
          </cell>
          <cell r="K964">
            <v>0</v>
          </cell>
          <cell r="L964" t="str">
            <v>0.00%</v>
          </cell>
          <cell r="M964">
            <v>0</v>
          </cell>
          <cell r="N964">
            <v>0</v>
          </cell>
          <cell r="O964" t="str">
            <v>0.00%</v>
          </cell>
          <cell r="P964">
            <v>119.06</v>
          </cell>
          <cell r="Q964">
            <v>3599.1838000000002</v>
          </cell>
          <cell r="R964">
            <v>1</v>
          </cell>
        </row>
        <row r="965">
          <cell r="A965" t="str">
            <v>13.02.02</v>
          </cell>
          <cell r="B965" t="str">
            <v>PINTURA</v>
          </cell>
          <cell r="C965">
            <v>0</v>
          </cell>
          <cell r="D965">
            <v>0</v>
          </cell>
          <cell r="E965">
            <v>0</v>
          </cell>
          <cell r="F965">
            <v>0</v>
          </cell>
          <cell r="G965">
            <v>0</v>
          </cell>
          <cell r="H965">
            <v>0</v>
          </cell>
          <cell r="I965">
            <v>0</v>
          </cell>
          <cell r="J965">
            <v>0</v>
          </cell>
          <cell r="K965">
            <v>0</v>
          </cell>
          <cell r="L965">
            <v>0</v>
          </cell>
          <cell r="M965">
            <v>0</v>
          </cell>
          <cell r="N965">
            <v>0</v>
          </cell>
          <cell r="O965">
            <v>0</v>
          </cell>
          <cell r="P965">
            <v>0</v>
          </cell>
          <cell r="Q965">
            <v>0</v>
          </cell>
          <cell r="R965">
            <v>0</v>
          </cell>
        </row>
        <row r="966">
          <cell r="A966" t="str">
            <v>13.02.02.01</v>
          </cell>
          <cell r="B966" t="str">
            <v>PINTURA EN SARDINELES</v>
          </cell>
          <cell r="C966" t="str">
            <v>m2</v>
          </cell>
          <cell r="D966">
            <v>54.6</v>
          </cell>
          <cell r="E966">
            <v>9.07</v>
          </cell>
          <cell r="F966">
            <v>495.22200000000004</v>
          </cell>
          <cell r="G966">
            <v>0</v>
          </cell>
          <cell r="H966">
            <v>0</v>
          </cell>
          <cell r="I966" t="str">
            <v>0.00%</v>
          </cell>
          <cell r="J966">
            <v>0</v>
          </cell>
          <cell r="K966">
            <v>0</v>
          </cell>
          <cell r="L966" t="str">
            <v>0.00%</v>
          </cell>
          <cell r="M966">
            <v>0</v>
          </cell>
          <cell r="N966">
            <v>0</v>
          </cell>
          <cell r="O966" t="str">
            <v>0.00%</v>
          </cell>
          <cell r="P966">
            <v>54.6</v>
          </cell>
          <cell r="Q966">
            <v>495.22200000000004</v>
          </cell>
          <cell r="R966">
            <v>1</v>
          </cell>
        </row>
        <row r="967">
          <cell r="A967" t="str">
            <v>13.03</v>
          </cell>
          <cell r="B967" t="str">
            <v>RAMPA</v>
          </cell>
          <cell r="C967">
            <v>0</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row>
        <row r="968">
          <cell r="A968" t="str">
            <v>13.03.01</v>
          </cell>
          <cell r="B968" t="str">
            <v>REVOQUES ENLUCIDOS Y MOLDURAS</v>
          </cell>
          <cell r="C968">
            <v>0</v>
          </cell>
          <cell r="D968">
            <v>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row>
        <row r="969">
          <cell r="A969" t="str">
            <v>13.03.01.01</v>
          </cell>
          <cell r="B969" t="str">
            <v>TARRAJEO EN PARAPETO MEZCLA 1:5 CEMENTO:ARENA</v>
          </cell>
          <cell r="C969" t="str">
            <v>m2</v>
          </cell>
          <cell r="D969">
            <v>15.4</v>
          </cell>
          <cell r="E969">
            <v>30.23</v>
          </cell>
          <cell r="F969">
            <v>465.54200000000003</v>
          </cell>
          <cell r="G969">
            <v>0</v>
          </cell>
          <cell r="H969">
            <v>0</v>
          </cell>
          <cell r="I969" t="str">
            <v>0.00%</v>
          </cell>
          <cell r="J969">
            <v>0</v>
          </cell>
          <cell r="K969">
            <v>0</v>
          </cell>
          <cell r="L969" t="str">
            <v>0.00%</v>
          </cell>
          <cell r="M969">
            <v>0</v>
          </cell>
          <cell r="N969">
            <v>0</v>
          </cell>
          <cell r="O969" t="str">
            <v>0.00%</v>
          </cell>
          <cell r="P969">
            <v>15.4</v>
          </cell>
          <cell r="Q969">
            <v>465.54200000000003</v>
          </cell>
          <cell r="R969">
            <v>1</v>
          </cell>
        </row>
        <row r="970">
          <cell r="A970" t="str">
            <v>13.03.02</v>
          </cell>
          <cell r="B970" t="str">
            <v>PISOS Y PAVIMENTOS</v>
          </cell>
          <cell r="C970">
            <v>0</v>
          </cell>
          <cell r="D970">
            <v>0</v>
          </cell>
          <cell r="E970">
            <v>0</v>
          </cell>
          <cell r="F970">
            <v>0</v>
          </cell>
          <cell r="G970">
            <v>0</v>
          </cell>
          <cell r="H970">
            <v>0</v>
          </cell>
          <cell r="I970">
            <v>0</v>
          </cell>
          <cell r="J970">
            <v>0</v>
          </cell>
          <cell r="K970">
            <v>0</v>
          </cell>
          <cell r="L970">
            <v>0</v>
          </cell>
          <cell r="M970">
            <v>0</v>
          </cell>
          <cell r="N970">
            <v>0</v>
          </cell>
          <cell r="O970">
            <v>0</v>
          </cell>
          <cell r="P970">
            <v>0</v>
          </cell>
          <cell r="Q970">
            <v>0</v>
          </cell>
          <cell r="R970">
            <v>0</v>
          </cell>
        </row>
        <row r="971">
          <cell r="A971" t="str">
            <v>13.03.02.01</v>
          </cell>
          <cell r="B971" t="str">
            <v>PISO DE CEMENTO FROTACHADO BRUÑADO</v>
          </cell>
          <cell r="C971" t="str">
            <v>m2</v>
          </cell>
          <cell r="D971">
            <v>48.75</v>
          </cell>
          <cell r="E971">
            <v>18.29</v>
          </cell>
          <cell r="F971">
            <v>891.63749999999993</v>
          </cell>
          <cell r="G971">
            <v>0</v>
          </cell>
          <cell r="H971">
            <v>0</v>
          </cell>
          <cell r="I971" t="str">
            <v>0.00%</v>
          </cell>
          <cell r="J971">
            <v>0</v>
          </cell>
          <cell r="K971">
            <v>0</v>
          </cell>
          <cell r="L971" t="str">
            <v>0.00%</v>
          </cell>
          <cell r="M971">
            <v>0</v>
          </cell>
          <cell r="N971">
            <v>0</v>
          </cell>
          <cell r="O971" t="str">
            <v>0.00%</v>
          </cell>
          <cell r="P971">
            <v>48.75</v>
          </cell>
          <cell r="Q971">
            <v>891.63749999999993</v>
          </cell>
          <cell r="R971">
            <v>1</v>
          </cell>
        </row>
        <row r="972">
          <cell r="A972" t="str">
            <v>13.03.03</v>
          </cell>
          <cell r="B972" t="str">
            <v xml:space="preserve">JUNTAS </v>
          </cell>
          <cell r="C972">
            <v>0</v>
          </cell>
          <cell r="D972">
            <v>0</v>
          </cell>
          <cell r="E972">
            <v>0</v>
          </cell>
          <cell r="F972">
            <v>0</v>
          </cell>
          <cell r="G972">
            <v>0</v>
          </cell>
          <cell r="H972">
            <v>0</v>
          </cell>
          <cell r="I972">
            <v>0</v>
          </cell>
          <cell r="J972">
            <v>0</v>
          </cell>
          <cell r="K972">
            <v>0</v>
          </cell>
          <cell r="L972">
            <v>0</v>
          </cell>
          <cell r="M972">
            <v>0</v>
          </cell>
          <cell r="N972">
            <v>0</v>
          </cell>
          <cell r="O972">
            <v>0</v>
          </cell>
          <cell r="P972">
            <v>0</v>
          </cell>
          <cell r="Q972">
            <v>0</v>
          </cell>
          <cell r="R972">
            <v>0</v>
          </cell>
        </row>
        <row r="973">
          <cell r="A973" t="str">
            <v>13.03.03.01</v>
          </cell>
          <cell r="B973" t="str">
            <v xml:space="preserve">JUNTAS ASFALTICAS </v>
          </cell>
          <cell r="C973" t="str">
            <v>m</v>
          </cell>
          <cell r="D973">
            <v>19.5</v>
          </cell>
          <cell r="E973">
            <v>10.09</v>
          </cell>
          <cell r="F973">
            <v>196.755</v>
          </cell>
          <cell r="G973">
            <v>0</v>
          </cell>
          <cell r="H973">
            <v>0</v>
          </cell>
          <cell r="I973" t="str">
            <v>0.00%</v>
          </cell>
          <cell r="J973">
            <v>0</v>
          </cell>
          <cell r="K973">
            <v>0</v>
          </cell>
          <cell r="L973" t="str">
            <v>0.00%</v>
          </cell>
          <cell r="M973">
            <v>0</v>
          </cell>
          <cell r="N973">
            <v>0</v>
          </cell>
          <cell r="O973" t="str">
            <v>0.00%</v>
          </cell>
          <cell r="P973">
            <v>19.5</v>
          </cell>
          <cell r="Q973">
            <v>196.755</v>
          </cell>
          <cell r="R973">
            <v>1</v>
          </cell>
        </row>
        <row r="974">
          <cell r="A974" t="str">
            <v>13.03.04</v>
          </cell>
          <cell r="B974" t="str">
            <v>CARPINTERIA METALICA</v>
          </cell>
          <cell r="C974">
            <v>0</v>
          </cell>
          <cell r="D974">
            <v>0</v>
          </cell>
          <cell r="E974">
            <v>0</v>
          </cell>
          <cell r="F974">
            <v>0</v>
          </cell>
          <cell r="G974">
            <v>0</v>
          </cell>
          <cell r="H974">
            <v>0</v>
          </cell>
          <cell r="I974">
            <v>0</v>
          </cell>
          <cell r="J974">
            <v>0</v>
          </cell>
          <cell r="K974">
            <v>0</v>
          </cell>
          <cell r="L974">
            <v>0</v>
          </cell>
          <cell r="M974">
            <v>0</v>
          </cell>
          <cell r="N974">
            <v>0</v>
          </cell>
          <cell r="O974">
            <v>0</v>
          </cell>
          <cell r="P974">
            <v>0</v>
          </cell>
          <cell r="Q974">
            <v>0</v>
          </cell>
          <cell r="R974">
            <v>0</v>
          </cell>
        </row>
        <row r="975">
          <cell r="A975" t="str">
            <v>13.03.04.01</v>
          </cell>
          <cell r="B975" t="str">
            <v>BARANDAS METALICAS S/D - TIPO II</v>
          </cell>
          <cell r="C975" t="str">
            <v>m</v>
          </cell>
          <cell r="D975">
            <v>32.5</v>
          </cell>
          <cell r="E975">
            <v>178.41</v>
          </cell>
          <cell r="F975">
            <v>5798.3249999999998</v>
          </cell>
          <cell r="G975">
            <v>0</v>
          </cell>
          <cell r="H975">
            <v>0</v>
          </cell>
          <cell r="I975" t="str">
            <v>0.00%</v>
          </cell>
          <cell r="J975">
            <v>0</v>
          </cell>
          <cell r="K975">
            <v>0</v>
          </cell>
          <cell r="L975" t="str">
            <v>0.00%</v>
          </cell>
          <cell r="M975">
            <v>0</v>
          </cell>
          <cell r="N975">
            <v>0</v>
          </cell>
          <cell r="O975" t="str">
            <v>0.00%</v>
          </cell>
          <cell r="P975">
            <v>32.5</v>
          </cell>
          <cell r="Q975">
            <v>5798.3249999999998</v>
          </cell>
          <cell r="R975">
            <v>1</v>
          </cell>
        </row>
        <row r="976">
          <cell r="A976" t="str">
            <v>13.03.05</v>
          </cell>
          <cell r="B976" t="str">
            <v>PINTURA</v>
          </cell>
          <cell r="C976">
            <v>0</v>
          </cell>
          <cell r="D976">
            <v>0</v>
          </cell>
          <cell r="E976">
            <v>0</v>
          </cell>
          <cell r="F976">
            <v>0</v>
          </cell>
          <cell r="G976">
            <v>0</v>
          </cell>
          <cell r="H976">
            <v>0</v>
          </cell>
          <cell r="I976">
            <v>0</v>
          </cell>
          <cell r="J976">
            <v>0</v>
          </cell>
          <cell r="K976">
            <v>0</v>
          </cell>
          <cell r="L976">
            <v>0</v>
          </cell>
          <cell r="M976">
            <v>0</v>
          </cell>
          <cell r="N976">
            <v>0</v>
          </cell>
          <cell r="O976">
            <v>0</v>
          </cell>
          <cell r="P976">
            <v>0</v>
          </cell>
          <cell r="Q976">
            <v>0</v>
          </cell>
          <cell r="R976">
            <v>0</v>
          </cell>
        </row>
        <row r="977">
          <cell r="A977" t="str">
            <v>13.03.05.01</v>
          </cell>
          <cell r="B977" t="str">
            <v>PINTURA EN SARDINELES</v>
          </cell>
          <cell r="C977" t="str">
            <v>m2</v>
          </cell>
          <cell r="D977">
            <v>15.4</v>
          </cell>
          <cell r="E977">
            <v>9.07</v>
          </cell>
          <cell r="F977">
            <v>139.678</v>
          </cell>
          <cell r="G977">
            <v>0</v>
          </cell>
          <cell r="H977">
            <v>0</v>
          </cell>
          <cell r="I977" t="str">
            <v>0.00%</v>
          </cell>
          <cell r="J977">
            <v>0</v>
          </cell>
          <cell r="K977">
            <v>0</v>
          </cell>
          <cell r="L977" t="str">
            <v>0.00%</v>
          </cell>
          <cell r="M977">
            <v>0</v>
          </cell>
          <cell r="N977">
            <v>0</v>
          </cell>
          <cell r="O977" t="str">
            <v>0.00%</v>
          </cell>
          <cell r="P977">
            <v>15.4</v>
          </cell>
          <cell r="Q977">
            <v>139.678</v>
          </cell>
          <cell r="R977">
            <v>1</v>
          </cell>
        </row>
        <row r="978">
          <cell r="A978" t="str">
            <v>13.03.05.02</v>
          </cell>
          <cell r="B978" t="str">
            <v>PINTURA EN BARANDAS METALICAS</v>
          </cell>
          <cell r="C978" t="str">
            <v>m</v>
          </cell>
          <cell r="D978">
            <v>32.5</v>
          </cell>
          <cell r="E978">
            <v>9.49</v>
          </cell>
          <cell r="F978">
            <v>308.42500000000001</v>
          </cell>
          <cell r="G978">
            <v>0</v>
          </cell>
          <cell r="H978">
            <v>0</v>
          </cell>
          <cell r="I978" t="str">
            <v>0.00%</v>
          </cell>
          <cell r="J978">
            <v>0</v>
          </cell>
          <cell r="K978">
            <v>0</v>
          </cell>
          <cell r="L978" t="str">
            <v>0.00%</v>
          </cell>
          <cell r="M978">
            <v>0</v>
          </cell>
          <cell r="N978">
            <v>0</v>
          </cell>
          <cell r="O978" t="str">
            <v>0.00%</v>
          </cell>
          <cell r="P978">
            <v>32.5</v>
          </cell>
          <cell r="Q978">
            <v>308.42500000000001</v>
          </cell>
          <cell r="R978">
            <v>1</v>
          </cell>
        </row>
        <row r="979">
          <cell r="A979" t="str">
            <v>13.04</v>
          </cell>
          <cell r="B979" t="str">
            <v>GRADERIA</v>
          </cell>
          <cell r="C979">
            <v>0</v>
          </cell>
          <cell r="D979">
            <v>0</v>
          </cell>
          <cell r="E979">
            <v>0</v>
          </cell>
          <cell r="F979">
            <v>0</v>
          </cell>
          <cell r="G979">
            <v>0</v>
          </cell>
          <cell r="H979">
            <v>0</v>
          </cell>
          <cell r="I979">
            <v>0</v>
          </cell>
          <cell r="J979">
            <v>0</v>
          </cell>
          <cell r="K979">
            <v>0</v>
          </cell>
          <cell r="L979">
            <v>0</v>
          </cell>
          <cell r="M979">
            <v>0</v>
          </cell>
          <cell r="N979">
            <v>0</v>
          </cell>
          <cell r="O979">
            <v>0</v>
          </cell>
          <cell r="P979">
            <v>0</v>
          </cell>
          <cell r="Q979">
            <v>0</v>
          </cell>
          <cell r="R979">
            <v>0</v>
          </cell>
        </row>
        <row r="980">
          <cell r="A980" t="str">
            <v>13.04.01</v>
          </cell>
          <cell r="B980" t="str">
            <v>REVOQUES ENLUCIDOS Y MOLDURAS</v>
          </cell>
          <cell r="C980">
            <v>0</v>
          </cell>
          <cell r="D980">
            <v>0</v>
          </cell>
          <cell r="E980">
            <v>0</v>
          </cell>
          <cell r="F980">
            <v>0</v>
          </cell>
          <cell r="G980">
            <v>0</v>
          </cell>
          <cell r="H980">
            <v>0</v>
          </cell>
          <cell r="I980">
            <v>0</v>
          </cell>
          <cell r="J980">
            <v>0</v>
          </cell>
          <cell r="K980">
            <v>0</v>
          </cell>
          <cell r="L980">
            <v>0</v>
          </cell>
          <cell r="M980">
            <v>0</v>
          </cell>
          <cell r="N980">
            <v>0</v>
          </cell>
          <cell r="O980">
            <v>0</v>
          </cell>
          <cell r="P980">
            <v>0</v>
          </cell>
          <cell r="Q980">
            <v>0</v>
          </cell>
          <cell r="R980">
            <v>0</v>
          </cell>
        </row>
        <row r="981">
          <cell r="A981" t="str">
            <v>13.04.01.01</v>
          </cell>
          <cell r="B981" t="str">
            <v>REVESTIMIENTO EN GRADAS</v>
          </cell>
          <cell r="C981" t="str">
            <v>m2</v>
          </cell>
          <cell r="D981">
            <v>17.59</v>
          </cell>
          <cell r="E981">
            <v>96.11</v>
          </cell>
          <cell r="F981">
            <v>1690.5749000000001</v>
          </cell>
          <cell r="G981">
            <v>0</v>
          </cell>
          <cell r="H981">
            <v>0</v>
          </cell>
          <cell r="I981" t="str">
            <v>0.00%</v>
          </cell>
          <cell r="J981">
            <v>0</v>
          </cell>
          <cell r="K981">
            <v>0</v>
          </cell>
          <cell r="L981" t="str">
            <v>0.00%</v>
          </cell>
          <cell r="M981">
            <v>0</v>
          </cell>
          <cell r="N981">
            <v>0</v>
          </cell>
          <cell r="O981" t="str">
            <v>0.00%</v>
          </cell>
          <cell r="P981">
            <v>17.59</v>
          </cell>
          <cell r="Q981">
            <v>1690.5749000000001</v>
          </cell>
          <cell r="R981">
            <v>1</v>
          </cell>
        </row>
        <row r="982">
          <cell r="A982" t="str">
            <v>13.04.02</v>
          </cell>
          <cell r="B982" t="str">
            <v>PISOS Y PAVIMENTOS</v>
          </cell>
          <cell r="C982">
            <v>0</v>
          </cell>
          <cell r="D982">
            <v>0</v>
          </cell>
          <cell r="E982">
            <v>0</v>
          </cell>
          <cell r="F982">
            <v>0</v>
          </cell>
          <cell r="G982">
            <v>0</v>
          </cell>
          <cell r="H982">
            <v>0</v>
          </cell>
          <cell r="I982">
            <v>0</v>
          </cell>
          <cell r="J982">
            <v>0</v>
          </cell>
          <cell r="K982">
            <v>0</v>
          </cell>
          <cell r="L982">
            <v>0</v>
          </cell>
          <cell r="M982">
            <v>0</v>
          </cell>
          <cell r="N982">
            <v>0</v>
          </cell>
          <cell r="O982">
            <v>0</v>
          </cell>
          <cell r="P982">
            <v>0</v>
          </cell>
          <cell r="Q982">
            <v>0</v>
          </cell>
          <cell r="R982">
            <v>0</v>
          </cell>
        </row>
        <row r="983">
          <cell r="A983" t="str">
            <v>13.04.02.01</v>
          </cell>
          <cell r="B983" t="str">
            <v>PISO DE CEMENTO FROTACHADO BRUÑADO</v>
          </cell>
          <cell r="C983" t="str">
            <v>m2</v>
          </cell>
          <cell r="D983">
            <v>10.69</v>
          </cell>
          <cell r="E983">
            <v>18.29</v>
          </cell>
          <cell r="F983">
            <v>195.52009999999999</v>
          </cell>
          <cell r="G983">
            <v>0</v>
          </cell>
          <cell r="H983">
            <v>0</v>
          </cell>
          <cell r="I983" t="str">
            <v>0.00%</v>
          </cell>
          <cell r="J983">
            <v>0</v>
          </cell>
          <cell r="K983">
            <v>0</v>
          </cell>
          <cell r="L983" t="str">
            <v>0.00%</v>
          </cell>
          <cell r="M983">
            <v>0</v>
          </cell>
          <cell r="N983">
            <v>0</v>
          </cell>
          <cell r="O983" t="str">
            <v>0.00%</v>
          </cell>
          <cell r="P983">
            <v>10.69</v>
          </cell>
          <cell r="Q983">
            <v>195.52009999999999</v>
          </cell>
          <cell r="R983">
            <v>1</v>
          </cell>
        </row>
        <row r="984">
          <cell r="A984" t="str">
            <v>13.04.03</v>
          </cell>
          <cell r="B984" t="str">
            <v xml:space="preserve">JUNTAS </v>
          </cell>
          <cell r="C984">
            <v>0</v>
          </cell>
          <cell r="D984">
            <v>0</v>
          </cell>
          <cell r="E984">
            <v>0</v>
          </cell>
          <cell r="F984">
            <v>0</v>
          </cell>
          <cell r="G984">
            <v>0</v>
          </cell>
          <cell r="H984">
            <v>0</v>
          </cell>
          <cell r="I984">
            <v>0</v>
          </cell>
          <cell r="J984">
            <v>0</v>
          </cell>
          <cell r="K984">
            <v>0</v>
          </cell>
          <cell r="L984">
            <v>0</v>
          </cell>
          <cell r="M984">
            <v>0</v>
          </cell>
          <cell r="N984">
            <v>0</v>
          </cell>
          <cell r="O984">
            <v>0</v>
          </cell>
          <cell r="P984">
            <v>0</v>
          </cell>
          <cell r="Q984">
            <v>0</v>
          </cell>
          <cell r="R984">
            <v>0</v>
          </cell>
        </row>
        <row r="985">
          <cell r="A985" t="str">
            <v>13.04.03.01</v>
          </cell>
          <cell r="B985" t="str">
            <v xml:space="preserve">JUNTAS ASFALTICAS </v>
          </cell>
          <cell r="C985" t="str">
            <v>m</v>
          </cell>
          <cell r="D985">
            <v>37.200000000000003</v>
          </cell>
          <cell r="E985">
            <v>10.09</v>
          </cell>
          <cell r="F985">
            <v>375.34800000000001</v>
          </cell>
          <cell r="G985">
            <v>0</v>
          </cell>
          <cell r="H985">
            <v>0</v>
          </cell>
          <cell r="I985" t="str">
            <v>0.00%</v>
          </cell>
          <cell r="J985">
            <v>0</v>
          </cell>
          <cell r="K985">
            <v>0</v>
          </cell>
          <cell r="L985" t="str">
            <v>0.00%</v>
          </cell>
          <cell r="M985">
            <v>0</v>
          </cell>
          <cell r="N985">
            <v>0</v>
          </cell>
          <cell r="O985" t="str">
            <v>0.00%</v>
          </cell>
          <cell r="P985">
            <v>37.200000000000003</v>
          </cell>
          <cell r="Q985">
            <v>375.34800000000001</v>
          </cell>
          <cell r="R985">
            <v>1</v>
          </cell>
        </row>
        <row r="986">
          <cell r="A986" t="str">
            <v>13.04.04</v>
          </cell>
          <cell r="B986" t="str">
            <v>CARPINTERIA METALICA</v>
          </cell>
          <cell r="C986">
            <v>0</v>
          </cell>
          <cell r="D986">
            <v>0</v>
          </cell>
          <cell r="E986">
            <v>0</v>
          </cell>
          <cell r="F986">
            <v>0</v>
          </cell>
          <cell r="G986">
            <v>0</v>
          </cell>
          <cell r="H986">
            <v>0</v>
          </cell>
          <cell r="I986">
            <v>0</v>
          </cell>
          <cell r="J986">
            <v>0</v>
          </cell>
          <cell r="K986">
            <v>0</v>
          </cell>
          <cell r="L986">
            <v>0</v>
          </cell>
          <cell r="M986">
            <v>0</v>
          </cell>
          <cell r="N986">
            <v>0</v>
          </cell>
          <cell r="O986">
            <v>0</v>
          </cell>
          <cell r="P986">
            <v>0</v>
          </cell>
          <cell r="Q986">
            <v>0</v>
          </cell>
          <cell r="R986">
            <v>0</v>
          </cell>
        </row>
        <row r="987">
          <cell r="A987" t="str">
            <v>13.04.04.01</v>
          </cell>
          <cell r="B987" t="str">
            <v>BARANDAS METALICAS S/D - TIPO II</v>
          </cell>
          <cell r="C987" t="str">
            <v>m</v>
          </cell>
          <cell r="D987">
            <v>4.2</v>
          </cell>
          <cell r="E987">
            <v>178.41</v>
          </cell>
          <cell r="F987">
            <v>749.322</v>
          </cell>
          <cell r="G987">
            <v>0</v>
          </cell>
          <cell r="H987">
            <v>0</v>
          </cell>
          <cell r="I987" t="str">
            <v>0.00%</v>
          </cell>
          <cell r="J987">
            <v>0</v>
          </cell>
          <cell r="K987">
            <v>0</v>
          </cell>
          <cell r="L987" t="str">
            <v>0.00%</v>
          </cell>
          <cell r="M987">
            <v>0</v>
          </cell>
          <cell r="N987">
            <v>0</v>
          </cell>
          <cell r="O987" t="str">
            <v>0.00%</v>
          </cell>
          <cell r="P987">
            <v>4.2</v>
          </cell>
          <cell r="Q987">
            <v>749.322</v>
          </cell>
          <cell r="R987">
            <v>1</v>
          </cell>
        </row>
        <row r="988">
          <cell r="A988" t="str">
            <v>13.04.05</v>
          </cell>
          <cell r="B988" t="str">
            <v>PINTURA</v>
          </cell>
          <cell r="C988">
            <v>0</v>
          </cell>
          <cell r="D988">
            <v>0</v>
          </cell>
          <cell r="E988">
            <v>0</v>
          </cell>
          <cell r="F988">
            <v>0</v>
          </cell>
          <cell r="G988">
            <v>0</v>
          </cell>
          <cell r="H988">
            <v>0</v>
          </cell>
          <cell r="I988">
            <v>0</v>
          </cell>
          <cell r="J988">
            <v>0</v>
          </cell>
          <cell r="K988">
            <v>0</v>
          </cell>
          <cell r="L988">
            <v>0</v>
          </cell>
          <cell r="M988">
            <v>0</v>
          </cell>
          <cell r="N988">
            <v>0</v>
          </cell>
          <cell r="O988">
            <v>0</v>
          </cell>
          <cell r="P988">
            <v>0</v>
          </cell>
          <cell r="Q988">
            <v>0</v>
          </cell>
          <cell r="R988">
            <v>0</v>
          </cell>
        </row>
        <row r="989">
          <cell r="A989" t="str">
            <v>13.04.05.01</v>
          </cell>
          <cell r="B989" t="str">
            <v>PINTURA EN BARANDAS METALICAS</v>
          </cell>
          <cell r="C989" t="str">
            <v>m</v>
          </cell>
          <cell r="D989">
            <v>4.2</v>
          </cell>
          <cell r="E989">
            <v>9.49</v>
          </cell>
          <cell r="F989">
            <v>39.858000000000004</v>
          </cell>
          <cell r="G989">
            <v>0</v>
          </cell>
          <cell r="H989">
            <v>0</v>
          </cell>
          <cell r="I989" t="str">
            <v>0.00%</v>
          </cell>
          <cell r="J989">
            <v>0</v>
          </cell>
          <cell r="K989">
            <v>0</v>
          </cell>
          <cell r="L989" t="str">
            <v>0.00%</v>
          </cell>
          <cell r="M989">
            <v>0</v>
          </cell>
          <cell r="N989">
            <v>0</v>
          </cell>
          <cell r="O989" t="str">
            <v>0.00%</v>
          </cell>
          <cell r="P989">
            <v>4.2</v>
          </cell>
          <cell r="Q989">
            <v>39.858000000000004</v>
          </cell>
          <cell r="R989">
            <v>1</v>
          </cell>
        </row>
        <row r="990">
          <cell r="A990" t="str">
            <v>13.05</v>
          </cell>
          <cell r="B990" t="str">
            <v>ACCESO DE CIRCULACION</v>
          </cell>
          <cell r="C990">
            <v>0</v>
          </cell>
          <cell r="D990">
            <v>0</v>
          </cell>
          <cell r="E990">
            <v>0</v>
          </cell>
          <cell r="F990">
            <v>0</v>
          </cell>
          <cell r="G990">
            <v>0</v>
          </cell>
          <cell r="H990">
            <v>0</v>
          </cell>
          <cell r="I990">
            <v>0</v>
          </cell>
          <cell r="J990">
            <v>0</v>
          </cell>
          <cell r="K990">
            <v>0</v>
          </cell>
          <cell r="L990">
            <v>0</v>
          </cell>
          <cell r="M990">
            <v>0</v>
          </cell>
          <cell r="N990">
            <v>0</v>
          </cell>
          <cell r="O990">
            <v>0</v>
          </cell>
          <cell r="P990">
            <v>0</v>
          </cell>
          <cell r="Q990">
            <v>0</v>
          </cell>
          <cell r="R990">
            <v>0</v>
          </cell>
        </row>
        <row r="991">
          <cell r="A991" t="str">
            <v>13.05.01</v>
          </cell>
          <cell r="B991" t="str">
            <v>PISOS Y PAVIMENTOS</v>
          </cell>
          <cell r="C991">
            <v>0</v>
          </cell>
          <cell r="D991">
            <v>0</v>
          </cell>
          <cell r="E991">
            <v>0</v>
          </cell>
          <cell r="F991">
            <v>0</v>
          </cell>
          <cell r="G991">
            <v>0</v>
          </cell>
          <cell r="H991">
            <v>0</v>
          </cell>
          <cell r="I991">
            <v>0</v>
          </cell>
          <cell r="J991">
            <v>0</v>
          </cell>
          <cell r="K991">
            <v>0</v>
          </cell>
          <cell r="L991">
            <v>0</v>
          </cell>
          <cell r="M991">
            <v>0</v>
          </cell>
          <cell r="N991">
            <v>0</v>
          </cell>
          <cell r="O991">
            <v>0</v>
          </cell>
          <cell r="P991">
            <v>0</v>
          </cell>
          <cell r="Q991">
            <v>0</v>
          </cell>
          <cell r="R991">
            <v>0</v>
          </cell>
        </row>
        <row r="992">
          <cell r="A992" t="str">
            <v>13.05.01.01</v>
          </cell>
          <cell r="B992" t="str">
            <v>FALSO PISO DE 4" DE CONCRETO 1:10</v>
          </cell>
          <cell r="C992" t="str">
            <v>m2</v>
          </cell>
          <cell r="D992">
            <v>139.08000000000001</v>
          </cell>
          <cell r="E992">
            <v>34.700000000000003</v>
          </cell>
          <cell r="F992">
            <v>4826.0760000000009</v>
          </cell>
          <cell r="G992">
            <v>0</v>
          </cell>
          <cell r="H992">
            <v>0</v>
          </cell>
          <cell r="I992" t="str">
            <v>0.00%</v>
          </cell>
          <cell r="J992">
            <v>0</v>
          </cell>
          <cell r="K992">
            <v>0</v>
          </cell>
          <cell r="L992" t="str">
            <v>0.00%</v>
          </cell>
          <cell r="M992">
            <v>0</v>
          </cell>
          <cell r="N992">
            <v>0</v>
          </cell>
          <cell r="O992" t="str">
            <v>0.00%</v>
          </cell>
          <cell r="P992">
            <v>139.08000000000001</v>
          </cell>
          <cell r="Q992">
            <v>4826.0760000000009</v>
          </cell>
          <cell r="R992">
            <v>1</v>
          </cell>
        </row>
        <row r="993">
          <cell r="A993" t="str">
            <v>13.05.01.02</v>
          </cell>
          <cell r="B993" t="str">
            <v>PISO DE CEMENTO PULIDO CON PIEDRA LAVADA COLOREADO BRUÑADO</v>
          </cell>
          <cell r="C993" t="str">
            <v>m2</v>
          </cell>
          <cell r="D993">
            <v>66.3</v>
          </cell>
          <cell r="E993">
            <v>45.32</v>
          </cell>
          <cell r="F993">
            <v>3004.7159999999999</v>
          </cell>
          <cell r="G993">
            <v>0</v>
          </cell>
          <cell r="H993">
            <v>0</v>
          </cell>
          <cell r="I993" t="str">
            <v>0.00%</v>
          </cell>
          <cell r="J993">
            <v>0</v>
          </cell>
          <cell r="K993">
            <v>0</v>
          </cell>
          <cell r="L993" t="str">
            <v>0.00%</v>
          </cell>
          <cell r="M993">
            <v>0</v>
          </cell>
          <cell r="N993">
            <v>0</v>
          </cell>
          <cell r="O993" t="str">
            <v>0.00%</v>
          </cell>
          <cell r="P993">
            <v>66.3</v>
          </cell>
          <cell r="Q993">
            <v>3004.7159999999999</v>
          </cell>
          <cell r="R993">
            <v>1</v>
          </cell>
        </row>
        <row r="994">
          <cell r="A994" t="str">
            <v>13.05.01.03</v>
          </cell>
          <cell r="B994" t="str">
            <v>PISO DE CEMENTO PULIDO CON PIEDRA LAVADA S/ COLOREAR  BRUÑADO</v>
          </cell>
          <cell r="C994" t="str">
            <v>m2</v>
          </cell>
          <cell r="D994">
            <v>72.78</v>
          </cell>
          <cell r="E994">
            <v>40</v>
          </cell>
          <cell r="F994">
            <v>2911.2</v>
          </cell>
          <cell r="G994">
            <v>0</v>
          </cell>
          <cell r="H994">
            <v>0</v>
          </cell>
          <cell r="I994" t="str">
            <v>0.00%</v>
          </cell>
          <cell r="J994">
            <v>0</v>
          </cell>
          <cell r="K994">
            <v>0</v>
          </cell>
          <cell r="L994" t="str">
            <v>0.00%</v>
          </cell>
          <cell r="M994">
            <v>0</v>
          </cell>
          <cell r="N994">
            <v>0</v>
          </cell>
          <cell r="O994" t="str">
            <v>0.00%</v>
          </cell>
          <cell r="P994">
            <v>72.78</v>
          </cell>
          <cell r="Q994">
            <v>2911.2</v>
          </cell>
          <cell r="R994">
            <v>1</v>
          </cell>
        </row>
        <row r="995">
          <cell r="A995" t="str">
            <v>13.06</v>
          </cell>
          <cell r="B995" t="str">
            <v>CISTERNA SUBTERRANEA, CASETA DE BOMBEO Y TANQUE ELEVADO</v>
          </cell>
          <cell r="C995">
            <v>0</v>
          </cell>
          <cell r="D995">
            <v>0</v>
          </cell>
          <cell r="E995">
            <v>0</v>
          </cell>
          <cell r="F995">
            <v>0</v>
          </cell>
          <cell r="G995">
            <v>0</v>
          </cell>
          <cell r="H995">
            <v>0</v>
          </cell>
          <cell r="I995">
            <v>0</v>
          </cell>
          <cell r="J995">
            <v>0</v>
          </cell>
          <cell r="K995">
            <v>0</v>
          </cell>
          <cell r="L995">
            <v>0</v>
          </cell>
          <cell r="M995">
            <v>0</v>
          </cell>
          <cell r="N995">
            <v>0</v>
          </cell>
          <cell r="O995">
            <v>0</v>
          </cell>
          <cell r="P995">
            <v>0</v>
          </cell>
          <cell r="Q995">
            <v>0</v>
          </cell>
          <cell r="R995">
            <v>0</v>
          </cell>
        </row>
        <row r="996">
          <cell r="A996" t="str">
            <v>13.06.01</v>
          </cell>
          <cell r="B996" t="str">
            <v>REVOQUES ENLUCIDOS Y MOLDURAS</v>
          </cell>
          <cell r="C996">
            <v>0</v>
          </cell>
          <cell r="D996">
            <v>0</v>
          </cell>
          <cell r="E996">
            <v>0</v>
          </cell>
          <cell r="F996">
            <v>0</v>
          </cell>
          <cell r="G996">
            <v>0</v>
          </cell>
          <cell r="H996">
            <v>0</v>
          </cell>
          <cell r="I996">
            <v>0</v>
          </cell>
          <cell r="J996">
            <v>0</v>
          </cell>
          <cell r="K996">
            <v>0</v>
          </cell>
          <cell r="L996">
            <v>0</v>
          </cell>
          <cell r="M996">
            <v>0</v>
          </cell>
          <cell r="N996">
            <v>0</v>
          </cell>
          <cell r="O996">
            <v>0</v>
          </cell>
          <cell r="P996">
            <v>0</v>
          </cell>
          <cell r="Q996">
            <v>0</v>
          </cell>
          <cell r="R996">
            <v>0</v>
          </cell>
        </row>
        <row r="997">
          <cell r="A997" t="str">
            <v>13.06.01.01</v>
          </cell>
          <cell r="B997" t="str">
            <v>TARRAJEO EN MUROS EXTERIORES MEZCLA 1:5 CEMENTO:ARENA</v>
          </cell>
          <cell r="C997" t="str">
            <v>m2</v>
          </cell>
          <cell r="D997">
            <v>19.88</v>
          </cell>
          <cell r="E997">
            <v>33.57</v>
          </cell>
          <cell r="F997">
            <v>667.37159999999994</v>
          </cell>
          <cell r="G997">
            <v>0</v>
          </cell>
          <cell r="H997">
            <v>0</v>
          </cell>
          <cell r="I997" t="str">
            <v>0.00%</v>
          </cell>
          <cell r="J997">
            <v>0</v>
          </cell>
          <cell r="K997">
            <v>0</v>
          </cell>
          <cell r="L997" t="str">
            <v>0.00%</v>
          </cell>
          <cell r="M997">
            <v>0</v>
          </cell>
          <cell r="N997">
            <v>0</v>
          </cell>
          <cell r="O997" t="str">
            <v>0.00%</v>
          </cell>
          <cell r="P997">
            <v>19.88</v>
          </cell>
          <cell r="Q997">
            <v>667.37159999999994</v>
          </cell>
          <cell r="R997">
            <v>1</v>
          </cell>
        </row>
        <row r="998">
          <cell r="A998" t="str">
            <v>13.06.01.02</v>
          </cell>
          <cell r="B998" t="str">
            <v>TARRAJEO EN MUROS INTERIORES MEZCLA 1:5 CEMENTO:ARENA</v>
          </cell>
          <cell r="C998" t="str">
            <v>m2</v>
          </cell>
          <cell r="D998">
            <v>32.29</v>
          </cell>
          <cell r="E998">
            <v>26.91</v>
          </cell>
          <cell r="F998">
            <v>868.9239</v>
          </cell>
          <cell r="G998">
            <v>0</v>
          </cell>
          <cell r="H998">
            <v>0</v>
          </cell>
          <cell r="I998" t="str">
            <v>0.00%</v>
          </cell>
          <cell r="J998">
            <v>0</v>
          </cell>
          <cell r="K998">
            <v>0</v>
          </cell>
          <cell r="L998" t="str">
            <v>0.00%</v>
          </cell>
          <cell r="M998">
            <v>0</v>
          </cell>
          <cell r="N998">
            <v>0</v>
          </cell>
          <cell r="O998" t="str">
            <v>0.00%</v>
          </cell>
          <cell r="P998">
            <v>32.29</v>
          </cell>
          <cell r="Q998">
            <v>868.9239</v>
          </cell>
          <cell r="R998">
            <v>1</v>
          </cell>
        </row>
        <row r="999">
          <cell r="A999" t="str">
            <v>13.06.01.03</v>
          </cell>
          <cell r="B999" t="str">
            <v>TARRAJEO CON IMPERMEABILIZANTE</v>
          </cell>
          <cell r="C999" t="str">
            <v>m2</v>
          </cell>
          <cell r="D999">
            <v>50.03</v>
          </cell>
          <cell r="E999">
            <v>22.12</v>
          </cell>
          <cell r="F999">
            <v>1106.6636000000001</v>
          </cell>
          <cell r="G999">
            <v>0</v>
          </cell>
          <cell r="H999">
            <v>0</v>
          </cell>
          <cell r="I999" t="str">
            <v>0.00%</v>
          </cell>
          <cell r="J999">
            <v>0</v>
          </cell>
          <cell r="K999">
            <v>0</v>
          </cell>
          <cell r="L999" t="str">
            <v>0.00%</v>
          </cell>
          <cell r="M999">
            <v>0</v>
          </cell>
          <cell r="N999">
            <v>0</v>
          </cell>
          <cell r="O999" t="str">
            <v>0.00%</v>
          </cell>
          <cell r="P999">
            <v>50.03</v>
          </cell>
          <cell r="Q999">
            <v>1106.6636000000001</v>
          </cell>
          <cell r="R999">
            <v>1</v>
          </cell>
        </row>
        <row r="1000">
          <cell r="A1000" t="str">
            <v>13.06.01.04</v>
          </cell>
          <cell r="B1000" t="str">
            <v xml:space="preserve">VESTIDURA DE DERRAMES </v>
          </cell>
          <cell r="C1000" t="str">
            <v>m</v>
          </cell>
          <cell r="D1000">
            <v>4.8</v>
          </cell>
          <cell r="E1000">
            <v>24.82</v>
          </cell>
          <cell r="F1000">
            <v>119.136</v>
          </cell>
          <cell r="G1000">
            <v>0</v>
          </cell>
          <cell r="H1000">
            <v>0</v>
          </cell>
          <cell r="I1000" t="str">
            <v>0.00%</v>
          </cell>
          <cell r="J1000">
            <v>0</v>
          </cell>
          <cell r="K1000">
            <v>0</v>
          </cell>
          <cell r="L1000" t="str">
            <v>0.00%</v>
          </cell>
          <cell r="M1000">
            <v>0</v>
          </cell>
          <cell r="N1000">
            <v>0</v>
          </cell>
          <cell r="O1000" t="str">
            <v>0.00%</v>
          </cell>
          <cell r="P1000">
            <v>4.8</v>
          </cell>
          <cell r="Q1000">
            <v>119.136</v>
          </cell>
          <cell r="R1000">
            <v>1</v>
          </cell>
        </row>
        <row r="1001">
          <cell r="A1001" t="str">
            <v>13.06.02</v>
          </cell>
          <cell r="B1001" t="str">
            <v>CIELORRASOS</v>
          </cell>
          <cell r="C1001">
            <v>0</v>
          </cell>
          <cell r="D1001">
            <v>0</v>
          </cell>
          <cell r="E1001">
            <v>0</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row>
        <row r="1002">
          <cell r="A1002" t="str">
            <v>13.06.02.01</v>
          </cell>
          <cell r="B1002" t="str">
            <v>CIELORRASOS CON MEZCLA C:A 1:5 e= 1.5 CM</v>
          </cell>
          <cell r="C1002" t="str">
            <v>m2</v>
          </cell>
          <cell r="D1002">
            <v>14.34</v>
          </cell>
          <cell r="E1002">
            <v>41.21</v>
          </cell>
          <cell r="F1002">
            <v>590.95140000000004</v>
          </cell>
          <cell r="G1002">
            <v>0</v>
          </cell>
          <cell r="H1002">
            <v>0</v>
          </cell>
          <cell r="I1002" t="str">
            <v>0.00%</v>
          </cell>
          <cell r="J1002">
            <v>0</v>
          </cell>
          <cell r="K1002">
            <v>0</v>
          </cell>
          <cell r="L1002" t="str">
            <v>0.00%</v>
          </cell>
          <cell r="M1002">
            <v>0</v>
          </cell>
          <cell r="N1002">
            <v>0</v>
          </cell>
          <cell r="O1002" t="str">
            <v>0.00%</v>
          </cell>
          <cell r="P1002">
            <v>14.34</v>
          </cell>
          <cell r="Q1002">
            <v>590.95140000000004</v>
          </cell>
          <cell r="R1002">
            <v>1</v>
          </cell>
        </row>
        <row r="1003">
          <cell r="A1003" t="str">
            <v>13.06.03</v>
          </cell>
          <cell r="B1003" t="str">
            <v>PISOS Y PAVIMENTOS</v>
          </cell>
          <cell r="C1003">
            <v>0</v>
          </cell>
          <cell r="D1003">
            <v>0</v>
          </cell>
          <cell r="E1003">
            <v>0</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row>
        <row r="1004">
          <cell r="A1004" t="str">
            <v>13.06.03.01</v>
          </cell>
          <cell r="B1004" t="str">
            <v>FALSO PISO DE 4" DE CONCRETO 1:10</v>
          </cell>
          <cell r="C1004" t="str">
            <v>m2</v>
          </cell>
          <cell r="D1004">
            <v>3.66</v>
          </cell>
          <cell r="E1004">
            <v>34.700000000000003</v>
          </cell>
          <cell r="F1004">
            <v>127.00200000000001</v>
          </cell>
          <cell r="G1004">
            <v>0</v>
          </cell>
          <cell r="H1004">
            <v>0</v>
          </cell>
          <cell r="I1004" t="str">
            <v>0.00%</v>
          </cell>
          <cell r="J1004">
            <v>0</v>
          </cell>
          <cell r="K1004">
            <v>0</v>
          </cell>
          <cell r="L1004" t="str">
            <v>0.00%</v>
          </cell>
          <cell r="M1004">
            <v>0</v>
          </cell>
          <cell r="N1004">
            <v>0</v>
          </cell>
          <cell r="O1004" t="str">
            <v>0.00%</v>
          </cell>
          <cell r="P1004">
            <v>3.66</v>
          </cell>
          <cell r="Q1004">
            <v>127.00200000000001</v>
          </cell>
          <cell r="R1004">
            <v>1</v>
          </cell>
        </row>
        <row r="1005">
          <cell r="A1005" t="str">
            <v>13.06.03.02</v>
          </cell>
          <cell r="B1005" t="str">
            <v>PISO DE CEMENTO PULIDO CON PIEDRA LAVADA S/ COLOREAR  BRUÑADO</v>
          </cell>
          <cell r="C1005" t="str">
            <v>m2</v>
          </cell>
          <cell r="D1005">
            <v>3.66</v>
          </cell>
          <cell r="E1005">
            <v>40</v>
          </cell>
          <cell r="F1005">
            <v>146.4</v>
          </cell>
          <cell r="G1005">
            <v>0</v>
          </cell>
          <cell r="H1005">
            <v>0</v>
          </cell>
          <cell r="I1005" t="str">
            <v>0.00%</v>
          </cell>
          <cell r="J1005">
            <v>0</v>
          </cell>
          <cell r="K1005">
            <v>0</v>
          </cell>
          <cell r="L1005" t="str">
            <v>0.00%</v>
          </cell>
          <cell r="M1005">
            <v>0</v>
          </cell>
          <cell r="N1005">
            <v>0</v>
          </cell>
          <cell r="O1005" t="str">
            <v>0.00%</v>
          </cell>
          <cell r="P1005">
            <v>3.66</v>
          </cell>
          <cell r="Q1005">
            <v>146.4</v>
          </cell>
          <cell r="R1005">
            <v>1</v>
          </cell>
        </row>
        <row r="1006">
          <cell r="A1006" t="str">
            <v>13.06.04</v>
          </cell>
          <cell r="B1006" t="str">
            <v>ZOCALOS Y CONTRAZOCALOS</v>
          </cell>
          <cell r="C1006">
            <v>0</v>
          </cell>
          <cell r="D1006">
            <v>0</v>
          </cell>
          <cell r="E1006">
            <v>0</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row>
        <row r="1007">
          <cell r="A1007" t="str">
            <v>13.06.04.01</v>
          </cell>
          <cell r="B1007" t="str">
            <v>ZOCALO DE CEMENTO PULIDO C/MORTERO 1:5 DE 2CM. DE H= 30 CM. - EXTERIOR</v>
          </cell>
          <cell r="C1007" t="str">
            <v>m</v>
          </cell>
          <cell r="D1007">
            <v>0.6</v>
          </cell>
          <cell r="E1007">
            <v>13.08</v>
          </cell>
          <cell r="F1007">
            <v>7.8479999999999999</v>
          </cell>
          <cell r="G1007">
            <v>0</v>
          </cell>
          <cell r="H1007">
            <v>0</v>
          </cell>
          <cell r="I1007" t="str">
            <v>0.00%</v>
          </cell>
          <cell r="J1007">
            <v>0</v>
          </cell>
          <cell r="K1007">
            <v>0</v>
          </cell>
          <cell r="L1007" t="str">
            <v>0.00%</v>
          </cell>
          <cell r="M1007">
            <v>0</v>
          </cell>
          <cell r="N1007">
            <v>0</v>
          </cell>
          <cell r="O1007" t="str">
            <v>0.00%</v>
          </cell>
          <cell r="P1007">
            <v>0.6</v>
          </cell>
          <cell r="Q1007">
            <v>7.8479999999999999</v>
          </cell>
          <cell r="R1007">
            <v>1</v>
          </cell>
        </row>
        <row r="1008">
          <cell r="A1008" t="str">
            <v>13.06.05</v>
          </cell>
          <cell r="B1008" t="str">
            <v>CARPINTERIA METALICA</v>
          </cell>
          <cell r="C1008">
            <v>0</v>
          </cell>
          <cell r="D1008">
            <v>0</v>
          </cell>
          <cell r="E1008">
            <v>0</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row>
        <row r="1009">
          <cell r="A1009" t="str">
            <v>13.06.05.01</v>
          </cell>
          <cell r="B1009" t="str">
            <v>PUERTA METALICA LAC 1/16" C/MARCO INC/ ACCESORIOS, PINTURA Y COLOCADO</v>
          </cell>
          <cell r="C1009" t="str">
            <v>m2</v>
          </cell>
          <cell r="D1009">
            <v>1.92</v>
          </cell>
          <cell r="E1009">
            <v>520</v>
          </cell>
          <cell r="F1009">
            <v>998.4</v>
          </cell>
          <cell r="G1009">
            <v>0</v>
          </cell>
          <cell r="H1009">
            <v>0</v>
          </cell>
          <cell r="I1009" t="str">
            <v>0.00%</v>
          </cell>
          <cell r="J1009">
            <v>0</v>
          </cell>
          <cell r="K1009">
            <v>0</v>
          </cell>
          <cell r="L1009" t="str">
            <v>0.00%</v>
          </cell>
          <cell r="M1009">
            <v>0</v>
          </cell>
          <cell r="N1009">
            <v>0</v>
          </cell>
          <cell r="O1009" t="str">
            <v>0.00%</v>
          </cell>
          <cell r="P1009">
            <v>1.92</v>
          </cell>
          <cell r="Q1009">
            <v>998.4</v>
          </cell>
          <cell r="R1009">
            <v>1</v>
          </cell>
        </row>
        <row r="1010">
          <cell r="A1010" t="str">
            <v>13.06.05.02</v>
          </cell>
          <cell r="B1010" t="str">
            <v>ESCALERA METALICA TIPO GATO INC/ ACCESORIOS, PINTURA Y COLOCADO</v>
          </cell>
          <cell r="C1010" t="str">
            <v>und</v>
          </cell>
          <cell r="D1010">
            <v>1</v>
          </cell>
          <cell r="E1010">
            <v>450</v>
          </cell>
          <cell r="F1010">
            <v>450</v>
          </cell>
          <cell r="G1010">
            <v>0</v>
          </cell>
          <cell r="H1010">
            <v>0</v>
          </cell>
          <cell r="I1010" t="str">
            <v>0.00%</v>
          </cell>
          <cell r="J1010">
            <v>0</v>
          </cell>
          <cell r="K1010">
            <v>0</v>
          </cell>
          <cell r="L1010" t="str">
            <v>0.00%</v>
          </cell>
          <cell r="M1010">
            <v>0</v>
          </cell>
          <cell r="N1010">
            <v>0</v>
          </cell>
          <cell r="O1010" t="str">
            <v>0.00%</v>
          </cell>
          <cell r="P1010">
            <v>1</v>
          </cell>
          <cell r="Q1010">
            <v>450</v>
          </cell>
          <cell r="R1010">
            <v>1</v>
          </cell>
        </row>
        <row r="1011">
          <cell r="A1011" t="str">
            <v>13.06.06</v>
          </cell>
          <cell r="B1011" t="str">
            <v>PINTURA</v>
          </cell>
          <cell r="C1011">
            <v>0</v>
          </cell>
          <cell r="D1011">
            <v>0</v>
          </cell>
          <cell r="E1011">
            <v>0</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row>
        <row r="1012">
          <cell r="A1012" t="str">
            <v>13.06.06.01</v>
          </cell>
          <cell r="B1012" t="str">
            <v>PINTURA EN CIELORRASO</v>
          </cell>
          <cell r="C1012" t="str">
            <v>m2</v>
          </cell>
          <cell r="D1012">
            <v>14.34</v>
          </cell>
          <cell r="E1012">
            <v>12.59</v>
          </cell>
          <cell r="F1012">
            <v>180.54059999999998</v>
          </cell>
          <cell r="G1012">
            <v>0</v>
          </cell>
          <cell r="H1012">
            <v>0</v>
          </cell>
          <cell r="I1012" t="str">
            <v>0.00%</v>
          </cell>
          <cell r="J1012">
            <v>0</v>
          </cell>
          <cell r="K1012">
            <v>0</v>
          </cell>
          <cell r="L1012" t="str">
            <v>0.00%</v>
          </cell>
          <cell r="M1012">
            <v>0</v>
          </cell>
          <cell r="N1012">
            <v>0</v>
          </cell>
          <cell r="O1012" t="str">
            <v>0.00%</v>
          </cell>
          <cell r="P1012">
            <v>14.34</v>
          </cell>
          <cell r="Q1012">
            <v>180.54059999999998</v>
          </cell>
          <cell r="R1012">
            <v>1</v>
          </cell>
        </row>
        <row r="1013">
          <cell r="A1013" t="str">
            <v>13.06.06.02</v>
          </cell>
          <cell r="B1013" t="str">
            <v>PINTURA EN EXTERIORES</v>
          </cell>
          <cell r="C1013" t="str">
            <v>m2</v>
          </cell>
          <cell r="D1013">
            <v>17.96</v>
          </cell>
          <cell r="E1013">
            <v>19.04</v>
          </cell>
          <cell r="F1013">
            <v>341.95839999999998</v>
          </cell>
          <cell r="G1013">
            <v>0</v>
          </cell>
          <cell r="H1013">
            <v>0</v>
          </cell>
          <cell r="I1013" t="str">
            <v>0.00%</v>
          </cell>
          <cell r="J1013">
            <v>0</v>
          </cell>
          <cell r="K1013">
            <v>0</v>
          </cell>
          <cell r="L1013" t="str">
            <v>0.00%</v>
          </cell>
          <cell r="M1013">
            <v>0</v>
          </cell>
          <cell r="N1013">
            <v>0</v>
          </cell>
          <cell r="O1013" t="str">
            <v>0.00%</v>
          </cell>
          <cell r="P1013">
            <v>17.96</v>
          </cell>
          <cell r="Q1013">
            <v>341.95839999999998</v>
          </cell>
          <cell r="R1013">
            <v>1</v>
          </cell>
        </row>
        <row r="1014">
          <cell r="A1014" t="str">
            <v>13.06.06.03</v>
          </cell>
          <cell r="B1014" t="str">
            <v xml:space="preserve">PINTURA EN INTERIORES </v>
          </cell>
          <cell r="C1014" t="str">
            <v>m2</v>
          </cell>
          <cell r="D1014">
            <v>32.29</v>
          </cell>
          <cell r="E1014">
            <v>9.6999999999999993</v>
          </cell>
          <cell r="F1014">
            <v>313.21299999999997</v>
          </cell>
          <cell r="G1014">
            <v>0</v>
          </cell>
          <cell r="H1014">
            <v>0</v>
          </cell>
          <cell r="I1014" t="str">
            <v>0.00%</v>
          </cell>
          <cell r="J1014">
            <v>0</v>
          </cell>
          <cell r="K1014">
            <v>0</v>
          </cell>
          <cell r="L1014" t="str">
            <v>0.00%</v>
          </cell>
          <cell r="M1014">
            <v>0</v>
          </cell>
          <cell r="N1014">
            <v>0</v>
          </cell>
          <cell r="O1014" t="str">
            <v>0.00%</v>
          </cell>
          <cell r="P1014">
            <v>32.29</v>
          </cell>
          <cell r="Q1014">
            <v>313.21299999999997</v>
          </cell>
          <cell r="R1014">
            <v>1</v>
          </cell>
        </row>
        <row r="1015">
          <cell r="A1015" t="str">
            <v>13.06.06.04</v>
          </cell>
          <cell r="B1015" t="str">
            <v>PINTURA EN CONTRAZOCALOS Y ZOCALOS H= 0.40M C/ESMALTE</v>
          </cell>
          <cell r="C1015" t="str">
            <v>m</v>
          </cell>
          <cell r="D1015">
            <v>0.6</v>
          </cell>
          <cell r="E1015">
            <v>7.19</v>
          </cell>
          <cell r="F1015">
            <v>4.3140000000000001</v>
          </cell>
          <cell r="G1015">
            <v>0</v>
          </cell>
          <cell r="H1015">
            <v>0</v>
          </cell>
          <cell r="I1015" t="str">
            <v>0.00%</v>
          </cell>
          <cell r="J1015">
            <v>0</v>
          </cell>
          <cell r="K1015">
            <v>0</v>
          </cell>
          <cell r="L1015" t="str">
            <v>0.00%</v>
          </cell>
          <cell r="M1015">
            <v>0</v>
          </cell>
          <cell r="N1015">
            <v>0</v>
          </cell>
          <cell r="O1015" t="str">
            <v>0.00%</v>
          </cell>
          <cell r="P1015">
            <v>0.6</v>
          </cell>
          <cell r="Q1015">
            <v>4.3140000000000001</v>
          </cell>
          <cell r="R1015">
            <v>1</v>
          </cell>
        </row>
        <row r="1016">
          <cell r="A1016" t="str">
            <v>13.07</v>
          </cell>
          <cell r="B1016" t="str">
            <v>ATRIO DE INGRESO Y CONTROL</v>
          </cell>
          <cell r="C1016">
            <v>0</v>
          </cell>
          <cell r="D1016">
            <v>0</v>
          </cell>
          <cell r="E1016">
            <v>0</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row>
        <row r="1017">
          <cell r="A1017" t="str">
            <v>13.07.01</v>
          </cell>
          <cell r="B1017" t="str">
            <v>MUROS Y TABIQUES</v>
          </cell>
          <cell r="C1017">
            <v>0</v>
          </cell>
          <cell r="D1017">
            <v>0</v>
          </cell>
          <cell r="E1017">
            <v>0</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row>
        <row r="1018">
          <cell r="A1018" t="str">
            <v>13.07.01.01</v>
          </cell>
          <cell r="B1018" t="str">
            <v>MURO DE SOGA LADRILLO KIN-KONG DE ARCILLA</v>
          </cell>
          <cell r="C1018" t="str">
            <v>m2</v>
          </cell>
          <cell r="D1018">
            <v>18.670000000000002</v>
          </cell>
          <cell r="E1018">
            <v>99.24</v>
          </cell>
          <cell r="F1018">
            <v>1852.8108</v>
          </cell>
          <cell r="G1018">
            <v>0</v>
          </cell>
          <cell r="H1018">
            <v>0</v>
          </cell>
          <cell r="I1018" t="str">
            <v>0.00%</v>
          </cell>
          <cell r="J1018">
            <v>0</v>
          </cell>
          <cell r="K1018">
            <v>0</v>
          </cell>
          <cell r="L1018" t="str">
            <v>0.00%</v>
          </cell>
          <cell r="M1018">
            <v>0</v>
          </cell>
          <cell r="N1018">
            <v>0</v>
          </cell>
          <cell r="O1018" t="str">
            <v>0.00%</v>
          </cell>
          <cell r="P1018">
            <v>18.670000000000002</v>
          </cell>
          <cell r="Q1018">
            <v>1852.8108</v>
          </cell>
          <cell r="R1018">
            <v>1</v>
          </cell>
        </row>
        <row r="1019">
          <cell r="A1019" t="str">
            <v>13.07.02</v>
          </cell>
          <cell r="B1019" t="str">
            <v>REVOQUES ENLUCIDOS Y MOLDURAS</v>
          </cell>
          <cell r="C1019">
            <v>0</v>
          </cell>
          <cell r="D1019">
            <v>0</v>
          </cell>
          <cell r="E1019">
            <v>0</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row>
        <row r="1020">
          <cell r="A1020" t="str">
            <v>13.07.02.01</v>
          </cell>
          <cell r="B1020" t="str">
            <v>TARRAJEO EN MUROS EXTERIORES MEZCLA 1:5 CEMENTO:ARENA</v>
          </cell>
          <cell r="C1020" t="str">
            <v>m2</v>
          </cell>
          <cell r="D1020">
            <v>18.670000000000002</v>
          </cell>
          <cell r="E1020">
            <v>33.57</v>
          </cell>
          <cell r="F1020">
            <v>626.75190000000009</v>
          </cell>
          <cell r="G1020">
            <v>0</v>
          </cell>
          <cell r="H1020">
            <v>0</v>
          </cell>
          <cell r="I1020" t="str">
            <v>0.00%</v>
          </cell>
          <cell r="J1020">
            <v>0</v>
          </cell>
          <cell r="K1020">
            <v>0</v>
          </cell>
          <cell r="L1020" t="str">
            <v>0.00%</v>
          </cell>
          <cell r="M1020">
            <v>0</v>
          </cell>
          <cell r="N1020">
            <v>0</v>
          </cell>
          <cell r="O1020" t="str">
            <v>0.00%</v>
          </cell>
          <cell r="P1020">
            <v>18.670000000000002</v>
          </cell>
          <cell r="Q1020">
            <v>626.75190000000009</v>
          </cell>
          <cell r="R1020">
            <v>1</v>
          </cell>
        </row>
        <row r="1021">
          <cell r="A1021" t="str">
            <v>13.07.02.02</v>
          </cell>
          <cell r="B1021" t="str">
            <v>TARRAJEO EN MUROS INTERIORES MEZCLA 1:5 CEMENTO:ARENA</v>
          </cell>
          <cell r="C1021" t="str">
            <v>m2</v>
          </cell>
          <cell r="D1021">
            <v>18.670000000000002</v>
          </cell>
          <cell r="E1021">
            <v>26.91</v>
          </cell>
          <cell r="F1021">
            <v>502.40970000000004</v>
          </cell>
          <cell r="G1021">
            <v>0</v>
          </cell>
          <cell r="H1021">
            <v>0</v>
          </cell>
          <cell r="I1021" t="str">
            <v>0.00%</v>
          </cell>
          <cell r="J1021">
            <v>0</v>
          </cell>
          <cell r="K1021">
            <v>0</v>
          </cell>
          <cell r="L1021" t="str">
            <v>0.00%</v>
          </cell>
          <cell r="M1021">
            <v>0</v>
          </cell>
          <cell r="N1021">
            <v>0</v>
          </cell>
          <cell r="O1021" t="str">
            <v>0.00%</v>
          </cell>
          <cell r="P1021">
            <v>18.670000000000002</v>
          </cell>
          <cell r="Q1021">
            <v>502.40970000000004</v>
          </cell>
          <cell r="R1021">
            <v>1</v>
          </cell>
        </row>
        <row r="1022">
          <cell r="A1022" t="str">
            <v>13.07.02.03</v>
          </cell>
          <cell r="B1022" t="str">
            <v>TARRAJEO DE SUPERFICIE COLUMNAS INCL. ARISTAS MEZCLA 1:5 CEMENTO:ARENA</v>
          </cell>
          <cell r="C1022" t="str">
            <v>m2</v>
          </cell>
          <cell r="D1022">
            <v>16.809999999999999</v>
          </cell>
          <cell r="E1022">
            <v>29.04</v>
          </cell>
          <cell r="F1022">
            <v>488.16239999999993</v>
          </cell>
          <cell r="G1022">
            <v>0</v>
          </cell>
          <cell r="H1022">
            <v>0</v>
          </cell>
          <cell r="I1022" t="str">
            <v>0.00%</v>
          </cell>
          <cell r="J1022">
            <v>0</v>
          </cell>
          <cell r="K1022">
            <v>0</v>
          </cell>
          <cell r="L1022" t="str">
            <v>0.00%</v>
          </cell>
          <cell r="M1022">
            <v>0</v>
          </cell>
          <cell r="N1022">
            <v>0</v>
          </cell>
          <cell r="O1022" t="str">
            <v>0.00%</v>
          </cell>
          <cell r="P1022">
            <v>16.809999999999999</v>
          </cell>
          <cell r="Q1022">
            <v>488.16239999999993</v>
          </cell>
          <cell r="R1022">
            <v>1</v>
          </cell>
        </row>
        <row r="1023">
          <cell r="A1023" t="str">
            <v>13.07.02.04</v>
          </cell>
          <cell r="B1023" t="str">
            <v>TARRAJEO DE SUPERF.VIGAS INCL.ARISTAS, MEZCLA 1:5 CEMENTO:ARENA</v>
          </cell>
          <cell r="C1023" t="str">
            <v>m2</v>
          </cell>
          <cell r="D1023">
            <v>13.09</v>
          </cell>
          <cell r="E1023">
            <v>34.25</v>
          </cell>
          <cell r="F1023">
            <v>448.33249999999998</v>
          </cell>
          <cell r="G1023">
            <v>0</v>
          </cell>
          <cell r="H1023">
            <v>0</v>
          </cell>
          <cell r="I1023" t="str">
            <v>0.00%</v>
          </cell>
          <cell r="J1023">
            <v>0</v>
          </cell>
          <cell r="K1023">
            <v>0</v>
          </cell>
          <cell r="L1023" t="str">
            <v>0.00%</v>
          </cell>
          <cell r="M1023">
            <v>0</v>
          </cell>
          <cell r="N1023">
            <v>0</v>
          </cell>
          <cell r="O1023" t="str">
            <v>0.00%</v>
          </cell>
          <cell r="P1023">
            <v>13.09</v>
          </cell>
          <cell r="Q1023">
            <v>448.33249999999998</v>
          </cell>
          <cell r="R1023">
            <v>1</v>
          </cell>
        </row>
        <row r="1024">
          <cell r="A1024" t="str">
            <v>13.07.02.05</v>
          </cell>
          <cell r="B1024" t="str">
            <v>TARRAJEO CON IMPERMEABILIZANTE EN COBERTURAS</v>
          </cell>
          <cell r="C1024" t="str">
            <v>m2</v>
          </cell>
          <cell r="D1024">
            <v>15.16</v>
          </cell>
          <cell r="E1024">
            <v>60.76</v>
          </cell>
          <cell r="F1024">
            <v>921.12159999999994</v>
          </cell>
          <cell r="G1024">
            <v>0</v>
          </cell>
          <cell r="H1024">
            <v>0</v>
          </cell>
          <cell r="I1024" t="str">
            <v>0.00%</v>
          </cell>
          <cell r="J1024">
            <v>0</v>
          </cell>
          <cell r="K1024">
            <v>0</v>
          </cell>
          <cell r="L1024" t="str">
            <v>0.00%</v>
          </cell>
          <cell r="M1024">
            <v>0</v>
          </cell>
          <cell r="N1024">
            <v>0</v>
          </cell>
          <cell r="O1024" t="str">
            <v>0.00%</v>
          </cell>
          <cell r="P1024">
            <v>15.16</v>
          </cell>
          <cell r="Q1024">
            <v>921.12159999999994</v>
          </cell>
          <cell r="R1024">
            <v>1</v>
          </cell>
        </row>
        <row r="1025">
          <cell r="A1025" t="str">
            <v>13.07.02.06</v>
          </cell>
          <cell r="B1025" t="str">
            <v>TARRAJEO EN SUPERFICIE ARISTAS EN PARAPETO</v>
          </cell>
          <cell r="C1025" t="str">
            <v>m2</v>
          </cell>
          <cell r="D1025">
            <v>4.57</v>
          </cell>
          <cell r="E1025">
            <v>32.01</v>
          </cell>
          <cell r="F1025">
            <v>146.28569999999999</v>
          </cell>
          <cell r="G1025">
            <v>0</v>
          </cell>
          <cell r="H1025">
            <v>0</v>
          </cell>
          <cell r="I1025" t="str">
            <v>0.00%</v>
          </cell>
          <cell r="J1025">
            <v>0</v>
          </cell>
          <cell r="K1025">
            <v>0</v>
          </cell>
          <cell r="L1025" t="str">
            <v>0.00%</v>
          </cell>
          <cell r="M1025">
            <v>0</v>
          </cell>
          <cell r="N1025">
            <v>0</v>
          </cell>
          <cell r="O1025" t="str">
            <v>0.00%</v>
          </cell>
          <cell r="P1025">
            <v>4.57</v>
          </cell>
          <cell r="Q1025">
            <v>146.28569999999999</v>
          </cell>
          <cell r="R1025">
            <v>1</v>
          </cell>
        </row>
        <row r="1026">
          <cell r="A1026" t="str">
            <v>13.07.02.07</v>
          </cell>
          <cell r="B1026" t="str">
            <v xml:space="preserve">VESTIDURA DE DERRAMES </v>
          </cell>
          <cell r="C1026" t="str">
            <v>m</v>
          </cell>
          <cell r="D1026">
            <v>11.44</v>
          </cell>
          <cell r="E1026">
            <v>24.82</v>
          </cell>
          <cell r="F1026">
            <v>283.94079999999997</v>
          </cell>
          <cell r="G1026">
            <v>0</v>
          </cell>
          <cell r="H1026">
            <v>0</v>
          </cell>
          <cell r="I1026" t="str">
            <v>0.00%</v>
          </cell>
          <cell r="J1026">
            <v>0</v>
          </cell>
          <cell r="K1026">
            <v>0</v>
          </cell>
          <cell r="L1026" t="str">
            <v>0.00%</v>
          </cell>
          <cell r="M1026">
            <v>0</v>
          </cell>
          <cell r="N1026">
            <v>0</v>
          </cell>
          <cell r="O1026" t="str">
            <v>0.00%</v>
          </cell>
          <cell r="P1026">
            <v>11.44</v>
          </cell>
          <cell r="Q1026">
            <v>283.94079999999997</v>
          </cell>
          <cell r="R1026">
            <v>1</v>
          </cell>
        </row>
        <row r="1027">
          <cell r="A1027" t="str">
            <v>13.07.02.08</v>
          </cell>
          <cell r="B1027" t="str">
            <v>BRUÑA DE 1CM ENTRE MUROS Y ESTRUCTURAS</v>
          </cell>
          <cell r="C1027" t="str">
            <v>m</v>
          </cell>
          <cell r="D1027">
            <v>156</v>
          </cell>
          <cell r="E1027">
            <v>2.08</v>
          </cell>
          <cell r="F1027">
            <v>324.48</v>
          </cell>
          <cell r="G1027">
            <v>0</v>
          </cell>
          <cell r="H1027">
            <v>0</v>
          </cell>
          <cell r="I1027" t="str">
            <v>0.00%</v>
          </cell>
          <cell r="J1027">
            <v>0</v>
          </cell>
          <cell r="K1027">
            <v>0</v>
          </cell>
          <cell r="L1027" t="str">
            <v>0.00%</v>
          </cell>
          <cell r="M1027">
            <v>0</v>
          </cell>
          <cell r="N1027">
            <v>0</v>
          </cell>
          <cell r="O1027" t="str">
            <v>0.00%</v>
          </cell>
          <cell r="P1027">
            <v>156</v>
          </cell>
          <cell r="Q1027">
            <v>324.48</v>
          </cell>
          <cell r="R1027">
            <v>1</v>
          </cell>
        </row>
        <row r="1028">
          <cell r="A1028" t="str">
            <v>13.07.03</v>
          </cell>
          <cell r="B1028" t="str">
            <v>CIELORRASOS</v>
          </cell>
          <cell r="C1028">
            <v>0</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row>
        <row r="1029">
          <cell r="A1029" t="str">
            <v>13.07.03.01</v>
          </cell>
          <cell r="B1029" t="str">
            <v>CIELORRASOS CON MEZCLA C:A 1:5 e= 1.5 CM</v>
          </cell>
          <cell r="C1029" t="str">
            <v>m2</v>
          </cell>
          <cell r="D1029">
            <v>15.16</v>
          </cell>
          <cell r="E1029">
            <v>41.21</v>
          </cell>
          <cell r="F1029">
            <v>624.74360000000001</v>
          </cell>
          <cell r="G1029">
            <v>0</v>
          </cell>
          <cell r="H1029">
            <v>0</v>
          </cell>
          <cell r="I1029" t="str">
            <v>0.00%</v>
          </cell>
          <cell r="J1029">
            <v>0</v>
          </cell>
          <cell r="K1029">
            <v>0</v>
          </cell>
          <cell r="L1029" t="str">
            <v>0.00%</v>
          </cell>
          <cell r="M1029">
            <v>0</v>
          </cell>
          <cell r="N1029">
            <v>0</v>
          </cell>
          <cell r="O1029" t="str">
            <v>0.00%</v>
          </cell>
          <cell r="P1029">
            <v>15.16</v>
          </cell>
          <cell r="Q1029">
            <v>624.74360000000001</v>
          </cell>
          <cell r="R1029">
            <v>1</v>
          </cell>
        </row>
        <row r="1030">
          <cell r="A1030" t="str">
            <v>13.07.04</v>
          </cell>
          <cell r="B1030" t="str">
            <v>PISOS Y PAVIMENTOS</v>
          </cell>
          <cell r="C1030">
            <v>0</v>
          </cell>
          <cell r="D1030">
            <v>0</v>
          </cell>
          <cell r="E1030">
            <v>0</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row>
        <row r="1031">
          <cell r="A1031" t="str">
            <v>13.07.04.01</v>
          </cell>
          <cell r="B1031" t="str">
            <v>FALSO PISO DE 4" DE CONCRETO 1:10</v>
          </cell>
          <cell r="C1031" t="str">
            <v>m2</v>
          </cell>
          <cell r="D1031">
            <v>3.8</v>
          </cell>
          <cell r="E1031">
            <v>34.700000000000003</v>
          </cell>
          <cell r="F1031">
            <v>131.86000000000001</v>
          </cell>
          <cell r="G1031">
            <v>0</v>
          </cell>
          <cell r="H1031">
            <v>0</v>
          </cell>
          <cell r="I1031" t="str">
            <v>0.00%</v>
          </cell>
          <cell r="J1031">
            <v>0</v>
          </cell>
          <cell r="K1031">
            <v>0</v>
          </cell>
          <cell r="L1031" t="str">
            <v>0.00%</v>
          </cell>
          <cell r="M1031">
            <v>0</v>
          </cell>
          <cell r="N1031">
            <v>0</v>
          </cell>
          <cell r="O1031" t="str">
            <v>0.00%</v>
          </cell>
          <cell r="P1031">
            <v>3.8</v>
          </cell>
          <cell r="Q1031">
            <v>131.86000000000001</v>
          </cell>
          <cell r="R1031">
            <v>1</v>
          </cell>
        </row>
        <row r="1032">
          <cell r="A1032" t="str">
            <v>13.07.04.02</v>
          </cell>
          <cell r="B1032" t="str">
            <v>CONTRAPISO DE 48 MM.</v>
          </cell>
          <cell r="C1032" t="str">
            <v>m2</v>
          </cell>
          <cell r="D1032">
            <v>3.8</v>
          </cell>
          <cell r="E1032">
            <v>33.57</v>
          </cell>
          <cell r="F1032">
            <v>127.56599999999999</v>
          </cell>
          <cell r="G1032">
            <v>0</v>
          </cell>
          <cell r="H1032">
            <v>0</v>
          </cell>
          <cell r="I1032" t="str">
            <v>0.00%</v>
          </cell>
          <cell r="J1032">
            <v>0</v>
          </cell>
          <cell r="K1032">
            <v>0</v>
          </cell>
          <cell r="L1032" t="str">
            <v>0.00%</v>
          </cell>
          <cell r="M1032">
            <v>0</v>
          </cell>
          <cell r="N1032">
            <v>0</v>
          </cell>
          <cell r="O1032" t="str">
            <v>0.00%</v>
          </cell>
          <cell r="P1032">
            <v>3.8</v>
          </cell>
          <cell r="Q1032">
            <v>127.56599999999999</v>
          </cell>
          <cell r="R1032">
            <v>1</v>
          </cell>
        </row>
        <row r="1033">
          <cell r="A1033" t="str">
            <v>13.07.04.03</v>
          </cell>
          <cell r="B1033" t="str">
            <v>PISO DE CERAMICO ANTIDESLIZANTE AT. 0.40x0.40 M</v>
          </cell>
          <cell r="C1033" t="str">
            <v>m2</v>
          </cell>
          <cell r="D1033">
            <v>3.8</v>
          </cell>
          <cell r="E1033">
            <v>56.63</v>
          </cell>
          <cell r="F1033">
            <v>215.19399999999999</v>
          </cell>
          <cell r="G1033">
            <v>0</v>
          </cell>
          <cell r="H1033">
            <v>0</v>
          </cell>
          <cell r="I1033" t="str">
            <v>0.00%</v>
          </cell>
          <cell r="J1033">
            <v>0</v>
          </cell>
          <cell r="K1033">
            <v>0</v>
          </cell>
          <cell r="L1033" t="str">
            <v>0.00%</v>
          </cell>
          <cell r="M1033">
            <v>0</v>
          </cell>
          <cell r="N1033">
            <v>0</v>
          </cell>
          <cell r="O1033" t="str">
            <v>0.00%</v>
          </cell>
          <cell r="P1033">
            <v>3.8</v>
          </cell>
          <cell r="Q1033">
            <v>215.19399999999999</v>
          </cell>
          <cell r="R1033">
            <v>1</v>
          </cell>
        </row>
        <row r="1034">
          <cell r="A1034" t="str">
            <v>13.07.04.04</v>
          </cell>
          <cell r="B1034" t="str">
            <v>PISO DE CEMENTO FROTACHADO BRUÑADO</v>
          </cell>
          <cell r="C1034" t="str">
            <v>m2</v>
          </cell>
          <cell r="D1034">
            <v>9.5500000000000007</v>
          </cell>
          <cell r="E1034">
            <v>18.29</v>
          </cell>
          <cell r="F1034">
            <v>174.6695</v>
          </cell>
          <cell r="G1034">
            <v>0</v>
          </cell>
          <cell r="H1034">
            <v>0</v>
          </cell>
          <cell r="I1034" t="str">
            <v>0.00%</v>
          </cell>
          <cell r="J1034">
            <v>0</v>
          </cell>
          <cell r="K1034">
            <v>0</v>
          </cell>
          <cell r="L1034" t="str">
            <v>0.00%</v>
          </cell>
          <cell r="M1034">
            <v>0</v>
          </cell>
          <cell r="N1034">
            <v>0</v>
          </cell>
          <cell r="O1034" t="str">
            <v>0.00%</v>
          </cell>
          <cell r="P1034">
            <v>9.5500000000000007</v>
          </cell>
          <cell r="Q1034">
            <v>174.6695</v>
          </cell>
          <cell r="R1034">
            <v>1</v>
          </cell>
        </row>
        <row r="1035">
          <cell r="A1035" t="str">
            <v>13.07.05</v>
          </cell>
          <cell r="B1035" t="str">
            <v>VEREDA</v>
          </cell>
          <cell r="C1035">
            <v>0</v>
          </cell>
          <cell r="D1035">
            <v>0</v>
          </cell>
          <cell r="E1035">
            <v>0</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row>
        <row r="1036">
          <cell r="A1036" t="str">
            <v>13.07.05.01</v>
          </cell>
          <cell r="B1036" t="str">
            <v>AFIRMADO DE 4" PARA VEREDAS</v>
          </cell>
          <cell r="C1036" t="str">
            <v>m2</v>
          </cell>
          <cell r="D1036">
            <v>9.5500000000000007</v>
          </cell>
          <cell r="E1036">
            <v>11.27</v>
          </cell>
          <cell r="F1036">
            <v>107.6285</v>
          </cell>
          <cell r="G1036">
            <v>0</v>
          </cell>
          <cell r="H1036">
            <v>0</v>
          </cell>
          <cell r="I1036" t="str">
            <v>0.00%</v>
          </cell>
          <cell r="J1036">
            <v>0</v>
          </cell>
          <cell r="K1036">
            <v>0</v>
          </cell>
          <cell r="L1036" t="str">
            <v>0.00%</v>
          </cell>
          <cell r="M1036">
            <v>0</v>
          </cell>
          <cell r="N1036">
            <v>0</v>
          </cell>
          <cell r="O1036" t="str">
            <v>0.00%</v>
          </cell>
          <cell r="P1036">
            <v>9.5500000000000007</v>
          </cell>
          <cell r="Q1036">
            <v>107.6285</v>
          </cell>
          <cell r="R1036">
            <v>1</v>
          </cell>
        </row>
        <row r="1037">
          <cell r="A1037" t="str">
            <v>13.07.05.02</v>
          </cell>
          <cell r="B1037" t="str">
            <v>VEREDA DE CONCRETO F'C= 175 KG/CM2.</v>
          </cell>
          <cell r="C1037" t="str">
            <v>m2</v>
          </cell>
          <cell r="D1037">
            <v>9.5500000000000007</v>
          </cell>
          <cell r="E1037">
            <v>64.63</v>
          </cell>
          <cell r="F1037">
            <v>617.2165</v>
          </cell>
          <cell r="G1037">
            <v>0</v>
          </cell>
          <cell r="H1037">
            <v>0</v>
          </cell>
          <cell r="I1037" t="str">
            <v>0.00%</v>
          </cell>
          <cell r="J1037">
            <v>0</v>
          </cell>
          <cell r="K1037">
            <v>0</v>
          </cell>
          <cell r="L1037" t="str">
            <v>0.00%</v>
          </cell>
          <cell r="M1037">
            <v>0</v>
          </cell>
          <cell r="N1037">
            <v>0</v>
          </cell>
          <cell r="O1037" t="str">
            <v>0.00%</v>
          </cell>
          <cell r="P1037">
            <v>9.5500000000000007</v>
          </cell>
          <cell r="Q1037">
            <v>617.2165</v>
          </cell>
          <cell r="R1037">
            <v>1</v>
          </cell>
        </row>
        <row r="1038">
          <cell r="A1038" t="str">
            <v>13.07.05.03</v>
          </cell>
          <cell r="B1038" t="str">
            <v>ENCOFRADO Y DESENCOFRADO DE VEREDA</v>
          </cell>
          <cell r="C1038" t="str">
            <v>m2</v>
          </cell>
          <cell r="D1038">
            <v>0.92</v>
          </cell>
          <cell r="E1038">
            <v>45.51</v>
          </cell>
          <cell r="F1038">
            <v>41.869199999999999</v>
          </cell>
          <cell r="G1038">
            <v>0</v>
          </cell>
          <cell r="H1038">
            <v>0</v>
          </cell>
          <cell r="I1038" t="str">
            <v>0.00%</v>
          </cell>
          <cell r="J1038">
            <v>0</v>
          </cell>
          <cell r="K1038">
            <v>0</v>
          </cell>
          <cell r="L1038" t="str">
            <v>0.00%</v>
          </cell>
          <cell r="M1038">
            <v>0</v>
          </cell>
          <cell r="N1038">
            <v>0</v>
          </cell>
          <cell r="O1038" t="str">
            <v>0.00%</v>
          </cell>
          <cell r="P1038">
            <v>0.92</v>
          </cell>
          <cell r="Q1038">
            <v>41.869199999999999</v>
          </cell>
          <cell r="R1038">
            <v>1</v>
          </cell>
        </row>
        <row r="1039">
          <cell r="A1039" t="str">
            <v>13.07.06</v>
          </cell>
          <cell r="B1039" t="str">
            <v>RAMPA</v>
          </cell>
          <cell r="C1039">
            <v>0</v>
          </cell>
          <cell r="D1039">
            <v>0</v>
          </cell>
          <cell r="E1039">
            <v>0</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row>
        <row r="1040">
          <cell r="A1040" t="str">
            <v>13.07.06.01</v>
          </cell>
          <cell r="B1040" t="str">
            <v>AFIRMADO DE 4" PARA RAMPA</v>
          </cell>
          <cell r="C1040" t="str">
            <v>m2</v>
          </cell>
          <cell r="D1040">
            <v>14.41</v>
          </cell>
          <cell r="E1040">
            <v>11.21</v>
          </cell>
          <cell r="F1040">
            <v>161.5361</v>
          </cell>
          <cell r="G1040">
            <v>0</v>
          </cell>
          <cell r="H1040">
            <v>0</v>
          </cell>
          <cell r="I1040" t="str">
            <v>0.00%</v>
          </cell>
          <cell r="J1040">
            <v>0</v>
          </cell>
          <cell r="K1040">
            <v>0</v>
          </cell>
          <cell r="L1040" t="str">
            <v>0.00%</v>
          </cell>
          <cell r="M1040">
            <v>0</v>
          </cell>
          <cell r="N1040">
            <v>0</v>
          </cell>
          <cell r="O1040" t="str">
            <v>0.00%</v>
          </cell>
          <cell r="P1040">
            <v>14.41</v>
          </cell>
          <cell r="Q1040">
            <v>161.5361</v>
          </cell>
          <cell r="R1040">
            <v>1</v>
          </cell>
        </row>
        <row r="1041">
          <cell r="A1041" t="str">
            <v>13.07.06.02</v>
          </cell>
          <cell r="B1041" t="str">
            <v>CONCRETO F'C= 175KG/CM2 EN RAMPA</v>
          </cell>
          <cell r="C1041" t="str">
            <v>m3</v>
          </cell>
          <cell r="D1041">
            <v>14.41</v>
          </cell>
          <cell r="E1041">
            <v>328.03</v>
          </cell>
          <cell r="F1041">
            <v>4726.9123</v>
          </cell>
          <cell r="G1041">
            <v>0</v>
          </cell>
          <cell r="H1041">
            <v>0</v>
          </cell>
          <cell r="I1041" t="str">
            <v>0.00%</v>
          </cell>
          <cell r="J1041">
            <v>0</v>
          </cell>
          <cell r="K1041">
            <v>0</v>
          </cell>
          <cell r="L1041" t="str">
            <v>0.00%</v>
          </cell>
          <cell r="M1041">
            <v>0</v>
          </cell>
          <cell r="N1041">
            <v>0</v>
          </cell>
          <cell r="O1041" t="str">
            <v>0.00%</v>
          </cell>
          <cell r="P1041">
            <v>14.41</v>
          </cell>
          <cell r="Q1041">
            <v>4726.9123</v>
          </cell>
          <cell r="R1041">
            <v>1</v>
          </cell>
        </row>
        <row r="1042">
          <cell r="A1042" t="str">
            <v>13.07.06.03</v>
          </cell>
          <cell r="B1042" t="str">
            <v>ENCOFRADO Y DESENCOFRADO EN RAMPA</v>
          </cell>
          <cell r="C1042" t="str">
            <v>m2</v>
          </cell>
          <cell r="D1042">
            <v>1.04</v>
          </cell>
          <cell r="E1042">
            <v>16.55</v>
          </cell>
          <cell r="F1042">
            <v>17.212</v>
          </cell>
          <cell r="G1042">
            <v>0</v>
          </cell>
          <cell r="H1042">
            <v>0</v>
          </cell>
          <cell r="I1042" t="str">
            <v>0.00%</v>
          </cell>
          <cell r="J1042">
            <v>0</v>
          </cell>
          <cell r="K1042">
            <v>0</v>
          </cell>
          <cell r="L1042" t="str">
            <v>0.00%</v>
          </cell>
          <cell r="M1042">
            <v>0</v>
          </cell>
          <cell r="N1042">
            <v>0</v>
          </cell>
          <cell r="O1042" t="str">
            <v>0.00%</v>
          </cell>
          <cell r="P1042">
            <v>1.04</v>
          </cell>
          <cell r="Q1042">
            <v>17.212</v>
          </cell>
          <cell r="R1042">
            <v>1</v>
          </cell>
        </row>
        <row r="1043">
          <cell r="A1043" t="str">
            <v>13.07.07</v>
          </cell>
          <cell r="B1043" t="str">
            <v xml:space="preserve">JUNTAS </v>
          </cell>
          <cell r="C1043">
            <v>0</v>
          </cell>
          <cell r="D1043">
            <v>0</v>
          </cell>
          <cell r="E1043">
            <v>0</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row>
        <row r="1044">
          <cell r="A1044" t="str">
            <v>13.07.07.01</v>
          </cell>
          <cell r="B1044" t="str">
            <v xml:space="preserve">JUNTAS ASFALTICAS </v>
          </cell>
          <cell r="C1044" t="str">
            <v>m</v>
          </cell>
          <cell r="D1044">
            <v>11.58</v>
          </cell>
          <cell r="E1044">
            <v>10.09</v>
          </cell>
          <cell r="F1044">
            <v>116.84220000000001</v>
          </cell>
          <cell r="G1044">
            <v>0</v>
          </cell>
          <cell r="H1044">
            <v>0</v>
          </cell>
          <cell r="I1044" t="str">
            <v>0.00%</v>
          </cell>
          <cell r="J1044">
            <v>0</v>
          </cell>
          <cell r="K1044">
            <v>0</v>
          </cell>
          <cell r="L1044" t="str">
            <v>0.00%</v>
          </cell>
          <cell r="M1044">
            <v>0</v>
          </cell>
          <cell r="N1044">
            <v>0</v>
          </cell>
          <cell r="O1044" t="str">
            <v>0.00%</v>
          </cell>
          <cell r="P1044">
            <v>11.58</v>
          </cell>
          <cell r="Q1044">
            <v>116.84220000000001</v>
          </cell>
          <cell r="R1044">
            <v>1</v>
          </cell>
        </row>
        <row r="1045">
          <cell r="A1045" t="str">
            <v>13.07.08</v>
          </cell>
          <cell r="B1045" t="str">
            <v>ZOCALOS Y CONTRAZOCALOS</v>
          </cell>
          <cell r="C1045">
            <v>0</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row>
        <row r="1046">
          <cell r="A1046" t="str">
            <v>13.07.08.01</v>
          </cell>
          <cell r="B1046" t="str">
            <v>ZOCALO DE CEMENTO PULIDO C/MORTERO 1:5 DE 2CM. DE H= 30 CM. - EXTERIOR</v>
          </cell>
          <cell r="C1046" t="str">
            <v>m</v>
          </cell>
          <cell r="D1046">
            <v>2.88</v>
          </cell>
          <cell r="E1046">
            <v>13.08</v>
          </cell>
          <cell r="F1046">
            <v>37.670400000000001</v>
          </cell>
          <cell r="G1046">
            <v>0</v>
          </cell>
          <cell r="H1046">
            <v>0</v>
          </cell>
          <cell r="I1046" t="str">
            <v>0.00%</v>
          </cell>
          <cell r="J1046">
            <v>0</v>
          </cell>
          <cell r="K1046">
            <v>0</v>
          </cell>
          <cell r="L1046" t="str">
            <v>0.00%</v>
          </cell>
          <cell r="M1046">
            <v>0</v>
          </cell>
          <cell r="N1046">
            <v>0</v>
          </cell>
          <cell r="O1046" t="str">
            <v>0.00%</v>
          </cell>
          <cell r="P1046">
            <v>2.88</v>
          </cell>
          <cell r="Q1046">
            <v>37.670400000000001</v>
          </cell>
          <cell r="R1046">
            <v>1</v>
          </cell>
        </row>
        <row r="1047">
          <cell r="A1047" t="str">
            <v>13.07.08.02</v>
          </cell>
          <cell r="B1047" t="str">
            <v>CONTRAZOCALO DE CERAMICO DE 40 x 40 CM. H=10CM. - INTERIOR</v>
          </cell>
          <cell r="C1047" t="str">
            <v>m</v>
          </cell>
          <cell r="D1047">
            <v>6.11</v>
          </cell>
          <cell r="E1047">
            <v>14.75</v>
          </cell>
          <cell r="F1047">
            <v>90.122500000000002</v>
          </cell>
          <cell r="G1047">
            <v>0</v>
          </cell>
          <cell r="H1047">
            <v>0</v>
          </cell>
          <cell r="I1047" t="str">
            <v>0.00%</v>
          </cell>
          <cell r="J1047">
            <v>0</v>
          </cell>
          <cell r="K1047">
            <v>0</v>
          </cell>
          <cell r="L1047" t="str">
            <v>0.00%</v>
          </cell>
          <cell r="M1047">
            <v>0</v>
          </cell>
          <cell r="N1047">
            <v>0</v>
          </cell>
          <cell r="O1047" t="str">
            <v>0.00%</v>
          </cell>
          <cell r="P1047">
            <v>6.11</v>
          </cell>
          <cell r="Q1047">
            <v>90.122500000000002</v>
          </cell>
          <cell r="R1047">
            <v>1</v>
          </cell>
        </row>
        <row r="1048">
          <cell r="A1048" t="str">
            <v>13.07.09</v>
          </cell>
          <cell r="B1048" t="str">
            <v>CARPINTERIA METALICA</v>
          </cell>
          <cell r="C1048">
            <v>0</v>
          </cell>
          <cell r="D1048">
            <v>0</v>
          </cell>
          <cell r="E1048">
            <v>0</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row>
        <row r="1049">
          <cell r="A1049" t="str">
            <v>13.07.09.01</v>
          </cell>
          <cell r="B1049" t="str">
            <v>PUERTA METALICA DE REJAS SEGUN DISEÑO 3.00 x 3.00 mts. INC/ COLOCACION, PINTURA Y ACCESORIOS</v>
          </cell>
          <cell r="C1049" t="str">
            <v>und</v>
          </cell>
          <cell r="D1049">
            <v>1</v>
          </cell>
          <cell r="E1049">
            <v>3350</v>
          </cell>
          <cell r="F1049">
            <v>3350</v>
          </cell>
          <cell r="G1049">
            <v>0</v>
          </cell>
          <cell r="H1049">
            <v>0</v>
          </cell>
          <cell r="I1049" t="str">
            <v>0.00%</v>
          </cell>
          <cell r="J1049">
            <v>0</v>
          </cell>
          <cell r="K1049">
            <v>0</v>
          </cell>
          <cell r="L1049" t="str">
            <v>0.00%</v>
          </cell>
          <cell r="M1049">
            <v>0</v>
          </cell>
          <cell r="N1049">
            <v>0</v>
          </cell>
          <cell r="O1049" t="str">
            <v>0.00%</v>
          </cell>
          <cell r="P1049">
            <v>1</v>
          </cell>
          <cell r="Q1049">
            <v>3350</v>
          </cell>
          <cell r="R1049">
            <v>1</v>
          </cell>
        </row>
        <row r="1050">
          <cell r="A1050" t="str">
            <v>13.07.09.02</v>
          </cell>
          <cell r="B1050" t="str">
            <v>PUERTA METALICA DE REJAS SEGUN DISEÑO 1.10 x 3.00 mts. INC/ COLOCACION, PINTURA Y ACCESORIOS</v>
          </cell>
          <cell r="C1050" t="str">
            <v>und</v>
          </cell>
          <cell r="D1050">
            <v>1</v>
          </cell>
          <cell r="E1050">
            <v>546.70000000000005</v>
          </cell>
          <cell r="F1050">
            <v>546.70000000000005</v>
          </cell>
          <cell r="G1050">
            <v>0</v>
          </cell>
          <cell r="H1050">
            <v>0</v>
          </cell>
          <cell r="I1050" t="str">
            <v>0.00%</v>
          </cell>
          <cell r="J1050">
            <v>0</v>
          </cell>
          <cell r="K1050">
            <v>0</v>
          </cell>
          <cell r="L1050" t="str">
            <v>0.00%</v>
          </cell>
          <cell r="M1050">
            <v>0</v>
          </cell>
          <cell r="N1050">
            <v>0</v>
          </cell>
          <cell r="O1050" t="str">
            <v>0.00%</v>
          </cell>
          <cell r="P1050">
            <v>1</v>
          </cell>
          <cell r="Q1050">
            <v>546.70000000000005</v>
          </cell>
          <cell r="R1050">
            <v>1</v>
          </cell>
        </row>
        <row r="1051">
          <cell r="A1051" t="str">
            <v>13.07.09.03</v>
          </cell>
          <cell r="B1051" t="str">
            <v>COLOCADO Y PINTADO DE LETRAS DE BRONCE (SEGUN DISEÑO)</v>
          </cell>
          <cell r="C1051" t="str">
            <v>GLB</v>
          </cell>
          <cell r="D1051">
            <v>1</v>
          </cell>
          <cell r="E1051">
            <v>2500</v>
          </cell>
          <cell r="F1051">
            <v>2500</v>
          </cell>
          <cell r="G1051">
            <v>0</v>
          </cell>
          <cell r="H1051">
            <v>0</v>
          </cell>
          <cell r="I1051" t="str">
            <v>0.00%</v>
          </cell>
          <cell r="J1051">
            <v>0</v>
          </cell>
          <cell r="K1051">
            <v>0</v>
          </cell>
          <cell r="L1051" t="str">
            <v>0.00%</v>
          </cell>
          <cell r="M1051">
            <v>0</v>
          </cell>
          <cell r="N1051">
            <v>0</v>
          </cell>
          <cell r="O1051" t="str">
            <v>0.00%</v>
          </cell>
          <cell r="P1051">
            <v>1</v>
          </cell>
          <cell r="Q1051">
            <v>2500</v>
          </cell>
          <cell r="R1051">
            <v>1</v>
          </cell>
        </row>
        <row r="1052">
          <cell r="A1052" t="str">
            <v>13.07.09.04</v>
          </cell>
          <cell r="B1052" t="str">
            <v>TIJERAL TIPO - IV CON TUBO RECTANGULAR LAC (SEGUN DISEÑO)</v>
          </cell>
          <cell r="C1052" t="str">
            <v>und</v>
          </cell>
          <cell r="D1052">
            <v>1</v>
          </cell>
          <cell r="E1052">
            <v>3560</v>
          </cell>
          <cell r="F1052">
            <v>3560</v>
          </cell>
          <cell r="G1052">
            <v>0</v>
          </cell>
          <cell r="H1052">
            <v>0</v>
          </cell>
          <cell r="I1052" t="str">
            <v>0.00%</v>
          </cell>
          <cell r="J1052">
            <v>0</v>
          </cell>
          <cell r="K1052">
            <v>0</v>
          </cell>
          <cell r="L1052" t="str">
            <v>0.00%</v>
          </cell>
          <cell r="M1052">
            <v>0</v>
          </cell>
          <cell r="N1052">
            <v>0</v>
          </cell>
          <cell r="O1052" t="str">
            <v>0.00%</v>
          </cell>
          <cell r="P1052">
            <v>1</v>
          </cell>
          <cell r="Q1052">
            <v>3560</v>
          </cell>
          <cell r="R1052">
            <v>1</v>
          </cell>
        </row>
        <row r="1053">
          <cell r="A1053" t="str">
            <v>13.07.10</v>
          </cell>
          <cell r="B1053" t="str">
            <v>VIDRIOS, CRISTALES Y SIMILARES</v>
          </cell>
          <cell r="C1053">
            <v>0</v>
          </cell>
          <cell r="D1053">
            <v>0</v>
          </cell>
          <cell r="E1053">
            <v>0</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row>
        <row r="1054">
          <cell r="A1054" t="str">
            <v>13.07.10.01</v>
          </cell>
          <cell r="B1054" t="str">
            <v>VIDRIO SISTEMA NOVA INC. ACCESORIOS Y PROTEC. METALICA</v>
          </cell>
          <cell r="C1054" t="str">
            <v>p2</v>
          </cell>
          <cell r="D1054">
            <v>18.079999999999998</v>
          </cell>
          <cell r="E1054">
            <v>18.54</v>
          </cell>
          <cell r="F1054">
            <v>335.20319999999998</v>
          </cell>
          <cell r="G1054">
            <v>0</v>
          </cell>
          <cell r="H1054">
            <v>0</v>
          </cell>
          <cell r="I1054" t="str">
            <v>0.00%</v>
          </cell>
          <cell r="J1054">
            <v>0</v>
          </cell>
          <cell r="K1054">
            <v>0</v>
          </cell>
          <cell r="L1054" t="str">
            <v>0.00%</v>
          </cell>
          <cell r="M1054">
            <v>0</v>
          </cell>
          <cell r="N1054">
            <v>0</v>
          </cell>
          <cell r="O1054" t="str">
            <v>0.00%</v>
          </cell>
          <cell r="P1054">
            <v>18.079999999999998</v>
          </cell>
          <cell r="Q1054">
            <v>335.20319999999998</v>
          </cell>
          <cell r="R1054">
            <v>1</v>
          </cell>
        </row>
        <row r="1055">
          <cell r="A1055" t="str">
            <v>13.07.11</v>
          </cell>
          <cell r="B1055" t="str">
            <v>PINTURA</v>
          </cell>
          <cell r="C1055">
            <v>0</v>
          </cell>
          <cell r="D1055">
            <v>0</v>
          </cell>
          <cell r="E1055">
            <v>0</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row>
        <row r="1056">
          <cell r="A1056" t="str">
            <v>13.07.11.01</v>
          </cell>
          <cell r="B1056" t="str">
            <v>PINTURA EN CIELORRASO</v>
          </cell>
          <cell r="C1056" t="str">
            <v>m2</v>
          </cell>
          <cell r="D1056">
            <v>15.16</v>
          </cell>
          <cell r="E1056">
            <v>12.59</v>
          </cell>
          <cell r="F1056">
            <v>190.86439999999999</v>
          </cell>
          <cell r="G1056">
            <v>0</v>
          </cell>
          <cell r="H1056">
            <v>0</v>
          </cell>
          <cell r="I1056" t="str">
            <v>0.00%</v>
          </cell>
          <cell r="J1056">
            <v>0</v>
          </cell>
          <cell r="K1056">
            <v>0</v>
          </cell>
          <cell r="L1056" t="str">
            <v>0.00%</v>
          </cell>
          <cell r="M1056">
            <v>0</v>
          </cell>
          <cell r="N1056">
            <v>0</v>
          </cell>
          <cell r="O1056" t="str">
            <v>0.00%</v>
          </cell>
          <cell r="P1056">
            <v>15.16</v>
          </cell>
          <cell r="Q1056">
            <v>190.86439999999999</v>
          </cell>
          <cell r="R1056">
            <v>1</v>
          </cell>
        </row>
        <row r="1057">
          <cell r="A1057" t="str">
            <v>13.07.11.02</v>
          </cell>
          <cell r="B1057" t="str">
            <v>PINTURA EN EXTERIORES</v>
          </cell>
          <cell r="C1057" t="str">
            <v>m2</v>
          </cell>
          <cell r="D1057">
            <v>18.670000000000002</v>
          </cell>
          <cell r="E1057">
            <v>19.04</v>
          </cell>
          <cell r="F1057">
            <v>355.47680000000003</v>
          </cell>
          <cell r="G1057">
            <v>0</v>
          </cell>
          <cell r="H1057">
            <v>0</v>
          </cell>
          <cell r="I1057" t="str">
            <v>0.00%</v>
          </cell>
          <cell r="J1057">
            <v>0</v>
          </cell>
          <cell r="K1057">
            <v>0</v>
          </cell>
          <cell r="L1057" t="str">
            <v>0.00%</v>
          </cell>
          <cell r="M1057">
            <v>0</v>
          </cell>
          <cell r="N1057">
            <v>0</v>
          </cell>
          <cell r="O1057" t="str">
            <v>0.00%</v>
          </cell>
          <cell r="P1057">
            <v>18.670000000000002</v>
          </cell>
          <cell r="Q1057">
            <v>355.47680000000003</v>
          </cell>
          <cell r="R1057">
            <v>1</v>
          </cell>
        </row>
        <row r="1058">
          <cell r="A1058" t="str">
            <v>13.07.11.03</v>
          </cell>
          <cell r="B1058" t="str">
            <v xml:space="preserve">PINTURA EN INTERIORES </v>
          </cell>
          <cell r="C1058" t="str">
            <v>m2</v>
          </cell>
          <cell r="D1058">
            <v>18.670000000000002</v>
          </cell>
          <cell r="E1058">
            <v>9.6999999999999993</v>
          </cell>
          <cell r="F1058">
            <v>181.09899999999999</v>
          </cell>
          <cell r="G1058">
            <v>0</v>
          </cell>
          <cell r="H1058">
            <v>0</v>
          </cell>
          <cell r="I1058" t="str">
            <v>0.00%</v>
          </cell>
          <cell r="J1058">
            <v>0</v>
          </cell>
          <cell r="K1058">
            <v>0</v>
          </cell>
          <cell r="L1058" t="str">
            <v>0.00%</v>
          </cell>
          <cell r="M1058">
            <v>0</v>
          </cell>
          <cell r="N1058">
            <v>0</v>
          </cell>
          <cell r="O1058" t="str">
            <v>0.00%</v>
          </cell>
          <cell r="P1058">
            <v>18.670000000000002</v>
          </cell>
          <cell r="Q1058">
            <v>181.09899999999999</v>
          </cell>
          <cell r="R1058">
            <v>1</v>
          </cell>
        </row>
        <row r="1059">
          <cell r="A1059" t="str">
            <v>13.07.11.04</v>
          </cell>
          <cell r="B1059" t="str">
            <v>PINTURA EN COLUMNAS</v>
          </cell>
          <cell r="C1059" t="str">
            <v>m2</v>
          </cell>
          <cell r="D1059">
            <v>16.809999999999999</v>
          </cell>
          <cell r="E1059">
            <v>10.35</v>
          </cell>
          <cell r="F1059">
            <v>173.98349999999999</v>
          </cell>
          <cell r="G1059">
            <v>0</v>
          </cell>
          <cell r="H1059">
            <v>0</v>
          </cell>
          <cell r="I1059" t="str">
            <v>0.00%</v>
          </cell>
          <cell r="J1059">
            <v>0</v>
          </cell>
          <cell r="K1059">
            <v>0</v>
          </cell>
          <cell r="L1059" t="str">
            <v>0.00%</v>
          </cell>
          <cell r="M1059">
            <v>0</v>
          </cell>
          <cell r="N1059">
            <v>0</v>
          </cell>
          <cell r="O1059" t="str">
            <v>0.00%</v>
          </cell>
          <cell r="P1059">
            <v>16.809999999999999</v>
          </cell>
          <cell r="Q1059">
            <v>173.98349999999999</v>
          </cell>
          <cell r="R1059">
            <v>1</v>
          </cell>
        </row>
        <row r="1060">
          <cell r="A1060" t="str">
            <v>13.07.11.05</v>
          </cell>
          <cell r="B1060" t="str">
            <v>PINTURA EN VIGA</v>
          </cell>
          <cell r="C1060" t="str">
            <v>m2</v>
          </cell>
          <cell r="D1060">
            <v>13.09</v>
          </cell>
          <cell r="E1060">
            <v>10.35</v>
          </cell>
          <cell r="F1060">
            <v>135.48149999999998</v>
          </cell>
          <cell r="G1060">
            <v>0</v>
          </cell>
          <cell r="H1060">
            <v>0</v>
          </cell>
          <cell r="I1060" t="str">
            <v>0.00%</v>
          </cell>
          <cell r="J1060">
            <v>0</v>
          </cell>
          <cell r="K1060">
            <v>0</v>
          </cell>
          <cell r="L1060" t="str">
            <v>0.00%</v>
          </cell>
          <cell r="M1060">
            <v>0</v>
          </cell>
          <cell r="N1060">
            <v>0</v>
          </cell>
          <cell r="O1060" t="str">
            <v>0.00%</v>
          </cell>
          <cell r="P1060">
            <v>13.09</v>
          </cell>
          <cell r="Q1060">
            <v>135.48149999999998</v>
          </cell>
          <cell r="R1060">
            <v>1</v>
          </cell>
        </row>
        <row r="1061">
          <cell r="A1061" t="str">
            <v>13.07.11.06</v>
          </cell>
          <cell r="B1061" t="str">
            <v>PINTURA EN CONTRAZOCALOS Y ZOCALOS H= 0.40M C/ESMALTE</v>
          </cell>
          <cell r="C1061" t="str">
            <v>m</v>
          </cell>
          <cell r="D1061">
            <v>6.11</v>
          </cell>
          <cell r="E1061">
            <v>7.19</v>
          </cell>
          <cell r="F1061">
            <v>43.930900000000001</v>
          </cell>
          <cell r="G1061">
            <v>0</v>
          </cell>
          <cell r="H1061">
            <v>0</v>
          </cell>
          <cell r="I1061" t="str">
            <v>0.00%</v>
          </cell>
          <cell r="J1061">
            <v>0</v>
          </cell>
          <cell r="K1061">
            <v>0</v>
          </cell>
          <cell r="L1061" t="str">
            <v>0.00%</v>
          </cell>
          <cell r="M1061">
            <v>0</v>
          </cell>
          <cell r="N1061">
            <v>0</v>
          </cell>
          <cell r="O1061" t="str">
            <v>0.00%</v>
          </cell>
          <cell r="P1061">
            <v>6.11</v>
          </cell>
          <cell r="Q1061">
            <v>43.930900000000001</v>
          </cell>
          <cell r="R1061">
            <v>1</v>
          </cell>
        </row>
        <row r="1062">
          <cell r="A1062" t="str">
            <v>13.08</v>
          </cell>
          <cell r="B1062" t="str">
            <v xml:space="preserve">CERCO PERIMETRICO </v>
          </cell>
          <cell r="C1062">
            <v>0</v>
          </cell>
          <cell r="D1062">
            <v>0</v>
          </cell>
          <cell r="E1062">
            <v>0</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row>
        <row r="1063">
          <cell r="A1063" t="str">
            <v>13.08.01</v>
          </cell>
          <cell r="B1063" t="str">
            <v>MUROS Y TABIQUES</v>
          </cell>
          <cell r="C1063">
            <v>0</v>
          </cell>
          <cell r="D1063">
            <v>0</v>
          </cell>
          <cell r="E1063">
            <v>0</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row>
        <row r="1064">
          <cell r="A1064" t="str">
            <v>13.08.01.01</v>
          </cell>
          <cell r="B1064" t="str">
            <v>MURO DE CABEZA LADRILLO KIN-KONG DE ARCILLA</v>
          </cell>
          <cell r="C1064" t="str">
            <v>m2</v>
          </cell>
          <cell r="D1064">
            <v>134.25</v>
          </cell>
          <cell r="E1064">
            <v>151.13999999999999</v>
          </cell>
          <cell r="F1064">
            <v>20290.544999999998</v>
          </cell>
          <cell r="G1064">
            <v>0</v>
          </cell>
          <cell r="H1064">
            <v>0</v>
          </cell>
          <cell r="I1064" t="str">
            <v>0.00%</v>
          </cell>
          <cell r="J1064">
            <v>0</v>
          </cell>
          <cell r="K1064">
            <v>0</v>
          </cell>
          <cell r="L1064" t="str">
            <v>0.00%</v>
          </cell>
          <cell r="M1064">
            <v>0</v>
          </cell>
          <cell r="N1064">
            <v>0</v>
          </cell>
          <cell r="O1064" t="str">
            <v>0.00%</v>
          </cell>
          <cell r="P1064">
            <v>134.25</v>
          </cell>
          <cell r="Q1064">
            <v>20290.544999999998</v>
          </cell>
          <cell r="R1064">
            <v>1</v>
          </cell>
        </row>
        <row r="1065">
          <cell r="A1065" t="str">
            <v>13.08.02</v>
          </cell>
          <cell r="B1065" t="str">
            <v>REVOQUES ENLUCIDOS Y MOLDURAS</v>
          </cell>
          <cell r="C1065">
            <v>0</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row>
        <row r="1066">
          <cell r="A1066" t="str">
            <v>13.08.02.01</v>
          </cell>
          <cell r="B1066" t="str">
            <v>TARRAJEO EN MUROS EXTERIORES MEZCLA 1:5 CEMENTO:ARENA</v>
          </cell>
          <cell r="C1066" t="str">
            <v>m2</v>
          </cell>
          <cell r="D1066">
            <v>134.25</v>
          </cell>
          <cell r="E1066">
            <v>33.57</v>
          </cell>
          <cell r="F1066">
            <v>4506.7725</v>
          </cell>
          <cell r="G1066">
            <v>0</v>
          </cell>
          <cell r="H1066">
            <v>0</v>
          </cell>
          <cell r="I1066" t="str">
            <v>0.00%</v>
          </cell>
          <cell r="J1066">
            <v>0</v>
          </cell>
          <cell r="K1066">
            <v>0</v>
          </cell>
          <cell r="L1066" t="str">
            <v>0.00%</v>
          </cell>
          <cell r="M1066">
            <v>0</v>
          </cell>
          <cell r="N1066">
            <v>0</v>
          </cell>
          <cell r="O1066" t="str">
            <v>0.00%</v>
          </cell>
          <cell r="P1066">
            <v>134.25</v>
          </cell>
          <cell r="Q1066">
            <v>4506.7725</v>
          </cell>
          <cell r="R1066">
            <v>1</v>
          </cell>
        </row>
        <row r="1067">
          <cell r="A1067" t="str">
            <v>13.08.02.02</v>
          </cell>
          <cell r="B1067" t="str">
            <v>TARRAJEO EN MUROS INTERIORES MEZCLA 1:5 CEMENTO:ARENA</v>
          </cell>
          <cell r="C1067" t="str">
            <v>m2</v>
          </cell>
          <cell r="D1067">
            <v>134.25</v>
          </cell>
          <cell r="E1067">
            <v>26.91</v>
          </cell>
          <cell r="F1067">
            <v>3612.6675</v>
          </cell>
          <cell r="G1067">
            <v>0</v>
          </cell>
          <cell r="H1067">
            <v>0</v>
          </cell>
          <cell r="I1067" t="str">
            <v>0.00%</v>
          </cell>
          <cell r="J1067">
            <v>0</v>
          </cell>
          <cell r="K1067">
            <v>0</v>
          </cell>
          <cell r="L1067" t="str">
            <v>0.00%</v>
          </cell>
          <cell r="M1067">
            <v>0</v>
          </cell>
          <cell r="N1067">
            <v>0</v>
          </cell>
          <cell r="O1067" t="str">
            <v>0.00%</v>
          </cell>
          <cell r="P1067">
            <v>134.25</v>
          </cell>
          <cell r="Q1067">
            <v>3612.6675</v>
          </cell>
          <cell r="R1067">
            <v>1</v>
          </cell>
        </row>
        <row r="1068">
          <cell r="A1068" t="str">
            <v>13.08.02.03</v>
          </cell>
          <cell r="B1068" t="str">
            <v>TARRAJEO DE SUPERFICIE COLUMNAS INCL. ARISTAS MEZCLA 1:5 CEMENTO:ARENA</v>
          </cell>
          <cell r="C1068" t="str">
            <v>m2</v>
          </cell>
          <cell r="D1068">
            <v>72.8</v>
          </cell>
          <cell r="E1068">
            <v>29.04</v>
          </cell>
          <cell r="F1068">
            <v>2114.1120000000001</v>
          </cell>
          <cell r="G1068">
            <v>0</v>
          </cell>
          <cell r="H1068">
            <v>0</v>
          </cell>
          <cell r="I1068" t="str">
            <v>0.00%</v>
          </cell>
          <cell r="J1068">
            <v>0</v>
          </cell>
          <cell r="K1068">
            <v>0</v>
          </cell>
          <cell r="L1068" t="str">
            <v>0.00%</v>
          </cell>
          <cell r="M1068">
            <v>0</v>
          </cell>
          <cell r="N1068">
            <v>0</v>
          </cell>
          <cell r="O1068" t="str">
            <v>0.00%</v>
          </cell>
          <cell r="P1068">
            <v>72.8</v>
          </cell>
          <cell r="Q1068">
            <v>2114.1120000000001</v>
          </cell>
          <cell r="R1068">
            <v>1</v>
          </cell>
        </row>
        <row r="1069">
          <cell r="A1069" t="str">
            <v>13.08.02.04</v>
          </cell>
          <cell r="B1069" t="str">
            <v>TARRAJEO DE SUPERF.VIGAS INCL.ARISTAS, MEZCLA 1:5 CEMENTO:ARENA</v>
          </cell>
          <cell r="C1069" t="str">
            <v>m2</v>
          </cell>
          <cell r="D1069">
            <v>71.900000000000006</v>
          </cell>
          <cell r="E1069">
            <v>34.25</v>
          </cell>
          <cell r="F1069">
            <v>2462.5750000000003</v>
          </cell>
          <cell r="G1069">
            <v>0</v>
          </cell>
          <cell r="H1069">
            <v>0</v>
          </cell>
          <cell r="I1069" t="str">
            <v>0.00%</v>
          </cell>
          <cell r="J1069">
            <v>0</v>
          </cell>
          <cell r="K1069">
            <v>0</v>
          </cell>
          <cell r="L1069" t="str">
            <v>0.00%</v>
          </cell>
          <cell r="M1069">
            <v>0</v>
          </cell>
          <cell r="N1069">
            <v>0</v>
          </cell>
          <cell r="O1069" t="str">
            <v>0.00%</v>
          </cell>
          <cell r="P1069">
            <v>71.900000000000006</v>
          </cell>
          <cell r="Q1069">
            <v>2462.5750000000003</v>
          </cell>
          <cell r="R1069">
            <v>1</v>
          </cell>
        </row>
        <row r="1070">
          <cell r="A1070" t="str">
            <v>13.08.02.05</v>
          </cell>
          <cell r="B1070" t="str">
            <v>BRUÑA DE 1CM ENTRE MUROS Y ESTRUCTURAS</v>
          </cell>
          <cell r="C1070" t="str">
            <v>m</v>
          </cell>
          <cell r="D1070">
            <v>235.08</v>
          </cell>
          <cell r="E1070">
            <v>2.08</v>
          </cell>
          <cell r="F1070">
            <v>488.96640000000002</v>
          </cell>
          <cell r="G1070">
            <v>0</v>
          </cell>
          <cell r="H1070">
            <v>0</v>
          </cell>
          <cell r="I1070" t="str">
            <v>0.00%</v>
          </cell>
          <cell r="J1070">
            <v>0</v>
          </cell>
          <cell r="K1070">
            <v>0</v>
          </cell>
          <cell r="L1070" t="str">
            <v>0.00%</v>
          </cell>
          <cell r="M1070">
            <v>0</v>
          </cell>
          <cell r="N1070">
            <v>0</v>
          </cell>
          <cell r="O1070" t="str">
            <v>0.00%</v>
          </cell>
          <cell r="P1070">
            <v>235.08</v>
          </cell>
          <cell r="Q1070">
            <v>488.96640000000002</v>
          </cell>
          <cell r="R1070">
            <v>1</v>
          </cell>
        </row>
        <row r="1071">
          <cell r="A1071" t="str">
            <v>13.08.03</v>
          </cell>
          <cell r="B1071" t="str">
            <v>PISOS Y PAVIMENTOS</v>
          </cell>
          <cell r="C1071">
            <v>0</v>
          </cell>
          <cell r="D1071">
            <v>0</v>
          </cell>
          <cell r="E1071">
            <v>0</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row>
        <row r="1072">
          <cell r="A1072" t="str">
            <v>13.08.03.01</v>
          </cell>
          <cell r="B1072" t="str">
            <v>PISO DE CEMENTO FROTACHADO BRUÑADO</v>
          </cell>
          <cell r="C1072" t="str">
            <v>m2</v>
          </cell>
          <cell r="D1072">
            <v>9.5500000000000007</v>
          </cell>
          <cell r="E1072">
            <v>18.29</v>
          </cell>
          <cell r="F1072">
            <v>174.6695</v>
          </cell>
          <cell r="G1072">
            <v>0</v>
          </cell>
          <cell r="H1072">
            <v>0</v>
          </cell>
          <cell r="I1072" t="str">
            <v>0.00%</v>
          </cell>
          <cell r="J1072">
            <v>0</v>
          </cell>
          <cell r="K1072">
            <v>0</v>
          </cell>
          <cell r="L1072" t="str">
            <v>0.00%</v>
          </cell>
          <cell r="M1072">
            <v>0</v>
          </cell>
          <cell r="N1072">
            <v>0</v>
          </cell>
          <cell r="O1072" t="str">
            <v>0.00%</v>
          </cell>
          <cell r="P1072">
            <v>9.5500000000000007</v>
          </cell>
          <cell r="Q1072">
            <v>174.6695</v>
          </cell>
          <cell r="R1072">
            <v>1</v>
          </cell>
        </row>
        <row r="1073">
          <cell r="A1073" t="str">
            <v>13.08.04</v>
          </cell>
          <cell r="B1073" t="str">
            <v>VEREDA</v>
          </cell>
          <cell r="C1073">
            <v>0</v>
          </cell>
          <cell r="D1073">
            <v>0</v>
          </cell>
          <cell r="E1073">
            <v>0</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row>
        <row r="1074">
          <cell r="A1074" t="str">
            <v>13.08.04.01</v>
          </cell>
          <cell r="B1074" t="str">
            <v>AFIRMADO DE 4" PARA VEREDAS</v>
          </cell>
          <cell r="C1074" t="str">
            <v>m2</v>
          </cell>
          <cell r="D1074">
            <v>128.84</v>
          </cell>
          <cell r="E1074">
            <v>11.27</v>
          </cell>
          <cell r="F1074">
            <v>1452.0268000000001</v>
          </cell>
          <cell r="G1074">
            <v>0</v>
          </cell>
          <cell r="H1074">
            <v>0</v>
          </cell>
          <cell r="I1074" t="str">
            <v>0.00%</v>
          </cell>
          <cell r="J1074">
            <v>0</v>
          </cell>
          <cell r="K1074">
            <v>0</v>
          </cell>
          <cell r="L1074" t="str">
            <v>0.00%</v>
          </cell>
          <cell r="M1074">
            <v>0</v>
          </cell>
          <cell r="N1074">
            <v>0</v>
          </cell>
          <cell r="O1074" t="str">
            <v>0.00%</v>
          </cell>
          <cell r="P1074">
            <v>128.84</v>
          </cell>
          <cell r="Q1074">
            <v>1452.0268000000001</v>
          </cell>
          <cell r="R1074">
            <v>1</v>
          </cell>
        </row>
        <row r="1075">
          <cell r="A1075" t="str">
            <v>13.08.04.02</v>
          </cell>
          <cell r="B1075" t="str">
            <v>VEREDA DE CONCRETO F'C= 175 KG/CM2.</v>
          </cell>
          <cell r="C1075" t="str">
            <v>m2</v>
          </cell>
          <cell r="D1075">
            <v>128.84</v>
          </cell>
          <cell r="E1075">
            <v>64.63</v>
          </cell>
          <cell r="F1075">
            <v>8326.9292000000005</v>
          </cell>
          <cell r="G1075">
            <v>0</v>
          </cell>
          <cell r="H1075">
            <v>0</v>
          </cell>
          <cell r="I1075" t="str">
            <v>0.00%</v>
          </cell>
          <cell r="J1075">
            <v>0</v>
          </cell>
          <cell r="K1075">
            <v>0</v>
          </cell>
          <cell r="L1075" t="str">
            <v>0.00%</v>
          </cell>
          <cell r="M1075">
            <v>0</v>
          </cell>
          <cell r="N1075">
            <v>0</v>
          </cell>
          <cell r="O1075" t="str">
            <v>0.00%</v>
          </cell>
          <cell r="P1075">
            <v>128.84</v>
          </cell>
          <cell r="Q1075">
            <v>8326.9292000000005</v>
          </cell>
          <cell r="R1075">
            <v>1</v>
          </cell>
        </row>
        <row r="1076">
          <cell r="A1076" t="str">
            <v>13.08.04.03</v>
          </cell>
          <cell r="B1076" t="str">
            <v>ENCOFRADO Y DESENCOFRADO DE VEREDA</v>
          </cell>
          <cell r="C1076" t="str">
            <v>m2</v>
          </cell>
          <cell r="D1076">
            <v>25.12</v>
          </cell>
          <cell r="E1076">
            <v>45.51</v>
          </cell>
          <cell r="F1076">
            <v>1143.2112</v>
          </cell>
          <cell r="G1076">
            <v>0</v>
          </cell>
          <cell r="H1076">
            <v>0</v>
          </cell>
          <cell r="I1076" t="str">
            <v>0.00%</v>
          </cell>
          <cell r="J1076">
            <v>0</v>
          </cell>
          <cell r="K1076">
            <v>0</v>
          </cell>
          <cell r="L1076" t="str">
            <v>0.00%</v>
          </cell>
          <cell r="M1076">
            <v>0</v>
          </cell>
          <cell r="N1076">
            <v>0</v>
          </cell>
          <cell r="O1076" t="str">
            <v>0.00%</v>
          </cell>
          <cell r="P1076">
            <v>25.12</v>
          </cell>
          <cell r="Q1076">
            <v>1143.2112</v>
          </cell>
          <cell r="R1076">
            <v>1</v>
          </cell>
        </row>
        <row r="1077">
          <cell r="A1077" t="str">
            <v>13.08.05</v>
          </cell>
          <cell r="B1077" t="str">
            <v xml:space="preserve">JUNTAS </v>
          </cell>
          <cell r="C1077">
            <v>0</v>
          </cell>
          <cell r="D1077">
            <v>0</v>
          </cell>
          <cell r="E1077">
            <v>0</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row>
        <row r="1078">
          <cell r="A1078" t="str">
            <v>13.08.05.01</v>
          </cell>
          <cell r="B1078" t="str">
            <v xml:space="preserve">JUNTAS ASFALTICAS </v>
          </cell>
          <cell r="C1078" t="str">
            <v>m</v>
          </cell>
          <cell r="D1078">
            <v>34.5</v>
          </cell>
          <cell r="E1078">
            <v>10.09</v>
          </cell>
          <cell r="F1078">
            <v>348.10500000000002</v>
          </cell>
          <cell r="G1078">
            <v>0</v>
          </cell>
          <cell r="H1078">
            <v>0</v>
          </cell>
          <cell r="I1078" t="str">
            <v>0.00%</v>
          </cell>
          <cell r="J1078">
            <v>0</v>
          </cell>
          <cell r="K1078">
            <v>0</v>
          </cell>
          <cell r="L1078" t="str">
            <v>0.00%</v>
          </cell>
          <cell r="M1078">
            <v>0</v>
          </cell>
          <cell r="N1078">
            <v>0</v>
          </cell>
          <cell r="O1078" t="str">
            <v>0.00%</v>
          </cell>
          <cell r="P1078">
            <v>34.5</v>
          </cell>
          <cell r="Q1078">
            <v>348.10500000000002</v>
          </cell>
          <cell r="R1078">
            <v>1</v>
          </cell>
        </row>
        <row r="1079">
          <cell r="A1079" t="str">
            <v>13.08.06</v>
          </cell>
          <cell r="B1079" t="str">
            <v>ZOCALOS Y CONTRAZOCALOS</v>
          </cell>
          <cell r="C1079">
            <v>0</v>
          </cell>
          <cell r="D1079">
            <v>0</v>
          </cell>
          <cell r="E1079">
            <v>0</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row>
        <row r="1080">
          <cell r="A1080" t="str">
            <v>13.08.06.01</v>
          </cell>
          <cell r="B1080" t="str">
            <v>CONTRAZOCALO CEMENTO S/COLOREAR H = 30 CM</v>
          </cell>
          <cell r="C1080" t="str">
            <v>m</v>
          </cell>
          <cell r="D1080">
            <v>110.61</v>
          </cell>
          <cell r="E1080">
            <v>10.72</v>
          </cell>
          <cell r="F1080">
            <v>1185.7392</v>
          </cell>
          <cell r="G1080">
            <v>0</v>
          </cell>
          <cell r="H1080">
            <v>0</v>
          </cell>
          <cell r="I1080" t="str">
            <v>0.00%</v>
          </cell>
          <cell r="J1080">
            <v>0</v>
          </cell>
          <cell r="K1080">
            <v>0</v>
          </cell>
          <cell r="L1080" t="str">
            <v>0.00%</v>
          </cell>
          <cell r="M1080">
            <v>0</v>
          </cell>
          <cell r="N1080">
            <v>0</v>
          </cell>
          <cell r="O1080" t="str">
            <v>0.00%</v>
          </cell>
          <cell r="P1080">
            <v>110.61</v>
          </cell>
          <cell r="Q1080">
            <v>1185.7392</v>
          </cell>
          <cell r="R1080">
            <v>1</v>
          </cell>
        </row>
        <row r="1081">
          <cell r="A1081" t="str">
            <v>13.08.07</v>
          </cell>
          <cell r="B1081" t="str">
            <v>CARPINTERIA METALICA</v>
          </cell>
          <cell r="C1081">
            <v>0</v>
          </cell>
          <cell r="D1081">
            <v>0</v>
          </cell>
          <cell r="E1081">
            <v>0</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row>
        <row r="1082">
          <cell r="A1082" t="str">
            <v>13.08.07.01</v>
          </cell>
          <cell r="B1082" t="str">
            <v>VENTANA CON TUBO RECTANGULAR LAC 1.40 x 1.55 M.</v>
          </cell>
          <cell r="C1082" t="str">
            <v>und</v>
          </cell>
          <cell r="D1082">
            <v>18</v>
          </cell>
          <cell r="E1082">
            <v>616.67999999999995</v>
          </cell>
          <cell r="F1082">
            <v>11100.24</v>
          </cell>
          <cell r="G1082">
            <v>0</v>
          </cell>
          <cell r="H1082">
            <v>0</v>
          </cell>
          <cell r="I1082" t="str">
            <v>0.00%</v>
          </cell>
          <cell r="J1082">
            <v>0</v>
          </cell>
          <cell r="K1082">
            <v>0</v>
          </cell>
          <cell r="L1082" t="str">
            <v>0.00%</v>
          </cell>
          <cell r="M1082">
            <v>0</v>
          </cell>
          <cell r="N1082">
            <v>0</v>
          </cell>
          <cell r="O1082" t="str">
            <v>0.00%</v>
          </cell>
          <cell r="P1082">
            <v>18</v>
          </cell>
          <cell r="Q1082">
            <v>11100.24</v>
          </cell>
          <cell r="R1082">
            <v>1</v>
          </cell>
        </row>
        <row r="1083">
          <cell r="A1083" t="str">
            <v>13.08.08</v>
          </cell>
          <cell r="B1083" t="str">
            <v>PINTURA</v>
          </cell>
          <cell r="C1083">
            <v>0</v>
          </cell>
          <cell r="D1083">
            <v>0</v>
          </cell>
          <cell r="E1083">
            <v>0</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row>
        <row r="1084">
          <cell r="A1084" t="str">
            <v>13.08.08.01</v>
          </cell>
          <cell r="B1084" t="str">
            <v>PINTURA EN EXTERIORES</v>
          </cell>
          <cell r="C1084" t="str">
            <v>m2</v>
          </cell>
          <cell r="D1084">
            <v>134.25</v>
          </cell>
          <cell r="E1084">
            <v>19.04</v>
          </cell>
          <cell r="F1084">
            <v>2556.12</v>
          </cell>
          <cell r="G1084">
            <v>0</v>
          </cell>
          <cell r="H1084">
            <v>0</v>
          </cell>
          <cell r="I1084" t="str">
            <v>0.00%</v>
          </cell>
          <cell r="J1084">
            <v>0</v>
          </cell>
          <cell r="K1084">
            <v>0</v>
          </cell>
          <cell r="L1084" t="str">
            <v>0.00%</v>
          </cell>
          <cell r="M1084">
            <v>0</v>
          </cell>
          <cell r="N1084">
            <v>0</v>
          </cell>
          <cell r="O1084" t="str">
            <v>0.00%</v>
          </cell>
          <cell r="P1084">
            <v>134.25</v>
          </cell>
          <cell r="Q1084">
            <v>2556.12</v>
          </cell>
          <cell r="R1084">
            <v>1</v>
          </cell>
        </row>
        <row r="1085">
          <cell r="A1085" t="str">
            <v>13.08.08.02</v>
          </cell>
          <cell r="B1085" t="str">
            <v xml:space="preserve">PINTURA EN INTERIORES </v>
          </cell>
          <cell r="C1085" t="str">
            <v>m2</v>
          </cell>
          <cell r="D1085">
            <v>134.25</v>
          </cell>
          <cell r="E1085">
            <v>9.6999999999999993</v>
          </cell>
          <cell r="F1085">
            <v>1302.2249999999999</v>
          </cell>
          <cell r="G1085">
            <v>0</v>
          </cell>
          <cell r="H1085">
            <v>0</v>
          </cell>
          <cell r="I1085" t="str">
            <v>0.00%</v>
          </cell>
          <cell r="J1085">
            <v>0</v>
          </cell>
          <cell r="K1085">
            <v>0</v>
          </cell>
          <cell r="L1085" t="str">
            <v>0.00%</v>
          </cell>
          <cell r="M1085">
            <v>0</v>
          </cell>
          <cell r="N1085">
            <v>0</v>
          </cell>
          <cell r="O1085" t="str">
            <v>0.00%</v>
          </cell>
          <cell r="P1085">
            <v>134.25</v>
          </cell>
          <cell r="Q1085">
            <v>1302.2249999999999</v>
          </cell>
          <cell r="R1085">
            <v>1</v>
          </cell>
        </row>
        <row r="1086">
          <cell r="A1086" t="str">
            <v>13.08.08.03</v>
          </cell>
          <cell r="B1086" t="str">
            <v>PINTURA EN COLUMNAS CON ESMALTE</v>
          </cell>
          <cell r="C1086" t="str">
            <v>m2</v>
          </cell>
          <cell r="D1086">
            <v>72.8</v>
          </cell>
          <cell r="E1086">
            <v>8.39</v>
          </cell>
          <cell r="F1086">
            <v>610.79200000000003</v>
          </cell>
          <cell r="G1086">
            <v>0</v>
          </cell>
          <cell r="H1086">
            <v>0</v>
          </cell>
          <cell r="I1086" t="str">
            <v>0.00%</v>
          </cell>
          <cell r="J1086">
            <v>0</v>
          </cell>
          <cell r="K1086">
            <v>0</v>
          </cell>
          <cell r="L1086" t="str">
            <v>0.00%</v>
          </cell>
          <cell r="M1086">
            <v>0</v>
          </cell>
          <cell r="N1086">
            <v>0</v>
          </cell>
          <cell r="O1086" t="str">
            <v>0.00%</v>
          </cell>
          <cell r="P1086">
            <v>72.8</v>
          </cell>
          <cell r="Q1086">
            <v>610.79200000000003</v>
          </cell>
          <cell r="R1086">
            <v>1</v>
          </cell>
        </row>
        <row r="1087">
          <cell r="A1087" t="str">
            <v>13.08.08.04</v>
          </cell>
          <cell r="B1087" t="str">
            <v>PINTURA EN VIGA CON ESMALTE</v>
          </cell>
          <cell r="C1087" t="str">
            <v>m2</v>
          </cell>
          <cell r="D1087">
            <v>71.900000000000006</v>
          </cell>
          <cell r="E1087">
            <v>8.39</v>
          </cell>
          <cell r="F1087">
            <v>603.2410000000001</v>
          </cell>
          <cell r="G1087">
            <v>0</v>
          </cell>
          <cell r="H1087">
            <v>0</v>
          </cell>
          <cell r="I1087" t="str">
            <v>0.00%</v>
          </cell>
          <cell r="J1087">
            <v>0</v>
          </cell>
          <cell r="K1087">
            <v>0</v>
          </cell>
          <cell r="L1087" t="str">
            <v>0.00%</v>
          </cell>
          <cell r="M1087">
            <v>0</v>
          </cell>
          <cell r="N1087">
            <v>0</v>
          </cell>
          <cell r="O1087" t="str">
            <v>0.00%</v>
          </cell>
          <cell r="P1087">
            <v>71.900000000000006</v>
          </cell>
          <cell r="Q1087">
            <v>603.2410000000001</v>
          </cell>
          <cell r="R1087">
            <v>1</v>
          </cell>
        </row>
        <row r="1088">
          <cell r="A1088" t="str">
            <v>13.08.08.05</v>
          </cell>
          <cell r="B1088" t="str">
            <v>PINTURA EN CONTRAZOCALOS Y ZOCALOS H= 0.40M C/ESMALTE</v>
          </cell>
          <cell r="C1088" t="str">
            <v>m</v>
          </cell>
          <cell r="D1088">
            <v>110.61</v>
          </cell>
          <cell r="E1088">
            <v>7.19</v>
          </cell>
          <cell r="F1088">
            <v>795.28590000000008</v>
          </cell>
          <cell r="G1088">
            <v>0</v>
          </cell>
          <cell r="H1088">
            <v>0</v>
          </cell>
          <cell r="I1088" t="str">
            <v>0.00%</v>
          </cell>
          <cell r="J1088">
            <v>0</v>
          </cell>
          <cell r="K1088">
            <v>0</v>
          </cell>
          <cell r="L1088" t="str">
            <v>0.00%</v>
          </cell>
          <cell r="M1088">
            <v>0</v>
          </cell>
          <cell r="N1088">
            <v>0</v>
          </cell>
          <cell r="O1088" t="str">
            <v>0.00%</v>
          </cell>
          <cell r="P1088">
            <v>110.61</v>
          </cell>
          <cell r="Q1088">
            <v>795.28590000000008</v>
          </cell>
          <cell r="R1088">
            <v>1</v>
          </cell>
        </row>
        <row r="1089">
          <cell r="A1089" t="str">
            <v>13.08.09</v>
          </cell>
          <cell r="B1089" t="str">
            <v>OBRAS VARIAS</v>
          </cell>
          <cell r="C1089">
            <v>0</v>
          </cell>
          <cell r="D1089">
            <v>0</v>
          </cell>
          <cell r="E1089">
            <v>0</v>
          </cell>
          <cell r="F1089">
            <v>0</v>
          </cell>
          <cell r="G1089">
            <v>0</v>
          </cell>
          <cell r="H1089">
            <v>0</v>
          </cell>
          <cell r="I1089">
            <v>0</v>
          </cell>
          <cell r="J1089">
            <v>0</v>
          </cell>
          <cell r="K1089">
            <v>0</v>
          </cell>
          <cell r="L1089">
            <v>0</v>
          </cell>
          <cell r="M1089">
            <v>0</v>
          </cell>
          <cell r="N1089">
            <v>0</v>
          </cell>
          <cell r="O1089">
            <v>0</v>
          </cell>
          <cell r="P1089">
            <v>0</v>
          </cell>
          <cell r="Q1089">
            <v>0</v>
          </cell>
          <cell r="R1089">
            <v>0</v>
          </cell>
        </row>
        <row r="1090">
          <cell r="A1090" t="str">
            <v>13.08.09.01</v>
          </cell>
          <cell r="B1090" t="str">
            <v xml:space="preserve">TAPA JUNTA EN VANOS MUROS/COLUMNA
</v>
          </cell>
          <cell r="C1090" t="str">
            <v>m</v>
          </cell>
          <cell r="D1090">
            <v>91.6</v>
          </cell>
          <cell r="E1090">
            <v>13.49</v>
          </cell>
          <cell r="F1090">
            <v>1235.684</v>
          </cell>
          <cell r="G1090">
            <v>0</v>
          </cell>
          <cell r="H1090">
            <v>0</v>
          </cell>
          <cell r="I1090" t="str">
            <v>0.00%</v>
          </cell>
          <cell r="J1090">
            <v>0</v>
          </cell>
          <cell r="K1090">
            <v>0</v>
          </cell>
          <cell r="L1090" t="str">
            <v>0.00%</v>
          </cell>
          <cell r="M1090">
            <v>0</v>
          </cell>
          <cell r="N1090">
            <v>0</v>
          </cell>
          <cell r="O1090" t="str">
            <v>0.00%</v>
          </cell>
          <cell r="P1090">
            <v>91.6</v>
          </cell>
          <cell r="Q1090">
            <v>1235.684</v>
          </cell>
          <cell r="R1090">
            <v>1</v>
          </cell>
        </row>
        <row r="1091">
          <cell r="A1091" t="str">
            <v>14</v>
          </cell>
          <cell r="B1091" t="str">
            <v>VARIOS, LIMPIEZA Y JARDINERIA</v>
          </cell>
          <cell r="C1091">
            <v>0</v>
          </cell>
          <cell r="D1091">
            <v>0</v>
          </cell>
          <cell r="E1091">
            <v>0</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row>
        <row r="1092">
          <cell r="A1092" t="str">
            <v>14.01</v>
          </cell>
          <cell r="B1092" t="str">
            <v>REHABILITACION DE GRUTA</v>
          </cell>
          <cell r="C1092" t="str">
            <v>GLB</v>
          </cell>
          <cell r="D1092">
            <v>1</v>
          </cell>
          <cell r="E1092">
            <v>5000</v>
          </cell>
          <cell r="F1092">
            <v>5000</v>
          </cell>
          <cell r="G1092">
            <v>0</v>
          </cell>
          <cell r="H1092">
            <v>0</v>
          </cell>
          <cell r="I1092" t="str">
            <v>0.00%</v>
          </cell>
          <cell r="J1092">
            <v>0</v>
          </cell>
          <cell r="K1092">
            <v>0</v>
          </cell>
          <cell r="L1092" t="str">
            <v>0.00%</v>
          </cell>
          <cell r="M1092">
            <v>0</v>
          </cell>
          <cell r="N1092">
            <v>0</v>
          </cell>
          <cell r="O1092" t="str">
            <v>0.00%</v>
          </cell>
          <cell r="P1092">
            <v>1</v>
          </cell>
          <cell r="Q1092">
            <v>5000</v>
          </cell>
          <cell r="R1092">
            <v>1</v>
          </cell>
        </row>
        <row r="1093">
          <cell r="A1093" t="str">
            <v>14.02</v>
          </cell>
          <cell r="B1093" t="str">
            <v>SISTEMA DE SEGURIDAD Y SEÑALIZACION</v>
          </cell>
          <cell r="C1093" t="str">
            <v>GLB</v>
          </cell>
          <cell r="D1093">
            <v>1</v>
          </cell>
          <cell r="E1093">
            <v>10414.75</v>
          </cell>
          <cell r="F1093">
            <v>10414.75</v>
          </cell>
          <cell r="G1093">
            <v>0</v>
          </cell>
          <cell r="H1093">
            <v>0</v>
          </cell>
          <cell r="I1093" t="str">
            <v>0.00%</v>
          </cell>
          <cell r="J1093">
            <v>0</v>
          </cell>
          <cell r="K1093">
            <v>0</v>
          </cell>
          <cell r="L1093" t="str">
            <v>0.00%</v>
          </cell>
          <cell r="M1093">
            <v>0</v>
          </cell>
          <cell r="N1093">
            <v>0</v>
          </cell>
          <cell r="O1093" t="str">
            <v>0.00%</v>
          </cell>
          <cell r="P1093">
            <v>1</v>
          </cell>
          <cell r="Q1093">
            <v>10414.75</v>
          </cell>
          <cell r="R1093">
            <v>1</v>
          </cell>
        </row>
        <row r="1094">
          <cell r="A1094" t="str">
            <v>14.03</v>
          </cell>
          <cell r="B1094" t="str">
            <v>SEMBRADO DE GRASS</v>
          </cell>
          <cell r="C1094" t="str">
            <v>m2</v>
          </cell>
          <cell r="D1094">
            <v>216.96</v>
          </cell>
          <cell r="E1094">
            <v>4.26</v>
          </cell>
          <cell r="F1094">
            <v>924.24959999999999</v>
          </cell>
          <cell r="G1094">
            <v>0</v>
          </cell>
          <cell r="H1094">
            <v>0</v>
          </cell>
          <cell r="I1094" t="str">
            <v>0.00%</v>
          </cell>
          <cell r="J1094">
            <v>0</v>
          </cell>
          <cell r="K1094">
            <v>0</v>
          </cell>
          <cell r="L1094" t="str">
            <v>0.00%</v>
          </cell>
          <cell r="M1094">
            <v>0</v>
          </cell>
          <cell r="N1094">
            <v>0</v>
          </cell>
          <cell r="O1094" t="str">
            <v>0.00%</v>
          </cell>
          <cell r="P1094">
            <v>216.96</v>
          </cell>
          <cell r="Q1094">
            <v>924.24959999999999</v>
          </cell>
          <cell r="R1094">
            <v>1</v>
          </cell>
        </row>
        <row r="1095">
          <cell r="A1095" t="str">
            <v>14.04</v>
          </cell>
          <cell r="B1095" t="str">
            <v>LIMPIEZA PERMANENTE DE LA OBRA</v>
          </cell>
          <cell r="C1095" t="str">
            <v>m2</v>
          </cell>
          <cell r="D1095">
            <v>1850.48</v>
          </cell>
          <cell r="E1095">
            <v>1.42</v>
          </cell>
          <cell r="F1095">
            <v>2627.6815999999999</v>
          </cell>
          <cell r="G1095">
            <v>0</v>
          </cell>
          <cell r="H1095">
            <v>0</v>
          </cell>
          <cell r="I1095" t="str">
            <v>0.00%</v>
          </cell>
          <cell r="J1095">
            <v>0</v>
          </cell>
          <cell r="K1095">
            <v>0</v>
          </cell>
          <cell r="L1095" t="str">
            <v>0.00%</v>
          </cell>
          <cell r="M1095">
            <v>0</v>
          </cell>
          <cell r="N1095">
            <v>0</v>
          </cell>
          <cell r="O1095" t="str">
            <v>0.00%</v>
          </cell>
          <cell r="P1095">
            <v>1850.48</v>
          </cell>
          <cell r="Q1095">
            <v>2627.6815999999999</v>
          </cell>
          <cell r="R1095">
            <v>1</v>
          </cell>
        </row>
        <row r="1096">
          <cell r="A1096" t="str">
            <v>14.05</v>
          </cell>
          <cell r="B1096" t="str">
            <v>ENCERADO Y LIMPIEZA DE PISOS</v>
          </cell>
          <cell r="C1096" t="str">
            <v>m2</v>
          </cell>
          <cell r="D1096">
            <v>1553.82</v>
          </cell>
          <cell r="E1096">
            <v>5.51</v>
          </cell>
          <cell r="F1096">
            <v>8561.5481999999993</v>
          </cell>
          <cell r="G1096">
            <v>0</v>
          </cell>
          <cell r="H1096">
            <v>0</v>
          </cell>
          <cell r="I1096" t="str">
            <v>0.00%</v>
          </cell>
          <cell r="J1096">
            <v>0</v>
          </cell>
          <cell r="K1096">
            <v>0</v>
          </cell>
          <cell r="L1096" t="str">
            <v>0.00%</v>
          </cell>
          <cell r="M1096">
            <v>0</v>
          </cell>
          <cell r="N1096">
            <v>0</v>
          </cell>
          <cell r="O1096" t="str">
            <v>0.00%</v>
          </cell>
          <cell r="P1096">
            <v>1553.82</v>
          </cell>
          <cell r="Q1096">
            <v>8561.5481999999993</v>
          </cell>
          <cell r="R1096">
            <v>1</v>
          </cell>
        </row>
        <row r="1097">
          <cell r="A1097" t="str">
            <v>14.06</v>
          </cell>
          <cell r="B1097" t="str">
            <v>LIMPIEZA DE VIDRIOS</v>
          </cell>
          <cell r="C1097" t="str">
            <v>m2</v>
          </cell>
          <cell r="D1097">
            <v>318.04000000000002</v>
          </cell>
          <cell r="E1097">
            <v>2.65</v>
          </cell>
          <cell r="F1097">
            <v>842.80600000000004</v>
          </cell>
          <cell r="G1097">
            <v>0</v>
          </cell>
          <cell r="H1097">
            <v>0</v>
          </cell>
          <cell r="I1097" t="str">
            <v>0.00%</v>
          </cell>
          <cell r="J1097">
            <v>0</v>
          </cell>
          <cell r="K1097">
            <v>0</v>
          </cell>
          <cell r="L1097" t="str">
            <v>0.00%</v>
          </cell>
          <cell r="M1097">
            <v>0</v>
          </cell>
          <cell r="N1097">
            <v>0</v>
          </cell>
          <cell r="O1097" t="str">
            <v>0.00%</v>
          </cell>
          <cell r="P1097">
            <v>318.04000000000002</v>
          </cell>
          <cell r="Q1097">
            <v>842.80600000000004</v>
          </cell>
          <cell r="R1097">
            <v>1</v>
          </cell>
        </row>
        <row r="1098">
          <cell r="A1098">
            <v>0</v>
          </cell>
          <cell r="B1098">
            <v>0</v>
          </cell>
          <cell r="C1098">
            <v>0</v>
          </cell>
          <cell r="D1098">
            <v>0</v>
          </cell>
          <cell r="E1098">
            <v>0</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row>
        <row r="1099">
          <cell r="A1099">
            <v>0</v>
          </cell>
          <cell r="B1099" t="str">
            <v>COSTO ARQUITECTURA</v>
          </cell>
          <cell r="C1099">
            <v>0</v>
          </cell>
          <cell r="D1099">
            <v>0</v>
          </cell>
          <cell r="E1099">
            <v>0</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row>
        <row r="1100">
          <cell r="A1100">
            <v>0</v>
          </cell>
          <cell r="B1100">
            <v>0</v>
          </cell>
          <cell r="C1100">
            <v>0</v>
          </cell>
          <cell r="D1100">
            <v>0</v>
          </cell>
          <cell r="E1100">
            <v>0</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row>
        <row r="1101">
          <cell r="A1101">
            <v>0</v>
          </cell>
          <cell r="B1101" t="str">
            <v>COSTO DIRECTO</v>
          </cell>
          <cell r="C1101">
            <v>0</v>
          </cell>
          <cell r="D1101">
            <v>0</v>
          </cell>
          <cell r="E1101">
            <v>0</v>
          </cell>
          <cell r="F1101">
            <v>1462280.6017999998</v>
          </cell>
          <cell r="G1101">
            <v>0</v>
          </cell>
          <cell r="H1101">
            <v>96847.059479999982</v>
          </cell>
          <cell r="I1101">
            <v>6.6230147182959095E-2</v>
          </cell>
          <cell r="J1101">
            <v>0</v>
          </cell>
          <cell r="K1101">
            <v>93187.617932999987</v>
          </cell>
          <cell r="L1101">
            <v>6.3727589505249774E-2</v>
          </cell>
          <cell r="M1101">
            <v>0</v>
          </cell>
          <cell r="N1101">
            <v>190034.677413</v>
          </cell>
          <cell r="O1101">
            <v>0.12995773668820887</v>
          </cell>
          <cell r="P1101">
            <v>0</v>
          </cell>
          <cell r="Q1101">
            <v>1272245.924387</v>
          </cell>
          <cell r="R1101">
            <v>0.87004226331179124</v>
          </cell>
        </row>
        <row r="1102">
          <cell r="A1102">
            <v>0</v>
          </cell>
          <cell r="B1102" t="str">
            <v xml:space="preserve">GASTOS GENERALES   </v>
          </cell>
          <cell r="C1102">
            <v>0</v>
          </cell>
          <cell r="D1102">
            <v>0.1087</v>
          </cell>
          <cell r="E1102">
            <v>0</v>
          </cell>
          <cell r="F1102">
            <v>158949.90141565999</v>
          </cell>
          <cell r="G1102">
            <v>0</v>
          </cell>
          <cell r="H1102">
            <v>10527.275365475998</v>
          </cell>
          <cell r="I1102">
            <v>6.6230147182959082E-2</v>
          </cell>
          <cell r="J1102">
            <v>0</v>
          </cell>
          <cell r="K1102">
            <v>10129.494069317099</v>
          </cell>
          <cell r="L1102">
            <v>6.3727589505249774E-2</v>
          </cell>
          <cell r="M1102">
            <v>0</v>
          </cell>
          <cell r="N1102">
            <v>20656.769434793099</v>
          </cell>
          <cell r="O1102">
            <v>0.12995773668820887</v>
          </cell>
          <cell r="P1102">
            <v>0</v>
          </cell>
          <cell r="Q1102">
            <v>138293.13198086692</v>
          </cell>
          <cell r="R1102">
            <v>0.87004226331179135</v>
          </cell>
        </row>
        <row r="1103">
          <cell r="A1103">
            <v>0</v>
          </cell>
          <cell r="B1103" t="str">
            <v xml:space="preserve">GASTOS DE SUPERVISION    </v>
          </cell>
          <cell r="C1103">
            <v>0</v>
          </cell>
          <cell r="D1103">
            <v>4.4999999999999998E-2</v>
          </cell>
          <cell r="E1103">
            <v>0</v>
          </cell>
          <cell r="F1103">
            <v>65802.627080999984</v>
          </cell>
          <cell r="G1103">
            <v>0</v>
          </cell>
          <cell r="H1103">
            <v>4358.117676599999</v>
          </cell>
          <cell r="I1103">
            <v>6.6230147182959095E-2</v>
          </cell>
          <cell r="J1103">
            <v>0</v>
          </cell>
          <cell r="K1103">
            <v>4193.4428069849992</v>
          </cell>
          <cell r="L1103">
            <v>6.3727589505249774E-2</v>
          </cell>
          <cell r="M1103">
            <v>0</v>
          </cell>
          <cell r="N1103">
            <v>8551.560483584999</v>
          </cell>
          <cell r="O1103">
            <v>0.12995773668820887</v>
          </cell>
          <cell r="P1103">
            <v>0</v>
          </cell>
          <cell r="Q1103">
            <v>57251.066597414996</v>
          </cell>
          <cell r="R1103">
            <v>0.87004226331179124</v>
          </cell>
        </row>
        <row r="1104">
          <cell r="A1104">
            <v>0</v>
          </cell>
          <cell r="B1104">
            <v>0</v>
          </cell>
          <cell r="C1104">
            <v>0</v>
          </cell>
          <cell r="D1104">
            <v>0</v>
          </cell>
          <cell r="E1104">
            <v>0</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row>
        <row r="1105">
          <cell r="A1105">
            <v>0</v>
          </cell>
          <cell r="B1105" t="str">
            <v>SUB TOTAL</v>
          </cell>
          <cell r="C1105">
            <v>0</v>
          </cell>
          <cell r="D1105">
            <v>0</v>
          </cell>
          <cell r="E1105">
            <v>0</v>
          </cell>
          <cell r="F1105">
            <v>1687033.1302966599</v>
          </cell>
          <cell r="G1105">
            <v>0</v>
          </cell>
          <cell r="H1105">
            <v>111732.45252207598</v>
          </cell>
          <cell r="I1105">
            <v>6.6230147182959095E-2</v>
          </cell>
          <cell r="J1105">
            <v>0</v>
          </cell>
          <cell r="K1105">
            <v>107510.55480930208</v>
          </cell>
          <cell r="L1105">
            <v>6.372758950524976E-2</v>
          </cell>
          <cell r="M1105">
            <v>0</v>
          </cell>
          <cell r="N1105">
            <v>219243.00733137809</v>
          </cell>
          <cell r="O1105">
            <v>0.12995773668820887</v>
          </cell>
          <cell r="P1105">
            <v>0</v>
          </cell>
          <cell r="Q1105">
            <v>1467790.1229652818</v>
          </cell>
          <cell r="R1105">
            <v>0.87004226331179113</v>
          </cell>
        </row>
        <row r="1106">
          <cell r="A1106">
            <v>0</v>
          </cell>
          <cell r="B1106">
            <v>0</v>
          </cell>
          <cell r="C1106">
            <v>0</v>
          </cell>
          <cell r="D1106">
            <v>0</v>
          </cell>
          <cell r="E1106">
            <v>0</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row>
        <row r="1107">
          <cell r="A1107">
            <v>0</v>
          </cell>
          <cell r="B1107" t="str">
            <v>SUB PRESUPUESTO 004 INSTALACIONES SANITARIAS</v>
          </cell>
          <cell r="C1107">
            <v>0</v>
          </cell>
          <cell r="D1107">
            <v>0</v>
          </cell>
          <cell r="E1107">
            <v>0</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row>
        <row r="1108">
          <cell r="A1108" t="str">
            <v>15</v>
          </cell>
          <cell r="B1108" t="str">
            <v>BLOQUE - 1</v>
          </cell>
          <cell r="C1108">
            <v>0</v>
          </cell>
          <cell r="D1108">
            <v>0</v>
          </cell>
          <cell r="E1108">
            <v>0</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row>
        <row r="1109">
          <cell r="A1109" t="str">
            <v>15.01</v>
          </cell>
          <cell r="B1109" t="str">
            <v>APARATOS SANITARIOS Y ACCESORIOS</v>
          </cell>
          <cell r="C1109">
            <v>0</v>
          </cell>
          <cell r="D1109">
            <v>0</v>
          </cell>
          <cell r="E1109">
            <v>0</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row>
        <row r="1110">
          <cell r="A1110" t="str">
            <v>15.01.01</v>
          </cell>
          <cell r="B1110" t="str">
            <v>SUMINISTRO DE APARATO SANITARIOS</v>
          </cell>
          <cell r="C1110">
            <v>0</v>
          </cell>
          <cell r="D1110">
            <v>0</v>
          </cell>
          <cell r="E1110">
            <v>0</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row>
        <row r="1111">
          <cell r="A1111" t="str">
            <v>15.01.01.01</v>
          </cell>
          <cell r="B1111" t="str">
            <v>INODORO BABY FRESH COLOR BLANCO</v>
          </cell>
          <cell r="C1111" t="str">
            <v>und</v>
          </cell>
          <cell r="D1111">
            <v>8</v>
          </cell>
          <cell r="E1111">
            <v>280</v>
          </cell>
          <cell r="F1111">
            <v>2240</v>
          </cell>
          <cell r="G1111">
            <v>0</v>
          </cell>
          <cell r="H1111">
            <v>0</v>
          </cell>
          <cell r="I1111" t="str">
            <v>0.00%</v>
          </cell>
          <cell r="J1111">
            <v>0</v>
          </cell>
          <cell r="K1111">
            <v>0</v>
          </cell>
          <cell r="L1111" t="str">
            <v>0.00%</v>
          </cell>
          <cell r="M1111">
            <v>0</v>
          </cell>
          <cell r="N1111">
            <v>0</v>
          </cell>
          <cell r="O1111" t="str">
            <v>0.00%</v>
          </cell>
          <cell r="P1111">
            <v>8</v>
          </cell>
          <cell r="Q1111">
            <v>2240</v>
          </cell>
          <cell r="R1111">
            <v>1</v>
          </cell>
        </row>
        <row r="1112">
          <cell r="A1112" t="str">
            <v>15.01.01.02</v>
          </cell>
          <cell r="B1112" t="str">
            <v xml:space="preserve">URINARIO BAMBI DE LOSA BLANCO </v>
          </cell>
          <cell r="C1112" t="str">
            <v>und</v>
          </cell>
          <cell r="D1112">
            <v>4</v>
          </cell>
          <cell r="E1112">
            <v>150</v>
          </cell>
          <cell r="F1112">
            <v>600</v>
          </cell>
          <cell r="G1112">
            <v>0</v>
          </cell>
          <cell r="H1112">
            <v>0</v>
          </cell>
          <cell r="I1112" t="str">
            <v>0.00%</v>
          </cell>
          <cell r="J1112">
            <v>0</v>
          </cell>
          <cell r="K1112">
            <v>0</v>
          </cell>
          <cell r="L1112" t="str">
            <v>0.00%</v>
          </cell>
          <cell r="M1112">
            <v>0</v>
          </cell>
          <cell r="N1112">
            <v>0</v>
          </cell>
          <cell r="O1112" t="str">
            <v>0.00%</v>
          </cell>
          <cell r="P1112">
            <v>4</v>
          </cell>
          <cell r="Q1112">
            <v>600</v>
          </cell>
          <cell r="R1112">
            <v>1</v>
          </cell>
        </row>
        <row r="1113">
          <cell r="A1113" t="str">
            <v>15.01.01.03</v>
          </cell>
          <cell r="B1113" t="str">
            <v>LAVATORIO OVALIN TIPO SONNET BLANCO</v>
          </cell>
          <cell r="C1113" t="str">
            <v>und</v>
          </cell>
          <cell r="D1113">
            <v>8</v>
          </cell>
          <cell r="E1113">
            <v>190</v>
          </cell>
          <cell r="F1113">
            <v>1520</v>
          </cell>
          <cell r="G1113">
            <v>0</v>
          </cell>
          <cell r="H1113">
            <v>0</v>
          </cell>
          <cell r="I1113" t="str">
            <v>0.00%</v>
          </cell>
          <cell r="J1113">
            <v>0</v>
          </cell>
          <cell r="K1113">
            <v>0</v>
          </cell>
          <cell r="L1113" t="str">
            <v>0.00%</v>
          </cell>
          <cell r="M1113">
            <v>0</v>
          </cell>
          <cell r="N1113">
            <v>0</v>
          </cell>
          <cell r="O1113" t="str">
            <v>0.00%</v>
          </cell>
          <cell r="P1113">
            <v>8</v>
          </cell>
          <cell r="Q1113">
            <v>1520</v>
          </cell>
          <cell r="R1113">
            <v>1</v>
          </cell>
        </row>
        <row r="1114">
          <cell r="A1114" t="str">
            <v>15.01.02</v>
          </cell>
          <cell r="B1114" t="str">
            <v>SUMINISTRO DE ACCESORIOS</v>
          </cell>
          <cell r="C1114">
            <v>0</v>
          </cell>
          <cell r="D1114">
            <v>0</v>
          </cell>
          <cell r="E1114">
            <v>0</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row>
        <row r="1115">
          <cell r="A1115" t="str">
            <v>15.01.02.01</v>
          </cell>
          <cell r="B1115" t="str">
            <v>PAPELERA DE LOSA COLOR BLANCO</v>
          </cell>
          <cell r="C1115" t="str">
            <v>und</v>
          </cell>
          <cell r="D1115">
            <v>8</v>
          </cell>
          <cell r="E1115">
            <v>35</v>
          </cell>
          <cell r="F1115">
            <v>280</v>
          </cell>
          <cell r="G1115">
            <v>0</v>
          </cell>
          <cell r="H1115">
            <v>0</v>
          </cell>
          <cell r="I1115" t="str">
            <v>0.00%</v>
          </cell>
          <cell r="J1115">
            <v>0</v>
          </cell>
          <cell r="K1115">
            <v>0</v>
          </cell>
          <cell r="L1115" t="str">
            <v>0.00%</v>
          </cell>
          <cell r="M1115">
            <v>0</v>
          </cell>
          <cell r="N1115">
            <v>0</v>
          </cell>
          <cell r="O1115" t="str">
            <v>0.00%</v>
          </cell>
          <cell r="P1115">
            <v>8</v>
          </cell>
          <cell r="Q1115">
            <v>280</v>
          </cell>
          <cell r="R1115">
            <v>1</v>
          </cell>
        </row>
        <row r="1116">
          <cell r="A1116" t="str">
            <v>15.01.02.02</v>
          </cell>
          <cell r="B1116" t="str">
            <v>JABONERA DE LOSA COLOR BLANCO</v>
          </cell>
          <cell r="C1116" t="str">
            <v>und</v>
          </cell>
          <cell r="D1116">
            <v>8</v>
          </cell>
          <cell r="E1116">
            <v>20</v>
          </cell>
          <cell r="F1116">
            <v>160</v>
          </cell>
          <cell r="G1116">
            <v>0</v>
          </cell>
          <cell r="H1116">
            <v>0</v>
          </cell>
          <cell r="I1116" t="str">
            <v>0.00%</v>
          </cell>
          <cell r="J1116">
            <v>0</v>
          </cell>
          <cell r="K1116">
            <v>0</v>
          </cell>
          <cell r="L1116" t="str">
            <v>0.00%</v>
          </cell>
          <cell r="M1116">
            <v>0</v>
          </cell>
          <cell r="N1116">
            <v>0</v>
          </cell>
          <cell r="O1116" t="str">
            <v>0.00%</v>
          </cell>
          <cell r="P1116">
            <v>8</v>
          </cell>
          <cell r="Q1116">
            <v>160</v>
          </cell>
          <cell r="R1116">
            <v>1</v>
          </cell>
        </row>
        <row r="1117">
          <cell r="A1117" t="str">
            <v>15.01.02.03</v>
          </cell>
          <cell r="B1117" t="str">
            <v>ESPEJO DE 4MM DE 1.20 x 0.50M.</v>
          </cell>
          <cell r="C1117" t="str">
            <v>und</v>
          </cell>
          <cell r="D1117">
            <v>4</v>
          </cell>
          <cell r="E1117">
            <v>35</v>
          </cell>
          <cell r="F1117">
            <v>140</v>
          </cell>
          <cell r="G1117">
            <v>0</v>
          </cell>
          <cell r="H1117">
            <v>0</v>
          </cell>
          <cell r="I1117" t="str">
            <v>0.00%</v>
          </cell>
          <cell r="J1117">
            <v>0</v>
          </cell>
          <cell r="K1117">
            <v>0</v>
          </cell>
          <cell r="L1117" t="str">
            <v>0.00%</v>
          </cell>
          <cell r="M1117">
            <v>0</v>
          </cell>
          <cell r="N1117">
            <v>0</v>
          </cell>
          <cell r="O1117" t="str">
            <v>0.00%</v>
          </cell>
          <cell r="P1117">
            <v>4</v>
          </cell>
          <cell r="Q1117">
            <v>140</v>
          </cell>
          <cell r="R1117">
            <v>1</v>
          </cell>
        </row>
        <row r="1118">
          <cell r="A1118" t="str">
            <v>15.01.03</v>
          </cell>
          <cell r="B1118" t="str">
            <v xml:space="preserve">INSTALACION DE APARATOS SANITARIOS  </v>
          </cell>
          <cell r="C1118">
            <v>0</v>
          </cell>
          <cell r="D1118">
            <v>0</v>
          </cell>
          <cell r="E1118">
            <v>0</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row>
        <row r="1119">
          <cell r="A1119" t="str">
            <v>15.01.03.01</v>
          </cell>
          <cell r="B1119" t="str">
            <v xml:space="preserve">COLOCACION DE APARATOS SANITARIOS </v>
          </cell>
          <cell r="C1119" t="str">
            <v>und</v>
          </cell>
          <cell r="D1119">
            <v>20</v>
          </cell>
          <cell r="E1119">
            <v>52.08</v>
          </cell>
          <cell r="F1119">
            <v>1041.5999999999999</v>
          </cell>
          <cell r="G1119">
            <v>0</v>
          </cell>
          <cell r="H1119">
            <v>0</v>
          </cell>
          <cell r="I1119" t="str">
            <v>0.00%</v>
          </cell>
          <cell r="J1119">
            <v>0</v>
          </cell>
          <cell r="K1119">
            <v>0</v>
          </cell>
          <cell r="L1119" t="str">
            <v>0.00%</v>
          </cell>
          <cell r="M1119">
            <v>0</v>
          </cell>
          <cell r="N1119">
            <v>0</v>
          </cell>
          <cell r="O1119" t="str">
            <v>0.00%</v>
          </cell>
          <cell r="P1119">
            <v>20</v>
          </cell>
          <cell r="Q1119">
            <v>1041.5999999999999</v>
          </cell>
          <cell r="R1119">
            <v>1</v>
          </cell>
        </row>
        <row r="1120">
          <cell r="A1120" t="str">
            <v>15.01.04</v>
          </cell>
          <cell r="B1120" t="str">
            <v>INSTALACION DE ACCESORIOS</v>
          </cell>
          <cell r="C1120">
            <v>0</v>
          </cell>
          <cell r="D1120">
            <v>0</v>
          </cell>
          <cell r="E1120">
            <v>0</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row>
        <row r="1121">
          <cell r="A1121" t="str">
            <v>15.01.04.01</v>
          </cell>
          <cell r="B1121" t="str">
            <v>COLOCACION DE ACCESORIOS SANITARIOS</v>
          </cell>
          <cell r="C1121" t="str">
            <v>und</v>
          </cell>
          <cell r="D1121">
            <v>20</v>
          </cell>
          <cell r="E1121">
            <v>26.04</v>
          </cell>
          <cell r="F1121">
            <v>520.79999999999995</v>
          </cell>
          <cell r="G1121">
            <v>0</v>
          </cell>
          <cell r="H1121">
            <v>0</v>
          </cell>
          <cell r="I1121" t="str">
            <v>0.00%</v>
          </cell>
          <cell r="J1121">
            <v>0</v>
          </cell>
          <cell r="K1121">
            <v>0</v>
          </cell>
          <cell r="L1121" t="str">
            <v>0.00%</v>
          </cell>
          <cell r="M1121">
            <v>0</v>
          </cell>
          <cell r="N1121">
            <v>0</v>
          </cell>
          <cell r="O1121" t="str">
            <v>0.00%</v>
          </cell>
          <cell r="P1121">
            <v>20</v>
          </cell>
          <cell r="Q1121">
            <v>520.79999999999995</v>
          </cell>
          <cell r="R1121">
            <v>1</v>
          </cell>
        </row>
        <row r="1122">
          <cell r="A1122" t="str">
            <v>15.02</v>
          </cell>
          <cell r="B1122" t="str">
            <v>SISTEMA DE AGUA FRIA Y ALIMENTADORES</v>
          </cell>
          <cell r="C1122">
            <v>0</v>
          </cell>
          <cell r="D1122">
            <v>0</v>
          </cell>
          <cell r="E1122">
            <v>0</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row>
        <row r="1123">
          <cell r="A1123" t="str">
            <v>15.02.01</v>
          </cell>
          <cell r="B1123" t="str">
            <v>SALIDA DE AGUA FRIA</v>
          </cell>
          <cell r="C1123">
            <v>0</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row>
        <row r="1124">
          <cell r="A1124" t="str">
            <v>15.02.01.01</v>
          </cell>
          <cell r="B1124" t="str">
            <v>SALIDA DE AGUA FRIA CON TUBERIA DE PVC-SAP 1/2"</v>
          </cell>
          <cell r="C1124" t="str">
            <v>pto</v>
          </cell>
          <cell r="D1124">
            <v>10</v>
          </cell>
          <cell r="E1124">
            <v>41.53</v>
          </cell>
          <cell r="F1124">
            <v>415.3</v>
          </cell>
          <cell r="G1124">
            <v>0</v>
          </cell>
          <cell r="H1124">
            <v>0</v>
          </cell>
          <cell r="I1124" t="str">
            <v>0.00%</v>
          </cell>
          <cell r="J1124">
            <v>5</v>
          </cell>
          <cell r="K1124">
            <v>207.65</v>
          </cell>
          <cell r="L1124">
            <v>0.5</v>
          </cell>
          <cell r="M1124">
            <v>5</v>
          </cell>
          <cell r="N1124">
            <v>207.65</v>
          </cell>
          <cell r="O1124">
            <v>0.5</v>
          </cell>
          <cell r="P1124">
            <v>5</v>
          </cell>
          <cell r="Q1124">
            <v>207.65</v>
          </cell>
          <cell r="R1124">
            <v>0.5</v>
          </cell>
        </row>
        <row r="1125">
          <cell r="A1125" t="str">
            <v>15.02.02</v>
          </cell>
          <cell r="B1125" t="str">
            <v>REDES DE DISTRIBUCION DE AGUA FRIA</v>
          </cell>
          <cell r="C1125">
            <v>0</v>
          </cell>
          <cell r="D1125">
            <v>0</v>
          </cell>
          <cell r="E1125">
            <v>0</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row>
        <row r="1126">
          <cell r="A1126" t="str">
            <v>15.02.02.01</v>
          </cell>
          <cell r="B1126" t="str">
            <v>RED DE DISTRIBUCION TUBERIA PVC SAP C-10 Ø DE 1/2"</v>
          </cell>
          <cell r="C1126" t="str">
            <v>m</v>
          </cell>
          <cell r="D1126">
            <v>35.46</v>
          </cell>
          <cell r="E1126">
            <v>20.36</v>
          </cell>
          <cell r="F1126">
            <v>721.96559999999999</v>
          </cell>
          <cell r="G1126">
            <v>0</v>
          </cell>
          <cell r="H1126">
            <v>0</v>
          </cell>
          <cell r="I1126" t="str">
            <v>0.00%</v>
          </cell>
          <cell r="J1126">
            <v>0</v>
          </cell>
          <cell r="K1126">
            <v>0</v>
          </cell>
          <cell r="L1126" t="str">
            <v>0.00%</v>
          </cell>
          <cell r="M1126">
            <v>0</v>
          </cell>
          <cell r="N1126">
            <v>0</v>
          </cell>
          <cell r="O1126" t="str">
            <v>0.00%</v>
          </cell>
          <cell r="P1126">
            <v>35.46</v>
          </cell>
          <cell r="Q1126">
            <v>721.96559999999999</v>
          </cell>
          <cell r="R1126">
            <v>1</v>
          </cell>
        </row>
        <row r="1127">
          <cell r="A1127" t="str">
            <v>15.02.02.02</v>
          </cell>
          <cell r="B1127" t="str">
            <v>RED DE DISTRIBUCION TUBERIA PVC SAP C-10 Ø DE 3/4"</v>
          </cell>
          <cell r="C1127" t="str">
            <v>m</v>
          </cell>
          <cell r="D1127">
            <v>11.34</v>
          </cell>
          <cell r="E1127">
            <v>31.76</v>
          </cell>
          <cell r="F1127">
            <v>360.15840000000003</v>
          </cell>
          <cell r="G1127">
            <v>0</v>
          </cell>
          <cell r="H1127">
            <v>0</v>
          </cell>
          <cell r="I1127" t="str">
            <v>0.00%</v>
          </cell>
          <cell r="J1127">
            <v>0</v>
          </cell>
          <cell r="K1127">
            <v>0</v>
          </cell>
          <cell r="L1127" t="str">
            <v>0.00%</v>
          </cell>
          <cell r="M1127">
            <v>0</v>
          </cell>
          <cell r="N1127">
            <v>0</v>
          </cell>
          <cell r="O1127" t="str">
            <v>0.00%</v>
          </cell>
          <cell r="P1127">
            <v>11.34</v>
          </cell>
          <cell r="Q1127">
            <v>360.15840000000003</v>
          </cell>
          <cell r="R1127">
            <v>1</v>
          </cell>
        </row>
        <row r="1128">
          <cell r="A1128" t="str">
            <v>15.02.02.03</v>
          </cell>
          <cell r="B1128" t="str">
            <v>RED DE DISTRIBUCION TUBERIA PVC SAP C-10 Ø DE 1"</v>
          </cell>
          <cell r="C1128" t="str">
            <v>m</v>
          </cell>
          <cell r="D1128">
            <v>3.55</v>
          </cell>
          <cell r="E1128">
            <v>34.159999999999997</v>
          </cell>
          <cell r="F1128">
            <v>121.26799999999999</v>
          </cell>
          <cell r="G1128">
            <v>0</v>
          </cell>
          <cell r="H1128">
            <v>0</v>
          </cell>
          <cell r="I1128" t="str">
            <v>0.00%</v>
          </cell>
          <cell r="J1128">
            <v>3.55</v>
          </cell>
          <cell r="K1128">
            <v>121.26799999999999</v>
          </cell>
          <cell r="L1128">
            <v>1</v>
          </cell>
          <cell r="M1128">
            <v>3.55</v>
          </cell>
          <cell r="N1128">
            <v>121.26799999999999</v>
          </cell>
          <cell r="O1128">
            <v>1</v>
          </cell>
          <cell r="P1128">
            <v>0</v>
          </cell>
          <cell r="Q1128">
            <v>0</v>
          </cell>
          <cell r="R1128" t="str">
            <v>0.00%</v>
          </cell>
        </row>
        <row r="1129">
          <cell r="A1129" t="str">
            <v>15.02.03</v>
          </cell>
          <cell r="B1129" t="str">
            <v>VALVULA Y ACCESORIOS DE AGUA FRIA</v>
          </cell>
          <cell r="C1129">
            <v>0</v>
          </cell>
          <cell r="D1129">
            <v>0</v>
          </cell>
          <cell r="E1129">
            <v>0</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row>
        <row r="1130">
          <cell r="A1130" t="str">
            <v>15.02.03.01</v>
          </cell>
          <cell r="B1130" t="str">
            <v>VALVULA COMPUERTA DE BRONCE  Ø 1/2"</v>
          </cell>
          <cell r="C1130" t="str">
            <v>und</v>
          </cell>
          <cell r="D1130">
            <v>4</v>
          </cell>
          <cell r="E1130">
            <v>147.4</v>
          </cell>
          <cell r="F1130">
            <v>589.6</v>
          </cell>
          <cell r="G1130">
            <v>0</v>
          </cell>
          <cell r="H1130">
            <v>0</v>
          </cell>
          <cell r="I1130" t="str">
            <v>0.00%</v>
          </cell>
          <cell r="J1130">
            <v>2</v>
          </cell>
          <cell r="K1130">
            <v>294.8</v>
          </cell>
          <cell r="L1130">
            <v>0.5</v>
          </cell>
          <cell r="M1130">
            <v>2</v>
          </cell>
          <cell r="N1130">
            <v>294.8</v>
          </cell>
          <cell r="O1130">
            <v>0.5</v>
          </cell>
          <cell r="P1130">
            <v>2</v>
          </cell>
          <cell r="Q1130">
            <v>294.8</v>
          </cell>
          <cell r="R1130">
            <v>0.5</v>
          </cell>
        </row>
        <row r="1131">
          <cell r="A1131" t="str">
            <v>15.02.03.02</v>
          </cell>
          <cell r="B1131" t="str">
            <v>VALVULA COMPUERTA DE BRONCE  Ø 3/4"</v>
          </cell>
          <cell r="C1131" t="str">
            <v>und</v>
          </cell>
          <cell r="D1131">
            <v>4</v>
          </cell>
          <cell r="E1131">
            <v>188.9</v>
          </cell>
          <cell r="F1131">
            <v>755.6</v>
          </cell>
          <cell r="G1131">
            <v>0</v>
          </cell>
          <cell r="H1131">
            <v>0</v>
          </cell>
          <cell r="I1131" t="str">
            <v>0.00%</v>
          </cell>
          <cell r="J1131">
            <v>2</v>
          </cell>
          <cell r="K1131">
            <v>377.8</v>
          </cell>
          <cell r="L1131">
            <v>0.5</v>
          </cell>
          <cell r="M1131">
            <v>2</v>
          </cell>
          <cell r="N1131">
            <v>377.8</v>
          </cell>
          <cell r="O1131">
            <v>0.5</v>
          </cell>
          <cell r="P1131">
            <v>2</v>
          </cell>
          <cell r="Q1131">
            <v>377.8</v>
          </cell>
          <cell r="R1131">
            <v>0.5</v>
          </cell>
        </row>
        <row r="1132">
          <cell r="A1132" t="str">
            <v>15.02.04</v>
          </cell>
          <cell r="B1132" t="str">
            <v>PRUEBAS HIDRAULICA</v>
          </cell>
          <cell r="C1132">
            <v>0</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row>
        <row r="1133">
          <cell r="A1133" t="str">
            <v>15.02.04.01</v>
          </cell>
          <cell r="B1133" t="str">
            <v>PRUEBA HIDRAULICA TUBERIA DE AGUA FRIA</v>
          </cell>
          <cell r="C1133" t="str">
            <v>GLB</v>
          </cell>
          <cell r="D1133">
            <v>1</v>
          </cell>
          <cell r="E1133">
            <v>450</v>
          </cell>
          <cell r="F1133">
            <v>450</v>
          </cell>
          <cell r="G1133">
            <v>0</v>
          </cell>
          <cell r="H1133">
            <v>0</v>
          </cell>
          <cell r="I1133" t="str">
            <v>0.00%</v>
          </cell>
          <cell r="J1133">
            <v>0</v>
          </cell>
          <cell r="K1133">
            <v>0</v>
          </cell>
          <cell r="L1133" t="str">
            <v>0.00%</v>
          </cell>
          <cell r="M1133">
            <v>0</v>
          </cell>
          <cell r="N1133">
            <v>0</v>
          </cell>
          <cell r="O1133" t="str">
            <v>0.00%</v>
          </cell>
          <cell r="P1133">
            <v>1</v>
          </cell>
          <cell r="Q1133">
            <v>450</v>
          </cell>
          <cell r="R1133">
            <v>1</v>
          </cell>
        </row>
        <row r="1134">
          <cell r="A1134" t="str">
            <v>15.03</v>
          </cell>
          <cell r="B1134" t="str">
            <v xml:space="preserve">SISTEMA DE DESAGUE Y VENTILACION </v>
          </cell>
          <cell r="C1134">
            <v>0</v>
          </cell>
          <cell r="D1134">
            <v>0</v>
          </cell>
          <cell r="E1134">
            <v>0</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row>
        <row r="1135">
          <cell r="A1135" t="str">
            <v>15.03.01</v>
          </cell>
          <cell r="B1135" t="str">
            <v>SALIDA DE DESAGUE Y VENTILACION</v>
          </cell>
          <cell r="C1135">
            <v>0</v>
          </cell>
          <cell r="D1135">
            <v>0</v>
          </cell>
          <cell r="E1135">
            <v>0</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row>
        <row r="1136">
          <cell r="A1136" t="str">
            <v>15.03.01.01</v>
          </cell>
          <cell r="B1136" t="str">
            <v>SALIDAS DE PVC SAL PARA DESAGUE DE 2"</v>
          </cell>
          <cell r="C1136" t="str">
            <v>pto</v>
          </cell>
          <cell r="D1136">
            <v>20</v>
          </cell>
          <cell r="E1136">
            <v>92.04</v>
          </cell>
          <cell r="F1136">
            <v>1840.8000000000002</v>
          </cell>
          <cell r="G1136">
            <v>20</v>
          </cell>
          <cell r="H1136">
            <v>1840.8000000000002</v>
          </cell>
          <cell r="I1136">
            <v>1</v>
          </cell>
          <cell r="J1136">
            <v>0</v>
          </cell>
          <cell r="K1136">
            <v>0</v>
          </cell>
          <cell r="L1136" t="str">
            <v>0.00%</v>
          </cell>
          <cell r="M1136">
            <v>20</v>
          </cell>
          <cell r="N1136">
            <v>1840.8000000000002</v>
          </cell>
          <cell r="O1136">
            <v>1</v>
          </cell>
          <cell r="P1136">
            <v>0</v>
          </cell>
          <cell r="Q1136">
            <v>0</v>
          </cell>
          <cell r="R1136" t="str">
            <v>0.00%</v>
          </cell>
        </row>
        <row r="1137">
          <cell r="A1137" t="str">
            <v>15.03.01.02</v>
          </cell>
          <cell r="B1137" t="str">
            <v>SALIDAS DE PVC SAL PARA DESAGUE DE 4"</v>
          </cell>
          <cell r="C1137" t="str">
            <v>pto</v>
          </cell>
          <cell r="D1137">
            <v>8</v>
          </cell>
          <cell r="E1137">
            <v>56.34</v>
          </cell>
          <cell r="F1137">
            <v>450.72</v>
          </cell>
          <cell r="G1137">
            <v>8</v>
          </cell>
          <cell r="H1137">
            <v>450.72</v>
          </cell>
          <cell r="I1137">
            <v>1</v>
          </cell>
          <cell r="J1137">
            <v>0</v>
          </cell>
          <cell r="K1137">
            <v>0</v>
          </cell>
          <cell r="L1137" t="str">
            <v>0.00%</v>
          </cell>
          <cell r="M1137">
            <v>8</v>
          </cell>
          <cell r="N1137">
            <v>450.72</v>
          </cell>
          <cell r="O1137">
            <v>1</v>
          </cell>
          <cell r="P1137">
            <v>0</v>
          </cell>
          <cell r="Q1137">
            <v>0</v>
          </cell>
          <cell r="R1137" t="str">
            <v>0.00%</v>
          </cell>
        </row>
        <row r="1138">
          <cell r="A1138" t="str">
            <v>15.03.01.03</v>
          </cell>
          <cell r="B1138" t="str">
            <v>SALIDAS DE PVC SAL PARA VENTILACION DE 2"</v>
          </cell>
          <cell r="C1138" t="str">
            <v>pto</v>
          </cell>
          <cell r="D1138">
            <v>16</v>
          </cell>
          <cell r="E1138">
            <v>85.76</v>
          </cell>
          <cell r="F1138">
            <v>1372.16</v>
          </cell>
          <cell r="G1138">
            <v>16</v>
          </cell>
          <cell r="H1138">
            <v>1372.16</v>
          </cell>
          <cell r="I1138">
            <v>1</v>
          </cell>
          <cell r="J1138">
            <v>0</v>
          </cell>
          <cell r="K1138">
            <v>0</v>
          </cell>
          <cell r="L1138" t="str">
            <v>0.00%</v>
          </cell>
          <cell r="M1138">
            <v>16</v>
          </cell>
          <cell r="N1138">
            <v>1372.16</v>
          </cell>
          <cell r="O1138">
            <v>1</v>
          </cell>
          <cell r="P1138">
            <v>0</v>
          </cell>
          <cell r="Q1138">
            <v>0</v>
          </cell>
          <cell r="R1138" t="str">
            <v>0.00%</v>
          </cell>
        </row>
        <row r="1139">
          <cell r="A1139" t="str">
            <v>15.03.01.04</v>
          </cell>
          <cell r="B1139" t="str">
            <v>SOMBRERO VENTILACION PVC DE 2"</v>
          </cell>
          <cell r="C1139" t="str">
            <v>pza</v>
          </cell>
          <cell r="D1139">
            <v>1</v>
          </cell>
          <cell r="E1139">
            <v>11.19</v>
          </cell>
          <cell r="F1139">
            <v>11.19</v>
          </cell>
          <cell r="G1139">
            <v>0</v>
          </cell>
          <cell r="H1139">
            <v>0</v>
          </cell>
          <cell r="I1139" t="str">
            <v>0.00%</v>
          </cell>
          <cell r="J1139">
            <v>0</v>
          </cell>
          <cell r="K1139">
            <v>0</v>
          </cell>
          <cell r="L1139" t="str">
            <v>0.00%</v>
          </cell>
          <cell r="M1139">
            <v>0</v>
          </cell>
          <cell r="N1139">
            <v>0</v>
          </cell>
          <cell r="O1139" t="str">
            <v>0.00%</v>
          </cell>
          <cell r="P1139">
            <v>1</v>
          </cell>
          <cell r="Q1139">
            <v>11.19</v>
          </cell>
          <cell r="R1139">
            <v>1</v>
          </cell>
        </row>
        <row r="1140">
          <cell r="A1140" t="str">
            <v>15.03.02</v>
          </cell>
          <cell r="B1140" t="str">
            <v>REDES DE DERIVACION</v>
          </cell>
          <cell r="C1140">
            <v>0</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row>
        <row r="1141">
          <cell r="A1141" t="str">
            <v>15.03.02.01</v>
          </cell>
          <cell r="B1141" t="str">
            <v>RED DE DESAGUE TUBERIA PVC DE 2"</v>
          </cell>
          <cell r="C1141" t="str">
            <v>m</v>
          </cell>
          <cell r="D1141">
            <v>17.48</v>
          </cell>
          <cell r="E1141">
            <v>15.56</v>
          </cell>
          <cell r="F1141">
            <v>271.98880000000003</v>
          </cell>
          <cell r="G1141">
            <v>0</v>
          </cell>
          <cell r="H1141">
            <v>0</v>
          </cell>
          <cell r="I1141" t="str">
            <v>0.00%</v>
          </cell>
          <cell r="J1141">
            <v>8.74</v>
          </cell>
          <cell r="K1141">
            <v>135.99440000000001</v>
          </cell>
          <cell r="L1141">
            <v>0.5</v>
          </cell>
          <cell r="M1141">
            <v>8.74</v>
          </cell>
          <cell r="N1141">
            <v>135.99440000000001</v>
          </cell>
          <cell r="O1141">
            <v>0.5</v>
          </cell>
          <cell r="P1141">
            <v>8.74</v>
          </cell>
          <cell r="Q1141">
            <v>135.99440000000001</v>
          </cell>
          <cell r="R1141">
            <v>0.5</v>
          </cell>
        </row>
        <row r="1142">
          <cell r="A1142" t="str">
            <v>15.03.02.02</v>
          </cell>
          <cell r="B1142" t="str">
            <v>RED DE DESAGUE TUBERIA PVC DE 4"</v>
          </cell>
          <cell r="C1142" t="str">
            <v>m</v>
          </cell>
          <cell r="D1142">
            <v>39.46</v>
          </cell>
          <cell r="E1142">
            <v>20.329999999999998</v>
          </cell>
          <cell r="F1142">
            <v>802.22179999999992</v>
          </cell>
          <cell r="G1142">
            <v>0</v>
          </cell>
          <cell r="H1142">
            <v>0</v>
          </cell>
          <cell r="I1142" t="str">
            <v>0.00%</v>
          </cell>
          <cell r="J1142">
            <v>20.759999999999998</v>
          </cell>
          <cell r="K1142">
            <v>422.05079999999992</v>
          </cell>
          <cell r="L1142">
            <v>0.52610238215914851</v>
          </cell>
          <cell r="M1142">
            <v>20.759999999999998</v>
          </cell>
          <cell r="N1142">
            <v>422.05079999999992</v>
          </cell>
          <cell r="O1142">
            <v>0.52610238215914851</v>
          </cell>
          <cell r="P1142">
            <v>18.700000000000003</v>
          </cell>
          <cell r="Q1142">
            <v>380.17099999999999</v>
          </cell>
          <cell r="R1142">
            <v>0.47389761784085155</v>
          </cell>
        </row>
        <row r="1143">
          <cell r="A1143" t="str">
            <v>15.03.03</v>
          </cell>
          <cell r="B1143" t="str">
            <v>REGISTRO Y SUMIDEROS</v>
          </cell>
          <cell r="C1143">
            <v>0</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row>
        <row r="1144">
          <cell r="A1144" t="str">
            <v>15.03.03.01</v>
          </cell>
          <cell r="B1144" t="str">
            <v>REGISTROS DE BRONCE DE 2"</v>
          </cell>
          <cell r="C1144" t="str">
            <v>pza</v>
          </cell>
          <cell r="D1144">
            <v>4</v>
          </cell>
          <cell r="E1144">
            <v>58.08</v>
          </cell>
          <cell r="F1144">
            <v>232.32</v>
          </cell>
          <cell r="G1144">
            <v>0</v>
          </cell>
          <cell r="H1144">
            <v>0</v>
          </cell>
          <cell r="I1144" t="str">
            <v>0.00%</v>
          </cell>
          <cell r="J1144">
            <v>0</v>
          </cell>
          <cell r="K1144">
            <v>0</v>
          </cell>
          <cell r="L1144" t="str">
            <v>0.00%</v>
          </cell>
          <cell r="M1144">
            <v>0</v>
          </cell>
          <cell r="N1144">
            <v>0</v>
          </cell>
          <cell r="O1144" t="str">
            <v>0.00%</v>
          </cell>
          <cell r="P1144">
            <v>4</v>
          </cell>
          <cell r="Q1144">
            <v>232.32</v>
          </cell>
          <cell r="R1144">
            <v>1</v>
          </cell>
        </row>
        <row r="1145">
          <cell r="A1145" t="str">
            <v>15.03.03.02</v>
          </cell>
          <cell r="B1145" t="str">
            <v>REGISTROS DE BRONCE DE 4"</v>
          </cell>
          <cell r="C1145" t="str">
            <v>pza</v>
          </cell>
          <cell r="D1145">
            <v>16</v>
          </cell>
          <cell r="E1145">
            <v>34.130000000000003</v>
          </cell>
          <cell r="F1145">
            <v>546.08000000000004</v>
          </cell>
          <cell r="G1145">
            <v>0</v>
          </cell>
          <cell r="H1145">
            <v>0</v>
          </cell>
          <cell r="I1145" t="str">
            <v>0.00%</v>
          </cell>
          <cell r="J1145">
            <v>0</v>
          </cell>
          <cell r="K1145">
            <v>0</v>
          </cell>
          <cell r="L1145" t="str">
            <v>0.00%</v>
          </cell>
          <cell r="M1145">
            <v>0</v>
          </cell>
          <cell r="N1145">
            <v>0</v>
          </cell>
          <cell r="O1145" t="str">
            <v>0.00%</v>
          </cell>
          <cell r="P1145">
            <v>16</v>
          </cell>
          <cell r="Q1145">
            <v>546.08000000000004</v>
          </cell>
          <cell r="R1145">
            <v>1</v>
          </cell>
        </row>
        <row r="1146">
          <cell r="A1146" t="str">
            <v>15.03.03.03</v>
          </cell>
          <cell r="B1146" t="str">
            <v>SUMIDEROS DE 2"</v>
          </cell>
          <cell r="C1146" t="str">
            <v>pza</v>
          </cell>
          <cell r="D1146">
            <v>4</v>
          </cell>
          <cell r="E1146">
            <v>68.38</v>
          </cell>
          <cell r="F1146">
            <v>273.52</v>
          </cell>
          <cell r="G1146">
            <v>0</v>
          </cell>
          <cell r="H1146">
            <v>0</v>
          </cell>
          <cell r="I1146" t="str">
            <v>0.00%</v>
          </cell>
          <cell r="J1146">
            <v>0</v>
          </cell>
          <cell r="K1146">
            <v>0</v>
          </cell>
          <cell r="L1146" t="str">
            <v>0.00%</v>
          </cell>
          <cell r="M1146">
            <v>0</v>
          </cell>
          <cell r="N1146">
            <v>0</v>
          </cell>
          <cell r="O1146" t="str">
            <v>0.00%</v>
          </cell>
          <cell r="P1146">
            <v>4</v>
          </cell>
          <cell r="Q1146">
            <v>273.52</v>
          </cell>
          <cell r="R1146">
            <v>1</v>
          </cell>
        </row>
        <row r="1147">
          <cell r="A1147" t="str">
            <v>15.03.04</v>
          </cell>
          <cell r="B1147" t="str">
            <v>CAJAS DE INSPECCION Y RETENCION</v>
          </cell>
          <cell r="C1147">
            <v>0</v>
          </cell>
          <cell r="D1147">
            <v>0</v>
          </cell>
          <cell r="E1147">
            <v>0</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row>
        <row r="1148">
          <cell r="A1148" t="str">
            <v>15.03.04.01</v>
          </cell>
          <cell r="B1148" t="str">
            <v>CAJA DE REGISTRO DE DESAGUE 12" X 24" - CONSTRUCION</v>
          </cell>
          <cell r="C1148" t="str">
            <v>und</v>
          </cell>
          <cell r="D1148">
            <v>1</v>
          </cell>
          <cell r="E1148">
            <v>140.52000000000001</v>
          </cell>
          <cell r="F1148">
            <v>140.52000000000001</v>
          </cell>
          <cell r="G1148">
            <v>0</v>
          </cell>
          <cell r="H1148">
            <v>0</v>
          </cell>
          <cell r="I1148" t="str">
            <v>0.00%</v>
          </cell>
          <cell r="J1148">
            <v>0</v>
          </cell>
          <cell r="K1148">
            <v>0</v>
          </cell>
          <cell r="L1148" t="str">
            <v>0.00%</v>
          </cell>
          <cell r="M1148">
            <v>0</v>
          </cell>
          <cell r="N1148">
            <v>0</v>
          </cell>
          <cell r="O1148" t="str">
            <v>0.00%</v>
          </cell>
          <cell r="P1148">
            <v>1</v>
          </cell>
          <cell r="Q1148">
            <v>140.52000000000001</v>
          </cell>
          <cell r="R1148">
            <v>1</v>
          </cell>
        </row>
        <row r="1149">
          <cell r="A1149" t="str">
            <v>15.03.05</v>
          </cell>
          <cell r="B1149" t="str">
            <v>PRUEBAS HIDRAULICA</v>
          </cell>
          <cell r="C1149">
            <v>0</v>
          </cell>
          <cell r="D1149">
            <v>0</v>
          </cell>
          <cell r="E1149">
            <v>0</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row>
        <row r="1150">
          <cell r="A1150" t="str">
            <v>15.03.05.01</v>
          </cell>
          <cell r="B1150" t="str">
            <v>PRUEBA HIDRAULICA TUBERIA DE DESAGUE</v>
          </cell>
          <cell r="C1150" t="str">
            <v>und</v>
          </cell>
          <cell r="D1150">
            <v>1</v>
          </cell>
          <cell r="E1150">
            <v>450</v>
          </cell>
          <cell r="F1150">
            <v>450</v>
          </cell>
          <cell r="G1150">
            <v>0</v>
          </cell>
          <cell r="H1150">
            <v>0</v>
          </cell>
          <cell r="I1150" t="str">
            <v>0.00%</v>
          </cell>
          <cell r="J1150">
            <v>0</v>
          </cell>
          <cell r="K1150">
            <v>0</v>
          </cell>
          <cell r="L1150" t="str">
            <v>0.00%</v>
          </cell>
          <cell r="M1150">
            <v>0</v>
          </cell>
          <cell r="N1150">
            <v>0</v>
          </cell>
          <cell r="O1150" t="str">
            <v>0.00%</v>
          </cell>
          <cell r="P1150">
            <v>1</v>
          </cell>
          <cell r="Q1150">
            <v>450</v>
          </cell>
          <cell r="R1150">
            <v>1</v>
          </cell>
        </row>
        <row r="1151">
          <cell r="A1151" t="str">
            <v>15.04</v>
          </cell>
          <cell r="B1151" t="str">
            <v>SISTEMA DE DRENAJE PLUVIAL</v>
          </cell>
          <cell r="C1151">
            <v>0</v>
          </cell>
          <cell r="D1151">
            <v>0</v>
          </cell>
          <cell r="E1151">
            <v>0</v>
          </cell>
          <cell r="F1151">
            <v>0</v>
          </cell>
          <cell r="G1151">
            <v>0</v>
          </cell>
          <cell r="H1151">
            <v>0</v>
          </cell>
          <cell r="I1151">
            <v>0</v>
          </cell>
          <cell r="J1151">
            <v>0</v>
          </cell>
          <cell r="K1151">
            <v>0</v>
          </cell>
          <cell r="L1151">
            <v>0</v>
          </cell>
          <cell r="M1151">
            <v>0</v>
          </cell>
          <cell r="N1151">
            <v>0</v>
          </cell>
          <cell r="O1151">
            <v>0</v>
          </cell>
          <cell r="P1151">
            <v>0</v>
          </cell>
          <cell r="Q1151">
            <v>0</v>
          </cell>
          <cell r="R1151">
            <v>0</v>
          </cell>
        </row>
        <row r="1152">
          <cell r="A1152" t="str">
            <v>15.04.01</v>
          </cell>
          <cell r="B1152" t="str">
            <v>SISTEMA DE BAJADA MONTANTE (PLUVIAL)</v>
          </cell>
          <cell r="C1152">
            <v>0</v>
          </cell>
          <cell r="D1152">
            <v>0</v>
          </cell>
          <cell r="E1152">
            <v>0</v>
          </cell>
          <cell r="F1152">
            <v>0</v>
          </cell>
          <cell r="G1152">
            <v>0</v>
          </cell>
          <cell r="H1152">
            <v>0</v>
          </cell>
          <cell r="I1152">
            <v>0</v>
          </cell>
          <cell r="J1152">
            <v>0</v>
          </cell>
          <cell r="K1152">
            <v>0</v>
          </cell>
          <cell r="L1152">
            <v>0</v>
          </cell>
          <cell r="M1152">
            <v>0</v>
          </cell>
          <cell r="N1152">
            <v>0</v>
          </cell>
          <cell r="O1152">
            <v>0</v>
          </cell>
          <cell r="P1152">
            <v>0</v>
          </cell>
          <cell r="Q1152">
            <v>0</v>
          </cell>
          <cell r="R1152">
            <v>0</v>
          </cell>
        </row>
        <row r="1153">
          <cell r="A1153" t="str">
            <v>15.04.01.01</v>
          </cell>
          <cell r="B1153" t="str">
            <v>CANALETA DE EVACUACION PLUVIAL</v>
          </cell>
          <cell r="C1153" t="str">
            <v>m</v>
          </cell>
          <cell r="D1153">
            <v>15.8</v>
          </cell>
          <cell r="E1153">
            <v>33.79</v>
          </cell>
          <cell r="F1153">
            <v>533.88200000000006</v>
          </cell>
          <cell r="G1153">
            <v>0</v>
          </cell>
          <cell r="H1153">
            <v>0</v>
          </cell>
          <cell r="I1153" t="str">
            <v>0.00%</v>
          </cell>
          <cell r="J1153">
            <v>15.8</v>
          </cell>
          <cell r="K1153">
            <v>533.88200000000006</v>
          </cell>
          <cell r="L1153">
            <v>1</v>
          </cell>
          <cell r="M1153">
            <v>15.8</v>
          </cell>
          <cell r="N1153">
            <v>533.88200000000006</v>
          </cell>
          <cell r="O1153">
            <v>1</v>
          </cell>
          <cell r="P1153">
            <v>0</v>
          </cell>
          <cell r="Q1153">
            <v>0</v>
          </cell>
          <cell r="R1153" t="str">
            <v>0.00%</v>
          </cell>
        </row>
        <row r="1154">
          <cell r="A1154" t="str">
            <v>15.04.01.02</v>
          </cell>
          <cell r="B1154" t="str">
            <v>ABRAZADERA DE FIJACION DE TUBO</v>
          </cell>
          <cell r="C1154" t="str">
            <v>und</v>
          </cell>
          <cell r="D1154">
            <v>30</v>
          </cell>
          <cell r="E1154">
            <v>41.02</v>
          </cell>
          <cell r="F1154">
            <v>1230.6000000000001</v>
          </cell>
          <cell r="G1154">
            <v>0</v>
          </cell>
          <cell r="H1154">
            <v>0</v>
          </cell>
          <cell r="I1154" t="str">
            <v>0.00%</v>
          </cell>
          <cell r="J1154">
            <v>0</v>
          </cell>
          <cell r="K1154">
            <v>0</v>
          </cell>
          <cell r="L1154" t="str">
            <v>0.00%</v>
          </cell>
          <cell r="M1154">
            <v>0</v>
          </cell>
          <cell r="N1154">
            <v>0</v>
          </cell>
          <cell r="O1154" t="str">
            <v>0.00%</v>
          </cell>
          <cell r="P1154">
            <v>30</v>
          </cell>
          <cell r="Q1154">
            <v>1230.6000000000001</v>
          </cell>
          <cell r="R1154">
            <v>1</v>
          </cell>
        </row>
        <row r="1155">
          <cell r="A1155" t="str">
            <v>15.04.01.03</v>
          </cell>
          <cell r="B1155" t="str">
            <v>INSTALACION DE TUB. PVC SAP C-10 Ø 4"</v>
          </cell>
          <cell r="C1155" t="str">
            <v>m</v>
          </cell>
          <cell r="D1155">
            <v>38.700000000000003</v>
          </cell>
          <cell r="E1155">
            <v>9.93</v>
          </cell>
          <cell r="F1155">
            <v>384.291</v>
          </cell>
          <cell r="G1155">
            <v>0</v>
          </cell>
          <cell r="H1155">
            <v>0</v>
          </cell>
          <cell r="I1155" t="str">
            <v>0.00%</v>
          </cell>
          <cell r="J1155">
            <v>0</v>
          </cell>
          <cell r="K1155">
            <v>0</v>
          </cell>
          <cell r="L1155" t="str">
            <v>0.00%</v>
          </cell>
          <cell r="M1155">
            <v>0</v>
          </cell>
          <cell r="N1155">
            <v>0</v>
          </cell>
          <cell r="O1155" t="str">
            <v>0.00%</v>
          </cell>
          <cell r="P1155">
            <v>38.700000000000003</v>
          </cell>
          <cell r="Q1155">
            <v>384.291</v>
          </cell>
          <cell r="R1155">
            <v>1</v>
          </cell>
        </row>
        <row r="1156">
          <cell r="A1156" t="str">
            <v>15.04.01.04</v>
          </cell>
          <cell r="B1156" t="str">
            <v>CONCRETO FC=175 KG/CM2 EN COLUMNETAS</v>
          </cell>
          <cell r="C1156" t="str">
            <v>m3</v>
          </cell>
          <cell r="D1156">
            <v>0.24</v>
          </cell>
          <cell r="E1156">
            <v>466.52</v>
          </cell>
          <cell r="F1156">
            <v>111.9648</v>
          </cell>
          <cell r="G1156">
            <v>0</v>
          </cell>
          <cell r="H1156">
            <v>0</v>
          </cell>
          <cell r="I1156" t="str">
            <v>0.00%</v>
          </cell>
          <cell r="J1156">
            <v>0</v>
          </cell>
          <cell r="K1156">
            <v>0</v>
          </cell>
          <cell r="L1156" t="str">
            <v>0.00%</v>
          </cell>
          <cell r="M1156">
            <v>0</v>
          </cell>
          <cell r="N1156">
            <v>0</v>
          </cell>
          <cell r="O1156" t="str">
            <v>0.00%</v>
          </cell>
          <cell r="P1156">
            <v>0.24</v>
          </cell>
          <cell r="Q1156">
            <v>111.9648</v>
          </cell>
          <cell r="R1156">
            <v>1</v>
          </cell>
        </row>
        <row r="1157">
          <cell r="A1157" t="str">
            <v>15.04.01.05</v>
          </cell>
          <cell r="B1157" t="str">
            <v>ACERO F'Y=4200 KG/CM2 GRADO 60 EN COLUMNETAS</v>
          </cell>
          <cell r="C1157" t="str">
            <v>kg</v>
          </cell>
          <cell r="D1157">
            <v>42.52</v>
          </cell>
          <cell r="E1157">
            <v>4.4400000000000004</v>
          </cell>
          <cell r="F1157">
            <v>188.78880000000004</v>
          </cell>
          <cell r="G1157">
            <v>0</v>
          </cell>
          <cell r="H1157">
            <v>0</v>
          </cell>
          <cell r="I1157" t="str">
            <v>0.00%</v>
          </cell>
          <cell r="J1157">
            <v>0</v>
          </cell>
          <cell r="K1157">
            <v>0</v>
          </cell>
          <cell r="L1157" t="str">
            <v>0.00%</v>
          </cell>
          <cell r="M1157">
            <v>0</v>
          </cell>
          <cell r="N1157">
            <v>0</v>
          </cell>
          <cell r="O1157" t="str">
            <v>0.00%</v>
          </cell>
          <cell r="P1157">
            <v>42.52</v>
          </cell>
          <cell r="Q1157">
            <v>188.78880000000004</v>
          </cell>
          <cell r="R1157">
            <v>1</v>
          </cell>
        </row>
        <row r="1158">
          <cell r="A1158" t="str">
            <v>15.04.01.06</v>
          </cell>
          <cell r="B1158" t="str">
            <v>ENCOFRADO Y DESENCOFRADO NORMAL  EN COLUMNETAS</v>
          </cell>
          <cell r="C1158" t="str">
            <v>m2</v>
          </cell>
          <cell r="D1158">
            <v>3.6</v>
          </cell>
          <cell r="E1158">
            <v>44.19</v>
          </cell>
          <cell r="F1158">
            <v>159.084</v>
          </cell>
          <cell r="G1158">
            <v>0</v>
          </cell>
          <cell r="H1158">
            <v>0</v>
          </cell>
          <cell r="I1158" t="str">
            <v>0.00%</v>
          </cell>
          <cell r="J1158">
            <v>0</v>
          </cell>
          <cell r="K1158">
            <v>0</v>
          </cell>
          <cell r="L1158" t="str">
            <v>0.00%</v>
          </cell>
          <cell r="M1158">
            <v>0</v>
          </cell>
          <cell r="N1158">
            <v>0</v>
          </cell>
          <cell r="O1158" t="str">
            <v>0.00%</v>
          </cell>
          <cell r="P1158">
            <v>3.6</v>
          </cell>
          <cell r="Q1158">
            <v>159.084</v>
          </cell>
          <cell r="R1158">
            <v>1</v>
          </cell>
        </row>
        <row r="1159">
          <cell r="A1159" t="str">
            <v>15.04.01.07</v>
          </cell>
          <cell r="B1159" t="str">
            <v>TARRAJEO DE SUPERFICIE COLUMNETAS INCL. ARISTAS MEZCLA 1:5 CEMENTO:ARENA</v>
          </cell>
          <cell r="C1159" t="str">
            <v>m2</v>
          </cell>
          <cell r="D1159">
            <v>3.6</v>
          </cell>
          <cell r="E1159">
            <v>31.33</v>
          </cell>
          <cell r="F1159">
            <v>112.788</v>
          </cell>
          <cell r="G1159">
            <v>0</v>
          </cell>
          <cell r="H1159">
            <v>0</v>
          </cell>
          <cell r="I1159" t="str">
            <v>0.00%</v>
          </cell>
          <cell r="J1159">
            <v>0</v>
          </cell>
          <cell r="K1159">
            <v>0</v>
          </cell>
          <cell r="L1159" t="str">
            <v>0.00%</v>
          </cell>
          <cell r="M1159">
            <v>0</v>
          </cell>
          <cell r="N1159">
            <v>0</v>
          </cell>
          <cell r="O1159" t="str">
            <v>0.00%</v>
          </cell>
          <cell r="P1159">
            <v>3.6</v>
          </cell>
          <cell r="Q1159">
            <v>112.788</v>
          </cell>
          <cell r="R1159">
            <v>1</v>
          </cell>
        </row>
        <row r="1160">
          <cell r="A1160" t="str">
            <v>15.04.02</v>
          </cell>
          <cell r="B1160" t="str">
            <v>SISTEMA DE EVACUACION PLUVIAL</v>
          </cell>
          <cell r="C1160">
            <v>0</v>
          </cell>
          <cell r="D1160">
            <v>0</v>
          </cell>
          <cell r="E1160">
            <v>0</v>
          </cell>
          <cell r="F1160">
            <v>0</v>
          </cell>
          <cell r="G1160">
            <v>0</v>
          </cell>
          <cell r="H1160">
            <v>0</v>
          </cell>
          <cell r="I1160">
            <v>0</v>
          </cell>
          <cell r="J1160">
            <v>0</v>
          </cell>
          <cell r="K1160">
            <v>0</v>
          </cell>
          <cell r="L1160">
            <v>0</v>
          </cell>
          <cell r="M1160">
            <v>0</v>
          </cell>
          <cell r="N1160">
            <v>0</v>
          </cell>
          <cell r="O1160">
            <v>0</v>
          </cell>
          <cell r="P1160">
            <v>0</v>
          </cell>
          <cell r="Q1160">
            <v>0</v>
          </cell>
          <cell r="R1160">
            <v>0</v>
          </cell>
        </row>
        <row r="1161">
          <cell r="A1161" t="str">
            <v>15.04.02.01</v>
          </cell>
          <cell r="B1161" t="str">
            <v>RED COLECTORA PARA AGUAS PLUVIALES TUB. PVC UF Ø DE 4"</v>
          </cell>
          <cell r="C1161" t="str">
            <v>m</v>
          </cell>
          <cell r="D1161">
            <v>35.58</v>
          </cell>
          <cell r="E1161">
            <v>27.03</v>
          </cell>
          <cell r="F1161">
            <v>961.72739999999999</v>
          </cell>
          <cell r="G1161">
            <v>0</v>
          </cell>
          <cell r="H1161">
            <v>0</v>
          </cell>
          <cell r="I1161" t="str">
            <v>0.00%</v>
          </cell>
          <cell r="J1161">
            <v>0</v>
          </cell>
          <cell r="K1161">
            <v>0</v>
          </cell>
          <cell r="L1161" t="str">
            <v>0.00%</v>
          </cell>
          <cell r="M1161">
            <v>0</v>
          </cell>
          <cell r="N1161">
            <v>0</v>
          </cell>
          <cell r="O1161" t="str">
            <v>0.00%</v>
          </cell>
          <cell r="P1161">
            <v>35.58</v>
          </cell>
          <cell r="Q1161">
            <v>961.72739999999999</v>
          </cell>
          <cell r="R1161">
            <v>1</v>
          </cell>
        </row>
        <row r="1162">
          <cell r="A1162" t="str">
            <v>15.04.02.02</v>
          </cell>
          <cell r="B1162" t="str">
            <v>DRENAJE CON TUB. CRIBADA DE 2"</v>
          </cell>
          <cell r="C1162" t="str">
            <v>m</v>
          </cell>
          <cell r="D1162">
            <v>14.73</v>
          </cell>
          <cell r="E1162">
            <v>21.03</v>
          </cell>
          <cell r="F1162">
            <v>309.77190000000002</v>
          </cell>
          <cell r="G1162">
            <v>0</v>
          </cell>
          <cell r="H1162">
            <v>0</v>
          </cell>
          <cell r="I1162" t="str">
            <v>0.00%</v>
          </cell>
          <cell r="J1162">
            <v>0</v>
          </cell>
          <cell r="K1162">
            <v>0</v>
          </cell>
          <cell r="L1162" t="str">
            <v>0.00%</v>
          </cell>
          <cell r="M1162">
            <v>0</v>
          </cell>
          <cell r="N1162">
            <v>0</v>
          </cell>
          <cell r="O1162" t="str">
            <v>0.00%</v>
          </cell>
          <cell r="P1162">
            <v>14.73</v>
          </cell>
          <cell r="Q1162">
            <v>309.77190000000002</v>
          </cell>
          <cell r="R1162">
            <v>1</v>
          </cell>
        </row>
        <row r="1163">
          <cell r="A1163" t="str">
            <v>15.04.02.03</v>
          </cell>
          <cell r="B1163" t="str">
            <v>CAJA DE REGISTRO DE DESAGUE 12" X 24" - CONSTRUCION</v>
          </cell>
          <cell r="C1163" t="str">
            <v>und</v>
          </cell>
          <cell r="D1163">
            <v>6</v>
          </cell>
          <cell r="E1163">
            <v>140.52000000000001</v>
          </cell>
          <cell r="F1163">
            <v>843.12000000000012</v>
          </cell>
          <cell r="G1163">
            <v>0</v>
          </cell>
          <cell r="H1163">
            <v>0</v>
          </cell>
          <cell r="I1163" t="str">
            <v>0.00%</v>
          </cell>
          <cell r="J1163">
            <v>0</v>
          </cell>
          <cell r="K1163">
            <v>0</v>
          </cell>
          <cell r="L1163" t="str">
            <v>0.00%</v>
          </cell>
          <cell r="M1163">
            <v>0</v>
          </cell>
          <cell r="N1163">
            <v>0</v>
          </cell>
          <cell r="O1163" t="str">
            <v>0.00%</v>
          </cell>
          <cell r="P1163">
            <v>6</v>
          </cell>
          <cell r="Q1163">
            <v>843.12000000000012</v>
          </cell>
          <cell r="R1163">
            <v>1</v>
          </cell>
        </row>
        <row r="1164">
          <cell r="A1164" t="str">
            <v>16</v>
          </cell>
          <cell r="B1164" t="str">
            <v xml:space="preserve">BLOQUE - 2 </v>
          </cell>
          <cell r="C1164">
            <v>0</v>
          </cell>
          <cell r="D1164">
            <v>0</v>
          </cell>
          <cell r="E1164">
            <v>0</v>
          </cell>
          <cell r="F1164">
            <v>0</v>
          </cell>
          <cell r="G1164">
            <v>0</v>
          </cell>
          <cell r="H1164">
            <v>0</v>
          </cell>
          <cell r="I1164">
            <v>0</v>
          </cell>
          <cell r="J1164">
            <v>0</v>
          </cell>
          <cell r="K1164">
            <v>0</v>
          </cell>
          <cell r="L1164">
            <v>0</v>
          </cell>
          <cell r="M1164">
            <v>0</v>
          </cell>
          <cell r="N1164">
            <v>0</v>
          </cell>
          <cell r="O1164">
            <v>0</v>
          </cell>
          <cell r="P1164">
            <v>0</v>
          </cell>
          <cell r="Q1164">
            <v>0</v>
          </cell>
          <cell r="R1164">
            <v>0</v>
          </cell>
        </row>
        <row r="1165">
          <cell r="A1165" t="str">
            <v>16.01</v>
          </cell>
          <cell r="B1165" t="str">
            <v>APARATOS SANITARIOS Y ACCESORIOS</v>
          </cell>
          <cell r="C1165">
            <v>0</v>
          </cell>
          <cell r="D1165">
            <v>0</v>
          </cell>
          <cell r="E1165">
            <v>0</v>
          </cell>
          <cell r="F1165">
            <v>0</v>
          </cell>
          <cell r="G1165">
            <v>0</v>
          </cell>
          <cell r="H1165">
            <v>0</v>
          </cell>
          <cell r="I1165">
            <v>0</v>
          </cell>
          <cell r="J1165">
            <v>0</v>
          </cell>
          <cell r="K1165">
            <v>0</v>
          </cell>
          <cell r="L1165">
            <v>0</v>
          </cell>
          <cell r="M1165">
            <v>0</v>
          </cell>
          <cell r="N1165">
            <v>0</v>
          </cell>
          <cell r="O1165">
            <v>0</v>
          </cell>
          <cell r="P1165">
            <v>0</v>
          </cell>
          <cell r="Q1165">
            <v>0</v>
          </cell>
          <cell r="R1165">
            <v>0</v>
          </cell>
        </row>
        <row r="1166">
          <cell r="A1166" t="str">
            <v>16.01.01</v>
          </cell>
          <cell r="B1166" t="str">
            <v>SUMINISTRO DE APARATO SANITARIOS</v>
          </cell>
          <cell r="C1166">
            <v>0</v>
          </cell>
          <cell r="D1166">
            <v>0</v>
          </cell>
          <cell r="E1166">
            <v>0</v>
          </cell>
          <cell r="F1166">
            <v>0</v>
          </cell>
          <cell r="G1166">
            <v>0</v>
          </cell>
          <cell r="H1166">
            <v>0</v>
          </cell>
          <cell r="I1166">
            <v>0</v>
          </cell>
          <cell r="J1166">
            <v>0</v>
          </cell>
          <cell r="K1166">
            <v>0</v>
          </cell>
          <cell r="L1166">
            <v>0</v>
          </cell>
          <cell r="M1166">
            <v>0</v>
          </cell>
          <cell r="N1166">
            <v>0</v>
          </cell>
          <cell r="O1166">
            <v>0</v>
          </cell>
          <cell r="P1166">
            <v>0</v>
          </cell>
          <cell r="Q1166">
            <v>0</v>
          </cell>
          <cell r="R1166">
            <v>0</v>
          </cell>
        </row>
        <row r="1167">
          <cell r="A1167" t="str">
            <v>16.01.01.01</v>
          </cell>
          <cell r="B1167" t="str">
            <v>INODORO BABY FRESH COLOR BLANCO</v>
          </cell>
          <cell r="C1167" t="str">
            <v>und</v>
          </cell>
          <cell r="D1167">
            <v>8</v>
          </cell>
          <cell r="E1167">
            <v>280</v>
          </cell>
          <cell r="F1167">
            <v>2240</v>
          </cell>
          <cell r="G1167">
            <v>0</v>
          </cell>
          <cell r="H1167">
            <v>0</v>
          </cell>
          <cell r="I1167" t="str">
            <v>0.00%</v>
          </cell>
          <cell r="J1167">
            <v>0</v>
          </cell>
          <cell r="K1167">
            <v>0</v>
          </cell>
          <cell r="L1167" t="str">
            <v>0.00%</v>
          </cell>
          <cell r="M1167">
            <v>0</v>
          </cell>
          <cell r="N1167">
            <v>0</v>
          </cell>
          <cell r="O1167" t="str">
            <v>0.00%</v>
          </cell>
          <cell r="P1167">
            <v>8</v>
          </cell>
          <cell r="Q1167">
            <v>2240</v>
          </cell>
          <cell r="R1167">
            <v>1</v>
          </cell>
        </row>
        <row r="1168">
          <cell r="A1168" t="str">
            <v>16.01.01.02</v>
          </cell>
          <cell r="B1168" t="str">
            <v xml:space="preserve">URINARIO BAMBI DE LOSA BLANCO </v>
          </cell>
          <cell r="C1168" t="str">
            <v>und</v>
          </cell>
          <cell r="D1168">
            <v>4</v>
          </cell>
          <cell r="E1168">
            <v>150</v>
          </cell>
          <cell r="F1168">
            <v>600</v>
          </cell>
          <cell r="G1168">
            <v>0</v>
          </cell>
          <cell r="H1168">
            <v>0</v>
          </cell>
          <cell r="I1168" t="str">
            <v>0.00%</v>
          </cell>
          <cell r="J1168">
            <v>0</v>
          </cell>
          <cell r="K1168">
            <v>0</v>
          </cell>
          <cell r="L1168" t="str">
            <v>0.00%</v>
          </cell>
          <cell r="M1168">
            <v>0</v>
          </cell>
          <cell r="N1168">
            <v>0</v>
          </cell>
          <cell r="O1168" t="str">
            <v>0.00%</v>
          </cell>
          <cell r="P1168">
            <v>4</v>
          </cell>
          <cell r="Q1168">
            <v>600</v>
          </cell>
          <cell r="R1168">
            <v>1</v>
          </cell>
        </row>
        <row r="1169">
          <cell r="A1169" t="str">
            <v>16.01.01.03</v>
          </cell>
          <cell r="B1169" t="str">
            <v>LAVATORIO OVALIN TIPO SONNET BLANCO</v>
          </cell>
          <cell r="C1169" t="str">
            <v>und</v>
          </cell>
          <cell r="D1169">
            <v>8</v>
          </cell>
          <cell r="E1169">
            <v>190</v>
          </cell>
          <cell r="F1169">
            <v>1520</v>
          </cell>
          <cell r="G1169">
            <v>0</v>
          </cell>
          <cell r="H1169">
            <v>0</v>
          </cell>
          <cell r="I1169" t="str">
            <v>0.00%</v>
          </cell>
          <cell r="J1169">
            <v>0</v>
          </cell>
          <cell r="K1169">
            <v>0</v>
          </cell>
          <cell r="L1169" t="str">
            <v>0.00%</v>
          </cell>
          <cell r="M1169">
            <v>0</v>
          </cell>
          <cell r="N1169">
            <v>0</v>
          </cell>
          <cell r="O1169" t="str">
            <v>0.00%</v>
          </cell>
          <cell r="P1169">
            <v>8</v>
          </cell>
          <cell r="Q1169">
            <v>1520</v>
          </cell>
          <cell r="R1169">
            <v>1</v>
          </cell>
        </row>
        <row r="1170">
          <cell r="A1170" t="str">
            <v>16.01.02</v>
          </cell>
          <cell r="B1170" t="str">
            <v>SUMINISTRO DE ACCESORIOS</v>
          </cell>
          <cell r="C1170">
            <v>0</v>
          </cell>
          <cell r="D1170">
            <v>0</v>
          </cell>
          <cell r="E1170">
            <v>0</v>
          </cell>
          <cell r="F1170">
            <v>0</v>
          </cell>
          <cell r="G1170">
            <v>0</v>
          </cell>
          <cell r="H1170">
            <v>0</v>
          </cell>
          <cell r="I1170">
            <v>0</v>
          </cell>
          <cell r="J1170">
            <v>0</v>
          </cell>
          <cell r="K1170">
            <v>0</v>
          </cell>
          <cell r="L1170">
            <v>0</v>
          </cell>
          <cell r="M1170">
            <v>0</v>
          </cell>
          <cell r="N1170">
            <v>0</v>
          </cell>
          <cell r="O1170">
            <v>0</v>
          </cell>
          <cell r="P1170">
            <v>0</v>
          </cell>
          <cell r="Q1170">
            <v>0</v>
          </cell>
          <cell r="R1170">
            <v>0</v>
          </cell>
        </row>
        <row r="1171">
          <cell r="A1171" t="str">
            <v>16.01.02.01</v>
          </cell>
          <cell r="B1171" t="str">
            <v>PAPELERA DE LOSA COLOR BLANCO</v>
          </cell>
          <cell r="C1171" t="str">
            <v>und</v>
          </cell>
          <cell r="D1171">
            <v>8</v>
          </cell>
          <cell r="E1171">
            <v>35</v>
          </cell>
          <cell r="F1171">
            <v>280</v>
          </cell>
          <cell r="G1171">
            <v>0</v>
          </cell>
          <cell r="H1171">
            <v>0</v>
          </cell>
          <cell r="I1171" t="str">
            <v>0.00%</v>
          </cell>
          <cell r="J1171">
            <v>0</v>
          </cell>
          <cell r="K1171">
            <v>0</v>
          </cell>
          <cell r="L1171" t="str">
            <v>0.00%</v>
          </cell>
          <cell r="M1171">
            <v>0</v>
          </cell>
          <cell r="N1171">
            <v>0</v>
          </cell>
          <cell r="O1171" t="str">
            <v>0.00%</v>
          </cell>
          <cell r="P1171">
            <v>8</v>
          </cell>
          <cell r="Q1171">
            <v>280</v>
          </cell>
          <cell r="R1171">
            <v>1</v>
          </cell>
        </row>
        <row r="1172">
          <cell r="A1172" t="str">
            <v>16.01.02.02</v>
          </cell>
          <cell r="B1172" t="str">
            <v>JABONERA DE LOSA COLOR BLANCO</v>
          </cell>
          <cell r="C1172" t="str">
            <v>und</v>
          </cell>
          <cell r="D1172">
            <v>8</v>
          </cell>
          <cell r="E1172">
            <v>20</v>
          </cell>
          <cell r="F1172">
            <v>160</v>
          </cell>
          <cell r="G1172">
            <v>0</v>
          </cell>
          <cell r="H1172">
            <v>0</v>
          </cell>
          <cell r="I1172" t="str">
            <v>0.00%</v>
          </cell>
          <cell r="J1172">
            <v>0</v>
          </cell>
          <cell r="K1172">
            <v>0</v>
          </cell>
          <cell r="L1172" t="str">
            <v>0.00%</v>
          </cell>
          <cell r="M1172">
            <v>0</v>
          </cell>
          <cell r="N1172">
            <v>0</v>
          </cell>
          <cell r="O1172" t="str">
            <v>0.00%</v>
          </cell>
          <cell r="P1172">
            <v>8</v>
          </cell>
          <cell r="Q1172">
            <v>160</v>
          </cell>
          <cell r="R1172">
            <v>1</v>
          </cell>
        </row>
        <row r="1173">
          <cell r="A1173" t="str">
            <v>16.01.02.03</v>
          </cell>
          <cell r="B1173" t="str">
            <v>ESPEJO DE 4MM DE 1.20 x 0.50M.</v>
          </cell>
          <cell r="C1173" t="str">
            <v>und</v>
          </cell>
          <cell r="D1173">
            <v>4</v>
          </cell>
          <cell r="E1173">
            <v>35</v>
          </cell>
          <cell r="F1173">
            <v>140</v>
          </cell>
          <cell r="G1173">
            <v>0</v>
          </cell>
          <cell r="H1173">
            <v>0</v>
          </cell>
          <cell r="I1173" t="str">
            <v>0.00%</v>
          </cell>
          <cell r="J1173">
            <v>0</v>
          </cell>
          <cell r="K1173">
            <v>0</v>
          </cell>
          <cell r="L1173" t="str">
            <v>0.00%</v>
          </cell>
          <cell r="M1173">
            <v>0</v>
          </cell>
          <cell r="N1173">
            <v>0</v>
          </cell>
          <cell r="O1173" t="str">
            <v>0.00%</v>
          </cell>
          <cell r="P1173">
            <v>4</v>
          </cell>
          <cell r="Q1173">
            <v>140</v>
          </cell>
          <cell r="R1173">
            <v>1</v>
          </cell>
        </row>
        <row r="1174">
          <cell r="A1174" t="str">
            <v>16.01.03</v>
          </cell>
          <cell r="B1174" t="str">
            <v xml:space="preserve">INSTALACION DE APARATOS SANITARIOS  </v>
          </cell>
          <cell r="C1174">
            <v>0</v>
          </cell>
          <cell r="D1174">
            <v>0</v>
          </cell>
          <cell r="E1174">
            <v>0</v>
          </cell>
          <cell r="F1174">
            <v>0</v>
          </cell>
          <cell r="G1174">
            <v>0</v>
          </cell>
          <cell r="H1174">
            <v>0</v>
          </cell>
          <cell r="I1174">
            <v>0</v>
          </cell>
          <cell r="J1174">
            <v>0</v>
          </cell>
          <cell r="K1174">
            <v>0</v>
          </cell>
          <cell r="L1174">
            <v>0</v>
          </cell>
          <cell r="M1174">
            <v>0</v>
          </cell>
          <cell r="N1174">
            <v>0</v>
          </cell>
          <cell r="O1174">
            <v>0</v>
          </cell>
          <cell r="P1174">
            <v>0</v>
          </cell>
          <cell r="Q1174">
            <v>0</v>
          </cell>
          <cell r="R1174">
            <v>0</v>
          </cell>
        </row>
        <row r="1175">
          <cell r="A1175" t="str">
            <v>16.01.03.01</v>
          </cell>
          <cell r="B1175" t="str">
            <v xml:space="preserve">COLOCACION DE APARATOS SANITARIOS </v>
          </cell>
          <cell r="C1175" t="str">
            <v>und</v>
          </cell>
          <cell r="D1175">
            <v>20</v>
          </cell>
          <cell r="E1175">
            <v>52.08</v>
          </cell>
          <cell r="F1175">
            <v>1041.5999999999999</v>
          </cell>
          <cell r="G1175">
            <v>0</v>
          </cell>
          <cell r="H1175">
            <v>0</v>
          </cell>
          <cell r="I1175" t="str">
            <v>0.00%</v>
          </cell>
          <cell r="J1175">
            <v>0</v>
          </cell>
          <cell r="K1175">
            <v>0</v>
          </cell>
          <cell r="L1175" t="str">
            <v>0.00%</v>
          </cell>
          <cell r="M1175">
            <v>0</v>
          </cell>
          <cell r="N1175">
            <v>0</v>
          </cell>
          <cell r="O1175" t="str">
            <v>0.00%</v>
          </cell>
          <cell r="P1175">
            <v>20</v>
          </cell>
          <cell r="Q1175">
            <v>1041.5999999999999</v>
          </cell>
          <cell r="R1175">
            <v>1</v>
          </cell>
        </row>
        <row r="1176">
          <cell r="A1176" t="str">
            <v>16.01.04</v>
          </cell>
          <cell r="B1176" t="str">
            <v>INSTALACION DE ACCESORIOS</v>
          </cell>
          <cell r="C1176">
            <v>0</v>
          </cell>
          <cell r="D1176">
            <v>0</v>
          </cell>
          <cell r="E1176">
            <v>0</v>
          </cell>
          <cell r="F1176">
            <v>0</v>
          </cell>
          <cell r="G1176">
            <v>0</v>
          </cell>
          <cell r="H1176">
            <v>0</v>
          </cell>
          <cell r="I1176">
            <v>0</v>
          </cell>
          <cell r="J1176">
            <v>0</v>
          </cell>
          <cell r="K1176">
            <v>0</v>
          </cell>
          <cell r="L1176">
            <v>0</v>
          </cell>
          <cell r="M1176">
            <v>0</v>
          </cell>
          <cell r="N1176">
            <v>0</v>
          </cell>
          <cell r="O1176">
            <v>0</v>
          </cell>
          <cell r="P1176">
            <v>0</v>
          </cell>
          <cell r="Q1176">
            <v>0</v>
          </cell>
          <cell r="R1176">
            <v>0</v>
          </cell>
        </row>
        <row r="1177">
          <cell r="A1177" t="str">
            <v>16.01.04.01</v>
          </cell>
          <cell r="B1177" t="str">
            <v>COLOCACION DE ACCESORIOS SANITARIOS</v>
          </cell>
          <cell r="C1177" t="str">
            <v>und</v>
          </cell>
          <cell r="D1177">
            <v>20</v>
          </cell>
          <cell r="E1177">
            <v>26.04</v>
          </cell>
          <cell r="F1177">
            <v>520.79999999999995</v>
          </cell>
          <cell r="G1177">
            <v>0</v>
          </cell>
          <cell r="H1177">
            <v>0</v>
          </cell>
          <cell r="I1177" t="str">
            <v>0.00%</v>
          </cell>
          <cell r="J1177">
            <v>0</v>
          </cell>
          <cell r="K1177">
            <v>0</v>
          </cell>
          <cell r="L1177" t="str">
            <v>0.00%</v>
          </cell>
          <cell r="M1177">
            <v>0</v>
          </cell>
          <cell r="N1177">
            <v>0</v>
          </cell>
          <cell r="O1177" t="str">
            <v>0.00%</v>
          </cell>
          <cell r="P1177">
            <v>20</v>
          </cell>
          <cell r="Q1177">
            <v>520.79999999999995</v>
          </cell>
          <cell r="R1177">
            <v>1</v>
          </cell>
        </row>
        <row r="1178">
          <cell r="A1178" t="str">
            <v>16.02</v>
          </cell>
          <cell r="B1178" t="str">
            <v>SISTEMA DE AGUA FRIA Y ALIMENTADORES</v>
          </cell>
          <cell r="C1178">
            <v>0</v>
          </cell>
          <cell r="D1178">
            <v>0</v>
          </cell>
          <cell r="E1178">
            <v>0</v>
          </cell>
          <cell r="F1178">
            <v>0</v>
          </cell>
          <cell r="G1178">
            <v>0</v>
          </cell>
          <cell r="H1178">
            <v>0</v>
          </cell>
          <cell r="I1178">
            <v>0</v>
          </cell>
          <cell r="J1178">
            <v>0</v>
          </cell>
          <cell r="K1178">
            <v>0</v>
          </cell>
          <cell r="L1178">
            <v>0</v>
          </cell>
          <cell r="M1178">
            <v>0</v>
          </cell>
          <cell r="N1178">
            <v>0</v>
          </cell>
          <cell r="O1178">
            <v>0</v>
          </cell>
          <cell r="P1178">
            <v>0</v>
          </cell>
          <cell r="Q1178">
            <v>0</v>
          </cell>
          <cell r="R1178">
            <v>0</v>
          </cell>
        </row>
        <row r="1179">
          <cell r="A1179" t="str">
            <v>16.02.01</v>
          </cell>
          <cell r="B1179" t="str">
            <v>SALIDA DE AGUA FRIA</v>
          </cell>
          <cell r="C1179">
            <v>0</v>
          </cell>
          <cell r="D1179">
            <v>0</v>
          </cell>
          <cell r="E1179">
            <v>0</v>
          </cell>
          <cell r="F1179">
            <v>0</v>
          </cell>
          <cell r="G1179">
            <v>0</v>
          </cell>
          <cell r="H1179">
            <v>0</v>
          </cell>
          <cell r="I1179">
            <v>0</v>
          </cell>
          <cell r="J1179">
            <v>0</v>
          </cell>
          <cell r="K1179">
            <v>0</v>
          </cell>
          <cell r="L1179">
            <v>0</v>
          </cell>
          <cell r="M1179">
            <v>0</v>
          </cell>
          <cell r="N1179">
            <v>0</v>
          </cell>
          <cell r="O1179">
            <v>0</v>
          </cell>
          <cell r="P1179">
            <v>0</v>
          </cell>
          <cell r="Q1179">
            <v>0</v>
          </cell>
          <cell r="R1179">
            <v>0</v>
          </cell>
        </row>
        <row r="1180">
          <cell r="A1180" t="str">
            <v>16.02.01.01</v>
          </cell>
          <cell r="B1180" t="str">
            <v>SALIDA DE AGUA FRIA CON TUBERIA DE PVC-SAP 1/2"</v>
          </cell>
          <cell r="C1180" t="str">
            <v>pto</v>
          </cell>
          <cell r="D1180">
            <v>10</v>
          </cell>
          <cell r="E1180">
            <v>41.53</v>
          </cell>
          <cell r="F1180">
            <v>415.3</v>
          </cell>
          <cell r="G1180">
            <v>0</v>
          </cell>
          <cell r="H1180">
            <v>0</v>
          </cell>
          <cell r="I1180" t="str">
            <v>0.00%</v>
          </cell>
          <cell r="J1180">
            <v>5</v>
          </cell>
          <cell r="K1180">
            <v>207.65</v>
          </cell>
          <cell r="L1180">
            <v>0.5</v>
          </cell>
          <cell r="M1180">
            <v>5</v>
          </cell>
          <cell r="N1180">
            <v>207.65</v>
          </cell>
          <cell r="O1180">
            <v>0.5</v>
          </cell>
          <cell r="P1180">
            <v>5</v>
          </cell>
          <cell r="Q1180">
            <v>207.65</v>
          </cell>
          <cell r="R1180">
            <v>0.5</v>
          </cell>
        </row>
        <row r="1181">
          <cell r="A1181" t="str">
            <v>16.02.02</v>
          </cell>
          <cell r="B1181" t="str">
            <v>REDES DE DISTRIBUCION DE AGUA FRIA</v>
          </cell>
          <cell r="C1181">
            <v>0</v>
          </cell>
          <cell r="D1181">
            <v>0</v>
          </cell>
          <cell r="E1181">
            <v>0</v>
          </cell>
          <cell r="F1181">
            <v>0</v>
          </cell>
          <cell r="G1181">
            <v>0</v>
          </cell>
          <cell r="H1181">
            <v>0</v>
          </cell>
          <cell r="I1181">
            <v>0</v>
          </cell>
          <cell r="J1181">
            <v>0</v>
          </cell>
          <cell r="K1181">
            <v>0</v>
          </cell>
          <cell r="L1181">
            <v>0</v>
          </cell>
          <cell r="M1181">
            <v>0</v>
          </cell>
          <cell r="N1181">
            <v>0</v>
          </cell>
          <cell r="O1181">
            <v>0</v>
          </cell>
          <cell r="P1181">
            <v>0</v>
          </cell>
          <cell r="Q1181">
            <v>0</v>
          </cell>
          <cell r="R1181">
            <v>0</v>
          </cell>
        </row>
        <row r="1182">
          <cell r="A1182" t="str">
            <v>16.02.02.01</v>
          </cell>
          <cell r="B1182" t="str">
            <v>RED DE DISTRIBUCION TUBERIA PVC SAP C-10 Ø DE 1/2"</v>
          </cell>
          <cell r="C1182" t="str">
            <v>m</v>
          </cell>
          <cell r="D1182">
            <v>10.92</v>
          </cell>
          <cell r="E1182">
            <v>20.36</v>
          </cell>
          <cell r="F1182">
            <v>222.3312</v>
          </cell>
          <cell r="G1182">
            <v>0</v>
          </cell>
          <cell r="H1182">
            <v>0</v>
          </cell>
          <cell r="I1182" t="str">
            <v>0.00%</v>
          </cell>
          <cell r="J1182">
            <v>0</v>
          </cell>
          <cell r="K1182">
            <v>0</v>
          </cell>
          <cell r="L1182" t="str">
            <v>0.00%</v>
          </cell>
          <cell r="M1182">
            <v>0</v>
          </cell>
          <cell r="N1182">
            <v>0</v>
          </cell>
          <cell r="O1182" t="str">
            <v>0.00%</v>
          </cell>
          <cell r="P1182">
            <v>10.92</v>
          </cell>
          <cell r="Q1182">
            <v>222.3312</v>
          </cell>
          <cell r="R1182">
            <v>1</v>
          </cell>
        </row>
        <row r="1183">
          <cell r="A1183" t="str">
            <v>16.02.02.02</v>
          </cell>
          <cell r="B1183" t="str">
            <v>RED DE DISTRIBUCION TUBERIA PVC SAP C-10 Ø DE 3/4"</v>
          </cell>
          <cell r="C1183" t="str">
            <v>m</v>
          </cell>
          <cell r="D1183">
            <v>21.5</v>
          </cell>
          <cell r="E1183">
            <v>31.76</v>
          </cell>
          <cell r="F1183">
            <v>682.84</v>
          </cell>
          <cell r="G1183">
            <v>0</v>
          </cell>
          <cell r="H1183">
            <v>0</v>
          </cell>
          <cell r="I1183" t="str">
            <v>0.00%</v>
          </cell>
          <cell r="J1183">
            <v>0</v>
          </cell>
          <cell r="K1183">
            <v>0</v>
          </cell>
          <cell r="L1183" t="str">
            <v>0.00%</v>
          </cell>
          <cell r="M1183">
            <v>0</v>
          </cell>
          <cell r="N1183">
            <v>0</v>
          </cell>
          <cell r="O1183" t="str">
            <v>0.00%</v>
          </cell>
          <cell r="P1183">
            <v>21.5</v>
          </cell>
          <cell r="Q1183">
            <v>682.84</v>
          </cell>
          <cell r="R1183">
            <v>1</v>
          </cell>
        </row>
        <row r="1184">
          <cell r="A1184" t="str">
            <v>16.02.02.03</v>
          </cell>
          <cell r="B1184" t="str">
            <v>RED DE DISTRIBUCION TUBERIA PVC SAP C-10 Ø DE 1"</v>
          </cell>
          <cell r="C1184" t="str">
            <v>m</v>
          </cell>
          <cell r="D1184">
            <v>8.99</v>
          </cell>
          <cell r="E1184">
            <v>34.159999999999997</v>
          </cell>
          <cell r="F1184">
            <v>307.09839999999997</v>
          </cell>
          <cell r="G1184">
            <v>0</v>
          </cell>
          <cell r="H1184">
            <v>0</v>
          </cell>
          <cell r="I1184" t="str">
            <v>0.00%</v>
          </cell>
          <cell r="J1184">
            <v>6.27</v>
          </cell>
          <cell r="K1184">
            <v>214.18319999999997</v>
          </cell>
          <cell r="L1184">
            <v>0.69744160177975523</v>
          </cell>
          <cell r="M1184">
            <v>6.27</v>
          </cell>
          <cell r="N1184">
            <v>214.18319999999997</v>
          </cell>
          <cell r="O1184">
            <v>0.69744160177975523</v>
          </cell>
          <cell r="P1184">
            <v>2.7200000000000006</v>
          </cell>
          <cell r="Q1184">
            <v>92.915199999999999</v>
          </cell>
          <cell r="R1184">
            <v>0.30255839822024472</v>
          </cell>
        </row>
        <row r="1185">
          <cell r="A1185" t="str">
            <v>16.02.03</v>
          </cell>
          <cell r="B1185" t="str">
            <v>VALVULA Y ACCESORIOS DE AGUA FRIA</v>
          </cell>
          <cell r="C1185">
            <v>0</v>
          </cell>
          <cell r="D1185">
            <v>0</v>
          </cell>
          <cell r="E1185">
            <v>0</v>
          </cell>
          <cell r="F1185">
            <v>0</v>
          </cell>
          <cell r="G1185">
            <v>0</v>
          </cell>
          <cell r="H1185">
            <v>0</v>
          </cell>
          <cell r="I1185">
            <v>0</v>
          </cell>
          <cell r="J1185">
            <v>0</v>
          </cell>
          <cell r="K1185">
            <v>0</v>
          </cell>
          <cell r="L1185">
            <v>0</v>
          </cell>
          <cell r="M1185">
            <v>0</v>
          </cell>
          <cell r="N1185">
            <v>0</v>
          </cell>
          <cell r="O1185">
            <v>0</v>
          </cell>
          <cell r="P1185">
            <v>0</v>
          </cell>
          <cell r="Q1185">
            <v>0</v>
          </cell>
          <cell r="R1185">
            <v>0</v>
          </cell>
        </row>
        <row r="1186">
          <cell r="A1186" t="str">
            <v>16.02.03.01</v>
          </cell>
          <cell r="B1186" t="str">
            <v>VALVULA COMPUERTA DE BRONCE  Ø 1/2"</v>
          </cell>
          <cell r="C1186" t="str">
            <v>und</v>
          </cell>
          <cell r="D1186">
            <v>4</v>
          </cell>
          <cell r="E1186">
            <v>147.4</v>
          </cell>
          <cell r="F1186">
            <v>589.6</v>
          </cell>
          <cell r="G1186">
            <v>0</v>
          </cell>
          <cell r="H1186">
            <v>0</v>
          </cell>
          <cell r="I1186" t="str">
            <v>0.00%</v>
          </cell>
          <cell r="J1186">
            <v>2</v>
          </cell>
          <cell r="K1186">
            <v>294.8</v>
          </cell>
          <cell r="L1186">
            <v>0.5</v>
          </cell>
          <cell r="M1186">
            <v>2</v>
          </cell>
          <cell r="N1186">
            <v>294.8</v>
          </cell>
          <cell r="O1186">
            <v>0.5</v>
          </cell>
          <cell r="P1186">
            <v>2</v>
          </cell>
          <cell r="Q1186">
            <v>294.8</v>
          </cell>
          <cell r="R1186">
            <v>0.5</v>
          </cell>
        </row>
        <row r="1187">
          <cell r="A1187" t="str">
            <v>16.02.03.02</v>
          </cell>
          <cell r="B1187" t="str">
            <v>VALVULA COMPUERTA DE BRONCE  Ø 3/4"</v>
          </cell>
          <cell r="C1187" t="str">
            <v>und</v>
          </cell>
          <cell r="D1187">
            <v>4</v>
          </cell>
          <cell r="E1187">
            <v>188.9</v>
          </cell>
          <cell r="F1187">
            <v>755.6</v>
          </cell>
          <cell r="G1187">
            <v>0</v>
          </cell>
          <cell r="H1187">
            <v>0</v>
          </cell>
          <cell r="I1187" t="str">
            <v>0.00%</v>
          </cell>
          <cell r="J1187">
            <v>2</v>
          </cell>
          <cell r="K1187">
            <v>377.8</v>
          </cell>
          <cell r="L1187">
            <v>0.5</v>
          </cell>
          <cell r="M1187">
            <v>2</v>
          </cell>
          <cell r="N1187">
            <v>377.8</v>
          </cell>
          <cell r="O1187">
            <v>0.5</v>
          </cell>
          <cell r="P1187">
            <v>2</v>
          </cell>
          <cell r="Q1187">
            <v>377.8</v>
          </cell>
          <cell r="R1187">
            <v>0.5</v>
          </cell>
        </row>
        <row r="1188">
          <cell r="A1188" t="str">
            <v>16.02.04</v>
          </cell>
          <cell r="B1188" t="str">
            <v>PRUEBAS HIDRAULICA</v>
          </cell>
          <cell r="C1188">
            <v>0</v>
          </cell>
          <cell r="D1188">
            <v>0</v>
          </cell>
          <cell r="E1188">
            <v>0</v>
          </cell>
          <cell r="F1188">
            <v>0</v>
          </cell>
          <cell r="G1188">
            <v>0</v>
          </cell>
          <cell r="H1188">
            <v>0</v>
          </cell>
          <cell r="I1188">
            <v>0</v>
          </cell>
          <cell r="J1188">
            <v>0</v>
          </cell>
          <cell r="K1188">
            <v>0</v>
          </cell>
          <cell r="L1188">
            <v>0</v>
          </cell>
          <cell r="M1188">
            <v>0</v>
          </cell>
          <cell r="N1188">
            <v>0</v>
          </cell>
          <cell r="O1188">
            <v>0</v>
          </cell>
          <cell r="P1188">
            <v>0</v>
          </cell>
          <cell r="Q1188">
            <v>0</v>
          </cell>
          <cell r="R1188">
            <v>0</v>
          </cell>
        </row>
        <row r="1189">
          <cell r="A1189" t="str">
            <v>16.02.04.01</v>
          </cell>
          <cell r="B1189" t="str">
            <v>PRUEBA HIDRAULICA TUBERIA DE AGUA FRIA</v>
          </cell>
          <cell r="C1189" t="str">
            <v>GLB</v>
          </cell>
          <cell r="D1189">
            <v>1</v>
          </cell>
          <cell r="E1189">
            <v>450</v>
          </cell>
          <cell r="F1189">
            <v>450</v>
          </cell>
          <cell r="G1189">
            <v>0</v>
          </cell>
          <cell r="H1189">
            <v>0</v>
          </cell>
          <cell r="I1189" t="str">
            <v>0.00%</v>
          </cell>
          <cell r="J1189">
            <v>0</v>
          </cell>
          <cell r="K1189">
            <v>0</v>
          </cell>
          <cell r="L1189" t="str">
            <v>0.00%</v>
          </cell>
          <cell r="M1189">
            <v>0</v>
          </cell>
          <cell r="N1189">
            <v>0</v>
          </cell>
          <cell r="O1189" t="str">
            <v>0.00%</v>
          </cell>
          <cell r="P1189">
            <v>1</v>
          </cell>
          <cell r="Q1189">
            <v>450</v>
          </cell>
          <cell r="R1189">
            <v>1</v>
          </cell>
        </row>
        <row r="1190">
          <cell r="A1190" t="str">
            <v>16.03</v>
          </cell>
          <cell r="B1190" t="str">
            <v xml:space="preserve">SISTEMA DE DESAGUE Y VENTILACION </v>
          </cell>
          <cell r="C1190">
            <v>0</v>
          </cell>
          <cell r="D1190">
            <v>0</v>
          </cell>
          <cell r="E1190">
            <v>0</v>
          </cell>
          <cell r="F1190">
            <v>0</v>
          </cell>
          <cell r="G1190">
            <v>0</v>
          </cell>
          <cell r="H1190">
            <v>0</v>
          </cell>
          <cell r="I1190">
            <v>0</v>
          </cell>
          <cell r="J1190">
            <v>0</v>
          </cell>
          <cell r="K1190">
            <v>0</v>
          </cell>
          <cell r="L1190">
            <v>0</v>
          </cell>
          <cell r="M1190">
            <v>0</v>
          </cell>
          <cell r="N1190">
            <v>0</v>
          </cell>
          <cell r="O1190">
            <v>0</v>
          </cell>
          <cell r="P1190">
            <v>0</v>
          </cell>
          <cell r="Q1190">
            <v>0</v>
          </cell>
          <cell r="R1190">
            <v>0</v>
          </cell>
        </row>
        <row r="1191">
          <cell r="A1191" t="str">
            <v>16.03.01</v>
          </cell>
          <cell r="B1191" t="str">
            <v>SALIDA DE DESAGUE Y VENTILACION</v>
          </cell>
          <cell r="C1191">
            <v>0</v>
          </cell>
          <cell r="D1191">
            <v>0</v>
          </cell>
          <cell r="E1191">
            <v>0</v>
          </cell>
          <cell r="F1191">
            <v>0</v>
          </cell>
          <cell r="G1191">
            <v>0</v>
          </cell>
          <cell r="H1191">
            <v>0</v>
          </cell>
          <cell r="I1191">
            <v>0</v>
          </cell>
          <cell r="J1191">
            <v>0</v>
          </cell>
          <cell r="K1191">
            <v>0</v>
          </cell>
          <cell r="L1191">
            <v>0</v>
          </cell>
          <cell r="M1191">
            <v>0</v>
          </cell>
          <cell r="N1191">
            <v>0</v>
          </cell>
          <cell r="O1191">
            <v>0</v>
          </cell>
          <cell r="P1191">
            <v>0</v>
          </cell>
          <cell r="Q1191">
            <v>0</v>
          </cell>
          <cell r="R1191">
            <v>0</v>
          </cell>
        </row>
        <row r="1192">
          <cell r="A1192" t="str">
            <v>16.03.01.01</v>
          </cell>
          <cell r="B1192" t="str">
            <v>SALIDAS DE PVC SAL PARA DESAGUE DE 2"</v>
          </cell>
          <cell r="C1192" t="str">
            <v>pto</v>
          </cell>
          <cell r="D1192">
            <v>20</v>
          </cell>
          <cell r="E1192">
            <v>92.04</v>
          </cell>
          <cell r="F1192">
            <v>1840.8000000000002</v>
          </cell>
          <cell r="G1192">
            <v>20</v>
          </cell>
          <cell r="H1192">
            <v>1840.8000000000002</v>
          </cell>
          <cell r="I1192">
            <v>1</v>
          </cell>
          <cell r="J1192">
            <v>0</v>
          </cell>
          <cell r="K1192">
            <v>0</v>
          </cell>
          <cell r="L1192" t="str">
            <v>0.00%</v>
          </cell>
          <cell r="M1192">
            <v>20</v>
          </cell>
          <cell r="N1192">
            <v>1840.8000000000002</v>
          </cell>
          <cell r="O1192">
            <v>1</v>
          </cell>
          <cell r="P1192">
            <v>0</v>
          </cell>
          <cell r="Q1192">
            <v>0</v>
          </cell>
          <cell r="R1192" t="str">
            <v>0.00%</v>
          </cell>
        </row>
        <row r="1193">
          <cell r="A1193" t="str">
            <v>16.03.01.02</v>
          </cell>
          <cell r="B1193" t="str">
            <v>SALIDAS DE PVC SAL PARA DESAGUE DE 4"</v>
          </cell>
          <cell r="C1193" t="str">
            <v>pto</v>
          </cell>
          <cell r="D1193">
            <v>8</v>
          </cell>
          <cell r="E1193">
            <v>56.34</v>
          </cell>
          <cell r="F1193">
            <v>450.72</v>
          </cell>
          <cell r="G1193">
            <v>8</v>
          </cell>
          <cell r="H1193">
            <v>450.72</v>
          </cell>
          <cell r="I1193">
            <v>1</v>
          </cell>
          <cell r="J1193">
            <v>0</v>
          </cell>
          <cell r="K1193">
            <v>0</v>
          </cell>
          <cell r="L1193" t="str">
            <v>0.00%</v>
          </cell>
          <cell r="M1193">
            <v>8</v>
          </cell>
          <cell r="N1193">
            <v>450.72</v>
          </cell>
          <cell r="O1193">
            <v>1</v>
          </cell>
          <cell r="P1193">
            <v>0</v>
          </cell>
          <cell r="Q1193">
            <v>0</v>
          </cell>
          <cell r="R1193" t="str">
            <v>0.00%</v>
          </cell>
        </row>
        <row r="1194">
          <cell r="A1194" t="str">
            <v>16.03.01.03</v>
          </cell>
          <cell r="B1194" t="str">
            <v>SALIDAS DE PVC SAL PARA VENTILACION DE 2"</v>
          </cell>
          <cell r="C1194" t="str">
            <v>pto</v>
          </cell>
          <cell r="D1194">
            <v>16</v>
          </cell>
          <cell r="E1194">
            <v>85.76</v>
          </cell>
          <cell r="F1194">
            <v>1372.16</v>
          </cell>
          <cell r="G1194">
            <v>16</v>
          </cell>
          <cell r="H1194">
            <v>1372.16</v>
          </cell>
          <cell r="I1194">
            <v>1</v>
          </cell>
          <cell r="J1194">
            <v>0</v>
          </cell>
          <cell r="K1194">
            <v>0</v>
          </cell>
          <cell r="L1194" t="str">
            <v>0.00%</v>
          </cell>
          <cell r="M1194">
            <v>16</v>
          </cell>
          <cell r="N1194">
            <v>1372.16</v>
          </cell>
          <cell r="O1194">
            <v>1</v>
          </cell>
          <cell r="P1194">
            <v>0</v>
          </cell>
          <cell r="Q1194">
            <v>0</v>
          </cell>
          <cell r="R1194" t="str">
            <v>0.00%</v>
          </cell>
        </row>
        <row r="1195">
          <cell r="A1195" t="str">
            <v>16.03.01.04</v>
          </cell>
          <cell r="B1195" t="str">
            <v>SOMBRERO VENTILACION PVC DE 2"</v>
          </cell>
          <cell r="C1195" t="str">
            <v>pza</v>
          </cell>
          <cell r="D1195">
            <v>1</v>
          </cell>
          <cell r="E1195">
            <v>11.19</v>
          </cell>
          <cell r="F1195">
            <v>11.19</v>
          </cell>
          <cell r="G1195">
            <v>0</v>
          </cell>
          <cell r="H1195">
            <v>0</v>
          </cell>
          <cell r="I1195" t="str">
            <v>0.00%</v>
          </cell>
          <cell r="J1195">
            <v>0</v>
          </cell>
          <cell r="K1195">
            <v>0</v>
          </cell>
          <cell r="L1195" t="str">
            <v>0.00%</v>
          </cell>
          <cell r="M1195">
            <v>0</v>
          </cell>
          <cell r="N1195">
            <v>0</v>
          </cell>
          <cell r="O1195" t="str">
            <v>0.00%</v>
          </cell>
          <cell r="P1195">
            <v>1</v>
          </cell>
          <cell r="Q1195">
            <v>11.19</v>
          </cell>
          <cell r="R1195">
            <v>1</v>
          </cell>
        </row>
        <row r="1196">
          <cell r="A1196" t="str">
            <v>16.03.02</v>
          </cell>
          <cell r="B1196" t="str">
            <v>REDES DE DERIVACION</v>
          </cell>
          <cell r="C1196">
            <v>0</v>
          </cell>
          <cell r="D1196">
            <v>0</v>
          </cell>
          <cell r="E1196">
            <v>0</v>
          </cell>
          <cell r="F1196">
            <v>0</v>
          </cell>
          <cell r="G1196">
            <v>0</v>
          </cell>
          <cell r="H1196">
            <v>0</v>
          </cell>
          <cell r="I1196">
            <v>0</v>
          </cell>
          <cell r="J1196">
            <v>0</v>
          </cell>
          <cell r="K1196">
            <v>0</v>
          </cell>
          <cell r="L1196">
            <v>0</v>
          </cell>
          <cell r="M1196">
            <v>0</v>
          </cell>
          <cell r="N1196">
            <v>0</v>
          </cell>
          <cell r="O1196">
            <v>0</v>
          </cell>
          <cell r="P1196">
            <v>0</v>
          </cell>
          <cell r="Q1196">
            <v>0</v>
          </cell>
          <cell r="R1196">
            <v>0</v>
          </cell>
        </row>
        <row r="1197">
          <cell r="A1197" t="str">
            <v>16.03.02.01</v>
          </cell>
          <cell r="B1197" t="str">
            <v>RED DE DESAGUE TUBERIA PVC DE 2"</v>
          </cell>
          <cell r="C1197" t="str">
            <v>m</v>
          </cell>
          <cell r="D1197">
            <v>17.48</v>
          </cell>
          <cell r="E1197">
            <v>15.56</v>
          </cell>
          <cell r="F1197">
            <v>271.98880000000003</v>
          </cell>
          <cell r="G1197">
            <v>0</v>
          </cell>
          <cell r="H1197">
            <v>0</v>
          </cell>
          <cell r="I1197" t="str">
            <v>0.00%</v>
          </cell>
          <cell r="J1197">
            <v>8.74</v>
          </cell>
          <cell r="K1197">
            <v>135.99440000000001</v>
          </cell>
          <cell r="L1197">
            <v>0.5</v>
          </cell>
          <cell r="M1197">
            <v>8.74</v>
          </cell>
          <cell r="N1197">
            <v>135.99440000000001</v>
          </cell>
          <cell r="O1197">
            <v>0.5</v>
          </cell>
          <cell r="P1197">
            <v>8.74</v>
          </cell>
          <cell r="Q1197">
            <v>135.99440000000001</v>
          </cell>
          <cell r="R1197">
            <v>0.5</v>
          </cell>
        </row>
        <row r="1198">
          <cell r="A1198" t="str">
            <v>16.03.02.02</v>
          </cell>
          <cell r="B1198" t="str">
            <v>RED DE DESAGUE TUBERIA PVC DE 4"</v>
          </cell>
          <cell r="C1198" t="str">
            <v>m</v>
          </cell>
          <cell r="D1198">
            <v>39.46</v>
          </cell>
          <cell r="E1198">
            <v>20.329999999999998</v>
          </cell>
          <cell r="F1198">
            <v>802.22179999999992</v>
          </cell>
          <cell r="G1198">
            <v>0</v>
          </cell>
          <cell r="H1198">
            <v>0</v>
          </cell>
          <cell r="I1198" t="str">
            <v>0.00%</v>
          </cell>
          <cell r="J1198">
            <v>20.759999999999998</v>
          </cell>
          <cell r="K1198">
            <v>422.05079999999992</v>
          </cell>
          <cell r="L1198">
            <v>0.52610238215914851</v>
          </cell>
          <cell r="M1198">
            <v>20.759999999999998</v>
          </cell>
          <cell r="N1198">
            <v>422.05079999999992</v>
          </cell>
          <cell r="O1198">
            <v>0.52610238215914851</v>
          </cell>
          <cell r="P1198">
            <v>18.700000000000003</v>
          </cell>
          <cell r="Q1198">
            <v>380.17099999999999</v>
          </cell>
          <cell r="R1198">
            <v>0.47389761784085155</v>
          </cell>
        </row>
        <row r="1199">
          <cell r="A1199" t="str">
            <v>16.03.03</v>
          </cell>
          <cell r="B1199" t="str">
            <v>REGISTRO Y SUMIDEROS</v>
          </cell>
          <cell r="C1199">
            <v>0</v>
          </cell>
          <cell r="D1199">
            <v>0</v>
          </cell>
          <cell r="E1199">
            <v>0</v>
          </cell>
          <cell r="F1199">
            <v>0</v>
          </cell>
          <cell r="G1199">
            <v>0</v>
          </cell>
          <cell r="H1199">
            <v>0</v>
          </cell>
          <cell r="I1199">
            <v>0</v>
          </cell>
          <cell r="J1199">
            <v>0</v>
          </cell>
          <cell r="K1199">
            <v>0</v>
          </cell>
          <cell r="L1199">
            <v>0</v>
          </cell>
          <cell r="M1199">
            <v>0</v>
          </cell>
          <cell r="N1199">
            <v>0</v>
          </cell>
          <cell r="O1199">
            <v>0</v>
          </cell>
          <cell r="P1199">
            <v>0</v>
          </cell>
          <cell r="Q1199">
            <v>0</v>
          </cell>
          <cell r="R1199">
            <v>0</v>
          </cell>
        </row>
        <row r="1200">
          <cell r="A1200" t="str">
            <v>16.03.03.01</v>
          </cell>
          <cell r="B1200" t="str">
            <v>REGISTROS DE BRONCE DE 2"</v>
          </cell>
          <cell r="C1200" t="str">
            <v>pza</v>
          </cell>
          <cell r="D1200">
            <v>4</v>
          </cell>
          <cell r="E1200">
            <v>58.08</v>
          </cell>
          <cell r="F1200">
            <v>232.32</v>
          </cell>
          <cell r="G1200">
            <v>0</v>
          </cell>
          <cell r="H1200">
            <v>0</v>
          </cell>
          <cell r="I1200" t="str">
            <v>0.00%</v>
          </cell>
          <cell r="J1200">
            <v>0</v>
          </cell>
          <cell r="K1200">
            <v>0</v>
          </cell>
          <cell r="L1200" t="str">
            <v>0.00%</v>
          </cell>
          <cell r="M1200">
            <v>0</v>
          </cell>
          <cell r="N1200">
            <v>0</v>
          </cell>
          <cell r="O1200" t="str">
            <v>0.00%</v>
          </cell>
          <cell r="P1200">
            <v>4</v>
          </cell>
          <cell r="Q1200">
            <v>232.32</v>
          </cell>
          <cell r="R1200">
            <v>1</v>
          </cell>
        </row>
        <row r="1201">
          <cell r="A1201" t="str">
            <v>16.03.03.02</v>
          </cell>
          <cell r="B1201" t="str">
            <v>REGISTROS DE BRONCE DE 4"</v>
          </cell>
          <cell r="C1201" t="str">
            <v>pza</v>
          </cell>
          <cell r="D1201">
            <v>16</v>
          </cell>
          <cell r="E1201">
            <v>34.130000000000003</v>
          </cell>
          <cell r="F1201">
            <v>546.08000000000004</v>
          </cell>
          <cell r="G1201">
            <v>0</v>
          </cell>
          <cell r="H1201">
            <v>0</v>
          </cell>
          <cell r="I1201" t="str">
            <v>0.00%</v>
          </cell>
          <cell r="J1201">
            <v>0</v>
          </cell>
          <cell r="K1201">
            <v>0</v>
          </cell>
          <cell r="L1201" t="str">
            <v>0.00%</v>
          </cell>
          <cell r="M1201">
            <v>0</v>
          </cell>
          <cell r="N1201">
            <v>0</v>
          </cell>
          <cell r="O1201" t="str">
            <v>0.00%</v>
          </cell>
          <cell r="P1201">
            <v>16</v>
          </cell>
          <cell r="Q1201">
            <v>546.08000000000004</v>
          </cell>
          <cell r="R1201">
            <v>1</v>
          </cell>
        </row>
        <row r="1202">
          <cell r="A1202" t="str">
            <v>16.03.03.03</v>
          </cell>
          <cell r="B1202" t="str">
            <v>SUMIDEROS DE 2"</v>
          </cell>
          <cell r="C1202" t="str">
            <v>pza</v>
          </cell>
          <cell r="D1202">
            <v>4</v>
          </cell>
          <cell r="E1202">
            <v>68.38</v>
          </cell>
          <cell r="F1202">
            <v>273.52</v>
          </cell>
          <cell r="G1202">
            <v>0</v>
          </cell>
          <cell r="H1202">
            <v>0</v>
          </cell>
          <cell r="I1202" t="str">
            <v>0.00%</v>
          </cell>
          <cell r="J1202">
            <v>0</v>
          </cell>
          <cell r="K1202">
            <v>0</v>
          </cell>
          <cell r="L1202" t="str">
            <v>0.00%</v>
          </cell>
          <cell r="M1202">
            <v>0</v>
          </cell>
          <cell r="N1202">
            <v>0</v>
          </cell>
          <cell r="O1202" t="str">
            <v>0.00%</v>
          </cell>
          <cell r="P1202">
            <v>4</v>
          </cell>
          <cell r="Q1202">
            <v>273.52</v>
          </cell>
          <cell r="R1202">
            <v>1</v>
          </cell>
        </row>
        <row r="1203">
          <cell r="A1203" t="str">
            <v>16.03.04</v>
          </cell>
          <cell r="B1203" t="str">
            <v>CAJAS DE INSPECCION Y RETENCION</v>
          </cell>
          <cell r="C1203">
            <v>0</v>
          </cell>
          <cell r="D1203">
            <v>0</v>
          </cell>
          <cell r="E1203">
            <v>0</v>
          </cell>
          <cell r="F1203">
            <v>0</v>
          </cell>
          <cell r="G1203">
            <v>0</v>
          </cell>
          <cell r="H1203">
            <v>0</v>
          </cell>
          <cell r="I1203">
            <v>0</v>
          </cell>
          <cell r="J1203">
            <v>0</v>
          </cell>
          <cell r="K1203">
            <v>0</v>
          </cell>
          <cell r="L1203">
            <v>0</v>
          </cell>
          <cell r="M1203">
            <v>0</v>
          </cell>
          <cell r="N1203">
            <v>0</v>
          </cell>
          <cell r="O1203">
            <v>0</v>
          </cell>
          <cell r="P1203">
            <v>0</v>
          </cell>
          <cell r="Q1203">
            <v>0</v>
          </cell>
          <cell r="R1203">
            <v>0</v>
          </cell>
        </row>
        <row r="1204">
          <cell r="A1204" t="str">
            <v>16.03.04.01</v>
          </cell>
          <cell r="B1204" t="str">
            <v>CAJA DE REGISTRO DE DESAGUE 12" X 24" - CONSTRUCION</v>
          </cell>
          <cell r="C1204" t="str">
            <v>und</v>
          </cell>
          <cell r="D1204">
            <v>1</v>
          </cell>
          <cell r="E1204">
            <v>140.52000000000001</v>
          </cell>
          <cell r="F1204">
            <v>140.52000000000001</v>
          </cell>
          <cell r="G1204">
            <v>0</v>
          </cell>
          <cell r="H1204">
            <v>0</v>
          </cell>
          <cell r="I1204" t="str">
            <v>0.00%</v>
          </cell>
          <cell r="J1204">
            <v>0</v>
          </cell>
          <cell r="K1204">
            <v>0</v>
          </cell>
          <cell r="L1204" t="str">
            <v>0.00%</v>
          </cell>
          <cell r="M1204">
            <v>0</v>
          </cell>
          <cell r="N1204">
            <v>0</v>
          </cell>
          <cell r="O1204" t="str">
            <v>0.00%</v>
          </cell>
          <cell r="P1204">
            <v>1</v>
          </cell>
          <cell r="Q1204">
            <v>140.52000000000001</v>
          </cell>
          <cell r="R1204">
            <v>1</v>
          </cell>
        </row>
        <row r="1205">
          <cell r="A1205" t="str">
            <v>16.03.05</v>
          </cell>
          <cell r="B1205" t="str">
            <v>PRUEBAS HIDRAULICA</v>
          </cell>
          <cell r="C1205">
            <v>0</v>
          </cell>
          <cell r="D1205">
            <v>0</v>
          </cell>
          <cell r="E1205">
            <v>0</v>
          </cell>
          <cell r="F1205">
            <v>0</v>
          </cell>
          <cell r="G1205">
            <v>0</v>
          </cell>
          <cell r="H1205">
            <v>0</v>
          </cell>
          <cell r="I1205">
            <v>0</v>
          </cell>
          <cell r="J1205">
            <v>0</v>
          </cell>
          <cell r="K1205">
            <v>0</v>
          </cell>
          <cell r="L1205">
            <v>0</v>
          </cell>
          <cell r="M1205">
            <v>0</v>
          </cell>
          <cell r="N1205">
            <v>0</v>
          </cell>
          <cell r="O1205">
            <v>0</v>
          </cell>
          <cell r="P1205">
            <v>0</v>
          </cell>
          <cell r="Q1205">
            <v>0</v>
          </cell>
          <cell r="R1205">
            <v>0</v>
          </cell>
        </row>
        <row r="1206">
          <cell r="A1206" t="str">
            <v>16.03.05.01</v>
          </cell>
          <cell r="B1206" t="str">
            <v>PRUEBA HIDRAULICA TUBERIA DE DESAGUE</v>
          </cell>
          <cell r="C1206" t="str">
            <v>und</v>
          </cell>
          <cell r="D1206">
            <v>1</v>
          </cell>
          <cell r="E1206">
            <v>450</v>
          </cell>
          <cell r="F1206">
            <v>450</v>
          </cell>
          <cell r="G1206">
            <v>0</v>
          </cell>
          <cell r="H1206">
            <v>0</v>
          </cell>
          <cell r="I1206" t="str">
            <v>0.00%</v>
          </cell>
          <cell r="J1206">
            <v>0</v>
          </cell>
          <cell r="K1206">
            <v>0</v>
          </cell>
          <cell r="L1206" t="str">
            <v>0.00%</v>
          </cell>
          <cell r="M1206">
            <v>0</v>
          </cell>
          <cell r="N1206">
            <v>0</v>
          </cell>
          <cell r="O1206" t="str">
            <v>0.00%</v>
          </cell>
          <cell r="P1206">
            <v>1</v>
          </cell>
          <cell r="Q1206">
            <v>450</v>
          </cell>
          <cell r="R1206">
            <v>1</v>
          </cell>
        </row>
        <row r="1207">
          <cell r="A1207" t="str">
            <v>16.04</v>
          </cell>
          <cell r="B1207" t="str">
            <v>SISTEMA DE DRENAJE PLUVIAL</v>
          </cell>
          <cell r="C1207">
            <v>0</v>
          </cell>
          <cell r="D1207">
            <v>0</v>
          </cell>
          <cell r="E1207">
            <v>0</v>
          </cell>
          <cell r="F1207">
            <v>0</v>
          </cell>
          <cell r="G1207">
            <v>0</v>
          </cell>
          <cell r="H1207">
            <v>0</v>
          </cell>
          <cell r="I1207">
            <v>0</v>
          </cell>
          <cell r="J1207">
            <v>0</v>
          </cell>
          <cell r="K1207">
            <v>0</v>
          </cell>
          <cell r="L1207">
            <v>0</v>
          </cell>
          <cell r="M1207">
            <v>0</v>
          </cell>
          <cell r="N1207">
            <v>0</v>
          </cell>
          <cell r="O1207">
            <v>0</v>
          </cell>
          <cell r="P1207">
            <v>0</v>
          </cell>
          <cell r="Q1207">
            <v>0</v>
          </cell>
          <cell r="R1207">
            <v>0</v>
          </cell>
        </row>
        <row r="1208">
          <cell r="A1208" t="str">
            <v>16.04.01</v>
          </cell>
          <cell r="B1208" t="str">
            <v>SISTEMA DE BAJADA MONTANTE (PLUVIAL)</v>
          </cell>
          <cell r="C1208">
            <v>0</v>
          </cell>
          <cell r="D1208">
            <v>0</v>
          </cell>
          <cell r="E1208">
            <v>0</v>
          </cell>
          <cell r="F1208">
            <v>0</v>
          </cell>
          <cell r="G1208">
            <v>0</v>
          </cell>
          <cell r="H1208">
            <v>0</v>
          </cell>
          <cell r="I1208">
            <v>0</v>
          </cell>
          <cell r="J1208">
            <v>0</v>
          </cell>
          <cell r="K1208">
            <v>0</v>
          </cell>
          <cell r="L1208">
            <v>0</v>
          </cell>
          <cell r="M1208">
            <v>0</v>
          </cell>
          <cell r="N1208">
            <v>0</v>
          </cell>
          <cell r="O1208">
            <v>0</v>
          </cell>
          <cell r="P1208">
            <v>0</v>
          </cell>
          <cell r="Q1208">
            <v>0</v>
          </cell>
          <cell r="R1208">
            <v>0</v>
          </cell>
        </row>
        <row r="1209">
          <cell r="A1209" t="str">
            <v>16.04.01.01</v>
          </cell>
          <cell r="B1209" t="str">
            <v>CANALETA DE EVACUACION PLUVIAL</v>
          </cell>
          <cell r="C1209" t="str">
            <v>m</v>
          </cell>
          <cell r="D1209">
            <v>15.8</v>
          </cell>
          <cell r="E1209">
            <v>33.79</v>
          </cell>
          <cell r="F1209">
            <v>533.88200000000006</v>
          </cell>
          <cell r="G1209">
            <v>0</v>
          </cell>
          <cell r="H1209">
            <v>0</v>
          </cell>
          <cell r="I1209" t="str">
            <v>0.00%</v>
          </cell>
          <cell r="J1209">
            <v>15.8</v>
          </cell>
          <cell r="K1209">
            <v>533.88200000000006</v>
          </cell>
          <cell r="L1209">
            <v>1</v>
          </cell>
          <cell r="M1209">
            <v>15.8</v>
          </cell>
          <cell r="N1209">
            <v>533.88200000000006</v>
          </cell>
          <cell r="O1209">
            <v>1</v>
          </cell>
          <cell r="P1209">
            <v>0</v>
          </cell>
          <cell r="Q1209">
            <v>0</v>
          </cell>
          <cell r="R1209" t="str">
            <v>0.00%</v>
          </cell>
        </row>
        <row r="1210">
          <cell r="A1210" t="str">
            <v>16.04.01.02</v>
          </cell>
          <cell r="B1210" t="str">
            <v>ABRAZADERA DE FIJACION DE TUBO</v>
          </cell>
          <cell r="C1210" t="str">
            <v>und</v>
          </cell>
          <cell r="D1210">
            <v>40</v>
          </cell>
          <cell r="E1210">
            <v>41.02</v>
          </cell>
          <cell r="F1210">
            <v>1640.8000000000002</v>
          </cell>
          <cell r="G1210">
            <v>0</v>
          </cell>
          <cell r="H1210">
            <v>0</v>
          </cell>
          <cell r="I1210" t="str">
            <v>0.00%</v>
          </cell>
          <cell r="J1210">
            <v>0</v>
          </cell>
          <cell r="K1210">
            <v>0</v>
          </cell>
          <cell r="L1210" t="str">
            <v>0.00%</v>
          </cell>
          <cell r="M1210">
            <v>0</v>
          </cell>
          <cell r="N1210">
            <v>0</v>
          </cell>
          <cell r="O1210" t="str">
            <v>0.00%</v>
          </cell>
          <cell r="P1210">
            <v>40</v>
          </cell>
          <cell r="Q1210">
            <v>1640.8000000000002</v>
          </cell>
          <cell r="R1210">
            <v>1</v>
          </cell>
        </row>
        <row r="1211">
          <cell r="A1211" t="str">
            <v>16.04.01.03</v>
          </cell>
          <cell r="B1211" t="str">
            <v>INSTALACION DE TUB. PVC SAP C-10 Ø 4"</v>
          </cell>
          <cell r="C1211" t="str">
            <v>m</v>
          </cell>
          <cell r="D1211">
            <v>51.6</v>
          </cell>
          <cell r="E1211">
            <v>9.93</v>
          </cell>
          <cell r="F1211">
            <v>512.38800000000003</v>
          </cell>
          <cell r="G1211">
            <v>0</v>
          </cell>
          <cell r="H1211">
            <v>0</v>
          </cell>
          <cell r="I1211" t="str">
            <v>0.00%</v>
          </cell>
          <cell r="J1211">
            <v>0</v>
          </cell>
          <cell r="K1211">
            <v>0</v>
          </cell>
          <cell r="L1211" t="str">
            <v>0.00%</v>
          </cell>
          <cell r="M1211">
            <v>0</v>
          </cell>
          <cell r="N1211">
            <v>0</v>
          </cell>
          <cell r="O1211" t="str">
            <v>0.00%</v>
          </cell>
          <cell r="P1211">
            <v>51.6</v>
          </cell>
          <cell r="Q1211">
            <v>512.38800000000003</v>
          </cell>
          <cell r="R1211">
            <v>1</v>
          </cell>
        </row>
        <row r="1212">
          <cell r="A1212" t="str">
            <v>16.04.01.04</v>
          </cell>
          <cell r="B1212" t="str">
            <v>CONCRETO FC=175 KG/CM2 EN COLUMNETAS</v>
          </cell>
          <cell r="C1212" t="str">
            <v>m3</v>
          </cell>
          <cell r="D1212">
            <v>0.32</v>
          </cell>
          <cell r="E1212">
            <v>466.52</v>
          </cell>
          <cell r="F1212">
            <v>149.28639999999999</v>
          </cell>
          <cell r="G1212">
            <v>0</v>
          </cell>
          <cell r="H1212">
            <v>0</v>
          </cell>
          <cell r="I1212" t="str">
            <v>0.00%</v>
          </cell>
          <cell r="J1212">
            <v>0</v>
          </cell>
          <cell r="K1212">
            <v>0</v>
          </cell>
          <cell r="L1212" t="str">
            <v>0.00%</v>
          </cell>
          <cell r="M1212">
            <v>0</v>
          </cell>
          <cell r="N1212">
            <v>0</v>
          </cell>
          <cell r="O1212" t="str">
            <v>0.00%</v>
          </cell>
          <cell r="P1212">
            <v>0.32</v>
          </cell>
          <cell r="Q1212">
            <v>149.28639999999999</v>
          </cell>
          <cell r="R1212">
            <v>1</v>
          </cell>
        </row>
        <row r="1213">
          <cell r="A1213" t="str">
            <v>16.04.01.05</v>
          </cell>
          <cell r="B1213" t="str">
            <v>ACERO F'Y=4200 KG/CM2 GRADO 60 EN COLUMNETAS</v>
          </cell>
          <cell r="C1213" t="str">
            <v>kg</v>
          </cell>
          <cell r="D1213">
            <v>56.69</v>
          </cell>
          <cell r="E1213">
            <v>4.4400000000000004</v>
          </cell>
          <cell r="F1213">
            <v>251.70360000000002</v>
          </cell>
          <cell r="G1213">
            <v>0</v>
          </cell>
          <cell r="H1213">
            <v>0</v>
          </cell>
          <cell r="I1213" t="str">
            <v>0.00%</v>
          </cell>
          <cell r="J1213">
            <v>0</v>
          </cell>
          <cell r="K1213">
            <v>0</v>
          </cell>
          <cell r="L1213" t="str">
            <v>0.00%</v>
          </cell>
          <cell r="M1213">
            <v>0</v>
          </cell>
          <cell r="N1213">
            <v>0</v>
          </cell>
          <cell r="O1213" t="str">
            <v>0.00%</v>
          </cell>
          <cell r="P1213">
            <v>56.69</v>
          </cell>
          <cell r="Q1213">
            <v>251.70360000000002</v>
          </cell>
          <cell r="R1213">
            <v>1</v>
          </cell>
        </row>
        <row r="1214">
          <cell r="A1214" t="str">
            <v>16.04.01.06</v>
          </cell>
          <cell r="B1214" t="str">
            <v>ENCOFRADO Y DESENCOFRADO NORMAL  EN COLUMNETAS</v>
          </cell>
          <cell r="C1214" t="str">
            <v>m2</v>
          </cell>
          <cell r="D1214">
            <v>4.8</v>
          </cell>
          <cell r="E1214">
            <v>44.19</v>
          </cell>
          <cell r="F1214">
            <v>212.11199999999999</v>
          </cell>
          <cell r="G1214">
            <v>0</v>
          </cell>
          <cell r="H1214">
            <v>0</v>
          </cell>
          <cell r="I1214" t="str">
            <v>0.00%</v>
          </cell>
          <cell r="J1214">
            <v>0</v>
          </cell>
          <cell r="K1214">
            <v>0</v>
          </cell>
          <cell r="L1214" t="str">
            <v>0.00%</v>
          </cell>
          <cell r="M1214">
            <v>0</v>
          </cell>
          <cell r="N1214">
            <v>0</v>
          </cell>
          <cell r="O1214" t="str">
            <v>0.00%</v>
          </cell>
          <cell r="P1214">
            <v>4.8</v>
          </cell>
          <cell r="Q1214">
            <v>212.11199999999999</v>
          </cell>
          <cell r="R1214">
            <v>1</v>
          </cell>
        </row>
        <row r="1215">
          <cell r="A1215" t="str">
            <v>16.04.01.07</v>
          </cell>
          <cell r="B1215" t="str">
            <v>TARRAJEO DE SUPERFICIE COLUMNETAS INCL. ARISTAS MEZCLA 1:5 CEMENTO:ARENA</v>
          </cell>
          <cell r="C1215" t="str">
            <v>m2</v>
          </cell>
          <cell r="D1215">
            <v>4.8</v>
          </cell>
          <cell r="E1215">
            <v>31.33</v>
          </cell>
          <cell r="F1215">
            <v>150.38399999999999</v>
          </cell>
          <cell r="G1215">
            <v>0</v>
          </cell>
          <cell r="H1215">
            <v>0</v>
          </cell>
          <cell r="I1215" t="str">
            <v>0.00%</v>
          </cell>
          <cell r="J1215">
            <v>0</v>
          </cell>
          <cell r="K1215">
            <v>0</v>
          </cell>
          <cell r="L1215" t="str">
            <v>0.00%</v>
          </cell>
          <cell r="M1215">
            <v>0</v>
          </cell>
          <cell r="N1215">
            <v>0</v>
          </cell>
          <cell r="O1215" t="str">
            <v>0.00%</v>
          </cell>
          <cell r="P1215">
            <v>4.8</v>
          </cell>
          <cell r="Q1215">
            <v>150.38399999999999</v>
          </cell>
          <cell r="R1215">
            <v>1</v>
          </cell>
        </row>
        <row r="1216">
          <cell r="A1216" t="str">
            <v>16.04.02</v>
          </cell>
          <cell r="B1216" t="str">
            <v>SISTEMA DE EVACUACION PLUVIAL</v>
          </cell>
          <cell r="C1216">
            <v>0</v>
          </cell>
          <cell r="D1216">
            <v>0</v>
          </cell>
          <cell r="E1216">
            <v>0</v>
          </cell>
          <cell r="F1216">
            <v>0</v>
          </cell>
          <cell r="G1216">
            <v>0</v>
          </cell>
          <cell r="H1216">
            <v>0</v>
          </cell>
          <cell r="I1216">
            <v>0</v>
          </cell>
          <cell r="J1216">
            <v>0</v>
          </cell>
          <cell r="K1216">
            <v>0</v>
          </cell>
          <cell r="L1216">
            <v>0</v>
          </cell>
          <cell r="M1216">
            <v>0</v>
          </cell>
          <cell r="N1216">
            <v>0</v>
          </cell>
          <cell r="O1216">
            <v>0</v>
          </cell>
          <cell r="P1216">
            <v>0</v>
          </cell>
          <cell r="Q1216">
            <v>0</v>
          </cell>
          <cell r="R1216">
            <v>0</v>
          </cell>
        </row>
        <row r="1217">
          <cell r="A1217" t="str">
            <v>16.04.02.01</v>
          </cell>
          <cell r="B1217" t="str">
            <v>RED COLECTORA PARA AGUAS PLUVIALES TUB. PVC UF Ø DE 4"</v>
          </cell>
          <cell r="C1217" t="str">
            <v>m</v>
          </cell>
          <cell r="D1217">
            <v>58.9</v>
          </cell>
          <cell r="E1217">
            <v>27.03</v>
          </cell>
          <cell r="F1217">
            <v>1592.067</v>
          </cell>
          <cell r="G1217">
            <v>0</v>
          </cell>
          <cell r="H1217">
            <v>0</v>
          </cell>
          <cell r="I1217" t="str">
            <v>0.00%</v>
          </cell>
          <cell r="J1217">
            <v>0</v>
          </cell>
          <cell r="K1217">
            <v>0</v>
          </cell>
          <cell r="L1217" t="str">
            <v>0.00%</v>
          </cell>
          <cell r="M1217">
            <v>0</v>
          </cell>
          <cell r="N1217">
            <v>0</v>
          </cell>
          <cell r="O1217" t="str">
            <v>0.00%</v>
          </cell>
          <cell r="P1217">
            <v>58.9</v>
          </cell>
          <cell r="Q1217">
            <v>1592.067</v>
          </cell>
          <cell r="R1217">
            <v>1</v>
          </cell>
        </row>
        <row r="1218">
          <cell r="A1218" t="str">
            <v>16.04.02.02</v>
          </cell>
          <cell r="B1218" t="str">
            <v>DRENAJE CON TUB. CRIBADA DE 2"</v>
          </cell>
          <cell r="C1218" t="str">
            <v>m</v>
          </cell>
          <cell r="D1218">
            <v>27.09</v>
          </cell>
          <cell r="E1218">
            <v>21.03</v>
          </cell>
          <cell r="F1218">
            <v>569.70270000000005</v>
          </cell>
          <cell r="G1218">
            <v>0</v>
          </cell>
          <cell r="H1218">
            <v>0</v>
          </cell>
          <cell r="I1218" t="str">
            <v>0.00%</v>
          </cell>
          <cell r="J1218">
            <v>0</v>
          </cell>
          <cell r="K1218">
            <v>0</v>
          </cell>
          <cell r="L1218" t="str">
            <v>0.00%</v>
          </cell>
          <cell r="M1218">
            <v>0</v>
          </cell>
          <cell r="N1218">
            <v>0</v>
          </cell>
          <cell r="O1218" t="str">
            <v>0.00%</v>
          </cell>
          <cell r="P1218">
            <v>27.09</v>
          </cell>
          <cell r="Q1218">
            <v>569.70270000000005</v>
          </cell>
          <cell r="R1218">
            <v>1</v>
          </cell>
        </row>
        <row r="1219">
          <cell r="A1219" t="str">
            <v>16.04.02.03</v>
          </cell>
          <cell r="B1219" t="str">
            <v>CAJA DE REGISTRO DE DESAGUE 12" X 24" - CONSTRUCION</v>
          </cell>
          <cell r="C1219" t="str">
            <v>und</v>
          </cell>
          <cell r="D1219">
            <v>7</v>
          </cell>
          <cell r="E1219">
            <v>140.52000000000001</v>
          </cell>
          <cell r="F1219">
            <v>983.6400000000001</v>
          </cell>
          <cell r="G1219">
            <v>0</v>
          </cell>
          <cell r="H1219">
            <v>0</v>
          </cell>
          <cell r="I1219" t="str">
            <v>0.00%</v>
          </cell>
          <cell r="J1219">
            <v>0</v>
          </cell>
          <cell r="K1219">
            <v>0</v>
          </cell>
          <cell r="L1219" t="str">
            <v>0.00%</v>
          </cell>
          <cell r="M1219">
            <v>0</v>
          </cell>
          <cell r="N1219">
            <v>0</v>
          </cell>
          <cell r="O1219" t="str">
            <v>0.00%</v>
          </cell>
          <cell r="P1219">
            <v>7</v>
          </cell>
          <cell r="Q1219">
            <v>983.6400000000001</v>
          </cell>
          <cell r="R1219">
            <v>1</v>
          </cell>
        </row>
        <row r="1220">
          <cell r="A1220" t="str">
            <v>17</v>
          </cell>
          <cell r="B1220" t="str">
            <v>BLOQUE - 3</v>
          </cell>
          <cell r="C1220">
            <v>0</v>
          </cell>
          <cell r="D1220">
            <v>0</v>
          </cell>
          <cell r="E1220">
            <v>0</v>
          </cell>
          <cell r="F1220">
            <v>0</v>
          </cell>
          <cell r="G1220">
            <v>0</v>
          </cell>
          <cell r="H1220">
            <v>0</v>
          </cell>
          <cell r="I1220">
            <v>0</v>
          </cell>
          <cell r="J1220">
            <v>0</v>
          </cell>
          <cell r="K1220">
            <v>0</v>
          </cell>
          <cell r="L1220">
            <v>0</v>
          </cell>
          <cell r="M1220">
            <v>0</v>
          </cell>
          <cell r="N1220">
            <v>0</v>
          </cell>
          <cell r="O1220">
            <v>0</v>
          </cell>
          <cell r="P1220">
            <v>0</v>
          </cell>
          <cell r="Q1220">
            <v>0</v>
          </cell>
          <cell r="R1220">
            <v>0</v>
          </cell>
        </row>
        <row r="1221">
          <cell r="A1221" t="str">
            <v>17.01</v>
          </cell>
          <cell r="B1221" t="str">
            <v>APARATOS SANITARIOS Y ACCESORIOS</v>
          </cell>
          <cell r="C1221">
            <v>0</v>
          </cell>
          <cell r="D1221">
            <v>0</v>
          </cell>
          <cell r="E1221">
            <v>0</v>
          </cell>
          <cell r="F1221">
            <v>0</v>
          </cell>
          <cell r="G1221">
            <v>0</v>
          </cell>
          <cell r="H1221">
            <v>0</v>
          </cell>
          <cell r="I1221">
            <v>0</v>
          </cell>
          <cell r="J1221">
            <v>0</v>
          </cell>
          <cell r="K1221">
            <v>0</v>
          </cell>
          <cell r="L1221">
            <v>0</v>
          </cell>
          <cell r="M1221">
            <v>0</v>
          </cell>
          <cell r="N1221">
            <v>0</v>
          </cell>
          <cell r="O1221">
            <v>0</v>
          </cell>
          <cell r="P1221">
            <v>0</v>
          </cell>
          <cell r="Q1221">
            <v>0</v>
          </cell>
          <cell r="R1221">
            <v>0</v>
          </cell>
        </row>
        <row r="1222">
          <cell r="A1222" t="str">
            <v>17.01.01</v>
          </cell>
          <cell r="B1222" t="str">
            <v>SUMINISTRO DE APARATO SANITARIOS</v>
          </cell>
          <cell r="C1222">
            <v>0</v>
          </cell>
          <cell r="D1222">
            <v>0</v>
          </cell>
          <cell r="E1222">
            <v>0</v>
          </cell>
          <cell r="F1222">
            <v>0</v>
          </cell>
          <cell r="G1222">
            <v>0</v>
          </cell>
          <cell r="H1222">
            <v>0</v>
          </cell>
          <cell r="I1222">
            <v>0</v>
          </cell>
          <cell r="J1222">
            <v>0</v>
          </cell>
          <cell r="K1222">
            <v>0</v>
          </cell>
          <cell r="L1222">
            <v>0</v>
          </cell>
          <cell r="M1222">
            <v>0</v>
          </cell>
          <cell r="N1222">
            <v>0</v>
          </cell>
          <cell r="O1222">
            <v>0</v>
          </cell>
          <cell r="P1222">
            <v>0</v>
          </cell>
          <cell r="Q1222">
            <v>0</v>
          </cell>
          <cell r="R1222">
            <v>0</v>
          </cell>
        </row>
        <row r="1223">
          <cell r="A1223" t="str">
            <v>17.01.01.01</v>
          </cell>
          <cell r="B1223" t="str">
            <v xml:space="preserve">INODORO SIFON JEET COLOR BLANCO </v>
          </cell>
          <cell r="C1223" t="str">
            <v>und</v>
          </cell>
          <cell r="D1223">
            <v>1</v>
          </cell>
          <cell r="E1223">
            <v>300</v>
          </cell>
          <cell r="F1223">
            <v>300</v>
          </cell>
          <cell r="G1223">
            <v>0</v>
          </cell>
          <cell r="H1223">
            <v>0</v>
          </cell>
          <cell r="I1223" t="str">
            <v>0.00%</v>
          </cell>
          <cell r="J1223">
            <v>0</v>
          </cell>
          <cell r="K1223">
            <v>0</v>
          </cell>
          <cell r="L1223" t="str">
            <v>0.00%</v>
          </cell>
          <cell r="M1223">
            <v>0</v>
          </cell>
          <cell r="N1223">
            <v>0</v>
          </cell>
          <cell r="O1223" t="str">
            <v>0.00%</v>
          </cell>
          <cell r="P1223">
            <v>1</v>
          </cell>
          <cell r="Q1223">
            <v>300</v>
          </cell>
          <cell r="R1223">
            <v>1</v>
          </cell>
        </row>
        <row r="1224">
          <cell r="A1224" t="str">
            <v>17.01.01.02</v>
          </cell>
          <cell r="B1224" t="str">
            <v xml:space="preserve">URINARIO BAMBI DE LOSA BLANCO </v>
          </cell>
          <cell r="C1224" t="str">
            <v>und</v>
          </cell>
          <cell r="D1224">
            <v>1</v>
          </cell>
          <cell r="E1224">
            <v>150</v>
          </cell>
          <cell r="F1224">
            <v>150</v>
          </cell>
          <cell r="G1224">
            <v>0</v>
          </cell>
          <cell r="H1224">
            <v>0</v>
          </cell>
          <cell r="I1224" t="str">
            <v>0.00%</v>
          </cell>
          <cell r="J1224">
            <v>0</v>
          </cell>
          <cell r="K1224">
            <v>0</v>
          </cell>
          <cell r="L1224" t="str">
            <v>0.00%</v>
          </cell>
          <cell r="M1224">
            <v>0</v>
          </cell>
          <cell r="N1224">
            <v>0</v>
          </cell>
          <cell r="O1224" t="str">
            <v>0.00%</v>
          </cell>
          <cell r="P1224">
            <v>1</v>
          </cell>
          <cell r="Q1224">
            <v>150</v>
          </cell>
          <cell r="R1224">
            <v>1</v>
          </cell>
        </row>
        <row r="1225">
          <cell r="A1225" t="str">
            <v>17.01.01.03</v>
          </cell>
          <cell r="B1225" t="str">
            <v>LAVATORIO TIPO ESTANDAR BLANCO</v>
          </cell>
          <cell r="C1225" t="str">
            <v>und</v>
          </cell>
          <cell r="D1225">
            <v>2</v>
          </cell>
          <cell r="E1225">
            <v>190</v>
          </cell>
          <cell r="F1225">
            <v>380</v>
          </cell>
          <cell r="G1225">
            <v>0</v>
          </cell>
          <cell r="H1225">
            <v>0</v>
          </cell>
          <cell r="I1225" t="str">
            <v>0.00%</v>
          </cell>
          <cell r="J1225">
            <v>0</v>
          </cell>
          <cell r="K1225">
            <v>0</v>
          </cell>
          <cell r="L1225" t="str">
            <v>0.00%</v>
          </cell>
          <cell r="M1225">
            <v>0</v>
          </cell>
          <cell r="N1225">
            <v>0</v>
          </cell>
          <cell r="O1225" t="str">
            <v>0.00%</v>
          </cell>
          <cell r="P1225">
            <v>2</v>
          </cell>
          <cell r="Q1225">
            <v>380</v>
          </cell>
          <cell r="R1225">
            <v>1</v>
          </cell>
        </row>
        <row r="1226">
          <cell r="A1226" t="str">
            <v>17.01.01.04</v>
          </cell>
          <cell r="B1226" t="str">
            <v>LAVADERO DE COCINA DE ACERO INOXIDABLE (INCLUYE ACCESORIOS)</v>
          </cell>
          <cell r="C1226" t="str">
            <v>und</v>
          </cell>
          <cell r="D1226">
            <v>2</v>
          </cell>
          <cell r="E1226">
            <v>150</v>
          </cell>
          <cell r="F1226">
            <v>300</v>
          </cell>
          <cell r="G1226">
            <v>0</v>
          </cell>
          <cell r="H1226">
            <v>0</v>
          </cell>
          <cell r="I1226" t="str">
            <v>0.00%</v>
          </cell>
          <cell r="J1226">
            <v>0</v>
          </cell>
          <cell r="K1226">
            <v>0</v>
          </cell>
          <cell r="L1226" t="str">
            <v>0.00%</v>
          </cell>
          <cell r="M1226">
            <v>0</v>
          </cell>
          <cell r="N1226">
            <v>0</v>
          </cell>
          <cell r="O1226" t="str">
            <v>0.00%</v>
          </cell>
          <cell r="P1226">
            <v>2</v>
          </cell>
          <cell r="Q1226">
            <v>300</v>
          </cell>
          <cell r="R1226">
            <v>1</v>
          </cell>
        </row>
        <row r="1227">
          <cell r="A1227" t="str">
            <v>17.01.02</v>
          </cell>
          <cell r="B1227" t="str">
            <v>SUMINISTRO DE ACCESORIOS</v>
          </cell>
          <cell r="C1227">
            <v>0</v>
          </cell>
          <cell r="D1227">
            <v>0</v>
          </cell>
          <cell r="E1227">
            <v>0</v>
          </cell>
          <cell r="F1227">
            <v>0</v>
          </cell>
          <cell r="G1227">
            <v>0</v>
          </cell>
          <cell r="H1227">
            <v>0</v>
          </cell>
          <cell r="I1227">
            <v>0</v>
          </cell>
          <cell r="J1227">
            <v>0</v>
          </cell>
          <cell r="K1227">
            <v>0</v>
          </cell>
          <cell r="L1227">
            <v>0</v>
          </cell>
          <cell r="M1227">
            <v>0</v>
          </cell>
          <cell r="N1227">
            <v>0</v>
          </cell>
          <cell r="O1227">
            <v>0</v>
          </cell>
          <cell r="P1227">
            <v>0</v>
          </cell>
          <cell r="Q1227">
            <v>0</v>
          </cell>
          <cell r="R1227">
            <v>0</v>
          </cell>
        </row>
        <row r="1228">
          <cell r="A1228" t="str">
            <v>17.01.02.01</v>
          </cell>
          <cell r="B1228" t="str">
            <v>PAPELERA DE LOSA COLOR BLANCO</v>
          </cell>
          <cell r="C1228" t="str">
            <v>und</v>
          </cell>
          <cell r="D1228">
            <v>1</v>
          </cell>
          <cell r="E1228">
            <v>35</v>
          </cell>
          <cell r="F1228">
            <v>35</v>
          </cell>
          <cell r="G1228">
            <v>0</v>
          </cell>
          <cell r="H1228">
            <v>0</v>
          </cell>
          <cell r="I1228" t="str">
            <v>0.00%</v>
          </cell>
          <cell r="J1228">
            <v>0</v>
          </cell>
          <cell r="K1228">
            <v>0</v>
          </cell>
          <cell r="L1228" t="str">
            <v>0.00%</v>
          </cell>
          <cell r="M1228">
            <v>0</v>
          </cell>
          <cell r="N1228">
            <v>0</v>
          </cell>
          <cell r="O1228" t="str">
            <v>0.00%</v>
          </cell>
          <cell r="P1228">
            <v>1</v>
          </cell>
          <cell r="Q1228">
            <v>35</v>
          </cell>
          <cell r="R1228">
            <v>1</v>
          </cell>
        </row>
        <row r="1229">
          <cell r="A1229" t="str">
            <v>17.01.02.02</v>
          </cell>
          <cell r="B1229" t="str">
            <v>JABONERA DE LOSA COLOR BLANCO</v>
          </cell>
          <cell r="C1229" t="str">
            <v>und</v>
          </cell>
          <cell r="D1229">
            <v>2</v>
          </cell>
          <cell r="E1229">
            <v>20</v>
          </cell>
          <cell r="F1229">
            <v>40</v>
          </cell>
          <cell r="G1229">
            <v>0</v>
          </cell>
          <cell r="H1229">
            <v>0</v>
          </cell>
          <cell r="I1229" t="str">
            <v>0.00%</v>
          </cell>
          <cell r="J1229">
            <v>0</v>
          </cell>
          <cell r="K1229">
            <v>0</v>
          </cell>
          <cell r="L1229" t="str">
            <v>0.00%</v>
          </cell>
          <cell r="M1229">
            <v>0</v>
          </cell>
          <cell r="N1229">
            <v>0</v>
          </cell>
          <cell r="O1229" t="str">
            <v>0.00%</v>
          </cell>
          <cell r="P1229">
            <v>2</v>
          </cell>
          <cell r="Q1229">
            <v>40</v>
          </cell>
          <cell r="R1229">
            <v>1</v>
          </cell>
        </row>
        <row r="1230">
          <cell r="A1230" t="str">
            <v>17.01.02.03</v>
          </cell>
          <cell r="B1230" t="str">
            <v>TOALLERA C/SOPORTE DE LOSA Y BARRA PLASTICA, COLOR BLANCO</v>
          </cell>
          <cell r="C1230" t="str">
            <v>und</v>
          </cell>
          <cell r="D1230">
            <v>1</v>
          </cell>
          <cell r="E1230">
            <v>30</v>
          </cell>
          <cell r="F1230">
            <v>30</v>
          </cell>
          <cell r="G1230">
            <v>0</v>
          </cell>
          <cell r="H1230">
            <v>0</v>
          </cell>
          <cell r="I1230" t="str">
            <v>0.00%</v>
          </cell>
          <cell r="J1230">
            <v>0</v>
          </cell>
          <cell r="K1230">
            <v>0</v>
          </cell>
          <cell r="L1230" t="str">
            <v>0.00%</v>
          </cell>
          <cell r="M1230">
            <v>0</v>
          </cell>
          <cell r="N1230">
            <v>0</v>
          </cell>
          <cell r="O1230" t="str">
            <v>0.00%</v>
          </cell>
          <cell r="P1230">
            <v>1</v>
          </cell>
          <cell r="Q1230">
            <v>30</v>
          </cell>
          <cell r="R1230">
            <v>1</v>
          </cell>
        </row>
        <row r="1231">
          <cell r="A1231" t="str">
            <v>17.01.02.04</v>
          </cell>
          <cell r="B1231" t="str">
            <v>DUCHAS CROMADAS</v>
          </cell>
          <cell r="C1231" t="str">
            <v>und</v>
          </cell>
          <cell r="D1231">
            <v>1</v>
          </cell>
          <cell r="E1231">
            <v>85</v>
          </cell>
          <cell r="F1231">
            <v>85</v>
          </cell>
          <cell r="G1231">
            <v>0</v>
          </cell>
          <cell r="H1231">
            <v>0</v>
          </cell>
          <cell r="I1231" t="str">
            <v>0.00%</v>
          </cell>
          <cell r="J1231">
            <v>0</v>
          </cell>
          <cell r="K1231">
            <v>0</v>
          </cell>
          <cell r="L1231" t="str">
            <v>0.00%</v>
          </cell>
          <cell r="M1231">
            <v>0</v>
          </cell>
          <cell r="N1231">
            <v>0</v>
          </cell>
          <cell r="O1231" t="str">
            <v>0.00%</v>
          </cell>
          <cell r="P1231">
            <v>1</v>
          </cell>
          <cell r="Q1231">
            <v>85</v>
          </cell>
          <cell r="R1231">
            <v>1</v>
          </cell>
        </row>
        <row r="1232">
          <cell r="A1232" t="str">
            <v>17.01.02.05</v>
          </cell>
          <cell r="B1232" t="str">
            <v>ESPEJO DE 4MM DE 0.60 x 0.90 M.</v>
          </cell>
          <cell r="C1232" t="str">
            <v>und</v>
          </cell>
          <cell r="D1232">
            <v>1</v>
          </cell>
          <cell r="E1232">
            <v>30</v>
          </cell>
          <cell r="F1232">
            <v>30</v>
          </cell>
          <cell r="G1232">
            <v>0</v>
          </cell>
          <cell r="H1232">
            <v>0</v>
          </cell>
          <cell r="I1232" t="str">
            <v>0.00%</v>
          </cell>
          <cell r="J1232">
            <v>0</v>
          </cell>
          <cell r="K1232">
            <v>0</v>
          </cell>
          <cell r="L1232" t="str">
            <v>0.00%</v>
          </cell>
          <cell r="M1232">
            <v>0</v>
          </cell>
          <cell r="N1232">
            <v>0</v>
          </cell>
          <cell r="O1232" t="str">
            <v>0.00%</v>
          </cell>
          <cell r="P1232">
            <v>1</v>
          </cell>
          <cell r="Q1232">
            <v>30</v>
          </cell>
          <cell r="R1232">
            <v>1</v>
          </cell>
        </row>
        <row r="1233">
          <cell r="A1233" t="str">
            <v>17.01.03</v>
          </cell>
          <cell r="B1233" t="str">
            <v xml:space="preserve">INSTALACION DE APARATOS SANITARIOS  </v>
          </cell>
          <cell r="C1233">
            <v>0</v>
          </cell>
          <cell r="D1233">
            <v>0</v>
          </cell>
          <cell r="E1233">
            <v>0</v>
          </cell>
          <cell r="F1233">
            <v>0</v>
          </cell>
          <cell r="G1233">
            <v>0</v>
          </cell>
          <cell r="H1233">
            <v>0</v>
          </cell>
          <cell r="I1233">
            <v>0</v>
          </cell>
          <cell r="J1233">
            <v>0</v>
          </cell>
          <cell r="K1233">
            <v>0</v>
          </cell>
          <cell r="L1233">
            <v>0</v>
          </cell>
          <cell r="M1233">
            <v>0</v>
          </cell>
          <cell r="N1233">
            <v>0</v>
          </cell>
          <cell r="O1233">
            <v>0</v>
          </cell>
          <cell r="P1233">
            <v>0</v>
          </cell>
          <cell r="Q1233">
            <v>0</v>
          </cell>
          <cell r="R1233">
            <v>0</v>
          </cell>
        </row>
        <row r="1234">
          <cell r="A1234" t="str">
            <v>17.01.03.01</v>
          </cell>
          <cell r="B1234" t="str">
            <v xml:space="preserve">COLOCACION DE APARATOS SANITARIOS </v>
          </cell>
          <cell r="C1234" t="str">
            <v>und</v>
          </cell>
          <cell r="D1234">
            <v>6</v>
          </cell>
          <cell r="E1234">
            <v>52.08</v>
          </cell>
          <cell r="F1234">
            <v>312.48</v>
          </cell>
          <cell r="G1234">
            <v>0</v>
          </cell>
          <cell r="H1234">
            <v>0</v>
          </cell>
          <cell r="I1234" t="str">
            <v>0.00%</v>
          </cell>
          <cell r="J1234">
            <v>0</v>
          </cell>
          <cell r="K1234">
            <v>0</v>
          </cell>
          <cell r="L1234" t="str">
            <v>0.00%</v>
          </cell>
          <cell r="M1234">
            <v>0</v>
          </cell>
          <cell r="N1234">
            <v>0</v>
          </cell>
          <cell r="O1234" t="str">
            <v>0.00%</v>
          </cell>
          <cell r="P1234">
            <v>6</v>
          </cell>
          <cell r="Q1234">
            <v>312.48</v>
          </cell>
          <cell r="R1234">
            <v>1</v>
          </cell>
        </row>
        <row r="1235">
          <cell r="A1235" t="str">
            <v>17.01.04</v>
          </cell>
          <cell r="B1235" t="str">
            <v>INSTALACION DE ACCESORIOS</v>
          </cell>
          <cell r="C1235">
            <v>0</v>
          </cell>
          <cell r="D1235">
            <v>0</v>
          </cell>
          <cell r="E1235">
            <v>0</v>
          </cell>
          <cell r="F1235">
            <v>0</v>
          </cell>
          <cell r="G1235">
            <v>0</v>
          </cell>
          <cell r="H1235">
            <v>0</v>
          </cell>
          <cell r="I1235">
            <v>0</v>
          </cell>
          <cell r="J1235">
            <v>0</v>
          </cell>
          <cell r="K1235">
            <v>0</v>
          </cell>
          <cell r="L1235">
            <v>0</v>
          </cell>
          <cell r="M1235">
            <v>0</v>
          </cell>
          <cell r="N1235">
            <v>0</v>
          </cell>
          <cell r="O1235">
            <v>0</v>
          </cell>
          <cell r="P1235">
            <v>0</v>
          </cell>
          <cell r="Q1235">
            <v>0</v>
          </cell>
          <cell r="R1235">
            <v>0</v>
          </cell>
        </row>
        <row r="1236">
          <cell r="A1236" t="str">
            <v>17.01.04.01</v>
          </cell>
          <cell r="B1236" t="str">
            <v>COLOCACION DE ACCESORIOS SANITARIOS</v>
          </cell>
          <cell r="C1236" t="str">
            <v>und</v>
          </cell>
          <cell r="D1236">
            <v>6</v>
          </cell>
          <cell r="E1236">
            <v>26.04</v>
          </cell>
          <cell r="F1236">
            <v>156.24</v>
          </cell>
          <cell r="G1236">
            <v>0</v>
          </cell>
          <cell r="H1236">
            <v>0</v>
          </cell>
          <cell r="I1236" t="str">
            <v>0.00%</v>
          </cell>
          <cell r="J1236">
            <v>0</v>
          </cell>
          <cell r="K1236">
            <v>0</v>
          </cell>
          <cell r="L1236" t="str">
            <v>0.00%</v>
          </cell>
          <cell r="M1236">
            <v>0</v>
          </cell>
          <cell r="N1236">
            <v>0</v>
          </cell>
          <cell r="O1236" t="str">
            <v>0.00%</v>
          </cell>
          <cell r="P1236">
            <v>6</v>
          </cell>
          <cell r="Q1236">
            <v>156.24</v>
          </cell>
          <cell r="R1236">
            <v>1</v>
          </cell>
        </row>
        <row r="1237">
          <cell r="A1237" t="str">
            <v>17.02</v>
          </cell>
          <cell r="B1237" t="str">
            <v>SISTEMA DE AGUA FRIA Y ALIMENTADORES</v>
          </cell>
          <cell r="C1237">
            <v>0</v>
          </cell>
          <cell r="D1237">
            <v>0</v>
          </cell>
          <cell r="E1237">
            <v>0</v>
          </cell>
          <cell r="F1237">
            <v>0</v>
          </cell>
          <cell r="G1237">
            <v>0</v>
          </cell>
          <cell r="H1237">
            <v>0</v>
          </cell>
          <cell r="I1237">
            <v>0</v>
          </cell>
          <cell r="J1237">
            <v>0</v>
          </cell>
          <cell r="K1237">
            <v>0</v>
          </cell>
          <cell r="L1237">
            <v>0</v>
          </cell>
          <cell r="M1237">
            <v>0</v>
          </cell>
          <cell r="N1237">
            <v>0</v>
          </cell>
          <cell r="O1237">
            <v>0</v>
          </cell>
          <cell r="P1237">
            <v>0</v>
          </cell>
          <cell r="Q1237">
            <v>0</v>
          </cell>
          <cell r="R1237">
            <v>0</v>
          </cell>
        </row>
        <row r="1238">
          <cell r="A1238" t="str">
            <v>17.02.01</v>
          </cell>
          <cell r="B1238" t="str">
            <v>SALIDA DE AGUA FRIA</v>
          </cell>
          <cell r="C1238">
            <v>0</v>
          </cell>
          <cell r="D1238">
            <v>0</v>
          </cell>
          <cell r="E1238">
            <v>0</v>
          </cell>
          <cell r="F1238">
            <v>0</v>
          </cell>
          <cell r="G1238">
            <v>0</v>
          </cell>
          <cell r="H1238">
            <v>0</v>
          </cell>
          <cell r="I1238">
            <v>0</v>
          </cell>
          <cell r="J1238">
            <v>0</v>
          </cell>
          <cell r="K1238">
            <v>0</v>
          </cell>
          <cell r="L1238">
            <v>0</v>
          </cell>
          <cell r="M1238">
            <v>0</v>
          </cell>
          <cell r="N1238">
            <v>0</v>
          </cell>
          <cell r="O1238">
            <v>0</v>
          </cell>
          <cell r="P1238">
            <v>0</v>
          </cell>
          <cell r="Q1238">
            <v>0</v>
          </cell>
          <cell r="R1238">
            <v>0</v>
          </cell>
        </row>
        <row r="1239">
          <cell r="A1239" t="str">
            <v>17.02.01.01</v>
          </cell>
          <cell r="B1239" t="str">
            <v>SALIDA DE AGUA FRIA CON TUBERIA DE PVC-SAP 1/2"</v>
          </cell>
          <cell r="C1239" t="str">
            <v>pto</v>
          </cell>
          <cell r="D1239">
            <v>6</v>
          </cell>
          <cell r="E1239">
            <v>41.53</v>
          </cell>
          <cell r="F1239">
            <v>249.18</v>
          </cell>
          <cell r="G1239">
            <v>0</v>
          </cell>
          <cell r="H1239">
            <v>0</v>
          </cell>
          <cell r="I1239" t="str">
            <v>0.00%</v>
          </cell>
          <cell r="J1239">
            <v>3</v>
          </cell>
          <cell r="K1239">
            <v>124.59</v>
          </cell>
          <cell r="L1239">
            <v>0.5</v>
          </cell>
          <cell r="M1239">
            <v>3</v>
          </cell>
          <cell r="N1239">
            <v>124.59</v>
          </cell>
          <cell r="O1239">
            <v>0.5</v>
          </cell>
          <cell r="P1239">
            <v>3</v>
          </cell>
          <cell r="Q1239">
            <v>124.59</v>
          </cell>
          <cell r="R1239">
            <v>0.5</v>
          </cell>
        </row>
        <row r="1240">
          <cell r="A1240" t="str">
            <v>17.02.02</v>
          </cell>
          <cell r="B1240" t="str">
            <v>REDES DE DISTRIBUCION DE AGUA FRIA</v>
          </cell>
          <cell r="C1240">
            <v>0</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row>
        <row r="1241">
          <cell r="A1241" t="str">
            <v>17.02.02.01</v>
          </cell>
          <cell r="B1241" t="str">
            <v>RED DE DISTRIBUCION TUBERIA PVC SAP C-10 Ø DE 1/2"</v>
          </cell>
          <cell r="C1241" t="str">
            <v>m</v>
          </cell>
          <cell r="D1241">
            <v>18.989999999999998</v>
          </cell>
          <cell r="E1241">
            <v>20.36</v>
          </cell>
          <cell r="F1241">
            <v>386.63639999999998</v>
          </cell>
          <cell r="G1241">
            <v>0</v>
          </cell>
          <cell r="H1241">
            <v>0</v>
          </cell>
          <cell r="I1241" t="str">
            <v>0.00%</v>
          </cell>
          <cell r="J1241">
            <v>13.39</v>
          </cell>
          <cell r="K1241">
            <v>272.62040000000002</v>
          </cell>
          <cell r="L1241">
            <v>0.7051079515534493</v>
          </cell>
          <cell r="M1241">
            <v>13.39</v>
          </cell>
          <cell r="N1241">
            <v>272.62040000000002</v>
          </cell>
          <cell r="O1241">
            <v>0.7051079515534493</v>
          </cell>
          <cell r="P1241">
            <v>5.5999999999999979</v>
          </cell>
          <cell r="Q1241">
            <v>114.01599999999996</v>
          </cell>
          <cell r="R1241">
            <v>0.29489204844655076</v>
          </cell>
        </row>
        <row r="1242">
          <cell r="A1242" t="str">
            <v>17.02.02.02</v>
          </cell>
          <cell r="B1242" t="str">
            <v>RED DE DISTRIBUCION TUBERIA PVC SAP C-10 Ø DE 3/4"</v>
          </cell>
          <cell r="C1242" t="str">
            <v>m</v>
          </cell>
          <cell r="D1242">
            <v>8.25</v>
          </cell>
          <cell r="E1242">
            <v>31.76</v>
          </cell>
          <cell r="F1242">
            <v>262.02000000000004</v>
          </cell>
          <cell r="G1242">
            <v>0</v>
          </cell>
          <cell r="H1242">
            <v>0</v>
          </cell>
          <cell r="I1242" t="str">
            <v>0.00%</v>
          </cell>
          <cell r="J1242">
            <v>3.55</v>
          </cell>
          <cell r="K1242">
            <v>112.748</v>
          </cell>
          <cell r="L1242">
            <v>0.43030303030303024</v>
          </cell>
          <cell r="M1242">
            <v>3.55</v>
          </cell>
          <cell r="N1242">
            <v>112.748</v>
          </cell>
          <cell r="O1242">
            <v>0.43030303030303024</v>
          </cell>
          <cell r="P1242">
            <v>4.7</v>
          </cell>
          <cell r="Q1242">
            <v>149.27200000000005</v>
          </cell>
          <cell r="R1242">
            <v>0.56969696969696981</v>
          </cell>
        </row>
        <row r="1243">
          <cell r="A1243" t="str">
            <v>17.02.03</v>
          </cell>
          <cell r="B1243" t="str">
            <v>VALVULA Y ACCESORIOS DE AGUA FRIA</v>
          </cell>
          <cell r="C1243">
            <v>0</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row>
        <row r="1244">
          <cell r="A1244" t="str">
            <v>17.02.03.01</v>
          </cell>
          <cell r="B1244" t="str">
            <v>VALVULA COMPUERTA DE BRONCE  Ø 1/2"</v>
          </cell>
          <cell r="C1244" t="str">
            <v>und</v>
          </cell>
          <cell r="D1244">
            <v>1</v>
          </cell>
          <cell r="E1244">
            <v>147.4</v>
          </cell>
          <cell r="F1244">
            <v>147.4</v>
          </cell>
          <cell r="G1244">
            <v>0</v>
          </cell>
          <cell r="H1244">
            <v>0</v>
          </cell>
          <cell r="I1244" t="str">
            <v>0.00%</v>
          </cell>
          <cell r="J1244">
            <v>1</v>
          </cell>
          <cell r="K1244">
            <v>147.4</v>
          </cell>
          <cell r="L1244">
            <v>1</v>
          </cell>
          <cell r="M1244">
            <v>1</v>
          </cell>
          <cell r="N1244">
            <v>147.4</v>
          </cell>
          <cell r="O1244">
            <v>1</v>
          </cell>
          <cell r="P1244">
            <v>0</v>
          </cell>
          <cell r="Q1244">
            <v>0</v>
          </cell>
          <cell r="R1244" t="str">
            <v>0.00%</v>
          </cell>
        </row>
        <row r="1245">
          <cell r="A1245" t="str">
            <v>17.02.04</v>
          </cell>
          <cell r="B1245" t="str">
            <v>PRUEBAS HIDRAULICA</v>
          </cell>
          <cell r="C1245">
            <v>0</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row>
        <row r="1246">
          <cell r="A1246" t="str">
            <v>17.02.04.01</v>
          </cell>
          <cell r="B1246" t="str">
            <v>PRUEBA HIDRAULICA TUBERIA DE AGUA FRIA</v>
          </cell>
          <cell r="C1246" t="str">
            <v>GLB</v>
          </cell>
          <cell r="D1246">
            <v>1</v>
          </cell>
          <cell r="E1246">
            <v>450</v>
          </cell>
          <cell r="F1246">
            <v>450</v>
          </cell>
          <cell r="G1246">
            <v>0</v>
          </cell>
          <cell r="H1246">
            <v>0</v>
          </cell>
          <cell r="I1246" t="str">
            <v>0.00%</v>
          </cell>
          <cell r="J1246">
            <v>0</v>
          </cell>
          <cell r="K1246">
            <v>0</v>
          </cell>
          <cell r="L1246" t="str">
            <v>0.00%</v>
          </cell>
          <cell r="M1246">
            <v>0</v>
          </cell>
          <cell r="N1246">
            <v>0</v>
          </cell>
          <cell r="O1246" t="str">
            <v>0.00%</v>
          </cell>
          <cell r="P1246">
            <v>1</v>
          </cell>
          <cell r="Q1246">
            <v>450</v>
          </cell>
          <cell r="R1246">
            <v>1</v>
          </cell>
        </row>
        <row r="1247">
          <cell r="A1247" t="str">
            <v>17.03</v>
          </cell>
          <cell r="B1247" t="str">
            <v xml:space="preserve">SISTEMA DE DESAGUE Y VENTILACION </v>
          </cell>
          <cell r="C1247">
            <v>0</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row>
        <row r="1248">
          <cell r="A1248" t="str">
            <v>17.03.01</v>
          </cell>
          <cell r="B1248" t="str">
            <v>SALIDA DE DESAGUE Y VENTILACION</v>
          </cell>
          <cell r="C1248">
            <v>0</v>
          </cell>
          <cell r="D1248">
            <v>0</v>
          </cell>
          <cell r="E1248">
            <v>0</v>
          </cell>
          <cell r="F1248">
            <v>0</v>
          </cell>
          <cell r="G1248">
            <v>0</v>
          </cell>
          <cell r="H1248">
            <v>0</v>
          </cell>
          <cell r="I1248">
            <v>0</v>
          </cell>
          <cell r="J1248">
            <v>0</v>
          </cell>
          <cell r="K1248">
            <v>0</v>
          </cell>
          <cell r="L1248">
            <v>0</v>
          </cell>
          <cell r="M1248">
            <v>0</v>
          </cell>
          <cell r="N1248">
            <v>0</v>
          </cell>
          <cell r="O1248">
            <v>0</v>
          </cell>
          <cell r="P1248">
            <v>0</v>
          </cell>
          <cell r="Q1248">
            <v>0</v>
          </cell>
          <cell r="R1248">
            <v>0</v>
          </cell>
        </row>
        <row r="1249">
          <cell r="A1249" t="str">
            <v>17.03.01.01</v>
          </cell>
          <cell r="B1249" t="str">
            <v>SALIDAS DE PVC SAL PARA DESAGUE DE 2"</v>
          </cell>
          <cell r="C1249" t="str">
            <v>pto</v>
          </cell>
          <cell r="D1249">
            <v>11</v>
          </cell>
          <cell r="E1249">
            <v>92.04</v>
          </cell>
          <cell r="F1249">
            <v>1012.44</v>
          </cell>
          <cell r="G1249">
            <v>11</v>
          </cell>
          <cell r="H1249">
            <v>1012.44</v>
          </cell>
          <cell r="I1249">
            <v>1</v>
          </cell>
          <cell r="J1249">
            <v>0</v>
          </cell>
          <cell r="K1249">
            <v>0</v>
          </cell>
          <cell r="L1249" t="str">
            <v>0.00%</v>
          </cell>
          <cell r="M1249">
            <v>11</v>
          </cell>
          <cell r="N1249">
            <v>1012.44</v>
          </cell>
          <cell r="O1249">
            <v>1</v>
          </cell>
          <cell r="P1249">
            <v>0</v>
          </cell>
          <cell r="Q1249">
            <v>0</v>
          </cell>
          <cell r="R1249" t="str">
            <v>0.00%</v>
          </cell>
        </row>
        <row r="1250">
          <cell r="A1250" t="str">
            <v>17.03.01.02</v>
          </cell>
          <cell r="B1250" t="str">
            <v>SALIDAS DE PVC SAL PARA DESAGUE DE 4"</v>
          </cell>
          <cell r="C1250" t="str">
            <v>pto</v>
          </cell>
          <cell r="D1250">
            <v>3</v>
          </cell>
          <cell r="E1250">
            <v>56.34</v>
          </cell>
          <cell r="F1250">
            <v>169.02</v>
          </cell>
          <cell r="G1250">
            <v>3</v>
          </cell>
          <cell r="H1250">
            <v>169.02</v>
          </cell>
          <cell r="I1250">
            <v>1</v>
          </cell>
          <cell r="J1250">
            <v>0</v>
          </cell>
          <cell r="K1250">
            <v>0</v>
          </cell>
          <cell r="L1250" t="str">
            <v>0.00%</v>
          </cell>
          <cell r="M1250">
            <v>3</v>
          </cell>
          <cell r="N1250">
            <v>169.02</v>
          </cell>
          <cell r="O1250">
            <v>1</v>
          </cell>
          <cell r="P1250">
            <v>0</v>
          </cell>
          <cell r="Q1250">
            <v>0</v>
          </cell>
          <cell r="R1250" t="str">
            <v>0.00%</v>
          </cell>
        </row>
        <row r="1251">
          <cell r="A1251" t="str">
            <v>17.03.01.03</v>
          </cell>
          <cell r="B1251" t="str">
            <v>SALIDAS DE PVC SAL PARA VENTILACION DE 2"</v>
          </cell>
          <cell r="C1251" t="str">
            <v>pto</v>
          </cell>
          <cell r="D1251">
            <v>16</v>
          </cell>
          <cell r="E1251">
            <v>85.76</v>
          </cell>
          <cell r="F1251">
            <v>1372.16</v>
          </cell>
          <cell r="G1251">
            <v>16</v>
          </cell>
          <cell r="H1251">
            <v>1372.16</v>
          </cell>
          <cell r="I1251">
            <v>1</v>
          </cell>
          <cell r="J1251">
            <v>0</v>
          </cell>
          <cell r="K1251">
            <v>0</v>
          </cell>
          <cell r="L1251" t="str">
            <v>0.00%</v>
          </cell>
          <cell r="M1251">
            <v>16</v>
          </cell>
          <cell r="N1251">
            <v>1372.16</v>
          </cell>
          <cell r="O1251">
            <v>1</v>
          </cell>
          <cell r="P1251">
            <v>0</v>
          </cell>
          <cell r="Q1251">
            <v>0</v>
          </cell>
          <cell r="R1251" t="str">
            <v>0.00%</v>
          </cell>
        </row>
        <row r="1252">
          <cell r="A1252" t="str">
            <v>17.03.01.04</v>
          </cell>
          <cell r="B1252" t="str">
            <v>SOMBRERO VENTILACION PVC DE 2"</v>
          </cell>
          <cell r="C1252" t="str">
            <v>pza</v>
          </cell>
          <cell r="D1252">
            <v>2</v>
          </cell>
          <cell r="E1252">
            <v>11.19</v>
          </cell>
          <cell r="F1252">
            <v>22.38</v>
          </cell>
          <cell r="G1252">
            <v>0</v>
          </cell>
          <cell r="H1252">
            <v>0</v>
          </cell>
          <cell r="I1252" t="str">
            <v>0.00%</v>
          </cell>
          <cell r="J1252">
            <v>0</v>
          </cell>
          <cell r="K1252">
            <v>0</v>
          </cell>
          <cell r="L1252" t="str">
            <v>0.00%</v>
          </cell>
          <cell r="M1252">
            <v>0</v>
          </cell>
          <cell r="N1252">
            <v>0</v>
          </cell>
          <cell r="O1252" t="str">
            <v>0.00%</v>
          </cell>
          <cell r="P1252">
            <v>2</v>
          </cell>
          <cell r="Q1252">
            <v>22.38</v>
          </cell>
          <cell r="R1252">
            <v>1</v>
          </cell>
        </row>
        <row r="1253">
          <cell r="A1253" t="str">
            <v>17.03.02</v>
          </cell>
          <cell r="B1253" t="str">
            <v>REDES DE DERIVACION</v>
          </cell>
          <cell r="C1253">
            <v>0</v>
          </cell>
          <cell r="D1253">
            <v>0</v>
          </cell>
          <cell r="E1253">
            <v>0</v>
          </cell>
          <cell r="F1253">
            <v>0</v>
          </cell>
          <cell r="G1253">
            <v>0</v>
          </cell>
          <cell r="H1253">
            <v>0</v>
          </cell>
          <cell r="I1253">
            <v>0</v>
          </cell>
          <cell r="J1253">
            <v>0</v>
          </cell>
          <cell r="K1253">
            <v>0</v>
          </cell>
          <cell r="L1253">
            <v>0</v>
          </cell>
          <cell r="M1253">
            <v>0</v>
          </cell>
          <cell r="N1253">
            <v>0</v>
          </cell>
          <cell r="O1253">
            <v>0</v>
          </cell>
          <cell r="P1253">
            <v>0</v>
          </cell>
          <cell r="Q1253">
            <v>0</v>
          </cell>
          <cell r="R1253">
            <v>0</v>
          </cell>
        </row>
        <row r="1254">
          <cell r="A1254" t="str">
            <v>17.03.02.01</v>
          </cell>
          <cell r="B1254" t="str">
            <v>RED DE DESAGUE TUBERIA PVC DE 2"</v>
          </cell>
          <cell r="C1254" t="str">
            <v>m</v>
          </cell>
          <cell r="D1254">
            <v>6.91</v>
          </cell>
          <cell r="E1254">
            <v>15.56</v>
          </cell>
          <cell r="F1254">
            <v>107.51960000000001</v>
          </cell>
          <cell r="G1254">
            <v>0</v>
          </cell>
          <cell r="H1254">
            <v>0</v>
          </cell>
          <cell r="I1254" t="str">
            <v>0.00%</v>
          </cell>
          <cell r="J1254">
            <v>4.04</v>
          </cell>
          <cell r="K1254">
            <v>62.862400000000001</v>
          </cell>
          <cell r="L1254">
            <v>0.58465991316931976</v>
          </cell>
          <cell r="M1254">
            <v>4.04</v>
          </cell>
          <cell r="N1254">
            <v>62.862400000000001</v>
          </cell>
          <cell r="O1254">
            <v>0.58465991316931976</v>
          </cell>
          <cell r="P1254">
            <v>2.87</v>
          </cell>
          <cell r="Q1254">
            <v>44.65720000000001</v>
          </cell>
          <cell r="R1254">
            <v>0.41534008683068024</v>
          </cell>
        </row>
        <row r="1255">
          <cell r="A1255" t="str">
            <v>17.03.02.02</v>
          </cell>
          <cell r="B1255" t="str">
            <v>RED DE DESAGUE TUBERIA PVC DE 4"</v>
          </cell>
          <cell r="C1255" t="str">
            <v>m</v>
          </cell>
          <cell r="D1255">
            <v>27.2</v>
          </cell>
          <cell r="E1255">
            <v>20.329999999999998</v>
          </cell>
          <cell r="F1255">
            <v>552.97599999999989</v>
          </cell>
          <cell r="G1255">
            <v>0</v>
          </cell>
          <cell r="H1255">
            <v>0</v>
          </cell>
          <cell r="I1255" t="str">
            <v>0.00%</v>
          </cell>
          <cell r="J1255">
            <v>16.149999999999999</v>
          </cell>
          <cell r="K1255">
            <v>328.32949999999994</v>
          </cell>
          <cell r="L1255">
            <v>0.59375</v>
          </cell>
          <cell r="M1255">
            <v>16.149999999999999</v>
          </cell>
          <cell r="N1255">
            <v>328.32949999999994</v>
          </cell>
          <cell r="O1255">
            <v>0.59375</v>
          </cell>
          <cell r="P1255">
            <v>11.05</v>
          </cell>
          <cell r="Q1255">
            <v>224.64649999999995</v>
          </cell>
          <cell r="R1255">
            <v>0.40625</v>
          </cell>
        </row>
        <row r="1256">
          <cell r="A1256" t="str">
            <v>17.03.03</v>
          </cell>
          <cell r="B1256" t="str">
            <v>REGISTRO Y SUMIDEROS</v>
          </cell>
          <cell r="C1256">
            <v>0</v>
          </cell>
          <cell r="D1256">
            <v>0</v>
          </cell>
          <cell r="E1256">
            <v>0</v>
          </cell>
          <cell r="F1256">
            <v>0</v>
          </cell>
          <cell r="G1256">
            <v>0</v>
          </cell>
          <cell r="H1256">
            <v>0</v>
          </cell>
          <cell r="I1256">
            <v>0</v>
          </cell>
          <cell r="J1256">
            <v>0</v>
          </cell>
          <cell r="K1256">
            <v>0</v>
          </cell>
          <cell r="L1256">
            <v>0</v>
          </cell>
          <cell r="M1256">
            <v>0</v>
          </cell>
          <cell r="N1256">
            <v>0</v>
          </cell>
          <cell r="O1256">
            <v>0</v>
          </cell>
          <cell r="P1256">
            <v>0</v>
          </cell>
          <cell r="Q1256">
            <v>0</v>
          </cell>
          <cell r="R1256">
            <v>0</v>
          </cell>
        </row>
        <row r="1257">
          <cell r="A1257" t="str">
            <v>17.03.03.01</v>
          </cell>
          <cell r="B1257" t="str">
            <v>REGISTROS DE BRONCE DE 2"</v>
          </cell>
          <cell r="C1257" t="str">
            <v>pza</v>
          </cell>
          <cell r="D1257">
            <v>3</v>
          </cell>
          <cell r="E1257">
            <v>58.08</v>
          </cell>
          <cell r="F1257">
            <v>174.24</v>
          </cell>
          <cell r="G1257">
            <v>0</v>
          </cell>
          <cell r="H1257">
            <v>0</v>
          </cell>
          <cell r="I1257" t="str">
            <v>0.00%</v>
          </cell>
          <cell r="J1257">
            <v>0</v>
          </cell>
          <cell r="K1257">
            <v>0</v>
          </cell>
          <cell r="L1257" t="str">
            <v>0.00%</v>
          </cell>
          <cell r="M1257">
            <v>0</v>
          </cell>
          <cell r="N1257">
            <v>0</v>
          </cell>
          <cell r="O1257" t="str">
            <v>0.00%</v>
          </cell>
          <cell r="P1257">
            <v>3</v>
          </cell>
          <cell r="Q1257">
            <v>174.24</v>
          </cell>
          <cell r="R1257">
            <v>1</v>
          </cell>
        </row>
        <row r="1258">
          <cell r="A1258" t="str">
            <v>17.03.03.02</v>
          </cell>
          <cell r="B1258" t="str">
            <v>REGISTROS DE BRONCE DE 4"</v>
          </cell>
          <cell r="C1258" t="str">
            <v>pza</v>
          </cell>
          <cell r="D1258">
            <v>2</v>
          </cell>
          <cell r="E1258">
            <v>34.130000000000003</v>
          </cell>
          <cell r="F1258">
            <v>68.260000000000005</v>
          </cell>
          <cell r="G1258">
            <v>0</v>
          </cell>
          <cell r="H1258">
            <v>0</v>
          </cell>
          <cell r="I1258" t="str">
            <v>0.00%</v>
          </cell>
          <cell r="J1258">
            <v>0</v>
          </cell>
          <cell r="K1258">
            <v>0</v>
          </cell>
          <cell r="L1258" t="str">
            <v>0.00%</v>
          </cell>
          <cell r="M1258">
            <v>0</v>
          </cell>
          <cell r="N1258">
            <v>0</v>
          </cell>
          <cell r="O1258" t="str">
            <v>0.00%</v>
          </cell>
          <cell r="P1258">
            <v>2</v>
          </cell>
          <cell r="Q1258">
            <v>68.260000000000005</v>
          </cell>
          <cell r="R1258">
            <v>1</v>
          </cell>
        </row>
        <row r="1259">
          <cell r="A1259" t="str">
            <v>17.03.03.03</v>
          </cell>
          <cell r="B1259" t="str">
            <v>SUMIDEROS DE 2"</v>
          </cell>
          <cell r="C1259" t="str">
            <v>pza</v>
          </cell>
          <cell r="D1259">
            <v>4</v>
          </cell>
          <cell r="E1259">
            <v>68.38</v>
          </cell>
          <cell r="F1259">
            <v>273.52</v>
          </cell>
          <cell r="G1259">
            <v>0</v>
          </cell>
          <cell r="H1259">
            <v>0</v>
          </cell>
          <cell r="I1259" t="str">
            <v>0.00%</v>
          </cell>
          <cell r="J1259">
            <v>0</v>
          </cell>
          <cell r="K1259">
            <v>0</v>
          </cell>
          <cell r="L1259" t="str">
            <v>0.00%</v>
          </cell>
          <cell r="M1259">
            <v>0</v>
          </cell>
          <cell r="N1259">
            <v>0</v>
          </cell>
          <cell r="O1259" t="str">
            <v>0.00%</v>
          </cell>
          <cell r="P1259">
            <v>4</v>
          </cell>
          <cell r="Q1259">
            <v>273.52</v>
          </cell>
          <cell r="R1259">
            <v>1</v>
          </cell>
        </row>
        <row r="1260">
          <cell r="A1260" t="str">
            <v>17.03.04</v>
          </cell>
          <cell r="B1260" t="str">
            <v>CAJAS DE INSPECCION Y RETENCION</v>
          </cell>
          <cell r="C1260">
            <v>0</v>
          </cell>
          <cell r="D1260">
            <v>0</v>
          </cell>
          <cell r="E1260">
            <v>0</v>
          </cell>
          <cell r="F1260">
            <v>0</v>
          </cell>
          <cell r="G1260">
            <v>0</v>
          </cell>
          <cell r="H1260">
            <v>0</v>
          </cell>
          <cell r="I1260">
            <v>0</v>
          </cell>
          <cell r="J1260">
            <v>0</v>
          </cell>
          <cell r="K1260">
            <v>0</v>
          </cell>
          <cell r="L1260">
            <v>0</v>
          </cell>
          <cell r="M1260">
            <v>0</v>
          </cell>
          <cell r="N1260">
            <v>0</v>
          </cell>
          <cell r="O1260">
            <v>0</v>
          </cell>
          <cell r="P1260">
            <v>0</v>
          </cell>
          <cell r="Q1260">
            <v>0</v>
          </cell>
          <cell r="R1260">
            <v>0</v>
          </cell>
        </row>
        <row r="1261">
          <cell r="A1261" t="str">
            <v>17.03.04.01</v>
          </cell>
          <cell r="B1261" t="str">
            <v>CAJA DE REGISTRO DE DESAGUE 12" X 24" - CONSTRUCION</v>
          </cell>
          <cell r="C1261" t="str">
            <v>und</v>
          </cell>
          <cell r="D1261">
            <v>1</v>
          </cell>
          <cell r="E1261">
            <v>140.52000000000001</v>
          </cell>
          <cell r="F1261">
            <v>140.52000000000001</v>
          </cell>
          <cell r="G1261">
            <v>0</v>
          </cell>
          <cell r="H1261">
            <v>0</v>
          </cell>
          <cell r="I1261" t="str">
            <v>0.00%</v>
          </cell>
          <cell r="J1261">
            <v>0</v>
          </cell>
          <cell r="K1261">
            <v>0</v>
          </cell>
          <cell r="L1261" t="str">
            <v>0.00%</v>
          </cell>
          <cell r="M1261">
            <v>0</v>
          </cell>
          <cell r="N1261">
            <v>0</v>
          </cell>
          <cell r="O1261" t="str">
            <v>0.00%</v>
          </cell>
          <cell r="P1261">
            <v>1</v>
          </cell>
          <cell r="Q1261">
            <v>140.52000000000001</v>
          </cell>
          <cell r="R1261">
            <v>1</v>
          </cell>
        </row>
        <row r="1262">
          <cell r="A1262" t="str">
            <v>17.03.05</v>
          </cell>
          <cell r="B1262" t="str">
            <v>PRUEBAS HIDRAULICA</v>
          </cell>
          <cell r="C1262">
            <v>0</v>
          </cell>
          <cell r="D1262">
            <v>0</v>
          </cell>
          <cell r="E1262">
            <v>0</v>
          </cell>
          <cell r="F1262">
            <v>0</v>
          </cell>
          <cell r="G1262">
            <v>0</v>
          </cell>
          <cell r="H1262">
            <v>0</v>
          </cell>
          <cell r="I1262">
            <v>0</v>
          </cell>
          <cell r="J1262">
            <v>0</v>
          </cell>
          <cell r="K1262">
            <v>0</v>
          </cell>
          <cell r="L1262">
            <v>0</v>
          </cell>
          <cell r="M1262">
            <v>0</v>
          </cell>
          <cell r="N1262">
            <v>0</v>
          </cell>
          <cell r="O1262">
            <v>0</v>
          </cell>
          <cell r="P1262">
            <v>0</v>
          </cell>
          <cell r="Q1262">
            <v>0</v>
          </cell>
          <cell r="R1262">
            <v>0</v>
          </cell>
        </row>
        <row r="1263">
          <cell r="A1263" t="str">
            <v>17.03.05.01</v>
          </cell>
          <cell r="B1263" t="str">
            <v>PRUEBA HIDRAULICA TUBERIA DE DESAGUE</v>
          </cell>
          <cell r="C1263" t="str">
            <v>und</v>
          </cell>
          <cell r="D1263">
            <v>1</v>
          </cell>
          <cell r="E1263">
            <v>450</v>
          </cell>
          <cell r="F1263">
            <v>450</v>
          </cell>
          <cell r="G1263">
            <v>0</v>
          </cell>
          <cell r="H1263">
            <v>0</v>
          </cell>
          <cell r="I1263" t="str">
            <v>0.00%</v>
          </cell>
          <cell r="J1263">
            <v>0</v>
          </cell>
          <cell r="K1263">
            <v>0</v>
          </cell>
          <cell r="L1263" t="str">
            <v>0.00%</v>
          </cell>
          <cell r="M1263">
            <v>0</v>
          </cell>
          <cell r="N1263">
            <v>0</v>
          </cell>
          <cell r="O1263" t="str">
            <v>0.00%</v>
          </cell>
          <cell r="P1263">
            <v>1</v>
          </cell>
          <cell r="Q1263">
            <v>450</v>
          </cell>
          <cell r="R1263">
            <v>1</v>
          </cell>
        </row>
        <row r="1264">
          <cell r="A1264" t="str">
            <v>17.04</v>
          </cell>
          <cell r="B1264" t="str">
            <v>SISTEMA DE DRENAJE PLUVIAL</v>
          </cell>
          <cell r="C1264">
            <v>0</v>
          </cell>
          <cell r="D1264">
            <v>0</v>
          </cell>
          <cell r="E1264">
            <v>0</v>
          </cell>
          <cell r="F1264">
            <v>0</v>
          </cell>
          <cell r="G1264">
            <v>0</v>
          </cell>
          <cell r="H1264">
            <v>0</v>
          </cell>
          <cell r="I1264">
            <v>0</v>
          </cell>
          <cell r="J1264">
            <v>0</v>
          </cell>
          <cell r="K1264">
            <v>0</v>
          </cell>
          <cell r="L1264">
            <v>0</v>
          </cell>
          <cell r="M1264">
            <v>0</v>
          </cell>
          <cell r="N1264">
            <v>0</v>
          </cell>
          <cell r="O1264">
            <v>0</v>
          </cell>
          <cell r="P1264">
            <v>0</v>
          </cell>
          <cell r="Q1264">
            <v>0</v>
          </cell>
          <cell r="R1264">
            <v>0</v>
          </cell>
        </row>
        <row r="1265">
          <cell r="A1265" t="str">
            <v>17.04.01</v>
          </cell>
          <cell r="B1265" t="str">
            <v>SISTEMA DE BAJADA MONTANTE (PLUVIAL)</v>
          </cell>
          <cell r="C1265">
            <v>0</v>
          </cell>
          <cell r="D1265">
            <v>0</v>
          </cell>
          <cell r="E1265">
            <v>0</v>
          </cell>
          <cell r="F1265">
            <v>0</v>
          </cell>
          <cell r="G1265">
            <v>0</v>
          </cell>
          <cell r="H1265">
            <v>0</v>
          </cell>
          <cell r="I1265">
            <v>0</v>
          </cell>
          <cell r="J1265">
            <v>0</v>
          </cell>
          <cell r="K1265">
            <v>0</v>
          </cell>
          <cell r="L1265">
            <v>0</v>
          </cell>
          <cell r="M1265">
            <v>0</v>
          </cell>
          <cell r="N1265">
            <v>0</v>
          </cell>
          <cell r="O1265">
            <v>0</v>
          </cell>
          <cell r="P1265">
            <v>0</v>
          </cell>
          <cell r="Q1265">
            <v>0</v>
          </cell>
          <cell r="R1265">
            <v>0</v>
          </cell>
        </row>
        <row r="1266">
          <cell r="A1266" t="str">
            <v>17.04.01.01</v>
          </cell>
          <cell r="B1266" t="str">
            <v>ABRAZADERA DE FIJACION DE TUBO</v>
          </cell>
          <cell r="C1266" t="str">
            <v>und</v>
          </cell>
          <cell r="D1266">
            <v>25</v>
          </cell>
          <cell r="E1266">
            <v>41.02</v>
          </cell>
          <cell r="F1266">
            <v>1025.5</v>
          </cell>
          <cell r="G1266">
            <v>0</v>
          </cell>
          <cell r="H1266">
            <v>0</v>
          </cell>
          <cell r="I1266" t="str">
            <v>0.00%</v>
          </cell>
          <cell r="J1266">
            <v>0</v>
          </cell>
          <cell r="K1266">
            <v>0</v>
          </cell>
          <cell r="L1266" t="str">
            <v>0.00%</v>
          </cell>
          <cell r="M1266">
            <v>0</v>
          </cell>
          <cell r="N1266">
            <v>0</v>
          </cell>
          <cell r="O1266" t="str">
            <v>0.00%</v>
          </cell>
          <cell r="P1266">
            <v>25</v>
          </cell>
          <cell r="Q1266">
            <v>1025.5</v>
          </cell>
          <cell r="R1266">
            <v>1</v>
          </cell>
        </row>
        <row r="1267">
          <cell r="A1267" t="str">
            <v>17.04.01.02</v>
          </cell>
          <cell r="B1267" t="str">
            <v>INSTALACION DE TUB. PVC SAP C-10 Ø 4"</v>
          </cell>
          <cell r="C1267" t="str">
            <v>m</v>
          </cell>
          <cell r="D1267">
            <v>32.25</v>
          </cell>
          <cell r="E1267">
            <v>9.93</v>
          </cell>
          <cell r="F1267">
            <v>320.24250000000001</v>
          </cell>
          <cell r="G1267">
            <v>0</v>
          </cell>
          <cell r="H1267">
            <v>0</v>
          </cell>
          <cell r="I1267" t="str">
            <v>0.00%</v>
          </cell>
          <cell r="J1267">
            <v>0</v>
          </cell>
          <cell r="K1267">
            <v>0</v>
          </cell>
          <cell r="L1267" t="str">
            <v>0.00%</v>
          </cell>
          <cell r="M1267">
            <v>0</v>
          </cell>
          <cell r="N1267">
            <v>0</v>
          </cell>
          <cell r="O1267" t="str">
            <v>0.00%</v>
          </cell>
          <cell r="P1267">
            <v>32.25</v>
          </cell>
          <cell r="Q1267">
            <v>320.24250000000001</v>
          </cell>
          <cell r="R1267">
            <v>1</v>
          </cell>
        </row>
        <row r="1268">
          <cell r="A1268" t="str">
            <v>17.04.01.03</v>
          </cell>
          <cell r="B1268" t="str">
            <v>CONCRETO FC=175 KG/CM2 EN COLUMNETAS</v>
          </cell>
          <cell r="C1268" t="str">
            <v>m3</v>
          </cell>
          <cell r="D1268">
            <v>0.2</v>
          </cell>
          <cell r="E1268">
            <v>466.52</v>
          </cell>
          <cell r="F1268">
            <v>93.304000000000002</v>
          </cell>
          <cell r="G1268">
            <v>0</v>
          </cell>
          <cell r="H1268">
            <v>0</v>
          </cell>
          <cell r="I1268" t="str">
            <v>0.00%</v>
          </cell>
          <cell r="J1268">
            <v>0</v>
          </cell>
          <cell r="K1268">
            <v>0</v>
          </cell>
          <cell r="L1268" t="str">
            <v>0.00%</v>
          </cell>
          <cell r="M1268">
            <v>0</v>
          </cell>
          <cell r="N1268">
            <v>0</v>
          </cell>
          <cell r="O1268" t="str">
            <v>0.00%</v>
          </cell>
          <cell r="P1268">
            <v>0.2</v>
          </cell>
          <cell r="Q1268">
            <v>93.304000000000002</v>
          </cell>
          <cell r="R1268">
            <v>1</v>
          </cell>
        </row>
        <row r="1269">
          <cell r="A1269" t="str">
            <v>17.04.01.04</v>
          </cell>
          <cell r="B1269" t="str">
            <v>ACERO F'Y=4200 KG/CM2 GRADO 60 EN COLUMNETAS</v>
          </cell>
          <cell r="C1269" t="str">
            <v>kg</v>
          </cell>
          <cell r="D1269">
            <v>35.43</v>
          </cell>
          <cell r="E1269">
            <v>4.4400000000000004</v>
          </cell>
          <cell r="F1269">
            <v>157.3092</v>
          </cell>
          <cell r="G1269">
            <v>0</v>
          </cell>
          <cell r="H1269">
            <v>0</v>
          </cell>
          <cell r="I1269" t="str">
            <v>0.00%</v>
          </cell>
          <cell r="J1269">
            <v>0</v>
          </cell>
          <cell r="K1269">
            <v>0</v>
          </cell>
          <cell r="L1269" t="str">
            <v>0.00%</v>
          </cell>
          <cell r="M1269">
            <v>0</v>
          </cell>
          <cell r="N1269">
            <v>0</v>
          </cell>
          <cell r="O1269" t="str">
            <v>0.00%</v>
          </cell>
          <cell r="P1269">
            <v>35.43</v>
          </cell>
          <cell r="Q1269">
            <v>157.3092</v>
          </cell>
          <cell r="R1269">
            <v>1</v>
          </cell>
        </row>
        <row r="1270">
          <cell r="A1270" t="str">
            <v>17.04.01.05</v>
          </cell>
          <cell r="B1270" t="str">
            <v>ENCOFRADO Y DESENCOFRADO NORMAL  EN COLUMNETAS</v>
          </cell>
          <cell r="C1270" t="str">
            <v>m2</v>
          </cell>
          <cell r="D1270">
            <v>3</v>
          </cell>
          <cell r="E1270">
            <v>44.19</v>
          </cell>
          <cell r="F1270">
            <v>132.57</v>
          </cell>
          <cell r="G1270">
            <v>0</v>
          </cell>
          <cell r="H1270">
            <v>0</v>
          </cell>
          <cell r="I1270" t="str">
            <v>0.00%</v>
          </cell>
          <cell r="J1270">
            <v>0</v>
          </cell>
          <cell r="K1270">
            <v>0</v>
          </cell>
          <cell r="L1270" t="str">
            <v>0.00%</v>
          </cell>
          <cell r="M1270">
            <v>0</v>
          </cell>
          <cell r="N1270">
            <v>0</v>
          </cell>
          <cell r="O1270" t="str">
            <v>0.00%</v>
          </cell>
          <cell r="P1270">
            <v>3</v>
          </cell>
          <cell r="Q1270">
            <v>132.57</v>
          </cell>
          <cell r="R1270">
            <v>1</v>
          </cell>
        </row>
        <row r="1271">
          <cell r="A1271" t="str">
            <v>17.04.01.06</v>
          </cell>
          <cell r="B1271" t="str">
            <v>TARRAJEO DE SUPERFICIE COLUMNETAS INCL. ARISTAS MEZCLA 1:5 CEMENTO:ARENA</v>
          </cell>
          <cell r="C1271" t="str">
            <v>m2</v>
          </cell>
          <cell r="D1271">
            <v>3</v>
          </cell>
          <cell r="E1271">
            <v>31.33</v>
          </cell>
          <cell r="F1271">
            <v>93.99</v>
          </cell>
          <cell r="G1271">
            <v>0</v>
          </cell>
          <cell r="H1271">
            <v>0</v>
          </cell>
          <cell r="I1271" t="str">
            <v>0.00%</v>
          </cell>
          <cell r="J1271">
            <v>0</v>
          </cell>
          <cell r="K1271">
            <v>0</v>
          </cell>
          <cell r="L1271" t="str">
            <v>0.00%</v>
          </cell>
          <cell r="M1271">
            <v>0</v>
          </cell>
          <cell r="N1271">
            <v>0</v>
          </cell>
          <cell r="O1271" t="str">
            <v>0.00%</v>
          </cell>
          <cell r="P1271">
            <v>3</v>
          </cell>
          <cell r="Q1271">
            <v>93.99</v>
          </cell>
          <cell r="R1271">
            <v>1</v>
          </cell>
        </row>
        <row r="1272">
          <cell r="A1272" t="str">
            <v>17.04.02</v>
          </cell>
          <cell r="B1272" t="str">
            <v>SISTEMA DE EVACUACION PLUVIAL</v>
          </cell>
          <cell r="C1272">
            <v>0</v>
          </cell>
          <cell r="D1272">
            <v>0</v>
          </cell>
          <cell r="E1272">
            <v>0</v>
          </cell>
          <cell r="F1272">
            <v>0</v>
          </cell>
          <cell r="G1272">
            <v>0</v>
          </cell>
          <cell r="H1272">
            <v>0</v>
          </cell>
          <cell r="I1272">
            <v>0</v>
          </cell>
          <cell r="J1272">
            <v>0</v>
          </cell>
          <cell r="K1272">
            <v>0</v>
          </cell>
          <cell r="L1272">
            <v>0</v>
          </cell>
          <cell r="M1272">
            <v>0</v>
          </cell>
          <cell r="N1272">
            <v>0</v>
          </cell>
          <cell r="O1272">
            <v>0</v>
          </cell>
          <cell r="P1272">
            <v>0</v>
          </cell>
          <cell r="Q1272">
            <v>0</v>
          </cell>
          <cell r="R1272">
            <v>0</v>
          </cell>
        </row>
        <row r="1273">
          <cell r="A1273" t="str">
            <v>17.04.02.01</v>
          </cell>
          <cell r="B1273" t="str">
            <v>RED COLECTORA PARA AGUAS PLUVIALES TUB. PVC UF Ø DE 4"</v>
          </cell>
          <cell r="C1273" t="str">
            <v>m</v>
          </cell>
          <cell r="D1273">
            <v>2.12</v>
          </cell>
          <cell r="E1273">
            <v>27.03</v>
          </cell>
          <cell r="F1273">
            <v>57.303600000000003</v>
          </cell>
          <cell r="G1273">
            <v>0</v>
          </cell>
          <cell r="H1273">
            <v>0</v>
          </cell>
          <cell r="I1273" t="str">
            <v>0.00%</v>
          </cell>
          <cell r="J1273">
            <v>0</v>
          </cell>
          <cell r="K1273">
            <v>0</v>
          </cell>
          <cell r="L1273" t="str">
            <v>0.00%</v>
          </cell>
          <cell r="M1273">
            <v>0</v>
          </cell>
          <cell r="N1273">
            <v>0</v>
          </cell>
          <cell r="O1273" t="str">
            <v>0.00%</v>
          </cell>
          <cell r="P1273">
            <v>2.12</v>
          </cell>
          <cell r="Q1273">
            <v>57.303600000000003</v>
          </cell>
          <cell r="R1273">
            <v>1</v>
          </cell>
        </row>
        <row r="1274">
          <cell r="A1274" t="str">
            <v>18</v>
          </cell>
          <cell r="B1274" t="str">
            <v>BLOQUE - 4</v>
          </cell>
          <cell r="C1274">
            <v>0</v>
          </cell>
          <cell r="D1274">
            <v>0</v>
          </cell>
          <cell r="E1274">
            <v>0</v>
          </cell>
          <cell r="F1274">
            <v>0</v>
          </cell>
          <cell r="G1274">
            <v>0</v>
          </cell>
          <cell r="H1274">
            <v>0</v>
          </cell>
          <cell r="I1274">
            <v>0</v>
          </cell>
          <cell r="J1274">
            <v>0</v>
          </cell>
          <cell r="K1274">
            <v>0</v>
          </cell>
          <cell r="L1274">
            <v>0</v>
          </cell>
          <cell r="M1274">
            <v>0</v>
          </cell>
          <cell r="N1274">
            <v>0</v>
          </cell>
          <cell r="O1274">
            <v>0</v>
          </cell>
          <cell r="P1274">
            <v>0</v>
          </cell>
          <cell r="Q1274">
            <v>0</v>
          </cell>
          <cell r="R1274">
            <v>0</v>
          </cell>
        </row>
        <row r="1275">
          <cell r="A1275" t="str">
            <v>18.01</v>
          </cell>
          <cell r="B1275" t="str">
            <v>APARATOS SANITARIOS Y ACCESORIOS</v>
          </cell>
          <cell r="C1275">
            <v>0</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row>
        <row r="1276">
          <cell r="A1276" t="str">
            <v>18.01.01</v>
          </cell>
          <cell r="B1276" t="str">
            <v>SUMINISTRO DE APARATO SANITARIOS</v>
          </cell>
          <cell r="C1276">
            <v>0</v>
          </cell>
          <cell r="D1276">
            <v>0</v>
          </cell>
          <cell r="E1276">
            <v>0</v>
          </cell>
          <cell r="F1276">
            <v>0</v>
          </cell>
          <cell r="G1276">
            <v>0</v>
          </cell>
          <cell r="H1276">
            <v>0</v>
          </cell>
          <cell r="I1276">
            <v>0</v>
          </cell>
          <cell r="J1276">
            <v>0</v>
          </cell>
          <cell r="K1276">
            <v>0</v>
          </cell>
          <cell r="L1276">
            <v>0</v>
          </cell>
          <cell r="M1276">
            <v>0</v>
          </cell>
          <cell r="N1276">
            <v>0</v>
          </cell>
          <cell r="O1276">
            <v>0</v>
          </cell>
          <cell r="P1276">
            <v>0</v>
          </cell>
          <cell r="Q1276">
            <v>0</v>
          </cell>
          <cell r="R1276">
            <v>0</v>
          </cell>
        </row>
        <row r="1277">
          <cell r="A1277" t="str">
            <v>18.01.01.01</v>
          </cell>
          <cell r="B1277" t="str">
            <v xml:space="preserve">INODORO SIFON JEET COLOR BLANCO </v>
          </cell>
          <cell r="C1277" t="str">
            <v>und</v>
          </cell>
          <cell r="D1277">
            <v>2</v>
          </cell>
          <cell r="E1277">
            <v>300</v>
          </cell>
          <cell r="F1277">
            <v>600</v>
          </cell>
          <cell r="G1277">
            <v>0</v>
          </cell>
          <cell r="H1277">
            <v>0</v>
          </cell>
          <cell r="I1277" t="str">
            <v>0.00%</v>
          </cell>
          <cell r="J1277">
            <v>0</v>
          </cell>
          <cell r="K1277">
            <v>0</v>
          </cell>
          <cell r="L1277" t="str">
            <v>0.00%</v>
          </cell>
          <cell r="M1277">
            <v>0</v>
          </cell>
          <cell r="N1277">
            <v>0</v>
          </cell>
          <cell r="O1277" t="str">
            <v>0.00%</v>
          </cell>
          <cell r="P1277">
            <v>2</v>
          </cell>
          <cell r="Q1277">
            <v>600</v>
          </cell>
          <cell r="R1277">
            <v>1</v>
          </cell>
        </row>
        <row r="1278">
          <cell r="A1278" t="str">
            <v>18.01.01.02</v>
          </cell>
          <cell r="B1278" t="str">
            <v xml:space="preserve">URINARIO BAMBI DE LOSA BLANCO </v>
          </cell>
          <cell r="C1278" t="str">
            <v>und</v>
          </cell>
          <cell r="D1278">
            <v>1</v>
          </cell>
          <cell r="E1278">
            <v>150</v>
          </cell>
          <cell r="F1278">
            <v>150</v>
          </cell>
          <cell r="G1278">
            <v>0</v>
          </cell>
          <cell r="H1278">
            <v>0</v>
          </cell>
          <cell r="I1278" t="str">
            <v>0.00%</v>
          </cell>
          <cell r="J1278">
            <v>0</v>
          </cell>
          <cell r="K1278">
            <v>0</v>
          </cell>
          <cell r="L1278" t="str">
            <v>0.00%</v>
          </cell>
          <cell r="M1278">
            <v>0</v>
          </cell>
          <cell r="N1278">
            <v>0</v>
          </cell>
          <cell r="O1278" t="str">
            <v>0.00%</v>
          </cell>
          <cell r="P1278">
            <v>1</v>
          </cell>
          <cell r="Q1278">
            <v>150</v>
          </cell>
          <cell r="R1278">
            <v>1</v>
          </cell>
        </row>
        <row r="1279">
          <cell r="A1279" t="str">
            <v>18.01.01.03</v>
          </cell>
          <cell r="B1279" t="str">
            <v>LAVATORIO TIPO ESTANDAR BLANCO</v>
          </cell>
          <cell r="C1279" t="str">
            <v>und</v>
          </cell>
          <cell r="D1279">
            <v>2</v>
          </cell>
          <cell r="E1279">
            <v>190</v>
          </cell>
          <cell r="F1279">
            <v>380</v>
          </cell>
          <cell r="G1279">
            <v>0</v>
          </cell>
          <cell r="H1279">
            <v>0</v>
          </cell>
          <cell r="I1279" t="str">
            <v>0.00%</v>
          </cell>
          <cell r="J1279">
            <v>0</v>
          </cell>
          <cell r="K1279">
            <v>0</v>
          </cell>
          <cell r="L1279" t="str">
            <v>0.00%</v>
          </cell>
          <cell r="M1279">
            <v>0</v>
          </cell>
          <cell r="N1279">
            <v>0</v>
          </cell>
          <cell r="O1279" t="str">
            <v>0.00%</v>
          </cell>
          <cell r="P1279">
            <v>2</v>
          </cell>
          <cell r="Q1279">
            <v>380</v>
          </cell>
          <cell r="R1279">
            <v>1</v>
          </cell>
        </row>
        <row r="1280">
          <cell r="A1280" t="str">
            <v>18.01.02</v>
          </cell>
          <cell r="B1280" t="str">
            <v>SUMINISTRO DE ACCESORIOS</v>
          </cell>
          <cell r="C1280">
            <v>0</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row>
        <row r="1281">
          <cell r="A1281" t="str">
            <v>18.01.02.01</v>
          </cell>
          <cell r="B1281" t="str">
            <v>PAPELERA DE LOSA COLOR BLANCO</v>
          </cell>
          <cell r="C1281" t="str">
            <v>und</v>
          </cell>
          <cell r="D1281">
            <v>2</v>
          </cell>
          <cell r="E1281">
            <v>35</v>
          </cell>
          <cell r="F1281">
            <v>70</v>
          </cell>
          <cell r="G1281">
            <v>0</v>
          </cell>
          <cell r="H1281">
            <v>0</v>
          </cell>
          <cell r="I1281" t="str">
            <v>0.00%</v>
          </cell>
          <cell r="J1281">
            <v>0</v>
          </cell>
          <cell r="K1281">
            <v>0</v>
          </cell>
          <cell r="L1281" t="str">
            <v>0.00%</v>
          </cell>
          <cell r="M1281">
            <v>0</v>
          </cell>
          <cell r="N1281">
            <v>0</v>
          </cell>
          <cell r="O1281" t="str">
            <v>0.00%</v>
          </cell>
          <cell r="P1281">
            <v>2</v>
          </cell>
          <cell r="Q1281">
            <v>70</v>
          </cell>
          <cell r="R1281">
            <v>1</v>
          </cell>
        </row>
        <row r="1282">
          <cell r="A1282" t="str">
            <v>18.01.02.02</v>
          </cell>
          <cell r="B1282" t="str">
            <v>JABONERA DE LOSA COLOR BLANCO</v>
          </cell>
          <cell r="C1282" t="str">
            <v>und</v>
          </cell>
          <cell r="D1282">
            <v>2</v>
          </cell>
          <cell r="E1282">
            <v>20</v>
          </cell>
          <cell r="F1282">
            <v>40</v>
          </cell>
          <cell r="G1282">
            <v>0</v>
          </cell>
          <cell r="H1282">
            <v>0</v>
          </cell>
          <cell r="I1282" t="str">
            <v>0.00%</v>
          </cell>
          <cell r="J1282">
            <v>0</v>
          </cell>
          <cell r="K1282">
            <v>0</v>
          </cell>
          <cell r="L1282" t="str">
            <v>0.00%</v>
          </cell>
          <cell r="M1282">
            <v>0</v>
          </cell>
          <cell r="N1282">
            <v>0</v>
          </cell>
          <cell r="O1282" t="str">
            <v>0.00%</v>
          </cell>
          <cell r="P1282">
            <v>2</v>
          </cell>
          <cell r="Q1282">
            <v>40</v>
          </cell>
          <cell r="R1282">
            <v>1</v>
          </cell>
        </row>
        <row r="1283">
          <cell r="A1283" t="str">
            <v>18.01.02.03</v>
          </cell>
          <cell r="B1283" t="str">
            <v>ESPEJO DE 4MM DE 0.60 x 0.90 M.</v>
          </cell>
          <cell r="C1283" t="str">
            <v>und</v>
          </cell>
          <cell r="D1283">
            <v>2</v>
          </cell>
          <cell r="E1283">
            <v>30</v>
          </cell>
          <cell r="F1283">
            <v>60</v>
          </cell>
          <cell r="G1283">
            <v>0</v>
          </cell>
          <cell r="H1283">
            <v>0</v>
          </cell>
          <cell r="I1283" t="str">
            <v>0.00%</v>
          </cell>
          <cell r="J1283">
            <v>0</v>
          </cell>
          <cell r="K1283">
            <v>0</v>
          </cell>
          <cell r="L1283" t="str">
            <v>0.00%</v>
          </cell>
          <cell r="M1283">
            <v>0</v>
          </cell>
          <cell r="N1283">
            <v>0</v>
          </cell>
          <cell r="O1283" t="str">
            <v>0.00%</v>
          </cell>
          <cell r="P1283">
            <v>2</v>
          </cell>
          <cell r="Q1283">
            <v>60</v>
          </cell>
          <cell r="R1283">
            <v>1</v>
          </cell>
        </row>
        <row r="1284">
          <cell r="A1284" t="str">
            <v>18.01.03</v>
          </cell>
          <cell r="B1284" t="str">
            <v xml:space="preserve">INSTALACION DE APARATOS SANITARIOS  </v>
          </cell>
          <cell r="C1284">
            <v>0</v>
          </cell>
          <cell r="D1284">
            <v>0</v>
          </cell>
          <cell r="E1284">
            <v>0</v>
          </cell>
          <cell r="F1284">
            <v>0</v>
          </cell>
          <cell r="G1284">
            <v>0</v>
          </cell>
          <cell r="H1284">
            <v>0</v>
          </cell>
          <cell r="I1284">
            <v>0</v>
          </cell>
          <cell r="J1284">
            <v>0</v>
          </cell>
          <cell r="K1284">
            <v>0</v>
          </cell>
          <cell r="L1284">
            <v>0</v>
          </cell>
          <cell r="M1284">
            <v>0</v>
          </cell>
          <cell r="N1284">
            <v>0</v>
          </cell>
          <cell r="O1284">
            <v>0</v>
          </cell>
          <cell r="P1284">
            <v>0</v>
          </cell>
          <cell r="Q1284">
            <v>0</v>
          </cell>
          <cell r="R1284">
            <v>0</v>
          </cell>
        </row>
        <row r="1285">
          <cell r="A1285" t="str">
            <v>18.01.03.01</v>
          </cell>
          <cell r="B1285" t="str">
            <v xml:space="preserve">COLOCACION DE APARATOS SANITARIOS </v>
          </cell>
          <cell r="C1285" t="str">
            <v>und</v>
          </cell>
          <cell r="D1285">
            <v>5</v>
          </cell>
          <cell r="E1285">
            <v>52.08</v>
          </cell>
          <cell r="F1285">
            <v>260.39999999999998</v>
          </cell>
          <cell r="G1285">
            <v>0</v>
          </cell>
          <cell r="H1285">
            <v>0</v>
          </cell>
          <cell r="I1285" t="str">
            <v>0.00%</v>
          </cell>
          <cell r="J1285">
            <v>0</v>
          </cell>
          <cell r="K1285">
            <v>0</v>
          </cell>
          <cell r="L1285" t="str">
            <v>0.00%</v>
          </cell>
          <cell r="M1285">
            <v>0</v>
          </cell>
          <cell r="N1285">
            <v>0</v>
          </cell>
          <cell r="O1285" t="str">
            <v>0.00%</v>
          </cell>
          <cell r="P1285">
            <v>5</v>
          </cell>
          <cell r="Q1285">
            <v>260.39999999999998</v>
          </cell>
          <cell r="R1285">
            <v>1</v>
          </cell>
        </row>
        <row r="1286">
          <cell r="A1286" t="str">
            <v>18.01.04</v>
          </cell>
          <cell r="B1286" t="str">
            <v>INSTALACION DE ACCESORIOS</v>
          </cell>
          <cell r="C1286">
            <v>0</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row>
        <row r="1287">
          <cell r="A1287" t="str">
            <v>18.01.04.01</v>
          </cell>
          <cell r="B1287" t="str">
            <v>COLOCACION DE ACCESORIOS SANITARIOS</v>
          </cell>
          <cell r="C1287" t="str">
            <v>und</v>
          </cell>
          <cell r="D1287">
            <v>6</v>
          </cell>
          <cell r="E1287">
            <v>26.04</v>
          </cell>
          <cell r="F1287">
            <v>156.24</v>
          </cell>
          <cell r="G1287">
            <v>0</v>
          </cell>
          <cell r="H1287">
            <v>0</v>
          </cell>
          <cell r="I1287" t="str">
            <v>0.00%</v>
          </cell>
          <cell r="J1287">
            <v>0</v>
          </cell>
          <cell r="K1287">
            <v>0</v>
          </cell>
          <cell r="L1287" t="str">
            <v>0.00%</v>
          </cell>
          <cell r="M1287">
            <v>0</v>
          </cell>
          <cell r="N1287">
            <v>0</v>
          </cell>
          <cell r="O1287" t="str">
            <v>0.00%</v>
          </cell>
          <cell r="P1287">
            <v>6</v>
          </cell>
          <cell r="Q1287">
            <v>156.24</v>
          </cell>
          <cell r="R1287">
            <v>1</v>
          </cell>
        </row>
        <row r="1288">
          <cell r="A1288" t="str">
            <v>18.02</v>
          </cell>
          <cell r="B1288" t="str">
            <v>SISTEMA DE AGUA FRIA Y ALIMENTADORES</v>
          </cell>
          <cell r="C1288">
            <v>0</v>
          </cell>
          <cell r="D1288">
            <v>0</v>
          </cell>
          <cell r="E1288">
            <v>0</v>
          </cell>
          <cell r="F1288">
            <v>0</v>
          </cell>
          <cell r="G1288">
            <v>0</v>
          </cell>
          <cell r="H1288">
            <v>0</v>
          </cell>
          <cell r="I1288">
            <v>0</v>
          </cell>
          <cell r="J1288">
            <v>0</v>
          </cell>
          <cell r="K1288">
            <v>0</v>
          </cell>
          <cell r="L1288">
            <v>0</v>
          </cell>
          <cell r="M1288">
            <v>0</v>
          </cell>
          <cell r="N1288">
            <v>0</v>
          </cell>
          <cell r="O1288">
            <v>0</v>
          </cell>
          <cell r="P1288">
            <v>0</v>
          </cell>
          <cell r="Q1288">
            <v>0</v>
          </cell>
          <cell r="R1288">
            <v>0</v>
          </cell>
        </row>
        <row r="1289">
          <cell r="A1289" t="str">
            <v>18.02.01</v>
          </cell>
          <cell r="B1289" t="str">
            <v>SALIDA DE AGUA FRIA</v>
          </cell>
          <cell r="C1289">
            <v>0</v>
          </cell>
          <cell r="D1289">
            <v>0</v>
          </cell>
          <cell r="E1289">
            <v>0</v>
          </cell>
          <cell r="F1289">
            <v>0</v>
          </cell>
          <cell r="G1289">
            <v>0</v>
          </cell>
          <cell r="H1289">
            <v>0</v>
          </cell>
          <cell r="I1289">
            <v>0</v>
          </cell>
          <cell r="J1289">
            <v>0</v>
          </cell>
          <cell r="K1289">
            <v>0</v>
          </cell>
          <cell r="L1289">
            <v>0</v>
          </cell>
          <cell r="M1289">
            <v>0</v>
          </cell>
          <cell r="N1289">
            <v>0</v>
          </cell>
          <cell r="O1289">
            <v>0</v>
          </cell>
          <cell r="P1289">
            <v>0</v>
          </cell>
          <cell r="Q1289">
            <v>0</v>
          </cell>
          <cell r="R1289">
            <v>0</v>
          </cell>
        </row>
        <row r="1290">
          <cell r="A1290" t="str">
            <v>18.02.01.01</v>
          </cell>
          <cell r="B1290" t="str">
            <v>SALIDA DE AGUA FRIA CON TUBERIA DE PVC-SAP 1/2"</v>
          </cell>
          <cell r="C1290" t="str">
            <v>pto</v>
          </cell>
          <cell r="D1290">
            <v>5</v>
          </cell>
          <cell r="E1290">
            <v>41.53</v>
          </cell>
          <cell r="F1290">
            <v>207.65</v>
          </cell>
          <cell r="G1290">
            <v>0</v>
          </cell>
          <cell r="H1290">
            <v>0</v>
          </cell>
          <cell r="I1290" t="str">
            <v>0.00%</v>
          </cell>
          <cell r="J1290">
            <v>0</v>
          </cell>
          <cell r="K1290">
            <v>0</v>
          </cell>
          <cell r="L1290" t="str">
            <v>0.00%</v>
          </cell>
          <cell r="M1290">
            <v>0</v>
          </cell>
          <cell r="N1290">
            <v>0</v>
          </cell>
          <cell r="O1290" t="str">
            <v>0.00%</v>
          </cell>
          <cell r="P1290">
            <v>5</v>
          </cell>
          <cell r="Q1290">
            <v>207.65</v>
          </cell>
          <cell r="R1290">
            <v>1</v>
          </cell>
        </row>
        <row r="1291">
          <cell r="A1291" t="str">
            <v>18.02.02</v>
          </cell>
          <cell r="B1291" t="str">
            <v>REDES DE DISTRIBUCION DE AGUA FRIA</v>
          </cell>
          <cell r="C1291">
            <v>0</v>
          </cell>
          <cell r="D1291">
            <v>0</v>
          </cell>
          <cell r="E1291">
            <v>0</v>
          </cell>
          <cell r="F1291">
            <v>0</v>
          </cell>
          <cell r="G1291">
            <v>0</v>
          </cell>
          <cell r="H1291">
            <v>0</v>
          </cell>
          <cell r="I1291">
            <v>0</v>
          </cell>
          <cell r="J1291">
            <v>0</v>
          </cell>
          <cell r="K1291">
            <v>0</v>
          </cell>
          <cell r="L1291">
            <v>0</v>
          </cell>
          <cell r="M1291">
            <v>0</v>
          </cell>
          <cell r="N1291">
            <v>0</v>
          </cell>
          <cell r="O1291">
            <v>0</v>
          </cell>
          <cell r="P1291">
            <v>0</v>
          </cell>
          <cell r="Q1291">
            <v>0</v>
          </cell>
          <cell r="R1291">
            <v>0</v>
          </cell>
        </row>
        <row r="1292">
          <cell r="A1292" t="str">
            <v>18.02.02.01</v>
          </cell>
          <cell r="B1292" t="str">
            <v>RED DE DISTRIBUCION TUBERIA PVC SAP C-10 Ø DE 1/2"</v>
          </cell>
          <cell r="C1292" t="str">
            <v>m</v>
          </cell>
          <cell r="D1292">
            <v>4.4000000000000004</v>
          </cell>
          <cell r="E1292">
            <v>20.36</v>
          </cell>
          <cell r="F1292">
            <v>89.584000000000003</v>
          </cell>
          <cell r="G1292">
            <v>0</v>
          </cell>
          <cell r="H1292">
            <v>0</v>
          </cell>
          <cell r="I1292" t="str">
            <v>0.00%</v>
          </cell>
          <cell r="J1292">
            <v>0</v>
          </cell>
          <cell r="K1292">
            <v>0</v>
          </cell>
          <cell r="L1292" t="str">
            <v>0.00%</v>
          </cell>
          <cell r="M1292">
            <v>0</v>
          </cell>
          <cell r="N1292">
            <v>0</v>
          </cell>
          <cell r="O1292" t="str">
            <v>0.00%</v>
          </cell>
          <cell r="P1292">
            <v>4.4000000000000004</v>
          </cell>
          <cell r="Q1292">
            <v>89.584000000000003</v>
          </cell>
          <cell r="R1292">
            <v>1</v>
          </cell>
        </row>
        <row r="1293">
          <cell r="A1293" t="str">
            <v>18.02.02.02</v>
          </cell>
          <cell r="B1293" t="str">
            <v>RED DE DISTRIBUCION TUBERIA PVC SAP C-10 Ø DE 3/4"</v>
          </cell>
          <cell r="C1293" t="str">
            <v>m</v>
          </cell>
          <cell r="D1293">
            <v>5.74</v>
          </cell>
          <cell r="E1293">
            <v>31.76</v>
          </cell>
          <cell r="F1293">
            <v>182.30240000000001</v>
          </cell>
          <cell r="G1293">
            <v>0</v>
          </cell>
          <cell r="H1293">
            <v>0</v>
          </cell>
          <cell r="I1293" t="str">
            <v>0.00%</v>
          </cell>
          <cell r="J1293">
            <v>0</v>
          </cell>
          <cell r="K1293">
            <v>0</v>
          </cell>
          <cell r="L1293" t="str">
            <v>0.00%</v>
          </cell>
          <cell r="M1293">
            <v>0</v>
          </cell>
          <cell r="N1293">
            <v>0</v>
          </cell>
          <cell r="O1293" t="str">
            <v>0.00%</v>
          </cell>
          <cell r="P1293">
            <v>5.74</v>
          </cell>
          <cell r="Q1293">
            <v>182.30240000000001</v>
          </cell>
          <cell r="R1293">
            <v>1</v>
          </cell>
        </row>
        <row r="1294">
          <cell r="A1294" t="str">
            <v>18.02.03</v>
          </cell>
          <cell r="B1294" t="str">
            <v>VALVULA Y ACCESORIOS DE AGUA FRIA</v>
          </cell>
          <cell r="C1294">
            <v>0</v>
          </cell>
          <cell r="D1294">
            <v>0</v>
          </cell>
          <cell r="E1294">
            <v>0</v>
          </cell>
          <cell r="F1294">
            <v>0</v>
          </cell>
          <cell r="G1294">
            <v>0</v>
          </cell>
          <cell r="H1294">
            <v>0</v>
          </cell>
          <cell r="I1294">
            <v>0</v>
          </cell>
          <cell r="J1294">
            <v>0</v>
          </cell>
          <cell r="K1294">
            <v>0</v>
          </cell>
          <cell r="L1294">
            <v>0</v>
          </cell>
          <cell r="M1294">
            <v>0</v>
          </cell>
          <cell r="N1294">
            <v>0</v>
          </cell>
          <cell r="O1294">
            <v>0</v>
          </cell>
          <cell r="P1294">
            <v>0</v>
          </cell>
          <cell r="Q1294">
            <v>0</v>
          </cell>
          <cell r="R1294">
            <v>0</v>
          </cell>
        </row>
        <row r="1295">
          <cell r="A1295" t="str">
            <v>18.02.03.01</v>
          </cell>
          <cell r="B1295" t="str">
            <v>VALVULA COMPUERTA DE BRONCE  Ø 3/4"</v>
          </cell>
          <cell r="C1295" t="str">
            <v>und</v>
          </cell>
          <cell r="D1295">
            <v>3</v>
          </cell>
          <cell r="E1295">
            <v>188.9</v>
          </cell>
          <cell r="F1295">
            <v>566.70000000000005</v>
          </cell>
          <cell r="G1295">
            <v>0</v>
          </cell>
          <cell r="H1295">
            <v>0</v>
          </cell>
          <cell r="I1295" t="str">
            <v>0.00%</v>
          </cell>
          <cell r="J1295">
            <v>0</v>
          </cell>
          <cell r="K1295">
            <v>0</v>
          </cell>
          <cell r="L1295" t="str">
            <v>0.00%</v>
          </cell>
          <cell r="M1295">
            <v>0</v>
          </cell>
          <cell r="N1295">
            <v>0</v>
          </cell>
          <cell r="O1295" t="str">
            <v>0.00%</v>
          </cell>
          <cell r="P1295">
            <v>3</v>
          </cell>
          <cell r="Q1295">
            <v>566.70000000000005</v>
          </cell>
          <cell r="R1295">
            <v>1</v>
          </cell>
        </row>
        <row r="1296">
          <cell r="A1296" t="str">
            <v>18.02.04</v>
          </cell>
          <cell r="B1296" t="str">
            <v>PRUEBAS HIDRAULICA</v>
          </cell>
          <cell r="C1296">
            <v>0</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row>
        <row r="1297">
          <cell r="A1297" t="str">
            <v>18.02.04.01</v>
          </cell>
          <cell r="B1297" t="str">
            <v>PRUEBA HIDRAULICA TUBERIA DE AGUA FRIA</v>
          </cell>
          <cell r="C1297" t="str">
            <v>GLB</v>
          </cell>
          <cell r="D1297">
            <v>1</v>
          </cell>
          <cell r="E1297">
            <v>450</v>
          </cell>
          <cell r="F1297">
            <v>450</v>
          </cell>
          <cell r="G1297">
            <v>0</v>
          </cell>
          <cell r="H1297">
            <v>0</v>
          </cell>
          <cell r="I1297" t="str">
            <v>0.00%</v>
          </cell>
          <cell r="J1297">
            <v>0</v>
          </cell>
          <cell r="K1297">
            <v>0</v>
          </cell>
          <cell r="L1297" t="str">
            <v>0.00%</v>
          </cell>
          <cell r="M1297">
            <v>0</v>
          </cell>
          <cell r="N1297">
            <v>0</v>
          </cell>
          <cell r="O1297" t="str">
            <v>0.00%</v>
          </cell>
          <cell r="P1297">
            <v>1</v>
          </cell>
          <cell r="Q1297">
            <v>450</v>
          </cell>
          <cell r="R1297">
            <v>1</v>
          </cell>
        </row>
        <row r="1298">
          <cell r="A1298" t="str">
            <v>18.03</v>
          </cell>
          <cell r="B1298" t="str">
            <v xml:space="preserve">SISTEMA DE DESAGUE Y VENTILACION </v>
          </cell>
          <cell r="C1298">
            <v>0</v>
          </cell>
          <cell r="D1298">
            <v>0</v>
          </cell>
          <cell r="E1298">
            <v>0</v>
          </cell>
          <cell r="F1298">
            <v>0</v>
          </cell>
          <cell r="G1298">
            <v>0</v>
          </cell>
          <cell r="H1298">
            <v>0</v>
          </cell>
          <cell r="I1298">
            <v>0</v>
          </cell>
          <cell r="J1298">
            <v>0</v>
          </cell>
          <cell r="K1298">
            <v>0</v>
          </cell>
          <cell r="L1298">
            <v>0</v>
          </cell>
          <cell r="M1298">
            <v>0</v>
          </cell>
          <cell r="N1298">
            <v>0</v>
          </cell>
          <cell r="O1298">
            <v>0</v>
          </cell>
          <cell r="P1298">
            <v>0</v>
          </cell>
          <cell r="Q1298">
            <v>0</v>
          </cell>
          <cell r="R1298">
            <v>0</v>
          </cell>
        </row>
        <row r="1299">
          <cell r="A1299" t="str">
            <v>18.03.01</v>
          </cell>
          <cell r="B1299" t="str">
            <v>SALIDA DE DESAGUE Y VENTILACION</v>
          </cell>
          <cell r="C1299">
            <v>0</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0</v>
          </cell>
        </row>
        <row r="1300">
          <cell r="A1300" t="str">
            <v>18.03.01.01</v>
          </cell>
          <cell r="B1300" t="str">
            <v>SALIDAS DE PVC SAL PARA DESAGUE DE 2"</v>
          </cell>
          <cell r="C1300" t="str">
            <v>pto</v>
          </cell>
          <cell r="D1300">
            <v>11</v>
          </cell>
          <cell r="E1300">
            <v>92.04</v>
          </cell>
          <cell r="F1300">
            <v>1012.44</v>
          </cell>
          <cell r="G1300">
            <v>11</v>
          </cell>
          <cell r="H1300">
            <v>1012.44</v>
          </cell>
          <cell r="I1300">
            <v>1</v>
          </cell>
          <cell r="J1300">
            <v>0</v>
          </cell>
          <cell r="K1300">
            <v>0</v>
          </cell>
          <cell r="L1300" t="str">
            <v>0.00%</v>
          </cell>
          <cell r="M1300">
            <v>11</v>
          </cell>
          <cell r="N1300">
            <v>1012.44</v>
          </cell>
          <cell r="O1300">
            <v>1</v>
          </cell>
          <cell r="P1300">
            <v>0</v>
          </cell>
          <cell r="Q1300">
            <v>0</v>
          </cell>
          <cell r="R1300" t="str">
            <v>0.00%</v>
          </cell>
        </row>
        <row r="1301">
          <cell r="A1301" t="str">
            <v>18.03.01.02</v>
          </cell>
          <cell r="B1301" t="str">
            <v>SALIDAS DE PVC SAL PARA DESAGUE DE 4"</v>
          </cell>
          <cell r="C1301" t="str">
            <v>pto</v>
          </cell>
          <cell r="D1301">
            <v>3</v>
          </cell>
          <cell r="E1301">
            <v>56.34</v>
          </cell>
          <cell r="F1301">
            <v>169.02</v>
          </cell>
          <cell r="G1301">
            <v>3</v>
          </cell>
          <cell r="H1301">
            <v>169.02</v>
          </cell>
          <cell r="I1301">
            <v>1</v>
          </cell>
          <cell r="J1301">
            <v>0</v>
          </cell>
          <cell r="K1301">
            <v>0</v>
          </cell>
          <cell r="L1301" t="str">
            <v>0.00%</v>
          </cell>
          <cell r="M1301">
            <v>3</v>
          </cell>
          <cell r="N1301">
            <v>169.02</v>
          </cell>
          <cell r="O1301">
            <v>1</v>
          </cell>
          <cell r="P1301">
            <v>0</v>
          </cell>
          <cell r="Q1301">
            <v>0</v>
          </cell>
          <cell r="R1301" t="str">
            <v>0.00%</v>
          </cell>
        </row>
        <row r="1302">
          <cell r="A1302" t="str">
            <v>18.03.01.03</v>
          </cell>
          <cell r="B1302" t="str">
            <v>SALIDAS DE PVC SAL PARA VENTILACION DE 2"</v>
          </cell>
          <cell r="C1302" t="str">
            <v>pto</v>
          </cell>
          <cell r="D1302">
            <v>1</v>
          </cell>
          <cell r="E1302">
            <v>85.76</v>
          </cell>
          <cell r="F1302">
            <v>85.76</v>
          </cell>
          <cell r="G1302">
            <v>1</v>
          </cell>
          <cell r="H1302">
            <v>85.76</v>
          </cell>
          <cell r="I1302">
            <v>1</v>
          </cell>
          <cell r="J1302">
            <v>0</v>
          </cell>
          <cell r="K1302">
            <v>0</v>
          </cell>
          <cell r="L1302" t="str">
            <v>0.00%</v>
          </cell>
          <cell r="M1302">
            <v>1</v>
          </cell>
          <cell r="N1302">
            <v>85.76</v>
          </cell>
          <cell r="O1302">
            <v>1</v>
          </cell>
          <cell r="P1302">
            <v>0</v>
          </cell>
          <cell r="Q1302">
            <v>0</v>
          </cell>
          <cell r="R1302" t="str">
            <v>0.00%</v>
          </cell>
        </row>
        <row r="1303">
          <cell r="A1303" t="str">
            <v>18.03.01.04</v>
          </cell>
          <cell r="B1303" t="str">
            <v>SOMBRERO VENTILACION PVC DE 2"</v>
          </cell>
          <cell r="C1303" t="str">
            <v>pza</v>
          </cell>
          <cell r="D1303">
            <v>1</v>
          </cell>
          <cell r="E1303">
            <v>11.19</v>
          </cell>
          <cell r="F1303">
            <v>11.19</v>
          </cell>
          <cell r="G1303">
            <v>0</v>
          </cell>
          <cell r="H1303">
            <v>0</v>
          </cell>
          <cell r="I1303" t="str">
            <v>0.00%</v>
          </cell>
          <cell r="J1303">
            <v>0</v>
          </cell>
          <cell r="K1303">
            <v>0</v>
          </cell>
          <cell r="L1303" t="str">
            <v>0.00%</v>
          </cell>
          <cell r="M1303">
            <v>0</v>
          </cell>
          <cell r="N1303">
            <v>0</v>
          </cell>
          <cell r="O1303" t="str">
            <v>0.00%</v>
          </cell>
          <cell r="P1303">
            <v>1</v>
          </cell>
          <cell r="Q1303">
            <v>11.19</v>
          </cell>
          <cell r="R1303">
            <v>1</v>
          </cell>
        </row>
        <row r="1304">
          <cell r="A1304" t="str">
            <v>18.03.02</v>
          </cell>
          <cell r="B1304" t="str">
            <v>REDES DE DERIVACION</v>
          </cell>
          <cell r="C1304">
            <v>0</v>
          </cell>
          <cell r="D1304">
            <v>0</v>
          </cell>
          <cell r="E1304">
            <v>0</v>
          </cell>
          <cell r="F1304">
            <v>0</v>
          </cell>
          <cell r="G1304">
            <v>0</v>
          </cell>
          <cell r="H1304">
            <v>0</v>
          </cell>
          <cell r="I1304">
            <v>0</v>
          </cell>
          <cell r="J1304">
            <v>0</v>
          </cell>
          <cell r="K1304">
            <v>0</v>
          </cell>
          <cell r="L1304">
            <v>0</v>
          </cell>
          <cell r="M1304">
            <v>0</v>
          </cell>
          <cell r="N1304">
            <v>0</v>
          </cell>
          <cell r="O1304">
            <v>0</v>
          </cell>
          <cell r="P1304">
            <v>0</v>
          </cell>
          <cell r="Q1304">
            <v>0</v>
          </cell>
          <cell r="R1304">
            <v>0</v>
          </cell>
        </row>
        <row r="1305">
          <cell r="A1305" t="str">
            <v>18.03.02.01</v>
          </cell>
          <cell r="B1305" t="str">
            <v>RED DE DESAGUE TUBERIA PVC DE 2"</v>
          </cell>
          <cell r="C1305" t="str">
            <v>m</v>
          </cell>
          <cell r="D1305">
            <v>2.62</v>
          </cell>
          <cell r="E1305">
            <v>15.56</v>
          </cell>
          <cell r="F1305">
            <v>40.767200000000003</v>
          </cell>
          <cell r="G1305">
            <v>0</v>
          </cell>
          <cell r="H1305">
            <v>0</v>
          </cell>
          <cell r="I1305" t="str">
            <v>0.00%</v>
          </cell>
          <cell r="J1305">
            <v>0</v>
          </cell>
          <cell r="K1305">
            <v>0</v>
          </cell>
          <cell r="L1305" t="str">
            <v>0.00%</v>
          </cell>
          <cell r="M1305">
            <v>0</v>
          </cell>
          <cell r="N1305">
            <v>0</v>
          </cell>
          <cell r="O1305" t="str">
            <v>0.00%</v>
          </cell>
          <cell r="P1305">
            <v>2.62</v>
          </cell>
          <cell r="Q1305">
            <v>40.767200000000003</v>
          </cell>
          <cell r="R1305">
            <v>1</v>
          </cell>
        </row>
        <row r="1306">
          <cell r="A1306" t="str">
            <v>18.03.02.02</v>
          </cell>
          <cell r="B1306" t="str">
            <v>RED DE DESAGUE TUBERIA PVC DE 4"</v>
          </cell>
          <cell r="C1306" t="str">
            <v>m</v>
          </cell>
          <cell r="D1306">
            <v>11.31</v>
          </cell>
          <cell r="E1306">
            <v>20.329999999999998</v>
          </cell>
          <cell r="F1306">
            <v>229.9323</v>
          </cell>
          <cell r="G1306">
            <v>0</v>
          </cell>
          <cell r="H1306">
            <v>0</v>
          </cell>
          <cell r="I1306" t="str">
            <v>0.00%</v>
          </cell>
          <cell r="J1306">
            <v>0</v>
          </cell>
          <cell r="K1306">
            <v>0</v>
          </cell>
          <cell r="L1306" t="str">
            <v>0.00%</v>
          </cell>
          <cell r="M1306">
            <v>0</v>
          </cell>
          <cell r="N1306">
            <v>0</v>
          </cell>
          <cell r="O1306" t="str">
            <v>0.00%</v>
          </cell>
          <cell r="P1306">
            <v>11.31</v>
          </cell>
          <cell r="Q1306">
            <v>229.9323</v>
          </cell>
          <cell r="R1306">
            <v>1</v>
          </cell>
        </row>
        <row r="1307">
          <cell r="A1307" t="str">
            <v>18.03.03</v>
          </cell>
          <cell r="B1307" t="str">
            <v>REGISTRO Y SUMIDEROS</v>
          </cell>
          <cell r="C1307">
            <v>0</v>
          </cell>
          <cell r="D1307">
            <v>0</v>
          </cell>
          <cell r="E1307">
            <v>0</v>
          </cell>
          <cell r="F1307">
            <v>0</v>
          </cell>
          <cell r="G1307">
            <v>0</v>
          </cell>
          <cell r="H1307">
            <v>0</v>
          </cell>
          <cell r="I1307">
            <v>0</v>
          </cell>
          <cell r="J1307">
            <v>0</v>
          </cell>
          <cell r="K1307">
            <v>0</v>
          </cell>
          <cell r="L1307">
            <v>0</v>
          </cell>
          <cell r="M1307">
            <v>0</v>
          </cell>
          <cell r="N1307">
            <v>0</v>
          </cell>
          <cell r="O1307">
            <v>0</v>
          </cell>
          <cell r="P1307">
            <v>0</v>
          </cell>
          <cell r="Q1307">
            <v>0</v>
          </cell>
          <cell r="R1307">
            <v>0</v>
          </cell>
        </row>
        <row r="1308">
          <cell r="A1308" t="str">
            <v>18.03.03.01</v>
          </cell>
          <cell r="B1308" t="str">
            <v>REGISTROS DE BRONCE DE 2"</v>
          </cell>
          <cell r="C1308" t="str">
            <v>pza</v>
          </cell>
          <cell r="D1308">
            <v>2</v>
          </cell>
          <cell r="E1308">
            <v>58.08</v>
          </cell>
          <cell r="F1308">
            <v>116.16</v>
          </cell>
          <cell r="G1308">
            <v>0</v>
          </cell>
          <cell r="H1308">
            <v>0</v>
          </cell>
          <cell r="I1308" t="str">
            <v>0.00%</v>
          </cell>
          <cell r="J1308">
            <v>0</v>
          </cell>
          <cell r="K1308">
            <v>0</v>
          </cell>
          <cell r="L1308" t="str">
            <v>0.00%</v>
          </cell>
          <cell r="M1308">
            <v>0</v>
          </cell>
          <cell r="N1308">
            <v>0</v>
          </cell>
          <cell r="O1308" t="str">
            <v>0.00%</v>
          </cell>
          <cell r="P1308">
            <v>2</v>
          </cell>
          <cell r="Q1308">
            <v>116.16</v>
          </cell>
          <cell r="R1308">
            <v>1</v>
          </cell>
        </row>
        <row r="1309">
          <cell r="A1309" t="str">
            <v>18.03.03.02</v>
          </cell>
          <cell r="B1309" t="str">
            <v>REGISTROS DE BRONCE DE 4"</v>
          </cell>
          <cell r="C1309" t="str">
            <v>pza</v>
          </cell>
          <cell r="D1309">
            <v>2</v>
          </cell>
          <cell r="E1309">
            <v>34.130000000000003</v>
          </cell>
          <cell r="F1309">
            <v>68.260000000000005</v>
          </cell>
          <cell r="G1309">
            <v>0</v>
          </cell>
          <cell r="H1309">
            <v>0</v>
          </cell>
          <cell r="I1309" t="str">
            <v>0.00%</v>
          </cell>
          <cell r="J1309">
            <v>0</v>
          </cell>
          <cell r="K1309">
            <v>0</v>
          </cell>
          <cell r="L1309" t="str">
            <v>0.00%</v>
          </cell>
          <cell r="M1309">
            <v>0</v>
          </cell>
          <cell r="N1309">
            <v>0</v>
          </cell>
          <cell r="O1309" t="str">
            <v>0.00%</v>
          </cell>
          <cell r="P1309">
            <v>2</v>
          </cell>
          <cell r="Q1309">
            <v>68.260000000000005</v>
          </cell>
          <cell r="R1309">
            <v>1</v>
          </cell>
        </row>
        <row r="1310">
          <cell r="A1310" t="str">
            <v>18.03.03.03</v>
          </cell>
          <cell r="B1310" t="str">
            <v>SUMIDEROS DE 2"</v>
          </cell>
          <cell r="C1310" t="str">
            <v>pza</v>
          </cell>
          <cell r="D1310">
            <v>2</v>
          </cell>
          <cell r="E1310">
            <v>68.38</v>
          </cell>
          <cell r="F1310">
            <v>136.76</v>
          </cell>
          <cell r="G1310">
            <v>0</v>
          </cell>
          <cell r="H1310">
            <v>0</v>
          </cell>
          <cell r="I1310" t="str">
            <v>0.00%</v>
          </cell>
          <cell r="J1310">
            <v>0</v>
          </cell>
          <cell r="K1310">
            <v>0</v>
          </cell>
          <cell r="L1310" t="str">
            <v>0.00%</v>
          </cell>
          <cell r="M1310">
            <v>0</v>
          </cell>
          <cell r="N1310">
            <v>0</v>
          </cell>
          <cell r="O1310" t="str">
            <v>0.00%</v>
          </cell>
          <cell r="P1310">
            <v>2</v>
          </cell>
          <cell r="Q1310">
            <v>136.76</v>
          </cell>
          <cell r="R1310">
            <v>1</v>
          </cell>
        </row>
        <row r="1311">
          <cell r="A1311" t="str">
            <v>18.03.04</v>
          </cell>
          <cell r="B1311" t="str">
            <v>CAJAS DE INSPECCION Y RETENCION</v>
          </cell>
          <cell r="C1311">
            <v>0</v>
          </cell>
          <cell r="D1311">
            <v>0</v>
          </cell>
          <cell r="E1311">
            <v>0</v>
          </cell>
          <cell r="F1311">
            <v>0</v>
          </cell>
          <cell r="G1311">
            <v>0</v>
          </cell>
          <cell r="H1311">
            <v>0</v>
          </cell>
          <cell r="I1311">
            <v>0</v>
          </cell>
          <cell r="J1311">
            <v>0</v>
          </cell>
          <cell r="K1311">
            <v>0</v>
          </cell>
          <cell r="L1311">
            <v>0</v>
          </cell>
          <cell r="M1311">
            <v>0</v>
          </cell>
          <cell r="N1311">
            <v>0</v>
          </cell>
          <cell r="O1311">
            <v>0</v>
          </cell>
          <cell r="P1311">
            <v>0</v>
          </cell>
          <cell r="Q1311">
            <v>0</v>
          </cell>
          <cell r="R1311">
            <v>0</v>
          </cell>
        </row>
        <row r="1312">
          <cell r="A1312" t="str">
            <v>18.03.04.01</v>
          </cell>
          <cell r="B1312" t="str">
            <v>CAJA DE REGISTRO DE DESAGUE 12" X 24" - CONSTRUCION</v>
          </cell>
          <cell r="C1312" t="str">
            <v>und</v>
          </cell>
          <cell r="D1312">
            <v>1</v>
          </cell>
          <cell r="E1312">
            <v>140.52000000000001</v>
          </cell>
          <cell r="F1312">
            <v>140.52000000000001</v>
          </cell>
          <cell r="G1312">
            <v>0</v>
          </cell>
          <cell r="H1312">
            <v>0</v>
          </cell>
          <cell r="I1312" t="str">
            <v>0.00%</v>
          </cell>
          <cell r="J1312">
            <v>0</v>
          </cell>
          <cell r="K1312">
            <v>0</v>
          </cell>
          <cell r="L1312" t="str">
            <v>0.00%</v>
          </cell>
          <cell r="M1312">
            <v>0</v>
          </cell>
          <cell r="N1312">
            <v>0</v>
          </cell>
          <cell r="O1312" t="str">
            <v>0.00%</v>
          </cell>
          <cell r="P1312">
            <v>1</v>
          </cell>
          <cell r="Q1312">
            <v>140.52000000000001</v>
          </cell>
          <cell r="R1312">
            <v>1</v>
          </cell>
        </row>
        <row r="1313">
          <cell r="A1313" t="str">
            <v>18.03.05</v>
          </cell>
          <cell r="B1313" t="str">
            <v>PRUEBAS HIDRAULICA</v>
          </cell>
          <cell r="C1313">
            <v>0</v>
          </cell>
          <cell r="D1313">
            <v>0</v>
          </cell>
          <cell r="E1313">
            <v>0</v>
          </cell>
          <cell r="F1313">
            <v>0</v>
          </cell>
          <cell r="G1313">
            <v>0</v>
          </cell>
          <cell r="H1313">
            <v>0</v>
          </cell>
          <cell r="I1313">
            <v>0</v>
          </cell>
          <cell r="J1313">
            <v>0</v>
          </cell>
          <cell r="K1313">
            <v>0</v>
          </cell>
          <cell r="L1313">
            <v>0</v>
          </cell>
          <cell r="M1313">
            <v>0</v>
          </cell>
          <cell r="N1313">
            <v>0</v>
          </cell>
          <cell r="O1313">
            <v>0</v>
          </cell>
          <cell r="P1313">
            <v>0</v>
          </cell>
          <cell r="Q1313">
            <v>0</v>
          </cell>
          <cell r="R1313">
            <v>0</v>
          </cell>
        </row>
        <row r="1314">
          <cell r="A1314" t="str">
            <v>18.03.05.01</v>
          </cell>
          <cell r="B1314" t="str">
            <v>PRUEBA HIDRAULICA TUBERIA DE DESAGUE</v>
          </cell>
          <cell r="C1314" t="str">
            <v>und</v>
          </cell>
          <cell r="D1314">
            <v>1</v>
          </cell>
          <cell r="E1314">
            <v>450</v>
          </cell>
          <cell r="F1314">
            <v>450</v>
          </cell>
          <cell r="G1314">
            <v>0</v>
          </cell>
          <cell r="H1314">
            <v>0</v>
          </cell>
          <cell r="I1314" t="str">
            <v>0.00%</v>
          </cell>
          <cell r="J1314">
            <v>0</v>
          </cell>
          <cell r="K1314">
            <v>0</v>
          </cell>
          <cell r="L1314" t="str">
            <v>0.00%</v>
          </cell>
          <cell r="M1314">
            <v>0</v>
          </cell>
          <cell r="N1314">
            <v>0</v>
          </cell>
          <cell r="O1314" t="str">
            <v>0.00%</v>
          </cell>
          <cell r="P1314">
            <v>1</v>
          </cell>
          <cell r="Q1314">
            <v>450</v>
          </cell>
          <cell r="R1314">
            <v>1</v>
          </cell>
        </row>
        <row r="1315">
          <cell r="A1315" t="str">
            <v>18.04</v>
          </cell>
          <cell r="B1315" t="str">
            <v>SISTEMA DE DRENAJE PLUVIAL</v>
          </cell>
          <cell r="C1315">
            <v>0</v>
          </cell>
          <cell r="D1315">
            <v>0</v>
          </cell>
          <cell r="E1315">
            <v>0</v>
          </cell>
          <cell r="F1315">
            <v>0</v>
          </cell>
          <cell r="G1315">
            <v>0</v>
          </cell>
          <cell r="H1315">
            <v>0</v>
          </cell>
          <cell r="I1315">
            <v>0</v>
          </cell>
          <cell r="J1315">
            <v>0</v>
          </cell>
          <cell r="K1315">
            <v>0</v>
          </cell>
          <cell r="L1315">
            <v>0</v>
          </cell>
          <cell r="M1315">
            <v>0</v>
          </cell>
          <cell r="N1315">
            <v>0</v>
          </cell>
          <cell r="O1315">
            <v>0</v>
          </cell>
          <cell r="P1315">
            <v>0</v>
          </cell>
          <cell r="Q1315">
            <v>0</v>
          </cell>
          <cell r="R1315">
            <v>0</v>
          </cell>
        </row>
        <row r="1316">
          <cell r="A1316" t="str">
            <v>18.04.01</v>
          </cell>
          <cell r="B1316" t="str">
            <v>SISTEMA DE BAJADA MONTANTE (PLUVIAL)</v>
          </cell>
          <cell r="C1316">
            <v>0</v>
          </cell>
          <cell r="D1316">
            <v>0</v>
          </cell>
          <cell r="E1316">
            <v>0</v>
          </cell>
          <cell r="F1316">
            <v>0</v>
          </cell>
          <cell r="G1316">
            <v>0</v>
          </cell>
          <cell r="H1316">
            <v>0</v>
          </cell>
          <cell r="I1316">
            <v>0</v>
          </cell>
          <cell r="J1316">
            <v>0</v>
          </cell>
          <cell r="K1316">
            <v>0</v>
          </cell>
          <cell r="L1316">
            <v>0</v>
          </cell>
          <cell r="M1316">
            <v>0</v>
          </cell>
          <cell r="N1316">
            <v>0</v>
          </cell>
          <cell r="O1316">
            <v>0</v>
          </cell>
          <cell r="P1316">
            <v>0</v>
          </cell>
          <cell r="Q1316">
            <v>0</v>
          </cell>
          <cell r="R1316">
            <v>0</v>
          </cell>
        </row>
        <row r="1317">
          <cell r="A1317" t="str">
            <v>18.04.01.01</v>
          </cell>
          <cell r="B1317" t="str">
            <v>ABRAZADERA DE FIJACION DE TUBO</v>
          </cell>
          <cell r="C1317" t="str">
            <v>und</v>
          </cell>
          <cell r="D1317">
            <v>16</v>
          </cell>
          <cell r="E1317">
            <v>41.02</v>
          </cell>
          <cell r="F1317">
            <v>656.32</v>
          </cell>
          <cell r="G1317">
            <v>0</v>
          </cell>
          <cell r="H1317">
            <v>0</v>
          </cell>
          <cell r="I1317" t="str">
            <v>0.00%</v>
          </cell>
          <cell r="J1317">
            <v>0</v>
          </cell>
          <cell r="K1317">
            <v>0</v>
          </cell>
          <cell r="L1317" t="str">
            <v>0.00%</v>
          </cell>
          <cell r="M1317">
            <v>0</v>
          </cell>
          <cell r="N1317">
            <v>0</v>
          </cell>
          <cell r="O1317" t="str">
            <v>0.00%</v>
          </cell>
          <cell r="P1317">
            <v>16</v>
          </cell>
          <cell r="Q1317">
            <v>656.32</v>
          </cell>
          <cell r="R1317">
            <v>1</v>
          </cell>
        </row>
        <row r="1318">
          <cell r="A1318" t="str">
            <v>18.04.01.02</v>
          </cell>
          <cell r="B1318" t="str">
            <v>INSTALACION DE TUB. PVC SAP C-10 Ø 4"</v>
          </cell>
          <cell r="C1318" t="str">
            <v>m</v>
          </cell>
          <cell r="D1318">
            <v>13.8</v>
          </cell>
          <cell r="E1318">
            <v>9.93</v>
          </cell>
          <cell r="F1318">
            <v>137.03399999999999</v>
          </cell>
          <cell r="G1318">
            <v>0</v>
          </cell>
          <cell r="H1318">
            <v>0</v>
          </cell>
          <cell r="I1318" t="str">
            <v>0.00%</v>
          </cell>
          <cell r="J1318">
            <v>0</v>
          </cell>
          <cell r="K1318">
            <v>0</v>
          </cell>
          <cell r="L1318" t="str">
            <v>0.00%</v>
          </cell>
          <cell r="M1318">
            <v>0</v>
          </cell>
          <cell r="N1318">
            <v>0</v>
          </cell>
          <cell r="O1318" t="str">
            <v>0.00%</v>
          </cell>
          <cell r="P1318">
            <v>13.8</v>
          </cell>
          <cell r="Q1318">
            <v>137.03399999999999</v>
          </cell>
          <cell r="R1318">
            <v>1</v>
          </cell>
        </row>
        <row r="1319">
          <cell r="A1319" t="str">
            <v>18.04.01.03</v>
          </cell>
          <cell r="B1319" t="str">
            <v>CONCRETO FC=175 KG/CM2 EN COLUMNETAS</v>
          </cell>
          <cell r="C1319" t="str">
            <v>m3</v>
          </cell>
          <cell r="D1319">
            <v>0.16</v>
          </cell>
          <cell r="E1319">
            <v>466.52</v>
          </cell>
          <cell r="F1319">
            <v>74.643199999999993</v>
          </cell>
          <cell r="G1319">
            <v>0</v>
          </cell>
          <cell r="H1319">
            <v>0</v>
          </cell>
          <cell r="I1319" t="str">
            <v>0.00%</v>
          </cell>
          <cell r="J1319">
            <v>0</v>
          </cell>
          <cell r="K1319">
            <v>0</v>
          </cell>
          <cell r="L1319" t="str">
            <v>0.00%</v>
          </cell>
          <cell r="M1319">
            <v>0</v>
          </cell>
          <cell r="N1319">
            <v>0</v>
          </cell>
          <cell r="O1319" t="str">
            <v>0.00%</v>
          </cell>
          <cell r="P1319">
            <v>0.16</v>
          </cell>
          <cell r="Q1319">
            <v>74.643199999999993</v>
          </cell>
          <cell r="R1319">
            <v>1</v>
          </cell>
        </row>
        <row r="1320">
          <cell r="A1320" t="str">
            <v>18.04.01.04</v>
          </cell>
          <cell r="B1320" t="str">
            <v>ACERO F'Y=4200 KG/CM2 GRADO 60 EN COLUMNETAS</v>
          </cell>
          <cell r="C1320" t="str">
            <v>kg</v>
          </cell>
          <cell r="D1320">
            <v>28.34</v>
          </cell>
          <cell r="E1320">
            <v>4.4400000000000004</v>
          </cell>
          <cell r="F1320">
            <v>125.82960000000001</v>
          </cell>
          <cell r="G1320">
            <v>0</v>
          </cell>
          <cell r="H1320">
            <v>0</v>
          </cell>
          <cell r="I1320" t="str">
            <v>0.00%</v>
          </cell>
          <cell r="J1320">
            <v>0</v>
          </cell>
          <cell r="K1320">
            <v>0</v>
          </cell>
          <cell r="L1320" t="str">
            <v>0.00%</v>
          </cell>
          <cell r="M1320">
            <v>0</v>
          </cell>
          <cell r="N1320">
            <v>0</v>
          </cell>
          <cell r="O1320" t="str">
            <v>0.00%</v>
          </cell>
          <cell r="P1320">
            <v>28.34</v>
          </cell>
          <cell r="Q1320">
            <v>125.82960000000001</v>
          </cell>
          <cell r="R1320">
            <v>1</v>
          </cell>
        </row>
        <row r="1321">
          <cell r="A1321" t="str">
            <v>18.04.01.05</v>
          </cell>
          <cell r="B1321" t="str">
            <v>ENCOFRADO Y DESENCOFRADO NORMAL  EN COLUMNETAS</v>
          </cell>
          <cell r="C1321" t="str">
            <v>m2</v>
          </cell>
          <cell r="D1321">
            <v>2.4</v>
          </cell>
          <cell r="E1321">
            <v>44.19</v>
          </cell>
          <cell r="F1321">
            <v>106.056</v>
          </cell>
          <cell r="G1321">
            <v>0</v>
          </cell>
          <cell r="H1321">
            <v>0</v>
          </cell>
          <cell r="I1321" t="str">
            <v>0.00%</v>
          </cell>
          <cell r="J1321">
            <v>0</v>
          </cell>
          <cell r="K1321">
            <v>0</v>
          </cell>
          <cell r="L1321" t="str">
            <v>0.00%</v>
          </cell>
          <cell r="M1321">
            <v>0</v>
          </cell>
          <cell r="N1321">
            <v>0</v>
          </cell>
          <cell r="O1321" t="str">
            <v>0.00%</v>
          </cell>
          <cell r="P1321">
            <v>2.4</v>
          </cell>
          <cell r="Q1321">
            <v>106.056</v>
          </cell>
          <cell r="R1321">
            <v>1</v>
          </cell>
        </row>
        <row r="1322">
          <cell r="A1322" t="str">
            <v>18.04.01.06</v>
          </cell>
          <cell r="B1322" t="str">
            <v>TARRAJEO DE SUPERFICIE COLUMNETAS INCL. ARISTAS MEZCLA 1:5 CEMENTO:ARENA</v>
          </cell>
          <cell r="C1322" t="str">
            <v>m2</v>
          </cell>
          <cell r="D1322">
            <v>2.4</v>
          </cell>
          <cell r="E1322">
            <v>31.33</v>
          </cell>
          <cell r="F1322">
            <v>75.191999999999993</v>
          </cell>
          <cell r="G1322">
            <v>0</v>
          </cell>
          <cell r="H1322">
            <v>0</v>
          </cell>
          <cell r="I1322" t="str">
            <v>0.00%</v>
          </cell>
          <cell r="J1322">
            <v>0</v>
          </cell>
          <cell r="K1322">
            <v>0</v>
          </cell>
          <cell r="L1322" t="str">
            <v>0.00%</v>
          </cell>
          <cell r="M1322">
            <v>0</v>
          </cell>
          <cell r="N1322">
            <v>0</v>
          </cell>
          <cell r="O1322" t="str">
            <v>0.00%</v>
          </cell>
          <cell r="P1322">
            <v>2.4</v>
          </cell>
          <cell r="Q1322">
            <v>75.191999999999993</v>
          </cell>
          <cell r="R1322">
            <v>1</v>
          </cell>
        </row>
        <row r="1323">
          <cell r="A1323" t="str">
            <v>18.04.02</v>
          </cell>
          <cell r="B1323" t="str">
            <v>SISTEMA DE EVACUACION PLUVIAL</v>
          </cell>
          <cell r="C1323">
            <v>0</v>
          </cell>
          <cell r="D1323">
            <v>0</v>
          </cell>
          <cell r="E1323">
            <v>0</v>
          </cell>
          <cell r="F1323">
            <v>0</v>
          </cell>
          <cell r="G1323">
            <v>0</v>
          </cell>
          <cell r="H1323">
            <v>0</v>
          </cell>
          <cell r="I1323">
            <v>0</v>
          </cell>
          <cell r="J1323">
            <v>0</v>
          </cell>
          <cell r="K1323">
            <v>0</v>
          </cell>
          <cell r="L1323">
            <v>0</v>
          </cell>
          <cell r="M1323">
            <v>0</v>
          </cell>
          <cell r="N1323">
            <v>0</v>
          </cell>
          <cell r="O1323">
            <v>0</v>
          </cell>
          <cell r="P1323">
            <v>0</v>
          </cell>
          <cell r="Q1323">
            <v>0</v>
          </cell>
          <cell r="R1323">
            <v>0</v>
          </cell>
        </row>
        <row r="1324">
          <cell r="A1324" t="str">
            <v>18.04.02.01</v>
          </cell>
          <cell r="B1324" t="str">
            <v>RED COLECTORA PARA AGUAS PLUVIALES TUB. PVC UF Ø DE 4"</v>
          </cell>
          <cell r="C1324" t="str">
            <v>m</v>
          </cell>
          <cell r="D1324">
            <v>21.36</v>
          </cell>
          <cell r="E1324">
            <v>27.03</v>
          </cell>
          <cell r="F1324">
            <v>577.36080000000004</v>
          </cell>
          <cell r="G1324">
            <v>0</v>
          </cell>
          <cell r="H1324">
            <v>0</v>
          </cell>
          <cell r="I1324" t="str">
            <v>0.00%</v>
          </cell>
          <cell r="J1324">
            <v>0</v>
          </cell>
          <cell r="K1324">
            <v>0</v>
          </cell>
          <cell r="L1324" t="str">
            <v>0.00%</v>
          </cell>
          <cell r="M1324">
            <v>0</v>
          </cell>
          <cell r="N1324">
            <v>0</v>
          </cell>
          <cell r="O1324" t="str">
            <v>0.00%</v>
          </cell>
          <cell r="P1324">
            <v>21.36</v>
          </cell>
          <cell r="Q1324">
            <v>577.36080000000004</v>
          </cell>
          <cell r="R1324">
            <v>1</v>
          </cell>
        </row>
        <row r="1325">
          <cell r="A1325" t="str">
            <v>18.04.02.02</v>
          </cell>
          <cell r="B1325" t="str">
            <v>CAJA DE REGISTRO DE DESAGUE 12" X 24" - CONSTRUCION</v>
          </cell>
          <cell r="C1325" t="str">
            <v>und</v>
          </cell>
          <cell r="D1325">
            <v>4</v>
          </cell>
          <cell r="E1325">
            <v>140.52000000000001</v>
          </cell>
          <cell r="F1325">
            <v>562.08000000000004</v>
          </cell>
          <cell r="G1325">
            <v>0</v>
          </cell>
          <cell r="H1325">
            <v>0</v>
          </cell>
          <cell r="I1325" t="str">
            <v>0.00%</v>
          </cell>
          <cell r="J1325">
            <v>0</v>
          </cell>
          <cell r="K1325">
            <v>0</v>
          </cell>
          <cell r="L1325" t="str">
            <v>0.00%</v>
          </cell>
          <cell r="M1325">
            <v>0</v>
          </cell>
          <cell r="N1325">
            <v>0</v>
          </cell>
          <cell r="O1325" t="str">
            <v>0.00%</v>
          </cell>
          <cell r="P1325">
            <v>4</v>
          </cell>
          <cell r="Q1325">
            <v>562.08000000000004</v>
          </cell>
          <cell r="R1325">
            <v>1</v>
          </cell>
        </row>
        <row r="1326">
          <cell r="A1326" t="str">
            <v>19</v>
          </cell>
          <cell r="B1326" t="str">
            <v>BLOQUE - 5</v>
          </cell>
          <cell r="C1326">
            <v>0</v>
          </cell>
          <cell r="D1326">
            <v>0</v>
          </cell>
          <cell r="E1326">
            <v>0</v>
          </cell>
          <cell r="F1326">
            <v>0</v>
          </cell>
          <cell r="G1326">
            <v>0</v>
          </cell>
          <cell r="H1326">
            <v>0</v>
          </cell>
          <cell r="I1326">
            <v>0</v>
          </cell>
          <cell r="J1326">
            <v>0</v>
          </cell>
          <cell r="K1326">
            <v>0</v>
          </cell>
          <cell r="L1326">
            <v>0</v>
          </cell>
          <cell r="M1326">
            <v>0</v>
          </cell>
          <cell r="N1326">
            <v>0</v>
          </cell>
          <cell r="O1326">
            <v>0</v>
          </cell>
          <cell r="P1326">
            <v>0</v>
          </cell>
          <cell r="Q1326">
            <v>0</v>
          </cell>
          <cell r="R1326">
            <v>0</v>
          </cell>
        </row>
        <row r="1327">
          <cell r="A1327" t="str">
            <v>19.01</v>
          </cell>
          <cell r="B1327" t="str">
            <v>APARATOS SANITARIOS Y ACCESORIOS</v>
          </cell>
          <cell r="C1327">
            <v>0</v>
          </cell>
          <cell r="D1327">
            <v>0</v>
          </cell>
          <cell r="E1327">
            <v>0</v>
          </cell>
          <cell r="F1327">
            <v>0</v>
          </cell>
          <cell r="G1327">
            <v>0</v>
          </cell>
          <cell r="H1327">
            <v>0</v>
          </cell>
          <cell r="I1327">
            <v>0</v>
          </cell>
          <cell r="J1327">
            <v>0</v>
          </cell>
          <cell r="K1327">
            <v>0</v>
          </cell>
          <cell r="L1327">
            <v>0</v>
          </cell>
          <cell r="M1327">
            <v>0</v>
          </cell>
          <cell r="N1327">
            <v>0</v>
          </cell>
          <cell r="O1327">
            <v>0</v>
          </cell>
          <cell r="P1327">
            <v>0</v>
          </cell>
          <cell r="Q1327">
            <v>0</v>
          </cell>
          <cell r="R1327">
            <v>0</v>
          </cell>
        </row>
        <row r="1328">
          <cell r="A1328" t="str">
            <v>19.01.01</v>
          </cell>
          <cell r="B1328" t="str">
            <v>SUMINISTRO DE APARATO SANITARIOS</v>
          </cell>
          <cell r="C1328">
            <v>0</v>
          </cell>
          <cell r="D1328">
            <v>0</v>
          </cell>
          <cell r="E1328">
            <v>0</v>
          </cell>
          <cell r="F1328">
            <v>0</v>
          </cell>
          <cell r="G1328">
            <v>0</v>
          </cell>
          <cell r="H1328">
            <v>0</v>
          </cell>
          <cell r="I1328">
            <v>0</v>
          </cell>
          <cell r="J1328">
            <v>0</v>
          </cell>
          <cell r="K1328">
            <v>0</v>
          </cell>
          <cell r="L1328">
            <v>0</v>
          </cell>
          <cell r="M1328">
            <v>0</v>
          </cell>
          <cell r="N1328">
            <v>0</v>
          </cell>
          <cell r="O1328">
            <v>0</v>
          </cell>
          <cell r="P1328">
            <v>0</v>
          </cell>
          <cell r="Q1328">
            <v>0</v>
          </cell>
          <cell r="R1328">
            <v>0</v>
          </cell>
        </row>
        <row r="1329">
          <cell r="A1329" t="str">
            <v>19.01.01.01</v>
          </cell>
          <cell r="B1329" t="str">
            <v>INODORO BABY FRESH COLOR BLANCO</v>
          </cell>
          <cell r="C1329" t="str">
            <v>und</v>
          </cell>
          <cell r="D1329">
            <v>4</v>
          </cell>
          <cell r="E1329">
            <v>280</v>
          </cell>
          <cell r="F1329">
            <v>1120</v>
          </cell>
          <cell r="G1329">
            <v>0</v>
          </cell>
          <cell r="H1329">
            <v>0</v>
          </cell>
          <cell r="I1329" t="str">
            <v>0.00%</v>
          </cell>
          <cell r="J1329">
            <v>0</v>
          </cell>
          <cell r="K1329">
            <v>0</v>
          </cell>
          <cell r="L1329" t="str">
            <v>0.00%</v>
          </cell>
          <cell r="M1329">
            <v>0</v>
          </cell>
          <cell r="N1329">
            <v>0</v>
          </cell>
          <cell r="O1329" t="str">
            <v>0.00%</v>
          </cell>
          <cell r="P1329">
            <v>4</v>
          </cell>
          <cell r="Q1329">
            <v>1120</v>
          </cell>
          <cell r="R1329">
            <v>1</v>
          </cell>
        </row>
        <row r="1330">
          <cell r="A1330" t="str">
            <v>19.01.01.02</v>
          </cell>
          <cell r="B1330" t="str">
            <v xml:space="preserve">URINARIO BAMBI DE LOSA BLANCO </v>
          </cell>
          <cell r="C1330" t="str">
            <v>und</v>
          </cell>
          <cell r="D1330">
            <v>2</v>
          </cell>
          <cell r="E1330">
            <v>150</v>
          </cell>
          <cell r="F1330">
            <v>300</v>
          </cell>
          <cell r="G1330">
            <v>0</v>
          </cell>
          <cell r="H1330">
            <v>0</v>
          </cell>
          <cell r="I1330" t="str">
            <v>0.00%</v>
          </cell>
          <cell r="J1330">
            <v>0</v>
          </cell>
          <cell r="K1330">
            <v>0</v>
          </cell>
          <cell r="L1330" t="str">
            <v>0.00%</v>
          </cell>
          <cell r="M1330">
            <v>0</v>
          </cell>
          <cell r="N1330">
            <v>0</v>
          </cell>
          <cell r="O1330" t="str">
            <v>0.00%</v>
          </cell>
          <cell r="P1330">
            <v>2</v>
          </cell>
          <cell r="Q1330">
            <v>300</v>
          </cell>
          <cell r="R1330">
            <v>1</v>
          </cell>
        </row>
        <row r="1331">
          <cell r="A1331" t="str">
            <v>19.01.01.03</v>
          </cell>
          <cell r="B1331" t="str">
            <v>LAVATORIO OVALIN TIPO SONNET BLANCO</v>
          </cell>
          <cell r="C1331" t="str">
            <v>und</v>
          </cell>
          <cell r="D1331">
            <v>4</v>
          </cell>
          <cell r="E1331">
            <v>190</v>
          </cell>
          <cell r="F1331">
            <v>760</v>
          </cell>
          <cell r="G1331">
            <v>0</v>
          </cell>
          <cell r="H1331">
            <v>0</v>
          </cell>
          <cell r="I1331" t="str">
            <v>0.00%</v>
          </cell>
          <cell r="J1331">
            <v>0</v>
          </cell>
          <cell r="K1331">
            <v>0</v>
          </cell>
          <cell r="L1331" t="str">
            <v>0.00%</v>
          </cell>
          <cell r="M1331">
            <v>0</v>
          </cell>
          <cell r="N1331">
            <v>0</v>
          </cell>
          <cell r="O1331" t="str">
            <v>0.00%</v>
          </cell>
          <cell r="P1331">
            <v>4</v>
          </cell>
          <cell r="Q1331">
            <v>760</v>
          </cell>
          <cell r="R1331">
            <v>1</v>
          </cell>
        </row>
        <row r="1332">
          <cell r="A1332" t="str">
            <v>19.01.02</v>
          </cell>
          <cell r="B1332" t="str">
            <v>SUMINISTRO DE ACCESORIOS</v>
          </cell>
          <cell r="C1332">
            <v>0</v>
          </cell>
          <cell r="D1332">
            <v>0</v>
          </cell>
          <cell r="E1332">
            <v>0</v>
          </cell>
          <cell r="F1332">
            <v>0</v>
          </cell>
          <cell r="G1332">
            <v>0</v>
          </cell>
          <cell r="H1332">
            <v>0</v>
          </cell>
          <cell r="I1332">
            <v>0</v>
          </cell>
          <cell r="J1332">
            <v>0</v>
          </cell>
          <cell r="K1332">
            <v>0</v>
          </cell>
          <cell r="L1332">
            <v>0</v>
          </cell>
          <cell r="M1332">
            <v>0</v>
          </cell>
          <cell r="N1332">
            <v>0</v>
          </cell>
          <cell r="O1332">
            <v>0</v>
          </cell>
          <cell r="P1332">
            <v>0</v>
          </cell>
          <cell r="Q1332">
            <v>0</v>
          </cell>
          <cell r="R1332">
            <v>0</v>
          </cell>
        </row>
        <row r="1333">
          <cell r="A1333" t="str">
            <v>19.01.02.01</v>
          </cell>
          <cell r="B1333" t="str">
            <v>PAPELERA DE LOSA COLOR BLANCO</v>
          </cell>
          <cell r="C1333" t="str">
            <v>und</v>
          </cell>
          <cell r="D1333">
            <v>4</v>
          </cell>
          <cell r="E1333">
            <v>35</v>
          </cell>
          <cell r="F1333">
            <v>140</v>
          </cell>
          <cell r="G1333">
            <v>0</v>
          </cell>
          <cell r="H1333">
            <v>0</v>
          </cell>
          <cell r="I1333" t="str">
            <v>0.00%</v>
          </cell>
          <cell r="J1333">
            <v>0</v>
          </cell>
          <cell r="K1333">
            <v>0</v>
          </cell>
          <cell r="L1333" t="str">
            <v>0.00%</v>
          </cell>
          <cell r="M1333">
            <v>0</v>
          </cell>
          <cell r="N1333">
            <v>0</v>
          </cell>
          <cell r="O1333" t="str">
            <v>0.00%</v>
          </cell>
          <cell r="P1333">
            <v>4</v>
          </cell>
          <cell r="Q1333">
            <v>140</v>
          </cell>
          <cell r="R1333">
            <v>1</v>
          </cell>
        </row>
        <row r="1334">
          <cell r="A1334" t="str">
            <v>19.01.02.02</v>
          </cell>
          <cell r="B1334" t="str">
            <v>JABONERA DE LOSA COLOR BLANCO</v>
          </cell>
          <cell r="C1334" t="str">
            <v>und</v>
          </cell>
          <cell r="D1334">
            <v>4</v>
          </cell>
          <cell r="E1334">
            <v>20</v>
          </cell>
          <cell r="F1334">
            <v>80</v>
          </cell>
          <cell r="G1334">
            <v>0</v>
          </cell>
          <cell r="H1334">
            <v>0</v>
          </cell>
          <cell r="I1334" t="str">
            <v>0.00%</v>
          </cell>
          <cell r="J1334">
            <v>0</v>
          </cell>
          <cell r="K1334">
            <v>0</v>
          </cell>
          <cell r="L1334" t="str">
            <v>0.00%</v>
          </cell>
          <cell r="M1334">
            <v>0</v>
          </cell>
          <cell r="N1334">
            <v>0</v>
          </cell>
          <cell r="O1334" t="str">
            <v>0.00%</v>
          </cell>
          <cell r="P1334">
            <v>4</v>
          </cell>
          <cell r="Q1334">
            <v>80</v>
          </cell>
          <cell r="R1334">
            <v>1</v>
          </cell>
        </row>
        <row r="1335">
          <cell r="A1335" t="str">
            <v>19.01.02.03</v>
          </cell>
          <cell r="B1335" t="str">
            <v>ESPEJO DE 4MM DE 1.20 x 0.50M.</v>
          </cell>
          <cell r="C1335" t="str">
            <v>und</v>
          </cell>
          <cell r="D1335">
            <v>2</v>
          </cell>
          <cell r="E1335">
            <v>35</v>
          </cell>
          <cell r="F1335">
            <v>70</v>
          </cell>
          <cell r="G1335">
            <v>0</v>
          </cell>
          <cell r="H1335">
            <v>0</v>
          </cell>
          <cell r="I1335" t="str">
            <v>0.00%</v>
          </cell>
          <cell r="J1335">
            <v>0</v>
          </cell>
          <cell r="K1335">
            <v>0</v>
          </cell>
          <cell r="L1335" t="str">
            <v>0.00%</v>
          </cell>
          <cell r="M1335">
            <v>0</v>
          </cell>
          <cell r="N1335">
            <v>0</v>
          </cell>
          <cell r="O1335" t="str">
            <v>0.00%</v>
          </cell>
          <cell r="P1335">
            <v>2</v>
          </cell>
          <cell r="Q1335">
            <v>70</v>
          </cell>
          <cell r="R1335">
            <v>1</v>
          </cell>
        </row>
        <row r="1336">
          <cell r="A1336" t="str">
            <v>19.01.03</v>
          </cell>
          <cell r="B1336" t="str">
            <v xml:space="preserve">INSTALACION DE APARATOS SANITARIOS  </v>
          </cell>
          <cell r="C1336">
            <v>0</v>
          </cell>
          <cell r="D1336">
            <v>0</v>
          </cell>
          <cell r="E1336">
            <v>0</v>
          </cell>
          <cell r="F1336">
            <v>0</v>
          </cell>
          <cell r="G1336">
            <v>0</v>
          </cell>
          <cell r="H1336">
            <v>0</v>
          </cell>
          <cell r="I1336">
            <v>0</v>
          </cell>
          <cell r="J1336">
            <v>0</v>
          </cell>
          <cell r="K1336">
            <v>0</v>
          </cell>
          <cell r="L1336">
            <v>0</v>
          </cell>
          <cell r="M1336">
            <v>0</v>
          </cell>
          <cell r="N1336">
            <v>0</v>
          </cell>
          <cell r="O1336">
            <v>0</v>
          </cell>
          <cell r="P1336">
            <v>0</v>
          </cell>
          <cell r="Q1336">
            <v>0</v>
          </cell>
          <cell r="R1336">
            <v>0</v>
          </cell>
        </row>
        <row r="1337">
          <cell r="A1337" t="str">
            <v>19.01.03.01</v>
          </cell>
          <cell r="B1337" t="str">
            <v xml:space="preserve">COLOCACION DE APARATOS SANITARIOS </v>
          </cell>
          <cell r="C1337" t="str">
            <v>und</v>
          </cell>
          <cell r="D1337">
            <v>10</v>
          </cell>
          <cell r="E1337">
            <v>52.08</v>
          </cell>
          <cell r="F1337">
            <v>520.79999999999995</v>
          </cell>
          <cell r="G1337">
            <v>0</v>
          </cell>
          <cell r="H1337">
            <v>0</v>
          </cell>
          <cell r="I1337" t="str">
            <v>0.00%</v>
          </cell>
          <cell r="J1337">
            <v>0</v>
          </cell>
          <cell r="K1337">
            <v>0</v>
          </cell>
          <cell r="L1337" t="str">
            <v>0.00%</v>
          </cell>
          <cell r="M1337">
            <v>0</v>
          </cell>
          <cell r="N1337">
            <v>0</v>
          </cell>
          <cell r="O1337" t="str">
            <v>0.00%</v>
          </cell>
          <cell r="P1337">
            <v>10</v>
          </cell>
          <cell r="Q1337">
            <v>520.79999999999995</v>
          </cell>
          <cell r="R1337">
            <v>1</v>
          </cell>
        </row>
        <row r="1338">
          <cell r="A1338" t="str">
            <v>19.01.04</v>
          </cell>
          <cell r="B1338" t="str">
            <v>INSTALACION DE ACCESORIOS</v>
          </cell>
          <cell r="C1338">
            <v>0</v>
          </cell>
          <cell r="D1338">
            <v>0</v>
          </cell>
          <cell r="E1338">
            <v>0</v>
          </cell>
          <cell r="F1338">
            <v>0</v>
          </cell>
          <cell r="G1338">
            <v>0</v>
          </cell>
          <cell r="H1338">
            <v>0</v>
          </cell>
          <cell r="I1338">
            <v>0</v>
          </cell>
          <cell r="J1338">
            <v>0</v>
          </cell>
          <cell r="K1338">
            <v>0</v>
          </cell>
          <cell r="L1338">
            <v>0</v>
          </cell>
          <cell r="M1338">
            <v>0</v>
          </cell>
          <cell r="N1338">
            <v>0</v>
          </cell>
          <cell r="O1338">
            <v>0</v>
          </cell>
          <cell r="P1338">
            <v>0</v>
          </cell>
          <cell r="Q1338">
            <v>0</v>
          </cell>
          <cell r="R1338">
            <v>0</v>
          </cell>
        </row>
        <row r="1339">
          <cell r="A1339" t="str">
            <v>19.01.04.01</v>
          </cell>
          <cell r="B1339" t="str">
            <v>COLOCACION DE ACCESORIOS SANITARIOS</v>
          </cell>
          <cell r="C1339" t="str">
            <v>und</v>
          </cell>
          <cell r="D1339">
            <v>8</v>
          </cell>
          <cell r="E1339">
            <v>26.04</v>
          </cell>
          <cell r="F1339">
            <v>208.32</v>
          </cell>
          <cell r="G1339">
            <v>0</v>
          </cell>
          <cell r="H1339">
            <v>0</v>
          </cell>
          <cell r="I1339" t="str">
            <v>0.00%</v>
          </cell>
          <cell r="J1339">
            <v>0</v>
          </cell>
          <cell r="K1339">
            <v>0</v>
          </cell>
          <cell r="L1339" t="str">
            <v>0.00%</v>
          </cell>
          <cell r="M1339">
            <v>0</v>
          </cell>
          <cell r="N1339">
            <v>0</v>
          </cell>
          <cell r="O1339" t="str">
            <v>0.00%</v>
          </cell>
          <cell r="P1339">
            <v>8</v>
          </cell>
          <cell r="Q1339">
            <v>208.32</v>
          </cell>
          <cell r="R1339">
            <v>1</v>
          </cell>
        </row>
        <row r="1340">
          <cell r="A1340" t="str">
            <v>19.02</v>
          </cell>
          <cell r="B1340" t="str">
            <v>SISTEMA DE AGUA FRIA Y ALIMENTADORES</v>
          </cell>
          <cell r="C1340">
            <v>0</v>
          </cell>
          <cell r="D1340">
            <v>0</v>
          </cell>
          <cell r="E1340">
            <v>0</v>
          </cell>
          <cell r="F1340">
            <v>0</v>
          </cell>
          <cell r="G1340">
            <v>0</v>
          </cell>
          <cell r="H1340">
            <v>0</v>
          </cell>
          <cell r="I1340">
            <v>0</v>
          </cell>
          <cell r="J1340">
            <v>0</v>
          </cell>
          <cell r="K1340">
            <v>0</v>
          </cell>
          <cell r="L1340">
            <v>0</v>
          </cell>
          <cell r="M1340">
            <v>0</v>
          </cell>
          <cell r="N1340">
            <v>0</v>
          </cell>
          <cell r="O1340">
            <v>0</v>
          </cell>
          <cell r="P1340">
            <v>0</v>
          </cell>
          <cell r="Q1340">
            <v>0</v>
          </cell>
          <cell r="R1340">
            <v>0</v>
          </cell>
        </row>
        <row r="1341">
          <cell r="A1341" t="str">
            <v>19.02.01</v>
          </cell>
          <cell r="B1341" t="str">
            <v>SALIDA DE AGUA FRIA</v>
          </cell>
          <cell r="C1341">
            <v>0</v>
          </cell>
          <cell r="D1341">
            <v>0</v>
          </cell>
          <cell r="E1341">
            <v>0</v>
          </cell>
          <cell r="F1341">
            <v>0</v>
          </cell>
          <cell r="G1341">
            <v>0</v>
          </cell>
          <cell r="H1341">
            <v>0</v>
          </cell>
          <cell r="I1341">
            <v>0</v>
          </cell>
          <cell r="J1341">
            <v>0</v>
          </cell>
          <cell r="K1341">
            <v>0</v>
          </cell>
          <cell r="L1341">
            <v>0</v>
          </cell>
          <cell r="M1341">
            <v>0</v>
          </cell>
          <cell r="N1341">
            <v>0</v>
          </cell>
          <cell r="O1341">
            <v>0</v>
          </cell>
          <cell r="P1341">
            <v>0</v>
          </cell>
          <cell r="Q1341">
            <v>0</v>
          </cell>
          <cell r="R1341">
            <v>0</v>
          </cell>
        </row>
        <row r="1342">
          <cell r="A1342" t="str">
            <v>19.02.01.01</v>
          </cell>
          <cell r="B1342" t="str">
            <v>SALIDA DE AGUA FRIA CON TUBERIA DE PVC-SAP 1/2"</v>
          </cell>
          <cell r="C1342" t="str">
            <v>pto</v>
          </cell>
          <cell r="D1342">
            <v>10</v>
          </cell>
          <cell r="E1342">
            <v>41.53</v>
          </cell>
          <cell r="F1342">
            <v>415.3</v>
          </cell>
          <cell r="G1342">
            <v>0</v>
          </cell>
          <cell r="H1342">
            <v>0</v>
          </cell>
          <cell r="I1342" t="str">
            <v>0.00%</v>
          </cell>
          <cell r="J1342">
            <v>0</v>
          </cell>
          <cell r="K1342">
            <v>0</v>
          </cell>
          <cell r="L1342" t="str">
            <v>0.00%</v>
          </cell>
          <cell r="M1342">
            <v>0</v>
          </cell>
          <cell r="N1342">
            <v>0</v>
          </cell>
          <cell r="O1342" t="str">
            <v>0.00%</v>
          </cell>
          <cell r="P1342">
            <v>10</v>
          </cell>
          <cell r="Q1342">
            <v>415.3</v>
          </cell>
          <cell r="R1342">
            <v>1</v>
          </cell>
        </row>
        <row r="1343">
          <cell r="A1343" t="str">
            <v>19.02.02</v>
          </cell>
          <cell r="B1343" t="str">
            <v>REDES DE DISTRIBUCION DE AGUA FRIA</v>
          </cell>
          <cell r="C1343">
            <v>0</v>
          </cell>
          <cell r="D1343">
            <v>0</v>
          </cell>
          <cell r="E1343">
            <v>0</v>
          </cell>
          <cell r="F1343">
            <v>0</v>
          </cell>
          <cell r="G1343">
            <v>0</v>
          </cell>
          <cell r="H1343">
            <v>0</v>
          </cell>
          <cell r="I1343">
            <v>0</v>
          </cell>
          <cell r="J1343">
            <v>0</v>
          </cell>
          <cell r="K1343">
            <v>0</v>
          </cell>
          <cell r="L1343">
            <v>0</v>
          </cell>
          <cell r="M1343">
            <v>0</v>
          </cell>
          <cell r="N1343">
            <v>0</v>
          </cell>
          <cell r="O1343">
            <v>0</v>
          </cell>
          <cell r="P1343">
            <v>0</v>
          </cell>
          <cell r="Q1343">
            <v>0</v>
          </cell>
          <cell r="R1343">
            <v>0</v>
          </cell>
        </row>
        <row r="1344">
          <cell r="A1344" t="str">
            <v>19.02.02.01</v>
          </cell>
          <cell r="B1344" t="str">
            <v>RED DE DISTRIBUCION TUBERIA PVC SAP C-10 Ø DE 1/2"</v>
          </cell>
          <cell r="C1344" t="str">
            <v>m</v>
          </cell>
          <cell r="D1344">
            <v>7.75</v>
          </cell>
          <cell r="E1344">
            <v>20.36</v>
          </cell>
          <cell r="F1344">
            <v>157.79</v>
          </cell>
          <cell r="G1344">
            <v>0</v>
          </cell>
          <cell r="H1344">
            <v>0</v>
          </cell>
          <cell r="I1344" t="str">
            <v>0.00%</v>
          </cell>
          <cell r="J1344">
            <v>0</v>
          </cell>
          <cell r="K1344">
            <v>0</v>
          </cell>
          <cell r="L1344" t="str">
            <v>0.00%</v>
          </cell>
          <cell r="M1344">
            <v>0</v>
          </cell>
          <cell r="N1344">
            <v>0</v>
          </cell>
          <cell r="O1344" t="str">
            <v>0.00%</v>
          </cell>
          <cell r="P1344">
            <v>7.75</v>
          </cell>
          <cell r="Q1344">
            <v>157.79</v>
          </cell>
          <cell r="R1344">
            <v>1</v>
          </cell>
        </row>
        <row r="1345">
          <cell r="A1345" t="str">
            <v>19.02.02.02</v>
          </cell>
          <cell r="B1345" t="str">
            <v>RED DE DISTRIBUCION TUBERIA PVC SAP C-10 Ø DE 3/4"</v>
          </cell>
          <cell r="C1345" t="str">
            <v>m</v>
          </cell>
          <cell r="D1345">
            <v>7.02</v>
          </cell>
          <cell r="E1345">
            <v>31.76</v>
          </cell>
          <cell r="F1345">
            <v>222.95519999999999</v>
          </cell>
          <cell r="G1345">
            <v>0</v>
          </cell>
          <cell r="H1345">
            <v>0</v>
          </cell>
          <cell r="I1345" t="str">
            <v>0.00%</v>
          </cell>
          <cell r="J1345">
            <v>0</v>
          </cell>
          <cell r="K1345">
            <v>0</v>
          </cell>
          <cell r="L1345" t="str">
            <v>0.00%</v>
          </cell>
          <cell r="M1345">
            <v>0</v>
          </cell>
          <cell r="N1345">
            <v>0</v>
          </cell>
          <cell r="O1345" t="str">
            <v>0.00%</v>
          </cell>
          <cell r="P1345">
            <v>7.02</v>
          </cell>
          <cell r="Q1345">
            <v>222.95519999999999</v>
          </cell>
          <cell r="R1345">
            <v>1</v>
          </cell>
        </row>
        <row r="1346">
          <cell r="A1346" t="str">
            <v>19.02.03</v>
          </cell>
          <cell r="B1346" t="str">
            <v>VALVULA Y ACCESORIOS DE AGUA FRIA</v>
          </cell>
          <cell r="C1346">
            <v>0</v>
          </cell>
          <cell r="D1346">
            <v>0</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row>
        <row r="1347">
          <cell r="A1347" t="str">
            <v>19.02.03.01</v>
          </cell>
          <cell r="B1347" t="str">
            <v>VALVULA COMPUERTA DE BRONCE  Ø 1/2"</v>
          </cell>
          <cell r="C1347" t="str">
            <v>und</v>
          </cell>
          <cell r="D1347">
            <v>2</v>
          </cell>
          <cell r="E1347">
            <v>147.4</v>
          </cell>
          <cell r="F1347">
            <v>294.8</v>
          </cell>
          <cell r="G1347">
            <v>0</v>
          </cell>
          <cell r="H1347">
            <v>0</v>
          </cell>
          <cell r="I1347" t="str">
            <v>0.00%</v>
          </cell>
          <cell r="J1347">
            <v>0</v>
          </cell>
          <cell r="K1347">
            <v>0</v>
          </cell>
          <cell r="L1347" t="str">
            <v>0.00%</v>
          </cell>
          <cell r="M1347">
            <v>0</v>
          </cell>
          <cell r="N1347">
            <v>0</v>
          </cell>
          <cell r="O1347" t="str">
            <v>0.00%</v>
          </cell>
          <cell r="P1347">
            <v>2</v>
          </cell>
          <cell r="Q1347">
            <v>294.8</v>
          </cell>
          <cell r="R1347">
            <v>1</v>
          </cell>
        </row>
        <row r="1348">
          <cell r="A1348" t="str">
            <v>19.02.03.02</v>
          </cell>
          <cell r="B1348" t="str">
            <v>VALVULA COMPUERTA DE BRONCE  Ø 3/4"</v>
          </cell>
          <cell r="C1348" t="str">
            <v>und</v>
          </cell>
          <cell r="D1348">
            <v>2</v>
          </cell>
          <cell r="E1348">
            <v>188.9</v>
          </cell>
          <cell r="F1348">
            <v>377.8</v>
          </cell>
          <cell r="G1348">
            <v>0</v>
          </cell>
          <cell r="H1348">
            <v>0</v>
          </cell>
          <cell r="I1348" t="str">
            <v>0.00%</v>
          </cell>
          <cell r="J1348">
            <v>0</v>
          </cell>
          <cell r="K1348">
            <v>0</v>
          </cell>
          <cell r="L1348" t="str">
            <v>0.00%</v>
          </cell>
          <cell r="M1348">
            <v>0</v>
          </cell>
          <cell r="N1348">
            <v>0</v>
          </cell>
          <cell r="O1348" t="str">
            <v>0.00%</v>
          </cell>
          <cell r="P1348">
            <v>2</v>
          </cell>
          <cell r="Q1348">
            <v>377.8</v>
          </cell>
          <cell r="R1348">
            <v>1</v>
          </cell>
        </row>
        <row r="1349">
          <cell r="A1349" t="str">
            <v>19.02.04</v>
          </cell>
          <cell r="B1349" t="str">
            <v>PRUEBAS HIDRAULICA</v>
          </cell>
          <cell r="C1349">
            <v>0</v>
          </cell>
          <cell r="D1349">
            <v>0</v>
          </cell>
          <cell r="E1349">
            <v>0</v>
          </cell>
          <cell r="F1349">
            <v>0</v>
          </cell>
          <cell r="G1349">
            <v>0</v>
          </cell>
          <cell r="H1349">
            <v>0</v>
          </cell>
          <cell r="I1349">
            <v>0</v>
          </cell>
          <cell r="J1349">
            <v>0</v>
          </cell>
          <cell r="K1349">
            <v>0</v>
          </cell>
          <cell r="L1349">
            <v>0</v>
          </cell>
          <cell r="M1349">
            <v>0</v>
          </cell>
          <cell r="N1349">
            <v>0</v>
          </cell>
          <cell r="O1349">
            <v>0</v>
          </cell>
          <cell r="P1349">
            <v>0</v>
          </cell>
          <cell r="Q1349">
            <v>0</v>
          </cell>
          <cell r="R1349">
            <v>0</v>
          </cell>
        </row>
        <row r="1350">
          <cell r="A1350" t="str">
            <v>19.02.04.01</v>
          </cell>
          <cell r="B1350" t="str">
            <v>PRUEBA HIDRAULICA TUBERIA DE AGUA FRIA</v>
          </cell>
          <cell r="C1350" t="str">
            <v>GLB</v>
          </cell>
          <cell r="D1350">
            <v>1</v>
          </cell>
          <cell r="E1350">
            <v>450</v>
          </cell>
          <cell r="F1350">
            <v>450</v>
          </cell>
          <cell r="G1350">
            <v>0</v>
          </cell>
          <cell r="H1350">
            <v>0</v>
          </cell>
          <cell r="I1350" t="str">
            <v>0.00%</v>
          </cell>
          <cell r="J1350">
            <v>0</v>
          </cell>
          <cell r="K1350">
            <v>0</v>
          </cell>
          <cell r="L1350" t="str">
            <v>0.00%</v>
          </cell>
          <cell r="M1350">
            <v>0</v>
          </cell>
          <cell r="N1350">
            <v>0</v>
          </cell>
          <cell r="O1350" t="str">
            <v>0.00%</v>
          </cell>
          <cell r="P1350">
            <v>1</v>
          </cell>
          <cell r="Q1350">
            <v>450</v>
          </cell>
          <cell r="R1350">
            <v>1</v>
          </cell>
        </row>
        <row r="1351">
          <cell r="A1351" t="str">
            <v>19.03</v>
          </cell>
          <cell r="B1351" t="str">
            <v xml:space="preserve">SISTEMA DE DESAGUE Y VENTILACION </v>
          </cell>
          <cell r="C1351">
            <v>0</v>
          </cell>
          <cell r="D1351">
            <v>0</v>
          </cell>
          <cell r="E1351">
            <v>0</v>
          </cell>
          <cell r="F1351">
            <v>0</v>
          </cell>
          <cell r="G1351">
            <v>0</v>
          </cell>
          <cell r="H1351">
            <v>0</v>
          </cell>
          <cell r="I1351">
            <v>0</v>
          </cell>
          <cell r="J1351">
            <v>0</v>
          </cell>
          <cell r="K1351">
            <v>0</v>
          </cell>
          <cell r="L1351">
            <v>0</v>
          </cell>
          <cell r="M1351">
            <v>0</v>
          </cell>
          <cell r="N1351">
            <v>0</v>
          </cell>
          <cell r="O1351">
            <v>0</v>
          </cell>
          <cell r="P1351">
            <v>0</v>
          </cell>
          <cell r="Q1351">
            <v>0</v>
          </cell>
          <cell r="R1351">
            <v>0</v>
          </cell>
        </row>
        <row r="1352">
          <cell r="A1352" t="str">
            <v>19.03.01</v>
          </cell>
          <cell r="B1352" t="str">
            <v>SALIDA DE DESAGUE Y VENTILACION</v>
          </cell>
          <cell r="C1352">
            <v>0</v>
          </cell>
          <cell r="D1352">
            <v>0</v>
          </cell>
          <cell r="E1352">
            <v>0</v>
          </cell>
          <cell r="F1352">
            <v>0</v>
          </cell>
          <cell r="G1352">
            <v>0</v>
          </cell>
          <cell r="H1352">
            <v>0</v>
          </cell>
          <cell r="I1352">
            <v>0</v>
          </cell>
          <cell r="J1352">
            <v>0</v>
          </cell>
          <cell r="K1352">
            <v>0</v>
          </cell>
          <cell r="L1352">
            <v>0</v>
          </cell>
          <cell r="M1352">
            <v>0</v>
          </cell>
          <cell r="N1352">
            <v>0</v>
          </cell>
          <cell r="O1352">
            <v>0</v>
          </cell>
          <cell r="P1352">
            <v>0</v>
          </cell>
          <cell r="Q1352">
            <v>0</v>
          </cell>
          <cell r="R1352">
            <v>0</v>
          </cell>
        </row>
        <row r="1353">
          <cell r="A1353" t="str">
            <v>19.03.01.01</v>
          </cell>
          <cell r="B1353" t="str">
            <v>SALIDAS DE PVC SAL PARA DESAGUE DE 2"</v>
          </cell>
          <cell r="C1353" t="str">
            <v>pto</v>
          </cell>
          <cell r="D1353">
            <v>8</v>
          </cell>
          <cell r="E1353">
            <v>92.04</v>
          </cell>
          <cell r="F1353">
            <v>736.32</v>
          </cell>
          <cell r="G1353">
            <v>0</v>
          </cell>
          <cell r="H1353">
            <v>0</v>
          </cell>
          <cell r="I1353" t="str">
            <v>0.00%</v>
          </cell>
          <cell r="J1353">
            <v>0</v>
          </cell>
          <cell r="K1353">
            <v>0</v>
          </cell>
          <cell r="L1353" t="str">
            <v>0.00%</v>
          </cell>
          <cell r="M1353">
            <v>0</v>
          </cell>
          <cell r="N1353">
            <v>0</v>
          </cell>
          <cell r="O1353" t="str">
            <v>0.00%</v>
          </cell>
          <cell r="P1353">
            <v>8</v>
          </cell>
          <cell r="Q1353">
            <v>736.32</v>
          </cell>
          <cell r="R1353">
            <v>1</v>
          </cell>
        </row>
        <row r="1354">
          <cell r="A1354" t="str">
            <v>19.03.01.02</v>
          </cell>
          <cell r="B1354" t="str">
            <v>SALIDAS DE PVC SAL PARA DESAGUE DE 4"</v>
          </cell>
          <cell r="C1354" t="str">
            <v>pto</v>
          </cell>
          <cell r="D1354">
            <v>8</v>
          </cell>
          <cell r="E1354">
            <v>56.34</v>
          </cell>
          <cell r="F1354">
            <v>450.72</v>
          </cell>
          <cell r="G1354">
            <v>0</v>
          </cell>
          <cell r="H1354">
            <v>0</v>
          </cell>
          <cell r="I1354" t="str">
            <v>0.00%</v>
          </cell>
          <cell r="J1354">
            <v>0</v>
          </cell>
          <cell r="K1354">
            <v>0</v>
          </cell>
          <cell r="L1354" t="str">
            <v>0.00%</v>
          </cell>
          <cell r="M1354">
            <v>0</v>
          </cell>
          <cell r="N1354">
            <v>0</v>
          </cell>
          <cell r="O1354" t="str">
            <v>0.00%</v>
          </cell>
          <cell r="P1354">
            <v>8</v>
          </cell>
          <cell r="Q1354">
            <v>450.72</v>
          </cell>
          <cell r="R1354">
            <v>1</v>
          </cell>
        </row>
        <row r="1355">
          <cell r="A1355" t="str">
            <v>19.03.01.03</v>
          </cell>
          <cell r="B1355" t="str">
            <v>SALIDAS DE PVC SAL PARA VENTILACION DE 2"</v>
          </cell>
          <cell r="C1355" t="str">
            <v>pto</v>
          </cell>
          <cell r="D1355">
            <v>1</v>
          </cell>
          <cell r="E1355">
            <v>85.76</v>
          </cell>
          <cell r="F1355">
            <v>85.76</v>
          </cell>
          <cell r="G1355">
            <v>0</v>
          </cell>
          <cell r="H1355">
            <v>0</v>
          </cell>
          <cell r="I1355" t="str">
            <v>0.00%</v>
          </cell>
          <cell r="J1355">
            <v>0</v>
          </cell>
          <cell r="K1355">
            <v>0</v>
          </cell>
          <cell r="L1355" t="str">
            <v>0.00%</v>
          </cell>
          <cell r="M1355">
            <v>0</v>
          </cell>
          <cell r="N1355">
            <v>0</v>
          </cell>
          <cell r="O1355" t="str">
            <v>0.00%</v>
          </cell>
          <cell r="P1355">
            <v>1</v>
          </cell>
          <cell r="Q1355">
            <v>85.76</v>
          </cell>
          <cell r="R1355">
            <v>1</v>
          </cell>
        </row>
        <row r="1356">
          <cell r="A1356" t="str">
            <v>19.03.01.04</v>
          </cell>
          <cell r="B1356" t="str">
            <v>SOMBRERO VENTILACION PVC DE 2"</v>
          </cell>
          <cell r="C1356" t="str">
            <v>pza</v>
          </cell>
          <cell r="D1356">
            <v>1</v>
          </cell>
          <cell r="E1356">
            <v>11.19</v>
          </cell>
          <cell r="F1356">
            <v>11.19</v>
          </cell>
          <cell r="G1356">
            <v>0</v>
          </cell>
          <cell r="H1356">
            <v>0</v>
          </cell>
          <cell r="I1356" t="str">
            <v>0.00%</v>
          </cell>
          <cell r="J1356">
            <v>0</v>
          </cell>
          <cell r="K1356">
            <v>0</v>
          </cell>
          <cell r="L1356" t="str">
            <v>0.00%</v>
          </cell>
          <cell r="M1356">
            <v>0</v>
          </cell>
          <cell r="N1356">
            <v>0</v>
          </cell>
          <cell r="O1356" t="str">
            <v>0.00%</v>
          </cell>
          <cell r="P1356">
            <v>1</v>
          </cell>
          <cell r="Q1356">
            <v>11.19</v>
          </cell>
          <cell r="R1356">
            <v>1</v>
          </cell>
        </row>
        <row r="1357">
          <cell r="A1357" t="str">
            <v>19.03.02</v>
          </cell>
          <cell r="B1357" t="str">
            <v>REDES DE DERIVACION</v>
          </cell>
          <cell r="C1357">
            <v>0</v>
          </cell>
          <cell r="D1357">
            <v>0</v>
          </cell>
          <cell r="E1357">
            <v>0</v>
          </cell>
          <cell r="F1357">
            <v>0</v>
          </cell>
          <cell r="G1357">
            <v>0</v>
          </cell>
          <cell r="H1357">
            <v>0</v>
          </cell>
          <cell r="I1357">
            <v>0</v>
          </cell>
          <cell r="J1357">
            <v>0</v>
          </cell>
          <cell r="K1357">
            <v>0</v>
          </cell>
          <cell r="L1357">
            <v>0</v>
          </cell>
          <cell r="M1357">
            <v>0</v>
          </cell>
          <cell r="N1357">
            <v>0</v>
          </cell>
          <cell r="O1357">
            <v>0</v>
          </cell>
          <cell r="P1357">
            <v>0</v>
          </cell>
          <cell r="Q1357">
            <v>0</v>
          </cell>
          <cell r="R1357">
            <v>0</v>
          </cell>
        </row>
        <row r="1358">
          <cell r="A1358" t="str">
            <v>19.03.02.01</v>
          </cell>
          <cell r="B1358" t="str">
            <v>RED DE DESAGUE TUBERIA PVC DE 2"</v>
          </cell>
          <cell r="C1358" t="str">
            <v>m</v>
          </cell>
          <cell r="D1358">
            <v>7.05</v>
          </cell>
          <cell r="E1358">
            <v>15.56</v>
          </cell>
          <cell r="F1358">
            <v>109.69800000000001</v>
          </cell>
          <cell r="G1358">
            <v>0</v>
          </cell>
          <cell r="H1358">
            <v>0</v>
          </cell>
          <cell r="I1358" t="str">
            <v>0.00%</v>
          </cell>
          <cell r="J1358">
            <v>0</v>
          </cell>
          <cell r="K1358">
            <v>0</v>
          </cell>
          <cell r="L1358" t="str">
            <v>0.00%</v>
          </cell>
          <cell r="M1358">
            <v>0</v>
          </cell>
          <cell r="N1358">
            <v>0</v>
          </cell>
          <cell r="O1358" t="str">
            <v>0.00%</v>
          </cell>
          <cell r="P1358">
            <v>7.05</v>
          </cell>
          <cell r="Q1358">
            <v>109.69800000000001</v>
          </cell>
          <cell r="R1358">
            <v>1</v>
          </cell>
        </row>
        <row r="1359">
          <cell r="A1359" t="str">
            <v>19.03.02.02</v>
          </cell>
          <cell r="B1359" t="str">
            <v>RED DE DESAGUE TUBERIA PVC DE 4"</v>
          </cell>
          <cell r="C1359" t="str">
            <v>m</v>
          </cell>
          <cell r="D1359">
            <v>17.600000000000001</v>
          </cell>
          <cell r="E1359">
            <v>20.329999999999998</v>
          </cell>
          <cell r="F1359">
            <v>357.80799999999999</v>
          </cell>
          <cell r="G1359">
            <v>0</v>
          </cell>
          <cell r="H1359">
            <v>0</v>
          </cell>
          <cell r="I1359" t="str">
            <v>0.00%</v>
          </cell>
          <cell r="J1359">
            <v>0</v>
          </cell>
          <cell r="K1359">
            <v>0</v>
          </cell>
          <cell r="L1359" t="str">
            <v>0.00%</v>
          </cell>
          <cell r="M1359">
            <v>0</v>
          </cell>
          <cell r="N1359">
            <v>0</v>
          </cell>
          <cell r="O1359" t="str">
            <v>0.00%</v>
          </cell>
          <cell r="P1359">
            <v>17.600000000000001</v>
          </cell>
          <cell r="Q1359">
            <v>357.80799999999999</v>
          </cell>
          <cell r="R1359">
            <v>1</v>
          </cell>
        </row>
        <row r="1360">
          <cell r="A1360" t="str">
            <v>19.03.03</v>
          </cell>
          <cell r="B1360" t="str">
            <v>REGISTRO Y SUMIDEROS</v>
          </cell>
          <cell r="C1360">
            <v>0</v>
          </cell>
          <cell r="D1360">
            <v>0</v>
          </cell>
          <cell r="E1360">
            <v>0</v>
          </cell>
          <cell r="F1360">
            <v>0</v>
          </cell>
          <cell r="G1360">
            <v>0</v>
          </cell>
          <cell r="H1360">
            <v>0</v>
          </cell>
          <cell r="I1360">
            <v>0</v>
          </cell>
          <cell r="J1360">
            <v>0</v>
          </cell>
          <cell r="K1360">
            <v>0</v>
          </cell>
          <cell r="L1360">
            <v>0</v>
          </cell>
          <cell r="M1360">
            <v>0</v>
          </cell>
          <cell r="N1360">
            <v>0</v>
          </cell>
          <cell r="O1360">
            <v>0</v>
          </cell>
          <cell r="P1360">
            <v>0</v>
          </cell>
          <cell r="Q1360">
            <v>0</v>
          </cell>
          <cell r="R1360">
            <v>0</v>
          </cell>
        </row>
        <row r="1361">
          <cell r="A1361" t="str">
            <v>19.03.03.01</v>
          </cell>
          <cell r="B1361" t="str">
            <v>REGISTROS DE BRONCE DE 4"</v>
          </cell>
          <cell r="C1361" t="str">
            <v>pza</v>
          </cell>
          <cell r="D1361">
            <v>4</v>
          </cell>
          <cell r="E1361">
            <v>34.130000000000003</v>
          </cell>
          <cell r="F1361">
            <v>136.52000000000001</v>
          </cell>
          <cell r="G1361">
            <v>0</v>
          </cell>
          <cell r="H1361">
            <v>0</v>
          </cell>
          <cell r="I1361" t="str">
            <v>0.00%</v>
          </cell>
          <cell r="J1361">
            <v>0</v>
          </cell>
          <cell r="K1361">
            <v>0</v>
          </cell>
          <cell r="L1361" t="str">
            <v>0.00%</v>
          </cell>
          <cell r="M1361">
            <v>0</v>
          </cell>
          <cell r="N1361">
            <v>0</v>
          </cell>
          <cell r="O1361" t="str">
            <v>0.00%</v>
          </cell>
          <cell r="P1361">
            <v>4</v>
          </cell>
          <cell r="Q1361">
            <v>136.52000000000001</v>
          </cell>
          <cell r="R1361">
            <v>1</v>
          </cell>
        </row>
        <row r="1362">
          <cell r="A1362" t="str">
            <v>19.03.03.02</v>
          </cell>
          <cell r="B1362" t="str">
            <v>SUMIDEROS DE 2"</v>
          </cell>
          <cell r="C1362" t="str">
            <v>pza</v>
          </cell>
          <cell r="D1362">
            <v>2</v>
          </cell>
          <cell r="E1362">
            <v>68.38</v>
          </cell>
          <cell r="F1362">
            <v>136.76</v>
          </cell>
          <cell r="G1362">
            <v>0</v>
          </cell>
          <cell r="H1362">
            <v>0</v>
          </cell>
          <cell r="I1362" t="str">
            <v>0.00%</v>
          </cell>
          <cell r="J1362">
            <v>0</v>
          </cell>
          <cell r="K1362">
            <v>0</v>
          </cell>
          <cell r="L1362" t="str">
            <v>0.00%</v>
          </cell>
          <cell r="M1362">
            <v>0</v>
          </cell>
          <cell r="N1362">
            <v>0</v>
          </cell>
          <cell r="O1362" t="str">
            <v>0.00%</v>
          </cell>
          <cell r="P1362">
            <v>2</v>
          </cell>
          <cell r="Q1362">
            <v>136.76</v>
          </cell>
          <cell r="R1362">
            <v>1</v>
          </cell>
        </row>
        <row r="1363">
          <cell r="A1363" t="str">
            <v>19.03.04</v>
          </cell>
          <cell r="B1363" t="str">
            <v>CAJAS DE INSPECCION Y RETENCION</v>
          </cell>
          <cell r="C1363">
            <v>0</v>
          </cell>
          <cell r="D1363">
            <v>0</v>
          </cell>
          <cell r="E1363">
            <v>0</v>
          </cell>
          <cell r="F1363">
            <v>0</v>
          </cell>
          <cell r="G1363">
            <v>0</v>
          </cell>
          <cell r="H1363">
            <v>0</v>
          </cell>
          <cell r="I1363">
            <v>0</v>
          </cell>
          <cell r="J1363">
            <v>0</v>
          </cell>
          <cell r="K1363">
            <v>0</v>
          </cell>
          <cell r="L1363">
            <v>0</v>
          </cell>
          <cell r="M1363">
            <v>0</v>
          </cell>
          <cell r="N1363">
            <v>0</v>
          </cell>
          <cell r="O1363">
            <v>0</v>
          </cell>
          <cell r="P1363">
            <v>0</v>
          </cell>
          <cell r="Q1363">
            <v>0</v>
          </cell>
          <cell r="R1363">
            <v>0</v>
          </cell>
        </row>
        <row r="1364">
          <cell r="A1364" t="str">
            <v>19.03.04.01</v>
          </cell>
          <cell r="B1364" t="str">
            <v>CAJA DE REGISTRO DE DESAGUE 12" X 24" - CONSTRUCION</v>
          </cell>
          <cell r="C1364" t="str">
            <v>und</v>
          </cell>
          <cell r="D1364">
            <v>1</v>
          </cell>
          <cell r="E1364">
            <v>140.52000000000001</v>
          </cell>
          <cell r="F1364">
            <v>140.52000000000001</v>
          </cell>
          <cell r="G1364">
            <v>0</v>
          </cell>
          <cell r="H1364">
            <v>0</v>
          </cell>
          <cell r="I1364" t="str">
            <v>0.00%</v>
          </cell>
          <cell r="J1364">
            <v>0</v>
          </cell>
          <cell r="K1364">
            <v>0</v>
          </cell>
          <cell r="L1364" t="str">
            <v>0.00%</v>
          </cell>
          <cell r="M1364">
            <v>0</v>
          </cell>
          <cell r="N1364">
            <v>0</v>
          </cell>
          <cell r="O1364" t="str">
            <v>0.00%</v>
          </cell>
          <cell r="P1364">
            <v>1</v>
          </cell>
          <cell r="Q1364">
            <v>140.52000000000001</v>
          </cell>
          <cell r="R1364">
            <v>1</v>
          </cell>
        </row>
        <row r="1365">
          <cell r="A1365" t="str">
            <v>19.03.05</v>
          </cell>
          <cell r="B1365" t="str">
            <v>PRUEBAS HIDRAULICA</v>
          </cell>
          <cell r="C1365">
            <v>0</v>
          </cell>
          <cell r="D1365">
            <v>0</v>
          </cell>
          <cell r="E1365">
            <v>0</v>
          </cell>
          <cell r="F1365">
            <v>0</v>
          </cell>
          <cell r="G1365">
            <v>0</v>
          </cell>
          <cell r="H1365">
            <v>0</v>
          </cell>
          <cell r="I1365">
            <v>0</v>
          </cell>
          <cell r="J1365">
            <v>0</v>
          </cell>
          <cell r="K1365">
            <v>0</v>
          </cell>
          <cell r="L1365">
            <v>0</v>
          </cell>
          <cell r="M1365">
            <v>0</v>
          </cell>
          <cell r="N1365">
            <v>0</v>
          </cell>
          <cell r="O1365">
            <v>0</v>
          </cell>
          <cell r="P1365">
            <v>0</v>
          </cell>
          <cell r="Q1365">
            <v>0</v>
          </cell>
          <cell r="R1365">
            <v>0</v>
          </cell>
        </row>
        <row r="1366">
          <cell r="A1366" t="str">
            <v>19.03.05.01</v>
          </cell>
          <cell r="B1366" t="str">
            <v>PRUEBA HIDRAULICA TUBERIA DE DESAGUE</v>
          </cell>
          <cell r="C1366" t="str">
            <v>und</v>
          </cell>
          <cell r="D1366">
            <v>1</v>
          </cell>
          <cell r="E1366">
            <v>450</v>
          </cell>
          <cell r="F1366">
            <v>450</v>
          </cell>
          <cell r="G1366">
            <v>0</v>
          </cell>
          <cell r="H1366">
            <v>0</v>
          </cell>
          <cell r="I1366" t="str">
            <v>0.00%</v>
          </cell>
          <cell r="J1366">
            <v>0</v>
          </cell>
          <cell r="K1366">
            <v>0</v>
          </cell>
          <cell r="L1366" t="str">
            <v>0.00%</v>
          </cell>
          <cell r="M1366">
            <v>0</v>
          </cell>
          <cell r="N1366">
            <v>0</v>
          </cell>
          <cell r="O1366" t="str">
            <v>0.00%</v>
          </cell>
          <cell r="P1366">
            <v>1</v>
          </cell>
          <cell r="Q1366">
            <v>450</v>
          </cell>
          <cell r="R1366">
            <v>1</v>
          </cell>
        </row>
        <row r="1367">
          <cell r="A1367" t="str">
            <v>19.04</v>
          </cell>
          <cell r="B1367" t="str">
            <v>SISTEMA DE DRENAJE PLUVIAL</v>
          </cell>
          <cell r="C1367">
            <v>0</v>
          </cell>
          <cell r="D1367">
            <v>0</v>
          </cell>
          <cell r="E1367">
            <v>0</v>
          </cell>
          <cell r="F1367">
            <v>0</v>
          </cell>
          <cell r="G1367">
            <v>0</v>
          </cell>
          <cell r="H1367">
            <v>0</v>
          </cell>
          <cell r="I1367">
            <v>0</v>
          </cell>
          <cell r="J1367">
            <v>0</v>
          </cell>
          <cell r="K1367">
            <v>0</v>
          </cell>
          <cell r="L1367">
            <v>0</v>
          </cell>
          <cell r="M1367">
            <v>0</v>
          </cell>
          <cell r="N1367">
            <v>0</v>
          </cell>
          <cell r="O1367">
            <v>0</v>
          </cell>
          <cell r="P1367">
            <v>0</v>
          </cell>
          <cell r="Q1367">
            <v>0</v>
          </cell>
          <cell r="R1367">
            <v>0</v>
          </cell>
        </row>
        <row r="1368">
          <cell r="A1368" t="str">
            <v>19.04.01</v>
          </cell>
          <cell r="B1368" t="str">
            <v>SISTEMA DE BAJADA MONTANTE (PLUVIAL)</v>
          </cell>
          <cell r="C1368">
            <v>0</v>
          </cell>
          <cell r="D1368">
            <v>0</v>
          </cell>
          <cell r="E1368">
            <v>0</v>
          </cell>
          <cell r="F1368">
            <v>0</v>
          </cell>
          <cell r="G1368">
            <v>0</v>
          </cell>
          <cell r="H1368">
            <v>0</v>
          </cell>
          <cell r="I1368">
            <v>0</v>
          </cell>
          <cell r="J1368">
            <v>0</v>
          </cell>
          <cell r="K1368">
            <v>0</v>
          </cell>
          <cell r="L1368">
            <v>0</v>
          </cell>
          <cell r="M1368">
            <v>0</v>
          </cell>
          <cell r="N1368">
            <v>0</v>
          </cell>
          <cell r="O1368">
            <v>0</v>
          </cell>
          <cell r="P1368">
            <v>0</v>
          </cell>
          <cell r="Q1368">
            <v>0</v>
          </cell>
          <cell r="R1368">
            <v>0</v>
          </cell>
        </row>
        <row r="1369">
          <cell r="A1369" t="str">
            <v>19.04.01.01</v>
          </cell>
          <cell r="B1369" t="str">
            <v>ABRAZADERA DE FIJACION DE TUBO</v>
          </cell>
          <cell r="C1369" t="str">
            <v>und</v>
          </cell>
          <cell r="D1369">
            <v>25</v>
          </cell>
          <cell r="E1369">
            <v>41.02</v>
          </cell>
          <cell r="F1369">
            <v>1025.5</v>
          </cell>
          <cell r="G1369">
            <v>0</v>
          </cell>
          <cell r="H1369">
            <v>0</v>
          </cell>
          <cell r="I1369" t="str">
            <v>0.00%</v>
          </cell>
          <cell r="J1369">
            <v>0</v>
          </cell>
          <cell r="K1369">
            <v>0</v>
          </cell>
          <cell r="L1369" t="str">
            <v>0.00%</v>
          </cell>
          <cell r="M1369">
            <v>0</v>
          </cell>
          <cell r="N1369">
            <v>0</v>
          </cell>
          <cell r="O1369" t="str">
            <v>0.00%</v>
          </cell>
          <cell r="P1369">
            <v>25</v>
          </cell>
          <cell r="Q1369">
            <v>1025.5</v>
          </cell>
          <cell r="R1369">
            <v>1</v>
          </cell>
        </row>
        <row r="1370">
          <cell r="A1370" t="str">
            <v>19.04.01.02</v>
          </cell>
          <cell r="B1370" t="str">
            <v>INSTALACION DE TUB. PVC SAP C-10 Ø 4"</v>
          </cell>
          <cell r="C1370" t="str">
            <v>m</v>
          </cell>
          <cell r="D1370">
            <v>12.5</v>
          </cell>
          <cell r="E1370">
            <v>9.93</v>
          </cell>
          <cell r="F1370">
            <v>124.125</v>
          </cell>
          <cell r="G1370">
            <v>0</v>
          </cell>
          <cell r="H1370">
            <v>0</v>
          </cell>
          <cell r="I1370" t="str">
            <v>0.00%</v>
          </cell>
          <cell r="J1370">
            <v>0</v>
          </cell>
          <cell r="K1370">
            <v>0</v>
          </cell>
          <cell r="L1370" t="str">
            <v>0.00%</v>
          </cell>
          <cell r="M1370">
            <v>0</v>
          </cell>
          <cell r="N1370">
            <v>0</v>
          </cell>
          <cell r="O1370" t="str">
            <v>0.00%</v>
          </cell>
          <cell r="P1370">
            <v>12.5</v>
          </cell>
          <cell r="Q1370">
            <v>124.125</v>
          </cell>
          <cell r="R1370">
            <v>1</v>
          </cell>
        </row>
        <row r="1371">
          <cell r="A1371" t="str">
            <v>19.04.01.03</v>
          </cell>
          <cell r="B1371" t="str">
            <v>CONCRETO FC=175 KG/CM2 EN COLUMNETAS</v>
          </cell>
          <cell r="C1371" t="str">
            <v>m3</v>
          </cell>
          <cell r="D1371">
            <v>0.2</v>
          </cell>
          <cell r="E1371">
            <v>466.52</v>
          </cell>
          <cell r="F1371">
            <v>93.304000000000002</v>
          </cell>
          <cell r="G1371">
            <v>0</v>
          </cell>
          <cell r="H1371">
            <v>0</v>
          </cell>
          <cell r="I1371" t="str">
            <v>0.00%</v>
          </cell>
          <cell r="J1371">
            <v>0</v>
          </cell>
          <cell r="K1371">
            <v>0</v>
          </cell>
          <cell r="L1371" t="str">
            <v>0.00%</v>
          </cell>
          <cell r="M1371">
            <v>0</v>
          </cell>
          <cell r="N1371">
            <v>0</v>
          </cell>
          <cell r="O1371" t="str">
            <v>0.00%</v>
          </cell>
          <cell r="P1371">
            <v>0.2</v>
          </cell>
          <cell r="Q1371">
            <v>93.304000000000002</v>
          </cell>
          <cell r="R1371">
            <v>1</v>
          </cell>
        </row>
        <row r="1372">
          <cell r="A1372" t="str">
            <v>19.04.01.04</v>
          </cell>
          <cell r="B1372" t="str">
            <v>ACERO F'Y=4200 KG/CM2 GRADO 60 EN COLUMNETAS</v>
          </cell>
          <cell r="C1372" t="str">
            <v>kg</v>
          </cell>
          <cell r="D1372">
            <v>35.43</v>
          </cell>
          <cell r="E1372">
            <v>4.4400000000000004</v>
          </cell>
          <cell r="F1372">
            <v>157.3092</v>
          </cell>
          <cell r="G1372">
            <v>0</v>
          </cell>
          <cell r="H1372">
            <v>0</v>
          </cell>
          <cell r="I1372" t="str">
            <v>0.00%</v>
          </cell>
          <cell r="J1372">
            <v>0</v>
          </cell>
          <cell r="K1372">
            <v>0</v>
          </cell>
          <cell r="L1372" t="str">
            <v>0.00%</v>
          </cell>
          <cell r="M1372">
            <v>0</v>
          </cell>
          <cell r="N1372">
            <v>0</v>
          </cell>
          <cell r="O1372" t="str">
            <v>0.00%</v>
          </cell>
          <cell r="P1372">
            <v>35.43</v>
          </cell>
          <cell r="Q1372">
            <v>157.3092</v>
          </cell>
          <cell r="R1372">
            <v>1</v>
          </cell>
        </row>
        <row r="1373">
          <cell r="A1373" t="str">
            <v>19.04.01.05</v>
          </cell>
          <cell r="B1373" t="str">
            <v>ENCOFRADO Y DESENCOFRADO NORMAL  EN COLUMNETAS</v>
          </cell>
          <cell r="C1373" t="str">
            <v>m2</v>
          </cell>
          <cell r="D1373">
            <v>3</v>
          </cell>
          <cell r="E1373">
            <v>44.19</v>
          </cell>
          <cell r="F1373">
            <v>132.57</v>
          </cell>
          <cell r="G1373">
            <v>0</v>
          </cell>
          <cell r="H1373">
            <v>0</v>
          </cell>
          <cell r="I1373" t="str">
            <v>0.00%</v>
          </cell>
          <cell r="J1373">
            <v>0</v>
          </cell>
          <cell r="K1373">
            <v>0</v>
          </cell>
          <cell r="L1373" t="str">
            <v>0.00%</v>
          </cell>
          <cell r="M1373">
            <v>0</v>
          </cell>
          <cell r="N1373">
            <v>0</v>
          </cell>
          <cell r="O1373" t="str">
            <v>0.00%</v>
          </cell>
          <cell r="P1373">
            <v>3</v>
          </cell>
          <cell r="Q1373">
            <v>132.57</v>
          </cell>
          <cell r="R1373">
            <v>1</v>
          </cell>
        </row>
        <row r="1374">
          <cell r="A1374" t="str">
            <v>19.04.01.06</v>
          </cell>
          <cell r="B1374" t="str">
            <v>TARRAJEO DE SUPERFICIE COLUMNETAS INCL. ARISTAS MEZCLA 1:5 CEMENTO:ARENA</v>
          </cell>
          <cell r="C1374" t="str">
            <v>m2</v>
          </cell>
          <cell r="D1374">
            <v>3</v>
          </cell>
          <cell r="E1374">
            <v>31.33</v>
          </cell>
          <cell r="F1374">
            <v>93.99</v>
          </cell>
          <cell r="G1374">
            <v>0</v>
          </cell>
          <cell r="H1374">
            <v>0</v>
          </cell>
          <cell r="I1374" t="str">
            <v>0.00%</v>
          </cell>
          <cell r="J1374">
            <v>0</v>
          </cell>
          <cell r="K1374">
            <v>0</v>
          </cell>
          <cell r="L1374" t="str">
            <v>0.00%</v>
          </cell>
          <cell r="M1374">
            <v>0</v>
          </cell>
          <cell r="N1374">
            <v>0</v>
          </cell>
          <cell r="O1374" t="str">
            <v>0.00%</v>
          </cell>
          <cell r="P1374">
            <v>3</v>
          </cell>
          <cell r="Q1374">
            <v>93.99</v>
          </cell>
          <cell r="R1374">
            <v>1</v>
          </cell>
        </row>
        <row r="1375">
          <cell r="A1375" t="str">
            <v>19.04.02</v>
          </cell>
          <cell r="B1375" t="str">
            <v>SISTEMA DE EVACUACION PLUVIAL</v>
          </cell>
          <cell r="C1375">
            <v>0</v>
          </cell>
          <cell r="D1375">
            <v>0</v>
          </cell>
          <cell r="E1375">
            <v>0</v>
          </cell>
          <cell r="F1375">
            <v>0</v>
          </cell>
          <cell r="G1375">
            <v>0</v>
          </cell>
          <cell r="H1375">
            <v>0</v>
          </cell>
          <cell r="I1375">
            <v>0</v>
          </cell>
          <cell r="J1375">
            <v>0</v>
          </cell>
          <cell r="K1375">
            <v>0</v>
          </cell>
          <cell r="L1375">
            <v>0</v>
          </cell>
          <cell r="M1375">
            <v>0</v>
          </cell>
          <cell r="N1375">
            <v>0</v>
          </cell>
          <cell r="O1375">
            <v>0</v>
          </cell>
          <cell r="P1375">
            <v>0</v>
          </cell>
          <cell r="Q1375">
            <v>0</v>
          </cell>
          <cell r="R1375">
            <v>0</v>
          </cell>
        </row>
        <row r="1376">
          <cell r="A1376" t="str">
            <v>19.04.02.01</v>
          </cell>
          <cell r="B1376" t="str">
            <v>RED COLECTORA PARA AGUAS PLUVIALES TUB. PVC UF Ø DE 4"</v>
          </cell>
          <cell r="C1376" t="str">
            <v>m</v>
          </cell>
          <cell r="D1376">
            <v>21.29</v>
          </cell>
          <cell r="E1376">
            <v>27.03</v>
          </cell>
          <cell r="F1376">
            <v>575.46870000000001</v>
          </cell>
          <cell r="G1376">
            <v>0</v>
          </cell>
          <cell r="H1376">
            <v>0</v>
          </cell>
          <cell r="I1376" t="str">
            <v>0.00%</v>
          </cell>
          <cell r="J1376">
            <v>0</v>
          </cell>
          <cell r="K1376">
            <v>0</v>
          </cell>
          <cell r="L1376" t="str">
            <v>0.00%</v>
          </cell>
          <cell r="M1376">
            <v>0</v>
          </cell>
          <cell r="N1376">
            <v>0</v>
          </cell>
          <cell r="O1376" t="str">
            <v>0.00%</v>
          </cell>
          <cell r="P1376">
            <v>21.29</v>
          </cell>
          <cell r="Q1376">
            <v>575.46870000000001</v>
          </cell>
          <cell r="R1376">
            <v>1</v>
          </cell>
        </row>
        <row r="1377">
          <cell r="A1377" t="str">
            <v>19.04.02.02</v>
          </cell>
          <cell r="B1377" t="str">
            <v>CAJA DE REGISTRO DE DESAGUE 12" X 24" - CONSTRUCION</v>
          </cell>
          <cell r="C1377" t="str">
            <v>und</v>
          </cell>
          <cell r="D1377">
            <v>2</v>
          </cell>
          <cell r="E1377">
            <v>140.52000000000001</v>
          </cell>
          <cell r="F1377">
            <v>281.04000000000002</v>
          </cell>
          <cell r="G1377">
            <v>0</v>
          </cell>
          <cell r="H1377">
            <v>0</v>
          </cell>
          <cell r="I1377" t="str">
            <v>0.00%</v>
          </cell>
          <cell r="J1377">
            <v>0</v>
          </cell>
          <cell r="K1377">
            <v>0</v>
          </cell>
          <cell r="L1377" t="str">
            <v>0.00%</v>
          </cell>
          <cell r="M1377">
            <v>0</v>
          </cell>
          <cell r="N1377">
            <v>0</v>
          </cell>
          <cell r="O1377" t="str">
            <v>0.00%</v>
          </cell>
          <cell r="P1377">
            <v>2</v>
          </cell>
          <cell r="Q1377">
            <v>281.04000000000002</v>
          </cell>
          <cell r="R1377">
            <v>1</v>
          </cell>
        </row>
        <row r="1378">
          <cell r="A1378" t="str">
            <v>20</v>
          </cell>
          <cell r="B1378" t="str">
            <v>OBRAS EXTERIORES</v>
          </cell>
          <cell r="C1378">
            <v>0</v>
          </cell>
          <cell r="D1378">
            <v>0</v>
          </cell>
          <cell r="E1378">
            <v>0</v>
          </cell>
          <cell r="F1378">
            <v>0</v>
          </cell>
          <cell r="G1378">
            <v>0</v>
          </cell>
          <cell r="H1378">
            <v>0</v>
          </cell>
          <cell r="I1378">
            <v>0</v>
          </cell>
          <cell r="J1378">
            <v>0</v>
          </cell>
          <cell r="K1378">
            <v>0</v>
          </cell>
          <cell r="L1378">
            <v>0</v>
          </cell>
          <cell r="M1378">
            <v>0</v>
          </cell>
          <cell r="N1378">
            <v>0</v>
          </cell>
          <cell r="O1378">
            <v>0</v>
          </cell>
          <cell r="P1378">
            <v>0</v>
          </cell>
          <cell r="Q1378">
            <v>0</v>
          </cell>
          <cell r="R1378">
            <v>0</v>
          </cell>
        </row>
        <row r="1379">
          <cell r="A1379" t="str">
            <v>20.01</v>
          </cell>
          <cell r="B1379" t="str">
            <v>SISTEMA DE AGUA FRIA</v>
          </cell>
          <cell r="C1379">
            <v>0</v>
          </cell>
          <cell r="D1379">
            <v>0</v>
          </cell>
          <cell r="E1379">
            <v>0</v>
          </cell>
          <cell r="F1379">
            <v>0</v>
          </cell>
          <cell r="G1379">
            <v>0</v>
          </cell>
          <cell r="H1379">
            <v>0</v>
          </cell>
          <cell r="I1379">
            <v>0</v>
          </cell>
          <cell r="J1379">
            <v>0</v>
          </cell>
          <cell r="K1379">
            <v>0</v>
          </cell>
          <cell r="L1379">
            <v>0</v>
          </cell>
          <cell r="M1379">
            <v>0</v>
          </cell>
          <cell r="N1379">
            <v>0</v>
          </cell>
          <cell r="O1379">
            <v>0</v>
          </cell>
          <cell r="P1379">
            <v>0</v>
          </cell>
          <cell r="Q1379">
            <v>0</v>
          </cell>
          <cell r="R1379">
            <v>0</v>
          </cell>
        </row>
        <row r="1380">
          <cell r="A1380" t="str">
            <v>20.01.01</v>
          </cell>
          <cell r="B1380" t="str">
            <v>INSTALACIONES EXTERIORES</v>
          </cell>
          <cell r="C1380">
            <v>0</v>
          </cell>
          <cell r="D1380">
            <v>0</v>
          </cell>
          <cell r="E1380">
            <v>0</v>
          </cell>
          <cell r="F1380">
            <v>0</v>
          </cell>
          <cell r="G1380">
            <v>0</v>
          </cell>
          <cell r="H1380">
            <v>0</v>
          </cell>
          <cell r="I1380">
            <v>0</v>
          </cell>
          <cell r="J1380">
            <v>0</v>
          </cell>
          <cell r="K1380">
            <v>0</v>
          </cell>
          <cell r="L1380">
            <v>0</v>
          </cell>
          <cell r="M1380">
            <v>0</v>
          </cell>
          <cell r="N1380">
            <v>0</v>
          </cell>
          <cell r="O1380">
            <v>0</v>
          </cell>
          <cell r="P1380">
            <v>0</v>
          </cell>
          <cell r="Q1380">
            <v>0</v>
          </cell>
          <cell r="R1380">
            <v>0</v>
          </cell>
        </row>
        <row r="1381">
          <cell r="A1381" t="str">
            <v>20.01.01.01</v>
          </cell>
          <cell r="B1381" t="str">
            <v>TRAZO Y REPLANTEO</v>
          </cell>
          <cell r="C1381" t="str">
            <v>m</v>
          </cell>
          <cell r="D1381">
            <v>110.04</v>
          </cell>
          <cell r="E1381">
            <v>2.92</v>
          </cell>
          <cell r="F1381">
            <v>321.3168</v>
          </cell>
          <cell r="G1381">
            <v>0</v>
          </cell>
          <cell r="H1381">
            <v>0</v>
          </cell>
          <cell r="I1381" t="str">
            <v>0.00%</v>
          </cell>
          <cell r="J1381">
            <v>0</v>
          </cell>
          <cell r="K1381">
            <v>0</v>
          </cell>
          <cell r="L1381" t="str">
            <v>0.00%</v>
          </cell>
          <cell r="M1381">
            <v>0</v>
          </cell>
          <cell r="N1381">
            <v>0</v>
          </cell>
          <cell r="O1381" t="str">
            <v>0.00%</v>
          </cell>
          <cell r="P1381">
            <v>110.04</v>
          </cell>
          <cell r="Q1381">
            <v>321.3168</v>
          </cell>
          <cell r="R1381">
            <v>1</v>
          </cell>
        </row>
        <row r="1382">
          <cell r="A1382" t="str">
            <v>20.01.01.02</v>
          </cell>
          <cell r="B1382" t="str">
            <v>EXCAVACION DE ZANJAS REFINE Y CAMA DE APOYO</v>
          </cell>
          <cell r="C1382" t="str">
            <v>m</v>
          </cell>
          <cell r="D1382">
            <v>110.04</v>
          </cell>
          <cell r="E1382">
            <v>23.66</v>
          </cell>
          <cell r="F1382">
            <v>2603.5464000000002</v>
          </cell>
          <cell r="G1382">
            <v>0</v>
          </cell>
          <cell r="H1382">
            <v>0</v>
          </cell>
          <cell r="I1382" t="str">
            <v>0.00%</v>
          </cell>
          <cell r="J1382">
            <v>0</v>
          </cell>
          <cell r="K1382">
            <v>0</v>
          </cell>
          <cell r="L1382" t="str">
            <v>0.00%</v>
          </cell>
          <cell r="M1382">
            <v>0</v>
          </cell>
          <cell r="N1382">
            <v>0</v>
          </cell>
          <cell r="O1382" t="str">
            <v>0.00%</v>
          </cell>
          <cell r="P1382">
            <v>110.04</v>
          </cell>
          <cell r="Q1382">
            <v>2603.5464000000002</v>
          </cell>
          <cell r="R1382">
            <v>1</v>
          </cell>
        </row>
        <row r="1383">
          <cell r="A1383" t="str">
            <v>20.01.01.03</v>
          </cell>
          <cell r="B1383" t="str">
            <v>RELLENO CON MATERIAL PROPIO</v>
          </cell>
          <cell r="C1383" t="str">
            <v>m</v>
          </cell>
          <cell r="D1383">
            <v>110.04</v>
          </cell>
          <cell r="E1383">
            <v>13.05</v>
          </cell>
          <cell r="F1383">
            <v>1436.0220000000002</v>
          </cell>
          <cell r="G1383">
            <v>0</v>
          </cell>
          <cell r="H1383">
            <v>0</v>
          </cell>
          <cell r="I1383" t="str">
            <v>0.00%</v>
          </cell>
          <cell r="J1383">
            <v>0</v>
          </cell>
          <cell r="K1383">
            <v>0</v>
          </cell>
          <cell r="L1383" t="str">
            <v>0.00%</v>
          </cell>
          <cell r="M1383">
            <v>0</v>
          </cell>
          <cell r="N1383">
            <v>0</v>
          </cell>
          <cell r="O1383" t="str">
            <v>0.00%</v>
          </cell>
          <cell r="P1383">
            <v>110.04</v>
          </cell>
          <cell r="Q1383">
            <v>1436.0220000000002</v>
          </cell>
          <cell r="R1383">
            <v>1</v>
          </cell>
        </row>
        <row r="1384">
          <cell r="A1384" t="str">
            <v>20.01.01.04</v>
          </cell>
          <cell r="B1384" t="str">
            <v>INSTALACION DE TUB. PVC SAP C-10 Ø 1 1/2"</v>
          </cell>
          <cell r="C1384" t="str">
            <v>m</v>
          </cell>
          <cell r="D1384">
            <v>90.96</v>
          </cell>
          <cell r="E1384">
            <v>6.32</v>
          </cell>
          <cell r="F1384">
            <v>574.86720000000003</v>
          </cell>
          <cell r="G1384">
            <v>0</v>
          </cell>
          <cell r="H1384">
            <v>0</v>
          </cell>
          <cell r="I1384" t="str">
            <v>0.00%</v>
          </cell>
          <cell r="J1384">
            <v>0</v>
          </cell>
          <cell r="K1384">
            <v>0</v>
          </cell>
          <cell r="L1384" t="str">
            <v>0.00%</v>
          </cell>
          <cell r="M1384">
            <v>0</v>
          </cell>
          <cell r="N1384">
            <v>0</v>
          </cell>
          <cell r="O1384" t="str">
            <v>0.00%</v>
          </cell>
          <cell r="P1384">
            <v>90.96</v>
          </cell>
          <cell r="Q1384">
            <v>574.86720000000003</v>
          </cell>
          <cell r="R1384">
            <v>1</v>
          </cell>
        </row>
        <row r="1385">
          <cell r="A1385" t="str">
            <v>20.01.01.05</v>
          </cell>
          <cell r="B1385" t="str">
            <v>INSTALACION DE TUB. PVC SAP C-10 Ø 1"</v>
          </cell>
          <cell r="C1385" t="str">
            <v>m</v>
          </cell>
          <cell r="D1385">
            <v>12.93</v>
          </cell>
          <cell r="E1385">
            <v>4.3600000000000003</v>
          </cell>
          <cell r="F1385">
            <v>56.3748</v>
          </cell>
          <cell r="G1385">
            <v>0</v>
          </cell>
          <cell r="H1385">
            <v>0</v>
          </cell>
          <cell r="I1385" t="str">
            <v>0.00%</v>
          </cell>
          <cell r="J1385">
            <v>0</v>
          </cell>
          <cell r="K1385">
            <v>0</v>
          </cell>
          <cell r="L1385" t="str">
            <v>0.00%</v>
          </cell>
          <cell r="M1385">
            <v>0</v>
          </cell>
          <cell r="N1385">
            <v>0</v>
          </cell>
          <cell r="O1385" t="str">
            <v>0.00%</v>
          </cell>
          <cell r="P1385">
            <v>12.93</v>
          </cell>
          <cell r="Q1385">
            <v>56.3748</v>
          </cell>
          <cell r="R1385">
            <v>1</v>
          </cell>
        </row>
        <row r="1386">
          <cell r="A1386" t="str">
            <v>20.01.01.06</v>
          </cell>
          <cell r="B1386" t="str">
            <v>INSTALACION DE TUB. PVC SAP C-10 Ø 3/4"</v>
          </cell>
          <cell r="C1386" t="str">
            <v>m</v>
          </cell>
          <cell r="D1386">
            <v>6.15</v>
          </cell>
          <cell r="E1386">
            <v>19.190000000000001</v>
          </cell>
          <cell r="F1386">
            <v>118.01850000000002</v>
          </cell>
          <cell r="G1386">
            <v>0</v>
          </cell>
          <cell r="H1386">
            <v>0</v>
          </cell>
          <cell r="I1386" t="str">
            <v>0.00%</v>
          </cell>
          <cell r="J1386">
            <v>0</v>
          </cell>
          <cell r="K1386">
            <v>0</v>
          </cell>
          <cell r="L1386" t="str">
            <v>0.00%</v>
          </cell>
          <cell r="M1386">
            <v>0</v>
          </cell>
          <cell r="N1386">
            <v>0</v>
          </cell>
          <cell r="O1386" t="str">
            <v>0.00%</v>
          </cell>
          <cell r="P1386">
            <v>6.15</v>
          </cell>
          <cell r="Q1386">
            <v>118.01850000000002</v>
          </cell>
          <cell r="R1386">
            <v>1</v>
          </cell>
        </row>
        <row r="1387">
          <cell r="A1387" t="str">
            <v>20.01.01.07</v>
          </cell>
          <cell r="B1387" t="str">
            <v>VALVULA COMPUERTA DE BRONCE  Ø 1 1/2"</v>
          </cell>
          <cell r="C1387" t="str">
            <v>und</v>
          </cell>
          <cell r="D1387">
            <v>4</v>
          </cell>
          <cell r="E1387">
            <v>396.25</v>
          </cell>
          <cell r="F1387">
            <v>1585</v>
          </cell>
          <cell r="G1387">
            <v>0</v>
          </cell>
          <cell r="H1387">
            <v>0</v>
          </cell>
          <cell r="I1387" t="str">
            <v>0.00%</v>
          </cell>
          <cell r="J1387">
            <v>0</v>
          </cell>
          <cell r="K1387">
            <v>0</v>
          </cell>
          <cell r="L1387" t="str">
            <v>0.00%</v>
          </cell>
          <cell r="M1387">
            <v>0</v>
          </cell>
          <cell r="N1387">
            <v>0</v>
          </cell>
          <cell r="O1387" t="str">
            <v>0.00%</v>
          </cell>
          <cell r="P1387">
            <v>4</v>
          </cell>
          <cell r="Q1387">
            <v>1585</v>
          </cell>
          <cell r="R1387">
            <v>1</v>
          </cell>
        </row>
        <row r="1388">
          <cell r="A1388" t="str">
            <v>20.01.01.08</v>
          </cell>
          <cell r="B1388" t="str">
            <v>GRIFO DE RIEGO STANDARD - LLAVE DE 1/2"</v>
          </cell>
          <cell r="C1388" t="str">
            <v>und</v>
          </cell>
          <cell r="D1388">
            <v>1</v>
          </cell>
          <cell r="E1388">
            <v>35</v>
          </cell>
          <cell r="F1388">
            <v>35</v>
          </cell>
          <cell r="G1388">
            <v>0</v>
          </cell>
          <cell r="H1388">
            <v>0</v>
          </cell>
          <cell r="I1388" t="str">
            <v>0.00%</v>
          </cell>
          <cell r="J1388">
            <v>0</v>
          </cell>
          <cell r="K1388">
            <v>0</v>
          </cell>
          <cell r="L1388" t="str">
            <v>0.00%</v>
          </cell>
          <cell r="M1388">
            <v>0</v>
          </cell>
          <cell r="N1388">
            <v>0</v>
          </cell>
          <cell r="O1388" t="str">
            <v>0.00%</v>
          </cell>
          <cell r="P1388">
            <v>1</v>
          </cell>
          <cell r="Q1388">
            <v>35</v>
          </cell>
          <cell r="R1388">
            <v>1</v>
          </cell>
        </row>
        <row r="1389">
          <cell r="A1389" t="str">
            <v>20.02</v>
          </cell>
          <cell r="B1389" t="str">
            <v>SISTEMA DE DESAGUE</v>
          </cell>
          <cell r="C1389">
            <v>0</v>
          </cell>
          <cell r="D1389">
            <v>0</v>
          </cell>
          <cell r="E1389">
            <v>0</v>
          </cell>
          <cell r="F1389">
            <v>0</v>
          </cell>
          <cell r="G1389">
            <v>0</v>
          </cell>
          <cell r="H1389">
            <v>0</v>
          </cell>
          <cell r="I1389">
            <v>0</v>
          </cell>
          <cell r="J1389">
            <v>0</v>
          </cell>
          <cell r="K1389">
            <v>0</v>
          </cell>
          <cell r="L1389">
            <v>0</v>
          </cell>
          <cell r="M1389">
            <v>0</v>
          </cell>
          <cell r="N1389">
            <v>0</v>
          </cell>
          <cell r="O1389">
            <v>0</v>
          </cell>
          <cell r="P1389">
            <v>0</v>
          </cell>
          <cell r="Q1389">
            <v>0</v>
          </cell>
          <cell r="R1389">
            <v>0</v>
          </cell>
        </row>
        <row r="1390">
          <cell r="A1390" t="str">
            <v>20.02.01</v>
          </cell>
          <cell r="B1390" t="str">
            <v>REDES DE DESAGUE</v>
          </cell>
          <cell r="C1390">
            <v>0</v>
          </cell>
          <cell r="D1390">
            <v>0</v>
          </cell>
          <cell r="E1390">
            <v>0</v>
          </cell>
          <cell r="F1390">
            <v>0</v>
          </cell>
          <cell r="G1390">
            <v>0</v>
          </cell>
          <cell r="H1390">
            <v>0</v>
          </cell>
          <cell r="I1390">
            <v>0</v>
          </cell>
          <cell r="J1390">
            <v>0</v>
          </cell>
          <cell r="K1390">
            <v>0</v>
          </cell>
          <cell r="L1390">
            <v>0</v>
          </cell>
          <cell r="M1390">
            <v>0</v>
          </cell>
          <cell r="N1390">
            <v>0</v>
          </cell>
          <cell r="O1390">
            <v>0</v>
          </cell>
          <cell r="P1390">
            <v>0</v>
          </cell>
          <cell r="Q1390">
            <v>0</v>
          </cell>
          <cell r="R1390">
            <v>0</v>
          </cell>
        </row>
        <row r="1391">
          <cell r="A1391" t="str">
            <v>20.02.01.01</v>
          </cell>
          <cell r="B1391" t="str">
            <v>TRAZO Y REPLANTEO</v>
          </cell>
          <cell r="C1391" t="str">
            <v>m</v>
          </cell>
          <cell r="D1391">
            <v>98.1</v>
          </cell>
          <cell r="E1391">
            <v>2.92</v>
          </cell>
          <cell r="F1391">
            <v>286.452</v>
          </cell>
          <cell r="G1391">
            <v>0</v>
          </cell>
          <cell r="H1391">
            <v>0</v>
          </cell>
          <cell r="I1391" t="str">
            <v>0.00%</v>
          </cell>
          <cell r="J1391">
            <v>0</v>
          </cell>
          <cell r="K1391">
            <v>0</v>
          </cell>
          <cell r="L1391" t="str">
            <v>0.00%</v>
          </cell>
          <cell r="M1391">
            <v>0</v>
          </cell>
          <cell r="N1391">
            <v>0</v>
          </cell>
          <cell r="O1391" t="str">
            <v>0.00%</v>
          </cell>
          <cell r="P1391">
            <v>98.1</v>
          </cell>
          <cell r="Q1391">
            <v>286.452</v>
          </cell>
          <cell r="R1391">
            <v>1</v>
          </cell>
        </row>
        <row r="1392">
          <cell r="A1392" t="str">
            <v>20.02.01.02</v>
          </cell>
          <cell r="B1392" t="str">
            <v>EXCAVACION DE ZANJA MANUAL</v>
          </cell>
          <cell r="C1392" t="str">
            <v>m3</v>
          </cell>
          <cell r="D1392">
            <v>70.63</v>
          </cell>
          <cell r="E1392">
            <v>45.62</v>
          </cell>
          <cell r="F1392">
            <v>3222.1405999999997</v>
          </cell>
          <cell r="G1392">
            <v>0</v>
          </cell>
          <cell r="H1392">
            <v>0</v>
          </cell>
          <cell r="I1392" t="str">
            <v>0.00%</v>
          </cell>
          <cell r="J1392">
            <v>0</v>
          </cell>
          <cell r="K1392">
            <v>0</v>
          </cell>
          <cell r="L1392" t="str">
            <v>0.00%</v>
          </cell>
          <cell r="M1392">
            <v>0</v>
          </cell>
          <cell r="N1392">
            <v>0</v>
          </cell>
          <cell r="O1392" t="str">
            <v>0.00%</v>
          </cell>
          <cell r="P1392">
            <v>70.63</v>
          </cell>
          <cell r="Q1392">
            <v>3222.1405999999997</v>
          </cell>
          <cell r="R1392">
            <v>1</v>
          </cell>
        </row>
        <row r="1393">
          <cell r="A1393" t="str">
            <v>20.02.01.03</v>
          </cell>
          <cell r="B1393" t="str">
            <v>RELLENO CON MATERIAL PROPIO SELECCIONADO</v>
          </cell>
          <cell r="C1393" t="str">
            <v>m3</v>
          </cell>
          <cell r="D1393">
            <v>64.75</v>
          </cell>
          <cell r="E1393">
            <v>29.12</v>
          </cell>
          <cell r="F1393">
            <v>1885.52</v>
          </cell>
          <cell r="G1393">
            <v>0</v>
          </cell>
          <cell r="H1393">
            <v>0</v>
          </cell>
          <cell r="I1393" t="str">
            <v>0.00%</v>
          </cell>
          <cell r="J1393">
            <v>0</v>
          </cell>
          <cell r="K1393">
            <v>0</v>
          </cell>
          <cell r="L1393" t="str">
            <v>0.00%</v>
          </cell>
          <cell r="M1393">
            <v>0</v>
          </cell>
          <cell r="N1393">
            <v>0</v>
          </cell>
          <cell r="O1393" t="str">
            <v>0.00%</v>
          </cell>
          <cell r="P1393">
            <v>64.75</v>
          </cell>
          <cell r="Q1393">
            <v>1885.52</v>
          </cell>
          <cell r="R1393">
            <v>1</v>
          </cell>
        </row>
        <row r="1394">
          <cell r="A1394" t="str">
            <v>20.02.01.04</v>
          </cell>
          <cell r="B1394" t="str">
            <v>RED DE DESAGUE TUBERIA PVC UF Ø DE 4"</v>
          </cell>
          <cell r="C1394" t="str">
            <v>m</v>
          </cell>
          <cell r="D1394">
            <v>98.1</v>
          </cell>
          <cell r="E1394">
            <v>17.48</v>
          </cell>
          <cell r="F1394">
            <v>1714.788</v>
          </cell>
          <cell r="G1394">
            <v>0</v>
          </cell>
          <cell r="H1394">
            <v>0</v>
          </cell>
          <cell r="I1394" t="str">
            <v>0.00%</v>
          </cell>
          <cell r="J1394">
            <v>0</v>
          </cell>
          <cell r="K1394">
            <v>0</v>
          </cell>
          <cell r="L1394" t="str">
            <v>0.00%</v>
          </cell>
          <cell r="M1394">
            <v>0</v>
          </cell>
          <cell r="N1394">
            <v>0</v>
          </cell>
          <cell r="O1394" t="str">
            <v>0.00%</v>
          </cell>
          <cell r="P1394">
            <v>98.1</v>
          </cell>
          <cell r="Q1394">
            <v>1714.788</v>
          </cell>
          <cell r="R1394">
            <v>1</v>
          </cell>
        </row>
        <row r="1395">
          <cell r="A1395" t="str">
            <v>20.02.02</v>
          </cell>
          <cell r="B1395" t="str">
            <v>CAJAS DE INSPECCION Y RETENCION</v>
          </cell>
          <cell r="C1395">
            <v>0</v>
          </cell>
          <cell r="D1395">
            <v>0</v>
          </cell>
          <cell r="E1395">
            <v>0</v>
          </cell>
          <cell r="F1395">
            <v>0</v>
          </cell>
          <cell r="G1395">
            <v>0</v>
          </cell>
          <cell r="H1395">
            <v>0</v>
          </cell>
          <cell r="I1395">
            <v>0</v>
          </cell>
          <cell r="J1395">
            <v>0</v>
          </cell>
          <cell r="K1395">
            <v>0</v>
          </cell>
          <cell r="L1395">
            <v>0</v>
          </cell>
          <cell r="M1395">
            <v>0</v>
          </cell>
          <cell r="N1395">
            <v>0</v>
          </cell>
          <cell r="O1395">
            <v>0</v>
          </cell>
          <cell r="P1395">
            <v>0</v>
          </cell>
          <cell r="Q1395">
            <v>0</v>
          </cell>
          <cell r="R1395">
            <v>0</v>
          </cell>
        </row>
        <row r="1396">
          <cell r="A1396" t="str">
            <v>20.02.02.01</v>
          </cell>
          <cell r="B1396" t="str">
            <v>CAJA DE REGISTRO DE DESAGUE 24" X 24" - CONSTRUCION</v>
          </cell>
          <cell r="C1396" t="str">
            <v>und</v>
          </cell>
          <cell r="D1396">
            <v>8</v>
          </cell>
          <cell r="E1396">
            <v>197.15</v>
          </cell>
          <cell r="F1396">
            <v>1577.2</v>
          </cell>
          <cell r="G1396">
            <v>0</v>
          </cell>
          <cell r="H1396">
            <v>0</v>
          </cell>
          <cell r="I1396" t="str">
            <v>0.00%</v>
          </cell>
          <cell r="J1396">
            <v>0</v>
          </cell>
          <cell r="K1396">
            <v>0</v>
          </cell>
          <cell r="L1396" t="str">
            <v>0.00%</v>
          </cell>
          <cell r="M1396">
            <v>0</v>
          </cell>
          <cell r="N1396">
            <v>0</v>
          </cell>
          <cell r="O1396" t="str">
            <v>0.00%</v>
          </cell>
          <cell r="P1396">
            <v>8</v>
          </cell>
          <cell r="Q1396">
            <v>1577.2</v>
          </cell>
          <cell r="R1396">
            <v>1</v>
          </cell>
        </row>
        <row r="1397">
          <cell r="A1397" t="str">
            <v>20.02.03</v>
          </cell>
          <cell r="B1397" t="str">
            <v>INSTALACION A LA RED COLECTORA PUBLICA</v>
          </cell>
          <cell r="C1397">
            <v>0</v>
          </cell>
          <cell r="D1397">
            <v>0</v>
          </cell>
          <cell r="E1397">
            <v>0</v>
          </cell>
          <cell r="F1397">
            <v>0</v>
          </cell>
          <cell r="G1397">
            <v>0</v>
          </cell>
          <cell r="H1397">
            <v>0</v>
          </cell>
          <cell r="I1397">
            <v>0</v>
          </cell>
          <cell r="J1397">
            <v>0</v>
          </cell>
          <cell r="K1397">
            <v>0</v>
          </cell>
          <cell r="L1397">
            <v>0</v>
          </cell>
          <cell r="M1397">
            <v>0</v>
          </cell>
          <cell r="N1397">
            <v>0</v>
          </cell>
          <cell r="O1397">
            <v>0</v>
          </cell>
          <cell r="P1397">
            <v>0</v>
          </cell>
          <cell r="Q1397">
            <v>0</v>
          </cell>
          <cell r="R1397">
            <v>0</v>
          </cell>
        </row>
        <row r="1398">
          <cell r="A1398" t="str">
            <v>20.02.03.01</v>
          </cell>
          <cell r="B1398" t="str">
            <v>INSTALACION A LA RED COLECTORA PUBLICA ( EMUSAP)</v>
          </cell>
          <cell r="C1398" t="str">
            <v>GLB</v>
          </cell>
          <cell r="D1398">
            <v>1</v>
          </cell>
          <cell r="E1398">
            <v>1770</v>
          </cell>
          <cell r="F1398">
            <v>1770</v>
          </cell>
          <cell r="G1398">
            <v>0</v>
          </cell>
          <cell r="H1398">
            <v>0</v>
          </cell>
          <cell r="I1398" t="str">
            <v>0.00%</v>
          </cell>
          <cell r="J1398">
            <v>0</v>
          </cell>
          <cell r="K1398">
            <v>0</v>
          </cell>
          <cell r="L1398" t="str">
            <v>0.00%</v>
          </cell>
          <cell r="M1398">
            <v>0</v>
          </cell>
          <cell r="N1398">
            <v>0</v>
          </cell>
          <cell r="O1398" t="str">
            <v>0.00%</v>
          </cell>
          <cell r="P1398">
            <v>1</v>
          </cell>
          <cell r="Q1398">
            <v>1770</v>
          </cell>
          <cell r="R1398">
            <v>1</v>
          </cell>
        </row>
        <row r="1399">
          <cell r="A1399" t="str">
            <v>20.03</v>
          </cell>
          <cell r="B1399" t="str">
            <v>SISTEMA DE EVACUACION DE AGUAS PLUVIALES</v>
          </cell>
          <cell r="C1399">
            <v>0</v>
          </cell>
          <cell r="D1399">
            <v>0</v>
          </cell>
          <cell r="E1399">
            <v>0</v>
          </cell>
          <cell r="F1399">
            <v>0</v>
          </cell>
          <cell r="G1399">
            <v>0</v>
          </cell>
          <cell r="H1399">
            <v>0</v>
          </cell>
          <cell r="I1399">
            <v>0</v>
          </cell>
          <cell r="J1399">
            <v>0</v>
          </cell>
          <cell r="K1399">
            <v>0</v>
          </cell>
          <cell r="L1399">
            <v>0</v>
          </cell>
          <cell r="M1399">
            <v>0</v>
          </cell>
          <cell r="N1399">
            <v>0</v>
          </cell>
          <cell r="O1399">
            <v>0</v>
          </cell>
          <cell r="P1399">
            <v>0</v>
          </cell>
          <cell r="Q1399">
            <v>0</v>
          </cell>
          <cell r="R1399">
            <v>0</v>
          </cell>
        </row>
        <row r="1400">
          <cell r="A1400" t="str">
            <v>20.03.01</v>
          </cell>
          <cell r="B1400" t="str">
            <v>AGUAS PLUVIALES</v>
          </cell>
          <cell r="C1400">
            <v>0</v>
          </cell>
          <cell r="D1400">
            <v>0</v>
          </cell>
          <cell r="E1400">
            <v>0</v>
          </cell>
          <cell r="F1400">
            <v>0</v>
          </cell>
          <cell r="G1400">
            <v>0</v>
          </cell>
          <cell r="H1400">
            <v>0</v>
          </cell>
          <cell r="I1400">
            <v>0</v>
          </cell>
          <cell r="J1400">
            <v>0</v>
          </cell>
          <cell r="K1400">
            <v>0</v>
          </cell>
          <cell r="L1400">
            <v>0</v>
          </cell>
          <cell r="M1400">
            <v>0</v>
          </cell>
          <cell r="N1400">
            <v>0</v>
          </cell>
          <cell r="O1400">
            <v>0</v>
          </cell>
          <cell r="P1400">
            <v>0</v>
          </cell>
          <cell r="Q1400">
            <v>0</v>
          </cell>
          <cell r="R1400">
            <v>0</v>
          </cell>
        </row>
        <row r="1401">
          <cell r="A1401" t="str">
            <v>20.03.01.01</v>
          </cell>
          <cell r="B1401" t="str">
            <v>RED COLECTORA PARA AGUAS PLUVIALES TUB. PVC UF Ø DE 4"</v>
          </cell>
          <cell r="C1401" t="str">
            <v>m</v>
          </cell>
          <cell r="D1401">
            <v>25.11</v>
          </cell>
          <cell r="E1401">
            <v>27.03</v>
          </cell>
          <cell r="F1401">
            <v>678.72329999999999</v>
          </cell>
          <cell r="G1401">
            <v>0</v>
          </cell>
          <cell r="H1401">
            <v>0</v>
          </cell>
          <cell r="I1401" t="str">
            <v>0.00%</v>
          </cell>
          <cell r="J1401">
            <v>0</v>
          </cell>
          <cell r="K1401">
            <v>0</v>
          </cell>
          <cell r="L1401" t="str">
            <v>0.00%</v>
          </cell>
          <cell r="M1401">
            <v>0</v>
          </cell>
          <cell r="N1401">
            <v>0</v>
          </cell>
          <cell r="O1401" t="str">
            <v>0.00%</v>
          </cell>
          <cell r="P1401">
            <v>25.11</v>
          </cell>
          <cell r="Q1401">
            <v>678.72329999999999</v>
          </cell>
          <cell r="R1401">
            <v>1</v>
          </cell>
        </row>
        <row r="1402">
          <cell r="A1402" t="str">
            <v>20.03.01.02</v>
          </cell>
          <cell r="B1402" t="str">
            <v>CAJA DE REGISTRO DE DESAGUE 12" X 24"</v>
          </cell>
          <cell r="C1402" t="str">
            <v>pza</v>
          </cell>
          <cell r="D1402">
            <v>3</v>
          </cell>
          <cell r="E1402">
            <v>246.12</v>
          </cell>
          <cell r="F1402">
            <v>738.36</v>
          </cell>
          <cell r="G1402">
            <v>0</v>
          </cell>
          <cell r="H1402">
            <v>0</v>
          </cell>
          <cell r="I1402" t="str">
            <v>0.00%</v>
          </cell>
          <cell r="J1402">
            <v>0</v>
          </cell>
          <cell r="K1402">
            <v>0</v>
          </cell>
          <cell r="L1402" t="str">
            <v>0.00%</v>
          </cell>
          <cell r="M1402">
            <v>0</v>
          </cell>
          <cell r="N1402">
            <v>0</v>
          </cell>
          <cell r="O1402" t="str">
            <v>0.00%</v>
          </cell>
          <cell r="P1402">
            <v>3</v>
          </cell>
          <cell r="Q1402">
            <v>738.36</v>
          </cell>
          <cell r="R1402">
            <v>1</v>
          </cell>
        </row>
        <row r="1403">
          <cell r="A1403" t="str">
            <v>20.03.01.03</v>
          </cell>
          <cell r="B1403" t="str">
            <v>CONCRETO EN CUNETA F'C= 175KG/CM2</v>
          </cell>
          <cell r="C1403" t="str">
            <v>m3</v>
          </cell>
          <cell r="D1403">
            <v>4.01</v>
          </cell>
          <cell r="E1403">
            <v>470.02</v>
          </cell>
          <cell r="F1403">
            <v>1884.7801999999999</v>
          </cell>
          <cell r="G1403">
            <v>0</v>
          </cell>
          <cell r="H1403">
            <v>0</v>
          </cell>
          <cell r="I1403" t="str">
            <v>0.00%</v>
          </cell>
          <cell r="J1403">
            <v>0</v>
          </cell>
          <cell r="K1403">
            <v>0</v>
          </cell>
          <cell r="L1403" t="str">
            <v>0.00%</v>
          </cell>
          <cell r="M1403">
            <v>0</v>
          </cell>
          <cell r="N1403">
            <v>0</v>
          </cell>
          <cell r="O1403" t="str">
            <v>0.00%</v>
          </cell>
          <cell r="P1403">
            <v>4.01</v>
          </cell>
          <cell r="Q1403">
            <v>1884.7801999999999</v>
          </cell>
          <cell r="R1403">
            <v>1</v>
          </cell>
        </row>
        <row r="1404">
          <cell r="A1404" t="str">
            <v>20.03.01.04</v>
          </cell>
          <cell r="B1404" t="str">
            <v>ENCOFRADO Y DESENCOFRADO PARA CUNETA</v>
          </cell>
          <cell r="C1404" t="str">
            <v>m2</v>
          </cell>
          <cell r="D1404">
            <v>36.049999999999997</v>
          </cell>
          <cell r="E1404">
            <v>45.51</v>
          </cell>
          <cell r="F1404">
            <v>1640.6354999999999</v>
          </cell>
          <cell r="G1404">
            <v>0</v>
          </cell>
          <cell r="H1404">
            <v>0</v>
          </cell>
          <cell r="I1404" t="str">
            <v>0.00%</v>
          </cell>
          <cell r="J1404">
            <v>0</v>
          </cell>
          <cell r="K1404">
            <v>0</v>
          </cell>
          <cell r="L1404" t="str">
            <v>0.00%</v>
          </cell>
          <cell r="M1404">
            <v>0</v>
          </cell>
          <cell r="N1404">
            <v>0</v>
          </cell>
          <cell r="O1404" t="str">
            <v>0.00%</v>
          </cell>
          <cell r="P1404">
            <v>36.049999999999997</v>
          </cell>
          <cell r="Q1404">
            <v>1640.6354999999999</v>
          </cell>
          <cell r="R1404">
            <v>1</v>
          </cell>
        </row>
        <row r="1405">
          <cell r="A1405" t="str">
            <v>20.03.01.05</v>
          </cell>
          <cell r="B1405" t="str">
            <v>TARRAJEO EN CUNETAS DE EVACUACION PLUVIAL</v>
          </cell>
          <cell r="C1405" t="str">
            <v>m2</v>
          </cell>
          <cell r="D1405">
            <v>44.06</v>
          </cell>
          <cell r="E1405">
            <v>30.23</v>
          </cell>
          <cell r="F1405">
            <v>1331.9338</v>
          </cell>
          <cell r="G1405">
            <v>0</v>
          </cell>
          <cell r="H1405">
            <v>0</v>
          </cell>
          <cell r="I1405" t="str">
            <v>0.00%</v>
          </cell>
          <cell r="J1405">
            <v>0</v>
          </cell>
          <cell r="K1405">
            <v>0</v>
          </cell>
          <cell r="L1405" t="str">
            <v>0.00%</v>
          </cell>
          <cell r="M1405">
            <v>0</v>
          </cell>
          <cell r="N1405">
            <v>0</v>
          </cell>
          <cell r="O1405" t="str">
            <v>0.00%</v>
          </cell>
          <cell r="P1405">
            <v>44.06</v>
          </cell>
          <cell r="Q1405">
            <v>1331.9338</v>
          </cell>
          <cell r="R1405">
            <v>1</v>
          </cell>
        </row>
        <row r="1406">
          <cell r="A1406" t="str">
            <v>20.03.01.06</v>
          </cell>
          <cell r="B1406" t="str">
            <v>REJILLA DE FIERRO PARA CANAL EVACUACION</v>
          </cell>
          <cell r="C1406" t="str">
            <v>m</v>
          </cell>
          <cell r="D1406">
            <v>40.049999999999997</v>
          </cell>
          <cell r="E1406">
            <v>58.51</v>
          </cell>
          <cell r="F1406">
            <v>2343.3254999999999</v>
          </cell>
          <cell r="G1406">
            <v>0</v>
          </cell>
          <cell r="H1406">
            <v>0</v>
          </cell>
          <cell r="I1406" t="str">
            <v>0.00%</v>
          </cell>
          <cell r="J1406">
            <v>0</v>
          </cell>
          <cell r="K1406">
            <v>0</v>
          </cell>
          <cell r="L1406" t="str">
            <v>0.00%</v>
          </cell>
          <cell r="M1406">
            <v>0</v>
          </cell>
          <cell r="N1406">
            <v>0</v>
          </cell>
          <cell r="O1406" t="str">
            <v>0.00%</v>
          </cell>
          <cell r="P1406">
            <v>40.049999999999997</v>
          </cell>
          <cell r="Q1406">
            <v>2343.3254999999999</v>
          </cell>
          <cell r="R1406">
            <v>1</v>
          </cell>
        </row>
        <row r="1407">
          <cell r="A1407" t="str">
            <v>20.03.02</v>
          </cell>
          <cell r="B1407" t="str">
            <v>DRENAJE DE AGUAS PLUVIALES</v>
          </cell>
          <cell r="C1407">
            <v>0</v>
          </cell>
          <cell r="D1407">
            <v>0</v>
          </cell>
          <cell r="E1407">
            <v>0</v>
          </cell>
          <cell r="F1407">
            <v>0</v>
          </cell>
          <cell r="G1407">
            <v>0</v>
          </cell>
          <cell r="H1407">
            <v>0</v>
          </cell>
          <cell r="I1407">
            <v>0</v>
          </cell>
          <cell r="J1407">
            <v>0</v>
          </cell>
          <cell r="K1407">
            <v>0</v>
          </cell>
          <cell r="L1407">
            <v>0</v>
          </cell>
          <cell r="M1407">
            <v>0</v>
          </cell>
          <cell r="N1407">
            <v>0</v>
          </cell>
          <cell r="O1407">
            <v>0</v>
          </cell>
          <cell r="P1407">
            <v>0</v>
          </cell>
          <cell r="Q1407">
            <v>0</v>
          </cell>
          <cell r="R1407">
            <v>0</v>
          </cell>
        </row>
        <row r="1408">
          <cell r="A1408" t="str">
            <v>20.03.02.01</v>
          </cell>
          <cell r="B1408" t="str">
            <v>TRAZO Y REPLANTEO</v>
          </cell>
          <cell r="C1408" t="str">
            <v>m</v>
          </cell>
          <cell r="D1408">
            <v>40.049999999999997</v>
          </cell>
          <cell r="E1408">
            <v>2.92</v>
          </cell>
          <cell r="F1408">
            <v>116.94599999999998</v>
          </cell>
          <cell r="G1408">
            <v>0</v>
          </cell>
          <cell r="H1408">
            <v>0</v>
          </cell>
          <cell r="I1408" t="str">
            <v>0.00%</v>
          </cell>
          <cell r="J1408">
            <v>0</v>
          </cell>
          <cell r="K1408">
            <v>0</v>
          </cell>
          <cell r="L1408" t="str">
            <v>0.00%</v>
          </cell>
          <cell r="M1408">
            <v>0</v>
          </cell>
          <cell r="N1408">
            <v>0</v>
          </cell>
          <cell r="O1408" t="str">
            <v>0.00%</v>
          </cell>
          <cell r="P1408">
            <v>40.049999999999997</v>
          </cell>
          <cell r="Q1408">
            <v>116.94599999999998</v>
          </cell>
          <cell r="R1408">
            <v>1</v>
          </cell>
        </row>
        <row r="1409">
          <cell r="A1409" t="str">
            <v>20.03.02.02</v>
          </cell>
          <cell r="B1409" t="str">
            <v>EXCAVACION DE ZANJA PARA EVACUACION PLUVIAL</v>
          </cell>
          <cell r="C1409" t="str">
            <v>m3</v>
          </cell>
          <cell r="D1409">
            <v>6.41</v>
          </cell>
          <cell r="E1409">
            <v>9.1300000000000008</v>
          </cell>
          <cell r="F1409">
            <v>58.523300000000006</v>
          </cell>
          <cell r="G1409">
            <v>0</v>
          </cell>
          <cell r="H1409">
            <v>0</v>
          </cell>
          <cell r="I1409" t="str">
            <v>0.00%</v>
          </cell>
          <cell r="J1409">
            <v>0</v>
          </cell>
          <cell r="K1409">
            <v>0</v>
          </cell>
          <cell r="L1409" t="str">
            <v>0.00%</v>
          </cell>
          <cell r="M1409">
            <v>0</v>
          </cell>
          <cell r="N1409">
            <v>0</v>
          </cell>
          <cell r="O1409" t="str">
            <v>0.00%</v>
          </cell>
          <cell r="P1409">
            <v>6.41</v>
          </cell>
          <cell r="Q1409">
            <v>58.523300000000006</v>
          </cell>
          <cell r="R1409">
            <v>1</v>
          </cell>
        </row>
        <row r="1410">
          <cell r="A1410" t="str">
            <v>20.03.02.03</v>
          </cell>
          <cell r="B1410" t="str">
            <v>RELLENO CON MATERIAL PROPIO</v>
          </cell>
          <cell r="C1410" t="str">
            <v>m</v>
          </cell>
          <cell r="D1410">
            <v>40.049999999999997</v>
          </cell>
          <cell r="E1410">
            <v>13.05</v>
          </cell>
          <cell r="F1410">
            <v>522.65250000000003</v>
          </cell>
          <cell r="G1410">
            <v>0</v>
          </cell>
          <cell r="H1410">
            <v>0</v>
          </cell>
          <cell r="I1410" t="str">
            <v>0.00%</v>
          </cell>
          <cell r="J1410">
            <v>0</v>
          </cell>
          <cell r="K1410">
            <v>0</v>
          </cell>
          <cell r="L1410" t="str">
            <v>0.00%</v>
          </cell>
          <cell r="M1410">
            <v>0</v>
          </cell>
          <cell r="N1410">
            <v>0</v>
          </cell>
          <cell r="O1410" t="str">
            <v>0.00%</v>
          </cell>
          <cell r="P1410">
            <v>40.049999999999997</v>
          </cell>
          <cell r="Q1410">
            <v>522.65250000000003</v>
          </cell>
          <cell r="R1410">
            <v>1</v>
          </cell>
        </row>
        <row r="1411">
          <cell r="A1411" t="str">
            <v>21</v>
          </cell>
          <cell r="B1411" t="str">
            <v>SISTEMA DE BOMBEO</v>
          </cell>
          <cell r="C1411">
            <v>0</v>
          </cell>
          <cell r="D1411">
            <v>0</v>
          </cell>
          <cell r="E1411">
            <v>0</v>
          </cell>
          <cell r="F1411">
            <v>0</v>
          </cell>
          <cell r="G1411">
            <v>0</v>
          </cell>
          <cell r="H1411">
            <v>0</v>
          </cell>
          <cell r="I1411">
            <v>0</v>
          </cell>
          <cell r="J1411">
            <v>0</v>
          </cell>
          <cell r="K1411">
            <v>0</v>
          </cell>
          <cell r="L1411">
            <v>0</v>
          </cell>
          <cell r="M1411">
            <v>0</v>
          </cell>
          <cell r="N1411">
            <v>0</v>
          </cell>
          <cell r="O1411">
            <v>0</v>
          </cell>
          <cell r="P1411">
            <v>0</v>
          </cell>
          <cell r="Q1411">
            <v>0</v>
          </cell>
          <cell r="R1411">
            <v>0</v>
          </cell>
        </row>
        <row r="1412">
          <cell r="A1412" t="str">
            <v>21.01</v>
          </cell>
          <cell r="B1412" t="str">
            <v xml:space="preserve">TANQUE CISTERNA </v>
          </cell>
          <cell r="C1412">
            <v>0</v>
          </cell>
          <cell r="D1412">
            <v>0</v>
          </cell>
          <cell r="E1412">
            <v>0</v>
          </cell>
          <cell r="F1412">
            <v>0</v>
          </cell>
          <cell r="G1412">
            <v>0</v>
          </cell>
          <cell r="H1412">
            <v>0</v>
          </cell>
          <cell r="I1412">
            <v>0</v>
          </cell>
          <cell r="J1412">
            <v>0</v>
          </cell>
          <cell r="K1412">
            <v>0</v>
          </cell>
          <cell r="L1412">
            <v>0</v>
          </cell>
          <cell r="M1412">
            <v>0</v>
          </cell>
          <cell r="N1412">
            <v>0</v>
          </cell>
          <cell r="O1412">
            <v>0</v>
          </cell>
          <cell r="P1412">
            <v>0</v>
          </cell>
          <cell r="Q1412">
            <v>0</v>
          </cell>
          <cell r="R1412">
            <v>0</v>
          </cell>
        </row>
        <row r="1413">
          <cell r="A1413" t="str">
            <v>21.01.01</v>
          </cell>
          <cell r="B1413" t="str">
            <v>INSTALACION DE SISTEMA HIDRONEUMATICO</v>
          </cell>
          <cell r="C1413" t="str">
            <v>und</v>
          </cell>
          <cell r="D1413">
            <v>1</v>
          </cell>
          <cell r="E1413">
            <v>6753.2</v>
          </cell>
          <cell r="F1413">
            <v>6753.2</v>
          </cell>
          <cell r="G1413">
            <v>0</v>
          </cell>
          <cell r="H1413">
            <v>0</v>
          </cell>
          <cell r="I1413" t="str">
            <v>0.00%</v>
          </cell>
          <cell r="J1413">
            <v>0</v>
          </cell>
          <cell r="K1413">
            <v>0</v>
          </cell>
          <cell r="L1413" t="str">
            <v>0.00%</v>
          </cell>
          <cell r="M1413">
            <v>0</v>
          </cell>
          <cell r="N1413">
            <v>0</v>
          </cell>
          <cell r="O1413" t="str">
            <v>0.00%</v>
          </cell>
          <cell r="P1413">
            <v>1</v>
          </cell>
          <cell r="Q1413">
            <v>6753.2</v>
          </cell>
          <cell r="R1413">
            <v>1</v>
          </cell>
        </row>
        <row r="1414">
          <cell r="A1414" t="str">
            <v>21.01.02</v>
          </cell>
          <cell r="B1414" t="str">
            <v>INSTALACION DE ACCSESORIOS DE SISTEMA HIDRONEUMATICO</v>
          </cell>
          <cell r="C1414" t="str">
            <v>GLB</v>
          </cell>
          <cell r="D1414">
            <v>1</v>
          </cell>
          <cell r="E1414">
            <v>1200</v>
          </cell>
          <cell r="F1414">
            <v>1200</v>
          </cell>
          <cell r="G1414">
            <v>0</v>
          </cell>
          <cell r="H1414">
            <v>0</v>
          </cell>
          <cell r="I1414" t="str">
            <v>0.00%</v>
          </cell>
          <cell r="J1414">
            <v>0</v>
          </cell>
          <cell r="K1414">
            <v>0</v>
          </cell>
          <cell r="L1414" t="str">
            <v>0.00%</v>
          </cell>
          <cell r="M1414">
            <v>0</v>
          </cell>
          <cell r="N1414">
            <v>0</v>
          </cell>
          <cell r="O1414" t="str">
            <v>0.00%</v>
          </cell>
          <cell r="P1414">
            <v>1</v>
          </cell>
          <cell r="Q1414">
            <v>1200</v>
          </cell>
          <cell r="R1414">
            <v>1</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cell r="N1415">
            <v>0</v>
          </cell>
          <cell r="O1415">
            <v>0</v>
          </cell>
          <cell r="P1415">
            <v>0</v>
          </cell>
          <cell r="Q1415">
            <v>0</v>
          </cell>
          <cell r="R1415">
            <v>0</v>
          </cell>
        </row>
        <row r="1416">
          <cell r="A1416">
            <v>0</v>
          </cell>
          <cell r="B1416" t="str">
            <v>COSTO INSTALACIONES SANITARIAS</v>
          </cell>
          <cell r="C1416">
            <v>0</v>
          </cell>
          <cell r="D1416">
            <v>0</v>
          </cell>
          <cell r="E1416">
            <v>0</v>
          </cell>
          <cell r="F1416">
            <v>0</v>
          </cell>
          <cell r="G1416">
            <v>0</v>
          </cell>
          <cell r="H1416">
            <v>0</v>
          </cell>
          <cell r="I1416">
            <v>0</v>
          </cell>
          <cell r="J1416">
            <v>0</v>
          </cell>
          <cell r="K1416">
            <v>0</v>
          </cell>
          <cell r="L1416">
            <v>0</v>
          </cell>
          <cell r="M1416">
            <v>0</v>
          </cell>
          <cell r="N1416">
            <v>0</v>
          </cell>
          <cell r="O1416">
            <v>0</v>
          </cell>
          <cell r="P1416">
            <v>0</v>
          </cell>
          <cell r="Q1416">
            <v>0</v>
          </cell>
          <cell r="R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cell r="N1417">
            <v>0</v>
          </cell>
          <cell r="O1417">
            <v>0</v>
          </cell>
          <cell r="P1417">
            <v>0</v>
          </cell>
          <cell r="Q1417">
            <v>0</v>
          </cell>
          <cell r="R1417">
            <v>0</v>
          </cell>
        </row>
        <row r="1418">
          <cell r="A1418">
            <v>0</v>
          </cell>
          <cell r="B1418" t="str">
            <v>COSTO DIRECTO</v>
          </cell>
          <cell r="C1418">
            <v>0</v>
          </cell>
          <cell r="D1418">
            <v>0</v>
          </cell>
          <cell r="E1418">
            <v>0</v>
          </cell>
          <cell r="F1418">
            <v>106253.59370000004</v>
          </cell>
          <cell r="G1418">
            <v>0</v>
          </cell>
          <cell r="H1418">
            <v>11148.200000000003</v>
          </cell>
          <cell r="I1418">
            <v>0.10492068655556445</v>
          </cell>
          <cell r="J1418">
            <v>0</v>
          </cell>
          <cell r="K1418">
            <v>5328.3558999999996</v>
          </cell>
          <cell r="L1418">
            <v>5.0147535856944835E-2</v>
          </cell>
          <cell r="M1418">
            <v>0</v>
          </cell>
          <cell r="N1418">
            <v>16476.555899999996</v>
          </cell>
          <cell r="O1418">
            <v>0.15506822241250923</v>
          </cell>
          <cell r="P1418">
            <v>0</v>
          </cell>
          <cell r="Q1418">
            <v>89777.037799999991</v>
          </cell>
          <cell r="R1418">
            <v>0.84493177758749027</v>
          </cell>
        </row>
        <row r="1419">
          <cell r="A1419">
            <v>0</v>
          </cell>
          <cell r="B1419" t="str">
            <v xml:space="preserve">GASTOS GENERALES   </v>
          </cell>
          <cell r="C1419">
            <v>0</v>
          </cell>
          <cell r="D1419">
            <v>0.1087</v>
          </cell>
          <cell r="E1419">
            <v>0</v>
          </cell>
          <cell r="F1419">
            <v>11549.765635190004</v>
          </cell>
          <cell r="G1419">
            <v>0</v>
          </cell>
          <cell r="H1419">
            <v>1211.8093400000002</v>
          </cell>
          <cell r="I1419">
            <v>0.10492068655556445</v>
          </cell>
          <cell r="J1419">
            <v>0</v>
          </cell>
          <cell r="K1419">
            <v>579.19228633</v>
          </cell>
          <cell r="L1419">
            <v>5.0147535856944835E-2</v>
          </cell>
          <cell r="M1419">
            <v>0</v>
          </cell>
          <cell r="N1419">
            <v>1791.0016263299997</v>
          </cell>
          <cell r="O1419">
            <v>0.15506822241250925</v>
          </cell>
          <cell r="P1419">
            <v>0</v>
          </cell>
          <cell r="Q1419">
            <v>9758.7640088600001</v>
          </cell>
          <cell r="R1419">
            <v>0.84493177758749038</v>
          </cell>
        </row>
        <row r="1420">
          <cell r="A1420">
            <v>0</v>
          </cell>
          <cell r="B1420" t="str">
            <v xml:space="preserve">GASTOS DE SUPERVISION    </v>
          </cell>
          <cell r="C1420">
            <v>0</v>
          </cell>
          <cell r="D1420">
            <v>4.4999999999999998E-2</v>
          </cell>
          <cell r="E1420">
            <v>0</v>
          </cell>
          <cell r="F1420">
            <v>4781.4117165000016</v>
          </cell>
          <cell r="G1420">
            <v>0</v>
          </cell>
          <cell r="H1420">
            <v>501.6690000000001</v>
          </cell>
          <cell r="I1420">
            <v>0.10492068655556445</v>
          </cell>
          <cell r="J1420">
            <v>0</v>
          </cell>
          <cell r="K1420">
            <v>239.77601549999997</v>
          </cell>
          <cell r="L1420">
            <v>5.0147535856944835E-2</v>
          </cell>
          <cell r="M1420">
            <v>0</v>
          </cell>
          <cell r="N1420">
            <v>741.44501549999973</v>
          </cell>
          <cell r="O1420">
            <v>0.15506822241250923</v>
          </cell>
          <cell r="P1420">
            <v>0</v>
          </cell>
          <cell r="Q1420">
            <v>4039.9667009999994</v>
          </cell>
          <cell r="R1420">
            <v>0.84493177758749027</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cell r="N1421">
            <v>0</v>
          </cell>
          <cell r="O1421">
            <v>0</v>
          </cell>
          <cell r="P1421">
            <v>0</v>
          </cell>
          <cell r="Q1421">
            <v>0</v>
          </cell>
          <cell r="R1421">
            <v>0</v>
          </cell>
        </row>
        <row r="1422">
          <cell r="A1422">
            <v>0</v>
          </cell>
          <cell r="B1422" t="str">
            <v>SUB TOTAL</v>
          </cell>
          <cell r="C1422">
            <v>0</v>
          </cell>
          <cell r="D1422">
            <v>0</v>
          </cell>
          <cell r="E1422">
            <v>0</v>
          </cell>
          <cell r="F1422">
            <v>122584.77105169006</v>
          </cell>
          <cell r="G1422">
            <v>0</v>
          </cell>
          <cell r="H1422">
            <v>12861.678340000002</v>
          </cell>
          <cell r="I1422">
            <v>0.10492068655556444</v>
          </cell>
          <cell r="J1422">
            <v>0</v>
          </cell>
          <cell r="K1422">
            <v>6147.3242018299989</v>
          </cell>
          <cell r="L1422">
            <v>5.0147535856944821E-2</v>
          </cell>
          <cell r="M1422">
            <v>0</v>
          </cell>
          <cell r="N1422">
            <v>19009.002541829996</v>
          </cell>
          <cell r="O1422">
            <v>0.15506822241250923</v>
          </cell>
          <cell r="P1422">
            <v>0</v>
          </cell>
          <cell r="Q1422">
            <v>103575.76850985999</v>
          </cell>
          <cell r="R1422">
            <v>0.84493177758749016</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cell r="N1423">
            <v>0</v>
          </cell>
          <cell r="O1423">
            <v>0</v>
          </cell>
          <cell r="P1423">
            <v>0</v>
          </cell>
          <cell r="Q1423">
            <v>0</v>
          </cell>
          <cell r="R1423">
            <v>0</v>
          </cell>
        </row>
        <row r="1424">
          <cell r="A1424">
            <v>0</v>
          </cell>
          <cell r="B1424" t="str">
            <v>SUB PRESUPUESTO 005 INSTALACIONES ELECTRICAS</v>
          </cell>
          <cell r="C1424">
            <v>0</v>
          </cell>
          <cell r="D1424">
            <v>0</v>
          </cell>
          <cell r="E1424">
            <v>0</v>
          </cell>
          <cell r="F1424">
            <v>0</v>
          </cell>
          <cell r="G1424">
            <v>0</v>
          </cell>
          <cell r="H1424">
            <v>0</v>
          </cell>
          <cell r="I1424">
            <v>0</v>
          </cell>
          <cell r="J1424">
            <v>0</v>
          </cell>
          <cell r="K1424">
            <v>0</v>
          </cell>
          <cell r="L1424">
            <v>0</v>
          </cell>
          <cell r="M1424">
            <v>0</v>
          </cell>
          <cell r="N1424">
            <v>0</v>
          </cell>
          <cell r="O1424">
            <v>0</v>
          </cell>
          <cell r="P1424">
            <v>0</v>
          </cell>
          <cell r="Q1424">
            <v>0</v>
          </cell>
          <cell r="R1424">
            <v>0</v>
          </cell>
        </row>
        <row r="1425">
          <cell r="A1425" t="str">
            <v>22</v>
          </cell>
          <cell r="B1425" t="str">
            <v>BLOQUE - 1, 2 y 3</v>
          </cell>
          <cell r="C1425">
            <v>0</v>
          </cell>
          <cell r="D1425">
            <v>0</v>
          </cell>
          <cell r="E1425">
            <v>0</v>
          </cell>
          <cell r="F1425">
            <v>0</v>
          </cell>
          <cell r="G1425">
            <v>0</v>
          </cell>
          <cell r="H1425">
            <v>0</v>
          </cell>
          <cell r="I1425">
            <v>0</v>
          </cell>
          <cell r="J1425">
            <v>0</v>
          </cell>
          <cell r="K1425">
            <v>0</v>
          </cell>
          <cell r="L1425">
            <v>0</v>
          </cell>
          <cell r="M1425">
            <v>0</v>
          </cell>
          <cell r="N1425">
            <v>0</v>
          </cell>
          <cell r="O1425">
            <v>0</v>
          </cell>
          <cell r="P1425">
            <v>0</v>
          </cell>
          <cell r="Q1425">
            <v>0</v>
          </cell>
          <cell r="R1425">
            <v>0</v>
          </cell>
        </row>
        <row r="1426">
          <cell r="A1426" t="str">
            <v>22.01</v>
          </cell>
          <cell r="B1426" t="str">
            <v>INSTALACIONES ELECTRICAS</v>
          </cell>
          <cell r="C1426">
            <v>0</v>
          </cell>
          <cell r="D1426">
            <v>0</v>
          </cell>
          <cell r="E1426">
            <v>0</v>
          </cell>
          <cell r="F1426">
            <v>0</v>
          </cell>
          <cell r="G1426">
            <v>0</v>
          </cell>
          <cell r="H1426">
            <v>0</v>
          </cell>
          <cell r="I1426">
            <v>0</v>
          </cell>
          <cell r="J1426">
            <v>0</v>
          </cell>
          <cell r="K1426">
            <v>0</v>
          </cell>
          <cell r="L1426">
            <v>0</v>
          </cell>
          <cell r="M1426">
            <v>0</v>
          </cell>
          <cell r="N1426">
            <v>0</v>
          </cell>
          <cell r="O1426">
            <v>0</v>
          </cell>
          <cell r="P1426">
            <v>0</v>
          </cell>
          <cell r="Q1426">
            <v>0</v>
          </cell>
          <cell r="R1426">
            <v>0</v>
          </cell>
        </row>
        <row r="1427">
          <cell r="A1427" t="str">
            <v>22.01.01</v>
          </cell>
          <cell r="B1427" t="str">
            <v>TABLEROS</v>
          </cell>
          <cell r="C1427">
            <v>0</v>
          </cell>
          <cell r="D1427">
            <v>0</v>
          </cell>
          <cell r="E1427">
            <v>0</v>
          </cell>
          <cell r="F1427">
            <v>0</v>
          </cell>
          <cell r="G1427">
            <v>0</v>
          </cell>
          <cell r="H1427">
            <v>0</v>
          </cell>
          <cell r="I1427">
            <v>0</v>
          </cell>
          <cell r="J1427">
            <v>0</v>
          </cell>
          <cell r="K1427">
            <v>0</v>
          </cell>
          <cell r="L1427">
            <v>0</v>
          </cell>
          <cell r="M1427">
            <v>0</v>
          </cell>
          <cell r="N1427">
            <v>0</v>
          </cell>
          <cell r="O1427">
            <v>0</v>
          </cell>
          <cell r="P1427">
            <v>0</v>
          </cell>
          <cell r="Q1427">
            <v>0</v>
          </cell>
          <cell r="R1427">
            <v>0</v>
          </cell>
        </row>
        <row r="1428">
          <cell r="A1428" t="str">
            <v>22.01.01.01</v>
          </cell>
          <cell r="B1428" t="str">
            <v>TABLERO DE DISTRIBUCION TD - 01</v>
          </cell>
          <cell r="C1428" t="str">
            <v>Eqp</v>
          </cell>
          <cell r="D1428">
            <v>1</v>
          </cell>
          <cell r="E1428">
            <v>2023.05</v>
          </cell>
          <cell r="F1428">
            <v>2023.05</v>
          </cell>
          <cell r="G1428">
            <v>0</v>
          </cell>
          <cell r="H1428">
            <v>0</v>
          </cell>
          <cell r="I1428" t="str">
            <v>0.00%</v>
          </cell>
          <cell r="J1428">
            <v>0</v>
          </cell>
          <cell r="K1428">
            <v>0</v>
          </cell>
          <cell r="L1428" t="str">
            <v>0.00%</v>
          </cell>
          <cell r="M1428">
            <v>0</v>
          </cell>
          <cell r="N1428">
            <v>0</v>
          </cell>
          <cell r="O1428" t="str">
            <v>0.00%</v>
          </cell>
          <cell r="P1428">
            <v>1</v>
          </cell>
          <cell r="Q1428">
            <v>2023.05</v>
          </cell>
          <cell r="R1428">
            <v>1</v>
          </cell>
        </row>
        <row r="1429">
          <cell r="A1429" t="str">
            <v>22.01.01.02</v>
          </cell>
          <cell r="B1429" t="str">
            <v>TABLERO DE DISTRIBUCION TD - 02</v>
          </cell>
          <cell r="C1429" t="str">
            <v>Eqp</v>
          </cell>
          <cell r="D1429">
            <v>1</v>
          </cell>
          <cell r="E1429">
            <v>2023.05</v>
          </cell>
          <cell r="F1429">
            <v>2023.05</v>
          </cell>
          <cell r="G1429">
            <v>0</v>
          </cell>
          <cell r="H1429">
            <v>0</v>
          </cell>
          <cell r="I1429" t="str">
            <v>0.00%</v>
          </cell>
          <cell r="J1429">
            <v>0</v>
          </cell>
          <cell r="K1429">
            <v>0</v>
          </cell>
          <cell r="L1429" t="str">
            <v>0.00%</v>
          </cell>
          <cell r="M1429">
            <v>0</v>
          </cell>
          <cell r="N1429">
            <v>0</v>
          </cell>
          <cell r="O1429" t="str">
            <v>0.00%</v>
          </cell>
          <cell r="P1429">
            <v>1</v>
          </cell>
          <cell r="Q1429">
            <v>2023.05</v>
          </cell>
          <cell r="R1429">
            <v>1</v>
          </cell>
        </row>
        <row r="1430">
          <cell r="A1430" t="str">
            <v>22.01.02</v>
          </cell>
          <cell r="B1430" t="str">
            <v>SALIDA PARA CENTRO DE LUZ</v>
          </cell>
          <cell r="C1430">
            <v>0</v>
          </cell>
          <cell r="D1430">
            <v>0</v>
          </cell>
          <cell r="E1430">
            <v>0</v>
          </cell>
          <cell r="F1430">
            <v>0</v>
          </cell>
          <cell r="G1430">
            <v>0</v>
          </cell>
          <cell r="H1430">
            <v>0</v>
          </cell>
          <cell r="I1430">
            <v>0</v>
          </cell>
          <cell r="J1430">
            <v>0</v>
          </cell>
          <cell r="K1430">
            <v>0</v>
          </cell>
          <cell r="L1430">
            <v>0</v>
          </cell>
          <cell r="M1430">
            <v>0</v>
          </cell>
          <cell r="N1430">
            <v>0</v>
          </cell>
          <cell r="O1430">
            <v>0</v>
          </cell>
          <cell r="P1430">
            <v>0</v>
          </cell>
          <cell r="Q1430">
            <v>0</v>
          </cell>
          <cell r="R1430">
            <v>0</v>
          </cell>
        </row>
        <row r="1431">
          <cell r="A1431" t="str">
            <v>22.01.02.01</v>
          </cell>
          <cell r="B1431" t="str">
            <v xml:space="preserve">SALIDA PARA CENTRO DE LUZ  </v>
          </cell>
          <cell r="C1431" t="str">
            <v>pto</v>
          </cell>
          <cell r="D1431">
            <v>124</v>
          </cell>
          <cell r="E1431">
            <v>68.55</v>
          </cell>
          <cell r="F1431">
            <v>8500.1999999999989</v>
          </cell>
          <cell r="G1431">
            <v>124</v>
          </cell>
          <cell r="H1431">
            <v>8500.1999999999989</v>
          </cell>
          <cell r="I1431">
            <v>1</v>
          </cell>
          <cell r="J1431">
            <v>0</v>
          </cell>
          <cell r="K1431">
            <v>0</v>
          </cell>
          <cell r="L1431" t="str">
            <v>0.00%</v>
          </cell>
          <cell r="M1431">
            <v>124</v>
          </cell>
          <cell r="N1431">
            <v>8500.1999999999989</v>
          </cell>
          <cell r="O1431">
            <v>1</v>
          </cell>
          <cell r="P1431">
            <v>0</v>
          </cell>
          <cell r="Q1431">
            <v>0</v>
          </cell>
          <cell r="R1431" t="str">
            <v>0.00%</v>
          </cell>
        </row>
        <row r="1432">
          <cell r="A1432" t="str">
            <v>22.01.02.02</v>
          </cell>
          <cell r="B1432" t="str">
            <v>SALIDA PARA LUZ DE EMERGENCIA</v>
          </cell>
          <cell r="C1432" t="str">
            <v>pto</v>
          </cell>
          <cell r="D1432">
            <v>8</v>
          </cell>
          <cell r="E1432">
            <v>115.82</v>
          </cell>
          <cell r="F1432">
            <v>926.56</v>
          </cell>
          <cell r="G1432">
            <v>8</v>
          </cell>
          <cell r="H1432">
            <v>926.56</v>
          </cell>
          <cell r="I1432">
            <v>1</v>
          </cell>
          <cell r="J1432">
            <v>0</v>
          </cell>
          <cell r="K1432">
            <v>0</v>
          </cell>
          <cell r="L1432" t="str">
            <v>0.00%</v>
          </cell>
          <cell r="M1432">
            <v>8</v>
          </cell>
          <cell r="N1432">
            <v>926.56</v>
          </cell>
          <cell r="O1432">
            <v>1</v>
          </cell>
          <cell r="P1432">
            <v>0</v>
          </cell>
          <cell r="Q1432">
            <v>0</v>
          </cell>
          <cell r="R1432" t="str">
            <v>0.00%</v>
          </cell>
        </row>
        <row r="1433">
          <cell r="A1433" t="str">
            <v>22.01.03</v>
          </cell>
          <cell r="B1433" t="str">
            <v>ARTEFACTOS DE ILUMINACION</v>
          </cell>
          <cell r="C1433">
            <v>0</v>
          </cell>
          <cell r="D1433">
            <v>0</v>
          </cell>
          <cell r="E1433">
            <v>0</v>
          </cell>
          <cell r="F1433">
            <v>0</v>
          </cell>
          <cell r="G1433">
            <v>0</v>
          </cell>
          <cell r="H1433">
            <v>0</v>
          </cell>
          <cell r="I1433">
            <v>0</v>
          </cell>
          <cell r="J1433">
            <v>0</v>
          </cell>
          <cell r="K1433">
            <v>0</v>
          </cell>
          <cell r="L1433">
            <v>0</v>
          </cell>
          <cell r="M1433">
            <v>0</v>
          </cell>
          <cell r="N1433">
            <v>0</v>
          </cell>
          <cell r="O1433">
            <v>0</v>
          </cell>
          <cell r="P1433">
            <v>0</v>
          </cell>
          <cell r="Q1433">
            <v>0</v>
          </cell>
          <cell r="R1433">
            <v>0</v>
          </cell>
        </row>
        <row r="1434">
          <cell r="A1434" t="str">
            <v>22.01.03.01</v>
          </cell>
          <cell r="B1434" t="str">
            <v>Artefacto para adosar, con 02 fluorecente lineales de 36W, con rejilla y sistema optico parabolico</v>
          </cell>
          <cell r="C1434" t="str">
            <v>und</v>
          </cell>
          <cell r="D1434">
            <v>99</v>
          </cell>
          <cell r="E1434">
            <v>108.62</v>
          </cell>
          <cell r="F1434">
            <v>10753.380000000001</v>
          </cell>
          <cell r="G1434">
            <v>0</v>
          </cell>
          <cell r="H1434">
            <v>0</v>
          </cell>
          <cell r="I1434" t="str">
            <v>0.00%</v>
          </cell>
          <cell r="J1434">
            <v>0</v>
          </cell>
          <cell r="K1434">
            <v>0</v>
          </cell>
          <cell r="L1434" t="str">
            <v>0.00%</v>
          </cell>
          <cell r="M1434">
            <v>0</v>
          </cell>
          <cell r="N1434">
            <v>0</v>
          </cell>
          <cell r="O1434" t="str">
            <v>0.00%</v>
          </cell>
          <cell r="P1434">
            <v>99</v>
          </cell>
          <cell r="Q1434">
            <v>10753.380000000001</v>
          </cell>
          <cell r="R1434">
            <v>1</v>
          </cell>
        </row>
        <row r="1435">
          <cell r="A1435" t="str">
            <v>22.01.03.02</v>
          </cell>
          <cell r="B1435" t="str">
            <v>Artefacto para adosar, con 02 fluorecente lineales de 18W, con rejilla y sistema optico semiparabolico</v>
          </cell>
          <cell r="C1435" t="str">
            <v>und</v>
          </cell>
          <cell r="D1435">
            <v>17</v>
          </cell>
          <cell r="E1435">
            <v>70.62</v>
          </cell>
          <cell r="F1435">
            <v>1200.54</v>
          </cell>
          <cell r="G1435">
            <v>0</v>
          </cell>
          <cell r="H1435">
            <v>0</v>
          </cell>
          <cell r="I1435" t="str">
            <v>0.00%</v>
          </cell>
          <cell r="J1435">
            <v>0</v>
          </cell>
          <cell r="K1435">
            <v>0</v>
          </cell>
          <cell r="L1435" t="str">
            <v>0.00%</v>
          </cell>
          <cell r="M1435">
            <v>0</v>
          </cell>
          <cell r="N1435">
            <v>0</v>
          </cell>
          <cell r="O1435" t="str">
            <v>0.00%</v>
          </cell>
          <cell r="P1435">
            <v>17</v>
          </cell>
          <cell r="Q1435">
            <v>1200.54</v>
          </cell>
          <cell r="R1435">
            <v>1</v>
          </cell>
        </row>
        <row r="1436">
          <cell r="A1436" t="str">
            <v>22.01.03.03</v>
          </cell>
          <cell r="B1436" t="str">
            <v>Luminaria para empotrar em techo tipo LED, lampara Led de 61W.</v>
          </cell>
          <cell r="C1436" t="str">
            <v>und</v>
          </cell>
          <cell r="D1436">
            <v>8</v>
          </cell>
          <cell r="E1436">
            <v>105.62</v>
          </cell>
          <cell r="F1436">
            <v>844.96</v>
          </cell>
          <cell r="G1436">
            <v>0</v>
          </cell>
          <cell r="H1436">
            <v>0</v>
          </cell>
          <cell r="I1436" t="str">
            <v>0.00%</v>
          </cell>
          <cell r="J1436">
            <v>0</v>
          </cell>
          <cell r="K1436">
            <v>0</v>
          </cell>
          <cell r="L1436" t="str">
            <v>0.00%</v>
          </cell>
          <cell r="M1436">
            <v>0</v>
          </cell>
          <cell r="N1436">
            <v>0</v>
          </cell>
          <cell r="O1436" t="str">
            <v>0.00%</v>
          </cell>
          <cell r="P1436">
            <v>8</v>
          </cell>
          <cell r="Q1436">
            <v>844.96</v>
          </cell>
          <cell r="R1436">
            <v>1</v>
          </cell>
        </row>
        <row r="1437">
          <cell r="A1437" t="str">
            <v>22.01.03.04</v>
          </cell>
          <cell r="B1437" t="str">
            <v>Artefacto de iluminacion EM luz de emergencia</v>
          </cell>
          <cell r="C1437" t="str">
            <v>und</v>
          </cell>
          <cell r="D1437">
            <v>8</v>
          </cell>
          <cell r="E1437">
            <v>128.33000000000001</v>
          </cell>
          <cell r="F1437">
            <v>1026.6400000000001</v>
          </cell>
          <cell r="G1437">
            <v>0</v>
          </cell>
          <cell r="H1437">
            <v>0</v>
          </cell>
          <cell r="I1437" t="str">
            <v>0.00%</v>
          </cell>
          <cell r="J1437">
            <v>0</v>
          </cell>
          <cell r="K1437">
            <v>0</v>
          </cell>
          <cell r="L1437" t="str">
            <v>0.00%</v>
          </cell>
          <cell r="M1437">
            <v>0</v>
          </cell>
          <cell r="N1437">
            <v>0</v>
          </cell>
          <cell r="O1437" t="str">
            <v>0.00%</v>
          </cell>
          <cell r="P1437">
            <v>8</v>
          </cell>
          <cell r="Q1437">
            <v>1026.6400000000001</v>
          </cell>
          <cell r="R1437">
            <v>1</v>
          </cell>
        </row>
        <row r="1438">
          <cell r="A1438" t="str">
            <v>22.01.04</v>
          </cell>
          <cell r="B1438" t="str">
            <v>INTERRUPTORES</v>
          </cell>
          <cell r="C1438">
            <v>0</v>
          </cell>
          <cell r="D1438">
            <v>0</v>
          </cell>
          <cell r="E1438">
            <v>0</v>
          </cell>
          <cell r="F1438">
            <v>0</v>
          </cell>
          <cell r="G1438">
            <v>0</v>
          </cell>
          <cell r="H1438">
            <v>0</v>
          </cell>
          <cell r="I1438">
            <v>0</v>
          </cell>
          <cell r="J1438">
            <v>0</v>
          </cell>
          <cell r="K1438">
            <v>0</v>
          </cell>
          <cell r="L1438">
            <v>0</v>
          </cell>
          <cell r="M1438">
            <v>0</v>
          </cell>
          <cell r="N1438">
            <v>0</v>
          </cell>
          <cell r="O1438">
            <v>0</v>
          </cell>
          <cell r="P1438">
            <v>0</v>
          </cell>
          <cell r="Q1438">
            <v>0</v>
          </cell>
          <cell r="R1438">
            <v>0</v>
          </cell>
        </row>
        <row r="1439">
          <cell r="A1439" t="str">
            <v>22.01.04.01</v>
          </cell>
          <cell r="B1439" t="str">
            <v>SALIDA PARA INTERRUPTOR SIMPLE, INCLUYE INSTALACION DE INTERRUPTOR</v>
          </cell>
          <cell r="C1439" t="str">
            <v>pto</v>
          </cell>
          <cell r="D1439">
            <v>28</v>
          </cell>
          <cell r="E1439">
            <v>53.98</v>
          </cell>
          <cell r="F1439">
            <v>1511.4399999999998</v>
          </cell>
          <cell r="G1439">
            <v>0</v>
          </cell>
          <cell r="H1439">
            <v>0</v>
          </cell>
          <cell r="I1439" t="str">
            <v>0.00%</v>
          </cell>
          <cell r="J1439">
            <v>14</v>
          </cell>
          <cell r="K1439">
            <v>755.71999999999991</v>
          </cell>
          <cell r="L1439">
            <v>0.5</v>
          </cell>
          <cell r="M1439">
            <v>14</v>
          </cell>
          <cell r="N1439">
            <v>755.71999999999991</v>
          </cell>
          <cell r="O1439">
            <v>0.5</v>
          </cell>
          <cell r="P1439">
            <v>14</v>
          </cell>
          <cell r="Q1439">
            <v>755.71999999999991</v>
          </cell>
          <cell r="R1439">
            <v>0.5</v>
          </cell>
        </row>
        <row r="1440">
          <cell r="A1440" t="str">
            <v>22.01.04.02</v>
          </cell>
          <cell r="B1440" t="str">
            <v>SALIDA PARA INTERRUPTOR DOBLE, INCLUYE INSTALACION DE INTERRUPTOR</v>
          </cell>
          <cell r="C1440" t="str">
            <v>pto</v>
          </cell>
          <cell r="D1440">
            <v>18</v>
          </cell>
          <cell r="E1440">
            <v>55.98</v>
          </cell>
          <cell r="F1440">
            <v>1007.64</v>
          </cell>
          <cell r="G1440">
            <v>0</v>
          </cell>
          <cell r="H1440">
            <v>0</v>
          </cell>
          <cell r="I1440" t="str">
            <v>0.00%</v>
          </cell>
          <cell r="J1440">
            <v>9</v>
          </cell>
          <cell r="K1440">
            <v>503.82</v>
          </cell>
          <cell r="L1440">
            <v>0.5</v>
          </cell>
          <cell r="M1440">
            <v>9</v>
          </cell>
          <cell r="N1440">
            <v>503.82</v>
          </cell>
          <cell r="O1440">
            <v>0.5</v>
          </cell>
          <cell r="P1440">
            <v>9</v>
          </cell>
          <cell r="Q1440">
            <v>503.82</v>
          </cell>
          <cell r="R1440">
            <v>0.5</v>
          </cell>
        </row>
        <row r="1441">
          <cell r="A1441" t="str">
            <v>22.01.04.03</v>
          </cell>
          <cell r="B1441" t="str">
            <v>SALIDA PARA INTERRUPTOR DE CONMUTACION SIMPLE, INCLUYE INSTALACION DE IN TERRUPTOR</v>
          </cell>
          <cell r="C1441" t="str">
            <v>pto</v>
          </cell>
          <cell r="D1441">
            <v>4</v>
          </cell>
          <cell r="E1441">
            <v>66.44</v>
          </cell>
          <cell r="F1441">
            <v>265.76</v>
          </cell>
          <cell r="G1441">
            <v>0</v>
          </cell>
          <cell r="H1441">
            <v>0</v>
          </cell>
          <cell r="I1441" t="str">
            <v>0.00%</v>
          </cell>
          <cell r="J1441">
            <v>2</v>
          </cell>
          <cell r="K1441">
            <v>132.88</v>
          </cell>
          <cell r="L1441">
            <v>0.5</v>
          </cell>
          <cell r="M1441">
            <v>2</v>
          </cell>
          <cell r="N1441">
            <v>132.88</v>
          </cell>
          <cell r="O1441">
            <v>0.5</v>
          </cell>
          <cell r="P1441">
            <v>2</v>
          </cell>
          <cell r="Q1441">
            <v>132.88</v>
          </cell>
          <cell r="R1441">
            <v>0.5</v>
          </cell>
        </row>
        <row r="1442">
          <cell r="A1442" t="str">
            <v>22.01.05</v>
          </cell>
          <cell r="B1442" t="str">
            <v>TOMACORRIENTES</v>
          </cell>
          <cell r="C1442">
            <v>0</v>
          </cell>
          <cell r="D1442">
            <v>0</v>
          </cell>
          <cell r="E1442">
            <v>0</v>
          </cell>
          <cell r="F1442">
            <v>0</v>
          </cell>
          <cell r="G1442">
            <v>0</v>
          </cell>
          <cell r="H1442">
            <v>0</v>
          </cell>
          <cell r="I1442">
            <v>0</v>
          </cell>
          <cell r="J1442">
            <v>0</v>
          </cell>
          <cell r="K1442">
            <v>0</v>
          </cell>
          <cell r="L1442">
            <v>0</v>
          </cell>
          <cell r="M1442">
            <v>0</v>
          </cell>
          <cell r="N1442">
            <v>0</v>
          </cell>
          <cell r="O1442">
            <v>0</v>
          </cell>
          <cell r="P1442">
            <v>0</v>
          </cell>
          <cell r="Q1442">
            <v>0</v>
          </cell>
          <cell r="R1442">
            <v>0</v>
          </cell>
        </row>
        <row r="1443">
          <cell r="A1443" t="str">
            <v>22.01.05.01</v>
          </cell>
          <cell r="B1443" t="str">
            <v>SALIDA PARA TOMACORRIENTES DOBLE CON PUESTA TIERRA, INCLUYE INSTALACION DE TOMACORRIENTE</v>
          </cell>
          <cell r="C1443" t="str">
            <v>pto</v>
          </cell>
          <cell r="D1443">
            <v>99</v>
          </cell>
          <cell r="E1443">
            <v>95.35</v>
          </cell>
          <cell r="F1443">
            <v>9439.65</v>
          </cell>
          <cell r="G1443">
            <v>0</v>
          </cell>
          <cell r="H1443">
            <v>0</v>
          </cell>
          <cell r="I1443" t="str">
            <v>0.00%</v>
          </cell>
          <cell r="J1443">
            <v>50</v>
          </cell>
          <cell r="K1443">
            <v>4767.5</v>
          </cell>
          <cell r="L1443">
            <v>0.50505050505050508</v>
          </cell>
          <cell r="M1443">
            <v>50</v>
          </cell>
          <cell r="N1443">
            <v>4767.5</v>
          </cell>
          <cell r="O1443">
            <v>0.50505050505050508</v>
          </cell>
          <cell r="P1443">
            <v>49</v>
          </cell>
          <cell r="Q1443">
            <v>4672.1499999999996</v>
          </cell>
          <cell r="R1443">
            <v>0.49494949494949492</v>
          </cell>
        </row>
        <row r="1444">
          <cell r="A1444" t="str">
            <v>22.02</v>
          </cell>
          <cell r="B1444" t="str">
            <v>SISTEMAS ESPECIALES</v>
          </cell>
          <cell r="C1444">
            <v>0</v>
          </cell>
          <cell r="D1444">
            <v>0</v>
          </cell>
          <cell r="E1444">
            <v>0</v>
          </cell>
          <cell r="F1444">
            <v>0</v>
          </cell>
          <cell r="G1444">
            <v>0</v>
          </cell>
          <cell r="H1444">
            <v>0</v>
          </cell>
          <cell r="I1444">
            <v>0</v>
          </cell>
          <cell r="J1444">
            <v>0</v>
          </cell>
          <cell r="K1444">
            <v>0</v>
          </cell>
          <cell r="L1444">
            <v>0</v>
          </cell>
          <cell r="M1444">
            <v>0</v>
          </cell>
          <cell r="N1444">
            <v>0</v>
          </cell>
          <cell r="O1444">
            <v>0</v>
          </cell>
          <cell r="P1444">
            <v>0</v>
          </cell>
          <cell r="Q1444">
            <v>0</v>
          </cell>
          <cell r="R1444">
            <v>0</v>
          </cell>
        </row>
        <row r="1445">
          <cell r="A1445" t="str">
            <v>22.02.01</v>
          </cell>
          <cell r="B1445" t="str">
            <v>SALIDAS DE SISTEMAS ESPECIALES</v>
          </cell>
          <cell r="C1445">
            <v>0</v>
          </cell>
          <cell r="D1445">
            <v>0</v>
          </cell>
          <cell r="E1445">
            <v>0</v>
          </cell>
          <cell r="F1445">
            <v>0</v>
          </cell>
          <cell r="G1445">
            <v>0</v>
          </cell>
          <cell r="H1445">
            <v>0</v>
          </cell>
          <cell r="I1445">
            <v>0</v>
          </cell>
          <cell r="J1445">
            <v>0</v>
          </cell>
          <cell r="K1445">
            <v>0</v>
          </cell>
          <cell r="L1445">
            <v>0</v>
          </cell>
          <cell r="M1445">
            <v>0</v>
          </cell>
          <cell r="N1445">
            <v>0</v>
          </cell>
          <cell r="O1445">
            <v>0</v>
          </cell>
          <cell r="P1445">
            <v>0</v>
          </cell>
          <cell r="Q1445">
            <v>0</v>
          </cell>
          <cell r="R1445">
            <v>0</v>
          </cell>
        </row>
        <row r="1446">
          <cell r="A1446" t="str">
            <v>22.02.01.01</v>
          </cell>
          <cell r="B1446" t="str">
            <v>SALIDA SIMPLE PARA RED DE DATOS</v>
          </cell>
          <cell r="C1446" t="str">
            <v>pto</v>
          </cell>
          <cell r="D1446">
            <v>12</v>
          </cell>
          <cell r="E1446">
            <v>270.77999999999997</v>
          </cell>
          <cell r="F1446">
            <v>3249.3599999999997</v>
          </cell>
          <cell r="G1446">
            <v>12</v>
          </cell>
          <cell r="H1446">
            <v>3249.3599999999997</v>
          </cell>
          <cell r="I1446">
            <v>1</v>
          </cell>
          <cell r="J1446">
            <v>0</v>
          </cell>
          <cell r="K1446">
            <v>0</v>
          </cell>
          <cell r="L1446" t="str">
            <v>0.00%</v>
          </cell>
          <cell r="M1446">
            <v>12</v>
          </cell>
          <cell r="N1446">
            <v>3249.3599999999997</v>
          </cell>
          <cell r="O1446">
            <v>1</v>
          </cell>
          <cell r="P1446">
            <v>0</v>
          </cell>
          <cell r="Q1446">
            <v>0</v>
          </cell>
          <cell r="R1446" t="str">
            <v>0.00%</v>
          </cell>
        </row>
        <row r="1447">
          <cell r="A1447" t="str">
            <v>22.02.01.02</v>
          </cell>
          <cell r="B1447" t="str">
            <v>SALIDA DOBLE PARA RED DE DATOS</v>
          </cell>
          <cell r="C1447" t="str">
            <v>pto</v>
          </cell>
          <cell r="D1447">
            <v>12</v>
          </cell>
          <cell r="E1447">
            <v>199.28</v>
          </cell>
          <cell r="F1447">
            <v>2391.36</v>
          </cell>
          <cell r="G1447">
            <v>12</v>
          </cell>
          <cell r="H1447">
            <v>2391.36</v>
          </cell>
          <cell r="I1447">
            <v>1</v>
          </cell>
          <cell r="J1447">
            <v>0</v>
          </cell>
          <cell r="K1447">
            <v>0</v>
          </cell>
          <cell r="L1447" t="str">
            <v>0.00%</v>
          </cell>
          <cell r="M1447">
            <v>12</v>
          </cell>
          <cell r="N1447">
            <v>2391.36</v>
          </cell>
          <cell r="O1447">
            <v>1</v>
          </cell>
          <cell r="P1447">
            <v>0</v>
          </cell>
          <cell r="Q1447">
            <v>0</v>
          </cell>
          <cell r="R1447" t="str">
            <v>0.00%</v>
          </cell>
        </row>
        <row r="1448">
          <cell r="A1448" t="str">
            <v>22.02.01.03</v>
          </cell>
          <cell r="B1448" t="str">
            <v>SALIDA PARA PROYECTOR MULTIMEDIA</v>
          </cell>
          <cell r="C1448" t="str">
            <v>pto</v>
          </cell>
          <cell r="D1448">
            <v>4</v>
          </cell>
          <cell r="E1448">
            <v>307.97000000000003</v>
          </cell>
          <cell r="F1448">
            <v>1231.8800000000001</v>
          </cell>
          <cell r="G1448">
            <v>4</v>
          </cell>
          <cell r="H1448">
            <v>1231.8800000000001</v>
          </cell>
          <cell r="I1448">
            <v>1</v>
          </cell>
          <cell r="J1448">
            <v>0</v>
          </cell>
          <cell r="K1448">
            <v>0</v>
          </cell>
          <cell r="L1448" t="str">
            <v>0.00%</v>
          </cell>
          <cell r="M1448">
            <v>4</v>
          </cell>
          <cell r="N1448">
            <v>1231.8800000000001</v>
          </cell>
          <cell r="O1448">
            <v>1</v>
          </cell>
          <cell r="P1448">
            <v>0</v>
          </cell>
          <cell r="Q1448">
            <v>0</v>
          </cell>
          <cell r="R1448" t="str">
            <v>0.00%</v>
          </cell>
        </row>
        <row r="1449">
          <cell r="A1449" t="str">
            <v>22.02.01.04</v>
          </cell>
          <cell r="B1449" t="str">
            <v>SALIDA PARA DETECTORES DE HUMO</v>
          </cell>
          <cell r="C1449" t="str">
            <v>pto</v>
          </cell>
          <cell r="D1449">
            <v>28</v>
          </cell>
          <cell r="E1449">
            <v>143.56</v>
          </cell>
          <cell r="F1449">
            <v>4019.6800000000003</v>
          </cell>
          <cell r="G1449">
            <v>28</v>
          </cell>
          <cell r="H1449">
            <v>4019.6800000000003</v>
          </cell>
          <cell r="I1449">
            <v>1</v>
          </cell>
          <cell r="J1449">
            <v>0</v>
          </cell>
          <cell r="K1449">
            <v>0</v>
          </cell>
          <cell r="L1449" t="str">
            <v>0.00%</v>
          </cell>
          <cell r="M1449">
            <v>28</v>
          </cell>
          <cell r="N1449">
            <v>4019.6800000000003</v>
          </cell>
          <cell r="O1449">
            <v>1</v>
          </cell>
          <cell r="P1449">
            <v>0</v>
          </cell>
          <cell r="Q1449">
            <v>0</v>
          </cell>
          <cell r="R1449" t="str">
            <v>0.00%</v>
          </cell>
        </row>
        <row r="1450">
          <cell r="A1450" t="str">
            <v>22.02.01.05</v>
          </cell>
          <cell r="B1450" t="str">
            <v>SALIDA PARA ESTACION MANUAL DE ALARMA CONTRA INCENDIO, PULSADOR Y ALARMA SONORA CONTRA INCENDIO.</v>
          </cell>
          <cell r="C1450" t="str">
            <v>pto</v>
          </cell>
          <cell r="D1450">
            <v>1</v>
          </cell>
          <cell r="E1450">
            <v>97.52</v>
          </cell>
          <cell r="F1450">
            <v>97.52</v>
          </cell>
          <cell r="G1450">
            <v>1</v>
          </cell>
          <cell r="H1450">
            <v>97.52</v>
          </cell>
          <cell r="I1450">
            <v>1</v>
          </cell>
          <cell r="J1450">
            <v>0</v>
          </cell>
          <cell r="K1450">
            <v>0</v>
          </cell>
          <cell r="L1450" t="str">
            <v>0.00%</v>
          </cell>
          <cell r="M1450">
            <v>1</v>
          </cell>
          <cell r="N1450">
            <v>97.52</v>
          </cell>
          <cell r="O1450">
            <v>1</v>
          </cell>
          <cell r="P1450">
            <v>0</v>
          </cell>
          <cell r="Q1450">
            <v>0</v>
          </cell>
          <cell r="R1450" t="str">
            <v>0.00%</v>
          </cell>
        </row>
        <row r="1451">
          <cell r="A1451" t="str">
            <v>22.02.01.06</v>
          </cell>
          <cell r="B1451" t="str">
            <v>SALIDA PARA PUNTO DE TV-CABLE, INCLUYE INSTALACION DE TAPA CIEGA</v>
          </cell>
          <cell r="C1451" t="str">
            <v>pto</v>
          </cell>
          <cell r="D1451">
            <v>10</v>
          </cell>
          <cell r="E1451">
            <v>102.44</v>
          </cell>
          <cell r="F1451">
            <v>1024.4000000000001</v>
          </cell>
          <cell r="G1451">
            <v>10</v>
          </cell>
          <cell r="H1451">
            <v>1024.4000000000001</v>
          </cell>
          <cell r="I1451">
            <v>1</v>
          </cell>
          <cell r="J1451">
            <v>0</v>
          </cell>
          <cell r="K1451">
            <v>0</v>
          </cell>
          <cell r="L1451" t="str">
            <v>0.00%</v>
          </cell>
          <cell r="M1451">
            <v>10</v>
          </cell>
          <cell r="N1451">
            <v>1024.4000000000001</v>
          </cell>
          <cell r="O1451">
            <v>1</v>
          </cell>
          <cell r="P1451">
            <v>0</v>
          </cell>
          <cell r="Q1451">
            <v>0</v>
          </cell>
          <cell r="R1451" t="str">
            <v>0.00%</v>
          </cell>
        </row>
        <row r="1452">
          <cell r="A1452" t="str">
            <v>22.02.02</v>
          </cell>
          <cell r="B1452" t="str">
            <v>CAJAS DE PASE</v>
          </cell>
          <cell r="C1452">
            <v>0</v>
          </cell>
          <cell r="D1452">
            <v>0</v>
          </cell>
          <cell r="E1452">
            <v>0</v>
          </cell>
          <cell r="F1452">
            <v>0</v>
          </cell>
          <cell r="G1452">
            <v>0</v>
          </cell>
          <cell r="H1452">
            <v>0</v>
          </cell>
          <cell r="I1452">
            <v>0</v>
          </cell>
          <cell r="J1452">
            <v>0</v>
          </cell>
          <cell r="K1452">
            <v>0</v>
          </cell>
          <cell r="L1452">
            <v>0</v>
          </cell>
          <cell r="M1452">
            <v>0</v>
          </cell>
          <cell r="N1452">
            <v>0</v>
          </cell>
          <cell r="O1452">
            <v>0</v>
          </cell>
          <cell r="P1452">
            <v>0</v>
          </cell>
          <cell r="Q1452">
            <v>0</v>
          </cell>
          <cell r="R1452">
            <v>0</v>
          </cell>
        </row>
        <row r="1453">
          <cell r="A1453" t="str">
            <v>22.02.02.01</v>
          </cell>
          <cell r="B1453" t="str">
            <v>INSTALACION DE CAJA DE PASO DE 15x15X8cm.</v>
          </cell>
          <cell r="C1453" t="str">
            <v>und</v>
          </cell>
          <cell r="D1453">
            <v>9</v>
          </cell>
          <cell r="E1453">
            <v>79.64</v>
          </cell>
          <cell r="F1453">
            <v>716.76</v>
          </cell>
          <cell r="G1453">
            <v>0</v>
          </cell>
          <cell r="H1453">
            <v>0</v>
          </cell>
          <cell r="I1453" t="str">
            <v>0.00%</v>
          </cell>
          <cell r="J1453">
            <v>0</v>
          </cell>
          <cell r="K1453">
            <v>0</v>
          </cell>
          <cell r="L1453" t="str">
            <v>0.00%</v>
          </cell>
          <cell r="M1453">
            <v>0</v>
          </cell>
          <cell r="N1453">
            <v>0</v>
          </cell>
          <cell r="O1453" t="str">
            <v>0.00%</v>
          </cell>
          <cell r="P1453">
            <v>9</v>
          </cell>
          <cell r="Q1453">
            <v>716.76</v>
          </cell>
          <cell r="R1453">
            <v>1</v>
          </cell>
        </row>
        <row r="1454">
          <cell r="A1454" t="str">
            <v>22.02.02.02</v>
          </cell>
          <cell r="B1454" t="str">
            <v>INSTALACION DE CAJA DE PASO DE 20x20X10cm.</v>
          </cell>
          <cell r="C1454" t="str">
            <v>und</v>
          </cell>
          <cell r="D1454">
            <v>1</v>
          </cell>
          <cell r="E1454">
            <v>79.64</v>
          </cell>
          <cell r="F1454">
            <v>79.64</v>
          </cell>
          <cell r="G1454">
            <v>0</v>
          </cell>
          <cell r="H1454">
            <v>0</v>
          </cell>
          <cell r="I1454" t="str">
            <v>0.00%</v>
          </cell>
          <cell r="J1454">
            <v>0</v>
          </cell>
          <cell r="K1454">
            <v>0</v>
          </cell>
          <cell r="L1454" t="str">
            <v>0.00%</v>
          </cell>
          <cell r="M1454">
            <v>0</v>
          </cell>
          <cell r="N1454">
            <v>0</v>
          </cell>
          <cell r="O1454" t="str">
            <v>0.00%</v>
          </cell>
          <cell r="P1454">
            <v>1</v>
          </cell>
          <cell r="Q1454">
            <v>79.64</v>
          </cell>
          <cell r="R1454">
            <v>1</v>
          </cell>
        </row>
        <row r="1455">
          <cell r="A1455" t="str">
            <v>23</v>
          </cell>
          <cell r="B1455" t="str">
            <v>BLOQUE - 4</v>
          </cell>
          <cell r="C1455">
            <v>0</v>
          </cell>
          <cell r="D1455">
            <v>0</v>
          </cell>
          <cell r="E1455">
            <v>0</v>
          </cell>
          <cell r="F1455">
            <v>0</v>
          </cell>
          <cell r="G1455">
            <v>0</v>
          </cell>
          <cell r="H1455">
            <v>0</v>
          </cell>
          <cell r="I1455">
            <v>0</v>
          </cell>
          <cell r="J1455">
            <v>0</v>
          </cell>
          <cell r="K1455">
            <v>0</v>
          </cell>
          <cell r="L1455">
            <v>0</v>
          </cell>
          <cell r="M1455">
            <v>0</v>
          </cell>
          <cell r="N1455">
            <v>0</v>
          </cell>
          <cell r="O1455">
            <v>0</v>
          </cell>
          <cell r="P1455">
            <v>0</v>
          </cell>
          <cell r="Q1455">
            <v>0</v>
          </cell>
          <cell r="R1455">
            <v>0</v>
          </cell>
        </row>
        <row r="1456">
          <cell r="A1456" t="str">
            <v>23.01</v>
          </cell>
          <cell r="B1456" t="str">
            <v>INSTALACIONES ELECTRICAS</v>
          </cell>
          <cell r="C1456">
            <v>0</v>
          </cell>
          <cell r="D1456">
            <v>0</v>
          </cell>
          <cell r="E1456">
            <v>0</v>
          </cell>
          <cell r="F1456">
            <v>0</v>
          </cell>
          <cell r="G1456">
            <v>0</v>
          </cell>
          <cell r="H1456">
            <v>0</v>
          </cell>
          <cell r="I1456">
            <v>0</v>
          </cell>
          <cell r="J1456">
            <v>0</v>
          </cell>
          <cell r="K1456">
            <v>0</v>
          </cell>
          <cell r="L1456">
            <v>0</v>
          </cell>
          <cell r="M1456">
            <v>0</v>
          </cell>
          <cell r="N1456">
            <v>0</v>
          </cell>
          <cell r="O1456">
            <v>0</v>
          </cell>
          <cell r="P1456">
            <v>0</v>
          </cell>
          <cell r="Q1456">
            <v>0</v>
          </cell>
          <cell r="R1456">
            <v>0</v>
          </cell>
        </row>
        <row r="1457">
          <cell r="A1457" t="str">
            <v>23.01.01</v>
          </cell>
          <cell r="B1457" t="str">
            <v>TABLEROS</v>
          </cell>
          <cell r="C1457">
            <v>0</v>
          </cell>
          <cell r="D1457">
            <v>0</v>
          </cell>
          <cell r="E1457">
            <v>0</v>
          </cell>
          <cell r="F1457">
            <v>0</v>
          </cell>
          <cell r="G1457">
            <v>0</v>
          </cell>
          <cell r="H1457">
            <v>0</v>
          </cell>
          <cell r="I1457">
            <v>0</v>
          </cell>
          <cell r="J1457">
            <v>0</v>
          </cell>
          <cell r="K1457">
            <v>0</v>
          </cell>
          <cell r="L1457">
            <v>0</v>
          </cell>
          <cell r="M1457">
            <v>0</v>
          </cell>
          <cell r="N1457">
            <v>0</v>
          </cell>
          <cell r="O1457">
            <v>0</v>
          </cell>
          <cell r="P1457">
            <v>0</v>
          </cell>
          <cell r="Q1457">
            <v>0</v>
          </cell>
          <cell r="R1457">
            <v>0</v>
          </cell>
        </row>
        <row r="1458">
          <cell r="A1458" t="str">
            <v>23.01.01.01</v>
          </cell>
          <cell r="B1458" t="str">
            <v>TABLERO DE DISTRIBUCION T.D - 04</v>
          </cell>
          <cell r="C1458" t="str">
            <v>Eqp</v>
          </cell>
          <cell r="D1458">
            <v>1</v>
          </cell>
          <cell r="E1458">
            <v>1855.05</v>
          </cell>
          <cell r="F1458">
            <v>1855.05</v>
          </cell>
          <cell r="G1458">
            <v>0</v>
          </cell>
          <cell r="H1458">
            <v>0</v>
          </cell>
          <cell r="I1458" t="str">
            <v>0.00%</v>
          </cell>
          <cell r="J1458">
            <v>0</v>
          </cell>
          <cell r="K1458">
            <v>0</v>
          </cell>
          <cell r="L1458" t="str">
            <v>0.00%</v>
          </cell>
          <cell r="M1458">
            <v>0</v>
          </cell>
          <cell r="N1458">
            <v>0</v>
          </cell>
          <cell r="O1458" t="str">
            <v>0.00%</v>
          </cell>
          <cell r="P1458">
            <v>1</v>
          </cell>
          <cell r="Q1458">
            <v>1855.05</v>
          </cell>
          <cell r="R1458">
            <v>1</v>
          </cell>
        </row>
        <row r="1459">
          <cell r="A1459" t="str">
            <v>23.01.01.02</v>
          </cell>
          <cell r="B1459" t="str">
            <v>TABLERO DE DISTRIBUCION TD - 05</v>
          </cell>
          <cell r="C1459" t="str">
            <v>Eqp</v>
          </cell>
          <cell r="D1459">
            <v>1</v>
          </cell>
          <cell r="E1459">
            <v>1281.05</v>
          </cell>
          <cell r="F1459">
            <v>1281.05</v>
          </cell>
          <cell r="G1459">
            <v>0</v>
          </cell>
          <cell r="H1459">
            <v>0</v>
          </cell>
          <cell r="I1459" t="str">
            <v>0.00%</v>
          </cell>
          <cell r="J1459">
            <v>0</v>
          </cell>
          <cell r="K1459">
            <v>0</v>
          </cell>
          <cell r="L1459" t="str">
            <v>0.00%</v>
          </cell>
          <cell r="M1459">
            <v>0</v>
          </cell>
          <cell r="N1459">
            <v>0</v>
          </cell>
          <cell r="O1459" t="str">
            <v>0.00%</v>
          </cell>
          <cell r="P1459">
            <v>1</v>
          </cell>
          <cell r="Q1459">
            <v>1281.05</v>
          </cell>
          <cell r="R1459">
            <v>1</v>
          </cell>
        </row>
        <row r="1460">
          <cell r="A1460" t="str">
            <v>23.01.02</v>
          </cell>
          <cell r="B1460" t="str">
            <v>SALIDA PARA CENTRO DE LUZ</v>
          </cell>
          <cell r="C1460">
            <v>0</v>
          </cell>
          <cell r="D1460">
            <v>0</v>
          </cell>
          <cell r="E1460">
            <v>0</v>
          </cell>
          <cell r="F1460">
            <v>0</v>
          </cell>
          <cell r="G1460">
            <v>0</v>
          </cell>
          <cell r="H1460">
            <v>0</v>
          </cell>
          <cell r="I1460">
            <v>0</v>
          </cell>
          <cell r="J1460">
            <v>0</v>
          </cell>
          <cell r="K1460">
            <v>0</v>
          </cell>
          <cell r="L1460">
            <v>0</v>
          </cell>
          <cell r="M1460">
            <v>0</v>
          </cell>
          <cell r="N1460">
            <v>0</v>
          </cell>
          <cell r="O1460">
            <v>0</v>
          </cell>
          <cell r="P1460">
            <v>0</v>
          </cell>
          <cell r="Q1460">
            <v>0</v>
          </cell>
          <cell r="R1460">
            <v>0</v>
          </cell>
        </row>
        <row r="1461">
          <cell r="A1461" t="str">
            <v>23.01.02.01</v>
          </cell>
          <cell r="B1461" t="str">
            <v xml:space="preserve">SALIDA PARA CENTRO DE LUZ  </v>
          </cell>
          <cell r="C1461" t="str">
            <v>pto</v>
          </cell>
          <cell r="D1461">
            <v>29</v>
          </cell>
          <cell r="E1461">
            <v>68.55</v>
          </cell>
          <cell r="F1461">
            <v>1987.9499999999998</v>
          </cell>
          <cell r="G1461">
            <v>15</v>
          </cell>
          <cell r="H1461">
            <v>1028.25</v>
          </cell>
          <cell r="I1461">
            <v>0.51724137931034486</v>
          </cell>
          <cell r="J1461">
            <v>14</v>
          </cell>
          <cell r="K1461">
            <v>959.69999999999993</v>
          </cell>
          <cell r="L1461">
            <v>0.48275862068965519</v>
          </cell>
          <cell r="M1461">
            <v>29</v>
          </cell>
          <cell r="N1461">
            <v>1987.9499999999998</v>
          </cell>
          <cell r="O1461">
            <v>1</v>
          </cell>
          <cell r="P1461">
            <v>0</v>
          </cell>
          <cell r="Q1461">
            <v>0</v>
          </cell>
          <cell r="R1461" t="str">
            <v>0.00%</v>
          </cell>
        </row>
        <row r="1462">
          <cell r="A1462" t="str">
            <v>23.01.02.02</v>
          </cell>
          <cell r="B1462" t="str">
            <v>SALIDA PARA LUZ DE EMERGENCIA</v>
          </cell>
          <cell r="C1462" t="str">
            <v>pto</v>
          </cell>
          <cell r="D1462">
            <v>3</v>
          </cell>
          <cell r="E1462">
            <v>115.82</v>
          </cell>
          <cell r="F1462">
            <v>347.46</v>
          </cell>
          <cell r="G1462">
            <v>3</v>
          </cell>
          <cell r="H1462">
            <v>347.46</v>
          </cell>
          <cell r="I1462">
            <v>1</v>
          </cell>
          <cell r="J1462">
            <v>0</v>
          </cell>
          <cell r="K1462">
            <v>0</v>
          </cell>
          <cell r="L1462" t="str">
            <v>0.00%</v>
          </cell>
          <cell r="M1462">
            <v>3</v>
          </cell>
          <cell r="N1462">
            <v>347.46</v>
          </cell>
          <cell r="O1462">
            <v>1</v>
          </cell>
          <cell r="P1462">
            <v>0</v>
          </cell>
          <cell r="Q1462">
            <v>0</v>
          </cell>
          <cell r="R1462" t="str">
            <v>0.00%</v>
          </cell>
        </row>
        <row r="1463">
          <cell r="A1463" t="str">
            <v>23.01.03</v>
          </cell>
          <cell r="B1463" t="str">
            <v>ARTEFACTOS DE ILUMINACION</v>
          </cell>
          <cell r="C1463">
            <v>0</v>
          </cell>
          <cell r="D1463">
            <v>0</v>
          </cell>
          <cell r="E1463">
            <v>0</v>
          </cell>
          <cell r="F1463">
            <v>0</v>
          </cell>
          <cell r="G1463">
            <v>0</v>
          </cell>
          <cell r="H1463">
            <v>0</v>
          </cell>
          <cell r="I1463">
            <v>0</v>
          </cell>
          <cell r="J1463">
            <v>0</v>
          </cell>
          <cell r="K1463">
            <v>0</v>
          </cell>
          <cell r="L1463">
            <v>0</v>
          </cell>
          <cell r="M1463">
            <v>0</v>
          </cell>
          <cell r="N1463">
            <v>0</v>
          </cell>
          <cell r="O1463">
            <v>0</v>
          </cell>
          <cell r="P1463">
            <v>0</v>
          </cell>
          <cell r="Q1463">
            <v>0</v>
          </cell>
          <cell r="R1463">
            <v>0</v>
          </cell>
        </row>
        <row r="1464">
          <cell r="A1464" t="str">
            <v>23.01.03.01</v>
          </cell>
          <cell r="B1464" t="str">
            <v>Artefacto para adosar, con 02 fluorecente lineales de 36W, con rejilla y sistema optico parabolico</v>
          </cell>
          <cell r="C1464" t="str">
            <v>und</v>
          </cell>
          <cell r="D1464">
            <v>13</v>
          </cell>
          <cell r="E1464">
            <v>108.62</v>
          </cell>
          <cell r="F1464">
            <v>1412.06</v>
          </cell>
          <cell r="G1464">
            <v>0</v>
          </cell>
          <cell r="H1464">
            <v>0</v>
          </cell>
          <cell r="I1464" t="str">
            <v>0.00%</v>
          </cell>
          <cell r="J1464">
            <v>0</v>
          </cell>
          <cell r="K1464">
            <v>0</v>
          </cell>
          <cell r="L1464" t="str">
            <v>0.00%</v>
          </cell>
          <cell r="M1464">
            <v>0</v>
          </cell>
          <cell r="N1464">
            <v>0</v>
          </cell>
          <cell r="O1464" t="str">
            <v>0.00%</v>
          </cell>
          <cell r="P1464">
            <v>13</v>
          </cell>
          <cell r="Q1464">
            <v>1412.06</v>
          </cell>
          <cell r="R1464">
            <v>1</v>
          </cell>
        </row>
        <row r="1465">
          <cell r="A1465" t="str">
            <v>23.01.03.02</v>
          </cell>
          <cell r="B1465" t="str">
            <v>Artefacto para adosar, con 02 fluorecente lineales de 18W, con rejilla y sistema optico semiparabolico</v>
          </cell>
          <cell r="C1465" t="str">
            <v>und</v>
          </cell>
          <cell r="D1465">
            <v>7</v>
          </cell>
          <cell r="E1465">
            <v>70.62</v>
          </cell>
          <cell r="F1465">
            <v>494.34000000000003</v>
          </cell>
          <cell r="G1465">
            <v>0</v>
          </cell>
          <cell r="H1465">
            <v>0</v>
          </cell>
          <cell r="I1465" t="str">
            <v>0.00%</v>
          </cell>
          <cell r="J1465">
            <v>0</v>
          </cell>
          <cell r="K1465">
            <v>0</v>
          </cell>
          <cell r="L1465" t="str">
            <v>0.00%</v>
          </cell>
          <cell r="M1465">
            <v>0</v>
          </cell>
          <cell r="N1465">
            <v>0</v>
          </cell>
          <cell r="O1465" t="str">
            <v>0.00%</v>
          </cell>
          <cell r="P1465">
            <v>7</v>
          </cell>
          <cell r="Q1465">
            <v>494.34000000000003</v>
          </cell>
          <cell r="R1465">
            <v>1</v>
          </cell>
        </row>
        <row r="1466">
          <cell r="A1466" t="str">
            <v>23.01.03.03</v>
          </cell>
          <cell r="B1466" t="str">
            <v>Artefacto para adosar, con 02 lamparas ahorradoras de 18W, modelo RSP/CES-P5464 120</v>
          </cell>
          <cell r="C1466" t="str">
            <v>und</v>
          </cell>
          <cell r="D1466">
            <v>4</v>
          </cell>
          <cell r="E1466">
            <v>65.62</v>
          </cell>
          <cell r="F1466">
            <v>262.48</v>
          </cell>
          <cell r="G1466">
            <v>0</v>
          </cell>
          <cell r="H1466">
            <v>0</v>
          </cell>
          <cell r="I1466" t="str">
            <v>0.00%</v>
          </cell>
          <cell r="J1466">
            <v>0</v>
          </cell>
          <cell r="K1466">
            <v>0</v>
          </cell>
          <cell r="L1466" t="str">
            <v>0.00%</v>
          </cell>
          <cell r="M1466">
            <v>0</v>
          </cell>
          <cell r="N1466">
            <v>0</v>
          </cell>
          <cell r="O1466" t="str">
            <v>0.00%</v>
          </cell>
          <cell r="P1466">
            <v>4</v>
          </cell>
          <cell r="Q1466">
            <v>262.48</v>
          </cell>
          <cell r="R1466">
            <v>1</v>
          </cell>
        </row>
        <row r="1467">
          <cell r="A1467" t="str">
            <v>23.01.03.04</v>
          </cell>
          <cell r="B1467" t="str">
            <v>Artefacto para enpotrar, con 02 lamparas ahorradoras de 18W, modelo FBS 120</v>
          </cell>
          <cell r="C1467" t="str">
            <v>und</v>
          </cell>
          <cell r="D1467">
            <v>5</v>
          </cell>
          <cell r="E1467">
            <v>106.62</v>
          </cell>
          <cell r="F1467">
            <v>533.1</v>
          </cell>
          <cell r="G1467">
            <v>0</v>
          </cell>
          <cell r="H1467">
            <v>0</v>
          </cell>
          <cell r="I1467" t="str">
            <v>0.00%</v>
          </cell>
          <cell r="J1467">
            <v>0</v>
          </cell>
          <cell r="K1467">
            <v>0</v>
          </cell>
          <cell r="L1467" t="str">
            <v>0.00%</v>
          </cell>
          <cell r="M1467">
            <v>0</v>
          </cell>
          <cell r="N1467">
            <v>0</v>
          </cell>
          <cell r="O1467" t="str">
            <v>0.00%</v>
          </cell>
          <cell r="P1467">
            <v>5</v>
          </cell>
          <cell r="Q1467">
            <v>533.1</v>
          </cell>
          <cell r="R1467">
            <v>1</v>
          </cell>
        </row>
        <row r="1468">
          <cell r="A1468" t="str">
            <v>23.01.03.05</v>
          </cell>
          <cell r="B1468" t="str">
            <v>Artefacto de iluminacion EM luz de emergencia</v>
          </cell>
          <cell r="C1468" t="str">
            <v>und</v>
          </cell>
          <cell r="D1468">
            <v>3</v>
          </cell>
          <cell r="E1468">
            <v>128.33000000000001</v>
          </cell>
          <cell r="F1468">
            <v>384.99</v>
          </cell>
          <cell r="G1468">
            <v>0</v>
          </cell>
          <cell r="H1468">
            <v>0</v>
          </cell>
          <cell r="I1468" t="str">
            <v>0.00%</v>
          </cell>
          <cell r="J1468">
            <v>0</v>
          </cell>
          <cell r="K1468">
            <v>0</v>
          </cell>
          <cell r="L1468" t="str">
            <v>0.00%</v>
          </cell>
          <cell r="M1468">
            <v>0</v>
          </cell>
          <cell r="N1468">
            <v>0</v>
          </cell>
          <cell r="O1468" t="str">
            <v>0.00%</v>
          </cell>
          <cell r="P1468">
            <v>3</v>
          </cell>
          <cell r="Q1468">
            <v>384.99</v>
          </cell>
          <cell r="R1468">
            <v>1</v>
          </cell>
        </row>
        <row r="1469">
          <cell r="A1469" t="str">
            <v>23.01.04</v>
          </cell>
          <cell r="B1469" t="str">
            <v>INTERRUPTORES</v>
          </cell>
          <cell r="C1469">
            <v>0</v>
          </cell>
          <cell r="D1469">
            <v>0</v>
          </cell>
          <cell r="E1469">
            <v>0</v>
          </cell>
          <cell r="F1469">
            <v>0</v>
          </cell>
          <cell r="G1469">
            <v>0</v>
          </cell>
          <cell r="H1469">
            <v>0</v>
          </cell>
          <cell r="I1469">
            <v>0</v>
          </cell>
          <cell r="J1469">
            <v>0</v>
          </cell>
          <cell r="K1469">
            <v>0</v>
          </cell>
          <cell r="L1469">
            <v>0</v>
          </cell>
          <cell r="M1469">
            <v>0</v>
          </cell>
          <cell r="N1469">
            <v>0</v>
          </cell>
          <cell r="O1469">
            <v>0</v>
          </cell>
          <cell r="P1469">
            <v>0</v>
          </cell>
          <cell r="Q1469">
            <v>0</v>
          </cell>
          <cell r="R1469">
            <v>0</v>
          </cell>
        </row>
        <row r="1470">
          <cell r="A1470" t="str">
            <v>23.01.04.01</v>
          </cell>
          <cell r="B1470" t="str">
            <v>SALIDA PARA INTERRUPTOR SIMPLE, INCLUYE INSTALACION DE INTERRUPTOR</v>
          </cell>
          <cell r="C1470" t="str">
            <v>pto</v>
          </cell>
          <cell r="D1470">
            <v>10</v>
          </cell>
          <cell r="E1470">
            <v>53.98</v>
          </cell>
          <cell r="F1470">
            <v>539.79999999999995</v>
          </cell>
          <cell r="G1470">
            <v>0</v>
          </cell>
          <cell r="H1470">
            <v>0</v>
          </cell>
          <cell r="I1470" t="str">
            <v>0.00%</v>
          </cell>
          <cell r="J1470">
            <v>0</v>
          </cell>
          <cell r="K1470">
            <v>0</v>
          </cell>
          <cell r="L1470" t="str">
            <v>0.00%</v>
          </cell>
          <cell r="M1470">
            <v>0</v>
          </cell>
          <cell r="N1470">
            <v>0</v>
          </cell>
          <cell r="O1470" t="str">
            <v>0.00%</v>
          </cell>
          <cell r="P1470">
            <v>10</v>
          </cell>
          <cell r="Q1470">
            <v>539.79999999999995</v>
          </cell>
          <cell r="R1470">
            <v>1</v>
          </cell>
        </row>
        <row r="1471">
          <cell r="A1471" t="str">
            <v>23.01.04.02</v>
          </cell>
          <cell r="B1471" t="str">
            <v>SALIDA PARA INTERRUPTOR DE CONMUTACION SIMPLE, INCLUYE INSTALACION DE IN TERRUPTOR</v>
          </cell>
          <cell r="C1471" t="str">
            <v>pto</v>
          </cell>
          <cell r="D1471">
            <v>2</v>
          </cell>
          <cell r="E1471">
            <v>66.44</v>
          </cell>
          <cell r="F1471">
            <v>132.88</v>
          </cell>
          <cell r="G1471">
            <v>0</v>
          </cell>
          <cell r="H1471">
            <v>0</v>
          </cell>
          <cell r="I1471" t="str">
            <v>0.00%</v>
          </cell>
          <cell r="J1471">
            <v>0</v>
          </cell>
          <cell r="K1471">
            <v>0</v>
          </cell>
          <cell r="L1471" t="str">
            <v>0.00%</v>
          </cell>
          <cell r="M1471">
            <v>0</v>
          </cell>
          <cell r="N1471">
            <v>0</v>
          </cell>
          <cell r="O1471" t="str">
            <v>0.00%</v>
          </cell>
          <cell r="P1471">
            <v>2</v>
          </cell>
          <cell r="Q1471">
            <v>132.88</v>
          </cell>
          <cell r="R1471">
            <v>1</v>
          </cell>
        </row>
        <row r="1472">
          <cell r="A1472" t="str">
            <v>23.01.05</v>
          </cell>
          <cell r="B1472" t="str">
            <v>TOMACORRIENTES</v>
          </cell>
          <cell r="C1472">
            <v>0</v>
          </cell>
          <cell r="D1472">
            <v>0</v>
          </cell>
          <cell r="E1472">
            <v>0</v>
          </cell>
          <cell r="F1472">
            <v>0</v>
          </cell>
          <cell r="G1472">
            <v>0</v>
          </cell>
          <cell r="H1472">
            <v>0</v>
          </cell>
          <cell r="I1472">
            <v>0</v>
          </cell>
          <cell r="J1472">
            <v>0</v>
          </cell>
          <cell r="K1472">
            <v>0</v>
          </cell>
          <cell r="L1472">
            <v>0</v>
          </cell>
          <cell r="M1472">
            <v>0</v>
          </cell>
          <cell r="N1472">
            <v>0</v>
          </cell>
          <cell r="O1472">
            <v>0</v>
          </cell>
          <cell r="P1472">
            <v>0</v>
          </cell>
          <cell r="Q1472">
            <v>0</v>
          </cell>
          <cell r="R1472">
            <v>0</v>
          </cell>
        </row>
        <row r="1473">
          <cell r="A1473" t="str">
            <v>23.01.05.01</v>
          </cell>
          <cell r="B1473" t="str">
            <v>SALIDA PARA TOMACORRIENTES DOBLE CON PUESTA TIERRA, INCLUYE INSTALACION DE TOMACORRIENTE</v>
          </cell>
          <cell r="C1473" t="str">
            <v>pto</v>
          </cell>
          <cell r="D1473">
            <v>23</v>
          </cell>
          <cell r="E1473">
            <v>95.35</v>
          </cell>
          <cell r="F1473">
            <v>2193.0499999999997</v>
          </cell>
          <cell r="G1473">
            <v>0</v>
          </cell>
          <cell r="H1473">
            <v>0</v>
          </cell>
          <cell r="I1473" t="str">
            <v>0.00%</v>
          </cell>
          <cell r="J1473">
            <v>0</v>
          </cell>
          <cell r="K1473">
            <v>0</v>
          </cell>
          <cell r="L1473" t="str">
            <v>0.00%</v>
          </cell>
          <cell r="M1473">
            <v>0</v>
          </cell>
          <cell r="N1473">
            <v>0</v>
          </cell>
          <cell r="O1473" t="str">
            <v>0.00%</v>
          </cell>
          <cell r="P1473">
            <v>23</v>
          </cell>
          <cell r="Q1473">
            <v>2193.0499999999997</v>
          </cell>
          <cell r="R1473">
            <v>1</v>
          </cell>
        </row>
        <row r="1474">
          <cell r="A1474" t="str">
            <v>23.02</v>
          </cell>
          <cell r="B1474" t="str">
            <v>SISTEMAS ESPECIALES</v>
          </cell>
          <cell r="C1474">
            <v>0</v>
          </cell>
          <cell r="D1474">
            <v>0</v>
          </cell>
          <cell r="E1474">
            <v>0</v>
          </cell>
          <cell r="F1474">
            <v>0</v>
          </cell>
          <cell r="G1474">
            <v>0</v>
          </cell>
          <cell r="H1474">
            <v>0</v>
          </cell>
          <cell r="I1474">
            <v>0</v>
          </cell>
          <cell r="J1474">
            <v>0</v>
          </cell>
          <cell r="K1474">
            <v>0</v>
          </cell>
          <cell r="L1474">
            <v>0</v>
          </cell>
          <cell r="M1474">
            <v>0</v>
          </cell>
          <cell r="N1474">
            <v>0</v>
          </cell>
          <cell r="O1474">
            <v>0</v>
          </cell>
          <cell r="P1474">
            <v>0</v>
          </cell>
          <cell r="Q1474">
            <v>0</v>
          </cell>
          <cell r="R1474">
            <v>0</v>
          </cell>
        </row>
        <row r="1475">
          <cell r="A1475" t="str">
            <v>23.02.01</v>
          </cell>
          <cell r="B1475" t="str">
            <v>SALIDAS DE SISTEMAS ESPECIALES</v>
          </cell>
          <cell r="C1475">
            <v>0</v>
          </cell>
          <cell r="D1475">
            <v>0</v>
          </cell>
          <cell r="E1475">
            <v>0</v>
          </cell>
          <cell r="F1475">
            <v>0</v>
          </cell>
          <cell r="G1475">
            <v>0</v>
          </cell>
          <cell r="H1475">
            <v>0</v>
          </cell>
          <cell r="I1475">
            <v>0</v>
          </cell>
          <cell r="J1475">
            <v>0</v>
          </cell>
          <cell r="K1475">
            <v>0</v>
          </cell>
          <cell r="L1475">
            <v>0</v>
          </cell>
          <cell r="M1475">
            <v>0</v>
          </cell>
          <cell r="N1475">
            <v>0</v>
          </cell>
          <cell r="O1475">
            <v>0</v>
          </cell>
          <cell r="P1475">
            <v>0</v>
          </cell>
          <cell r="Q1475">
            <v>0</v>
          </cell>
          <cell r="R1475">
            <v>0</v>
          </cell>
        </row>
        <row r="1476">
          <cell r="A1476" t="str">
            <v>23.02.01.01</v>
          </cell>
          <cell r="B1476" t="str">
            <v>SALIDA DOBLE PARA RED DE DATOS</v>
          </cell>
          <cell r="C1476" t="str">
            <v>pto</v>
          </cell>
          <cell r="D1476">
            <v>3</v>
          </cell>
          <cell r="E1476">
            <v>199.28</v>
          </cell>
          <cell r="F1476">
            <v>597.84</v>
          </cell>
          <cell r="G1476">
            <v>2</v>
          </cell>
          <cell r="H1476">
            <v>398.56</v>
          </cell>
          <cell r="I1476">
            <v>0.66666666666666663</v>
          </cell>
          <cell r="J1476">
            <v>1</v>
          </cell>
          <cell r="K1476">
            <v>199.28</v>
          </cell>
          <cell r="L1476">
            <v>0.33333333333333331</v>
          </cell>
          <cell r="M1476">
            <v>3</v>
          </cell>
          <cell r="N1476">
            <v>597.84</v>
          </cell>
          <cell r="O1476">
            <v>1</v>
          </cell>
          <cell r="P1476">
            <v>0</v>
          </cell>
          <cell r="Q1476">
            <v>0</v>
          </cell>
          <cell r="R1476" t="str">
            <v>0.00%</v>
          </cell>
        </row>
        <row r="1477">
          <cell r="A1477" t="str">
            <v>23.02.01.02</v>
          </cell>
          <cell r="B1477" t="str">
            <v>INSTALACION DE GABINETE METALICO RACK DE DATOS, INCLUYE INSTALACION DE SWITCH, PATCH PANNEL Y ACCESORIOS</v>
          </cell>
          <cell r="C1477" t="str">
            <v>pto</v>
          </cell>
          <cell r="D1477">
            <v>1</v>
          </cell>
          <cell r="E1477">
            <v>132.66</v>
          </cell>
          <cell r="F1477">
            <v>132.66</v>
          </cell>
          <cell r="G1477">
            <v>0</v>
          </cell>
          <cell r="H1477">
            <v>0</v>
          </cell>
          <cell r="I1477" t="str">
            <v>0.00%</v>
          </cell>
          <cell r="J1477">
            <v>0</v>
          </cell>
          <cell r="K1477">
            <v>0</v>
          </cell>
          <cell r="L1477" t="str">
            <v>0.00%</v>
          </cell>
          <cell r="M1477">
            <v>0</v>
          </cell>
          <cell r="N1477">
            <v>0</v>
          </cell>
          <cell r="O1477" t="str">
            <v>0.00%</v>
          </cell>
          <cell r="P1477">
            <v>1</v>
          </cell>
          <cell r="Q1477">
            <v>132.66</v>
          </cell>
          <cell r="R1477">
            <v>1</v>
          </cell>
        </row>
        <row r="1478">
          <cell r="A1478" t="str">
            <v>23.02.01.03</v>
          </cell>
          <cell r="B1478" t="str">
            <v>SALIDA PARA PROYECTOR MULTIMEDIA</v>
          </cell>
          <cell r="C1478" t="str">
            <v>pto</v>
          </cell>
          <cell r="D1478">
            <v>4</v>
          </cell>
          <cell r="E1478">
            <v>307.97000000000003</v>
          </cell>
          <cell r="F1478">
            <v>1231.8800000000001</v>
          </cell>
          <cell r="G1478">
            <v>2</v>
          </cell>
          <cell r="H1478">
            <v>615.94000000000005</v>
          </cell>
          <cell r="I1478">
            <v>0.5</v>
          </cell>
          <cell r="J1478">
            <v>2</v>
          </cell>
          <cell r="K1478">
            <v>615.94000000000005</v>
          </cell>
          <cell r="L1478">
            <v>0.5</v>
          </cell>
          <cell r="M1478">
            <v>4</v>
          </cell>
          <cell r="N1478">
            <v>1231.8800000000001</v>
          </cell>
          <cell r="O1478">
            <v>1</v>
          </cell>
          <cell r="P1478">
            <v>0</v>
          </cell>
          <cell r="Q1478">
            <v>0</v>
          </cell>
          <cell r="R1478" t="str">
            <v>0.00%</v>
          </cell>
        </row>
        <row r="1479">
          <cell r="A1479" t="str">
            <v>23.02.01.04</v>
          </cell>
          <cell r="B1479" t="str">
            <v>SALIDA PARA CENTRAL DE ALARMA CONTRA INCENDIOS CACI</v>
          </cell>
          <cell r="C1479" t="str">
            <v>pto</v>
          </cell>
          <cell r="D1479">
            <v>1</v>
          </cell>
          <cell r="E1479">
            <v>69.099999999999994</v>
          </cell>
          <cell r="F1479">
            <v>69.099999999999994</v>
          </cell>
          <cell r="G1479">
            <v>1</v>
          </cell>
          <cell r="H1479">
            <v>69.099999999999994</v>
          </cell>
          <cell r="I1479">
            <v>1</v>
          </cell>
          <cell r="J1479">
            <v>0</v>
          </cell>
          <cell r="K1479">
            <v>0</v>
          </cell>
          <cell r="L1479" t="str">
            <v>0.00%</v>
          </cell>
          <cell r="M1479">
            <v>1</v>
          </cell>
          <cell r="N1479">
            <v>69.099999999999994</v>
          </cell>
          <cell r="O1479">
            <v>1</v>
          </cell>
          <cell r="P1479">
            <v>0</v>
          </cell>
          <cell r="Q1479">
            <v>0</v>
          </cell>
          <cell r="R1479" t="str">
            <v>0.00%</v>
          </cell>
        </row>
        <row r="1480">
          <cell r="A1480" t="str">
            <v>23.02.01.05</v>
          </cell>
          <cell r="B1480" t="str">
            <v>SALIDA PARA DETECTORES DE HUMO</v>
          </cell>
          <cell r="C1480" t="str">
            <v>pto</v>
          </cell>
          <cell r="D1480">
            <v>8</v>
          </cell>
          <cell r="E1480">
            <v>143.56</v>
          </cell>
          <cell r="F1480">
            <v>1148.48</v>
          </cell>
          <cell r="G1480">
            <v>4</v>
          </cell>
          <cell r="H1480">
            <v>574.24</v>
          </cell>
          <cell r="I1480">
            <v>0.5</v>
          </cell>
          <cell r="J1480">
            <v>4</v>
          </cell>
          <cell r="K1480">
            <v>574.24</v>
          </cell>
          <cell r="L1480">
            <v>0.5</v>
          </cell>
          <cell r="M1480">
            <v>8</v>
          </cell>
          <cell r="N1480">
            <v>1148.48</v>
          </cell>
          <cell r="O1480">
            <v>1</v>
          </cell>
          <cell r="P1480">
            <v>0</v>
          </cell>
          <cell r="Q1480">
            <v>0</v>
          </cell>
          <cell r="R1480" t="str">
            <v>0.00%</v>
          </cell>
        </row>
        <row r="1481">
          <cell r="A1481" t="str">
            <v>23.02.01.06</v>
          </cell>
          <cell r="B1481" t="str">
            <v>SALIDA PARA ESTACION MANUAL DE ALARMA CONTRA INCENDIO, PULSADOR Y ALARMA SONORA CONTRA INCENDIO.</v>
          </cell>
          <cell r="C1481" t="str">
            <v>pto</v>
          </cell>
          <cell r="D1481">
            <v>1</v>
          </cell>
          <cell r="E1481">
            <v>97.52</v>
          </cell>
          <cell r="F1481">
            <v>97.52</v>
          </cell>
          <cell r="G1481">
            <v>1</v>
          </cell>
          <cell r="H1481">
            <v>97.52</v>
          </cell>
          <cell r="I1481">
            <v>1</v>
          </cell>
          <cell r="J1481">
            <v>0</v>
          </cell>
          <cell r="K1481">
            <v>0</v>
          </cell>
          <cell r="L1481" t="str">
            <v>0.00%</v>
          </cell>
          <cell r="M1481">
            <v>1</v>
          </cell>
          <cell r="N1481">
            <v>97.52</v>
          </cell>
          <cell r="O1481">
            <v>1</v>
          </cell>
          <cell r="P1481">
            <v>0</v>
          </cell>
          <cell r="Q1481">
            <v>0</v>
          </cell>
          <cell r="R1481" t="str">
            <v>0.00%</v>
          </cell>
        </row>
        <row r="1482">
          <cell r="A1482" t="str">
            <v>23.02.01.07</v>
          </cell>
          <cell r="B1482" t="str">
            <v>SALIDA PARA PUNTO DE TV-CABLE, INCLUYE INSTALACION DE TAPA CIEGA</v>
          </cell>
          <cell r="C1482" t="str">
            <v>pto</v>
          </cell>
          <cell r="D1482">
            <v>1</v>
          </cell>
          <cell r="E1482">
            <v>102.44</v>
          </cell>
          <cell r="F1482">
            <v>102.44</v>
          </cell>
          <cell r="G1482">
            <v>1</v>
          </cell>
          <cell r="H1482">
            <v>102.44</v>
          </cell>
          <cell r="I1482">
            <v>1</v>
          </cell>
          <cell r="J1482">
            <v>0</v>
          </cell>
          <cell r="K1482">
            <v>0</v>
          </cell>
          <cell r="L1482" t="str">
            <v>0.00%</v>
          </cell>
          <cell r="M1482">
            <v>1</v>
          </cell>
          <cell r="N1482">
            <v>102.44</v>
          </cell>
          <cell r="O1482">
            <v>1</v>
          </cell>
          <cell r="P1482">
            <v>0</v>
          </cell>
          <cell r="Q1482">
            <v>0</v>
          </cell>
          <cell r="R1482" t="str">
            <v>0.00%</v>
          </cell>
        </row>
        <row r="1483">
          <cell r="A1483" t="str">
            <v>23.02.02</v>
          </cell>
          <cell r="B1483" t="str">
            <v>CAJAS DE PASE</v>
          </cell>
          <cell r="C1483">
            <v>0</v>
          </cell>
          <cell r="D1483">
            <v>0</v>
          </cell>
          <cell r="E1483">
            <v>0</v>
          </cell>
          <cell r="F1483">
            <v>0</v>
          </cell>
          <cell r="G1483">
            <v>0</v>
          </cell>
          <cell r="H1483">
            <v>0</v>
          </cell>
          <cell r="I1483">
            <v>0</v>
          </cell>
          <cell r="J1483">
            <v>0</v>
          </cell>
          <cell r="K1483">
            <v>0</v>
          </cell>
          <cell r="L1483">
            <v>0</v>
          </cell>
          <cell r="M1483">
            <v>0</v>
          </cell>
          <cell r="N1483">
            <v>0</v>
          </cell>
          <cell r="O1483">
            <v>0</v>
          </cell>
          <cell r="P1483">
            <v>0</v>
          </cell>
          <cell r="Q1483">
            <v>0</v>
          </cell>
          <cell r="R1483">
            <v>0</v>
          </cell>
        </row>
        <row r="1484">
          <cell r="A1484" t="str">
            <v>23.02.02.01</v>
          </cell>
          <cell r="B1484" t="str">
            <v>INSTALACION DE CAJA DE PASO DE 15x15X8cm.</v>
          </cell>
          <cell r="C1484" t="str">
            <v>und</v>
          </cell>
          <cell r="D1484">
            <v>7</v>
          </cell>
          <cell r="E1484">
            <v>79.64</v>
          </cell>
          <cell r="F1484">
            <v>557.48</v>
          </cell>
          <cell r="G1484">
            <v>0</v>
          </cell>
          <cell r="H1484">
            <v>0</v>
          </cell>
          <cell r="I1484" t="str">
            <v>0.00%</v>
          </cell>
          <cell r="J1484">
            <v>0</v>
          </cell>
          <cell r="K1484">
            <v>0</v>
          </cell>
          <cell r="L1484" t="str">
            <v>0.00%</v>
          </cell>
          <cell r="M1484">
            <v>0</v>
          </cell>
          <cell r="N1484">
            <v>0</v>
          </cell>
          <cell r="O1484" t="str">
            <v>0.00%</v>
          </cell>
          <cell r="P1484">
            <v>7</v>
          </cell>
          <cell r="Q1484">
            <v>557.48</v>
          </cell>
          <cell r="R1484">
            <v>1</v>
          </cell>
        </row>
        <row r="1485">
          <cell r="A1485" t="str">
            <v>23.02.02.02</v>
          </cell>
          <cell r="B1485" t="str">
            <v>INSTALACION DE CAJA DE PASO DE 20x20X10cm.</v>
          </cell>
          <cell r="C1485" t="str">
            <v>und</v>
          </cell>
          <cell r="D1485">
            <v>2</v>
          </cell>
          <cell r="E1485">
            <v>79.64</v>
          </cell>
          <cell r="F1485">
            <v>159.28</v>
          </cell>
          <cell r="G1485">
            <v>0</v>
          </cell>
          <cell r="H1485">
            <v>0</v>
          </cell>
          <cell r="I1485" t="str">
            <v>0.00%</v>
          </cell>
          <cell r="J1485">
            <v>0</v>
          </cell>
          <cell r="K1485">
            <v>0</v>
          </cell>
          <cell r="L1485" t="str">
            <v>0.00%</v>
          </cell>
          <cell r="M1485">
            <v>0</v>
          </cell>
          <cell r="N1485">
            <v>0</v>
          </cell>
          <cell r="O1485" t="str">
            <v>0.00%</v>
          </cell>
          <cell r="P1485">
            <v>2</v>
          </cell>
          <cell r="Q1485">
            <v>159.28</v>
          </cell>
          <cell r="R1485">
            <v>1</v>
          </cell>
        </row>
        <row r="1486">
          <cell r="A1486" t="str">
            <v>24</v>
          </cell>
          <cell r="B1486" t="str">
            <v>BLOQUE - 5</v>
          </cell>
          <cell r="C1486">
            <v>0</v>
          </cell>
          <cell r="D1486">
            <v>0</v>
          </cell>
          <cell r="E1486">
            <v>0</v>
          </cell>
          <cell r="F1486">
            <v>0</v>
          </cell>
          <cell r="G1486">
            <v>0</v>
          </cell>
          <cell r="H1486">
            <v>0</v>
          </cell>
          <cell r="I1486">
            <v>0</v>
          </cell>
          <cell r="J1486">
            <v>0</v>
          </cell>
          <cell r="K1486">
            <v>0</v>
          </cell>
          <cell r="L1486">
            <v>0</v>
          </cell>
          <cell r="M1486">
            <v>0</v>
          </cell>
          <cell r="N1486">
            <v>0</v>
          </cell>
          <cell r="O1486">
            <v>0</v>
          </cell>
          <cell r="P1486">
            <v>0</v>
          </cell>
          <cell r="Q1486">
            <v>0</v>
          </cell>
          <cell r="R1486">
            <v>0</v>
          </cell>
        </row>
        <row r="1487">
          <cell r="A1487" t="str">
            <v>24.01</v>
          </cell>
          <cell r="B1487" t="str">
            <v>INSTALACIONES ELECTRICAS</v>
          </cell>
          <cell r="C1487">
            <v>0</v>
          </cell>
          <cell r="D1487">
            <v>0</v>
          </cell>
          <cell r="E1487">
            <v>0</v>
          </cell>
          <cell r="F1487">
            <v>0</v>
          </cell>
          <cell r="G1487">
            <v>0</v>
          </cell>
          <cell r="H1487">
            <v>0</v>
          </cell>
          <cell r="I1487">
            <v>0</v>
          </cell>
          <cell r="J1487">
            <v>0</v>
          </cell>
          <cell r="K1487">
            <v>0</v>
          </cell>
          <cell r="L1487">
            <v>0</v>
          </cell>
          <cell r="M1487">
            <v>0</v>
          </cell>
          <cell r="N1487">
            <v>0</v>
          </cell>
          <cell r="O1487">
            <v>0</v>
          </cell>
          <cell r="P1487">
            <v>0</v>
          </cell>
          <cell r="Q1487">
            <v>0</v>
          </cell>
          <cell r="R1487">
            <v>0</v>
          </cell>
        </row>
        <row r="1488">
          <cell r="A1488" t="str">
            <v>24.01.01</v>
          </cell>
          <cell r="B1488" t="str">
            <v>TABLEROS</v>
          </cell>
          <cell r="C1488">
            <v>0</v>
          </cell>
          <cell r="D1488">
            <v>0</v>
          </cell>
          <cell r="E1488">
            <v>0</v>
          </cell>
          <cell r="F1488">
            <v>0</v>
          </cell>
          <cell r="G1488">
            <v>0</v>
          </cell>
          <cell r="H1488">
            <v>0</v>
          </cell>
          <cell r="I1488">
            <v>0</v>
          </cell>
          <cell r="J1488">
            <v>0</v>
          </cell>
          <cell r="K1488">
            <v>0</v>
          </cell>
          <cell r="L1488">
            <v>0</v>
          </cell>
          <cell r="M1488">
            <v>0</v>
          </cell>
          <cell r="N1488">
            <v>0</v>
          </cell>
          <cell r="O1488">
            <v>0</v>
          </cell>
          <cell r="P1488">
            <v>0</v>
          </cell>
          <cell r="Q1488">
            <v>0</v>
          </cell>
          <cell r="R1488">
            <v>0</v>
          </cell>
        </row>
        <row r="1489">
          <cell r="A1489" t="str">
            <v>24.01.01.01</v>
          </cell>
          <cell r="B1489" t="str">
            <v>TABLERO DE DISTRIBUCION TD - 3</v>
          </cell>
          <cell r="C1489" t="str">
            <v>Eqp</v>
          </cell>
          <cell r="D1489">
            <v>1</v>
          </cell>
          <cell r="E1489">
            <v>1281.05</v>
          </cell>
          <cell r="F1489">
            <v>1281.05</v>
          </cell>
          <cell r="G1489">
            <v>0</v>
          </cell>
          <cell r="H1489">
            <v>0</v>
          </cell>
          <cell r="I1489" t="str">
            <v>0.00%</v>
          </cell>
          <cell r="J1489">
            <v>0</v>
          </cell>
          <cell r="K1489">
            <v>0</v>
          </cell>
          <cell r="L1489" t="str">
            <v>0.00%</v>
          </cell>
          <cell r="M1489">
            <v>0</v>
          </cell>
          <cell r="N1489">
            <v>0</v>
          </cell>
          <cell r="O1489" t="str">
            <v>0.00%</v>
          </cell>
          <cell r="P1489">
            <v>1</v>
          </cell>
          <cell r="Q1489">
            <v>1281.05</v>
          </cell>
          <cell r="R1489">
            <v>1</v>
          </cell>
        </row>
        <row r="1490">
          <cell r="A1490" t="str">
            <v>24.01.02</v>
          </cell>
          <cell r="B1490" t="str">
            <v>SALIDA PARA CENTRO DE LUZ</v>
          </cell>
          <cell r="C1490">
            <v>0</v>
          </cell>
          <cell r="D1490">
            <v>0</v>
          </cell>
          <cell r="E1490">
            <v>0</v>
          </cell>
          <cell r="F1490">
            <v>0</v>
          </cell>
          <cell r="G1490">
            <v>0</v>
          </cell>
          <cell r="H1490">
            <v>0</v>
          </cell>
          <cell r="I1490">
            <v>0</v>
          </cell>
          <cell r="J1490">
            <v>0</v>
          </cell>
          <cell r="K1490">
            <v>0</v>
          </cell>
          <cell r="L1490">
            <v>0</v>
          </cell>
          <cell r="M1490">
            <v>0</v>
          </cell>
          <cell r="N1490">
            <v>0</v>
          </cell>
          <cell r="O1490">
            <v>0</v>
          </cell>
          <cell r="P1490">
            <v>0</v>
          </cell>
          <cell r="Q1490">
            <v>0</v>
          </cell>
          <cell r="R1490">
            <v>0</v>
          </cell>
        </row>
        <row r="1491">
          <cell r="A1491" t="str">
            <v>24.01.02.01</v>
          </cell>
          <cell r="B1491" t="str">
            <v xml:space="preserve">SALIDA PARA CENTRO DE LUZ  </v>
          </cell>
          <cell r="C1491" t="str">
            <v>pto</v>
          </cell>
          <cell r="D1491">
            <v>21</v>
          </cell>
          <cell r="E1491">
            <v>68.55</v>
          </cell>
          <cell r="F1491">
            <v>1439.55</v>
          </cell>
          <cell r="G1491">
            <v>0</v>
          </cell>
          <cell r="H1491">
            <v>0</v>
          </cell>
          <cell r="I1491" t="str">
            <v>0.00%</v>
          </cell>
          <cell r="J1491">
            <v>0</v>
          </cell>
          <cell r="K1491">
            <v>0</v>
          </cell>
          <cell r="L1491" t="str">
            <v>0.00%</v>
          </cell>
          <cell r="M1491">
            <v>0</v>
          </cell>
          <cell r="N1491">
            <v>0</v>
          </cell>
          <cell r="O1491" t="str">
            <v>0.00%</v>
          </cell>
          <cell r="P1491">
            <v>21</v>
          </cell>
          <cell r="Q1491">
            <v>1439.55</v>
          </cell>
          <cell r="R1491">
            <v>1</v>
          </cell>
        </row>
        <row r="1492">
          <cell r="A1492" t="str">
            <v>24.01.02.02</v>
          </cell>
          <cell r="B1492" t="str">
            <v>SALIDA PARA LUZ DE EMERGENCIA</v>
          </cell>
          <cell r="C1492" t="str">
            <v>pto</v>
          </cell>
          <cell r="D1492">
            <v>2</v>
          </cell>
          <cell r="E1492">
            <v>115.82</v>
          </cell>
          <cell r="F1492">
            <v>231.64</v>
          </cell>
          <cell r="G1492">
            <v>0</v>
          </cell>
          <cell r="H1492">
            <v>0</v>
          </cell>
          <cell r="I1492" t="str">
            <v>0.00%</v>
          </cell>
          <cell r="J1492">
            <v>0</v>
          </cell>
          <cell r="K1492">
            <v>0</v>
          </cell>
          <cell r="L1492" t="str">
            <v>0.00%</v>
          </cell>
          <cell r="M1492">
            <v>0</v>
          </cell>
          <cell r="N1492">
            <v>0</v>
          </cell>
          <cell r="O1492" t="str">
            <v>0.00%</v>
          </cell>
          <cell r="P1492">
            <v>2</v>
          </cell>
          <cell r="Q1492">
            <v>231.64</v>
          </cell>
          <cell r="R1492">
            <v>1</v>
          </cell>
        </row>
        <row r="1493">
          <cell r="A1493" t="str">
            <v>24.01.03</v>
          </cell>
          <cell r="B1493" t="str">
            <v>ARTEFACTOS DE ILUMINACION</v>
          </cell>
          <cell r="C1493">
            <v>0</v>
          </cell>
          <cell r="D1493">
            <v>0</v>
          </cell>
          <cell r="E1493">
            <v>0</v>
          </cell>
          <cell r="F1493">
            <v>0</v>
          </cell>
          <cell r="G1493">
            <v>0</v>
          </cell>
          <cell r="H1493">
            <v>0</v>
          </cell>
          <cell r="I1493">
            <v>0</v>
          </cell>
          <cell r="J1493">
            <v>0</v>
          </cell>
          <cell r="K1493">
            <v>0</v>
          </cell>
          <cell r="L1493">
            <v>0</v>
          </cell>
          <cell r="M1493">
            <v>0</v>
          </cell>
          <cell r="N1493">
            <v>0</v>
          </cell>
          <cell r="O1493">
            <v>0</v>
          </cell>
          <cell r="P1493">
            <v>0</v>
          </cell>
          <cell r="Q1493">
            <v>0</v>
          </cell>
          <cell r="R1493">
            <v>0</v>
          </cell>
        </row>
        <row r="1494">
          <cell r="A1494" t="str">
            <v>24.01.03.01</v>
          </cell>
          <cell r="B1494" t="str">
            <v>Artefacto para adosar, con 02 fluorecente lineales de 36W, con rejilla y sistema optico parabolico</v>
          </cell>
          <cell r="C1494" t="str">
            <v>und</v>
          </cell>
          <cell r="D1494">
            <v>17</v>
          </cell>
          <cell r="E1494">
            <v>108.62</v>
          </cell>
          <cell r="F1494">
            <v>1846.54</v>
          </cell>
          <cell r="G1494">
            <v>0</v>
          </cell>
          <cell r="H1494">
            <v>0</v>
          </cell>
          <cell r="I1494" t="str">
            <v>0.00%</v>
          </cell>
          <cell r="J1494">
            <v>0</v>
          </cell>
          <cell r="K1494">
            <v>0</v>
          </cell>
          <cell r="L1494" t="str">
            <v>0.00%</v>
          </cell>
          <cell r="M1494">
            <v>0</v>
          </cell>
          <cell r="N1494">
            <v>0</v>
          </cell>
          <cell r="O1494" t="str">
            <v>0.00%</v>
          </cell>
          <cell r="P1494">
            <v>17</v>
          </cell>
          <cell r="Q1494">
            <v>1846.54</v>
          </cell>
          <cell r="R1494">
            <v>1</v>
          </cell>
        </row>
        <row r="1495">
          <cell r="A1495" t="str">
            <v>24.01.03.02</v>
          </cell>
          <cell r="B1495" t="str">
            <v>Artefacto para adosar, con 02 fluorecente lineales de 18W, con rejilla y sistema optico semiparabolico</v>
          </cell>
          <cell r="C1495" t="str">
            <v>und</v>
          </cell>
          <cell r="D1495">
            <v>4</v>
          </cell>
          <cell r="E1495">
            <v>70.62</v>
          </cell>
          <cell r="F1495">
            <v>282.48</v>
          </cell>
          <cell r="G1495">
            <v>0</v>
          </cell>
          <cell r="H1495">
            <v>0</v>
          </cell>
          <cell r="I1495" t="str">
            <v>0.00%</v>
          </cell>
          <cell r="J1495">
            <v>0</v>
          </cell>
          <cell r="K1495">
            <v>0</v>
          </cell>
          <cell r="L1495" t="str">
            <v>0.00%</v>
          </cell>
          <cell r="M1495">
            <v>0</v>
          </cell>
          <cell r="N1495">
            <v>0</v>
          </cell>
          <cell r="O1495" t="str">
            <v>0.00%</v>
          </cell>
          <cell r="P1495">
            <v>4</v>
          </cell>
          <cell r="Q1495">
            <v>282.48</v>
          </cell>
          <cell r="R1495">
            <v>1</v>
          </cell>
        </row>
        <row r="1496">
          <cell r="A1496" t="str">
            <v>24.01.03.03</v>
          </cell>
          <cell r="B1496" t="str">
            <v>Artefacto de iluminacion EM luz de emergencia</v>
          </cell>
          <cell r="C1496" t="str">
            <v>und</v>
          </cell>
          <cell r="D1496">
            <v>2</v>
          </cell>
          <cell r="E1496">
            <v>128.33000000000001</v>
          </cell>
          <cell r="F1496">
            <v>256.66000000000003</v>
          </cell>
          <cell r="G1496">
            <v>0</v>
          </cell>
          <cell r="H1496">
            <v>0</v>
          </cell>
          <cell r="I1496" t="str">
            <v>0.00%</v>
          </cell>
          <cell r="J1496">
            <v>0</v>
          </cell>
          <cell r="K1496">
            <v>0</v>
          </cell>
          <cell r="L1496" t="str">
            <v>0.00%</v>
          </cell>
          <cell r="M1496">
            <v>0</v>
          </cell>
          <cell r="N1496">
            <v>0</v>
          </cell>
          <cell r="O1496" t="str">
            <v>0.00%</v>
          </cell>
          <cell r="P1496">
            <v>2</v>
          </cell>
          <cell r="Q1496">
            <v>256.66000000000003</v>
          </cell>
          <cell r="R1496">
            <v>1</v>
          </cell>
        </row>
        <row r="1497">
          <cell r="A1497" t="str">
            <v>24.01.04</v>
          </cell>
          <cell r="B1497" t="str">
            <v>INTERRUPTORES</v>
          </cell>
          <cell r="C1497">
            <v>0</v>
          </cell>
          <cell r="D1497">
            <v>0</v>
          </cell>
          <cell r="E1497">
            <v>0</v>
          </cell>
          <cell r="F1497">
            <v>0</v>
          </cell>
          <cell r="G1497">
            <v>0</v>
          </cell>
          <cell r="H1497">
            <v>0</v>
          </cell>
          <cell r="I1497">
            <v>0</v>
          </cell>
          <cell r="J1497">
            <v>0</v>
          </cell>
          <cell r="K1497">
            <v>0</v>
          </cell>
          <cell r="L1497">
            <v>0</v>
          </cell>
          <cell r="M1497">
            <v>0</v>
          </cell>
          <cell r="N1497">
            <v>0</v>
          </cell>
          <cell r="O1497">
            <v>0</v>
          </cell>
          <cell r="P1497">
            <v>0</v>
          </cell>
          <cell r="Q1497">
            <v>0</v>
          </cell>
          <cell r="R1497">
            <v>0</v>
          </cell>
        </row>
        <row r="1498">
          <cell r="A1498" t="str">
            <v>24.01.04.01</v>
          </cell>
          <cell r="B1498" t="str">
            <v>SALIDA PARA INTERRUPTOR SIMPLE, INCLUYE INSTALACION DE INTERRUPTOR</v>
          </cell>
          <cell r="C1498" t="str">
            <v>pto</v>
          </cell>
          <cell r="D1498">
            <v>5</v>
          </cell>
          <cell r="E1498">
            <v>53.98</v>
          </cell>
          <cell r="F1498">
            <v>269.89999999999998</v>
          </cell>
          <cell r="G1498">
            <v>0</v>
          </cell>
          <cell r="H1498">
            <v>0</v>
          </cell>
          <cell r="I1498" t="str">
            <v>0.00%</v>
          </cell>
          <cell r="J1498">
            <v>0</v>
          </cell>
          <cell r="K1498">
            <v>0</v>
          </cell>
          <cell r="L1498" t="str">
            <v>0.00%</v>
          </cell>
          <cell r="M1498">
            <v>0</v>
          </cell>
          <cell r="N1498">
            <v>0</v>
          </cell>
          <cell r="O1498" t="str">
            <v>0.00%</v>
          </cell>
          <cell r="P1498">
            <v>5</v>
          </cell>
          <cell r="Q1498">
            <v>269.89999999999998</v>
          </cell>
          <cell r="R1498">
            <v>1</v>
          </cell>
        </row>
        <row r="1499">
          <cell r="A1499" t="str">
            <v>24.01.04.02</v>
          </cell>
          <cell r="B1499" t="str">
            <v>SALIDA PARA INTERRUPTOR DOBLE, INCLUYE INSTALACION DE INTERRUPTOR</v>
          </cell>
          <cell r="C1499" t="str">
            <v>pto</v>
          </cell>
          <cell r="D1499">
            <v>2</v>
          </cell>
          <cell r="E1499">
            <v>55.98</v>
          </cell>
          <cell r="F1499">
            <v>111.96</v>
          </cell>
          <cell r="G1499">
            <v>0</v>
          </cell>
          <cell r="H1499">
            <v>0</v>
          </cell>
          <cell r="I1499" t="str">
            <v>0.00%</v>
          </cell>
          <cell r="J1499">
            <v>0</v>
          </cell>
          <cell r="K1499">
            <v>0</v>
          </cell>
          <cell r="L1499" t="str">
            <v>0.00%</v>
          </cell>
          <cell r="M1499">
            <v>0</v>
          </cell>
          <cell r="N1499">
            <v>0</v>
          </cell>
          <cell r="O1499" t="str">
            <v>0.00%</v>
          </cell>
          <cell r="P1499">
            <v>2</v>
          </cell>
          <cell r="Q1499">
            <v>111.96</v>
          </cell>
          <cell r="R1499">
            <v>1</v>
          </cell>
        </row>
        <row r="1500">
          <cell r="A1500" t="str">
            <v>24.01.05</v>
          </cell>
          <cell r="B1500" t="str">
            <v>TOMACORRIENTES</v>
          </cell>
          <cell r="C1500">
            <v>0</v>
          </cell>
          <cell r="D1500">
            <v>0</v>
          </cell>
          <cell r="E1500">
            <v>0</v>
          </cell>
          <cell r="F1500">
            <v>0</v>
          </cell>
          <cell r="G1500">
            <v>0</v>
          </cell>
          <cell r="H1500">
            <v>0</v>
          </cell>
          <cell r="I1500">
            <v>0</v>
          </cell>
          <cell r="J1500">
            <v>0</v>
          </cell>
          <cell r="K1500">
            <v>0</v>
          </cell>
          <cell r="L1500">
            <v>0</v>
          </cell>
          <cell r="M1500">
            <v>0</v>
          </cell>
          <cell r="N1500">
            <v>0</v>
          </cell>
          <cell r="O1500">
            <v>0</v>
          </cell>
          <cell r="P1500">
            <v>0</v>
          </cell>
          <cell r="Q1500">
            <v>0</v>
          </cell>
          <cell r="R1500">
            <v>0</v>
          </cell>
        </row>
        <row r="1501">
          <cell r="A1501" t="str">
            <v>24.01.05.01</v>
          </cell>
          <cell r="B1501" t="str">
            <v>SALIDA PARA TOMACORRIENTES DOBLE CON PUESTA TIERRA, INCLUYE INSTALACION DE TOMACORRIENTE</v>
          </cell>
          <cell r="C1501" t="str">
            <v>pto</v>
          </cell>
          <cell r="D1501">
            <v>17</v>
          </cell>
          <cell r="E1501">
            <v>95.35</v>
          </cell>
          <cell r="F1501">
            <v>1620.9499999999998</v>
          </cell>
          <cell r="G1501">
            <v>0</v>
          </cell>
          <cell r="H1501">
            <v>0</v>
          </cell>
          <cell r="I1501" t="str">
            <v>0.00%</v>
          </cell>
          <cell r="J1501">
            <v>0</v>
          </cell>
          <cell r="K1501">
            <v>0</v>
          </cell>
          <cell r="L1501" t="str">
            <v>0.00%</v>
          </cell>
          <cell r="M1501">
            <v>0</v>
          </cell>
          <cell r="N1501">
            <v>0</v>
          </cell>
          <cell r="O1501" t="str">
            <v>0.00%</v>
          </cell>
          <cell r="P1501">
            <v>17</v>
          </cell>
          <cell r="Q1501">
            <v>1620.9499999999998</v>
          </cell>
          <cell r="R1501">
            <v>1</v>
          </cell>
        </row>
        <row r="1502">
          <cell r="A1502" t="str">
            <v>24.02</v>
          </cell>
          <cell r="B1502" t="str">
            <v>SISTEMAS ESPECIALES</v>
          </cell>
          <cell r="C1502">
            <v>0</v>
          </cell>
          <cell r="D1502">
            <v>0</v>
          </cell>
          <cell r="E1502">
            <v>0</v>
          </cell>
          <cell r="F1502">
            <v>0</v>
          </cell>
          <cell r="G1502">
            <v>0</v>
          </cell>
          <cell r="H1502">
            <v>0</v>
          </cell>
          <cell r="I1502">
            <v>0</v>
          </cell>
          <cell r="J1502">
            <v>0</v>
          </cell>
          <cell r="K1502">
            <v>0</v>
          </cell>
          <cell r="L1502">
            <v>0</v>
          </cell>
          <cell r="M1502">
            <v>0</v>
          </cell>
          <cell r="N1502">
            <v>0</v>
          </cell>
          <cell r="O1502">
            <v>0</v>
          </cell>
          <cell r="P1502">
            <v>0</v>
          </cell>
          <cell r="Q1502">
            <v>0</v>
          </cell>
          <cell r="R1502">
            <v>0</v>
          </cell>
        </row>
        <row r="1503">
          <cell r="A1503" t="str">
            <v>24.02.01</v>
          </cell>
          <cell r="B1503" t="str">
            <v>SALIDAS DE SISTEMAS ESPECIALES</v>
          </cell>
          <cell r="C1503">
            <v>0</v>
          </cell>
          <cell r="D1503">
            <v>0</v>
          </cell>
          <cell r="E1503">
            <v>0</v>
          </cell>
          <cell r="F1503">
            <v>0</v>
          </cell>
          <cell r="G1503">
            <v>0</v>
          </cell>
          <cell r="H1503">
            <v>0</v>
          </cell>
          <cell r="I1503">
            <v>0</v>
          </cell>
          <cell r="J1503">
            <v>0</v>
          </cell>
          <cell r="K1503">
            <v>0</v>
          </cell>
          <cell r="L1503">
            <v>0</v>
          </cell>
          <cell r="M1503">
            <v>0</v>
          </cell>
          <cell r="N1503">
            <v>0</v>
          </cell>
          <cell r="O1503">
            <v>0</v>
          </cell>
          <cell r="P1503">
            <v>0</v>
          </cell>
          <cell r="Q1503">
            <v>0</v>
          </cell>
          <cell r="R1503">
            <v>0</v>
          </cell>
        </row>
        <row r="1504">
          <cell r="A1504" t="str">
            <v>24.02.01.01</v>
          </cell>
          <cell r="B1504" t="str">
            <v>SALIDA SIMPLE PARA RED DE DATOS</v>
          </cell>
          <cell r="C1504" t="str">
            <v>pto</v>
          </cell>
          <cell r="D1504">
            <v>2</v>
          </cell>
          <cell r="E1504">
            <v>270.77999999999997</v>
          </cell>
          <cell r="F1504">
            <v>541.55999999999995</v>
          </cell>
          <cell r="G1504">
            <v>0</v>
          </cell>
          <cell r="H1504">
            <v>0</v>
          </cell>
          <cell r="I1504" t="str">
            <v>0.00%</v>
          </cell>
          <cell r="J1504">
            <v>0</v>
          </cell>
          <cell r="K1504">
            <v>0</v>
          </cell>
          <cell r="L1504" t="str">
            <v>0.00%</v>
          </cell>
          <cell r="M1504">
            <v>0</v>
          </cell>
          <cell r="N1504">
            <v>0</v>
          </cell>
          <cell r="O1504" t="str">
            <v>0.00%</v>
          </cell>
          <cell r="P1504">
            <v>2</v>
          </cell>
          <cell r="Q1504">
            <v>541.55999999999995</v>
          </cell>
          <cell r="R1504">
            <v>1</v>
          </cell>
        </row>
        <row r="1505">
          <cell r="A1505" t="str">
            <v>24.02.01.02</v>
          </cell>
          <cell r="B1505" t="str">
            <v>SALIDA DOBLE PARA RED DE DATOS</v>
          </cell>
          <cell r="C1505" t="str">
            <v>pto</v>
          </cell>
          <cell r="D1505">
            <v>3</v>
          </cell>
          <cell r="E1505">
            <v>199.28</v>
          </cell>
          <cell r="F1505">
            <v>597.84</v>
          </cell>
          <cell r="G1505">
            <v>0</v>
          </cell>
          <cell r="H1505">
            <v>0</v>
          </cell>
          <cell r="I1505" t="str">
            <v>0.00%</v>
          </cell>
          <cell r="J1505">
            <v>0</v>
          </cell>
          <cell r="K1505">
            <v>0</v>
          </cell>
          <cell r="L1505" t="str">
            <v>0.00%</v>
          </cell>
          <cell r="M1505">
            <v>0</v>
          </cell>
          <cell r="N1505">
            <v>0</v>
          </cell>
          <cell r="O1505" t="str">
            <v>0.00%</v>
          </cell>
          <cell r="P1505">
            <v>3</v>
          </cell>
          <cell r="Q1505">
            <v>597.84</v>
          </cell>
          <cell r="R1505">
            <v>1</v>
          </cell>
        </row>
        <row r="1506">
          <cell r="A1506" t="str">
            <v>24.02.01.03</v>
          </cell>
          <cell r="B1506" t="str">
            <v>SALIDA PARA DETECTORES DE HUMO</v>
          </cell>
          <cell r="C1506" t="str">
            <v>pto</v>
          </cell>
          <cell r="D1506">
            <v>4</v>
          </cell>
          <cell r="E1506">
            <v>143.56</v>
          </cell>
          <cell r="F1506">
            <v>574.24</v>
          </cell>
          <cell r="G1506">
            <v>0</v>
          </cell>
          <cell r="H1506">
            <v>0</v>
          </cell>
          <cell r="I1506" t="str">
            <v>0.00%</v>
          </cell>
          <cell r="J1506">
            <v>0</v>
          </cell>
          <cell r="K1506">
            <v>0</v>
          </cell>
          <cell r="L1506" t="str">
            <v>0.00%</v>
          </cell>
          <cell r="M1506">
            <v>0</v>
          </cell>
          <cell r="N1506">
            <v>0</v>
          </cell>
          <cell r="O1506" t="str">
            <v>0.00%</v>
          </cell>
          <cell r="P1506">
            <v>4</v>
          </cell>
          <cell r="Q1506">
            <v>574.24</v>
          </cell>
          <cell r="R1506">
            <v>1</v>
          </cell>
        </row>
        <row r="1507">
          <cell r="A1507" t="str">
            <v>24.02.01.04</v>
          </cell>
          <cell r="B1507" t="str">
            <v>SALIDA PARA ESTACION MANUAL DE ALARMA CONTRA INCENDIO, PULSADOR Y ALARMA SONORA CONTRA INCENDIO.</v>
          </cell>
          <cell r="C1507" t="str">
            <v>pto</v>
          </cell>
          <cell r="D1507">
            <v>1</v>
          </cell>
          <cell r="E1507">
            <v>97.52</v>
          </cell>
          <cell r="F1507">
            <v>97.52</v>
          </cell>
          <cell r="G1507">
            <v>0</v>
          </cell>
          <cell r="H1507">
            <v>0</v>
          </cell>
          <cell r="I1507" t="str">
            <v>0.00%</v>
          </cell>
          <cell r="J1507">
            <v>0</v>
          </cell>
          <cell r="K1507">
            <v>0</v>
          </cell>
          <cell r="L1507" t="str">
            <v>0.00%</v>
          </cell>
          <cell r="M1507">
            <v>0</v>
          </cell>
          <cell r="N1507">
            <v>0</v>
          </cell>
          <cell r="O1507" t="str">
            <v>0.00%</v>
          </cell>
          <cell r="P1507">
            <v>1</v>
          </cell>
          <cell r="Q1507">
            <v>97.52</v>
          </cell>
          <cell r="R1507">
            <v>1</v>
          </cell>
        </row>
        <row r="1508">
          <cell r="A1508" t="str">
            <v>24.02.01.05</v>
          </cell>
          <cell r="B1508" t="str">
            <v>SALIDA PARA PUNTO DE TV-CABLE, INCLUYE INSTALACION DE TAPA CIEGA</v>
          </cell>
          <cell r="C1508" t="str">
            <v>pto</v>
          </cell>
          <cell r="D1508">
            <v>2</v>
          </cell>
          <cell r="E1508">
            <v>102.44</v>
          </cell>
          <cell r="F1508">
            <v>204.88</v>
          </cell>
          <cell r="G1508">
            <v>0</v>
          </cell>
          <cell r="H1508">
            <v>0</v>
          </cell>
          <cell r="I1508" t="str">
            <v>0.00%</v>
          </cell>
          <cell r="J1508">
            <v>0</v>
          </cell>
          <cell r="K1508">
            <v>0</v>
          </cell>
          <cell r="L1508" t="str">
            <v>0.00%</v>
          </cell>
          <cell r="M1508">
            <v>0</v>
          </cell>
          <cell r="N1508">
            <v>0</v>
          </cell>
          <cell r="O1508" t="str">
            <v>0.00%</v>
          </cell>
          <cell r="P1508">
            <v>2</v>
          </cell>
          <cell r="Q1508">
            <v>204.88</v>
          </cell>
          <cell r="R1508">
            <v>1</v>
          </cell>
        </row>
        <row r="1509">
          <cell r="A1509" t="str">
            <v>24.02.02</v>
          </cell>
          <cell r="B1509" t="str">
            <v>CAJAS DE PASE</v>
          </cell>
          <cell r="C1509">
            <v>0</v>
          </cell>
          <cell r="D1509">
            <v>0</v>
          </cell>
          <cell r="E1509">
            <v>0</v>
          </cell>
          <cell r="F1509">
            <v>0</v>
          </cell>
          <cell r="G1509">
            <v>0</v>
          </cell>
          <cell r="H1509">
            <v>0</v>
          </cell>
          <cell r="I1509">
            <v>0</v>
          </cell>
          <cell r="J1509">
            <v>0</v>
          </cell>
          <cell r="K1509">
            <v>0</v>
          </cell>
          <cell r="L1509">
            <v>0</v>
          </cell>
          <cell r="M1509">
            <v>0</v>
          </cell>
          <cell r="N1509">
            <v>0</v>
          </cell>
          <cell r="O1509">
            <v>0</v>
          </cell>
          <cell r="P1509">
            <v>0</v>
          </cell>
          <cell r="Q1509">
            <v>0</v>
          </cell>
          <cell r="R1509">
            <v>0</v>
          </cell>
        </row>
        <row r="1510">
          <cell r="A1510" t="str">
            <v>24.02.02.01</v>
          </cell>
          <cell r="B1510" t="str">
            <v>INSTALACION DE CAJA DE PASO DE 15x15X8cm.</v>
          </cell>
          <cell r="C1510" t="str">
            <v>und</v>
          </cell>
          <cell r="D1510">
            <v>4</v>
          </cell>
          <cell r="E1510">
            <v>79.64</v>
          </cell>
          <cell r="F1510">
            <v>318.56</v>
          </cell>
          <cell r="G1510">
            <v>0</v>
          </cell>
          <cell r="H1510">
            <v>0</v>
          </cell>
          <cell r="I1510" t="str">
            <v>0.00%</v>
          </cell>
          <cell r="J1510">
            <v>0</v>
          </cell>
          <cell r="K1510">
            <v>0</v>
          </cell>
          <cell r="L1510" t="str">
            <v>0.00%</v>
          </cell>
          <cell r="M1510">
            <v>0</v>
          </cell>
          <cell r="N1510">
            <v>0</v>
          </cell>
          <cell r="O1510" t="str">
            <v>0.00%</v>
          </cell>
          <cell r="P1510">
            <v>4</v>
          </cell>
          <cell r="Q1510">
            <v>318.56</v>
          </cell>
          <cell r="R1510">
            <v>1</v>
          </cell>
        </row>
        <row r="1511">
          <cell r="A1511" t="str">
            <v>25</v>
          </cell>
          <cell r="B1511" t="str">
            <v xml:space="preserve">CISTERNA SUBTERRANEA Y CASETA DE BOMBEO </v>
          </cell>
          <cell r="C1511">
            <v>0</v>
          </cell>
          <cell r="D1511">
            <v>0</v>
          </cell>
          <cell r="E1511">
            <v>0</v>
          </cell>
          <cell r="F1511">
            <v>0</v>
          </cell>
          <cell r="G1511">
            <v>0</v>
          </cell>
          <cell r="H1511">
            <v>0</v>
          </cell>
          <cell r="I1511">
            <v>0</v>
          </cell>
          <cell r="J1511">
            <v>0</v>
          </cell>
          <cell r="K1511">
            <v>0</v>
          </cell>
          <cell r="L1511">
            <v>0</v>
          </cell>
          <cell r="M1511">
            <v>0</v>
          </cell>
          <cell r="N1511">
            <v>0</v>
          </cell>
          <cell r="O1511">
            <v>0</v>
          </cell>
          <cell r="P1511">
            <v>0</v>
          </cell>
          <cell r="Q1511">
            <v>0</v>
          </cell>
          <cell r="R1511">
            <v>0</v>
          </cell>
        </row>
        <row r="1512">
          <cell r="A1512" t="str">
            <v>25.01</v>
          </cell>
          <cell r="B1512" t="str">
            <v>INSTALACIONES ELECTRICAS</v>
          </cell>
          <cell r="C1512">
            <v>0</v>
          </cell>
          <cell r="D1512">
            <v>0</v>
          </cell>
          <cell r="E1512">
            <v>0</v>
          </cell>
          <cell r="F1512">
            <v>0</v>
          </cell>
          <cell r="G1512">
            <v>0</v>
          </cell>
          <cell r="H1512">
            <v>0</v>
          </cell>
          <cell r="I1512">
            <v>0</v>
          </cell>
          <cell r="J1512">
            <v>0</v>
          </cell>
          <cell r="K1512">
            <v>0</v>
          </cell>
          <cell r="L1512">
            <v>0</v>
          </cell>
          <cell r="M1512">
            <v>0</v>
          </cell>
          <cell r="N1512">
            <v>0</v>
          </cell>
          <cell r="O1512">
            <v>0</v>
          </cell>
          <cell r="P1512">
            <v>0</v>
          </cell>
          <cell r="Q1512">
            <v>0</v>
          </cell>
          <cell r="R1512">
            <v>0</v>
          </cell>
        </row>
        <row r="1513">
          <cell r="A1513" t="str">
            <v>25.01.01</v>
          </cell>
          <cell r="B1513" t="str">
            <v>TABLEROS</v>
          </cell>
          <cell r="C1513">
            <v>0</v>
          </cell>
          <cell r="D1513">
            <v>0</v>
          </cell>
          <cell r="E1513">
            <v>0</v>
          </cell>
          <cell r="F1513">
            <v>0</v>
          </cell>
          <cell r="G1513">
            <v>0</v>
          </cell>
          <cell r="H1513">
            <v>0</v>
          </cell>
          <cell r="I1513">
            <v>0</v>
          </cell>
          <cell r="J1513">
            <v>0</v>
          </cell>
          <cell r="K1513">
            <v>0</v>
          </cell>
          <cell r="L1513">
            <v>0</v>
          </cell>
          <cell r="M1513">
            <v>0</v>
          </cell>
          <cell r="N1513">
            <v>0</v>
          </cell>
          <cell r="O1513">
            <v>0</v>
          </cell>
          <cell r="P1513">
            <v>0</v>
          </cell>
          <cell r="Q1513">
            <v>0</v>
          </cell>
          <cell r="R1513">
            <v>0</v>
          </cell>
        </row>
        <row r="1514">
          <cell r="A1514" t="str">
            <v>25.01.01.01</v>
          </cell>
          <cell r="B1514" t="str">
            <v>TABLERO DE DISTRIBUCION TD - 6</v>
          </cell>
          <cell r="C1514" t="str">
            <v>Eqp</v>
          </cell>
          <cell r="D1514">
            <v>1</v>
          </cell>
          <cell r="E1514">
            <v>1593.05</v>
          </cell>
          <cell r="F1514">
            <v>1593.05</v>
          </cell>
          <cell r="G1514">
            <v>0</v>
          </cell>
          <cell r="H1514">
            <v>0</v>
          </cell>
          <cell r="I1514" t="str">
            <v>0.00%</v>
          </cell>
          <cell r="J1514">
            <v>0</v>
          </cell>
          <cell r="K1514">
            <v>0</v>
          </cell>
          <cell r="L1514" t="str">
            <v>0.00%</v>
          </cell>
          <cell r="M1514">
            <v>0</v>
          </cell>
          <cell r="N1514">
            <v>0</v>
          </cell>
          <cell r="O1514" t="str">
            <v>0.00%</v>
          </cell>
          <cell r="P1514">
            <v>1</v>
          </cell>
          <cell r="Q1514">
            <v>1593.05</v>
          </cell>
          <cell r="R1514">
            <v>1</v>
          </cell>
        </row>
        <row r="1515">
          <cell r="A1515" t="str">
            <v>25.01.01.02</v>
          </cell>
          <cell r="B1515" t="str">
            <v>TABLERO DE CONTROL DE BOMBAS T-CBA</v>
          </cell>
          <cell r="C1515" t="str">
            <v>und</v>
          </cell>
          <cell r="D1515">
            <v>1</v>
          </cell>
          <cell r="E1515">
            <v>468.91</v>
          </cell>
          <cell r="F1515">
            <v>468.91</v>
          </cell>
          <cell r="G1515">
            <v>0</v>
          </cell>
          <cell r="H1515">
            <v>0</v>
          </cell>
          <cell r="I1515" t="str">
            <v>0.00%</v>
          </cell>
          <cell r="J1515">
            <v>0</v>
          </cell>
          <cell r="K1515">
            <v>0</v>
          </cell>
          <cell r="L1515" t="str">
            <v>0.00%</v>
          </cell>
          <cell r="M1515">
            <v>0</v>
          </cell>
          <cell r="N1515">
            <v>0</v>
          </cell>
          <cell r="O1515" t="str">
            <v>0.00%</v>
          </cell>
          <cell r="P1515">
            <v>1</v>
          </cell>
          <cell r="Q1515">
            <v>468.91</v>
          </cell>
          <cell r="R1515">
            <v>1</v>
          </cell>
        </row>
        <row r="1516">
          <cell r="A1516" t="str">
            <v>25.01.02</v>
          </cell>
          <cell r="B1516" t="str">
            <v>SALIDA PARA CENTRO DE LUZ</v>
          </cell>
          <cell r="C1516">
            <v>0</v>
          </cell>
          <cell r="D1516">
            <v>0</v>
          </cell>
          <cell r="E1516">
            <v>0</v>
          </cell>
          <cell r="F1516">
            <v>0</v>
          </cell>
          <cell r="G1516">
            <v>0</v>
          </cell>
          <cell r="H1516">
            <v>0</v>
          </cell>
          <cell r="I1516">
            <v>0</v>
          </cell>
          <cell r="J1516">
            <v>0</v>
          </cell>
          <cell r="K1516">
            <v>0</v>
          </cell>
          <cell r="L1516">
            <v>0</v>
          </cell>
          <cell r="M1516">
            <v>0</v>
          </cell>
          <cell r="N1516">
            <v>0</v>
          </cell>
          <cell r="O1516">
            <v>0</v>
          </cell>
          <cell r="P1516">
            <v>0</v>
          </cell>
          <cell r="Q1516">
            <v>0</v>
          </cell>
          <cell r="R1516">
            <v>0</v>
          </cell>
        </row>
        <row r="1517">
          <cell r="A1517" t="str">
            <v>25.01.02.01</v>
          </cell>
          <cell r="B1517" t="str">
            <v xml:space="preserve">SALIDA PARA CENTRO DE LUZ  </v>
          </cell>
          <cell r="C1517" t="str">
            <v>pto</v>
          </cell>
          <cell r="D1517">
            <v>4</v>
          </cell>
          <cell r="E1517">
            <v>68.55</v>
          </cell>
          <cell r="F1517">
            <v>274.2</v>
          </cell>
          <cell r="G1517">
            <v>0</v>
          </cell>
          <cell r="H1517">
            <v>0</v>
          </cell>
          <cell r="I1517" t="str">
            <v>0.00%</v>
          </cell>
          <cell r="J1517">
            <v>0</v>
          </cell>
          <cell r="K1517">
            <v>0</v>
          </cell>
          <cell r="L1517" t="str">
            <v>0.00%</v>
          </cell>
          <cell r="M1517">
            <v>0</v>
          </cell>
          <cell r="N1517">
            <v>0</v>
          </cell>
          <cell r="O1517" t="str">
            <v>0.00%</v>
          </cell>
          <cell r="P1517">
            <v>4</v>
          </cell>
          <cell r="Q1517">
            <v>274.2</v>
          </cell>
          <cell r="R1517">
            <v>1</v>
          </cell>
        </row>
        <row r="1518">
          <cell r="A1518" t="str">
            <v>25.01.02.02</v>
          </cell>
          <cell r="B1518" t="str">
            <v>SALIDA PARA LUZ DE EMERGENCIA</v>
          </cell>
          <cell r="C1518" t="str">
            <v>pto</v>
          </cell>
          <cell r="D1518">
            <v>1</v>
          </cell>
          <cell r="E1518">
            <v>115.82</v>
          </cell>
          <cell r="F1518">
            <v>115.82</v>
          </cell>
          <cell r="G1518">
            <v>0</v>
          </cell>
          <cell r="H1518">
            <v>0</v>
          </cell>
          <cell r="I1518" t="str">
            <v>0.00%</v>
          </cell>
          <cell r="J1518">
            <v>0</v>
          </cell>
          <cell r="K1518">
            <v>0</v>
          </cell>
          <cell r="L1518" t="str">
            <v>0.00%</v>
          </cell>
          <cell r="M1518">
            <v>0</v>
          </cell>
          <cell r="N1518">
            <v>0</v>
          </cell>
          <cell r="O1518" t="str">
            <v>0.00%</v>
          </cell>
          <cell r="P1518">
            <v>1</v>
          </cell>
          <cell r="Q1518">
            <v>115.82</v>
          </cell>
          <cell r="R1518">
            <v>1</v>
          </cell>
        </row>
        <row r="1519">
          <cell r="A1519" t="str">
            <v>25.01.03</v>
          </cell>
          <cell r="B1519" t="str">
            <v>ARTEFACTOS DE ILUMINACION</v>
          </cell>
          <cell r="C1519">
            <v>0</v>
          </cell>
          <cell r="D1519">
            <v>0</v>
          </cell>
          <cell r="E1519">
            <v>0</v>
          </cell>
          <cell r="F1519">
            <v>0</v>
          </cell>
          <cell r="G1519">
            <v>0</v>
          </cell>
          <cell r="H1519">
            <v>0</v>
          </cell>
          <cell r="I1519">
            <v>0</v>
          </cell>
          <cell r="J1519">
            <v>0</v>
          </cell>
          <cell r="K1519">
            <v>0</v>
          </cell>
          <cell r="L1519">
            <v>0</v>
          </cell>
          <cell r="M1519">
            <v>0</v>
          </cell>
          <cell r="N1519">
            <v>0</v>
          </cell>
          <cell r="O1519">
            <v>0</v>
          </cell>
          <cell r="P1519">
            <v>0</v>
          </cell>
          <cell r="Q1519">
            <v>0</v>
          </cell>
          <cell r="R1519">
            <v>0</v>
          </cell>
        </row>
        <row r="1520">
          <cell r="A1520" t="str">
            <v>25.01.03.01</v>
          </cell>
          <cell r="B1520" t="str">
            <v>Artefacto para adosar, con 02 fluorecente lineales de 18W, con rejilla y sistema optico semiparabolico</v>
          </cell>
          <cell r="C1520" t="str">
            <v>und</v>
          </cell>
          <cell r="D1520">
            <v>4</v>
          </cell>
          <cell r="E1520">
            <v>70.62</v>
          </cell>
          <cell r="F1520">
            <v>282.48</v>
          </cell>
          <cell r="G1520">
            <v>0</v>
          </cell>
          <cell r="H1520">
            <v>0</v>
          </cell>
          <cell r="I1520" t="str">
            <v>0.00%</v>
          </cell>
          <cell r="J1520">
            <v>0</v>
          </cell>
          <cell r="K1520">
            <v>0</v>
          </cell>
          <cell r="L1520" t="str">
            <v>0.00%</v>
          </cell>
          <cell r="M1520">
            <v>0</v>
          </cell>
          <cell r="N1520">
            <v>0</v>
          </cell>
          <cell r="O1520" t="str">
            <v>0.00%</v>
          </cell>
          <cell r="P1520">
            <v>4</v>
          </cell>
          <cell r="Q1520">
            <v>282.48</v>
          </cell>
          <cell r="R1520">
            <v>1</v>
          </cell>
        </row>
        <row r="1521">
          <cell r="A1521" t="str">
            <v>25.01.04</v>
          </cell>
          <cell r="B1521" t="str">
            <v>INTERRUPTORES</v>
          </cell>
          <cell r="C1521">
            <v>0</v>
          </cell>
          <cell r="D1521">
            <v>0</v>
          </cell>
          <cell r="E1521">
            <v>0</v>
          </cell>
          <cell r="F1521">
            <v>0</v>
          </cell>
          <cell r="G1521">
            <v>0</v>
          </cell>
          <cell r="H1521">
            <v>0</v>
          </cell>
          <cell r="I1521">
            <v>0</v>
          </cell>
          <cell r="J1521">
            <v>0</v>
          </cell>
          <cell r="K1521">
            <v>0</v>
          </cell>
          <cell r="L1521">
            <v>0</v>
          </cell>
          <cell r="M1521">
            <v>0</v>
          </cell>
          <cell r="N1521">
            <v>0</v>
          </cell>
          <cell r="O1521">
            <v>0</v>
          </cell>
          <cell r="P1521">
            <v>0</v>
          </cell>
          <cell r="Q1521">
            <v>0</v>
          </cell>
          <cell r="R1521">
            <v>0</v>
          </cell>
        </row>
        <row r="1522">
          <cell r="A1522" t="str">
            <v>25.01.04.01</v>
          </cell>
          <cell r="B1522" t="str">
            <v>SALIDA PARA INTERRUPTOR SIMPLE, INCLUYE INSTALACION DE INTERRUPTOR</v>
          </cell>
          <cell r="C1522" t="str">
            <v>pto</v>
          </cell>
          <cell r="D1522">
            <v>1</v>
          </cell>
          <cell r="E1522">
            <v>53.98</v>
          </cell>
          <cell r="F1522">
            <v>53.98</v>
          </cell>
          <cell r="G1522">
            <v>0</v>
          </cell>
          <cell r="H1522">
            <v>0</v>
          </cell>
          <cell r="I1522" t="str">
            <v>0.00%</v>
          </cell>
          <cell r="J1522">
            <v>0</v>
          </cell>
          <cell r="K1522">
            <v>0</v>
          </cell>
          <cell r="L1522" t="str">
            <v>0.00%</v>
          </cell>
          <cell r="M1522">
            <v>0</v>
          </cell>
          <cell r="N1522">
            <v>0</v>
          </cell>
          <cell r="O1522" t="str">
            <v>0.00%</v>
          </cell>
          <cell r="P1522">
            <v>1</v>
          </cell>
          <cell r="Q1522">
            <v>53.98</v>
          </cell>
          <cell r="R1522">
            <v>1</v>
          </cell>
        </row>
        <row r="1523">
          <cell r="A1523" t="str">
            <v>25.01.04.02</v>
          </cell>
          <cell r="B1523" t="str">
            <v>SALIDA PARA INTERRUPTOR DOBLE, INCLUYE INSTALACION DE INTERRUPTOR</v>
          </cell>
          <cell r="C1523" t="str">
            <v>pto</v>
          </cell>
          <cell r="D1523">
            <v>1</v>
          </cell>
          <cell r="E1523">
            <v>55.98</v>
          </cell>
          <cell r="F1523">
            <v>55.98</v>
          </cell>
          <cell r="G1523">
            <v>0</v>
          </cell>
          <cell r="H1523">
            <v>0</v>
          </cell>
          <cell r="I1523" t="str">
            <v>0.00%</v>
          </cell>
          <cell r="J1523">
            <v>0</v>
          </cell>
          <cell r="K1523">
            <v>0</v>
          </cell>
          <cell r="L1523" t="str">
            <v>0.00%</v>
          </cell>
          <cell r="M1523">
            <v>0</v>
          </cell>
          <cell r="N1523">
            <v>0</v>
          </cell>
          <cell r="O1523" t="str">
            <v>0.00%</v>
          </cell>
          <cell r="P1523">
            <v>1</v>
          </cell>
          <cell r="Q1523">
            <v>55.98</v>
          </cell>
          <cell r="R1523">
            <v>1</v>
          </cell>
        </row>
        <row r="1524">
          <cell r="A1524" t="str">
            <v>25.01.05</v>
          </cell>
          <cell r="B1524" t="str">
            <v>TOMACORRIENTES</v>
          </cell>
          <cell r="C1524">
            <v>0</v>
          </cell>
          <cell r="D1524">
            <v>0</v>
          </cell>
          <cell r="E1524">
            <v>0</v>
          </cell>
          <cell r="F1524">
            <v>0</v>
          </cell>
          <cell r="G1524">
            <v>0</v>
          </cell>
          <cell r="H1524">
            <v>0</v>
          </cell>
          <cell r="I1524">
            <v>0</v>
          </cell>
          <cell r="J1524">
            <v>0</v>
          </cell>
          <cell r="K1524">
            <v>0</v>
          </cell>
          <cell r="L1524">
            <v>0</v>
          </cell>
          <cell r="M1524">
            <v>0</v>
          </cell>
          <cell r="N1524">
            <v>0</v>
          </cell>
          <cell r="O1524">
            <v>0</v>
          </cell>
          <cell r="P1524">
            <v>0</v>
          </cell>
          <cell r="Q1524">
            <v>0</v>
          </cell>
          <cell r="R1524">
            <v>0</v>
          </cell>
        </row>
        <row r="1525">
          <cell r="A1525" t="str">
            <v>25.01.05.01</v>
          </cell>
          <cell r="B1525" t="str">
            <v>SALIDA PARA TOMACORRIENTES DOBLE CON PUESTA TIERRA, INCLUYE INSTALACION DE TOMACORRIENTE</v>
          </cell>
          <cell r="C1525" t="str">
            <v>pto</v>
          </cell>
          <cell r="D1525">
            <v>1</v>
          </cell>
          <cell r="E1525">
            <v>95.35</v>
          </cell>
          <cell r="F1525">
            <v>95.35</v>
          </cell>
          <cell r="G1525">
            <v>0</v>
          </cell>
          <cell r="H1525">
            <v>0</v>
          </cell>
          <cell r="I1525" t="str">
            <v>0.00%</v>
          </cell>
          <cell r="J1525">
            <v>0</v>
          </cell>
          <cell r="K1525">
            <v>0</v>
          </cell>
          <cell r="L1525" t="str">
            <v>0.00%</v>
          </cell>
          <cell r="M1525">
            <v>0</v>
          </cell>
          <cell r="N1525">
            <v>0</v>
          </cell>
          <cell r="O1525" t="str">
            <v>0.00%</v>
          </cell>
          <cell r="P1525">
            <v>1</v>
          </cell>
          <cell r="Q1525">
            <v>95.35</v>
          </cell>
          <cell r="R1525">
            <v>1</v>
          </cell>
        </row>
        <row r="1526">
          <cell r="A1526" t="str">
            <v>25.01.05.02</v>
          </cell>
          <cell r="B1526" t="str">
            <v>SALIDA PARA TOMACORRIENTE DE FUERZA PARA BOMBA DE AGUA Y CONTROL DE NIVEL, INCLUYE INSTALACION DE TOMACORRIENTE</v>
          </cell>
          <cell r="C1526" t="str">
            <v>pto</v>
          </cell>
          <cell r="D1526">
            <v>3</v>
          </cell>
          <cell r="E1526">
            <v>96.33</v>
          </cell>
          <cell r="F1526">
            <v>288.99</v>
          </cell>
          <cell r="G1526">
            <v>0</v>
          </cell>
          <cell r="H1526">
            <v>0</v>
          </cell>
          <cell r="I1526" t="str">
            <v>0.00%</v>
          </cell>
          <cell r="J1526">
            <v>0</v>
          </cell>
          <cell r="K1526">
            <v>0</v>
          </cell>
          <cell r="L1526" t="str">
            <v>0.00%</v>
          </cell>
          <cell r="M1526">
            <v>0</v>
          </cell>
          <cell r="N1526">
            <v>0</v>
          </cell>
          <cell r="O1526" t="str">
            <v>0.00%</v>
          </cell>
          <cell r="P1526">
            <v>3</v>
          </cell>
          <cell r="Q1526">
            <v>288.99</v>
          </cell>
          <cell r="R1526">
            <v>1</v>
          </cell>
        </row>
        <row r="1527">
          <cell r="A1527" t="str">
            <v>26</v>
          </cell>
          <cell r="B1527" t="str">
            <v>PATIO DE HONOR CON CUBIERTA</v>
          </cell>
          <cell r="C1527">
            <v>0</v>
          </cell>
          <cell r="D1527">
            <v>0</v>
          </cell>
          <cell r="E1527">
            <v>0</v>
          </cell>
          <cell r="F1527">
            <v>0</v>
          </cell>
          <cell r="G1527">
            <v>0</v>
          </cell>
          <cell r="H1527">
            <v>0</v>
          </cell>
          <cell r="I1527">
            <v>0</v>
          </cell>
          <cell r="J1527">
            <v>0</v>
          </cell>
          <cell r="K1527">
            <v>0</v>
          </cell>
          <cell r="L1527">
            <v>0</v>
          </cell>
          <cell r="M1527">
            <v>0</v>
          </cell>
          <cell r="N1527">
            <v>0</v>
          </cell>
          <cell r="O1527">
            <v>0</v>
          </cell>
          <cell r="P1527">
            <v>0</v>
          </cell>
          <cell r="Q1527">
            <v>0</v>
          </cell>
          <cell r="R1527">
            <v>0</v>
          </cell>
        </row>
        <row r="1528">
          <cell r="A1528" t="str">
            <v>26.01</v>
          </cell>
          <cell r="B1528" t="str">
            <v>INSTALACIONES ELECTRICAS</v>
          </cell>
          <cell r="C1528">
            <v>0</v>
          </cell>
          <cell r="D1528">
            <v>0</v>
          </cell>
          <cell r="E1528">
            <v>0</v>
          </cell>
          <cell r="F1528">
            <v>0</v>
          </cell>
          <cell r="G1528">
            <v>0</v>
          </cell>
          <cell r="H1528">
            <v>0</v>
          </cell>
          <cell r="I1528">
            <v>0</v>
          </cell>
          <cell r="J1528">
            <v>0</v>
          </cell>
          <cell r="K1528">
            <v>0</v>
          </cell>
          <cell r="L1528">
            <v>0</v>
          </cell>
          <cell r="M1528">
            <v>0</v>
          </cell>
          <cell r="N1528">
            <v>0</v>
          </cell>
          <cell r="O1528">
            <v>0</v>
          </cell>
          <cell r="P1528">
            <v>0</v>
          </cell>
          <cell r="Q1528">
            <v>0</v>
          </cell>
          <cell r="R1528">
            <v>0</v>
          </cell>
        </row>
        <row r="1529">
          <cell r="A1529" t="str">
            <v>26.01.01</v>
          </cell>
          <cell r="B1529" t="str">
            <v>EXCAVACION DE ZANJA</v>
          </cell>
          <cell r="C1529">
            <v>0</v>
          </cell>
          <cell r="D1529">
            <v>0</v>
          </cell>
          <cell r="E1529">
            <v>0</v>
          </cell>
          <cell r="F1529">
            <v>0</v>
          </cell>
          <cell r="G1529">
            <v>0</v>
          </cell>
          <cell r="H1529">
            <v>0</v>
          </cell>
          <cell r="I1529">
            <v>0</v>
          </cell>
          <cell r="J1529">
            <v>0</v>
          </cell>
          <cell r="K1529">
            <v>0</v>
          </cell>
          <cell r="L1529">
            <v>0</v>
          </cell>
          <cell r="M1529">
            <v>0</v>
          </cell>
          <cell r="N1529">
            <v>0</v>
          </cell>
          <cell r="O1529">
            <v>0</v>
          </cell>
          <cell r="P1529">
            <v>0</v>
          </cell>
          <cell r="Q1529">
            <v>0</v>
          </cell>
          <cell r="R1529">
            <v>0</v>
          </cell>
        </row>
        <row r="1530">
          <cell r="A1530" t="str">
            <v>26.01.01.01</v>
          </cell>
          <cell r="B1530" t="str">
            <v>CAVADO DE ZANJA, SEÑALIZACION, PROTECCION Y RELLENO DE ZANJA</v>
          </cell>
          <cell r="C1530" t="str">
            <v>m</v>
          </cell>
          <cell r="D1530">
            <v>25</v>
          </cell>
          <cell r="E1530">
            <v>71.78</v>
          </cell>
          <cell r="F1530">
            <v>1794.5</v>
          </cell>
          <cell r="G1530">
            <v>0</v>
          </cell>
          <cell r="H1530">
            <v>0</v>
          </cell>
          <cell r="I1530" t="str">
            <v>0.00%</v>
          </cell>
          <cell r="J1530">
            <v>0</v>
          </cell>
          <cell r="K1530">
            <v>0</v>
          </cell>
          <cell r="L1530" t="str">
            <v>0.00%</v>
          </cell>
          <cell r="M1530">
            <v>0</v>
          </cell>
          <cell r="N1530">
            <v>0</v>
          </cell>
          <cell r="O1530" t="str">
            <v>0.00%</v>
          </cell>
          <cell r="P1530">
            <v>25</v>
          </cell>
          <cell r="Q1530">
            <v>1794.5</v>
          </cell>
          <cell r="R1530">
            <v>1</v>
          </cell>
        </row>
        <row r="1531">
          <cell r="A1531" t="str">
            <v>26.01.02</v>
          </cell>
          <cell r="B1531" t="str">
            <v>CABLE SUBTERRANEO</v>
          </cell>
          <cell r="C1531">
            <v>0</v>
          </cell>
          <cell r="D1531">
            <v>0</v>
          </cell>
          <cell r="E1531">
            <v>0</v>
          </cell>
          <cell r="F1531">
            <v>0</v>
          </cell>
          <cell r="G1531">
            <v>0</v>
          </cell>
          <cell r="H1531">
            <v>0</v>
          </cell>
          <cell r="I1531">
            <v>0</v>
          </cell>
          <cell r="J1531">
            <v>0</v>
          </cell>
          <cell r="K1531">
            <v>0</v>
          </cell>
          <cell r="L1531">
            <v>0</v>
          </cell>
          <cell r="M1531">
            <v>0</v>
          </cell>
          <cell r="N1531">
            <v>0</v>
          </cell>
          <cell r="O1531">
            <v>0</v>
          </cell>
          <cell r="P1531">
            <v>0</v>
          </cell>
          <cell r="Q1531">
            <v>0</v>
          </cell>
          <cell r="R1531">
            <v>0</v>
          </cell>
        </row>
        <row r="1532">
          <cell r="A1532" t="str">
            <v>26.01.02.01</v>
          </cell>
          <cell r="B1532" t="str">
            <v>TENDIDO DE CABLE SUBTERRANEO  N2XOH (2-1x6+1x6 (T))mm2</v>
          </cell>
          <cell r="C1532" t="str">
            <v>m</v>
          </cell>
          <cell r="D1532">
            <v>70</v>
          </cell>
          <cell r="E1532">
            <v>15.48</v>
          </cell>
          <cell r="F1532">
            <v>1083.6000000000001</v>
          </cell>
          <cell r="G1532">
            <v>0</v>
          </cell>
          <cell r="H1532">
            <v>0</v>
          </cell>
          <cell r="I1532" t="str">
            <v>0.00%</v>
          </cell>
          <cell r="J1532">
            <v>0</v>
          </cell>
          <cell r="K1532">
            <v>0</v>
          </cell>
          <cell r="L1532" t="str">
            <v>0.00%</v>
          </cell>
          <cell r="M1532">
            <v>0</v>
          </cell>
          <cell r="N1532">
            <v>0</v>
          </cell>
          <cell r="O1532" t="str">
            <v>0.00%</v>
          </cell>
          <cell r="P1532">
            <v>70</v>
          </cell>
          <cell r="Q1532">
            <v>1083.6000000000001</v>
          </cell>
          <cell r="R1532">
            <v>1</v>
          </cell>
        </row>
        <row r="1533">
          <cell r="A1533" t="str">
            <v>26.01.03</v>
          </cell>
          <cell r="B1533" t="str">
            <v>DUCTOS O TUBERIAS</v>
          </cell>
          <cell r="C1533">
            <v>0</v>
          </cell>
          <cell r="D1533">
            <v>0</v>
          </cell>
          <cell r="E1533">
            <v>0</v>
          </cell>
          <cell r="F1533">
            <v>0</v>
          </cell>
          <cell r="G1533">
            <v>0</v>
          </cell>
          <cell r="H1533">
            <v>0</v>
          </cell>
          <cell r="I1533">
            <v>0</v>
          </cell>
          <cell r="J1533">
            <v>0</v>
          </cell>
          <cell r="K1533">
            <v>0</v>
          </cell>
          <cell r="L1533">
            <v>0</v>
          </cell>
          <cell r="M1533">
            <v>0</v>
          </cell>
          <cell r="N1533">
            <v>0</v>
          </cell>
          <cell r="O1533">
            <v>0</v>
          </cell>
          <cell r="P1533">
            <v>0</v>
          </cell>
          <cell r="Q1533">
            <v>0</v>
          </cell>
          <cell r="R1533">
            <v>0</v>
          </cell>
        </row>
        <row r="1534">
          <cell r="A1534" t="str">
            <v>26.01.03.01</v>
          </cell>
          <cell r="B1534" t="str">
            <v>TUBERIA PVC - P Ø 30 mm</v>
          </cell>
          <cell r="C1534" t="str">
            <v>m</v>
          </cell>
          <cell r="D1534">
            <v>25</v>
          </cell>
          <cell r="E1534">
            <v>8.25</v>
          </cell>
          <cell r="F1534">
            <v>206.25</v>
          </cell>
          <cell r="G1534">
            <v>0</v>
          </cell>
          <cell r="H1534">
            <v>0</v>
          </cell>
          <cell r="I1534" t="str">
            <v>0.00%</v>
          </cell>
          <cell r="J1534">
            <v>0</v>
          </cell>
          <cell r="K1534">
            <v>0</v>
          </cell>
          <cell r="L1534" t="str">
            <v>0.00%</v>
          </cell>
          <cell r="M1534">
            <v>0</v>
          </cell>
          <cell r="N1534">
            <v>0</v>
          </cell>
          <cell r="O1534" t="str">
            <v>0.00%</v>
          </cell>
          <cell r="P1534">
            <v>25</v>
          </cell>
          <cell r="Q1534">
            <v>206.25</v>
          </cell>
          <cell r="R1534">
            <v>1</v>
          </cell>
        </row>
        <row r="1535">
          <cell r="A1535" t="str">
            <v>26.01.03.02</v>
          </cell>
          <cell r="B1535" t="str">
            <v>TUBERIA CONDUIT Ø 19 mm.</v>
          </cell>
          <cell r="C1535" t="str">
            <v>m</v>
          </cell>
          <cell r="D1535">
            <v>45</v>
          </cell>
          <cell r="E1535">
            <v>17.559999999999999</v>
          </cell>
          <cell r="F1535">
            <v>790.19999999999993</v>
          </cell>
          <cell r="G1535">
            <v>0</v>
          </cell>
          <cell r="H1535">
            <v>0</v>
          </cell>
          <cell r="I1535" t="str">
            <v>0.00%</v>
          </cell>
          <cell r="J1535">
            <v>0</v>
          </cell>
          <cell r="K1535">
            <v>0</v>
          </cell>
          <cell r="L1535" t="str">
            <v>0.00%</v>
          </cell>
          <cell r="M1535">
            <v>0</v>
          </cell>
          <cell r="N1535">
            <v>0</v>
          </cell>
          <cell r="O1535" t="str">
            <v>0.00%</v>
          </cell>
          <cell r="P1535">
            <v>45</v>
          </cell>
          <cell r="Q1535">
            <v>790.19999999999993</v>
          </cell>
          <cell r="R1535">
            <v>1</v>
          </cell>
        </row>
        <row r="1536">
          <cell r="A1536" t="str">
            <v>26.01.04</v>
          </cell>
          <cell r="B1536" t="str">
            <v>ARMADO DE BUZON DE CONCRETO</v>
          </cell>
          <cell r="C1536">
            <v>0</v>
          </cell>
          <cell r="D1536">
            <v>0</v>
          </cell>
          <cell r="E1536">
            <v>0</v>
          </cell>
          <cell r="F1536">
            <v>0</v>
          </cell>
          <cell r="G1536">
            <v>0</v>
          </cell>
          <cell r="H1536">
            <v>0</v>
          </cell>
          <cell r="I1536">
            <v>0</v>
          </cell>
          <cell r="J1536">
            <v>0</v>
          </cell>
          <cell r="K1536">
            <v>0</v>
          </cell>
          <cell r="L1536">
            <v>0</v>
          </cell>
          <cell r="M1536">
            <v>0</v>
          </cell>
          <cell r="N1536">
            <v>0</v>
          </cell>
          <cell r="O1536">
            <v>0</v>
          </cell>
          <cell r="P1536">
            <v>0</v>
          </cell>
          <cell r="Q1536">
            <v>0</v>
          </cell>
          <cell r="R1536">
            <v>0</v>
          </cell>
        </row>
        <row r="1537">
          <cell r="A1537" t="str">
            <v>26.01.04.01</v>
          </cell>
          <cell r="B1537" t="str">
            <v>CAVADO Y ARMADO DE BUZON CUADRADO DE CONCRETO EN EL PISO CON TAPA DE CONCRETO</v>
          </cell>
          <cell r="C1537" t="str">
            <v>und</v>
          </cell>
          <cell r="D1537">
            <v>1</v>
          </cell>
          <cell r="E1537">
            <v>284.02999999999997</v>
          </cell>
          <cell r="F1537">
            <v>284.02999999999997</v>
          </cell>
          <cell r="G1537">
            <v>0</v>
          </cell>
          <cell r="H1537">
            <v>0</v>
          </cell>
          <cell r="I1537" t="str">
            <v>0.00%</v>
          </cell>
          <cell r="J1537">
            <v>0</v>
          </cell>
          <cell r="K1537">
            <v>0</v>
          </cell>
          <cell r="L1537" t="str">
            <v>0.00%</v>
          </cell>
          <cell r="M1537">
            <v>0</v>
          </cell>
          <cell r="N1537">
            <v>0</v>
          </cell>
          <cell r="O1537" t="str">
            <v>0.00%</v>
          </cell>
          <cell r="P1537">
            <v>1</v>
          </cell>
          <cell r="Q1537">
            <v>284.02999999999997</v>
          </cell>
          <cell r="R1537">
            <v>1</v>
          </cell>
        </row>
        <row r="1538">
          <cell r="A1538" t="str">
            <v>26.01.04.02</v>
          </cell>
          <cell r="B1538" t="str">
            <v>CAVADO Y ARMADO DE BUZON CIRCULAR DE CONCRETO EN EL PISO CON TAPA DE CONCRETO</v>
          </cell>
          <cell r="C1538" t="str">
            <v>und</v>
          </cell>
          <cell r="D1538">
            <v>2</v>
          </cell>
          <cell r="E1538">
            <v>287.52999999999997</v>
          </cell>
          <cell r="F1538">
            <v>575.05999999999995</v>
          </cell>
          <cell r="G1538">
            <v>0</v>
          </cell>
          <cell r="H1538">
            <v>0</v>
          </cell>
          <cell r="I1538" t="str">
            <v>0.00%</v>
          </cell>
          <cell r="J1538">
            <v>0</v>
          </cell>
          <cell r="K1538">
            <v>0</v>
          </cell>
          <cell r="L1538" t="str">
            <v>0.00%</v>
          </cell>
          <cell r="M1538">
            <v>0</v>
          </cell>
          <cell r="N1538">
            <v>0</v>
          </cell>
          <cell r="O1538" t="str">
            <v>0.00%</v>
          </cell>
          <cell r="P1538">
            <v>2</v>
          </cell>
          <cell r="Q1538">
            <v>575.05999999999995</v>
          </cell>
          <cell r="R1538">
            <v>1</v>
          </cell>
        </row>
        <row r="1539">
          <cell r="A1539" t="str">
            <v>26.01.05</v>
          </cell>
          <cell r="B1539" t="str">
            <v xml:space="preserve">SALIDA PARA REFLECTORES  </v>
          </cell>
          <cell r="C1539">
            <v>0</v>
          </cell>
          <cell r="D1539">
            <v>0</v>
          </cell>
          <cell r="E1539">
            <v>0</v>
          </cell>
          <cell r="F1539">
            <v>0</v>
          </cell>
          <cell r="G1539">
            <v>0</v>
          </cell>
          <cell r="H1539">
            <v>0</v>
          </cell>
          <cell r="I1539">
            <v>0</v>
          </cell>
          <cell r="J1539">
            <v>0</v>
          </cell>
          <cell r="K1539">
            <v>0</v>
          </cell>
          <cell r="L1539">
            <v>0</v>
          </cell>
          <cell r="M1539">
            <v>0</v>
          </cell>
          <cell r="N1539">
            <v>0</v>
          </cell>
          <cell r="O1539">
            <v>0</v>
          </cell>
          <cell r="P1539">
            <v>0</v>
          </cell>
          <cell r="Q1539">
            <v>0</v>
          </cell>
          <cell r="R1539">
            <v>0</v>
          </cell>
        </row>
        <row r="1540">
          <cell r="A1540" t="str">
            <v>26.01.05.01</v>
          </cell>
          <cell r="B1540" t="str">
            <v>SALIDA PARA CENTRO DE REFLECTOR</v>
          </cell>
          <cell r="C1540" t="str">
            <v>pto</v>
          </cell>
          <cell r="D1540">
            <v>4</v>
          </cell>
          <cell r="E1540">
            <v>92.14</v>
          </cell>
          <cell r="F1540">
            <v>368.56</v>
          </cell>
          <cell r="G1540">
            <v>0</v>
          </cell>
          <cell r="H1540">
            <v>0</v>
          </cell>
          <cell r="I1540" t="str">
            <v>0.00%</v>
          </cell>
          <cell r="J1540">
            <v>0</v>
          </cell>
          <cell r="K1540">
            <v>0</v>
          </cell>
          <cell r="L1540" t="str">
            <v>0.00%</v>
          </cell>
          <cell r="M1540">
            <v>0</v>
          </cell>
          <cell r="N1540">
            <v>0</v>
          </cell>
          <cell r="O1540" t="str">
            <v>0.00%</v>
          </cell>
          <cell r="P1540">
            <v>4</v>
          </cell>
          <cell r="Q1540">
            <v>368.56</v>
          </cell>
          <cell r="R1540">
            <v>1</v>
          </cell>
        </row>
        <row r="1541">
          <cell r="A1541" t="str">
            <v>26.01.06</v>
          </cell>
          <cell r="B1541" t="str">
            <v>ARTEFACTOS DE ILUMINACION</v>
          </cell>
          <cell r="C1541">
            <v>0</v>
          </cell>
          <cell r="D1541">
            <v>0</v>
          </cell>
          <cell r="E1541">
            <v>0</v>
          </cell>
          <cell r="F1541">
            <v>0</v>
          </cell>
          <cell r="G1541">
            <v>0</v>
          </cell>
          <cell r="H1541">
            <v>0</v>
          </cell>
          <cell r="I1541">
            <v>0</v>
          </cell>
          <cell r="J1541">
            <v>0</v>
          </cell>
          <cell r="K1541">
            <v>0</v>
          </cell>
          <cell r="L1541">
            <v>0</v>
          </cell>
          <cell r="M1541">
            <v>0</v>
          </cell>
          <cell r="N1541">
            <v>0</v>
          </cell>
          <cell r="O1541">
            <v>0</v>
          </cell>
          <cell r="P1541">
            <v>0</v>
          </cell>
          <cell r="Q1541">
            <v>0</v>
          </cell>
          <cell r="R1541">
            <v>0</v>
          </cell>
        </row>
        <row r="1542">
          <cell r="A1542" t="str">
            <v>26.01.06.01</v>
          </cell>
          <cell r="B1542" t="str">
            <v>Suminist. Inst. Reflector con lamp. 250 W. halogenuro metalico HPI plus-ovoide-data</v>
          </cell>
          <cell r="C1542" t="str">
            <v>und</v>
          </cell>
          <cell r="D1542">
            <v>4</v>
          </cell>
          <cell r="E1542">
            <v>392.9</v>
          </cell>
          <cell r="F1542">
            <v>1571.6</v>
          </cell>
          <cell r="G1542">
            <v>0</v>
          </cell>
          <cell r="H1542">
            <v>0</v>
          </cell>
          <cell r="I1542" t="str">
            <v>0.00%</v>
          </cell>
          <cell r="J1542">
            <v>0</v>
          </cell>
          <cell r="K1542">
            <v>0</v>
          </cell>
          <cell r="L1542" t="str">
            <v>0.00%</v>
          </cell>
          <cell r="M1542">
            <v>0</v>
          </cell>
          <cell r="N1542">
            <v>0</v>
          </cell>
          <cell r="O1542" t="str">
            <v>0.00%</v>
          </cell>
          <cell r="P1542">
            <v>4</v>
          </cell>
          <cell r="Q1542">
            <v>1571.6</v>
          </cell>
          <cell r="R1542">
            <v>1</v>
          </cell>
        </row>
        <row r="1543">
          <cell r="A1543" t="str">
            <v>27</v>
          </cell>
          <cell r="B1543" t="str">
            <v>ILUMINACION DE EXTERIORES</v>
          </cell>
          <cell r="C1543">
            <v>0</v>
          </cell>
          <cell r="D1543">
            <v>0</v>
          </cell>
          <cell r="E1543">
            <v>0</v>
          </cell>
          <cell r="F1543">
            <v>0</v>
          </cell>
          <cell r="G1543">
            <v>0</v>
          </cell>
          <cell r="H1543">
            <v>0</v>
          </cell>
          <cell r="I1543">
            <v>0</v>
          </cell>
          <cell r="J1543">
            <v>0</v>
          </cell>
          <cell r="K1543">
            <v>0</v>
          </cell>
          <cell r="L1543">
            <v>0</v>
          </cell>
          <cell r="M1543">
            <v>0</v>
          </cell>
          <cell r="N1543">
            <v>0</v>
          </cell>
          <cell r="O1543">
            <v>0</v>
          </cell>
          <cell r="P1543">
            <v>0</v>
          </cell>
          <cell r="Q1543">
            <v>0</v>
          </cell>
          <cell r="R1543">
            <v>0</v>
          </cell>
        </row>
        <row r="1544">
          <cell r="A1544" t="str">
            <v>27.01</v>
          </cell>
          <cell r="B1544" t="str">
            <v>INSTALACIONES ELECTRICAS</v>
          </cell>
          <cell r="C1544">
            <v>0</v>
          </cell>
          <cell r="D1544">
            <v>0</v>
          </cell>
          <cell r="E1544">
            <v>0</v>
          </cell>
          <cell r="F1544">
            <v>0</v>
          </cell>
          <cell r="G1544">
            <v>0</v>
          </cell>
          <cell r="H1544">
            <v>0</v>
          </cell>
          <cell r="I1544">
            <v>0</v>
          </cell>
          <cell r="J1544">
            <v>0</v>
          </cell>
          <cell r="K1544">
            <v>0</v>
          </cell>
          <cell r="L1544">
            <v>0</v>
          </cell>
          <cell r="M1544">
            <v>0</v>
          </cell>
          <cell r="N1544">
            <v>0</v>
          </cell>
          <cell r="O1544">
            <v>0</v>
          </cell>
          <cell r="P1544">
            <v>0</v>
          </cell>
          <cell r="Q1544">
            <v>0</v>
          </cell>
          <cell r="R1544">
            <v>0</v>
          </cell>
        </row>
        <row r="1545">
          <cell r="A1545" t="str">
            <v>27.01.01</v>
          </cell>
          <cell r="B1545" t="str">
            <v>EXCAVACION DE ZANJA</v>
          </cell>
          <cell r="C1545">
            <v>0</v>
          </cell>
          <cell r="D1545">
            <v>0</v>
          </cell>
          <cell r="E1545">
            <v>0</v>
          </cell>
          <cell r="F1545">
            <v>0</v>
          </cell>
          <cell r="G1545">
            <v>0</v>
          </cell>
          <cell r="H1545">
            <v>0</v>
          </cell>
          <cell r="I1545">
            <v>0</v>
          </cell>
          <cell r="J1545">
            <v>0</v>
          </cell>
          <cell r="K1545">
            <v>0</v>
          </cell>
          <cell r="L1545">
            <v>0</v>
          </cell>
          <cell r="M1545">
            <v>0</v>
          </cell>
          <cell r="N1545">
            <v>0</v>
          </cell>
          <cell r="O1545">
            <v>0</v>
          </cell>
          <cell r="P1545">
            <v>0</v>
          </cell>
          <cell r="Q1545">
            <v>0</v>
          </cell>
          <cell r="R1545">
            <v>0</v>
          </cell>
        </row>
        <row r="1546">
          <cell r="A1546" t="str">
            <v>27.01.01.01</v>
          </cell>
          <cell r="B1546" t="str">
            <v>CAVADO DE ZANJA, SEÑALIZACION, PROTECCION Y RELLENO DE ZANJA</v>
          </cell>
          <cell r="C1546" t="str">
            <v>m</v>
          </cell>
          <cell r="D1546">
            <v>56</v>
          </cell>
          <cell r="E1546">
            <v>71.78</v>
          </cell>
          <cell r="F1546">
            <v>4019.6800000000003</v>
          </cell>
          <cell r="G1546">
            <v>0</v>
          </cell>
          <cell r="H1546">
            <v>0</v>
          </cell>
          <cell r="I1546" t="str">
            <v>0.00%</v>
          </cell>
          <cell r="J1546">
            <v>0</v>
          </cell>
          <cell r="K1546">
            <v>0</v>
          </cell>
          <cell r="L1546" t="str">
            <v>0.00%</v>
          </cell>
          <cell r="M1546">
            <v>0</v>
          </cell>
          <cell r="N1546">
            <v>0</v>
          </cell>
          <cell r="O1546" t="str">
            <v>0.00%</v>
          </cell>
          <cell r="P1546">
            <v>56</v>
          </cell>
          <cell r="Q1546">
            <v>4019.6800000000003</v>
          </cell>
          <cell r="R1546">
            <v>1</v>
          </cell>
        </row>
        <row r="1547">
          <cell r="A1547" t="str">
            <v>27.01.02</v>
          </cell>
          <cell r="B1547" t="str">
            <v>CABLE SUBTERRANEO</v>
          </cell>
          <cell r="C1547">
            <v>0</v>
          </cell>
          <cell r="D1547">
            <v>0</v>
          </cell>
          <cell r="E1547">
            <v>0</v>
          </cell>
          <cell r="F1547">
            <v>0</v>
          </cell>
          <cell r="G1547">
            <v>0</v>
          </cell>
          <cell r="H1547">
            <v>0</v>
          </cell>
          <cell r="I1547">
            <v>0</v>
          </cell>
          <cell r="J1547">
            <v>0</v>
          </cell>
          <cell r="K1547">
            <v>0</v>
          </cell>
          <cell r="L1547">
            <v>0</v>
          </cell>
          <cell r="M1547">
            <v>0</v>
          </cell>
          <cell r="N1547">
            <v>0</v>
          </cell>
          <cell r="O1547">
            <v>0</v>
          </cell>
          <cell r="P1547">
            <v>0</v>
          </cell>
          <cell r="Q1547">
            <v>0</v>
          </cell>
          <cell r="R1547">
            <v>0</v>
          </cell>
        </row>
        <row r="1548">
          <cell r="A1548" t="str">
            <v>27.01.02.01</v>
          </cell>
          <cell r="B1548" t="str">
            <v>TENDIDO DE CABLE SUBTERRANEO N2XOH DE 2-1x4mm2</v>
          </cell>
          <cell r="C1548" t="str">
            <v>m</v>
          </cell>
          <cell r="D1548">
            <v>95</v>
          </cell>
          <cell r="E1548">
            <v>10.88</v>
          </cell>
          <cell r="F1548">
            <v>1033.6000000000001</v>
          </cell>
          <cell r="G1548">
            <v>0</v>
          </cell>
          <cell r="H1548">
            <v>0</v>
          </cell>
          <cell r="I1548" t="str">
            <v>0.00%</v>
          </cell>
          <cell r="J1548">
            <v>0</v>
          </cell>
          <cell r="K1548">
            <v>0</v>
          </cell>
          <cell r="L1548" t="str">
            <v>0.00%</v>
          </cell>
          <cell r="M1548">
            <v>0</v>
          </cell>
          <cell r="N1548">
            <v>0</v>
          </cell>
          <cell r="O1548" t="str">
            <v>0.00%</v>
          </cell>
          <cell r="P1548">
            <v>95</v>
          </cell>
          <cell r="Q1548">
            <v>1033.6000000000001</v>
          </cell>
          <cell r="R1548">
            <v>1</v>
          </cell>
        </row>
        <row r="1549">
          <cell r="A1549" t="str">
            <v>27.01.03</v>
          </cell>
          <cell r="B1549" t="str">
            <v>DUCTOS O TUBERIAS</v>
          </cell>
          <cell r="C1549">
            <v>0</v>
          </cell>
          <cell r="D1549">
            <v>0</v>
          </cell>
          <cell r="E1549">
            <v>0</v>
          </cell>
          <cell r="F1549">
            <v>0</v>
          </cell>
          <cell r="G1549">
            <v>0</v>
          </cell>
          <cell r="H1549">
            <v>0</v>
          </cell>
          <cell r="I1549">
            <v>0</v>
          </cell>
          <cell r="J1549">
            <v>0</v>
          </cell>
          <cell r="K1549">
            <v>0</v>
          </cell>
          <cell r="L1549">
            <v>0</v>
          </cell>
          <cell r="M1549">
            <v>0</v>
          </cell>
          <cell r="N1549">
            <v>0</v>
          </cell>
          <cell r="O1549">
            <v>0</v>
          </cell>
          <cell r="P1549">
            <v>0</v>
          </cell>
          <cell r="Q1549">
            <v>0</v>
          </cell>
          <cell r="R1549">
            <v>0</v>
          </cell>
        </row>
        <row r="1550">
          <cell r="A1550" t="str">
            <v>27.01.03.01</v>
          </cell>
          <cell r="B1550" t="str">
            <v>TUBERIA PVC - P Ø 25 mm</v>
          </cell>
          <cell r="C1550" t="str">
            <v>m</v>
          </cell>
          <cell r="D1550">
            <v>56</v>
          </cell>
          <cell r="E1550">
            <v>7.93</v>
          </cell>
          <cell r="F1550">
            <v>444.08</v>
          </cell>
          <cell r="G1550">
            <v>0</v>
          </cell>
          <cell r="H1550">
            <v>0</v>
          </cell>
          <cell r="I1550" t="str">
            <v>0.00%</v>
          </cell>
          <cell r="J1550">
            <v>0</v>
          </cell>
          <cell r="K1550">
            <v>0</v>
          </cell>
          <cell r="L1550" t="str">
            <v>0.00%</v>
          </cell>
          <cell r="M1550">
            <v>0</v>
          </cell>
          <cell r="N1550">
            <v>0</v>
          </cell>
          <cell r="O1550" t="str">
            <v>0.00%</v>
          </cell>
          <cell r="P1550">
            <v>56</v>
          </cell>
          <cell r="Q1550">
            <v>444.08</v>
          </cell>
          <cell r="R1550">
            <v>1</v>
          </cell>
        </row>
        <row r="1551">
          <cell r="A1551" t="str">
            <v>27.01.04</v>
          </cell>
          <cell r="B1551" t="str">
            <v>SUMINISTRO E INSTALACION DE POSTES</v>
          </cell>
          <cell r="C1551">
            <v>0</v>
          </cell>
          <cell r="D1551">
            <v>0</v>
          </cell>
          <cell r="E1551">
            <v>0</v>
          </cell>
          <cell r="F1551">
            <v>0</v>
          </cell>
          <cell r="G1551">
            <v>0</v>
          </cell>
          <cell r="H1551">
            <v>0</v>
          </cell>
          <cell r="I1551">
            <v>0</v>
          </cell>
          <cell r="J1551">
            <v>0</v>
          </cell>
          <cell r="K1551">
            <v>0</v>
          </cell>
          <cell r="L1551">
            <v>0</v>
          </cell>
          <cell r="M1551">
            <v>0</v>
          </cell>
          <cell r="N1551">
            <v>0</v>
          </cell>
          <cell r="O1551">
            <v>0</v>
          </cell>
          <cell r="P1551">
            <v>0</v>
          </cell>
          <cell r="Q1551">
            <v>0</v>
          </cell>
          <cell r="R1551">
            <v>0</v>
          </cell>
        </row>
        <row r="1552">
          <cell r="A1552" t="str">
            <v>27.01.04.01</v>
          </cell>
          <cell r="B1552" t="str">
            <v>APERTURA DE HOYO, IZAJE Y CIMENTACION DE POSTE METALICO DE Ø3" x 6m</v>
          </cell>
          <cell r="C1552" t="str">
            <v>und</v>
          </cell>
          <cell r="D1552">
            <v>6</v>
          </cell>
          <cell r="E1552">
            <v>569.35029999999995</v>
          </cell>
          <cell r="F1552">
            <v>3416.1017999999995</v>
          </cell>
          <cell r="G1552">
            <v>0</v>
          </cell>
          <cell r="H1552">
            <v>0</v>
          </cell>
          <cell r="I1552" t="str">
            <v>0.00%</v>
          </cell>
          <cell r="J1552">
            <v>0</v>
          </cell>
          <cell r="K1552">
            <v>0</v>
          </cell>
          <cell r="L1552" t="str">
            <v>0.00%</v>
          </cell>
          <cell r="M1552">
            <v>0</v>
          </cell>
          <cell r="N1552">
            <v>0</v>
          </cell>
          <cell r="O1552" t="str">
            <v>0.00%</v>
          </cell>
          <cell r="P1552">
            <v>6</v>
          </cell>
          <cell r="Q1552">
            <v>3416.1017999999995</v>
          </cell>
          <cell r="R1552">
            <v>1</v>
          </cell>
        </row>
        <row r="1553">
          <cell r="A1553" t="str">
            <v>27.01.05</v>
          </cell>
          <cell r="B1553" t="str">
            <v>EMPALME SUBTERRANEO</v>
          </cell>
          <cell r="C1553">
            <v>0</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row>
        <row r="1554">
          <cell r="A1554" t="str">
            <v>27.01.05.01</v>
          </cell>
          <cell r="B1554" t="str">
            <v>EJECUCION DE EMPALME SUBTERRANEO EN CABLE N2XOH DE 2-1x4mm2</v>
          </cell>
          <cell r="C1554" t="str">
            <v>pto</v>
          </cell>
          <cell r="D1554">
            <v>6</v>
          </cell>
          <cell r="E1554">
            <v>112.76</v>
          </cell>
          <cell r="F1554">
            <v>676.56000000000006</v>
          </cell>
          <cell r="G1554">
            <v>0</v>
          </cell>
          <cell r="H1554">
            <v>0</v>
          </cell>
          <cell r="I1554" t="str">
            <v>0.00%</v>
          </cell>
          <cell r="J1554">
            <v>0</v>
          </cell>
          <cell r="K1554">
            <v>0</v>
          </cell>
          <cell r="L1554" t="str">
            <v>0.00%</v>
          </cell>
          <cell r="M1554">
            <v>0</v>
          </cell>
          <cell r="N1554">
            <v>0</v>
          </cell>
          <cell r="O1554" t="str">
            <v>0.00%</v>
          </cell>
          <cell r="P1554">
            <v>6</v>
          </cell>
          <cell r="Q1554">
            <v>676.56000000000006</v>
          </cell>
          <cell r="R1554">
            <v>1</v>
          </cell>
        </row>
        <row r="1555">
          <cell r="A1555" t="str">
            <v>27.01.06</v>
          </cell>
          <cell r="B1555" t="str">
            <v>ARMADO DE BUZON DE CONCRETO</v>
          </cell>
          <cell r="C1555">
            <v>0</v>
          </cell>
          <cell r="D1555">
            <v>0</v>
          </cell>
          <cell r="E1555">
            <v>0</v>
          </cell>
          <cell r="F1555">
            <v>0</v>
          </cell>
          <cell r="G1555">
            <v>0</v>
          </cell>
          <cell r="H1555">
            <v>0</v>
          </cell>
          <cell r="I1555">
            <v>0</v>
          </cell>
          <cell r="J1555">
            <v>0</v>
          </cell>
          <cell r="K1555">
            <v>0</v>
          </cell>
          <cell r="L1555">
            <v>0</v>
          </cell>
          <cell r="M1555">
            <v>0</v>
          </cell>
          <cell r="N1555">
            <v>0</v>
          </cell>
          <cell r="O1555">
            <v>0</v>
          </cell>
          <cell r="P1555">
            <v>0</v>
          </cell>
          <cell r="Q1555">
            <v>0</v>
          </cell>
          <cell r="R1555">
            <v>0</v>
          </cell>
        </row>
        <row r="1556">
          <cell r="A1556" t="str">
            <v>27.01.06.01</v>
          </cell>
          <cell r="B1556" t="str">
            <v>CAVADO Y ARMADO DE BUZON CIRCULAR DE CONCRETO EN EL PISO CON TAPA DE CONCRETO</v>
          </cell>
          <cell r="C1556" t="str">
            <v>und</v>
          </cell>
          <cell r="D1556">
            <v>6</v>
          </cell>
          <cell r="E1556">
            <v>287.53030000000001</v>
          </cell>
          <cell r="F1556">
            <v>1725.1818000000001</v>
          </cell>
          <cell r="G1556">
            <v>0</v>
          </cell>
          <cell r="H1556">
            <v>0</v>
          </cell>
          <cell r="I1556" t="str">
            <v>0.00%</v>
          </cell>
          <cell r="J1556">
            <v>0</v>
          </cell>
          <cell r="K1556">
            <v>0</v>
          </cell>
          <cell r="L1556" t="str">
            <v>0.00%</v>
          </cell>
          <cell r="M1556">
            <v>0</v>
          </cell>
          <cell r="N1556">
            <v>0</v>
          </cell>
          <cell r="O1556" t="str">
            <v>0.00%</v>
          </cell>
          <cell r="P1556">
            <v>6</v>
          </cell>
          <cell r="Q1556">
            <v>1725.1818000000001</v>
          </cell>
          <cell r="R1556">
            <v>1</v>
          </cell>
        </row>
        <row r="1557">
          <cell r="A1557" t="str">
            <v>27.01.07</v>
          </cell>
          <cell r="B1557" t="str">
            <v>SALIDA PARA REFLECTORES</v>
          </cell>
          <cell r="C1557">
            <v>0</v>
          </cell>
          <cell r="D1557">
            <v>0</v>
          </cell>
          <cell r="E1557">
            <v>0</v>
          </cell>
          <cell r="F1557">
            <v>0</v>
          </cell>
          <cell r="G1557">
            <v>0</v>
          </cell>
          <cell r="H1557">
            <v>0</v>
          </cell>
          <cell r="I1557">
            <v>0</v>
          </cell>
          <cell r="J1557">
            <v>0</v>
          </cell>
          <cell r="K1557">
            <v>0</v>
          </cell>
          <cell r="L1557">
            <v>0</v>
          </cell>
          <cell r="M1557">
            <v>0</v>
          </cell>
          <cell r="N1557">
            <v>0</v>
          </cell>
          <cell r="O1557">
            <v>0</v>
          </cell>
          <cell r="P1557">
            <v>0</v>
          </cell>
          <cell r="Q1557">
            <v>0</v>
          </cell>
          <cell r="R1557">
            <v>0</v>
          </cell>
        </row>
        <row r="1558">
          <cell r="A1558" t="str">
            <v>27.01.07.01</v>
          </cell>
          <cell r="B1558" t="str">
            <v>SALIDA PARA FAROLA EN POSTE</v>
          </cell>
          <cell r="C1558" t="str">
            <v>pto</v>
          </cell>
          <cell r="D1558">
            <v>6</v>
          </cell>
          <cell r="E1558">
            <v>50.48</v>
          </cell>
          <cell r="F1558">
            <v>302.88</v>
          </cell>
          <cell r="G1558">
            <v>0</v>
          </cell>
          <cell r="H1558">
            <v>0</v>
          </cell>
          <cell r="I1558" t="str">
            <v>0.00%</v>
          </cell>
          <cell r="J1558">
            <v>0</v>
          </cell>
          <cell r="K1558">
            <v>0</v>
          </cell>
          <cell r="L1558" t="str">
            <v>0.00%</v>
          </cell>
          <cell r="M1558">
            <v>0</v>
          </cell>
          <cell r="N1558">
            <v>0</v>
          </cell>
          <cell r="O1558" t="str">
            <v>0.00%</v>
          </cell>
          <cell r="P1558">
            <v>6</v>
          </cell>
          <cell r="Q1558">
            <v>302.88</v>
          </cell>
          <cell r="R1558">
            <v>1</v>
          </cell>
        </row>
        <row r="1559">
          <cell r="A1559" t="str">
            <v>27.01.07.02</v>
          </cell>
          <cell r="B1559" t="str">
            <v>SALIDA PARA CENTRO DE REFLECTOR</v>
          </cell>
          <cell r="C1559" t="str">
            <v>pto</v>
          </cell>
          <cell r="D1559">
            <v>2</v>
          </cell>
          <cell r="E1559">
            <v>92.1404</v>
          </cell>
          <cell r="F1559">
            <v>184.2808</v>
          </cell>
          <cell r="G1559">
            <v>0</v>
          </cell>
          <cell r="H1559">
            <v>0</v>
          </cell>
          <cell r="I1559" t="str">
            <v>0.00%</v>
          </cell>
          <cell r="J1559">
            <v>0</v>
          </cell>
          <cell r="K1559">
            <v>0</v>
          </cell>
          <cell r="L1559" t="str">
            <v>0.00%</v>
          </cell>
          <cell r="M1559">
            <v>0</v>
          </cell>
          <cell r="N1559">
            <v>0</v>
          </cell>
          <cell r="O1559" t="str">
            <v>0.00%</v>
          </cell>
          <cell r="P1559">
            <v>2</v>
          </cell>
          <cell r="Q1559">
            <v>184.2808</v>
          </cell>
          <cell r="R1559">
            <v>1</v>
          </cell>
        </row>
        <row r="1560">
          <cell r="A1560" t="str">
            <v>27.01.08</v>
          </cell>
          <cell r="B1560" t="str">
            <v>ARTEFACTOS DE ILUMINACION</v>
          </cell>
          <cell r="C1560">
            <v>0</v>
          </cell>
          <cell r="D1560">
            <v>0</v>
          </cell>
          <cell r="E1560">
            <v>0</v>
          </cell>
          <cell r="F1560">
            <v>0</v>
          </cell>
          <cell r="G1560">
            <v>0</v>
          </cell>
          <cell r="H1560">
            <v>0</v>
          </cell>
          <cell r="I1560">
            <v>0</v>
          </cell>
          <cell r="J1560">
            <v>0</v>
          </cell>
          <cell r="K1560">
            <v>0</v>
          </cell>
          <cell r="L1560">
            <v>0</v>
          </cell>
          <cell r="M1560">
            <v>0</v>
          </cell>
          <cell r="N1560">
            <v>0</v>
          </cell>
          <cell r="O1560">
            <v>0</v>
          </cell>
          <cell r="P1560">
            <v>0</v>
          </cell>
          <cell r="Q1560">
            <v>0</v>
          </cell>
          <cell r="R1560">
            <v>0</v>
          </cell>
        </row>
        <row r="1561">
          <cell r="A1561" t="str">
            <v>27.01.08.01</v>
          </cell>
          <cell r="B1561" t="str">
            <v>Artefacto de iluminacion tipo farola</v>
          </cell>
          <cell r="C1561" t="str">
            <v>und</v>
          </cell>
          <cell r="D1561">
            <v>6</v>
          </cell>
          <cell r="E1561">
            <v>68.330500000000001</v>
          </cell>
          <cell r="F1561">
            <v>409.983</v>
          </cell>
          <cell r="G1561">
            <v>0</v>
          </cell>
          <cell r="H1561">
            <v>0</v>
          </cell>
          <cell r="I1561" t="str">
            <v>0.00%</v>
          </cell>
          <cell r="J1561">
            <v>0</v>
          </cell>
          <cell r="K1561">
            <v>0</v>
          </cell>
          <cell r="L1561" t="str">
            <v>0.00%</v>
          </cell>
          <cell r="M1561">
            <v>0</v>
          </cell>
          <cell r="N1561">
            <v>0</v>
          </cell>
          <cell r="O1561" t="str">
            <v>0.00%</v>
          </cell>
          <cell r="P1561">
            <v>6</v>
          </cell>
          <cell r="Q1561">
            <v>409.983</v>
          </cell>
          <cell r="R1561">
            <v>1</v>
          </cell>
        </row>
        <row r="1562">
          <cell r="A1562" t="str">
            <v>27.01.08.02</v>
          </cell>
          <cell r="B1562" t="str">
            <v>Suminist. Inst. Reflector con 2 lamp. 18 W. modelo RCP/CES - P5464 o similar</v>
          </cell>
          <cell r="C1562" t="str">
            <v>und</v>
          </cell>
          <cell r="D1562">
            <v>2</v>
          </cell>
          <cell r="E1562">
            <v>358.904</v>
          </cell>
          <cell r="F1562">
            <v>717.80799999999999</v>
          </cell>
          <cell r="G1562">
            <v>0</v>
          </cell>
          <cell r="H1562">
            <v>0</v>
          </cell>
          <cell r="I1562" t="str">
            <v>0.00%</v>
          </cell>
          <cell r="J1562">
            <v>0</v>
          </cell>
          <cell r="K1562">
            <v>0</v>
          </cell>
          <cell r="L1562" t="str">
            <v>0.00%</v>
          </cell>
          <cell r="M1562">
            <v>0</v>
          </cell>
          <cell r="N1562">
            <v>0</v>
          </cell>
          <cell r="O1562" t="str">
            <v>0.00%</v>
          </cell>
          <cell r="P1562">
            <v>2</v>
          </cell>
          <cell r="Q1562">
            <v>717.80799999999999</v>
          </cell>
          <cell r="R1562">
            <v>1</v>
          </cell>
        </row>
        <row r="1563">
          <cell r="A1563" t="str">
            <v>28</v>
          </cell>
          <cell r="B1563" t="str">
            <v>OBRAS EXTERIORES</v>
          </cell>
          <cell r="C1563">
            <v>0</v>
          </cell>
          <cell r="D1563">
            <v>0</v>
          </cell>
          <cell r="E1563">
            <v>0</v>
          </cell>
          <cell r="F1563">
            <v>0</v>
          </cell>
          <cell r="G1563">
            <v>0</v>
          </cell>
          <cell r="H1563">
            <v>0</v>
          </cell>
          <cell r="I1563">
            <v>0</v>
          </cell>
          <cell r="J1563">
            <v>0</v>
          </cell>
          <cell r="K1563">
            <v>0</v>
          </cell>
          <cell r="L1563">
            <v>0</v>
          </cell>
          <cell r="M1563">
            <v>0</v>
          </cell>
          <cell r="N1563">
            <v>0</v>
          </cell>
          <cell r="O1563">
            <v>0</v>
          </cell>
          <cell r="P1563">
            <v>0</v>
          </cell>
          <cell r="Q1563">
            <v>0</v>
          </cell>
          <cell r="R1563">
            <v>0</v>
          </cell>
        </row>
        <row r="1564">
          <cell r="A1564" t="str">
            <v>28.01</v>
          </cell>
          <cell r="B1564" t="str">
            <v>INSTALACIONES ELECTRICAS</v>
          </cell>
          <cell r="C1564">
            <v>0</v>
          </cell>
          <cell r="D1564">
            <v>0</v>
          </cell>
          <cell r="E1564">
            <v>0</v>
          </cell>
          <cell r="F1564">
            <v>0</v>
          </cell>
          <cell r="G1564">
            <v>0</v>
          </cell>
          <cell r="H1564">
            <v>0</v>
          </cell>
          <cell r="I1564">
            <v>0</v>
          </cell>
          <cell r="J1564">
            <v>0</v>
          </cell>
          <cell r="K1564">
            <v>0</v>
          </cell>
          <cell r="L1564">
            <v>0</v>
          </cell>
          <cell r="M1564">
            <v>0</v>
          </cell>
          <cell r="N1564">
            <v>0</v>
          </cell>
          <cell r="O1564">
            <v>0</v>
          </cell>
          <cell r="P1564">
            <v>0</v>
          </cell>
          <cell r="Q1564">
            <v>0</v>
          </cell>
          <cell r="R1564">
            <v>0</v>
          </cell>
        </row>
        <row r="1565">
          <cell r="A1565" t="str">
            <v>28.01.01</v>
          </cell>
          <cell r="B1565" t="str">
            <v>TABLERO GENERAL</v>
          </cell>
          <cell r="C1565">
            <v>0</v>
          </cell>
          <cell r="D1565">
            <v>0</v>
          </cell>
          <cell r="E1565">
            <v>0</v>
          </cell>
          <cell r="F1565">
            <v>0</v>
          </cell>
          <cell r="G1565">
            <v>0</v>
          </cell>
          <cell r="H1565">
            <v>0</v>
          </cell>
          <cell r="I1565">
            <v>0</v>
          </cell>
          <cell r="J1565">
            <v>0</v>
          </cell>
          <cell r="K1565">
            <v>0</v>
          </cell>
          <cell r="L1565">
            <v>0</v>
          </cell>
          <cell r="M1565">
            <v>0</v>
          </cell>
          <cell r="N1565">
            <v>0</v>
          </cell>
          <cell r="O1565">
            <v>0</v>
          </cell>
          <cell r="P1565">
            <v>0</v>
          </cell>
          <cell r="Q1565">
            <v>0</v>
          </cell>
          <cell r="R1565">
            <v>0</v>
          </cell>
        </row>
        <row r="1566">
          <cell r="A1566" t="str">
            <v>28.01.01.01</v>
          </cell>
          <cell r="B1566" t="str">
            <v>TABLERO GENERAL T.G.</v>
          </cell>
          <cell r="C1566" t="str">
            <v>Eqp</v>
          </cell>
          <cell r="D1566">
            <v>1</v>
          </cell>
          <cell r="E1566">
            <v>1348.1</v>
          </cell>
          <cell r="F1566">
            <v>1348.1</v>
          </cell>
          <cell r="G1566">
            <v>0</v>
          </cell>
          <cell r="H1566">
            <v>0</v>
          </cell>
          <cell r="I1566" t="str">
            <v>0.00%</v>
          </cell>
          <cell r="J1566">
            <v>0</v>
          </cell>
          <cell r="K1566">
            <v>0</v>
          </cell>
          <cell r="L1566" t="str">
            <v>0.00%</v>
          </cell>
          <cell r="M1566">
            <v>0</v>
          </cell>
          <cell r="N1566">
            <v>0</v>
          </cell>
          <cell r="O1566" t="str">
            <v>0.00%</v>
          </cell>
          <cell r="P1566">
            <v>1</v>
          </cell>
          <cell r="Q1566">
            <v>1348.1</v>
          </cell>
          <cell r="R1566">
            <v>1</v>
          </cell>
        </row>
        <row r="1567">
          <cell r="A1567" t="str">
            <v>28.01.02</v>
          </cell>
          <cell r="B1567" t="str">
            <v>SISTEMA DE PUESTA A TIERRA</v>
          </cell>
          <cell r="C1567">
            <v>0</v>
          </cell>
          <cell r="D1567">
            <v>0</v>
          </cell>
          <cell r="E1567">
            <v>0</v>
          </cell>
          <cell r="F1567">
            <v>0</v>
          </cell>
          <cell r="G1567">
            <v>0</v>
          </cell>
          <cell r="H1567">
            <v>0</v>
          </cell>
          <cell r="I1567">
            <v>0</v>
          </cell>
          <cell r="J1567">
            <v>0</v>
          </cell>
          <cell r="K1567">
            <v>0</v>
          </cell>
          <cell r="L1567">
            <v>0</v>
          </cell>
          <cell r="M1567">
            <v>0</v>
          </cell>
          <cell r="N1567">
            <v>0</v>
          </cell>
          <cell r="O1567">
            <v>0</v>
          </cell>
          <cell r="P1567">
            <v>0</v>
          </cell>
          <cell r="Q1567">
            <v>0</v>
          </cell>
          <cell r="R1567">
            <v>0</v>
          </cell>
        </row>
        <row r="1568">
          <cell r="A1568" t="str">
            <v>28.01.02.01</v>
          </cell>
          <cell r="B1568" t="str">
            <v>INSTALACION DE SISTEMA DE PUESTA A TIERRA</v>
          </cell>
          <cell r="C1568" t="str">
            <v>jgo</v>
          </cell>
          <cell r="D1568">
            <v>2</v>
          </cell>
          <cell r="E1568">
            <v>1207.8705</v>
          </cell>
          <cell r="F1568">
            <v>2415.741</v>
          </cell>
          <cell r="G1568">
            <v>0</v>
          </cell>
          <cell r="H1568">
            <v>0</v>
          </cell>
          <cell r="I1568" t="str">
            <v>0.00%</v>
          </cell>
          <cell r="J1568">
            <v>0</v>
          </cell>
          <cell r="K1568">
            <v>0</v>
          </cell>
          <cell r="L1568" t="str">
            <v>0.00%</v>
          </cell>
          <cell r="M1568">
            <v>0</v>
          </cell>
          <cell r="N1568">
            <v>0</v>
          </cell>
          <cell r="O1568" t="str">
            <v>0.00%</v>
          </cell>
          <cell r="P1568">
            <v>2</v>
          </cell>
          <cell r="Q1568">
            <v>2415.741</v>
          </cell>
          <cell r="R1568">
            <v>1</v>
          </cell>
        </row>
        <row r="1569">
          <cell r="A1569" t="str">
            <v>28.01.03</v>
          </cell>
          <cell r="B1569" t="str">
            <v>EXCAVACION DE ZANJA</v>
          </cell>
          <cell r="C1569">
            <v>0</v>
          </cell>
          <cell r="D1569">
            <v>0</v>
          </cell>
          <cell r="E1569">
            <v>0</v>
          </cell>
          <cell r="F1569">
            <v>0</v>
          </cell>
          <cell r="G1569">
            <v>0</v>
          </cell>
          <cell r="H1569">
            <v>0</v>
          </cell>
          <cell r="I1569">
            <v>0</v>
          </cell>
          <cell r="J1569">
            <v>0</v>
          </cell>
          <cell r="K1569">
            <v>0</v>
          </cell>
          <cell r="L1569">
            <v>0</v>
          </cell>
          <cell r="M1569">
            <v>0</v>
          </cell>
          <cell r="N1569">
            <v>0</v>
          </cell>
          <cell r="O1569">
            <v>0</v>
          </cell>
          <cell r="P1569">
            <v>0</v>
          </cell>
          <cell r="Q1569">
            <v>0</v>
          </cell>
          <cell r="R1569">
            <v>0</v>
          </cell>
        </row>
        <row r="1570">
          <cell r="A1570" t="str">
            <v>28.01.03.01</v>
          </cell>
          <cell r="B1570" t="str">
            <v>CAVADO DE ZANJA, SEÑALIZACION, PROTECCION Y RELLENO DE ZANJA</v>
          </cell>
          <cell r="C1570" t="str">
            <v>m</v>
          </cell>
          <cell r="D1570">
            <v>20</v>
          </cell>
          <cell r="E1570">
            <v>71.7804</v>
          </cell>
          <cell r="F1570">
            <v>1435.6079999999999</v>
          </cell>
          <cell r="G1570">
            <v>0</v>
          </cell>
          <cell r="H1570">
            <v>0</v>
          </cell>
          <cell r="I1570" t="str">
            <v>0.00%</v>
          </cell>
          <cell r="J1570">
            <v>0</v>
          </cell>
          <cell r="K1570">
            <v>0</v>
          </cell>
          <cell r="L1570" t="str">
            <v>0.00%</v>
          </cell>
          <cell r="M1570">
            <v>0</v>
          </cell>
          <cell r="N1570">
            <v>0</v>
          </cell>
          <cell r="O1570" t="str">
            <v>0.00%</v>
          </cell>
          <cell r="P1570">
            <v>20</v>
          </cell>
          <cell r="Q1570">
            <v>1435.6079999999999</v>
          </cell>
          <cell r="R1570">
            <v>1</v>
          </cell>
        </row>
        <row r="1571">
          <cell r="A1571" t="str">
            <v>28.01.04</v>
          </cell>
          <cell r="B1571" t="str">
            <v>CABLE SUBTERRANEO</v>
          </cell>
          <cell r="C1571">
            <v>0</v>
          </cell>
          <cell r="D1571">
            <v>0</v>
          </cell>
          <cell r="E1571">
            <v>0</v>
          </cell>
          <cell r="F1571">
            <v>0</v>
          </cell>
          <cell r="G1571">
            <v>0</v>
          </cell>
          <cell r="H1571">
            <v>0</v>
          </cell>
          <cell r="I1571">
            <v>0</v>
          </cell>
          <cell r="J1571">
            <v>0</v>
          </cell>
          <cell r="K1571">
            <v>0</v>
          </cell>
          <cell r="L1571">
            <v>0</v>
          </cell>
          <cell r="M1571">
            <v>0</v>
          </cell>
          <cell r="N1571">
            <v>0</v>
          </cell>
          <cell r="O1571">
            <v>0</v>
          </cell>
          <cell r="P1571">
            <v>0</v>
          </cell>
          <cell r="Q1571">
            <v>0</v>
          </cell>
          <cell r="R1571">
            <v>0</v>
          </cell>
        </row>
        <row r="1572">
          <cell r="A1572" t="str">
            <v>28.01.04.01</v>
          </cell>
          <cell r="B1572" t="str">
            <v>TENDIDO DE CABLE SUBTERRANEO  N2XOH (3-1x6+1x6 (T))mm2</v>
          </cell>
          <cell r="C1572" t="str">
            <v>m</v>
          </cell>
          <cell r="D1572">
            <v>20</v>
          </cell>
          <cell r="E1572">
            <v>19.28</v>
          </cell>
          <cell r="F1572">
            <v>385.6</v>
          </cell>
          <cell r="G1572">
            <v>0</v>
          </cell>
          <cell r="H1572">
            <v>0</v>
          </cell>
          <cell r="I1572" t="str">
            <v>0.00%</v>
          </cell>
          <cell r="J1572">
            <v>0</v>
          </cell>
          <cell r="K1572">
            <v>0</v>
          </cell>
          <cell r="L1572" t="str">
            <v>0.00%</v>
          </cell>
          <cell r="M1572">
            <v>0</v>
          </cell>
          <cell r="N1572">
            <v>0</v>
          </cell>
          <cell r="O1572" t="str">
            <v>0.00%</v>
          </cell>
          <cell r="P1572">
            <v>20</v>
          </cell>
          <cell r="Q1572">
            <v>385.6</v>
          </cell>
          <cell r="R1572">
            <v>1</v>
          </cell>
        </row>
        <row r="1573">
          <cell r="A1573" t="str">
            <v>28.01.04.02</v>
          </cell>
          <cell r="B1573" t="str">
            <v>TENDIDO DE CABLE SUBTERRANEO  N2XH (3-1x16+1x16 (T))mm2</v>
          </cell>
          <cell r="C1573" t="str">
            <v>m</v>
          </cell>
          <cell r="D1573">
            <v>130</v>
          </cell>
          <cell r="E1573">
            <v>69.630499999999998</v>
          </cell>
          <cell r="F1573">
            <v>9051.9650000000001</v>
          </cell>
          <cell r="G1573">
            <v>0</v>
          </cell>
          <cell r="H1573">
            <v>0</v>
          </cell>
          <cell r="I1573" t="str">
            <v>0.00%</v>
          </cell>
          <cell r="J1573">
            <v>0</v>
          </cell>
          <cell r="K1573">
            <v>0</v>
          </cell>
          <cell r="L1573" t="str">
            <v>0.00%</v>
          </cell>
          <cell r="M1573">
            <v>0</v>
          </cell>
          <cell r="N1573">
            <v>0</v>
          </cell>
          <cell r="O1573" t="str">
            <v>0.00%</v>
          </cell>
          <cell r="P1573">
            <v>130</v>
          </cell>
          <cell r="Q1573">
            <v>9051.9650000000001</v>
          </cell>
          <cell r="R1573">
            <v>1</v>
          </cell>
        </row>
        <row r="1574">
          <cell r="A1574" t="str">
            <v>28.01.05</v>
          </cell>
          <cell r="B1574" t="str">
            <v>DUCTOS O TUBERIAS</v>
          </cell>
          <cell r="C1574">
            <v>0</v>
          </cell>
          <cell r="D1574">
            <v>0</v>
          </cell>
          <cell r="E1574">
            <v>0</v>
          </cell>
          <cell r="F1574">
            <v>0</v>
          </cell>
          <cell r="G1574">
            <v>0</v>
          </cell>
          <cell r="H1574">
            <v>0</v>
          </cell>
          <cell r="I1574">
            <v>0</v>
          </cell>
          <cell r="J1574">
            <v>0</v>
          </cell>
          <cell r="K1574">
            <v>0</v>
          </cell>
          <cell r="L1574">
            <v>0</v>
          </cell>
          <cell r="M1574">
            <v>0</v>
          </cell>
          <cell r="N1574">
            <v>0</v>
          </cell>
          <cell r="O1574">
            <v>0</v>
          </cell>
          <cell r="P1574">
            <v>0</v>
          </cell>
          <cell r="Q1574">
            <v>0</v>
          </cell>
          <cell r="R1574">
            <v>0</v>
          </cell>
        </row>
        <row r="1575">
          <cell r="A1575" t="str">
            <v>28.01.05.01</v>
          </cell>
          <cell r="B1575" t="str">
            <v>TUBERIA PVC - P Ø 50 mm</v>
          </cell>
          <cell r="C1575" t="str">
            <v>m</v>
          </cell>
          <cell r="D1575">
            <v>20</v>
          </cell>
          <cell r="E1575">
            <v>7.24</v>
          </cell>
          <cell r="F1575">
            <v>144.80000000000001</v>
          </cell>
          <cell r="G1575">
            <v>0</v>
          </cell>
          <cell r="H1575">
            <v>0</v>
          </cell>
          <cell r="I1575" t="str">
            <v>0.00%</v>
          </cell>
          <cell r="J1575">
            <v>0</v>
          </cell>
          <cell r="K1575">
            <v>0</v>
          </cell>
          <cell r="L1575" t="str">
            <v>0.00%</v>
          </cell>
          <cell r="M1575">
            <v>0</v>
          </cell>
          <cell r="N1575">
            <v>0</v>
          </cell>
          <cell r="O1575" t="str">
            <v>0.00%</v>
          </cell>
          <cell r="P1575">
            <v>20</v>
          </cell>
          <cell r="Q1575">
            <v>144.80000000000001</v>
          </cell>
          <cell r="R1575">
            <v>1</v>
          </cell>
        </row>
        <row r="1576">
          <cell r="A1576" t="str">
            <v>28.01.05.02</v>
          </cell>
          <cell r="B1576" t="str">
            <v>TUBERIA PVC - P Ø 40 mm</v>
          </cell>
          <cell r="C1576" t="str">
            <v>m</v>
          </cell>
          <cell r="D1576">
            <v>160</v>
          </cell>
          <cell r="E1576">
            <v>8.85</v>
          </cell>
          <cell r="F1576">
            <v>1416</v>
          </cell>
          <cell r="G1576">
            <v>0</v>
          </cell>
          <cell r="H1576">
            <v>0</v>
          </cell>
          <cell r="I1576" t="str">
            <v>0.00%</v>
          </cell>
          <cell r="J1576">
            <v>0</v>
          </cell>
          <cell r="K1576">
            <v>0</v>
          </cell>
          <cell r="L1576" t="str">
            <v>0.00%</v>
          </cell>
          <cell r="M1576">
            <v>0</v>
          </cell>
          <cell r="N1576">
            <v>0</v>
          </cell>
          <cell r="O1576" t="str">
            <v>0.00%</v>
          </cell>
          <cell r="P1576">
            <v>160</v>
          </cell>
          <cell r="Q1576">
            <v>1416</v>
          </cell>
          <cell r="R1576">
            <v>1</v>
          </cell>
        </row>
        <row r="1577">
          <cell r="A1577" t="str">
            <v>28.01.06</v>
          </cell>
          <cell r="B1577" t="str">
            <v>ARMADO DE BUZON DE CONCRETO</v>
          </cell>
          <cell r="C1577">
            <v>0</v>
          </cell>
          <cell r="D1577">
            <v>0</v>
          </cell>
          <cell r="E1577">
            <v>0</v>
          </cell>
          <cell r="F1577">
            <v>0</v>
          </cell>
          <cell r="G1577">
            <v>0</v>
          </cell>
          <cell r="H1577">
            <v>0</v>
          </cell>
          <cell r="I1577">
            <v>0</v>
          </cell>
          <cell r="J1577">
            <v>0</v>
          </cell>
          <cell r="K1577">
            <v>0</v>
          </cell>
          <cell r="L1577">
            <v>0</v>
          </cell>
          <cell r="M1577">
            <v>0</v>
          </cell>
          <cell r="N1577">
            <v>0</v>
          </cell>
          <cell r="O1577">
            <v>0</v>
          </cell>
          <cell r="P1577">
            <v>0</v>
          </cell>
          <cell r="Q1577">
            <v>0</v>
          </cell>
          <cell r="R1577">
            <v>0</v>
          </cell>
        </row>
        <row r="1578">
          <cell r="A1578" t="str">
            <v>28.01.06.01</v>
          </cell>
          <cell r="B1578" t="str">
            <v>CAVADO Y ARMADO DE BUZON CUADRADO DE CONCRETO EN EL PISO CON TAPA DE CONCRETO</v>
          </cell>
          <cell r="C1578" t="str">
            <v>und</v>
          </cell>
          <cell r="D1578">
            <v>2</v>
          </cell>
          <cell r="E1578">
            <v>284.02999999999997</v>
          </cell>
          <cell r="F1578">
            <v>568.05999999999995</v>
          </cell>
          <cell r="G1578">
            <v>0</v>
          </cell>
          <cell r="H1578">
            <v>0</v>
          </cell>
          <cell r="I1578" t="str">
            <v>0.00%</v>
          </cell>
          <cell r="J1578">
            <v>0</v>
          </cell>
          <cell r="K1578">
            <v>0</v>
          </cell>
          <cell r="L1578" t="str">
            <v>0.00%</v>
          </cell>
          <cell r="M1578">
            <v>0</v>
          </cell>
          <cell r="N1578">
            <v>0</v>
          </cell>
          <cell r="O1578" t="str">
            <v>0.00%</v>
          </cell>
          <cell r="P1578">
            <v>2</v>
          </cell>
          <cell r="Q1578">
            <v>568.05999999999995</v>
          </cell>
          <cell r="R1578">
            <v>1</v>
          </cell>
        </row>
        <row r="1579">
          <cell r="A1579" t="str">
            <v>28.02</v>
          </cell>
          <cell r="B1579" t="str">
            <v>SISTEMAS ESPECIALES</v>
          </cell>
          <cell r="C1579">
            <v>0</v>
          </cell>
          <cell r="D1579">
            <v>0</v>
          </cell>
          <cell r="E1579">
            <v>0</v>
          </cell>
          <cell r="F1579">
            <v>0</v>
          </cell>
          <cell r="G1579">
            <v>0</v>
          </cell>
          <cell r="H1579">
            <v>0</v>
          </cell>
          <cell r="I1579">
            <v>0</v>
          </cell>
          <cell r="J1579">
            <v>0</v>
          </cell>
          <cell r="K1579">
            <v>0</v>
          </cell>
          <cell r="L1579">
            <v>0</v>
          </cell>
          <cell r="M1579">
            <v>0</v>
          </cell>
          <cell r="N1579">
            <v>0</v>
          </cell>
          <cell r="O1579">
            <v>0</v>
          </cell>
          <cell r="P1579">
            <v>0</v>
          </cell>
          <cell r="Q1579">
            <v>0</v>
          </cell>
          <cell r="R1579">
            <v>0</v>
          </cell>
        </row>
        <row r="1580">
          <cell r="A1580" t="str">
            <v>28.02.01</v>
          </cell>
          <cell r="B1580" t="str">
            <v>DUCTOS O TUBERIAS</v>
          </cell>
          <cell r="C1580">
            <v>0</v>
          </cell>
          <cell r="D1580">
            <v>0</v>
          </cell>
          <cell r="E1580">
            <v>0</v>
          </cell>
          <cell r="F1580">
            <v>0</v>
          </cell>
          <cell r="G1580">
            <v>0</v>
          </cell>
          <cell r="H1580">
            <v>0</v>
          </cell>
          <cell r="I1580">
            <v>0</v>
          </cell>
          <cell r="J1580">
            <v>0</v>
          </cell>
          <cell r="K1580">
            <v>0</v>
          </cell>
          <cell r="L1580">
            <v>0</v>
          </cell>
          <cell r="M1580">
            <v>0</v>
          </cell>
          <cell r="N1580">
            <v>0</v>
          </cell>
          <cell r="O1580">
            <v>0</v>
          </cell>
          <cell r="P1580">
            <v>0</v>
          </cell>
          <cell r="Q1580">
            <v>0</v>
          </cell>
          <cell r="R1580">
            <v>0</v>
          </cell>
        </row>
        <row r="1581">
          <cell r="A1581" t="str">
            <v>28.02.01.01</v>
          </cell>
          <cell r="B1581" t="str">
            <v>INSTALACION DE DUCTO PVC DE 30mm, INCLUYE CABLEADO DE ALIMENTADORES - RED DE DATOS Y CACI</v>
          </cell>
          <cell r="C1581" t="str">
            <v>m</v>
          </cell>
          <cell r="D1581">
            <v>96</v>
          </cell>
          <cell r="E1581">
            <v>6.32</v>
          </cell>
          <cell r="F1581">
            <v>606.72</v>
          </cell>
          <cell r="G1581">
            <v>0</v>
          </cell>
          <cell r="H1581">
            <v>0</v>
          </cell>
          <cell r="I1581" t="str">
            <v>0.00%</v>
          </cell>
          <cell r="J1581">
            <v>0</v>
          </cell>
          <cell r="K1581">
            <v>0</v>
          </cell>
          <cell r="L1581" t="str">
            <v>0.00%</v>
          </cell>
          <cell r="M1581">
            <v>0</v>
          </cell>
          <cell r="N1581">
            <v>0</v>
          </cell>
          <cell r="O1581" t="str">
            <v>0.00%</v>
          </cell>
          <cell r="P1581">
            <v>96</v>
          </cell>
          <cell r="Q1581">
            <v>606.72</v>
          </cell>
          <cell r="R1581">
            <v>1</v>
          </cell>
        </row>
        <row r="1582">
          <cell r="A1582" t="str">
            <v>28.02.01.02</v>
          </cell>
          <cell r="B1582" t="str">
            <v>INSTALACION DE DUCTO PVC DE 75mm, INCLUYE CABLEADO DE ALIMENTADORES - RED DE DATOS</v>
          </cell>
          <cell r="C1582" t="str">
            <v>m</v>
          </cell>
          <cell r="D1582">
            <v>20</v>
          </cell>
          <cell r="E1582">
            <v>10.0905</v>
          </cell>
          <cell r="F1582">
            <v>201.81</v>
          </cell>
          <cell r="G1582">
            <v>0</v>
          </cell>
          <cell r="H1582">
            <v>0</v>
          </cell>
          <cell r="I1582" t="str">
            <v>0.00%</v>
          </cell>
          <cell r="J1582">
            <v>0</v>
          </cell>
          <cell r="K1582">
            <v>0</v>
          </cell>
          <cell r="L1582" t="str">
            <v>0.00%</v>
          </cell>
          <cell r="M1582">
            <v>0</v>
          </cell>
          <cell r="N1582">
            <v>0</v>
          </cell>
          <cell r="O1582" t="str">
            <v>0.00%</v>
          </cell>
          <cell r="P1582">
            <v>20</v>
          </cell>
          <cell r="Q1582">
            <v>201.81</v>
          </cell>
          <cell r="R1582">
            <v>1</v>
          </cell>
        </row>
        <row r="1583">
          <cell r="A1583" t="str">
            <v>28.02.02</v>
          </cell>
          <cell r="B1583" t="str">
            <v>INSTALACION DE DUCTOS</v>
          </cell>
          <cell r="C1583">
            <v>0</v>
          </cell>
          <cell r="D1583">
            <v>0</v>
          </cell>
          <cell r="E1583">
            <v>0</v>
          </cell>
          <cell r="F1583">
            <v>0</v>
          </cell>
          <cell r="G1583">
            <v>0</v>
          </cell>
          <cell r="H1583">
            <v>0</v>
          </cell>
          <cell r="I1583">
            <v>0</v>
          </cell>
          <cell r="J1583">
            <v>0</v>
          </cell>
          <cell r="K1583">
            <v>0</v>
          </cell>
          <cell r="L1583">
            <v>0</v>
          </cell>
          <cell r="M1583">
            <v>0</v>
          </cell>
          <cell r="N1583">
            <v>0</v>
          </cell>
          <cell r="O1583">
            <v>0</v>
          </cell>
          <cell r="P1583">
            <v>0</v>
          </cell>
          <cell r="Q1583">
            <v>0</v>
          </cell>
          <cell r="R1583">
            <v>0</v>
          </cell>
        </row>
        <row r="1584">
          <cell r="A1584" t="str">
            <v>28.02.02.01</v>
          </cell>
          <cell r="B1584" t="str">
            <v>CAVADO DE ZANJA, SEÑALIZACION, PROTECCION Y RELLENO DE ZANJA</v>
          </cell>
          <cell r="C1584" t="str">
            <v>m</v>
          </cell>
          <cell r="D1584">
            <v>60</v>
          </cell>
          <cell r="E1584">
            <v>27.280799999999999</v>
          </cell>
          <cell r="F1584">
            <v>1636.848</v>
          </cell>
          <cell r="G1584">
            <v>0</v>
          </cell>
          <cell r="H1584">
            <v>0</v>
          </cell>
          <cell r="I1584" t="str">
            <v>0.00%</v>
          </cell>
          <cell r="J1584">
            <v>0</v>
          </cell>
          <cell r="K1584">
            <v>0</v>
          </cell>
          <cell r="L1584" t="str">
            <v>0.00%</v>
          </cell>
          <cell r="M1584">
            <v>0</v>
          </cell>
          <cell r="N1584">
            <v>0</v>
          </cell>
          <cell r="O1584" t="str">
            <v>0.00%</v>
          </cell>
          <cell r="P1584">
            <v>60</v>
          </cell>
          <cell r="Q1584">
            <v>1636.848</v>
          </cell>
          <cell r="R1584">
            <v>1</v>
          </cell>
        </row>
        <row r="1585">
          <cell r="A1585" t="str">
            <v>28.02.03</v>
          </cell>
          <cell r="B1585" t="str">
            <v>ARMADO DE BUZON DE CONCRETO</v>
          </cell>
          <cell r="C1585">
            <v>0</v>
          </cell>
          <cell r="D1585">
            <v>0</v>
          </cell>
          <cell r="E1585">
            <v>0</v>
          </cell>
          <cell r="F1585">
            <v>0</v>
          </cell>
          <cell r="G1585">
            <v>0</v>
          </cell>
          <cell r="H1585">
            <v>0</v>
          </cell>
          <cell r="I1585">
            <v>0</v>
          </cell>
          <cell r="J1585">
            <v>0</v>
          </cell>
          <cell r="K1585">
            <v>0</v>
          </cell>
          <cell r="L1585">
            <v>0</v>
          </cell>
          <cell r="M1585">
            <v>0</v>
          </cell>
          <cell r="N1585">
            <v>0</v>
          </cell>
          <cell r="O1585">
            <v>0</v>
          </cell>
          <cell r="P1585">
            <v>0</v>
          </cell>
          <cell r="Q1585">
            <v>0</v>
          </cell>
          <cell r="R1585">
            <v>0</v>
          </cell>
        </row>
        <row r="1586">
          <cell r="A1586" t="str">
            <v>28.02.03.01</v>
          </cell>
          <cell r="B1586" t="str">
            <v>CAVADO Y ARMADO DE BUZON CUADRADO DE CONCRETO EN EL PISO CON TAPA DE CONCRETO</v>
          </cell>
          <cell r="C1586" t="str">
            <v>und</v>
          </cell>
          <cell r="D1586">
            <v>2</v>
          </cell>
          <cell r="E1586">
            <v>284.02999999999997</v>
          </cell>
          <cell r="F1586">
            <v>568.05999999999995</v>
          </cell>
          <cell r="G1586">
            <v>0</v>
          </cell>
          <cell r="H1586">
            <v>0</v>
          </cell>
          <cell r="I1586" t="str">
            <v>0.00%</v>
          </cell>
          <cell r="J1586">
            <v>0</v>
          </cell>
          <cell r="K1586">
            <v>0</v>
          </cell>
          <cell r="L1586" t="str">
            <v>0.00%</v>
          </cell>
          <cell r="M1586">
            <v>0</v>
          </cell>
          <cell r="N1586">
            <v>0</v>
          </cell>
          <cell r="O1586" t="str">
            <v>0.00%</v>
          </cell>
          <cell r="P1586">
            <v>2</v>
          </cell>
          <cell r="Q1586">
            <v>568.05999999999995</v>
          </cell>
          <cell r="R1586">
            <v>1</v>
          </cell>
        </row>
      </sheetData>
      <sheetData sheetId="15"/>
      <sheetData sheetId="16"/>
      <sheetData sheetId="17"/>
      <sheetData sheetId="18"/>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Estructuras"/>
      <sheetName val="Equip. - Inst. hidráulicas"/>
      <sheetName val="Líneas agua potable"/>
      <sheetName val="Lineas alcantarillado"/>
      <sheetName val="Precios Estruc."/>
      <sheetName val="Precios Hidraulicas"/>
      <sheetName val="Precios Estruc_"/>
    </sheetNames>
    <sheetDataSet>
      <sheetData sheetId="0"/>
      <sheetData sheetId="1"/>
      <sheetData sheetId="2"/>
      <sheetData sheetId="3"/>
      <sheetData sheetId="4"/>
      <sheetData sheetId="5">
        <row r="1">
          <cell r="A1" t="str">
            <v>LISTA DE PRECIOS</v>
          </cell>
        </row>
        <row r="4">
          <cell r="A4" t="str">
            <v>Código</v>
          </cell>
          <cell r="B4" t="str">
            <v>Descripción</v>
          </cell>
          <cell r="C4" t="str">
            <v>Precio S/.</v>
          </cell>
        </row>
        <row r="6">
          <cell r="A6" t="str">
            <v>011201100151-2043051-01</v>
          </cell>
          <cell r="B6" t="str">
            <v>Acabado puilido de piso con mortero 1:2 x 1,5 cm de espesor</v>
          </cell>
          <cell r="C6">
            <v>10.1</v>
          </cell>
        </row>
        <row r="7">
          <cell r="A7" t="str">
            <v>010401101101-2043051-01</v>
          </cell>
          <cell r="B7" t="str">
            <v>Acero estruc. trabajado p/anclaje ref. (costo prom. Incl. desperdicios)</v>
          </cell>
          <cell r="C7">
            <v>2.2599999999999998</v>
          </cell>
        </row>
        <row r="8">
          <cell r="A8" t="str">
            <v>010501121501-2043051-01</v>
          </cell>
          <cell r="B8" t="str">
            <v>Acero estruc. trabajado p/cúpula esférica (costo prom. Incl. desperdicios)</v>
          </cell>
          <cell r="C8">
            <v>2.29</v>
          </cell>
        </row>
        <row r="9">
          <cell r="A9" t="str">
            <v>010501111501-2043051-01</v>
          </cell>
          <cell r="B9" t="str">
            <v>Acero estruc. trabajado p/losa aligerada (costo prom. Incl. desperdicios)</v>
          </cell>
          <cell r="C9">
            <v>2.29</v>
          </cell>
        </row>
        <row r="10">
          <cell r="A10" t="str">
            <v>010501041501-2043051-01</v>
          </cell>
          <cell r="B10" t="str">
            <v>Acero estruc. trabajado p/losa de fondo - piso (costo prom. incl. desperdicios)</v>
          </cell>
          <cell r="C10">
            <v>2.2599999999999998</v>
          </cell>
        </row>
        <row r="11">
          <cell r="A11" t="str">
            <v>010501101501-2043051-01</v>
          </cell>
          <cell r="B11" t="str">
            <v>Acero estruc. trabajado p/losa removible (costo prom. Incl. desperdicios)</v>
          </cell>
          <cell r="C11">
            <v>2.29</v>
          </cell>
        </row>
        <row r="12">
          <cell r="A12" t="str">
            <v>010501091501-2043051-01</v>
          </cell>
          <cell r="B12" t="str">
            <v>Acero estruc. trabajado p/losas macizas (costo prom. Incl. desperdicios)</v>
          </cell>
          <cell r="C12">
            <v>2.29</v>
          </cell>
        </row>
        <row r="13">
          <cell r="A13" t="str">
            <v>010501061501-2043051-01</v>
          </cell>
          <cell r="B13" t="str">
            <v>Acero estruc. trabajado p/muro reforzado (costo prom. Incl. desperdicios)</v>
          </cell>
          <cell r="C13">
            <v>2.29</v>
          </cell>
        </row>
        <row r="14">
          <cell r="A14" t="str">
            <v>010501031501-2043051-01</v>
          </cell>
          <cell r="B14" t="str">
            <v>Acero estruc. Trabajado p/viga cimentac. (costo prom. Incl. desperdicios)</v>
          </cell>
          <cell r="C14">
            <v>2.2599999999999998</v>
          </cell>
        </row>
        <row r="15">
          <cell r="A15" t="str">
            <v>010501021501-2043051-01</v>
          </cell>
          <cell r="B15" t="str">
            <v>Acero estruc. Trabajado p/zapata armada (costo prom. Incl. desperdicios)</v>
          </cell>
          <cell r="C15">
            <v>2.2599999999999998</v>
          </cell>
        </row>
        <row r="16">
          <cell r="A16" t="str">
            <v>010501071501-2043051-01</v>
          </cell>
          <cell r="B16" t="str">
            <v>Acero estruc. trabajado para columnas (costo prom. Incl. desperdicios)</v>
          </cell>
          <cell r="C16">
            <v>2.29</v>
          </cell>
        </row>
        <row r="17">
          <cell r="A17" t="str">
            <v>010501151501-2043051-01</v>
          </cell>
          <cell r="B17" t="str">
            <v>Acero estruc. trabajado para escaleras (costo prom. Incl. desperdicios)</v>
          </cell>
          <cell r="C17">
            <v>2.29</v>
          </cell>
        </row>
        <row r="18">
          <cell r="A18" t="str">
            <v>010501081501-2043051-01</v>
          </cell>
          <cell r="B18" t="str">
            <v>Acero estruc. trabajado para vigas (costo prom. Incl. desperdicios)</v>
          </cell>
          <cell r="C18">
            <v>2.29</v>
          </cell>
        </row>
        <row r="19">
          <cell r="A19" t="str">
            <v>010401071101-2043051-01</v>
          </cell>
          <cell r="B19" t="str">
            <v>Acero estructural trabajado p/zapata armada (costo prom. incl. desperdicios)</v>
          </cell>
          <cell r="C19">
            <v>2.2599999999999998</v>
          </cell>
        </row>
        <row r="20">
          <cell r="A20" t="str">
            <v>010401071101-2043051-01</v>
          </cell>
          <cell r="B20" t="str">
            <v>Acero estructural trabajado para sobrecimientos</v>
          </cell>
          <cell r="C20">
            <v>2.2599999999999998</v>
          </cell>
        </row>
        <row r="21">
          <cell r="A21" t="str">
            <v>010510000110-2043051-01</v>
          </cell>
          <cell r="B21" t="str">
            <v>Aditivo desmoldeador para encofrados tipo caravista</v>
          </cell>
          <cell r="C21">
            <v>3.28</v>
          </cell>
        </row>
        <row r="22">
          <cell r="A22" t="str">
            <v>010510000121-2043051-01</v>
          </cell>
          <cell r="B22" t="str">
            <v>Aditivo plastificante para concreto f'c 210 kg/cm2 (por m3)</v>
          </cell>
          <cell r="C22">
            <v>10.78</v>
          </cell>
        </row>
        <row r="23">
          <cell r="A23" t="str">
            <v>010510000124-2043051-01</v>
          </cell>
          <cell r="B23" t="str">
            <v>Aditivo plastificante para concreto f'c 245 kg/cm2 (por m3)</v>
          </cell>
          <cell r="C23">
            <v>11.84</v>
          </cell>
        </row>
        <row r="24">
          <cell r="A24" t="str">
            <v>010510000136-2043051-01</v>
          </cell>
          <cell r="B24" t="str">
            <v>Aditivo poliepox "O" Universal pega concreto nuevo-viejo</v>
          </cell>
          <cell r="C24">
            <v>48.52</v>
          </cell>
        </row>
        <row r="25">
          <cell r="A25" t="str">
            <v>010901300108-2043051-01</v>
          </cell>
          <cell r="B25" t="str">
            <v>Alambre negro N° 8 para confinamiento de muros (incluye desperdicio)</v>
          </cell>
          <cell r="C25">
            <v>1.27</v>
          </cell>
        </row>
        <row r="26">
          <cell r="A26" t="str">
            <v>013901010101-2043051-01</v>
          </cell>
          <cell r="B26" t="str">
            <v>Antena para telemetría tipo yagui</v>
          </cell>
          <cell r="C26">
            <v>2754.37</v>
          </cell>
        </row>
        <row r="27">
          <cell r="A27" t="str">
            <v>013601200134-2043051-01</v>
          </cell>
          <cell r="B27" t="str">
            <v>Artefacto de alumbrado exterior público tipo MR O-83 V.M. de 250 W E40</v>
          </cell>
          <cell r="C27">
            <v>318.60000000000002</v>
          </cell>
        </row>
        <row r="28">
          <cell r="A28" t="str">
            <v>013601250102-2043051-01</v>
          </cell>
          <cell r="B28" t="str">
            <v>Artefacto de alumbrado interior braqueta B.F. De 1 x 40 W BE-1</v>
          </cell>
          <cell r="C28">
            <v>619.29999999999995</v>
          </cell>
        </row>
        <row r="29">
          <cell r="A29" t="str">
            <v>013601200157-2043051-01</v>
          </cell>
          <cell r="B29" t="str">
            <v>Artefacto de iluminación exterior BS-112 Josfel y lampara de 125 w</v>
          </cell>
          <cell r="C29">
            <v>293.60000000000002</v>
          </cell>
        </row>
        <row r="30">
          <cell r="A30" t="str">
            <v>011901140114-2043051-01</v>
          </cell>
          <cell r="B30" t="str">
            <v>Baranda c/tubo fo. Galv. Pasamano 1 1/2" y parante 1"x1 m en nivel 15,01 m - 20 m</v>
          </cell>
          <cell r="C30">
            <v>76.58</v>
          </cell>
        </row>
        <row r="31">
          <cell r="A31" t="str">
            <v>011901140110-2043051-01</v>
          </cell>
          <cell r="B31" t="str">
            <v>Baranda con tubo de fo. Galv. Pasamano 1 1/2" y parante de 1" x 1 m altura</v>
          </cell>
          <cell r="C31">
            <v>76.44</v>
          </cell>
        </row>
        <row r="32">
          <cell r="A32" t="str">
            <v>011901140110-2043051-01</v>
          </cell>
          <cell r="B32" t="str">
            <v>Baranda con tubo de fo. Galv. Pasamano 1 1/2" y parante de 1" x 1 m altura</v>
          </cell>
          <cell r="C32">
            <v>76.44</v>
          </cell>
        </row>
        <row r="33">
          <cell r="A33" t="str">
            <v>012001010001-2043051-01</v>
          </cell>
          <cell r="B33" t="str">
            <v>Bisagra de fierro para puerta (promedio)</v>
          </cell>
          <cell r="C33">
            <v>6.73</v>
          </cell>
        </row>
        <row r="34">
          <cell r="A34" t="str">
            <v>010510000197-2043051-01</v>
          </cell>
          <cell r="B34" t="str">
            <v>Bombeo de concreto para construcción</v>
          </cell>
          <cell r="C34">
            <v>35</v>
          </cell>
        </row>
        <row r="35">
          <cell r="A35" t="str">
            <v>013201166101-2043051-01</v>
          </cell>
          <cell r="B35" t="str">
            <v>Cable de señal apantallado 1 x 2.5 mm2</v>
          </cell>
          <cell r="C35">
            <v>2.86</v>
          </cell>
        </row>
        <row r="36">
          <cell r="A36" t="str">
            <v>013201166111-2043051-01</v>
          </cell>
          <cell r="B36" t="str">
            <v>Cable de señal tipo coaxial RG 213</v>
          </cell>
          <cell r="C36">
            <v>8.2899999999999991</v>
          </cell>
        </row>
        <row r="37">
          <cell r="A37" t="str">
            <v>013001319106-2043051-01</v>
          </cell>
          <cell r="B37" t="str">
            <v>Cable eléctrico NYY de 1 x 6 mm2</v>
          </cell>
          <cell r="C37">
            <v>1.48</v>
          </cell>
        </row>
        <row r="38">
          <cell r="A38" t="str">
            <v>013001319108-2043051-01</v>
          </cell>
          <cell r="B38" t="str">
            <v>Cable eléctrico NYY de 1x 10 mm2</v>
          </cell>
          <cell r="C38">
            <v>1.94</v>
          </cell>
        </row>
        <row r="39">
          <cell r="A39" t="str">
            <v>013201104008-2043051-01</v>
          </cell>
          <cell r="B39" t="str">
            <v>Cable eléctrico THW de 10 mm2 (7 alambres)</v>
          </cell>
          <cell r="C39">
            <v>1.32</v>
          </cell>
        </row>
        <row r="40">
          <cell r="A40" t="str">
            <v>013201104010-2043051-01</v>
          </cell>
          <cell r="B40" t="str">
            <v>Cable eléctrico THW de 16 mm2 (7 alambres)</v>
          </cell>
          <cell r="C40">
            <v>2.21</v>
          </cell>
        </row>
        <row r="41">
          <cell r="A41" t="str">
            <v>013201104038-2043051-01</v>
          </cell>
          <cell r="B41" t="str">
            <v>Cable eléctrico THW de 185 mm2 (37 alambres)</v>
          </cell>
          <cell r="C41">
            <v>27.04</v>
          </cell>
        </row>
        <row r="42">
          <cell r="A42" t="str">
            <v>013201104002-2043051-01</v>
          </cell>
          <cell r="B42" t="str">
            <v>Cable eléctrico THW de 2,5 mm2</v>
          </cell>
          <cell r="C42">
            <v>0.48</v>
          </cell>
        </row>
        <row r="43">
          <cell r="A43" t="str">
            <v>013201104044-2043051-01</v>
          </cell>
          <cell r="B43" t="str">
            <v>Cable eléctrico THW de 240 mm2 (61 alambres)</v>
          </cell>
          <cell r="C43">
            <v>31.73</v>
          </cell>
        </row>
        <row r="44">
          <cell r="A44" t="str">
            <v>013201104012-2043051-01</v>
          </cell>
          <cell r="B44" t="str">
            <v>Cable eléctrico THW de 25 mm2 (7 alambres)</v>
          </cell>
          <cell r="C44">
            <v>3.38</v>
          </cell>
        </row>
        <row r="45">
          <cell r="A45" t="str">
            <v>013201104014-2043051-01</v>
          </cell>
          <cell r="B45" t="str">
            <v>Cable eléctrico THW de 35 mm2 (7 alambres)</v>
          </cell>
          <cell r="C45">
            <v>5.34</v>
          </cell>
        </row>
        <row r="46">
          <cell r="A46" t="str">
            <v>013201104004-2043051-01</v>
          </cell>
          <cell r="B46" t="str">
            <v>Cable eléctrico THW de 4 mm2</v>
          </cell>
          <cell r="C46">
            <v>0.67</v>
          </cell>
        </row>
        <row r="47">
          <cell r="A47" t="str">
            <v>013201104021-2043051-01</v>
          </cell>
          <cell r="B47" t="str">
            <v>Cable eléctrico THW de 50 mm2 (19 alambres)</v>
          </cell>
          <cell r="C47">
            <v>8.14</v>
          </cell>
        </row>
        <row r="48">
          <cell r="A48" t="str">
            <v>013201104006-2043051-01</v>
          </cell>
          <cell r="B48" t="str">
            <v>Cable eléctrico THW de 6 mm2 (7 alambres)</v>
          </cell>
          <cell r="C48">
            <v>0.86</v>
          </cell>
        </row>
        <row r="49">
          <cell r="A49" t="str">
            <v>013201104022-2043051-01</v>
          </cell>
          <cell r="B49" t="str">
            <v>Cable eléctrico THW de 70 mm2 (19 alambres)</v>
          </cell>
          <cell r="C49">
            <v>10.65</v>
          </cell>
        </row>
        <row r="50">
          <cell r="A50" t="str">
            <v>013201104025-2043051-01</v>
          </cell>
          <cell r="B50" t="str">
            <v>Cable eléctrico THW de 95 mm2 (19 alambres)</v>
          </cell>
          <cell r="C50">
            <v>16.55</v>
          </cell>
        </row>
        <row r="51">
          <cell r="A51" t="str">
            <v>013201166004-2043051-01</v>
          </cell>
          <cell r="B51" t="str">
            <v>Cable eléctrico TW de 4 mm2 (7 alambres)</v>
          </cell>
          <cell r="C51">
            <v>0.62</v>
          </cell>
        </row>
        <row r="52">
          <cell r="A52" t="str">
            <v>013201166004-2043051-01</v>
          </cell>
          <cell r="B52" t="str">
            <v>Cable eléctrico TW de 4 mm2 (7 alambres) mm (5/8" a 3/4")</v>
          </cell>
          <cell r="C52">
            <v>0.62</v>
          </cell>
        </row>
        <row r="53">
          <cell r="A53" t="str">
            <v>013301050105-2043051-01</v>
          </cell>
          <cell r="B53" t="str">
            <v>Caja de fierro galvanizado de 100 x 100 x 50 mm incluye tapa</v>
          </cell>
          <cell r="C53">
            <v>6.9</v>
          </cell>
        </row>
        <row r="54">
          <cell r="A54" t="str">
            <v>013301050110-2043051-01</v>
          </cell>
          <cell r="B54" t="str">
            <v>Caja de fierro galvanizado de 150 x 150 x 100 mm incluye tapa</v>
          </cell>
          <cell r="C54">
            <v>9.5</v>
          </cell>
        </row>
        <row r="55">
          <cell r="A55" t="str">
            <v>013301050130-2043051-01</v>
          </cell>
          <cell r="B55" t="str">
            <v>Caja de fierro galvanizado de 200 x 200 x 100 mm incluye tapa</v>
          </cell>
          <cell r="C55">
            <v>8.4700000000000006</v>
          </cell>
        </row>
        <row r="56">
          <cell r="A56" t="str">
            <v>013301050163-2043051-01</v>
          </cell>
          <cell r="B56" t="str">
            <v>Caja de fierro galvanizado de 400 x 400 mm incluye tapa</v>
          </cell>
          <cell r="C56">
            <v>13.1</v>
          </cell>
        </row>
        <row r="57">
          <cell r="A57" t="str">
            <v>013301050190-2043051-01</v>
          </cell>
          <cell r="B57" t="str">
            <v>Caja de fierro galvanizado octogonal 4" x 2 1/8"</v>
          </cell>
          <cell r="C57">
            <v>1.2</v>
          </cell>
        </row>
        <row r="58">
          <cell r="A58" t="str">
            <v>016806070127-2043051-01</v>
          </cell>
          <cell r="B58" t="str">
            <v>Caja para medidor caudal cemento v</v>
          </cell>
          <cell r="C58">
            <v>17347.080000000002</v>
          </cell>
        </row>
        <row r="59">
          <cell r="A59" t="str">
            <v>016806070116-2043051-01</v>
          </cell>
          <cell r="B59" t="str">
            <v>Caja para válvula de altitud + cemento v</v>
          </cell>
          <cell r="C59">
            <v>5423.82</v>
          </cell>
        </row>
        <row r="60">
          <cell r="A60" t="str">
            <v>016807010127-2043051-01</v>
          </cell>
          <cell r="B60" t="str">
            <v>Caja para válvula medidor caudal - cemento V</v>
          </cell>
          <cell r="C60">
            <v>17347.080000000002</v>
          </cell>
        </row>
        <row r="61">
          <cell r="A61" t="str">
            <v>016806070106-2043051-01</v>
          </cell>
          <cell r="B61" t="str">
            <v>Caja para válvulas 1 y 2 cemento v</v>
          </cell>
          <cell r="C61">
            <v>8906.82</v>
          </cell>
        </row>
        <row r="62">
          <cell r="A62" t="str">
            <v>017801010150-2043051-01</v>
          </cell>
          <cell r="B62" t="str">
            <v>Caja rebose - limpia terreno normal eliminación desm. c/carg y volq. (C-V)</v>
          </cell>
          <cell r="C62">
            <v>1277.2</v>
          </cell>
        </row>
        <row r="63">
          <cell r="A63" t="str">
            <v>017802310150-2043051-01</v>
          </cell>
          <cell r="B63" t="str">
            <v>Caja rebose - purga terreno rocoso c/expl. Incluye eliminación desmonte (C-V)</v>
          </cell>
          <cell r="C63">
            <v>1887.91</v>
          </cell>
        </row>
        <row r="64">
          <cell r="A64" t="str">
            <v>017802350110-2043051-01</v>
          </cell>
          <cell r="B64" t="str">
            <v>Caja rebose - purga terreno rocoso sin explosivo incluye eliminación desmonte</v>
          </cell>
          <cell r="C64">
            <v>2130.34</v>
          </cell>
        </row>
        <row r="65">
          <cell r="A65" t="str">
            <v>017801350150-2043051-01</v>
          </cell>
          <cell r="B65" t="str">
            <v>Caja rebose-limpia terreno rocoso s/exp. Incluye eliminación desmonte (C-V)</v>
          </cell>
          <cell r="C65">
            <v>2188.04</v>
          </cell>
        </row>
        <row r="66">
          <cell r="A66" t="str">
            <v>016801010118-2043051-01</v>
          </cell>
          <cell r="B66" t="str">
            <v>Cámara para válvula aire terr-normal E.D. Carg + volq. p/matriz DN 450 a 600</v>
          </cell>
          <cell r="C66">
            <v>3855.47</v>
          </cell>
        </row>
        <row r="67">
          <cell r="A67" t="str">
            <v>010100001013-2043051-01</v>
          </cell>
          <cell r="B67" t="str">
            <v>Campamento provisional para la obra</v>
          </cell>
          <cell r="C67">
            <v>4010.5</v>
          </cell>
        </row>
        <row r="68">
          <cell r="A68" t="str">
            <v>012001020022-2043051-01</v>
          </cell>
          <cell r="B68" t="str">
            <v>Candado, incluyendo aldabas</v>
          </cell>
          <cell r="C68">
            <v>10.17</v>
          </cell>
        </row>
        <row r="69">
          <cell r="A69" t="str">
            <v>012681060101-2043051-01</v>
          </cell>
          <cell r="B69" t="str">
            <v>Caño de bronce estándar - llave DN 15</v>
          </cell>
          <cell r="C69">
            <v>7.63</v>
          </cell>
        </row>
        <row r="70">
          <cell r="A70" t="str">
            <v>019501011010-2043051-01</v>
          </cell>
          <cell r="B70" t="str">
            <v>Carpeta de afirmado compactada con equipo de 10 cm espesor</v>
          </cell>
          <cell r="C70">
            <v>3.31</v>
          </cell>
        </row>
        <row r="71">
          <cell r="A71" t="str">
            <v>019501011015-2043051-01</v>
          </cell>
          <cell r="B71" t="str">
            <v>Carpeta de afirmado compactada con equipo de 15 cm espesor</v>
          </cell>
          <cell r="C71">
            <v>4.97</v>
          </cell>
        </row>
        <row r="72">
          <cell r="A72" t="str">
            <v>010110030118-2040351-01</v>
          </cell>
          <cell r="B72" t="str">
            <v>Cartel de identificación de la obra de 3,60 m x 1,80m</v>
          </cell>
          <cell r="C72">
            <v>627.95000000000005</v>
          </cell>
        </row>
        <row r="73">
          <cell r="A73" t="str">
            <v>012001020001-2043051-01</v>
          </cell>
          <cell r="B73" t="str">
            <v>Cerradura para baño, con seguro interior perilla o manija</v>
          </cell>
          <cell r="C73">
            <v>16.95</v>
          </cell>
        </row>
        <row r="74">
          <cell r="A74" t="str">
            <v>012001020007-2043051-01</v>
          </cell>
          <cell r="B74" t="str">
            <v>Cerradura para exterior c/llaves inter. Y exterior de 2 golpes</v>
          </cell>
          <cell r="C74">
            <v>33.549999999999997</v>
          </cell>
        </row>
        <row r="75">
          <cell r="A75" t="str">
            <v>012001040005-2043051-01</v>
          </cell>
          <cell r="B75" t="str">
            <v>Cerrojos o pestillos</v>
          </cell>
          <cell r="C75">
            <v>3.39</v>
          </cell>
        </row>
        <row r="76">
          <cell r="A76" t="str">
            <v>011101010101-2043051-01</v>
          </cell>
          <cell r="B76" t="str">
            <v>Cielo rasos incluye vigas empotradas con mortero de 1:4 x 1,5 cm</v>
          </cell>
          <cell r="C76">
            <v>19.920000000000002</v>
          </cell>
        </row>
        <row r="77">
          <cell r="A77" t="str">
            <v>012602060101-2043051-01</v>
          </cell>
          <cell r="B77" t="str">
            <v>Codo de fo. Galvanizado unión roscada DN  15</v>
          </cell>
          <cell r="C77">
            <v>1.1399999999999999</v>
          </cell>
        </row>
        <row r="78">
          <cell r="A78" t="str">
            <v>012602260121-2043051-01</v>
          </cell>
          <cell r="B78" t="str">
            <v>Codo de P.V.C. 90° tipo unión roscada DN  15</v>
          </cell>
          <cell r="C78">
            <v>0.91</v>
          </cell>
        </row>
        <row r="79">
          <cell r="A79" t="str">
            <v>012503050411-2043051-01</v>
          </cell>
          <cell r="B79" t="str">
            <v>Codo de P.V.C. SAL 90° DN  50</v>
          </cell>
          <cell r="C79">
            <v>1.61</v>
          </cell>
        </row>
        <row r="80">
          <cell r="A80" t="str">
            <v>010501107001-2043051-01</v>
          </cell>
          <cell r="B80" t="str">
            <v>Colocación de losa removible, cámara o similar</v>
          </cell>
          <cell r="C80">
            <v>8.18</v>
          </cell>
        </row>
        <row r="81">
          <cell r="A81" t="str">
            <v>010401010105-2043051-01</v>
          </cell>
          <cell r="B81" t="str">
            <v>Concreto 1:10 + 30% piedra grande para cimiento corrido (Cemento P-V)</v>
          </cell>
          <cell r="C81">
            <v>137.19999999999999</v>
          </cell>
        </row>
        <row r="82">
          <cell r="A82" t="str">
            <v>010401070105-2043051-01</v>
          </cell>
          <cell r="B82" t="str">
            <v>Concreto 1:8 + 25% P.M. P/sobrecimientos (Cemenro P-V)</v>
          </cell>
          <cell r="C82">
            <v>159.62</v>
          </cell>
        </row>
        <row r="83">
          <cell r="A83" t="str">
            <v>010401030270-2043051-01</v>
          </cell>
          <cell r="B83" t="str">
            <v>Concreto f'c 100 kg/cm2 para soleados y/o sub bases (Cemento P-V)</v>
          </cell>
          <cell r="C83">
            <v>227.67</v>
          </cell>
        </row>
        <row r="84">
          <cell r="A84" t="str">
            <v>010401020114-2043051-01</v>
          </cell>
          <cell r="B84" t="str">
            <v>Concreto f'c 140 kg/cm2 + 25% P.G. Para falsas zapatas (Cemento P-I)</v>
          </cell>
          <cell r="C84">
            <v>157.66</v>
          </cell>
        </row>
        <row r="85">
          <cell r="A85" t="str">
            <v>010401020174-2043051-01</v>
          </cell>
          <cell r="B85" t="str">
            <v>Concreto f'c 140 kg/cm2 + 25% P.G. para falsas zapatas (Cemento P-V)</v>
          </cell>
          <cell r="C85">
            <v>202.95</v>
          </cell>
        </row>
        <row r="86">
          <cell r="A86" t="str">
            <v>010401010174-2043051-01</v>
          </cell>
          <cell r="B86" t="str">
            <v>Concreto f'c 140 kg/cm2 + 30% P.G. Para cimiento corrido (Cemento P-V)</v>
          </cell>
          <cell r="C86">
            <v>194.8</v>
          </cell>
        </row>
        <row r="87">
          <cell r="A87" t="str">
            <v>010401070174-2043051-01</v>
          </cell>
          <cell r="B87" t="str">
            <v>Concreto f'c 140 kg/cm2 + 30% P.M. para sobrescimientos (Cemento P-V)</v>
          </cell>
          <cell r="C87">
            <v>215.43</v>
          </cell>
        </row>
        <row r="88">
          <cell r="A88" t="str">
            <v>010401100174-2043051-01</v>
          </cell>
          <cell r="B88" t="str">
            <v>Concreto f'c 140 kg/cm2 para anclajes poste (cemento v)</v>
          </cell>
          <cell r="C88">
            <v>251.95</v>
          </cell>
        </row>
        <row r="89">
          <cell r="A89" t="str">
            <v>010401080174-2043051-01</v>
          </cell>
          <cell r="B89" t="str">
            <v>Concreto f'c 140 kg/cm2 para gradas y/o piso simple (Cemento P-V)</v>
          </cell>
          <cell r="C89">
            <v>277.55</v>
          </cell>
        </row>
        <row r="90">
          <cell r="A90" t="str">
            <v>010401030274-2043051-01</v>
          </cell>
          <cell r="B90" t="str">
            <v>Concreto f'c 140 kg/cm2 para solados y/o sub bases (Cemento P-V)</v>
          </cell>
          <cell r="C90">
            <v>242.72</v>
          </cell>
        </row>
        <row r="91">
          <cell r="A91" t="str">
            <v>010501030174-2043051-01</v>
          </cell>
          <cell r="B91" t="str">
            <v>Concreto f'c 140 kg/cm2 para vigas de cimentación (Cemento P-V)</v>
          </cell>
          <cell r="C91">
            <v>253.93</v>
          </cell>
        </row>
        <row r="92">
          <cell r="A92" t="str">
            <v>010501050177-2043051-01</v>
          </cell>
          <cell r="B92" t="str">
            <v>Concreto f'c 175 kg/cm2 p/sobrecimientos reforzados (Cemento P-V)</v>
          </cell>
          <cell r="C92">
            <v>275.89</v>
          </cell>
        </row>
        <row r="93">
          <cell r="A93" t="str">
            <v>010401100117-2043051-01</v>
          </cell>
          <cell r="B93" t="str">
            <v>Concreto f'c 175 kg/cm2 para anclajes y/o dados (cemento P-I)</v>
          </cell>
          <cell r="C93">
            <v>205.67</v>
          </cell>
        </row>
        <row r="94">
          <cell r="A94" t="str">
            <v>010401100177-2043051-01</v>
          </cell>
          <cell r="B94" t="str">
            <v>Concreto f'c 175 kg/cm2 para anclajes y/o dados (Cemento P-V)</v>
          </cell>
          <cell r="C94">
            <v>273.91000000000003</v>
          </cell>
        </row>
        <row r="95">
          <cell r="A95" t="str">
            <v>010501070117-2043051-01</v>
          </cell>
          <cell r="B95" t="str">
            <v>Concreto f'c 175 kg/cm2 para columnas (Cemento P-I)</v>
          </cell>
          <cell r="C95">
            <v>234.56</v>
          </cell>
        </row>
        <row r="96">
          <cell r="A96" t="str">
            <v>010401080177-2043051-01</v>
          </cell>
          <cell r="B96" t="str">
            <v>Concreto f'c 175 kg/cm2 para gradas y/o piso simple (Cemento P-V)</v>
          </cell>
          <cell r="C96">
            <v>299.51</v>
          </cell>
        </row>
        <row r="97">
          <cell r="A97" t="str">
            <v>010501110117-2043051-01</v>
          </cell>
          <cell r="B97" t="str">
            <v>Concreto f'c 175 kg/cm2 para losas aligeradas (Cemento P-I)</v>
          </cell>
          <cell r="C97">
            <v>214.41</v>
          </cell>
        </row>
        <row r="98">
          <cell r="A98" t="str">
            <v>010501040177-2043051-01</v>
          </cell>
          <cell r="B98" t="str">
            <v>Concreto f'c 175 kg/cm2 para losas de fondo-piso (Cemento P-V)</v>
          </cell>
          <cell r="C98">
            <v>282.20999999999998</v>
          </cell>
        </row>
        <row r="99">
          <cell r="A99" t="str">
            <v>010501060177-2043051-01</v>
          </cell>
          <cell r="B99" t="str">
            <v>Concreto f'c 175 kg/cm2 para muros reforzados (Cemento P-V)</v>
          </cell>
          <cell r="C99">
            <v>302.8</v>
          </cell>
        </row>
        <row r="100">
          <cell r="A100" t="str">
            <v>010501080117-2043051-01</v>
          </cell>
          <cell r="B100" t="str">
            <v>Concreto f'c 175 kg/cm2 para vigas (Cemento P-I)</v>
          </cell>
          <cell r="C100">
            <v>218.09</v>
          </cell>
        </row>
        <row r="101">
          <cell r="A101" t="str">
            <v>010501020177-2043051-01</v>
          </cell>
          <cell r="B101" t="str">
            <v>Concreto f'c 175 kg/cm2 para zapatasn (Cemento P-V)</v>
          </cell>
          <cell r="C101">
            <v>263.93</v>
          </cell>
        </row>
        <row r="102">
          <cell r="A102" t="str">
            <v>010401100181-2043051-01</v>
          </cell>
          <cell r="B102" t="str">
            <v>Concreto f'c 210 kg/cm2 para anclajes y/o dados (Cemento P-V)</v>
          </cell>
          <cell r="C102">
            <v>306.62</v>
          </cell>
        </row>
        <row r="103">
          <cell r="A103" t="str">
            <v>010501070121-2043051-01</v>
          </cell>
          <cell r="B103" t="str">
            <v>Concreto f'c 210 kg/cm2 para columnas (Cemento P-I)</v>
          </cell>
          <cell r="C103">
            <v>261.13</v>
          </cell>
        </row>
        <row r="104">
          <cell r="A104" t="str">
            <v>010501150121-2043051-01</v>
          </cell>
          <cell r="B104" t="str">
            <v>Concreto f'c 210 kg/cm2 para escalera (Cemento P-I)</v>
          </cell>
          <cell r="C104">
            <v>260.32</v>
          </cell>
        </row>
        <row r="105">
          <cell r="A105" t="str">
            <v>010501040181-2043051-01</v>
          </cell>
          <cell r="B105" t="str">
            <v>Concreto f'c 210 kg/cm2 para losas de fondo-piso (Cemento P-V)</v>
          </cell>
          <cell r="C105">
            <v>314.92</v>
          </cell>
        </row>
        <row r="106">
          <cell r="A106" t="str">
            <v>010501080121-2043051-01</v>
          </cell>
          <cell r="B106" t="str">
            <v>Concreto f'c 210 kg/cm2 para vigas (Cemento P-I)</v>
          </cell>
          <cell r="C106">
            <v>244.66</v>
          </cell>
        </row>
        <row r="107">
          <cell r="A107" t="str">
            <v>010501030121-2043051-01</v>
          </cell>
          <cell r="B107" t="str">
            <v>Concreto f'c 210 kg/cm2 para vigas de cimentación (Cemento P-I)</v>
          </cell>
          <cell r="C107">
            <v>234.22</v>
          </cell>
        </row>
        <row r="108">
          <cell r="A108" t="str">
            <v>010501020181-2043051-01</v>
          </cell>
          <cell r="B108" t="str">
            <v>Concreto f'c 210 kg/cm2 para zapatas (cemento P-V)</v>
          </cell>
          <cell r="C108">
            <v>296.64</v>
          </cell>
        </row>
        <row r="109">
          <cell r="A109" t="str">
            <v>010501110121-2043051-01</v>
          </cell>
          <cell r="B109" t="str">
            <v>Concreto f'c 210kg/cm2 para losas aligeradas (Cemento P-I)</v>
          </cell>
          <cell r="C109">
            <v>240.98</v>
          </cell>
        </row>
        <row r="110">
          <cell r="A110" t="str">
            <v>010501090121-2043051-01</v>
          </cell>
          <cell r="B110" t="str">
            <v>Concreto f'c 210kg/cm2 para losas macizas (Cemento P-I)</v>
          </cell>
          <cell r="C110">
            <v>244.66</v>
          </cell>
        </row>
        <row r="111">
          <cell r="A111" t="str">
            <v>010501100121-2043051-01</v>
          </cell>
          <cell r="B111" t="str">
            <v>Concreto f'c 210kg/cm2 para losas removibles (Cemento P-I)</v>
          </cell>
          <cell r="C111">
            <v>238.42</v>
          </cell>
        </row>
        <row r="112">
          <cell r="A112" t="str">
            <v>010501120124-2043051-01</v>
          </cell>
          <cell r="B112" t="str">
            <v>Concreto f'c 245 kg/cm2 para cúpula esférica (Cemento P-I)</v>
          </cell>
          <cell r="C112">
            <v>267.31</v>
          </cell>
        </row>
        <row r="113">
          <cell r="A113" t="str">
            <v>010501060124-2043051-01</v>
          </cell>
          <cell r="B113" t="str">
            <v>Concreto f'c 245 kg/cm2 para muros reforzados (Cemento P-I)</v>
          </cell>
          <cell r="C113">
            <v>279.32</v>
          </cell>
        </row>
        <row r="114">
          <cell r="A114" t="str">
            <v>010501060184-2043051-01</v>
          </cell>
          <cell r="B114" t="str">
            <v>Concreto f'c 245 kg/cm2 para muros reforzados (Cemento P-V)</v>
          </cell>
          <cell r="C114">
            <v>363.6</v>
          </cell>
        </row>
        <row r="115">
          <cell r="A115" t="str">
            <v>010501080124-2043051-01</v>
          </cell>
          <cell r="B115" t="str">
            <v>Concreto f'c 245 kg/cm2 para vigas (Cemento P-I)</v>
          </cell>
          <cell r="C115">
            <v>262.85000000000002</v>
          </cell>
        </row>
        <row r="116">
          <cell r="A116" t="str">
            <v>010501100535-2043051-01</v>
          </cell>
          <cell r="B116" t="str">
            <v>Concreto pre-mezclado f'c 350 kg/cm2 p/ losas removibles (Cemento P-I)</v>
          </cell>
          <cell r="C116">
            <v>350.85</v>
          </cell>
        </row>
        <row r="117">
          <cell r="A117" t="str">
            <v>013901500101-2043051-01</v>
          </cell>
          <cell r="B117" t="str">
            <v>Construcción de muro para colocación de caja para medidor eléctrico</v>
          </cell>
          <cell r="C117">
            <v>127.5</v>
          </cell>
        </row>
        <row r="118">
          <cell r="A118" t="str">
            <v>010110010104-2043051-01</v>
          </cell>
          <cell r="B118" t="str">
            <v>Construcción provisional p/oficinas de inspección y control obra (área=25,92 m2)</v>
          </cell>
          <cell r="C118">
            <v>636.5</v>
          </cell>
        </row>
        <row r="119">
          <cell r="A119" t="str">
            <v>010110010121-2043051-01</v>
          </cell>
          <cell r="B119" t="str">
            <v>Construcción provisional para guardiania (área=2,88 m2)</v>
          </cell>
          <cell r="C119">
            <v>113.69</v>
          </cell>
        </row>
        <row r="120">
          <cell r="A120" t="str">
            <v>010110010122-2043051-01</v>
          </cell>
          <cell r="B120" t="str">
            <v>Construcción provisional para guardiania (área=5,76 m2)</v>
          </cell>
          <cell r="C120">
            <v>133.9</v>
          </cell>
        </row>
        <row r="121">
          <cell r="A121" t="str">
            <v>011201010175-2043051-01</v>
          </cell>
          <cell r="B121" t="str">
            <v>Contrapiso de 25 mm c/mortero 1:5 x 15 mm en base 1:2 x 10 mm acabado</v>
          </cell>
          <cell r="C121">
            <v>13.02</v>
          </cell>
        </row>
        <row r="122">
          <cell r="A122" t="str">
            <v>011201010178-2043051-01</v>
          </cell>
          <cell r="B122" t="str">
            <v>Contrapiso de 48 mm c/mortero 1:5 x 36 mm en base 1:2 x 10 mm acabado</v>
          </cell>
          <cell r="C122">
            <v>15.95</v>
          </cell>
        </row>
        <row r="123">
          <cell r="A123" t="str">
            <v>011301031510-2043051-01</v>
          </cell>
          <cell r="B123" t="str">
            <v>Contrazócalo de cemento pulido con mortero 1:5 de 2 cm. x 0,10 m</v>
          </cell>
          <cell r="C123">
            <v>4.1900000000000004</v>
          </cell>
        </row>
        <row r="124">
          <cell r="A124" t="str">
            <v>011301031530-2043051-01</v>
          </cell>
          <cell r="B124" t="str">
            <v>Contrazócalo de cemento pulido con mortero 1:5 de 2 cm. x 0,30 m</v>
          </cell>
          <cell r="C124">
            <v>6.31</v>
          </cell>
        </row>
        <row r="125">
          <cell r="A125" t="str">
            <v>011701010110-2043051-01</v>
          </cell>
          <cell r="B125" t="str">
            <v>Cubierta ladrillo pastelero asentado de barro 3 cm. + gragua c/mortero 1:5</v>
          </cell>
          <cell r="C125">
            <v>18.170000000000002</v>
          </cell>
        </row>
        <row r="126">
          <cell r="A126" t="str">
            <v>010120043095-2043051-01</v>
          </cell>
          <cell r="B126" t="str">
            <v>Demolición de buzón en mal estado 2 m. Prof.</v>
          </cell>
          <cell r="C126">
            <v>75.930000000000007</v>
          </cell>
        </row>
        <row r="127">
          <cell r="A127" t="str">
            <v>010120043096-2043051-01</v>
          </cell>
          <cell r="B127" t="str">
            <v>Demolición de caja exit. 0.80 x 1.00 m. Prof.</v>
          </cell>
          <cell r="C127">
            <v>65.45</v>
          </cell>
        </row>
        <row r="128">
          <cell r="A128" t="str">
            <v>010120043050-2043051-01</v>
          </cell>
          <cell r="B128" t="str">
            <v>Demolición de columnas concreto armado (aisladas)</v>
          </cell>
          <cell r="C128">
            <v>118.64</v>
          </cell>
        </row>
        <row r="129">
          <cell r="A129" t="str">
            <v>010120043010-2043051-01</v>
          </cell>
          <cell r="B129" t="str">
            <v>Demolición de estructuras de concreto con compresora</v>
          </cell>
          <cell r="C129">
            <v>75.930000000000007</v>
          </cell>
        </row>
        <row r="130">
          <cell r="A130" t="str">
            <v>010120043060-2043051-01</v>
          </cell>
          <cell r="B130" t="str">
            <v>Demolición de losa de piso y/o muro simple</v>
          </cell>
          <cell r="C130">
            <v>90.95</v>
          </cell>
        </row>
        <row r="131">
          <cell r="A131" t="str">
            <v>010120043020-2043051-01</v>
          </cell>
          <cell r="B131" t="str">
            <v>Demolición de losa de techo aligerado</v>
          </cell>
          <cell r="C131">
            <v>7.58</v>
          </cell>
        </row>
        <row r="132">
          <cell r="A132" t="str">
            <v>010120043030-2043051-01</v>
          </cell>
          <cell r="B132" t="str">
            <v>Demolición de muro de ladrillo soga</v>
          </cell>
          <cell r="C132">
            <v>2.5</v>
          </cell>
        </row>
        <row r="133">
          <cell r="A133" t="str">
            <v>012401090010-2043051-01</v>
          </cell>
          <cell r="B133" t="str">
            <v>Ducha cromada de una (1) llave incl. Griferia</v>
          </cell>
          <cell r="C133">
            <v>20.309999999999999</v>
          </cell>
        </row>
        <row r="134">
          <cell r="A134" t="str">
            <v>010306071010-2043051-01</v>
          </cell>
          <cell r="B134" t="str">
            <v>Eliminación de demonte en terreno rocoso R = 10 km con maquinaria</v>
          </cell>
          <cell r="C134">
            <v>23.95</v>
          </cell>
        </row>
        <row r="135">
          <cell r="A135" t="str">
            <v>010306011010-2043051-01</v>
          </cell>
          <cell r="B135" t="str">
            <v>Eliminación de desmonte en terrenonormal R = 10 km. Con maquinaria</v>
          </cell>
          <cell r="C135">
            <v>19.97</v>
          </cell>
        </row>
        <row r="136">
          <cell r="A136" t="str">
            <v>010120010305-2043051-01</v>
          </cell>
          <cell r="B136" t="str">
            <v>Eliminación de desmonte, basura y maleza con cargador frontal y volquete</v>
          </cell>
          <cell r="C136">
            <v>7.3</v>
          </cell>
        </row>
        <row r="137">
          <cell r="A137" t="str">
            <v>010120045101-2043051-01</v>
          </cell>
          <cell r="B137" t="str">
            <v>Eliminación desmonte por demoliciones</v>
          </cell>
          <cell r="C137">
            <v>20.86</v>
          </cell>
        </row>
        <row r="138">
          <cell r="A138" t="str">
            <v>010401101001-2043051-01</v>
          </cell>
          <cell r="B138" t="str">
            <v>Encofrado (incl. habilitación de madera) para anclajes y/o dados</v>
          </cell>
          <cell r="C138">
            <v>17.690000000000001</v>
          </cell>
        </row>
        <row r="139">
          <cell r="A139" t="str">
            <v>010401011001-2043051-01</v>
          </cell>
          <cell r="B139" t="str">
            <v>Encofrado (incl. habilitación de madera) para cimiento corrido</v>
          </cell>
          <cell r="C139">
            <v>17.920000000000002</v>
          </cell>
        </row>
        <row r="140">
          <cell r="A140" t="str">
            <v>010501071001-2043051-01</v>
          </cell>
          <cell r="B140" t="str">
            <v>Encofrado (incl. habilitación de madera) para columnas</v>
          </cell>
          <cell r="C140">
            <v>26.6</v>
          </cell>
        </row>
        <row r="141">
          <cell r="A141" t="str">
            <v>010501071003-2043051-01</v>
          </cell>
          <cell r="B141" t="str">
            <v>Encofrado (incl. habilitación de madera) para columnas tipo caravista</v>
          </cell>
          <cell r="C141">
            <v>29.47</v>
          </cell>
        </row>
        <row r="142">
          <cell r="A142" t="str">
            <v>010501121001-2043051-01</v>
          </cell>
          <cell r="B142" t="str">
            <v>Encofrado (incl. habilitación de madera) para cúpula esférica</v>
          </cell>
          <cell r="C142">
            <v>36.04</v>
          </cell>
        </row>
        <row r="143">
          <cell r="A143" t="str">
            <v>010501151001-2043051-01</v>
          </cell>
          <cell r="B143" t="str">
            <v>Encofrado (incl. habilitación de madera) para escaleras</v>
          </cell>
          <cell r="C143">
            <v>33.590000000000003</v>
          </cell>
        </row>
        <row r="144">
          <cell r="A144" t="str">
            <v>010401081001-2043051-01</v>
          </cell>
          <cell r="B144" t="str">
            <v>Encofrado (incl. habilitación de madera) para gradas y/o piso simple</v>
          </cell>
          <cell r="C144">
            <v>17.920000000000002</v>
          </cell>
        </row>
        <row r="145">
          <cell r="A145" t="str">
            <v>010501111001-2043051-01</v>
          </cell>
          <cell r="B145" t="str">
            <v>Encofrado (incl. habilitación de madera) para losas aligeradas</v>
          </cell>
          <cell r="C145">
            <v>19.600000000000001</v>
          </cell>
        </row>
        <row r="146">
          <cell r="A146" t="str">
            <v>010501041001-2043051-01</v>
          </cell>
          <cell r="B146" t="str">
            <v>Encofrado (incl. habilitación de madera) para losas de fondo-piso</v>
          </cell>
          <cell r="C146">
            <v>17.920000000000002</v>
          </cell>
        </row>
        <row r="147">
          <cell r="A147" t="str">
            <v>010501091001-2043051-01</v>
          </cell>
          <cell r="B147" t="str">
            <v>Encofrado (incl. Habilitación de madera) para losas macizas</v>
          </cell>
          <cell r="C147">
            <v>24.31</v>
          </cell>
        </row>
        <row r="148">
          <cell r="A148" t="str">
            <v>010501101001-2043051-01</v>
          </cell>
          <cell r="B148" t="str">
            <v>Encofrado (incl. Habilitación de madera) para losas removibles</v>
          </cell>
          <cell r="C148">
            <v>14.04</v>
          </cell>
        </row>
        <row r="149">
          <cell r="A149" t="str">
            <v>010501061003-2043051-01</v>
          </cell>
          <cell r="B149" t="str">
            <v>Encofrado (incl. habilitación de madera) para muro cilindrico de cuba</v>
          </cell>
          <cell r="C149">
            <v>31.18</v>
          </cell>
        </row>
        <row r="150">
          <cell r="A150" t="str">
            <v>010501061002-2043051-01</v>
          </cell>
          <cell r="B150" t="str">
            <v>Encofrado (incl. habilitación de madera) para muros tipo caravista</v>
          </cell>
          <cell r="C150">
            <v>30.73</v>
          </cell>
        </row>
        <row r="151">
          <cell r="A151" t="str">
            <v>010401071001-2043051-01</v>
          </cell>
          <cell r="B151" t="str">
            <v>Encofrado (incl. habilitación de madera) para sobrecimientos</v>
          </cell>
          <cell r="C151">
            <v>19.95</v>
          </cell>
        </row>
        <row r="152">
          <cell r="A152" t="str">
            <v>010401071002-2043051-01</v>
          </cell>
          <cell r="B152" t="str">
            <v>Encofrado (incl. Habilitación de madera) para sobrecimientos tipo caravista</v>
          </cell>
          <cell r="C152">
            <v>23.96</v>
          </cell>
        </row>
        <row r="153">
          <cell r="A153" t="str">
            <v>010401031001-2043051-01</v>
          </cell>
          <cell r="B153" t="str">
            <v>Encofrado (incl. habilitación de madera) para solados y/o sub-bases</v>
          </cell>
          <cell r="C153">
            <v>17.920000000000002</v>
          </cell>
        </row>
        <row r="154">
          <cell r="A154" t="str">
            <v>010501081002-2043051-01</v>
          </cell>
          <cell r="B154" t="str">
            <v>Encofrado (incl. habilitación de madera) para vigas circulares</v>
          </cell>
          <cell r="C154">
            <v>37.97</v>
          </cell>
        </row>
        <row r="155">
          <cell r="A155" t="str">
            <v>010501031001-2043051-01</v>
          </cell>
          <cell r="B155" t="str">
            <v>Encofrado (incl. habilitación de madera) para vigas de cimentación recta</v>
          </cell>
          <cell r="C155">
            <v>24.92</v>
          </cell>
        </row>
        <row r="156">
          <cell r="A156" t="str">
            <v>010501081001-2043051-01</v>
          </cell>
          <cell r="B156" t="str">
            <v>Encofrado (incl. habilitación de madera) para vigas rectas y dinteles</v>
          </cell>
          <cell r="C156">
            <v>30.52</v>
          </cell>
        </row>
        <row r="157">
          <cell r="A157" t="str">
            <v>010501081003-2043051-01</v>
          </cell>
          <cell r="B157" t="str">
            <v>Encofrado (incl. habilitación de madera) para vigas rectas y dinteles t/caravista</v>
          </cell>
          <cell r="C157">
            <v>32.24</v>
          </cell>
        </row>
        <row r="158">
          <cell r="A158" t="str">
            <v>010501021002-2043051-01</v>
          </cell>
          <cell r="B158" t="str">
            <v>Encofrado (incl. habilitación de madera) para zapatas circulares</v>
          </cell>
          <cell r="C158">
            <v>24.31</v>
          </cell>
        </row>
        <row r="159">
          <cell r="A159" t="str">
            <v>010501021001-2043051-01</v>
          </cell>
          <cell r="B159" t="str">
            <v>Encofrado (incl. Habilitación de madera) para zapatas rectas</v>
          </cell>
          <cell r="C159">
            <v>19.989999999999998</v>
          </cell>
        </row>
        <row r="160">
          <cell r="A160" t="str">
            <v>011901170116-2043051-01</v>
          </cell>
          <cell r="B160" t="str">
            <v>Escalera de tubo fo. Galv. con parantes 1 1/2" por peldaños de 3/4"</v>
          </cell>
          <cell r="C160">
            <v>117.11</v>
          </cell>
        </row>
        <row r="161">
          <cell r="A161" t="str">
            <v>011901170132-2043051-01</v>
          </cell>
          <cell r="B161" t="str">
            <v>Escalera de tubo fo. Galv. Con parantes 2" x peldaños 3/4" de 5,01 - 10 m s.n.t.</v>
          </cell>
          <cell r="C161">
            <v>136.07</v>
          </cell>
        </row>
        <row r="162">
          <cell r="A162" t="str">
            <v>011901170118-2043051-01</v>
          </cell>
          <cell r="B162" t="str">
            <v>Escalera de tubo fo. Galvanizado con parantes de 2" por peldaños de 3/4"</v>
          </cell>
          <cell r="C162">
            <v>136</v>
          </cell>
        </row>
        <row r="163">
          <cell r="A163" t="str">
            <v>013901010151-2043051-01</v>
          </cell>
          <cell r="B163" t="str">
            <v>Estructura metálica para antena yagui</v>
          </cell>
          <cell r="C163">
            <v>1230.3699999999999</v>
          </cell>
        </row>
        <row r="164">
          <cell r="A164" t="str">
            <v>019601010310-2043051-01</v>
          </cell>
          <cell r="B164" t="str">
            <v>Evacuación del agua de prueba con empleo de la línea de salida</v>
          </cell>
          <cell r="C164">
            <v>0.45</v>
          </cell>
        </row>
        <row r="165">
          <cell r="A165" t="str">
            <v>013002020120-2043051-01</v>
          </cell>
          <cell r="B165" t="str">
            <v>Excavación con interferencia (s/exp) en t. Rocoso para instalar cable eléctrico</v>
          </cell>
          <cell r="C165">
            <v>51.95</v>
          </cell>
        </row>
        <row r="166">
          <cell r="A166" t="str">
            <v>019501010320-2043051-01</v>
          </cell>
          <cell r="B166" t="str">
            <v>Excavaciones - cortes en terreno normal a pulso a nivel de sub rasante</v>
          </cell>
          <cell r="C166">
            <v>15.79</v>
          </cell>
        </row>
        <row r="167">
          <cell r="A167" t="str">
            <v>010301011010-2043051-01</v>
          </cell>
          <cell r="B167" t="str">
            <v>Excavaciones - cortes en terreno normal con tractor</v>
          </cell>
          <cell r="C167">
            <v>2.79</v>
          </cell>
        </row>
        <row r="168">
          <cell r="A168" t="str">
            <v>010301021020-2043051-01</v>
          </cell>
          <cell r="B168" t="str">
            <v>Excavaciones - cortes en terreno normal deleznable a pulso</v>
          </cell>
          <cell r="C168">
            <v>13.34</v>
          </cell>
        </row>
        <row r="169">
          <cell r="A169" t="str">
            <v>010301072020-2043051-01</v>
          </cell>
          <cell r="B169" t="str">
            <v>Excavaciones y corte t. rocoso p/veredas zapatas vigas</v>
          </cell>
          <cell r="C169">
            <v>97.24</v>
          </cell>
        </row>
        <row r="170">
          <cell r="A170" t="str">
            <v>010301071030-2043051-01</v>
          </cell>
          <cell r="B170" t="str">
            <v>Excavaciones-cortes en terreno rocoso con compresora (sin emplear explosivos)</v>
          </cell>
          <cell r="C170">
            <v>97.24</v>
          </cell>
        </row>
        <row r="171">
          <cell r="A171" t="str">
            <v>010302011020-2043051-01</v>
          </cell>
          <cell r="B171" t="str">
            <v>Excavaciones en terreno normal a pulso hasta 1,00 m profundidad</v>
          </cell>
          <cell r="C171">
            <v>14.18</v>
          </cell>
        </row>
        <row r="172">
          <cell r="A172" t="str">
            <v>010302011022-2043051-01</v>
          </cell>
          <cell r="B172" t="str">
            <v>Excavaciones en terreno normal a pulso hasta 2,00 m profundidad</v>
          </cell>
          <cell r="C172">
            <v>18.91</v>
          </cell>
        </row>
        <row r="173">
          <cell r="A173" t="str">
            <v>010302072010-2043051-01</v>
          </cell>
          <cell r="B173" t="str">
            <v>Excavaciones terreno rocoso c/compresora hasta 1,00 m prof. (empleo de explosivos)</v>
          </cell>
          <cell r="C173">
            <v>52.53</v>
          </cell>
        </row>
        <row r="174">
          <cell r="A174" t="str">
            <v>010302072020-2043051-01</v>
          </cell>
          <cell r="B174" t="str">
            <v>Excavaciones terreno rocoso c/compresora hasta 1.00 m prof. (sin emplear explosivo)</v>
          </cell>
          <cell r="C174">
            <v>97.24</v>
          </cell>
        </row>
        <row r="175">
          <cell r="A175" t="str">
            <v>011201010104-2043051-01</v>
          </cell>
          <cell r="B175" t="str">
            <v>Falso piso de concreto 1:10 de espesor 4" (cemento P-I)</v>
          </cell>
          <cell r="C175">
            <v>13.67</v>
          </cell>
        </row>
        <row r="176">
          <cell r="A176" t="str">
            <v>013601010104-2043051-01</v>
          </cell>
          <cell r="B176" t="str">
            <v>Fluorescente circular de 22 W.</v>
          </cell>
          <cell r="C176">
            <v>24.6</v>
          </cell>
        </row>
        <row r="177">
          <cell r="A177" t="str">
            <v>013601010122-2043051-01</v>
          </cell>
          <cell r="B177" t="str">
            <v>Fluorescente recto ISPE de 2 x 40 W con equipo y pantalla</v>
          </cell>
          <cell r="C177">
            <v>70</v>
          </cell>
        </row>
        <row r="178">
          <cell r="A178" t="str">
            <v>012401140010-2043051-01</v>
          </cell>
          <cell r="B178" t="str">
            <v>Gancho de losa color blanco tipo doble</v>
          </cell>
          <cell r="C178">
            <v>3.66</v>
          </cell>
        </row>
        <row r="179">
          <cell r="A179" t="str">
            <v>012201050015-2043051-01</v>
          </cell>
          <cell r="B179" t="str">
            <v>Imprimación asfáltica</v>
          </cell>
          <cell r="C179">
            <v>4.75</v>
          </cell>
        </row>
        <row r="180">
          <cell r="A180" t="str">
            <v>012401010010-2043051-01</v>
          </cell>
          <cell r="B180" t="str">
            <v>Inodoro tanque bajo c/griferia de bronce (tornado o similar)</v>
          </cell>
          <cell r="C180">
            <v>154.84</v>
          </cell>
        </row>
        <row r="181">
          <cell r="A181" t="str">
            <v>013002150104-2043051-01</v>
          </cell>
          <cell r="B181" t="str">
            <v>Instalación cables eléctricos en ductos, formando terna (cables de 6 a 16 mm2)</v>
          </cell>
          <cell r="C181">
            <v>0.83</v>
          </cell>
        </row>
        <row r="182">
          <cell r="A182" t="str">
            <v>012401500105-2043051-01</v>
          </cell>
          <cell r="B182" t="str">
            <v>Instalación de accesorios sanitarios complementarios</v>
          </cell>
          <cell r="C182">
            <v>13.16</v>
          </cell>
        </row>
        <row r="183">
          <cell r="A183" t="str">
            <v>012401500101-2043051-01</v>
          </cell>
          <cell r="B183" t="str">
            <v>Instalación de aparatos sanitarios</v>
          </cell>
          <cell r="C183">
            <v>52.62</v>
          </cell>
        </row>
        <row r="184">
          <cell r="A184" t="str">
            <v>013601010190-2043051-01</v>
          </cell>
          <cell r="B184" t="str">
            <v>Instalación de artefactos</v>
          </cell>
          <cell r="C184">
            <v>3.29</v>
          </cell>
        </row>
        <row r="185">
          <cell r="A185" t="str">
            <v>012504080110-2043051-01</v>
          </cell>
          <cell r="B185" t="str">
            <v>Instalación de caja de concreto y colocado de tapa</v>
          </cell>
          <cell r="C185">
            <v>21.56</v>
          </cell>
        </row>
        <row r="186">
          <cell r="A186" t="str">
            <v>013101020114-2043051-01</v>
          </cell>
          <cell r="B186" t="str">
            <v>Instalación de tubería empotrada P.V.C. DN 100 mm (4")</v>
          </cell>
          <cell r="C186">
            <v>14.9</v>
          </cell>
        </row>
        <row r="187">
          <cell r="A187" t="str">
            <v>013101020116-2043051-01</v>
          </cell>
          <cell r="B187" t="str">
            <v>Instalación de tubería empotrada P.V.C. DN 150 mm (6")</v>
          </cell>
          <cell r="C187">
            <v>19.87</v>
          </cell>
        </row>
        <row r="188">
          <cell r="A188" t="str">
            <v>013101020107-2043051-01</v>
          </cell>
          <cell r="B188" t="str">
            <v>Instalación de tubería empotrada P.V.C. DN 16 mm a 20 mm (5/8" a 3/4")</v>
          </cell>
          <cell r="C188">
            <v>5.97</v>
          </cell>
        </row>
        <row r="189">
          <cell r="A189" t="str">
            <v>013101020110-2043051-01</v>
          </cell>
          <cell r="B189" t="str">
            <v>Instalación de tubería empotrada P.V.C. DN 25 mm a 40 mm (1" a 11/2")</v>
          </cell>
          <cell r="C189">
            <v>7.46</v>
          </cell>
        </row>
        <row r="190">
          <cell r="A190" t="str">
            <v>013101020113-2043051-01</v>
          </cell>
          <cell r="B190" t="str">
            <v>Instalación de tubería empotrada P.V.C. DN 50 mm a 80 mm (2" a 3")</v>
          </cell>
          <cell r="C190">
            <v>9.93</v>
          </cell>
        </row>
        <row r="191">
          <cell r="A191" t="str">
            <v>013101020147-2043051-01</v>
          </cell>
          <cell r="B191" t="str">
            <v>Instalación de tubería visible P.V.C. DN 16 mm a 20 mm (5/8" a 3/4")</v>
          </cell>
          <cell r="C191">
            <v>2</v>
          </cell>
        </row>
        <row r="192">
          <cell r="A192" t="str">
            <v>013101020150-2043051-01</v>
          </cell>
          <cell r="B192" t="str">
            <v>Instalación de tubería visible P.V.C. DN 25 mm a 40 mm (1" a 1 1/2")</v>
          </cell>
          <cell r="C192">
            <v>2.4900000000000002</v>
          </cell>
        </row>
        <row r="193">
          <cell r="A193" t="str">
            <v>013101020153-2043051-01</v>
          </cell>
          <cell r="B193" t="str">
            <v>Instalación de tubería visible P.V.C. DN 50 mm a 80 mm (2" a 3")</v>
          </cell>
          <cell r="C193">
            <v>3.32</v>
          </cell>
        </row>
        <row r="194">
          <cell r="A194" t="str">
            <v>012401110010-2043051-01</v>
          </cell>
          <cell r="B194" t="str">
            <v>Jabonera de losa color blanco</v>
          </cell>
          <cell r="C194">
            <v>5.5</v>
          </cell>
        </row>
        <row r="195">
          <cell r="A195" t="str">
            <v>012401020010-2043051-01</v>
          </cell>
          <cell r="B195" t="str">
            <v>Lavatorio de pared con griferia cromada 20x17 cm (jamaica o similar)</v>
          </cell>
          <cell r="C195">
            <v>90</v>
          </cell>
        </row>
        <row r="196">
          <cell r="A196" t="str">
            <v>019601010401-2043051-01</v>
          </cell>
          <cell r="B196" t="str">
            <v>Limpieza y detección de reservorios apoyados</v>
          </cell>
          <cell r="C196">
            <v>0.62</v>
          </cell>
        </row>
        <row r="197">
          <cell r="A197" t="str">
            <v>011901110160-2043051-01</v>
          </cell>
          <cell r="B197" t="str">
            <v>Malla metálica protectora con alambre N° 12 por cocadas de 1"</v>
          </cell>
          <cell r="C197">
            <v>46.02</v>
          </cell>
        </row>
        <row r="198">
          <cell r="A198" t="str">
            <v>011901180242-2043051-01</v>
          </cell>
          <cell r="B198" t="str">
            <v>Marco y tapa de plancha LAC 0.7 x 0.7 m con mecanismo de seguridad s/diseño</v>
          </cell>
          <cell r="C198">
            <v>208.74</v>
          </cell>
        </row>
        <row r="199">
          <cell r="A199" t="str">
            <v>011901180244-2043051-01</v>
          </cell>
          <cell r="B199" t="str">
            <v>Marco y tapa de plancha LAC 1/4" con mecanismo de seguridad según diseño</v>
          </cell>
          <cell r="C199">
            <v>208.74</v>
          </cell>
        </row>
        <row r="200">
          <cell r="A200" t="str">
            <v>011901180246-2043051-01</v>
          </cell>
          <cell r="B200" t="str">
            <v>Marco y tapa de planchas Lac estriada de 3/16" con mecanismo seguridad s/diseño</v>
          </cell>
          <cell r="C200">
            <v>649.83000000000004</v>
          </cell>
        </row>
        <row r="201">
          <cell r="A201" t="str">
            <v>010303072041-2043051-01</v>
          </cell>
          <cell r="B201" t="str">
            <v>Mejoramiento terreno para habilitacion de camino acceso</v>
          </cell>
          <cell r="C201">
            <v>8.35</v>
          </cell>
        </row>
        <row r="202">
          <cell r="A202" t="str">
            <v>012310000070-2043051-01</v>
          </cell>
          <cell r="B202" t="str">
            <v>Mortero 1:3 + impermeabilizante para juntas de construcción muros - concreto</v>
          </cell>
          <cell r="C202">
            <v>335.4</v>
          </cell>
        </row>
        <row r="203">
          <cell r="A203" t="str">
            <v>010120050140-2043051-01</v>
          </cell>
          <cell r="B203" t="str">
            <v>Movilización de campamentos, maquinarias, herramientas para la obra</v>
          </cell>
          <cell r="C203">
            <v>4330.0200000000004</v>
          </cell>
        </row>
        <row r="204">
          <cell r="A204" t="str">
            <v>010401060101-2043051-01</v>
          </cell>
          <cell r="B204" t="str">
            <v xml:space="preserve">Muro de contensón concreto f'c 140 kg/cm2 + 30% P.G. </v>
          </cell>
          <cell r="C204">
            <v>231.92</v>
          </cell>
        </row>
        <row r="205">
          <cell r="A205" t="str">
            <v>010901011402-2043051-01</v>
          </cell>
          <cell r="B205" t="str">
            <v>Muros de ladrillo king kong de arcilla de cabeza con mortero 1:4 x 1,5 cm.</v>
          </cell>
          <cell r="C205">
            <v>48.34</v>
          </cell>
        </row>
        <row r="206">
          <cell r="A206" t="str">
            <v>010901011414-2043051-01</v>
          </cell>
          <cell r="B206" t="str">
            <v>Muros de ladrillo king kong de arcilla de soga caravista c/mortero 1:4 x 1,5 cm.</v>
          </cell>
          <cell r="C206">
            <v>35.74</v>
          </cell>
        </row>
        <row r="207">
          <cell r="A207" t="str">
            <v>010901011404-2043051-01</v>
          </cell>
          <cell r="B207" t="str">
            <v>Muros de ladrillo king kong de arcilla de soga con mortero 1:4 x 1,5 cm.</v>
          </cell>
          <cell r="C207">
            <v>30.26</v>
          </cell>
        </row>
        <row r="208">
          <cell r="A208" t="str">
            <v>010901041412-2043051-01</v>
          </cell>
          <cell r="B208" t="str">
            <v>Muros de ladrillo pandereta de arcilla de cabeza con mortero 1:4 x 1,5 cm.</v>
          </cell>
          <cell r="C208">
            <v>40.47</v>
          </cell>
        </row>
        <row r="209">
          <cell r="A209" t="str">
            <v>010901041404-2043051-01</v>
          </cell>
          <cell r="B209" t="str">
            <v>Muros de ladrillo pandereta de arcilla de soga con mortero 1:4 x 1,5 cm.</v>
          </cell>
          <cell r="C209">
            <v>21.37</v>
          </cell>
        </row>
        <row r="210">
          <cell r="A210" t="str">
            <v>012401130010-2043051-01</v>
          </cell>
          <cell r="B210" t="str">
            <v>Papelera de losa y barra plástica color blanco</v>
          </cell>
          <cell r="C210">
            <v>6.41</v>
          </cell>
        </row>
        <row r="211">
          <cell r="A211" t="str">
            <v>010120045058-2043051-01</v>
          </cell>
          <cell r="B211" t="str">
            <v>Picado y resanes de muro para nuevas instalaciones hidráulicas (pases)</v>
          </cell>
          <cell r="C211">
            <v>190.92</v>
          </cell>
        </row>
        <row r="212">
          <cell r="A212" t="str">
            <v>012001040001-2043051-01</v>
          </cell>
          <cell r="B212" t="str">
            <v>Picaportes</v>
          </cell>
          <cell r="C212">
            <v>7.63</v>
          </cell>
        </row>
        <row r="213">
          <cell r="A213" t="str">
            <v>012201010105-2043051-01</v>
          </cell>
          <cell r="B213" t="str">
            <v>Pintado de cielo raso con látex vinilico (vinilatex o similar)</v>
          </cell>
          <cell r="C213">
            <v>5.9</v>
          </cell>
        </row>
        <row r="214">
          <cell r="A214" t="str">
            <v>012201010135-2043051-01</v>
          </cell>
          <cell r="B214" t="str">
            <v>Pintado de muro exterior con látex vinilico (vinilatex o similar)</v>
          </cell>
          <cell r="C214">
            <v>5.24</v>
          </cell>
        </row>
        <row r="215">
          <cell r="A215" t="str">
            <v>012201010140-2043051-01</v>
          </cell>
          <cell r="B215" t="str">
            <v>Pintado de muro exterior teknomate o supermate (similar)</v>
          </cell>
          <cell r="C215">
            <v>5.47</v>
          </cell>
        </row>
        <row r="216">
          <cell r="A216" t="str">
            <v>012201010120-2043051-01</v>
          </cell>
          <cell r="B216" t="str">
            <v>Pintado de muro interior con látex vinilico (vinilatex o similar)</v>
          </cell>
          <cell r="C216">
            <v>5.0599999999999996</v>
          </cell>
        </row>
        <row r="217">
          <cell r="A217" t="str">
            <v>012201020010-2043051-01</v>
          </cell>
          <cell r="B217" t="str">
            <v>Pintado de puertas de madera con barniz</v>
          </cell>
          <cell r="C217">
            <v>4.87</v>
          </cell>
        </row>
        <row r="218">
          <cell r="A218" t="str">
            <v>012201020045-2043051-01</v>
          </cell>
          <cell r="B218" t="str">
            <v>Pintado de puertas metálicas LAC (2 manos anticorrosiva + 2 esmalte)</v>
          </cell>
          <cell r="C218">
            <v>6.46</v>
          </cell>
        </row>
        <row r="219">
          <cell r="A219" t="str">
            <v>012201020050-2043051-01</v>
          </cell>
          <cell r="B219" t="str">
            <v>Pintado de ventanas metálicas (2 manos anticorrosiva + 2 esmalte)</v>
          </cell>
          <cell r="C219">
            <v>4.04</v>
          </cell>
        </row>
        <row r="220">
          <cell r="A220" t="str">
            <v>012201040101-2043051-01</v>
          </cell>
          <cell r="B220" t="str">
            <v>Pintado exterior c/teknomate o similar de reservorio apoyado incl. Mensaje</v>
          </cell>
          <cell r="C220">
            <v>6.31</v>
          </cell>
        </row>
        <row r="221">
          <cell r="A221" t="str">
            <v>013301070102-2043051-01</v>
          </cell>
          <cell r="B221" t="str">
            <v>Placa interruptor de bakelita doble</v>
          </cell>
          <cell r="C221">
            <v>3.6</v>
          </cell>
        </row>
        <row r="222">
          <cell r="A222" t="str">
            <v>013301070101-2043051-01</v>
          </cell>
          <cell r="B222" t="str">
            <v>Placa interruptor de bakelita simple</v>
          </cell>
          <cell r="C222">
            <v>3</v>
          </cell>
        </row>
        <row r="223">
          <cell r="A223" t="str">
            <v>013301070103-2043051-01</v>
          </cell>
          <cell r="B223" t="str">
            <v>Placa interruptor de bakelita triple</v>
          </cell>
          <cell r="C223">
            <v>7.2</v>
          </cell>
        </row>
        <row r="224">
          <cell r="A224" t="str">
            <v>013301090132-2043051-01</v>
          </cell>
          <cell r="B224" t="str">
            <v>Placa tomacorriente doble de bakelita t/universal 2 polos c/conexión a tierra</v>
          </cell>
          <cell r="C224">
            <v>6.35</v>
          </cell>
        </row>
        <row r="225">
          <cell r="A225" t="str">
            <v>013501110101-2043051-01</v>
          </cell>
          <cell r="B225" t="str">
            <v>Pozo conexión a tierra en sistema de bombeo, alumbrado y  tomacorriente</v>
          </cell>
          <cell r="C225">
            <v>355.65</v>
          </cell>
        </row>
        <row r="226">
          <cell r="A226" t="str">
            <v>019501010755-2043051-01</v>
          </cell>
          <cell r="B226" t="str">
            <v>Preparación a pulso de la sub rasante de 15 cm prof. (incluye escarificado)</v>
          </cell>
          <cell r="C226">
            <v>2.5299999999999998</v>
          </cell>
        </row>
        <row r="227">
          <cell r="A227" t="str">
            <v>019501010770-2043051-01</v>
          </cell>
          <cell r="B227" t="str">
            <v>Preparación a pulso de la sub rasante de 35 cm prof. (incluye escarificado)</v>
          </cell>
          <cell r="C227">
            <v>4.97</v>
          </cell>
        </row>
        <row r="228">
          <cell r="A228" t="str">
            <v>019501010715-2043051-01</v>
          </cell>
          <cell r="B228" t="str">
            <v>Preparación con equipo de la sub rasante de 15 cm prof. (incluye escarificado)</v>
          </cell>
          <cell r="C228">
            <v>1.54</v>
          </cell>
        </row>
        <row r="229">
          <cell r="A229" t="str">
            <v>012310000026-2043051-01</v>
          </cell>
          <cell r="B229" t="str">
            <v>Provisión y colocado de junta water stop de neoprene e=15 cm (6")</v>
          </cell>
          <cell r="C229">
            <v>30.54</v>
          </cell>
        </row>
        <row r="230">
          <cell r="A230" t="str">
            <v>010501112015-2043051-01</v>
          </cell>
          <cell r="B230" t="str">
            <v>Provisión y colocado de ladrillos de arcilla hueco de 15x30x30 cm</v>
          </cell>
          <cell r="C230">
            <v>1.17</v>
          </cell>
        </row>
        <row r="231">
          <cell r="A231" t="str">
            <v>012504060122-2043051-01</v>
          </cell>
          <cell r="B231" t="str">
            <v>Provisión y colocado de registro de bronce DN 50</v>
          </cell>
          <cell r="C231">
            <v>37.020000000000003</v>
          </cell>
        </row>
        <row r="232">
          <cell r="A232" t="str">
            <v>012310000050-2043051-01</v>
          </cell>
          <cell r="B232" t="str">
            <v>Provisión y colocado de sello vigas negro (envase por 25 kg)</v>
          </cell>
          <cell r="C232">
            <v>436.95</v>
          </cell>
        </row>
        <row r="233">
          <cell r="A233" t="str">
            <v>012504060102-2043051-01</v>
          </cell>
          <cell r="B233" t="str">
            <v>Provisión y colocado de sumidero de bronce DN 50</v>
          </cell>
          <cell r="C233">
            <v>40.75</v>
          </cell>
        </row>
        <row r="234">
          <cell r="A234" t="str">
            <v>012310000007-2043051-01</v>
          </cell>
          <cell r="B234" t="str">
            <v>Provisión y colocado de tecknoport de 1"</v>
          </cell>
          <cell r="C234">
            <v>12.44</v>
          </cell>
        </row>
        <row r="235">
          <cell r="A235" t="str">
            <v>012310000006-2043051-01</v>
          </cell>
          <cell r="B235" t="str">
            <v>Provisión y colocado de tecknoport de 3/4"</v>
          </cell>
          <cell r="C235">
            <v>10.62</v>
          </cell>
        </row>
        <row r="236">
          <cell r="A236" t="str">
            <v>012101010020-2043051-01</v>
          </cell>
          <cell r="B236" t="str">
            <v>Provisión y colocado de vidrio semidoble en ventana de fierro</v>
          </cell>
          <cell r="C236">
            <v>3.75</v>
          </cell>
        </row>
        <row r="237">
          <cell r="A237" t="str">
            <v>019601020120-2043051-01</v>
          </cell>
          <cell r="B237" t="str">
            <v>Prueba de calidad del concreto (prueba a la comprensión)</v>
          </cell>
          <cell r="C237">
            <v>20.67</v>
          </cell>
        </row>
        <row r="238">
          <cell r="A238" t="str">
            <v>019601020110-2043051-01</v>
          </cell>
          <cell r="B238" t="str">
            <v>Prueba de compactación de suelos (procto modif. Densidad campo)</v>
          </cell>
          <cell r="C238">
            <v>105.67</v>
          </cell>
        </row>
        <row r="239">
          <cell r="A239" t="str">
            <v>019601010110-2043051-01</v>
          </cell>
          <cell r="B239" t="str">
            <v>Prueba hidráulica con empleo de la línea de ingreso (captación)</v>
          </cell>
          <cell r="C239">
            <v>1.29</v>
          </cell>
        </row>
        <row r="240">
          <cell r="A240" t="str">
            <v>011901020140-2043051-01</v>
          </cell>
          <cell r="B240" t="str">
            <v>Puerta con marco de tubo fierro galv. de 2" y 4" y plancha LAC 1/16"</v>
          </cell>
          <cell r="C240">
            <v>381.95</v>
          </cell>
        </row>
        <row r="241">
          <cell r="A241" t="str">
            <v>011901020150-2043051-01</v>
          </cell>
          <cell r="B241" t="str">
            <v>Puerta con marco de tubo fierro galv. De 2" y 4" y plancha LAC 1/8"</v>
          </cell>
          <cell r="C241">
            <v>394.32</v>
          </cell>
        </row>
        <row r="242">
          <cell r="A242" t="str">
            <v>011901020145-2043051-01</v>
          </cell>
          <cell r="B242" t="str">
            <v>Puerta con marco de tubo fierro galv. De marco 2" y plancha LAC 1/8"</v>
          </cell>
          <cell r="C242">
            <v>281.3</v>
          </cell>
        </row>
        <row r="243">
          <cell r="A243" t="str">
            <v>011901020125-2043051-01</v>
          </cell>
          <cell r="B243" t="str">
            <v>Puerta con perfil 3/4" x 3/4" x 1/8" marco canal 4" x 1" x 5/8" plancha LAC 1/16"</v>
          </cell>
          <cell r="C243">
            <v>292.49</v>
          </cell>
        </row>
        <row r="244">
          <cell r="A244" t="str">
            <v>011801010110-2043051-01</v>
          </cell>
          <cell r="B244" t="str">
            <v>Puerta contraplacada de 45 mm c/triplay 4 mm +  marco de cedro 2 x 4"</v>
          </cell>
          <cell r="C244">
            <v>152.12</v>
          </cell>
        </row>
        <row r="245">
          <cell r="A245" t="str">
            <v>011901020101-2043051-01</v>
          </cell>
          <cell r="B245" t="str">
            <v>Puerta metálica LAC 1/16" con marco de 11/4"x1/8" y refuerzos</v>
          </cell>
          <cell r="C245">
            <v>504.26</v>
          </cell>
        </row>
        <row r="246">
          <cell r="A246" t="str">
            <v>011901020105-2043051-01</v>
          </cell>
          <cell r="B246" t="str">
            <v>Puerta metálica LAC 1/16" con marco de 2" x 2" x 1/4" y refuerzos</v>
          </cell>
          <cell r="C246">
            <v>551.07000000000005</v>
          </cell>
        </row>
        <row r="247">
          <cell r="A247" t="str">
            <v>011901020120-2043051-01</v>
          </cell>
          <cell r="B247" t="str">
            <v>Puerta metálica LAC 1/8" con marco de 2"x 2" x 1/4" y refuerzos</v>
          </cell>
          <cell r="C247">
            <v>564.02</v>
          </cell>
        </row>
        <row r="248">
          <cell r="A248" t="str">
            <v>012501030014-2043051-01</v>
          </cell>
          <cell r="B248" t="str">
            <v>Red de derivación P.V.C. SAL p/desague DN 100</v>
          </cell>
          <cell r="C248">
            <v>16.77</v>
          </cell>
        </row>
        <row r="249">
          <cell r="A249" t="str">
            <v>012501030016-2043051-01</v>
          </cell>
          <cell r="B249" t="str">
            <v>Red de derivación P.V.C. SAL p/desague DN 150</v>
          </cell>
          <cell r="C249">
            <v>25.77</v>
          </cell>
        </row>
        <row r="250">
          <cell r="A250" t="str">
            <v>012502030012-2043051-01</v>
          </cell>
          <cell r="B250" t="str">
            <v>Red de derivación P.V.C. SAL p/desague DN 50</v>
          </cell>
          <cell r="C250">
            <v>9.6999999999999993</v>
          </cell>
        </row>
        <row r="251">
          <cell r="A251" t="str">
            <v>012601020101-2043051-01</v>
          </cell>
          <cell r="B251" t="str">
            <v>Red de fo. Galvanizado tipo pesada C-40 DN 15 (incl. instalación accesorios)</v>
          </cell>
          <cell r="C251">
            <v>17.850000000000001</v>
          </cell>
        </row>
        <row r="252">
          <cell r="A252" t="str">
            <v>010303011020-2043051-01</v>
          </cell>
          <cell r="B252" t="str">
            <v>Refine, nivelación y compactación en terreno normal a pulso</v>
          </cell>
          <cell r="C252">
            <v>0.82</v>
          </cell>
        </row>
        <row r="253">
          <cell r="A253" t="str">
            <v>010303072010-2043051-01</v>
          </cell>
          <cell r="B253" t="str">
            <v>Refine, nivelación y compactación en terreno rocoso</v>
          </cell>
          <cell r="C253">
            <v>6.03</v>
          </cell>
        </row>
        <row r="254">
          <cell r="A254" t="str">
            <v>011901180111-2043051-01</v>
          </cell>
          <cell r="B254" t="str">
            <v>Rejilla sumidero - platina de 1" x 1/4" x 1/2 y marco "L" 1 1/4" x 1/4"</v>
          </cell>
          <cell r="C254">
            <v>131.84</v>
          </cell>
        </row>
        <row r="255">
          <cell r="A255" t="str">
            <v>013002030120-2043051-01</v>
          </cell>
          <cell r="B255" t="str">
            <v>Relleno compactado de zanja en terreno rocoso para instalar cable eléctrico</v>
          </cell>
          <cell r="C255">
            <v>10.25</v>
          </cell>
        </row>
        <row r="256">
          <cell r="A256" t="str">
            <v>010304011020-2043051-01</v>
          </cell>
          <cell r="B256" t="str">
            <v>Relleno compactado en terreno normal (zarandeado y/o escogido) a pulso</v>
          </cell>
          <cell r="C256">
            <v>10.63</v>
          </cell>
        </row>
        <row r="257">
          <cell r="A257" t="str">
            <v>010304011030-2043051-01</v>
          </cell>
          <cell r="B257" t="str">
            <v>Relleno con material propio</v>
          </cell>
          <cell r="C257">
            <v>8.58</v>
          </cell>
        </row>
        <row r="258">
          <cell r="A258" t="str">
            <v>010120070235-2043051-01</v>
          </cell>
          <cell r="B258" t="str">
            <v>Replanteo final de la obra p/ampliación y mejoramiento de caseta</v>
          </cell>
          <cell r="C258">
            <v>85.06</v>
          </cell>
        </row>
        <row r="259">
          <cell r="A259" t="str">
            <v>010120070215-2043051-01</v>
          </cell>
          <cell r="B259" t="str">
            <v>Replanteo final de la obra, p/reservorio y/o cisterna o sim com estación final</v>
          </cell>
          <cell r="C259">
            <v>638.96</v>
          </cell>
        </row>
        <row r="260">
          <cell r="A260" t="str">
            <v>010305071001-2043051-01</v>
          </cell>
          <cell r="B260" t="str">
            <v>Retiro y acomodo de desmonte en zona aledaña t. Rocoso</v>
          </cell>
          <cell r="C260">
            <v>10.29</v>
          </cell>
        </row>
        <row r="261">
          <cell r="A261" t="str">
            <v>011601020110-2043051-01</v>
          </cell>
          <cell r="B261" t="str">
            <v>Revestimiento de descanso con mortero de 1:4 x 2 cm. + pulido 1:2 x 1 cm.</v>
          </cell>
          <cell r="C261">
            <v>16.190000000000001</v>
          </cell>
        </row>
        <row r="262">
          <cell r="A262" t="str">
            <v>011601010110-2043051-01</v>
          </cell>
          <cell r="B262" t="str">
            <v>Revestimiento de gradas con mortero de 1:4 x 2 cm + pulido 1:2 x 1 cm</v>
          </cell>
          <cell r="C262">
            <v>23.2</v>
          </cell>
        </row>
        <row r="263">
          <cell r="A263" t="str">
            <v>011501010115-2043051-01</v>
          </cell>
          <cell r="B263" t="str">
            <v>Revestimiento de pisos con mayólica blanca de primera de 15 cm. X 15 cm.</v>
          </cell>
          <cell r="C263">
            <v>44.92</v>
          </cell>
        </row>
        <row r="264">
          <cell r="A264" t="str">
            <v>012901030134-2043051-01</v>
          </cell>
          <cell r="B264" t="str">
            <v>Salida de pared c/cable AWG TW 2,50 mm (14)+d PVC SEL DN 16 mm (5/8") (punto)</v>
          </cell>
          <cell r="C264">
            <v>36.950000000000003</v>
          </cell>
        </row>
        <row r="265">
          <cell r="A265" t="str">
            <v>012901030115-2043051-01</v>
          </cell>
          <cell r="B265" t="str">
            <v>Salida de pared c/cable AWG TW 4,00 mm (12)+d PVC SEL DN 20 mm (3/4") (punto)</v>
          </cell>
          <cell r="C265">
            <v>39.57</v>
          </cell>
        </row>
        <row r="266">
          <cell r="A266" t="str">
            <v>012501010102-2043051-01</v>
          </cell>
          <cell r="B266" t="str">
            <v>Salida de PVC SAL p/ventilación (punto) DN 50</v>
          </cell>
          <cell r="C266">
            <v>38.81</v>
          </cell>
        </row>
        <row r="267">
          <cell r="A267" t="str">
            <v>012501020104-2043051-01</v>
          </cell>
          <cell r="B267" t="str">
            <v>Salida de PVC SAL para desague (punto) DN 100</v>
          </cell>
          <cell r="C267">
            <v>65.81</v>
          </cell>
        </row>
        <row r="268">
          <cell r="A268" t="str">
            <v>012501020102-2043051-01</v>
          </cell>
          <cell r="B268" t="str">
            <v>Salida de PVC SAL para desague (punto) DN 50</v>
          </cell>
          <cell r="C268">
            <v>49.79</v>
          </cell>
        </row>
        <row r="269">
          <cell r="A269" t="str">
            <v>012601010121-2043051-01</v>
          </cell>
          <cell r="B269" t="str">
            <v>Salida de PVC tipo unión roscada PN 10 DN 15 (punto)</v>
          </cell>
          <cell r="C269">
            <v>40.51</v>
          </cell>
        </row>
        <row r="270">
          <cell r="A270" t="str">
            <v>012901020134-2043051-01</v>
          </cell>
          <cell r="B270" t="str">
            <v>Salida de techo c/cable AWG TW 2,50 mm (14)+d PVC SEL DN 16 mm (5/8") (punto)</v>
          </cell>
          <cell r="C270">
            <v>36.950000000000003</v>
          </cell>
        </row>
        <row r="271">
          <cell r="A271" t="str">
            <v>012901070175-2043051-01</v>
          </cell>
          <cell r="B271" t="str">
            <v>Salida tomacorr. + CT C/AWG TW 2,50 mm (14)+d PVC SAP DN 120mm (3/4") (punto)</v>
          </cell>
          <cell r="C271">
            <v>47.41</v>
          </cell>
        </row>
        <row r="272">
          <cell r="A272" t="str">
            <v>012901070134-2043051-01</v>
          </cell>
          <cell r="B272" t="str">
            <v>Salida tomacorriente C/AWG TW 2,50 mm (14)+d PVC SEL DN 16 mm (5/8") (punto)</v>
          </cell>
          <cell r="C272">
            <v>36.700000000000003</v>
          </cell>
        </row>
        <row r="273">
          <cell r="A273" t="str">
            <v>019501022117-2043051-01</v>
          </cell>
          <cell r="B273" t="str">
            <v>Sardinel concreto armado f'c 175 kg/cm2 de 15 cm x 45 cm (aislado)</v>
          </cell>
          <cell r="C273">
            <v>24.15</v>
          </cell>
        </row>
        <row r="274">
          <cell r="A274" t="str">
            <v>010901350111-2043051-01</v>
          </cell>
          <cell r="B274" t="str">
            <v>Solaqueado de muro caravista de ladrillo king kong soga con mortero 1:3</v>
          </cell>
          <cell r="C274">
            <v>13.59</v>
          </cell>
        </row>
        <row r="275">
          <cell r="A275" t="str">
            <v>012504060152-2043051-01</v>
          </cell>
          <cell r="B275" t="str">
            <v>Sombrero para ventilación de P.V.C. DN 50</v>
          </cell>
          <cell r="C275">
            <v>2.6</v>
          </cell>
        </row>
        <row r="276">
          <cell r="A276" t="str">
            <v>011901180706-2043051-01</v>
          </cell>
          <cell r="B276" t="str">
            <v>Soporte metálico tipo abrazadera para tubería DN 100 a 150</v>
          </cell>
          <cell r="C276">
            <v>14.81</v>
          </cell>
        </row>
        <row r="277">
          <cell r="A277" t="str">
            <v>011901180703-2043051-01</v>
          </cell>
          <cell r="B277" t="str">
            <v>Soporte metálico tipo abrazadera para tubería DN 150</v>
          </cell>
          <cell r="C277">
            <v>9.56</v>
          </cell>
        </row>
        <row r="278">
          <cell r="A278" t="str">
            <v>011901180710-2043051-01</v>
          </cell>
          <cell r="B278" t="str">
            <v>Soporte metálico tipo abrazadera para tubería DN 200 a 250</v>
          </cell>
          <cell r="C278">
            <v>22.74</v>
          </cell>
        </row>
        <row r="279">
          <cell r="A279" t="str">
            <v>011901180714-2043051-01</v>
          </cell>
          <cell r="B279" t="str">
            <v>Soporte metálico tipo abrazadera para tubería DN 300 a 350</v>
          </cell>
          <cell r="C279">
            <v>44.07</v>
          </cell>
        </row>
        <row r="280">
          <cell r="A280" t="str">
            <v>011901180703-2043051-01</v>
          </cell>
          <cell r="B280" t="str">
            <v>Soporte metálico tipo abrazadera para tubería DN 50 a 80</v>
          </cell>
          <cell r="C280">
            <v>9.56</v>
          </cell>
        </row>
        <row r="281">
          <cell r="A281" t="str">
            <v>011901180756-2043051-01</v>
          </cell>
          <cell r="B281" t="str">
            <v>Soporte metálico tipo tripode p/tubería DN 100 a 150</v>
          </cell>
          <cell r="C281">
            <v>106.51</v>
          </cell>
        </row>
        <row r="282">
          <cell r="A282" t="str">
            <v>011901180753-2043051-01</v>
          </cell>
          <cell r="B282" t="str">
            <v>Soporte metálico tipo tripode p/tubería DN 50 a 80</v>
          </cell>
          <cell r="C282">
            <v>75.34</v>
          </cell>
        </row>
        <row r="283">
          <cell r="A283" t="str">
            <v>012504070110-2043051-01</v>
          </cell>
          <cell r="B283" t="str">
            <v>Suministro de caja de concreto simple y tapa concreto armado de 0.30 m x 0.60 m</v>
          </cell>
          <cell r="C283">
            <v>61.09</v>
          </cell>
        </row>
        <row r="284">
          <cell r="A284" t="str">
            <v>013101010154-2043051-01</v>
          </cell>
          <cell r="B284" t="str">
            <v>Suministro de tubería P.V.C. SAP DN 100 mm (4")</v>
          </cell>
          <cell r="C284">
            <v>11.76</v>
          </cell>
        </row>
        <row r="285">
          <cell r="A285" t="str">
            <v>013101010156-2043051-01</v>
          </cell>
          <cell r="B285" t="str">
            <v>Suministro de tubería P.V.C. SAP DN 150 mm (6")</v>
          </cell>
          <cell r="C285">
            <v>19.149999999999999</v>
          </cell>
        </row>
        <row r="286">
          <cell r="A286" t="str">
            <v>013101010151-2043051-01</v>
          </cell>
          <cell r="B286" t="str">
            <v>Suministro de tubería P.V.C. SAP DN 20 mm (2")</v>
          </cell>
          <cell r="C286">
            <v>4.34</v>
          </cell>
        </row>
        <row r="287">
          <cell r="A287" t="str">
            <v>013101010147-2043051-01</v>
          </cell>
          <cell r="B287" t="str">
            <v>Suministro de tubería P.V.C. SAP DN 20 mm (3/4")</v>
          </cell>
          <cell r="C287">
            <v>1.5</v>
          </cell>
        </row>
        <row r="288">
          <cell r="A288" t="str">
            <v>013101010148-2043051-01</v>
          </cell>
          <cell r="B288" t="str">
            <v>Suministro de tubería P.V.C. SAP DN 25 mm (1")</v>
          </cell>
          <cell r="C288">
            <v>1.98</v>
          </cell>
        </row>
        <row r="289">
          <cell r="A289" t="str">
            <v>013101010150-2043051-01</v>
          </cell>
          <cell r="B289" t="str">
            <v>Suministro de tubería P.V.C. SAP DN 40 mm (1 1/2")</v>
          </cell>
          <cell r="C289">
            <v>3.08</v>
          </cell>
        </row>
        <row r="290">
          <cell r="A290" t="str">
            <v>013101010151-2043051-01</v>
          </cell>
          <cell r="B290" t="str">
            <v>Suministro de tubería P.V.C. SAP DN 50 mm (2")</v>
          </cell>
          <cell r="C290">
            <v>4.34</v>
          </cell>
        </row>
        <row r="291">
          <cell r="A291" t="str">
            <v>013101010152-2043051-01</v>
          </cell>
          <cell r="B291" t="str">
            <v>Suministro de tubería P.V.C. SAP DN 65 mm (2 1/2")</v>
          </cell>
          <cell r="C291">
            <v>6.53</v>
          </cell>
        </row>
        <row r="292">
          <cell r="A292" t="str">
            <v>013101010153-2043051-01</v>
          </cell>
          <cell r="B292" t="str">
            <v>Suministro de tubería P.V.C. SAP DN 80 mm (3")</v>
          </cell>
          <cell r="C292">
            <v>8.6300000000000008</v>
          </cell>
        </row>
        <row r="293">
          <cell r="A293" t="str">
            <v>013101010107-2043051-01</v>
          </cell>
          <cell r="B293" t="str">
            <v>Suministro de tubería P.V.C. SEL DN 20 mm (3/4")</v>
          </cell>
          <cell r="C293">
            <v>0.59</v>
          </cell>
        </row>
        <row r="294">
          <cell r="A294" t="str">
            <v>013101010111-2043051-01</v>
          </cell>
          <cell r="B294" t="str">
            <v>Suministro de tubería P.V.C. SEL DN 50 mm (2")</v>
          </cell>
          <cell r="C294">
            <v>2.4300000000000002</v>
          </cell>
        </row>
        <row r="295">
          <cell r="A295" t="str">
            <v>013002100102-2043051-01</v>
          </cell>
          <cell r="B295" t="str">
            <v>Suministro e instalación de ducto de concreto de 2 vías</v>
          </cell>
          <cell r="C295">
            <v>22.58</v>
          </cell>
        </row>
        <row r="296">
          <cell r="A296" t="str">
            <v>013502010122-2043051-01</v>
          </cell>
          <cell r="B296" t="str">
            <v>Suministro e instalación de Pastoral de C.A. 1:5/1.30/100</v>
          </cell>
          <cell r="C296">
            <v>180.52</v>
          </cell>
        </row>
        <row r="297">
          <cell r="A297" t="str">
            <v>013502010101-2043051-01</v>
          </cell>
          <cell r="B297" t="str">
            <v>Suministro e instalación de poste de C.A. 11/200/120/285</v>
          </cell>
          <cell r="C297">
            <v>590.55999999999995</v>
          </cell>
        </row>
        <row r="298">
          <cell r="A298" t="str">
            <v>013301020154-2043051-01</v>
          </cell>
          <cell r="B298" t="str">
            <v>Tablero eléct. Gabinete metálico p/distribución 4 circuitos c/interruptor horario</v>
          </cell>
          <cell r="C298">
            <v>620.07000000000005</v>
          </cell>
        </row>
        <row r="299">
          <cell r="A299" t="str">
            <v>013301020156-2043051-01</v>
          </cell>
          <cell r="B299" t="str">
            <v>Tablero eléct. Gabinete metálico p/distribución 6 circuitos c/interruptor horario</v>
          </cell>
          <cell r="C299">
            <v>620.07000000000005</v>
          </cell>
        </row>
        <row r="300">
          <cell r="A300" t="str">
            <v>013301020103-2043051-01</v>
          </cell>
          <cell r="B300" t="str">
            <v>Tablero eléctrico gabinete metálico p/distribución 3 circuitos</v>
          </cell>
          <cell r="C300">
            <v>217.32</v>
          </cell>
        </row>
        <row r="301">
          <cell r="A301" t="str">
            <v>013301020104-2043051-01</v>
          </cell>
          <cell r="B301" t="str">
            <v>Tablero eléctrico gabinete metálico para distribución 4 circuitos</v>
          </cell>
          <cell r="C301">
            <v>275.32</v>
          </cell>
        </row>
        <row r="302">
          <cell r="A302" t="str">
            <v>018701100202-2043051-01</v>
          </cell>
          <cell r="B302" t="str">
            <v>Tablero UPS de 1.5 Kva. - 220v</v>
          </cell>
          <cell r="C302">
            <v>645</v>
          </cell>
        </row>
        <row r="303">
          <cell r="A303" t="str">
            <v>011001080101-2043051-01</v>
          </cell>
          <cell r="B303" t="str">
            <v>Tarrajeo con impermeabilizante de losa de fondo-piso canales</v>
          </cell>
          <cell r="C303">
            <v>17.8</v>
          </cell>
        </row>
        <row r="304">
          <cell r="A304" t="str">
            <v>011001080105-2043051-01</v>
          </cell>
          <cell r="B304" t="str">
            <v>Tarrajeo con impermeabilizante de muros (incluye vertedero)</v>
          </cell>
          <cell r="C304">
            <v>19.55</v>
          </cell>
        </row>
        <row r="305">
          <cell r="A305" t="str">
            <v>011001080110-2043051-01</v>
          </cell>
          <cell r="B305" t="str">
            <v>Tarrajeo con impermeabilizante de muros en reservorio apoyado</v>
          </cell>
          <cell r="C305">
            <v>24.42</v>
          </cell>
        </row>
        <row r="306">
          <cell r="A306" t="str">
            <v>011001010105-2043051-01</v>
          </cell>
          <cell r="B306" t="str">
            <v>Tarrajeo de sobrecimiento de muro 1:5 x 1,5 cm. (incl. columnas empotradas</v>
          </cell>
          <cell r="C306">
            <v>9.9499999999999993</v>
          </cell>
        </row>
        <row r="307">
          <cell r="A307" t="str">
            <v>011001060102-2043051-01</v>
          </cell>
          <cell r="B307" t="str">
            <v>Tarrajeo de superficie vigas peraltadas independientes (en exteriores)</v>
          </cell>
          <cell r="C307">
            <v>23.14</v>
          </cell>
        </row>
        <row r="308">
          <cell r="A308" t="str">
            <v>011001060101-2043051-01</v>
          </cell>
          <cell r="B308" t="str">
            <v>Tarrajeo de superficie vigas peraltadas independientes (en interiores)</v>
          </cell>
          <cell r="C308">
            <v>17.88</v>
          </cell>
        </row>
        <row r="309">
          <cell r="A309" t="str">
            <v>011001010101-2043051-01</v>
          </cell>
          <cell r="B309" t="str">
            <v>Tarrajeo del tipo rayado o primerio con mortero 1:5</v>
          </cell>
          <cell r="C309">
            <v>8.84</v>
          </cell>
        </row>
        <row r="310">
          <cell r="A310" t="str">
            <v>011001030101-2043051-01</v>
          </cell>
          <cell r="B310" t="str">
            <v>Tarrajeo exterior con mortero 1:5 x 1,5 cm. (incluye columnas empotradas</v>
          </cell>
          <cell r="C310">
            <v>15.01</v>
          </cell>
        </row>
        <row r="311">
          <cell r="A311" t="str">
            <v>011001021001-2043051-01</v>
          </cell>
          <cell r="B311" t="str">
            <v>Tarrajeo interior con mortero 1:5 x 1,5 cm. (incluye columnas empotradas</v>
          </cell>
          <cell r="C311">
            <v>10.14</v>
          </cell>
        </row>
        <row r="312">
          <cell r="A312" t="str">
            <v>011001050102-2043051-01</v>
          </cell>
          <cell r="B312" t="str">
            <v>Tarrajeo superficie de columnas tipo independientes(en exteriores)</v>
          </cell>
          <cell r="C312">
            <v>19.600000000000001</v>
          </cell>
        </row>
        <row r="313">
          <cell r="A313" t="str">
            <v>011001050101-2043051-01</v>
          </cell>
          <cell r="B313" t="str">
            <v>Tarrajeo superficies de columnas tipo independientes(en interiores)</v>
          </cell>
          <cell r="C313">
            <v>14.89</v>
          </cell>
        </row>
        <row r="314">
          <cell r="A314" t="str">
            <v>012503354002-2043051-01</v>
          </cell>
          <cell r="B314" t="str">
            <v>Tee de PVC SP, ramal simple DN 50</v>
          </cell>
          <cell r="C314">
            <v>2.76</v>
          </cell>
        </row>
        <row r="315">
          <cell r="A315" t="str">
            <v>012602320101-2043051-01</v>
          </cell>
          <cell r="B315" t="str">
            <v>Tee de PVC tipo unión roscada DN 15</v>
          </cell>
          <cell r="C315">
            <v>0.79</v>
          </cell>
        </row>
        <row r="316">
          <cell r="A316" t="str">
            <v>013001031050-2043051-01</v>
          </cell>
          <cell r="B316" t="str">
            <v>Timbre zumbador</v>
          </cell>
          <cell r="C316">
            <v>44.66</v>
          </cell>
        </row>
        <row r="317">
          <cell r="A317" t="str">
            <v>012401120010-2043051-01</v>
          </cell>
          <cell r="B317" t="str">
            <v>Toallera con soportes de losa y barra plástica color blanco</v>
          </cell>
          <cell r="C317">
            <v>5.35</v>
          </cell>
        </row>
        <row r="318">
          <cell r="A318" t="str">
            <v>012503253502-2043051-01</v>
          </cell>
          <cell r="B318" t="str">
            <v>Trampa "P" de PVC SAL para desague DN 50</v>
          </cell>
          <cell r="C318">
            <v>4.88</v>
          </cell>
        </row>
        <row r="319">
          <cell r="A319" t="str">
            <v>010120080755-2043051-01</v>
          </cell>
          <cell r="B319" t="str">
            <v>Transporte a zona s/acceso: materiales equipos, desmonte reservorio etc.</v>
          </cell>
          <cell r="C319">
            <v>13720.7</v>
          </cell>
        </row>
        <row r="320">
          <cell r="A320" t="str">
            <v>010120080753-2043051-01</v>
          </cell>
          <cell r="B320" t="str">
            <v>Transporte a zona s/acceso: materiales equipos, reservorio etc.</v>
          </cell>
          <cell r="C320">
            <v>22996.32</v>
          </cell>
        </row>
        <row r="321">
          <cell r="A321" t="str">
            <v>010120080756-2043051-01</v>
          </cell>
          <cell r="B321" t="str">
            <v>Transporte a zona s/acceso: materiales, equipos, para const. cerco perimetrico</v>
          </cell>
          <cell r="C321">
            <v>1092</v>
          </cell>
        </row>
        <row r="322">
          <cell r="A322" t="str">
            <v>010120080757-2043051-01</v>
          </cell>
          <cell r="B322" t="str">
            <v>Transporte a zona s/acceso: materiales, equipos, para const. cerco perimetrico RP-7</v>
          </cell>
          <cell r="C322">
            <v>1300.77</v>
          </cell>
        </row>
        <row r="323">
          <cell r="A323" t="str">
            <v>010120070015-2043051-01</v>
          </cell>
          <cell r="B323" t="str">
            <v>Trazo y replanteo inicial del proyecto, p/resrevorio-cisterna o sim c/Est. total</v>
          </cell>
          <cell r="C323">
            <v>794.17</v>
          </cell>
        </row>
        <row r="324">
          <cell r="A324" t="str">
            <v>010120070035-2043051-01</v>
          </cell>
          <cell r="B324" t="str">
            <v>Trazo y replanteo inicial p/ampliación y mejoramiento de caseta</v>
          </cell>
          <cell r="C324">
            <v>81.45</v>
          </cell>
        </row>
        <row r="325">
          <cell r="A325" t="str">
            <v>010120070061-2043051-01</v>
          </cell>
          <cell r="B325" t="str">
            <v>Trazo y replanteo inicial para cerco perimetrico</v>
          </cell>
          <cell r="C325">
            <v>9.26</v>
          </cell>
        </row>
        <row r="326">
          <cell r="A326" t="str">
            <v>012602340101-2043051-01</v>
          </cell>
          <cell r="B326" t="str">
            <v>Unión de P.V.C. t/unión roscada DN 15</v>
          </cell>
          <cell r="C326">
            <v>0.8</v>
          </cell>
        </row>
        <row r="327">
          <cell r="A327" t="str">
            <v>012602140101-2043051-01</v>
          </cell>
          <cell r="B327" t="str">
            <v>Unión universal de fierro galvanizado DN 15</v>
          </cell>
          <cell r="C327">
            <v>3.56</v>
          </cell>
        </row>
        <row r="328">
          <cell r="A328" t="str">
            <v>012605051001-2043051-01</v>
          </cell>
          <cell r="B328" t="str">
            <v>Válvula compuerta de bronce unión roscada DN 15</v>
          </cell>
          <cell r="C328">
            <v>14.41</v>
          </cell>
        </row>
        <row r="329">
          <cell r="A329" t="str">
            <v>011901010122-2043051-01</v>
          </cell>
          <cell r="B329" t="str">
            <v>Ventana de fierro barras Co 3/4" x 0.10 y marco platina de 2" x 1/4"</v>
          </cell>
          <cell r="C329">
            <v>81.849999999999994</v>
          </cell>
        </row>
        <row r="330">
          <cell r="A330" t="str">
            <v>011901010110-2043051-01</v>
          </cell>
          <cell r="B330" t="str">
            <v>Ventana de fierro c/perfil de 1" x 1/8" + hoja bast "L" de 3/4"</v>
          </cell>
          <cell r="C330">
            <v>125.18</v>
          </cell>
        </row>
        <row r="331">
          <cell r="A331" t="str">
            <v>011901010114-2043051-01</v>
          </cell>
          <cell r="B331" t="str">
            <v>Ventana de fierro c/perfil de 1" x 1/8" fija + refuerzo "T" de 1"</v>
          </cell>
          <cell r="C331">
            <v>128.62</v>
          </cell>
        </row>
        <row r="332">
          <cell r="A332" t="str">
            <v>011901010120-2043051-01</v>
          </cell>
          <cell r="B332" t="str">
            <v>Ventana fierro barras Co. 3/8" x 0.10 ymarco platina de 2" x 1/4"</v>
          </cell>
          <cell r="C332">
            <v>81.849999999999994</v>
          </cell>
        </row>
        <row r="333">
          <cell r="A333" t="str">
            <v>011901180506-2043051-01</v>
          </cell>
          <cell r="B333" t="str">
            <v>Ventilación con tubería de acceso según diseño DN 150</v>
          </cell>
          <cell r="C333">
            <v>75.94</v>
          </cell>
        </row>
        <row r="334">
          <cell r="A334" t="str">
            <v>019501021254-2043051-01</v>
          </cell>
          <cell r="B334" t="str">
            <v>Vereda de concreto f'c 140 kg/cm2 e= 10 cm. Pasta (1:2 (P-V) c/empleo de mezcladora</v>
          </cell>
          <cell r="C334">
            <v>32.71</v>
          </cell>
        </row>
        <row r="335">
          <cell r="A335" t="str">
            <v>019501021257-2043051-01</v>
          </cell>
          <cell r="B335" t="str">
            <v>Vereda de concreto f'c 175 kg/cm2 e= 10 cm. Pasta (1:2 (P-V) c/empleo de mezcladora</v>
          </cell>
          <cell r="C335">
            <v>36.549999999999997</v>
          </cell>
        </row>
        <row r="336">
          <cell r="A336" t="str">
            <v>011101040105-2043051-01</v>
          </cell>
          <cell r="B336" t="str">
            <v>Vestidura de aristas en fondo escalera con mortero 1:4</v>
          </cell>
          <cell r="C336">
            <v>8.02</v>
          </cell>
        </row>
        <row r="337">
          <cell r="A337" t="str">
            <v>011001110110-2043051-01</v>
          </cell>
          <cell r="B337" t="str">
            <v>Vestidura de derrame en puerta, ventana y vano</v>
          </cell>
          <cell r="C337">
            <v>6.05</v>
          </cell>
        </row>
        <row r="338">
          <cell r="A338" t="str">
            <v>011101040101-2043051-01</v>
          </cell>
          <cell r="B338" t="str">
            <v>Vestidura de superficie fondo escalera con mortero 1:4 x  1,5 cm</v>
          </cell>
          <cell r="C338">
            <v>15.21</v>
          </cell>
        </row>
        <row r="339">
          <cell r="A339" t="str">
            <v>011601030320-2043051-01</v>
          </cell>
          <cell r="B339" t="str">
            <v>Vestidura de superficie lateral de escalera c/mortero 1:4 x 1,5 cm</v>
          </cell>
          <cell r="C339">
            <v>7.92</v>
          </cell>
        </row>
      </sheetData>
      <sheetData sheetId="6"/>
      <sheetData sheetId="7"/>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NEAS"/>
      <sheetName val="PRESUPUESTO"/>
      <sheetName val="Hoja1"/>
      <sheetName val="Hoja2"/>
      <sheetName val="Hoja3"/>
      <sheetName val="DATOS"/>
      <sheetName val="Hoja4"/>
      <sheetName val="FORMULA"/>
      <sheetName val="Desmonteras"/>
      <sheetName val="Datos de la localidad"/>
      <sheetName val="Analisis de la T.C. - 2.2"/>
      <sheetName val="#¡REF"/>
      <sheetName val="QURR"/>
      <sheetName val="LOCALIDADES"/>
      <sheetName val="PLANILLA GENERAL"/>
      <sheetName val="Datos de la lkcalidad"/>
      <sheetName val="#¡RED"/>
      <sheetName val="DATA"/>
      <sheetName val="PLANILLA LP 22.9 kV"/>
      <sheetName val="CALCULO"/>
      <sheetName val="DATOS TECNICOS SE SANTUARIO"/>
      <sheetName val="PROC MANT LT 1"/>
      <sheetName val="CALENDARIO"/>
      <sheetName val="REV3"/>
      <sheetName val="CAP-120mm2"/>
      <sheetName val="INGRESO"/>
      <sheetName val="RES"/>
      <sheetName val="CENSO93"/>
      <sheetName val="HIDRANDINA"/>
      <sheetName val="FORMA-SE2"/>
      <sheetName val="UNITARIOS-RP"/>
      <sheetName val="PLAN RS"/>
      <sheetName val="Datos de Entrada"/>
      <sheetName val="1.2.1 RENDIMIENTO"/>
      <sheetName val="Plani"/>
      <sheetName val="Hoja79"/>
      <sheetName val="CC"/>
      <sheetName val="Datos_de_la_localidad"/>
      <sheetName val="Analisis_de_la_T_C__-_2_2"/>
      <sheetName val="PLANILLA_GENERAL"/>
      <sheetName val="Datos_de_la_lkcalidad"/>
      <sheetName val="PLANILLA_LP_22_9_kV"/>
      <sheetName val="DATOS_TECNICOS_SE_SANTUARIO"/>
      <sheetName val="PROC_MANT_LT_1"/>
      <sheetName val="Datos_de_Entrada"/>
      <sheetName val="1_2_1_RENDIMIENTO"/>
      <sheetName val="FORMA-LS3"/>
      <sheetName val="FORMA-LS1-LS2"/>
      <sheetName val="FORMA- RE1"/>
      <sheetName val="FORMA-RL1"/>
      <sheetName val="FORMA-ST1"/>
      <sheetName val="Resumen-RS"/>
      <sheetName val="3. Manpower"/>
      <sheetName val="Matriz"/>
      <sheetName val="C-WATT"/>
      <sheetName val="SE_Piura_Oeste"/>
      <sheetName val="SE_Santa_Rosa"/>
      <sheetName val="SE_San_Juan"/>
      <sheetName val="SE_Independencia"/>
      <sheetName val="SE_Ica"/>
      <sheetName val="SE_Chiclayo_Oeste"/>
      <sheetName val="SE_Trujillo_Norte"/>
      <sheetName val="SE_Chimbote1"/>
      <sheetName val="SE_Paramonga_Nueva"/>
      <sheetName val="SE_Chavarria"/>
      <sheetName val="P-A-D"/>
      <sheetName val="DATOS DE CAMPO"/>
      <sheetName val="Precios Estruc."/>
    </sheetNames>
    <sheetDataSet>
      <sheetData sheetId="0" refreshError="1"/>
      <sheetData sheetId="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sheetData sheetId="40"/>
      <sheetData sheetId="41"/>
      <sheetData sheetId="42"/>
      <sheetData sheetId="43"/>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 RESUMEN"/>
      <sheetName val="METRADO  "/>
      <sheetName val="PARTIDAS"/>
      <sheetName val="DATOS"/>
    </sheetNames>
    <sheetDataSet>
      <sheetData sheetId="0"/>
      <sheetData sheetId="1"/>
      <sheetData sheetId="2">
        <row r="1">
          <cell r="A1" t="str">
            <v>PARTIDAS</v>
          </cell>
        </row>
        <row r="3">
          <cell r="A3" t="str">
            <v>ITEM</v>
          </cell>
          <cell r="B3" t="str">
            <v>DESCRIPCION</v>
          </cell>
          <cell r="C3" t="str">
            <v>UND.</v>
          </cell>
        </row>
        <row r="5">
          <cell r="A5">
            <v>1</v>
          </cell>
          <cell r="B5" t="str">
            <v>ESTRIBOS</v>
          </cell>
        </row>
        <row r="6">
          <cell r="A6">
            <v>1.01</v>
          </cell>
          <cell r="B6" t="str">
            <v>Movimiento de tierras</v>
          </cell>
        </row>
        <row r="7">
          <cell r="A7" t="str">
            <v>01.01.01</v>
          </cell>
          <cell r="B7" t="str">
            <v>Excavacion de zanja</v>
          </cell>
          <cell r="C7" t="str">
            <v>m3</v>
          </cell>
        </row>
        <row r="8">
          <cell r="A8">
            <v>1.04</v>
          </cell>
          <cell r="B8" t="str">
            <v>Concreto f´c=210 kg/cm2</v>
          </cell>
          <cell r="C8" t="str">
            <v>m3</v>
          </cell>
        </row>
        <row r="9">
          <cell r="A9">
            <v>1.07</v>
          </cell>
          <cell r="B9" t="str">
            <v>Encofrado y desencofrado</v>
          </cell>
          <cell r="C9" t="str">
            <v>m2</v>
          </cell>
        </row>
        <row r="10">
          <cell r="A10">
            <v>1.08</v>
          </cell>
          <cell r="B10" t="str">
            <v>Acero de Refuerzo G-60 , fy=4200 kg/cm2</v>
          </cell>
          <cell r="C10" t="str">
            <v>kg</v>
          </cell>
        </row>
        <row r="12">
          <cell r="A12">
            <v>3</v>
          </cell>
          <cell r="B12" t="str">
            <v>LOSA DE CONCRETO ARMADO</v>
          </cell>
        </row>
        <row r="13">
          <cell r="A13">
            <v>3.01</v>
          </cell>
          <cell r="B13" t="str">
            <v xml:space="preserve">Concreto f´c=280 kg/cm2 </v>
          </cell>
          <cell r="C13" t="str">
            <v>m3</v>
          </cell>
        </row>
        <row r="14">
          <cell r="A14">
            <v>3.02</v>
          </cell>
          <cell r="B14" t="str">
            <v xml:space="preserve">Encofrado y desencofrado </v>
          </cell>
          <cell r="C14" t="str">
            <v>m2</v>
          </cell>
        </row>
        <row r="15">
          <cell r="A15">
            <v>3.03</v>
          </cell>
          <cell r="B15" t="str">
            <v>Acero de Refuerzo G-60 fy=4200 kg/cm2</v>
          </cell>
          <cell r="C15" t="str">
            <v>kg</v>
          </cell>
        </row>
        <row r="17">
          <cell r="A17">
            <v>6</v>
          </cell>
          <cell r="B17" t="str">
            <v>LOSA DE APROXIMACION</v>
          </cell>
        </row>
        <row r="18">
          <cell r="A18">
            <v>6.01</v>
          </cell>
          <cell r="B18" t="str">
            <v xml:space="preserve">Concreto f´c=280 kg/cm2 </v>
          </cell>
          <cell r="C18" t="str">
            <v>m3</v>
          </cell>
        </row>
        <row r="19">
          <cell r="A19">
            <v>6.02</v>
          </cell>
          <cell r="B19" t="str">
            <v xml:space="preserve">Encofrado y desencofrado </v>
          </cell>
          <cell r="C19" t="str">
            <v>m2</v>
          </cell>
        </row>
        <row r="20">
          <cell r="A20">
            <v>6.03</v>
          </cell>
          <cell r="B20" t="str">
            <v>Acero de Refuerzo G-60 fy=4200 kg/cm2</v>
          </cell>
          <cell r="C20" t="str">
            <v>kg</v>
          </cell>
        </row>
        <row r="22">
          <cell r="A22">
            <v>8</v>
          </cell>
          <cell r="B22" t="str">
            <v>VARIOS</v>
          </cell>
        </row>
        <row r="23">
          <cell r="A23">
            <v>8.01</v>
          </cell>
          <cell r="B23" t="str">
            <v>Junta de Dilatación, losa de aproximación-losa de puente</v>
          </cell>
        </row>
        <row r="24">
          <cell r="A24" t="str">
            <v>08.01.01</v>
          </cell>
          <cell r="B24" t="str">
            <v>Plancha 1/2"X4"X4"</v>
          </cell>
          <cell r="C24" t="str">
            <v>kg</v>
          </cell>
        </row>
        <row r="25">
          <cell r="A25" t="str">
            <v>08.01.02</v>
          </cell>
          <cell r="B25" t="str">
            <v>Fierro de 1/2"@0.30m, L=0.45m</v>
          </cell>
          <cell r="C25" t="str">
            <v>kg</v>
          </cell>
        </row>
        <row r="26">
          <cell r="A26" t="str">
            <v>08.01.03</v>
          </cell>
          <cell r="B26" t="str">
            <v>Neopreno tipo panal expansible y comprimible (40mmx50mmxL m)</v>
          </cell>
          <cell r="C26" t="str">
            <v>dm3</v>
          </cell>
        </row>
        <row r="27">
          <cell r="A27" t="str">
            <v>08.01.04</v>
          </cell>
          <cell r="B27" t="str">
            <v>Varilla cuadrada de 3/8"</v>
          </cell>
          <cell r="C27" t="str">
            <v>ml</v>
          </cell>
        </row>
        <row r="28">
          <cell r="A28">
            <v>8.02</v>
          </cell>
          <cell r="B28" t="str">
            <v>Junta de Dilatación, losa de aproximación-parapeto de estribo</v>
          </cell>
        </row>
        <row r="29">
          <cell r="A29" t="str">
            <v>08.02.01</v>
          </cell>
          <cell r="B29" t="str">
            <v>Plancha de neopreno DUREZA 60 (25.4mmx250mmxL m)</v>
          </cell>
          <cell r="C29" t="str">
            <v>dm3</v>
          </cell>
        </row>
        <row r="30">
          <cell r="A30">
            <v>8.0299999999999994</v>
          </cell>
          <cell r="B30" t="str">
            <v xml:space="preserve">Apoyos de Neopreno </v>
          </cell>
          <cell r="C30" t="str">
            <v>dm3</v>
          </cell>
        </row>
        <row r="31">
          <cell r="A31" t="str">
            <v>08.03.01</v>
          </cell>
          <cell r="B31" t="str">
            <v>Apoyos de Neopreno Dureza 60 e=1'' (25.4mmx300mmxL m)</v>
          </cell>
          <cell r="C31" t="str">
            <v>dm4</v>
          </cell>
        </row>
        <row r="32">
          <cell r="A32">
            <v>8.0500000000000007</v>
          </cell>
          <cell r="B32" t="str">
            <v>Tubos de Drenaje PVC SAP D=3" @ 2m</v>
          </cell>
        </row>
        <row r="33">
          <cell r="A33" t="str">
            <v>08.05.01</v>
          </cell>
          <cell r="B33" t="str">
            <v>Tubos de Drenaje PVC SAP D=3" @ 2m, Long.= 0.70 m.</v>
          </cell>
          <cell r="C33" t="str">
            <v>und</v>
          </cell>
        </row>
        <row r="34">
          <cell r="A34">
            <v>8.07</v>
          </cell>
          <cell r="B34" t="str">
            <v>Barandas Metálicas</v>
          </cell>
          <cell r="C34" t="str">
            <v>ml</v>
          </cell>
        </row>
        <row r="35">
          <cell r="A35">
            <v>8.08</v>
          </cell>
          <cell r="B35" t="str">
            <v>Carpeta asfáltica E= 3"</v>
          </cell>
          <cell r="C35" t="str">
            <v>m2</v>
          </cell>
        </row>
      </sheetData>
      <sheetData sheetId="3"/>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NEAS"/>
      <sheetName val="PRESUPUESTO"/>
      <sheetName val="Hoja1"/>
      <sheetName val="Hoja2"/>
      <sheetName val="Hoja3"/>
      <sheetName val="Hoja4"/>
      <sheetName val="TOTAL"/>
      <sheetName val="SE_Piura_Oeste"/>
      <sheetName val="SE_Santa_Rosa"/>
      <sheetName val="SE_San_Juan"/>
      <sheetName val="SE_Independencia"/>
      <sheetName val="SE_Ica"/>
      <sheetName val="SE_Chiclayo_Oeste"/>
      <sheetName val="SE_Trujillo_Norte"/>
      <sheetName val="SE_Chimbote1"/>
      <sheetName val="SE_Paramonga_Nueva"/>
      <sheetName val="SE_Chavarria"/>
      <sheetName val="Base Ret. y Pt."/>
      <sheetName val="1.2.1 RENDIMIENTO"/>
      <sheetName val="INGRESO"/>
      <sheetName val="CAP_120mm2"/>
      <sheetName val="CAP-120mm2"/>
      <sheetName val="Datos"/>
      <sheetName val="PLAN_CONFORME"/>
      <sheetName val="1_2_1_RENDIMIENTO"/>
      <sheetName val="Base_Ret__y_Pt_"/>
      <sheetName val="#¡REF"/>
      <sheetName val="1_2_1_RENDIMIENTO1"/>
      <sheetName val="Base_Ret__y_Pt_1"/>
      <sheetName val="18O"/>
    </sheetNames>
    <sheetDataSet>
      <sheetData sheetId="0">
        <row r="3">
          <cell r="B3" t="str">
            <v>OBRA</v>
          </cell>
          <cell r="C3" t="str">
            <v>SECCION</v>
          </cell>
          <cell r="D3" t="str">
            <v>LOCALIDAD</v>
          </cell>
          <cell r="E3" t="str">
            <v>DISTRITO</v>
          </cell>
          <cell r="F3" t="str">
            <v>PROVINCIA</v>
          </cell>
          <cell r="G3" t="str">
            <v>DEPARTAMENTO</v>
          </cell>
          <cell r="H3" t="str">
            <v>5-D-BRUTO</v>
          </cell>
          <cell r="I3" t="str">
            <v>POS_01</v>
          </cell>
          <cell r="J3" t="str">
            <v>N_POSTES</v>
          </cell>
          <cell r="K3" t="str">
            <v>POS_02</v>
          </cell>
          <cell r="L3" t="str">
            <v>6-D-BRUTO</v>
          </cell>
          <cell r="M3" t="str">
            <v>OP_EX</v>
          </cell>
          <cell r="N3" t="str">
            <v>PPS_RP</v>
          </cell>
          <cell r="O3" t="str">
            <v>PPS_LP</v>
          </cell>
          <cell r="P3" t="str">
            <v>CARTEL</v>
          </cell>
          <cell r="Q3" t="str">
            <v>CAMPA</v>
          </cell>
          <cell r="R3" t="str">
            <v>AAAC-25</v>
          </cell>
          <cell r="S3" t="str">
            <v>REP_RP</v>
          </cell>
          <cell r="T3" t="str">
            <v>CON_10</v>
          </cell>
          <cell r="U3" t="str">
            <v>CON_11</v>
          </cell>
          <cell r="V3" t="str">
            <v>R_3F</v>
          </cell>
          <cell r="W3" t="str">
            <v>C_3F</v>
          </cell>
          <cell r="X3" t="str">
            <v>R_2F</v>
          </cell>
          <cell r="Y3" t="str">
            <v>C_2F</v>
          </cell>
          <cell r="Z3" t="str">
            <v>R_MRT</v>
          </cell>
          <cell r="AA3" t="str">
            <v>C_MRT</v>
          </cell>
          <cell r="AB3" t="str">
            <v>PS1-3</v>
          </cell>
          <cell r="AC3" t="str">
            <v>PSH-3</v>
          </cell>
          <cell r="AD3" t="str">
            <v>PA1-3</v>
          </cell>
          <cell r="AE3" t="str">
            <v>P3A1-3</v>
          </cell>
          <cell r="AF3" t="str">
            <v>PA1H-3</v>
          </cell>
          <cell r="AG3" t="str">
            <v>P3A2-3</v>
          </cell>
          <cell r="AH3" t="str">
            <v>PA2-3</v>
          </cell>
          <cell r="AI3" t="str">
            <v>PA2H-3</v>
          </cell>
          <cell r="AJ3" t="str">
            <v>PA3-3</v>
          </cell>
          <cell r="AK3" t="str">
            <v>PR3-3</v>
          </cell>
          <cell r="AL3" t="str">
            <v>PRH-3</v>
          </cell>
          <cell r="AM3" t="str">
            <v>PTH-3</v>
          </cell>
          <cell r="AN3" t="str">
            <v>3PR3-0</v>
          </cell>
          <cell r="AO3" t="str">
            <v>PSEC-3P</v>
          </cell>
          <cell r="AP3" t="str">
            <v>PS1-0</v>
          </cell>
          <cell r="AQ3" t="str">
            <v>PA1-0</v>
          </cell>
          <cell r="AR3" t="str">
            <v>PA2-0</v>
          </cell>
          <cell r="AS3" t="str">
            <v>PA3-0</v>
          </cell>
          <cell r="AT3" t="str">
            <v>PR3-0</v>
          </cell>
          <cell r="AU3" t="str">
            <v>PTV-0</v>
          </cell>
          <cell r="AV3" t="str">
            <v>PTV-0-SP</v>
          </cell>
          <cell r="AW3" t="str">
            <v>PSEC-0P</v>
          </cell>
          <cell r="AX3" t="str">
            <v>PS1-2</v>
          </cell>
          <cell r="AY3" t="str">
            <v>PA1-2</v>
          </cell>
          <cell r="AZ3" t="str">
            <v>PA2-2</v>
          </cell>
          <cell r="BA3" t="str">
            <v>PA3-2</v>
          </cell>
          <cell r="BB3" t="str">
            <v>PR3-2</v>
          </cell>
          <cell r="BC3" t="str">
            <v>PTH-2</v>
          </cell>
          <cell r="BD3" t="str">
            <v>PSEC-2P</v>
          </cell>
          <cell r="BE3" t="str">
            <v>PTV-2</v>
          </cell>
          <cell r="BF3" t="str">
            <v>2PR3-0</v>
          </cell>
          <cell r="BG3" t="str">
            <v>PAT-1</v>
          </cell>
          <cell r="BH3" t="str">
            <v>PAT-2</v>
          </cell>
          <cell r="BI3" t="str">
            <v>R1-A</v>
          </cell>
          <cell r="BJ3" t="str">
            <v>RV-A</v>
          </cell>
          <cell r="BK3" t="str">
            <v>T-75</v>
          </cell>
          <cell r="BL3" t="str">
            <v>T-50</v>
          </cell>
          <cell r="BM3" t="str">
            <v>T-40</v>
          </cell>
          <cell r="BN3" t="str">
            <v>T-25</v>
          </cell>
          <cell r="BO3" t="str">
            <v>T-15</v>
          </cell>
          <cell r="BP3" t="str">
            <v>T-10</v>
          </cell>
          <cell r="BQ3" t="str">
            <v>SMM-1P</v>
          </cell>
          <cell r="BR3" t="str">
            <v>STB</v>
          </cell>
        </row>
        <row r="4">
          <cell r="A4">
            <v>1</v>
          </cell>
          <cell r="B4" t="str">
            <v>P.S.E. ASOCIADO  A  LA  C.H.  TABACONAS</v>
          </cell>
          <cell r="C4" t="str">
            <v>RED  DE  DISTRIBUCION  PRIMARIA     13.2kV  MRT</v>
          </cell>
          <cell r="D4" t="str">
            <v>TABACONAS</v>
          </cell>
          <cell r="E4" t="str">
            <v>TABACONAS</v>
          </cell>
          <cell r="F4" t="str">
            <v>SAN  IGNACIO</v>
          </cell>
          <cell r="G4" t="str">
            <v>CAJAMARCA</v>
          </cell>
          <cell r="H4">
            <v>1</v>
          </cell>
          <cell r="I4">
            <v>1</v>
          </cell>
          <cell r="J4">
            <v>5</v>
          </cell>
          <cell r="K4">
            <v>4</v>
          </cell>
          <cell r="L4">
            <v>5</v>
          </cell>
          <cell r="M4">
            <v>0.5</v>
          </cell>
          <cell r="N4">
            <v>0.16666666666666666</v>
          </cell>
          <cell r="R4">
            <v>0.35</v>
          </cell>
          <cell r="S4">
            <v>0.34</v>
          </cell>
          <cell r="T4">
            <v>1</v>
          </cell>
          <cell r="U4">
            <v>1</v>
          </cell>
          <cell r="W4">
            <v>0</v>
          </cell>
          <cell r="Y4">
            <v>0</v>
          </cell>
          <cell r="Z4">
            <v>0.33700000000000002</v>
          </cell>
          <cell r="AA4">
            <v>0.35</v>
          </cell>
          <cell r="AP4">
            <v>2</v>
          </cell>
          <cell r="AS4">
            <v>1</v>
          </cell>
          <cell r="AU4">
            <v>2</v>
          </cell>
          <cell r="BG4">
            <v>1</v>
          </cell>
          <cell r="BH4">
            <v>3</v>
          </cell>
          <cell r="BI4">
            <v>3</v>
          </cell>
          <cell r="BN4">
            <v>1</v>
          </cell>
          <cell r="BQ4">
            <v>1</v>
          </cell>
        </row>
        <row r="5">
          <cell r="A5">
            <v>2</v>
          </cell>
          <cell r="B5" t="str">
            <v>P.S.E. ASOCIADO  A  LA  C.H.  TABACONAS</v>
          </cell>
          <cell r="C5" t="str">
            <v>RED  DE  DISTRIBUCION  PRIMARIA     13.2kV  MRT</v>
          </cell>
          <cell r="D5" t="str">
            <v>GRANADILLAS BAJO</v>
          </cell>
          <cell r="E5" t="str">
            <v>TABACONAS</v>
          </cell>
          <cell r="F5" t="str">
            <v>SAN  IGNACIO</v>
          </cell>
          <cell r="G5" t="str">
            <v>CAJAMARCA</v>
          </cell>
          <cell r="H5">
            <v>1</v>
          </cell>
          <cell r="I5">
            <v>1</v>
          </cell>
          <cell r="J5">
            <v>4</v>
          </cell>
          <cell r="K5">
            <v>3</v>
          </cell>
          <cell r="L5">
            <v>4</v>
          </cell>
          <cell r="M5">
            <v>0.1</v>
          </cell>
          <cell r="N5">
            <v>0.16666666666666666</v>
          </cell>
          <cell r="R5">
            <v>0.16</v>
          </cell>
          <cell r="S5">
            <v>0.16</v>
          </cell>
          <cell r="T5">
            <v>1</v>
          </cell>
          <cell r="U5">
            <v>1</v>
          </cell>
          <cell r="W5">
            <v>0</v>
          </cell>
          <cell r="Y5">
            <v>0</v>
          </cell>
          <cell r="Z5">
            <v>0.156</v>
          </cell>
          <cell r="AA5">
            <v>0.16</v>
          </cell>
          <cell r="AP5">
            <v>1</v>
          </cell>
          <cell r="AQ5">
            <v>1</v>
          </cell>
          <cell r="AU5">
            <v>2</v>
          </cell>
          <cell r="BG5">
            <v>1</v>
          </cell>
          <cell r="BH5">
            <v>2</v>
          </cell>
          <cell r="BI5">
            <v>2</v>
          </cell>
          <cell r="BO5">
            <v>1</v>
          </cell>
          <cell r="BQ5">
            <v>1</v>
          </cell>
        </row>
        <row r="6">
          <cell r="A6">
            <v>3</v>
          </cell>
          <cell r="B6" t="str">
            <v>P.S.E. ASOCIADO  A  LA  C.H.  TABACONAS</v>
          </cell>
          <cell r="C6" t="str">
            <v>RED  DE  DISTRIBUCION  PRIMARIA     13.2kV  MRT</v>
          </cell>
          <cell r="D6" t="str">
            <v>MANCHARA</v>
          </cell>
          <cell r="E6" t="str">
            <v>TABACONAS</v>
          </cell>
          <cell r="F6" t="str">
            <v>SAN  IGNACIO</v>
          </cell>
          <cell r="G6" t="str">
            <v>CAJAMARCA</v>
          </cell>
          <cell r="H6">
            <v>1</v>
          </cell>
          <cell r="I6">
            <v>1</v>
          </cell>
          <cell r="J6">
            <v>2</v>
          </cell>
          <cell r="K6">
            <v>1</v>
          </cell>
          <cell r="L6">
            <v>2</v>
          </cell>
          <cell r="M6">
            <v>0.1</v>
          </cell>
          <cell r="N6">
            <v>0.16666666666666666</v>
          </cell>
          <cell r="R6">
            <v>7.0000000000000007E-2</v>
          </cell>
          <cell r="S6">
            <v>7.0000000000000007E-2</v>
          </cell>
          <cell r="T6">
            <v>1</v>
          </cell>
          <cell r="U6">
            <v>1</v>
          </cell>
          <cell r="W6">
            <v>0</v>
          </cell>
          <cell r="Y6">
            <v>0</v>
          </cell>
          <cell r="Z6">
            <v>7.0000000000000007E-2</v>
          </cell>
          <cell r="AA6">
            <v>7.0000000000000007E-2</v>
          </cell>
          <cell r="AU6">
            <v>2</v>
          </cell>
          <cell r="BG6">
            <v>1</v>
          </cell>
          <cell r="BI6">
            <v>2</v>
          </cell>
          <cell r="BP6">
            <v>1</v>
          </cell>
          <cell r="BQ6">
            <v>1</v>
          </cell>
        </row>
        <row r="7">
          <cell r="A7">
            <v>4</v>
          </cell>
          <cell r="B7" t="str">
            <v>P.S.E. ASOCIADO  A  LA  C.H.  TABACONAS</v>
          </cell>
          <cell r="C7" t="str">
            <v>RED  DE  DISTRIBUCION  PRIMARIA     13.2kV  MRT</v>
          </cell>
          <cell r="D7" t="str">
            <v>YUSHCAPAMPA</v>
          </cell>
          <cell r="E7" t="str">
            <v>TABACONAS</v>
          </cell>
          <cell r="F7" t="str">
            <v>SAN  IGNACIO</v>
          </cell>
          <cell r="G7" t="str">
            <v>CAJAMARCA</v>
          </cell>
          <cell r="H7">
            <v>1</v>
          </cell>
          <cell r="I7">
            <v>1</v>
          </cell>
          <cell r="J7">
            <v>2</v>
          </cell>
          <cell r="K7">
            <v>1</v>
          </cell>
          <cell r="L7">
            <v>3</v>
          </cell>
          <cell r="M7">
            <v>0.1</v>
          </cell>
          <cell r="N7">
            <v>0.16666666666666666</v>
          </cell>
          <cell r="R7">
            <v>0.15</v>
          </cell>
          <cell r="S7">
            <v>0.14000000000000001</v>
          </cell>
          <cell r="T7">
            <v>1</v>
          </cell>
          <cell r="U7">
            <v>1</v>
          </cell>
          <cell r="W7">
            <v>0</v>
          </cell>
          <cell r="Y7">
            <v>0</v>
          </cell>
          <cell r="Z7">
            <v>0.14099999999999999</v>
          </cell>
          <cell r="AA7">
            <v>0.15</v>
          </cell>
          <cell r="AT7">
            <v>1</v>
          </cell>
          <cell r="AU7">
            <v>2</v>
          </cell>
          <cell r="BG7">
            <v>1</v>
          </cell>
          <cell r="BH7">
            <v>1</v>
          </cell>
          <cell r="BI7">
            <v>2</v>
          </cell>
          <cell r="BP7">
            <v>1</v>
          </cell>
          <cell r="BQ7">
            <v>1</v>
          </cell>
        </row>
        <row r="8">
          <cell r="A8">
            <v>5</v>
          </cell>
          <cell r="B8" t="str">
            <v>P.S.E. ASOCIADO  A  LA  C.H.  TABACONAS</v>
          </cell>
          <cell r="C8" t="str">
            <v>RED  DE  DISTRIBUCION  PRIMARIA     13.2kV  MRT</v>
          </cell>
          <cell r="D8" t="str">
            <v>RODEO PAMPA</v>
          </cell>
          <cell r="E8" t="str">
            <v>TABACONAS</v>
          </cell>
          <cell r="F8" t="str">
            <v>SAN  IGNACIO</v>
          </cell>
          <cell r="G8" t="str">
            <v>CAJAMARCA</v>
          </cell>
          <cell r="H8">
            <v>1</v>
          </cell>
          <cell r="I8">
            <v>1</v>
          </cell>
          <cell r="J8">
            <v>3</v>
          </cell>
          <cell r="K8">
            <v>2</v>
          </cell>
          <cell r="L8">
            <v>4</v>
          </cell>
          <cell r="M8">
            <v>0.1</v>
          </cell>
          <cell r="N8">
            <v>0.16666666666666666</v>
          </cell>
          <cell r="R8">
            <v>0.25</v>
          </cell>
          <cell r="S8">
            <v>0.24</v>
          </cell>
          <cell r="T8">
            <v>1</v>
          </cell>
          <cell r="U8">
            <v>1</v>
          </cell>
          <cell r="W8">
            <v>0</v>
          </cell>
          <cell r="Y8">
            <v>0</v>
          </cell>
          <cell r="Z8">
            <v>0.23899999999999999</v>
          </cell>
          <cell r="AA8">
            <v>0.25</v>
          </cell>
          <cell r="AP8">
            <v>1</v>
          </cell>
          <cell r="AT8">
            <v>1</v>
          </cell>
          <cell r="AU8">
            <v>2</v>
          </cell>
          <cell r="BG8">
            <v>1</v>
          </cell>
          <cell r="BH8">
            <v>2</v>
          </cell>
          <cell r="BI8">
            <v>2</v>
          </cell>
          <cell r="BP8">
            <v>1</v>
          </cell>
          <cell r="BQ8">
            <v>1</v>
          </cell>
        </row>
        <row r="9">
          <cell r="A9">
            <v>6</v>
          </cell>
          <cell r="B9" t="str">
            <v>P.S.E. ASOCIADO  A  LA  C.H.  TABACONAS</v>
          </cell>
          <cell r="C9" t="str">
            <v>RED  DE  DISTRIBUCION  PRIMARIA     13.2kV  MRT</v>
          </cell>
          <cell r="D9" t="str">
            <v>PAMPA LIMON</v>
          </cell>
          <cell r="E9" t="str">
            <v>TABACONAS</v>
          </cell>
          <cell r="F9" t="str">
            <v>SAN  IGNACIO</v>
          </cell>
          <cell r="G9" t="str">
            <v>CAJAMARCA</v>
          </cell>
          <cell r="H9">
            <v>1</v>
          </cell>
          <cell r="I9">
            <v>1</v>
          </cell>
          <cell r="J9">
            <v>1</v>
          </cell>
          <cell r="K9">
            <v>0</v>
          </cell>
          <cell r="L9">
            <v>2</v>
          </cell>
          <cell r="M9">
            <v>0.1</v>
          </cell>
          <cell r="N9">
            <v>0.16666666666666666</v>
          </cell>
          <cell r="R9">
            <v>0.04</v>
          </cell>
          <cell r="S9">
            <v>0.04</v>
          </cell>
          <cell r="T9">
            <v>1</v>
          </cell>
          <cell r="U9">
            <v>1</v>
          </cell>
          <cell r="W9">
            <v>0</v>
          </cell>
          <cell r="Y9">
            <v>0</v>
          </cell>
          <cell r="Z9">
            <v>4.1000000000000002E-2</v>
          </cell>
          <cell r="AA9">
            <v>0.04</v>
          </cell>
          <cell r="AU9">
            <v>2</v>
          </cell>
          <cell r="BG9">
            <v>1</v>
          </cell>
          <cell r="BO9">
            <v>1</v>
          </cell>
          <cell r="BQ9">
            <v>1</v>
          </cell>
        </row>
        <row r="10">
          <cell r="A10">
            <v>7</v>
          </cell>
          <cell r="B10" t="str">
            <v>P.S.E. ASOCIADO  A  LA  C.H.  TABACONAS</v>
          </cell>
          <cell r="C10" t="str">
            <v>RED  DE  DISTRIBUCION  PRIMARIA     13.2kV  MRT</v>
          </cell>
          <cell r="D10" t="str">
            <v>RESUMEN   GENERAL</v>
          </cell>
          <cell r="E10" t="str">
            <v>TABACONAS</v>
          </cell>
          <cell r="F10" t="str">
            <v>SAN  IGNACIO</v>
          </cell>
          <cell r="G10" t="str">
            <v>CAJAMARCA</v>
          </cell>
          <cell r="H10">
            <v>6</v>
          </cell>
          <cell r="I10">
            <v>6</v>
          </cell>
          <cell r="J10">
            <v>17</v>
          </cell>
          <cell r="K10">
            <v>11</v>
          </cell>
          <cell r="L10">
            <v>20</v>
          </cell>
          <cell r="M10">
            <v>0.99999999999999989</v>
          </cell>
          <cell r="N10">
            <v>0.99999999999999989</v>
          </cell>
          <cell r="P10">
            <v>0</v>
          </cell>
          <cell r="Q10">
            <v>0</v>
          </cell>
          <cell r="R10">
            <v>1.02</v>
          </cell>
          <cell r="S10">
            <v>0.9900000000000001</v>
          </cell>
          <cell r="T10">
            <v>6</v>
          </cell>
          <cell r="U10">
            <v>6</v>
          </cell>
          <cell r="V10">
            <v>0</v>
          </cell>
          <cell r="W10">
            <v>0</v>
          </cell>
          <cell r="X10">
            <v>0</v>
          </cell>
          <cell r="Y10">
            <v>0</v>
          </cell>
          <cell r="Z10">
            <v>0.98399999999999999</v>
          </cell>
          <cell r="AA10">
            <v>1.02</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4</v>
          </cell>
          <cell r="AQ10">
            <v>1</v>
          </cell>
          <cell r="AR10">
            <v>0</v>
          </cell>
          <cell r="AS10">
            <v>1</v>
          </cell>
          <cell r="AT10">
            <v>2</v>
          </cell>
          <cell r="AU10">
            <v>12</v>
          </cell>
          <cell r="AV10">
            <v>0</v>
          </cell>
          <cell r="AW10">
            <v>0</v>
          </cell>
          <cell r="AX10">
            <v>0</v>
          </cell>
          <cell r="AY10">
            <v>0</v>
          </cell>
          <cell r="AZ10">
            <v>0</v>
          </cell>
          <cell r="BA10">
            <v>0</v>
          </cell>
          <cell r="BB10">
            <v>0</v>
          </cell>
          <cell r="BC10">
            <v>0</v>
          </cell>
          <cell r="BD10">
            <v>0</v>
          </cell>
          <cell r="BE10">
            <v>0</v>
          </cell>
          <cell r="BF10">
            <v>0</v>
          </cell>
          <cell r="BG10">
            <v>6</v>
          </cell>
          <cell r="BH10">
            <v>8</v>
          </cell>
          <cell r="BI10">
            <v>11</v>
          </cell>
          <cell r="BJ10">
            <v>0</v>
          </cell>
          <cell r="BK10">
            <v>0</v>
          </cell>
          <cell r="BL10">
            <v>0</v>
          </cell>
          <cell r="BM10">
            <v>0</v>
          </cell>
          <cell r="BN10">
            <v>1</v>
          </cell>
          <cell r="BO10">
            <v>2</v>
          </cell>
          <cell r="BP10">
            <v>3</v>
          </cell>
          <cell r="BQ10">
            <v>6</v>
          </cell>
          <cell r="BR10">
            <v>0</v>
          </cell>
        </row>
        <row r="11">
          <cell r="A11">
            <v>8</v>
          </cell>
          <cell r="B11" t="str">
            <v>P.S.E. ASOCIADO  A  LA  C.H.  SALLIQUE</v>
          </cell>
          <cell r="C11" t="str">
            <v>L.P. TRONCAL C.H. SALLIQUE-SALLIQUE 22.9kV TRIFASICO</v>
          </cell>
          <cell r="D11" t="str">
            <v>SALLIQUE</v>
          </cell>
          <cell r="E11" t="str">
            <v>SALLIQUE</v>
          </cell>
          <cell r="F11" t="str">
            <v>JAEN</v>
          </cell>
          <cell r="G11" t="str">
            <v>CAJAMARCA</v>
          </cell>
          <cell r="J11">
            <v>2</v>
          </cell>
          <cell r="K11">
            <v>2</v>
          </cell>
          <cell r="L11">
            <v>2</v>
          </cell>
          <cell r="V11">
            <v>0.11434</v>
          </cell>
          <cell r="W11">
            <v>0.36</v>
          </cell>
          <cell r="AB11">
            <v>1</v>
          </cell>
          <cell r="AO11">
            <v>1</v>
          </cell>
          <cell r="BG11">
            <v>2</v>
          </cell>
          <cell r="BH11">
            <v>0</v>
          </cell>
          <cell r="BI11">
            <v>1</v>
          </cell>
          <cell r="BQ11">
            <v>0</v>
          </cell>
          <cell r="BR11">
            <v>0</v>
          </cell>
        </row>
        <row r="12">
          <cell r="A12">
            <v>9</v>
          </cell>
          <cell r="B12" t="str">
            <v>P.S.E. ASOCIADO  A  LA  C.H.  SALLIQUE</v>
          </cell>
          <cell r="C12" t="str">
            <v>L.P. DERIVACION  PIQUIJACA 13.2kV MRT</v>
          </cell>
          <cell r="D12" t="str">
            <v>PIQUIJACA</v>
          </cell>
          <cell r="E12" t="str">
            <v>SALLIQUE</v>
          </cell>
          <cell r="F12" t="str">
            <v>JAEN</v>
          </cell>
          <cell r="G12" t="str">
            <v>CAJAMARCA</v>
          </cell>
          <cell r="J12">
            <v>36</v>
          </cell>
          <cell r="K12">
            <v>36</v>
          </cell>
          <cell r="L12">
            <v>36</v>
          </cell>
          <cell r="W12">
            <v>0</v>
          </cell>
          <cell r="Z12">
            <v>9.3792899999999992</v>
          </cell>
          <cell r="AP12">
            <v>13</v>
          </cell>
          <cell r="AQ12">
            <v>1</v>
          </cell>
          <cell r="AT12">
            <v>20</v>
          </cell>
          <cell r="AU12">
            <v>1</v>
          </cell>
          <cell r="AW12">
            <v>1</v>
          </cell>
          <cell r="BG12">
            <v>4</v>
          </cell>
          <cell r="BH12">
            <v>32</v>
          </cell>
          <cell r="BI12">
            <v>44</v>
          </cell>
          <cell r="BQ12">
            <v>0</v>
          </cell>
          <cell r="BR12">
            <v>0</v>
          </cell>
        </row>
        <row r="13">
          <cell r="A13">
            <v>10</v>
          </cell>
          <cell r="B13" t="str">
            <v>P.S.E. ASOCIADO  A  LA  C.H.  SALLIQUE</v>
          </cell>
          <cell r="C13" t="str">
            <v>L.P. RAMAL CATALA  13.2kV MRT</v>
          </cell>
          <cell r="D13" t="str">
            <v>CATALA</v>
          </cell>
          <cell r="E13" t="str">
            <v>SALLIQUE</v>
          </cell>
          <cell r="F13" t="str">
            <v>JAEN</v>
          </cell>
          <cell r="G13" t="str">
            <v>CAJAMARCA</v>
          </cell>
          <cell r="I13">
            <v>1</v>
          </cell>
          <cell r="J13">
            <v>4</v>
          </cell>
          <cell r="K13">
            <v>3</v>
          </cell>
          <cell r="L13">
            <v>5</v>
          </cell>
          <cell r="W13">
            <v>0</v>
          </cell>
          <cell r="Z13">
            <v>0.75175000000000003</v>
          </cell>
          <cell r="AT13">
            <v>3</v>
          </cell>
          <cell r="AU13">
            <v>2</v>
          </cell>
          <cell r="BG13">
            <v>0</v>
          </cell>
          <cell r="BH13">
            <v>3</v>
          </cell>
          <cell r="BI13">
            <v>8</v>
          </cell>
          <cell r="BQ13">
            <v>0</v>
          </cell>
          <cell r="BR13">
            <v>0</v>
          </cell>
        </row>
        <row r="14">
          <cell r="A14">
            <v>11</v>
          </cell>
          <cell r="B14" t="str">
            <v>P.S.E. ASOCIADO  A  LA  C.H.  SALLIQUE</v>
          </cell>
          <cell r="C14" t="str">
            <v>L.P. DERIVACION  SHIMANA 13.2kV MRT</v>
          </cell>
          <cell r="D14" t="str">
            <v>SHIMANA</v>
          </cell>
          <cell r="E14" t="str">
            <v>SALLIQUE</v>
          </cell>
          <cell r="F14" t="str">
            <v>JAEN</v>
          </cell>
          <cell r="G14" t="str">
            <v>CAJAMARCA</v>
          </cell>
          <cell r="J14">
            <v>13</v>
          </cell>
          <cell r="K14">
            <v>13</v>
          </cell>
          <cell r="L14">
            <v>13</v>
          </cell>
          <cell r="W14">
            <v>0</v>
          </cell>
          <cell r="Z14">
            <v>2.4500000000000002</v>
          </cell>
          <cell r="AP14">
            <v>8</v>
          </cell>
          <cell r="AT14">
            <v>3</v>
          </cell>
          <cell r="AU14">
            <v>1</v>
          </cell>
          <cell r="AW14">
            <v>1</v>
          </cell>
          <cell r="BG14">
            <v>1</v>
          </cell>
          <cell r="BH14">
            <v>12</v>
          </cell>
          <cell r="BI14">
            <v>8</v>
          </cell>
          <cell r="BQ14">
            <v>0</v>
          </cell>
          <cell r="BR14">
            <v>0</v>
          </cell>
        </row>
        <row r="15">
          <cell r="A15">
            <v>12</v>
          </cell>
          <cell r="B15" t="str">
            <v>P.S.E. ASOCIADO  A  LA  C.H.  SALLIQUE</v>
          </cell>
          <cell r="C15" t="str">
            <v>L.P. DERIVACION  AYACATE 13.2kV MRT</v>
          </cell>
          <cell r="D15" t="str">
            <v>AYACATE</v>
          </cell>
          <cell r="E15" t="str">
            <v>SALLIQUE</v>
          </cell>
          <cell r="F15" t="str">
            <v>JAEN</v>
          </cell>
          <cell r="G15" t="str">
            <v>CAJAMARCA</v>
          </cell>
          <cell r="I15">
            <v>1</v>
          </cell>
          <cell r="J15">
            <v>15</v>
          </cell>
          <cell r="K15">
            <v>14</v>
          </cell>
          <cell r="L15">
            <v>15</v>
          </cell>
          <cell r="W15">
            <v>0</v>
          </cell>
          <cell r="Z15">
            <v>4.01</v>
          </cell>
          <cell r="AP15">
            <v>5</v>
          </cell>
          <cell r="AT15">
            <v>8</v>
          </cell>
          <cell r="AU15">
            <v>1</v>
          </cell>
          <cell r="AW15">
            <v>1</v>
          </cell>
          <cell r="BG15">
            <v>2</v>
          </cell>
          <cell r="BH15">
            <v>12</v>
          </cell>
          <cell r="BI15">
            <v>18</v>
          </cell>
          <cell r="BQ15">
            <v>0</v>
          </cell>
          <cell r="BR15">
            <v>0</v>
          </cell>
        </row>
        <row r="16">
          <cell r="A16">
            <v>13</v>
          </cell>
          <cell r="B16" t="str">
            <v>P.S.E. ASOCIADO  A  LA  C.H.  SALLIQUE</v>
          </cell>
          <cell r="C16" t="str">
            <v>L.P. RAMAL TABACAL  13.2kV MRT</v>
          </cell>
          <cell r="D16" t="str">
            <v>TABACAL</v>
          </cell>
          <cell r="E16" t="str">
            <v>SALLIQUE</v>
          </cell>
          <cell r="F16" t="str">
            <v>JAEN</v>
          </cell>
          <cell r="G16" t="str">
            <v>CAJAMARCA</v>
          </cell>
          <cell r="J16">
            <v>3</v>
          </cell>
          <cell r="K16">
            <v>3</v>
          </cell>
          <cell r="L16">
            <v>4</v>
          </cell>
          <cell r="W16">
            <v>0</v>
          </cell>
          <cell r="Z16">
            <v>0.54576999999999998</v>
          </cell>
          <cell r="AT16">
            <v>2</v>
          </cell>
          <cell r="AU16">
            <v>2</v>
          </cell>
          <cell r="BG16">
            <v>1</v>
          </cell>
          <cell r="BH16">
            <v>2</v>
          </cell>
          <cell r="BI16">
            <v>5</v>
          </cell>
          <cell r="BQ16">
            <v>0</v>
          </cell>
          <cell r="BR16">
            <v>0</v>
          </cell>
        </row>
        <row r="17">
          <cell r="A17">
            <v>14</v>
          </cell>
          <cell r="B17" t="str">
            <v>P.S.E. ASOCIADO  A  LA  C.H.  SALLIQUE</v>
          </cell>
          <cell r="C17" t="str">
            <v>LINEAS  PRIMARIAS   22.9/13.2kV - MRT  -   RESUMEN  GENERAL</v>
          </cell>
          <cell r="D17" t="str">
            <v>RESUMEN   GENERAL</v>
          </cell>
          <cell r="E17" t="str">
            <v>SALLIQUE</v>
          </cell>
          <cell r="F17" t="str">
            <v>JAEN</v>
          </cell>
          <cell r="G17" t="str">
            <v>CAJAMARCA</v>
          </cell>
          <cell r="H17">
            <v>0</v>
          </cell>
          <cell r="I17">
            <v>2</v>
          </cell>
          <cell r="J17">
            <v>73</v>
          </cell>
          <cell r="K17">
            <v>71</v>
          </cell>
          <cell r="L17">
            <v>75</v>
          </cell>
          <cell r="M17">
            <v>0</v>
          </cell>
          <cell r="N17">
            <v>0</v>
          </cell>
          <cell r="O17">
            <v>0</v>
          </cell>
          <cell r="P17">
            <v>0</v>
          </cell>
          <cell r="Q17">
            <v>0</v>
          </cell>
          <cell r="R17">
            <v>0</v>
          </cell>
          <cell r="S17">
            <v>0</v>
          </cell>
          <cell r="V17">
            <v>0.11434</v>
          </cell>
          <cell r="W17">
            <v>0.36</v>
          </cell>
          <cell r="X17">
            <v>0</v>
          </cell>
          <cell r="Y17">
            <v>0</v>
          </cell>
          <cell r="Z17">
            <v>17.136810000000001</v>
          </cell>
          <cell r="AA17">
            <v>0</v>
          </cell>
          <cell r="AB17">
            <v>1</v>
          </cell>
          <cell r="AC17">
            <v>0</v>
          </cell>
          <cell r="AD17">
            <v>0</v>
          </cell>
          <cell r="AE17">
            <v>0</v>
          </cell>
          <cell r="AF17">
            <v>0</v>
          </cell>
          <cell r="AG17">
            <v>0</v>
          </cell>
          <cell r="AH17">
            <v>0</v>
          </cell>
          <cell r="AI17">
            <v>0</v>
          </cell>
          <cell r="AJ17">
            <v>0</v>
          </cell>
          <cell r="AK17">
            <v>0</v>
          </cell>
          <cell r="AL17">
            <v>0</v>
          </cell>
          <cell r="AM17">
            <v>0</v>
          </cell>
          <cell r="AN17">
            <v>0</v>
          </cell>
          <cell r="AO17">
            <v>1</v>
          </cell>
          <cell r="AP17">
            <v>26</v>
          </cell>
          <cell r="AQ17">
            <v>1</v>
          </cell>
          <cell r="AR17">
            <v>0</v>
          </cell>
          <cell r="AS17">
            <v>0</v>
          </cell>
          <cell r="AT17">
            <v>36</v>
          </cell>
          <cell r="AU17">
            <v>7</v>
          </cell>
          <cell r="AV17">
            <v>0</v>
          </cell>
          <cell r="AW17">
            <v>3</v>
          </cell>
          <cell r="AX17">
            <v>0</v>
          </cell>
          <cell r="AY17">
            <v>0</v>
          </cell>
          <cell r="AZ17">
            <v>0</v>
          </cell>
          <cell r="BA17">
            <v>0</v>
          </cell>
          <cell r="BB17">
            <v>0</v>
          </cell>
          <cell r="BC17">
            <v>0</v>
          </cell>
          <cell r="BD17">
            <v>0</v>
          </cell>
          <cell r="BE17">
            <v>0</v>
          </cell>
          <cell r="BF17">
            <v>0</v>
          </cell>
          <cell r="BG17">
            <v>10</v>
          </cell>
          <cell r="BH17">
            <v>61</v>
          </cell>
          <cell r="BI17">
            <v>84</v>
          </cell>
          <cell r="BJ17">
            <v>0</v>
          </cell>
          <cell r="BK17">
            <v>0</v>
          </cell>
          <cell r="BL17">
            <v>0</v>
          </cell>
          <cell r="BM17">
            <v>0</v>
          </cell>
          <cell r="BN17">
            <v>0</v>
          </cell>
          <cell r="BO17">
            <v>0</v>
          </cell>
          <cell r="BP17">
            <v>0</v>
          </cell>
          <cell r="BQ17">
            <v>0</v>
          </cell>
          <cell r="BR17">
            <v>0</v>
          </cell>
        </row>
        <row r="18">
          <cell r="A18">
            <v>15</v>
          </cell>
          <cell r="B18" t="str">
            <v>P.S.E. ASOCIADO  A  LA  C.H.  HUALLAPE</v>
          </cell>
          <cell r="C18" t="str">
            <v>L.P. TRONCAL HUALLAPE 22.9kV TRIFASICO</v>
          </cell>
          <cell r="D18" t="str">
            <v>HUALLAPE</v>
          </cell>
          <cell r="E18" t="str">
            <v>SANTA ROSA</v>
          </cell>
          <cell r="F18" t="str">
            <v>JAEN</v>
          </cell>
          <cell r="G18" t="str">
            <v>CAJAMARCA</v>
          </cell>
          <cell r="J18">
            <v>38</v>
          </cell>
          <cell r="K18">
            <v>38</v>
          </cell>
          <cell r="L18">
            <v>38</v>
          </cell>
          <cell r="V18">
            <v>6.4194699999999996</v>
          </cell>
          <cell r="W18">
            <v>20.22</v>
          </cell>
          <cell r="AB18">
            <v>31</v>
          </cell>
          <cell r="AD18">
            <v>1</v>
          </cell>
          <cell r="AH18">
            <v>2</v>
          </cell>
          <cell r="AJ18">
            <v>1</v>
          </cell>
          <cell r="AK18">
            <v>1</v>
          </cell>
          <cell r="AM18">
            <v>1</v>
          </cell>
          <cell r="AO18">
            <v>1</v>
          </cell>
          <cell r="BG18">
            <v>3</v>
          </cell>
          <cell r="BH18">
            <v>35</v>
          </cell>
          <cell r="BI18">
            <v>10</v>
          </cell>
          <cell r="BQ18">
            <v>0</v>
          </cell>
          <cell r="BR18">
            <v>0</v>
          </cell>
        </row>
      </sheetData>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sheetData sheetId="29"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ORIZACION 10"/>
    </sheetNames>
    <sheetDataSet>
      <sheetData sheetId="0">
        <row r="90">
          <cell r="J90">
            <v>1109209.17</v>
          </cell>
        </row>
      </sheetData>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NEAS"/>
      <sheetName val="PRESUPUESTO"/>
      <sheetName val="Hoja1"/>
      <sheetName val="Hoja2"/>
      <sheetName val="Hoja3"/>
      <sheetName val="DATOS"/>
      <sheetName val="Hoja4"/>
      <sheetName val="FORMULA"/>
      <sheetName val="CALENDARIO"/>
      <sheetName val="REV3"/>
      <sheetName val="CAP-120mm2"/>
      <sheetName val="INGRESO"/>
      <sheetName val="RES"/>
      <sheetName val="CENSO93"/>
      <sheetName val="Datos de Entrada"/>
      <sheetName val="1.2.1 RENDIMIENTO"/>
      <sheetName val="FORMA-SE2"/>
      <sheetName val="Plani"/>
      <sheetName val="Datos de la localidad"/>
      <sheetName val="Analisis de la T.C. - 2.2"/>
      <sheetName val="#¡REF"/>
      <sheetName val="QURR"/>
      <sheetName val="PLANILLA GENERAL"/>
      <sheetName val="LOCALIDADES"/>
      <sheetName val="Datos de la lkcalidad"/>
      <sheetName val="#¡RED"/>
      <sheetName val="CALCULO"/>
      <sheetName val="DATA"/>
      <sheetName val="PLANILLA LP 22.9 kV"/>
      <sheetName val="Hoja79"/>
      <sheetName val="Resumen-RS"/>
      <sheetName val="CC"/>
      <sheetName val="3. Manpower"/>
      <sheetName val="DATOS DE CAMPO"/>
      <sheetName val="P-A-D"/>
      <sheetName val="FlujoTJ"/>
      <sheetName val="EVAL"/>
      <sheetName val="Matriz"/>
      <sheetName val="C-WATT"/>
      <sheetName val="SE_Piura_Oeste"/>
      <sheetName val="SE_Santa_Rosa"/>
      <sheetName val="SE_San_Juan"/>
      <sheetName val="SE_Independencia"/>
      <sheetName val="SE_Ica"/>
      <sheetName val="SE_Chiclayo_Oeste"/>
      <sheetName val="SE_Trujillo_Norte"/>
      <sheetName val="SE_Chimbote1"/>
      <sheetName val="SE_Paramonga_Nueva"/>
      <sheetName val="SE_Chavarria"/>
      <sheetName val="Tipo de Cambio"/>
      <sheetName val="1_2_1_RENDIMIENTO"/>
      <sheetName val="Datos_de_Entrada"/>
      <sheetName val="Datos_de_la_localidad"/>
      <sheetName val="Analisis_de_la_T_C__-_2_2"/>
      <sheetName val="PLANILLA_GENERAL"/>
      <sheetName val="Datos_de_la_lkcalidad"/>
      <sheetName val="PLANILLA_LP_22_9_kV"/>
      <sheetName val="3__Manpower"/>
      <sheetName val="DATOS_DE_CAMPO"/>
      <sheetName val="DATOS TECNICOS SE SANTUARIO"/>
      <sheetName val="PROC MANT LT 1"/>
      <sheetName val="YTD Comments"/>
      <sheetName val="ARRS"/>
      <sheetName val="BasE"/>
      <sheetName val="Tipo_de_Cambio"/>
      <sheetName val="1_2_1_RENDIMIENTO1"/>
      <sheetName val="Datos_de_Entrada1"/>
      <sheetName val="Datos_de_la_localidad1"/>
      <sheetName val="Analisis_de_la_T_C__-_2_21"/>
      <sheetName val="PLANILLA_GENERAL1"/>
      <sheetName val="Datos_de_la_lkcalidad1"/>
      <sheetName val="PLANILLA_LP_22_9_kV1"/>
      <sheetName val="3__Manpower1"/>
      <sheetName val="DATOS_DE_CAMPO1"/>
      <sheetName val="Tipo_de_Cambio1"/>
      <sheetName val="fp"/>
      <sheetName val="18O"/>
    </sheetNames>
    <sheetDataSet>
      <sheetData sheetId="0" refreshError="1"/>
      <sheetData sheetId="1" refreshError="1">
        <row r="287">
          <cell r="A287" t="str">
            <v>PT_03</v>
          </cell>
          <cell r="C287" t="str">
            <v>SI</v>
          </cell>
          <cell r="D287" t="str">
            <v>4.01</v>
          </cell>
          <cell r="F287" t="str">
            <v xml:space="preserve">Conector de Cu tipo perno partido </v>
          </cell>
          <cell r="I287" t="str">
            <v>U</v>
          </cell>
          <cell r="J287">
            <v>12</v>
          </cell>
          <cell r="K287">
            <v>2.4900000000000002</v>
          </cell>
          <cell r="L287">
            <v>29.88</v>
          </cell>
          <cell r="O287">
            <v>0</v>
          </cell>
        </row>
        <row r="292">
          <cell r="D292" t="str">
            <v>5.00</v>
          </cell>
          <cell r="F292" t="str">
            <v>EQUIPOS DE PROTECCION Y SECCIONAMIENTO</v>
          </cell>
          <cell r="O292">
            <v>0</v>
          </cell>
        </row>
        <row r="293">
          <cell r="A293" t="str">
            <v>PROT_02</v>
          </cell>
          <cell r="C293" t="str">
            <v>SI</v>
          </cell>
          <cell r="D293" t="str">
            <v>5.01</v>
          </cell>
          <cell r="F293" t="str">
            <v>Seccionador fusible unipolar Cut-out 36 kV, 100 A, 150kV BIL</v>
          </cell>
          <cell r="I293" t="str">
            <v>U</v>
          </cell>
          <cell r="J293">
            <v>11</v>
          </cell>
          <cell r="K293">
            <v>226.24</v>
          </cell>
          <cell r="L293">
            <v>2488.64</v>
          </cell>
          <cell r="O293">
            <v>0</v>
          </cell>
        </row>
        <row r="294">
          <cell r="F294" t="str">
            <v>SUB TOTAL</v>
          </cell>
          <cell r="M294">
            <v>2488.64</v>
          </cell>
          <cell r="O294">
            <v>0</v>
          </cell>
        </row>
      </sheetData>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sheetData sheetId="63"/>
      <sheetData sheetId="64"/>
      <sheetData sheetId="65"/>
      <sheetData sheetId="66"/>
      <sheetData sheetId="67"/>
      <sheetData sheetId="68"/>
      <sheetData sheetId="69"/>
      <sheetData sheetId="70"/>
      <sheetData sheetId="71"/>
      <sheetData sheetId="72"/>
      <sheetData sheetId="73" refreshError="1"/>
      <sheetData sheetId="74" refreshError="1"/>
      <sheetData sheetId="75" refreshError="1"/>
      <sheetData sheetId="76"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FICHA 2"/>
      <sheetName val="VAL.PRINC"/>
      <sheetName val="VAL.M.M"/>
      <sheetName val="VAL.PN"/>
      <sheetName val="Hoja2"/>
      <sheetName val="Hoja3"/>
      <sheetName val="RES. VAL. "/>
      <sheetName val="MET. DIA"/>
      <sheetName val="MET.DIA M.M"/>
      <sheetName val="MET. DIA P.N."/>
      <sheetName val="Hoja1"/>
      <sheetName val="CS"/>
      <sheetName val="MET.ADIC"/>
      <sheetName val="MET.EXP"/>
      <sheetName val="CRON"/>
      <sheetName val="gantt (2)"/>
    </sheetNames>
    <sheetDataSet>
      <sheetData sheetId="0"/>
      <sheetData sheetId="1">
        <row r="164">
          <cell r="AB164">
            <v>861837.90733333374</v>
          </cell>
        </row>
      </sheetData>
      <sheetData sheetId="2">
        <row r="3">
          <cell r="B3" t="str">
            <v>INFORME CORRESPONDIENTE AL MES DE JUNIO DEL 2017</v>
          </cell>
        </row>
        <row r="4">
          <cell r="D4" t="str">
            <v>“MEJORAMIENTO DEL SERVICIO EDUCATIVO DE NIVEL INICIAL EN LA IEI 1100 PICHIUCA PROVINCIA DE ABANCAY - REGIÓN APURÍMAC".</v>
          </cell>
        </row>
        <row r="5">
          <cell r="D5" t="str">
            <v>22 EDUCACION</v>
          </cell>
          <cell r="P5" t="str">
            <v>LAMBRAMA</v>
          </cell>
        </row>
        <row r="6">
          <cell r="D6" t="str">
            <v>RECURSOS ORDINARIOS</v>
          </cell>
          <cell r="P6" t="str">
            <v>ABANCAY</v>
          </cell>
        </row>
        <row r="7">
          <cell r="P7" t="str">
            <v>APURIMAC</v>
          </cell>
        </row>
      </sheetData>
      <sheetData sheetId="3"/>
      <sheetData sheetId="4"/>
      <sheetData sheetId="5"/>
      <sheetData sheetId="6"/>
      <sheetData sheetId="7">
        <row r="38">
          <cell r="H38">
            <v>79361.01860000001</v>
          </cell>
        </row>
      </sheetData>
      <sheetData sheetId="8"/>
      <sheetData sheetId="9"/>
      <sheetData sheetId="10">
        <row r="13">
          <cell r="AI13">
            <v>750</v>
          </cell>
        </row>
        <row r="14">
          <cell r="AI14">
            <v>98</v>
          </cell>
        </row>
        <row r="17">
          <cell r="AI17">
            <v>25670.31</v>
          </cell>
        </row>
        <row r="18">
          <cell r="AI18">
            <v>49</v>
          </cell>
        </row>
        <row r="19">
          <cell r="AI19">
            <v>7392</v>
          </cell>
        </row>
        <row r="20">
          <cell r="AI20">
            <v>8118</v>
          </cell>
        </row>
        <row r="21">
          <cell r="AI21">
            <v>297.68</v>
          </cell>
        </row>
      </sheetData>
      <sheetData sheetId="11"/>
      <sheetData sheetId="12"/>
      <sheetData sheetId="13"/>
      <sheetData sheetId="14"/>
      <sheetData sheetId="15"/>
      <sheetData sheetId="16"/>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TIDAS EJEC. ENERO 21"/>
      <sheetName val="FICHA 1"/>
      <sheetName val="Hoja2"/>
      <sheetName val="CRONGRAMA JULIO"/>
      <sheetName val="DATOS GENERALES"/>
      <sheetName val="MEM VALORIZ.F-14"/>
      <sheetName val="PARTI EJEC MAR"/>
      <sheetName val="FICHA 1 (2)"/>
      <sheetName val="DATOS GENERALES 1"/>
      <sheetName val="MEM VALORIZ.F-14 (2)"/>
      <sheetName val="FICHA 2 VALE"/>
      <sheetName val="VAL. PRINC"/>
      <sheetName val="Hoja13"/>
      <sheetName val="Hoja5"/>
      <sheetName val="Hoja6"/>
      <sheetName val="Hoja7"/>
      <sheetName val="METRADOS PN"/>
      <sheetName val="RES. VAL. "/>
      <sheetName val="Curvaa S"/>
      <sheetName val="MET AGOSTO"/>
      <sheetName val="Hoja4"/>
      <sheetName val="Hoja11"/>
      <sheetName val="Hoja10"/>
      <sheetName val="Hoja9"/>
      <sheetName val="Hoja3"/>
      <sheetName val="Hoja12"/>
      <sheetName val="Hoja8"/>
      <sheetName val="Hoja1"/>
      <sheetName val="P.NUEVAS PROYECTADAS"/>
      <sheetName val="MET.MM"/>
      <sheetName val="MET.PN"/>
      <sheetName val="ABRIL "/>
      <sheetName val="Hoja14"/>
      <sheetName val="MET.ADIC"/>
      <sheetName val="MET.EXP"/>
      <sheetName val="CRON"/>
      <sheetName val="gantt (2)"/>
    </sheetNames>
    <sheetDataSet>
      <sheetData sheetId="0"/>
      <sheetData sheetId="1"/>
      <sheetData sheetId="2"/>
      <sheetData sheetId="3"/>
      <sheetData sheetId="4"/>
      <sheetData sheetId="5"/>
      <sheetData sheetId="6"/>
      <sheetData sheetId="7"/>
      <sheetData sheetId="8"/>
      <sheetData sheetId="9"/>
      <sheetData sheetId="10"/>
      <sheetData sheetId="11">
        <row r="840">
          <cell r="G840">
            <v>15398736.547100004</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G DICIEMBRE 2021"/>
      <sheetName val="F5 DICIEMBRE"/>
      <sheetName val="F6 DICIEMBRE"/>
      <sheetName val="Hoja1"/>
      <sheetName val="Hoja2"/>
      <sheetName val="formato 12"/>
    </sheetNames>
    <sheetDataSet>
      <sheetData sheetId="0" refreshError="1"/>
      <sheetData sheetId="1" refreshError="1"/>
      <sheetData sheetId="2">
        <row r="15">
          <cell r="S15">
            <v>500953.99</v>
          </cell>
        </row>
        <row r="27">
          <cell r="C27">
            <v>1944879.91</v>
          </cell>
        </row>
        <row r="73">
          <cell r="R73">
            <v>1597550.3358379998</v>
          </cell>
        </row>
      </sheetData>
      <sheetData sheetId="3" refreshError="1"/>
      <sheetData sheetId="4" refreshError="1"/>
      <sheetData sheetId="5">
        <row r="34">
          <cell r="C34">
            <v>61</v>
          </cell>
          <cell r="D34">
            <v>61</v>
          </cell>
          <cell r="E34">
            <v>61</v>
          </cell>
          <cell r="F34">
            <v>57</v>
          </cell>
          <cell r="G34">
            <v>57</v>
          </cell>
          <cell r="H34">
            <v>60</v>
          </cell>
          <cell r="I34">
            <v>60</v>
          </cell>
          <cell r="J34">
            <v>60</v>
          </cell>
          <cell r="K34">
            <v>66</v>
          </cell>
          <cell r="L34">
            <v>69</v>
          </cell>
          <cell r="M34">
            <v>69</v>
          </cell>
          <cell r="N34">
            <v>57</v>
          </cell>
          <cell r="O34">
            <v>63</v>
          </cell>
          <cell r="P34">
            <v>63</v>
          </cell>
          <cell r="Q34">
            <v>62</v>
          </cell>
          <cell r="R34">
            <v>61</v>
          </cell>
          <cell r="S34">
            <v>62</v>
          </cell>
          <cell r="T34">
            <v>61</v>
          </cell>
          <cell r="U34">
            <v>59</v>
          </cell>
          <cell r="V34">
            <v>59</v>
          </cell>
          <cell r="W34">
            <v>59</v>
          </cell>
          <cell r="X34">
            <v>58</v>
          </cell>
          <cell r="Y34">
            <v>58</v>
          </cell>
          <cell r="Z34">
            <v>58</v>
          </cell>
          <cell r="AA34">
            <v>57</v>
          </cell>
          <cell r="AB34">
            <v>55</v>
          </cell>
          <cell r="AC34">
            <v>58</v>
          </cell>
          <cell r="AD34">
            <v>57</v>
          </cell>
          <cell r="AE34">
            <v>57</v>
          </cell>
          <cell r="AF34">
            <v>57</v>
          </cell>
          <cell r="AG34">
            <v>57</v>
          </cell>
        </row>
        <row r="35">
          <cell r="C35">
            <v>12</v>
          </cell>
          <cell r="D35">
            <v>12</v>
          </cell>
          <cell r="E35">
            <v>12</v>
          </cell>
          <cell r="F35">
            <v>12</v>
          </cell>
          <cell r="G35">
            <v>12</v>
          </cell>
          <cell r="H35">
            <v>12</v>
          </cell>
          <cell r="I35">
            <v>12</v>
          </cell>
          <cell r="J35">
            <v>12</v>
          </cell>
          <cell r="K35">
            <v>12</v>
          </cell>
          <cell r="L35">
            <v>12</v>
          </cell>
          <cell r="M35">
            <v>12</v>
          </cell>
          <cell r="O35">
            <v>10</v>
          </cell>
          <cell r="P35">
            <v>10</v>
          </cell>
          <cell r="Q35">
            <v>10</v>
          </cell>
          <cell r="R35">
            <v>10</v>
          </cell>
          <cell r="S35">
            <v>10</v>
          </cell>
          <cell r="T35">
            <v>10</v>
          </cell>
          <cell r="U35">
            <v>10</v>
          </cell>
          <cell r="V35">
            <v>10</v>
          </cell>
          <cell r="W35">
            <v>10</v>
          </cell>
          <cell r="X35">
            <v>10</v>
          </cell>
          <cell r="Y35">
            <v>10</v>
          </cell>
          <cell r="Z35">
            <v>10</v>
          </cell>
          <cell r="AA35">
            <v>10</v>
          </cell>
          <cell r="AB35">
            <v>10</v>
          </cell>
          <cell r="AC35">
            <v>10</v>
          </cell>
          <cell r="AD35">
            <v>10</v>
          </cell>
          <cell r="AE35">
            <v>10</v>
          </cell>
          <cell r="AF35">
            <v>10</v>
          </cell>
          <cell r="AG35">
            <v>10</v>
          </cell>
        </row>
        <row r="36">
          <cell r="C36">
            <v>52</v>
          </cell>
          <cell r="D36">
            <v>53</v>
          </cell>
          <cell r="E36">
            <v>53</v>
          </cell>
          <cell r="F36">
            <v>53</v>
          </cell>
          <cell r="G36">
            <v>50</v>
          </cell>
          <cell r="H36">
            <v>52</v>
          </cell>
          <cell r="I36">
            <v>52</v>
          </cell>
          <cell r="J36">
            <v>53</v>
          </cell>
          <cell r="K36">
            <v>58</v>
          </cell>
          <cell r="L36">
            <v>58</v>
          </cell>
          <cell r="M36">
            <v>58</v>
          </cell>
          <cell r="N36">
            <v>51</v>
          </cell>
          <cell r="O36">
            <v>51</v>
          </cell>
          <cell r="P36">
            <v>55</v>
          </cell>
          <cell r="Q36">
            <v>56</v>
          </cell>
          <cell r="R36">
            <v>55</v>
          </cell>
          <cell r="S36">
            <v>56</v>
          </cell>
          <cell r="T36">
            <v>54</v>
          </cell>
          <cell r="U36">
            <v>50</v>
          </cell>
          <cell r="V36">
            <v>53</v>
          </cell>
          <cell r="W36">
            <v>53</v>
          </cell>
          <cell r="X36">
            <v>53</v>
          </cell>
          <cell r="Y36">
            <v>53</v>
          </cell>
          <cell r="Z36">
            <v>53</v>
          </cell>
          <cell r="AA36">
            <v>53</v>
          </cell>
          <cell r="AB36">
            <v>53</v>
          </cell>
          <cell r="AC36">
            <v>53</v>
          </cell>
          <cell r="AD36">
            <v>53</v>
          </cell>
          <cell r="AE36">
            <v>53</v>
          </cell>
          <cell r="AF36">
            <v>53</v>
          </cell>
          <cell r="AG36">
            <v>53</v>
          </cell>
        </row>
      </sheetData>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G OCTUBRE 2021ANEXO"/>
      <sheetName val="F5 OCTUBRE"/>
      <sheetName val="F6 OCTUBRE"/>
      <sheetName val="formato 12"/>
    </sheetNames>
    <sheetDataSet>
      <sheetData sheetId="0"/>
      <sheetData sheetId="1"/>
      <sheetData sheetId="2">
        <row r="15">
          <cell r="Q15">
            <v>229164.22</v>
          </cell>
        </row>
        <row r="61">
          <cell r="F61">
            <v>6590155.6500000004</v>
          </cell>
        </row>
      </sheetData>
      <sheetData sheetId="3"/>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G DICIEMBRE 2021"/>
      <sheetName val="F5 DICIEMBRE"/>
      <sheetName val="F6 DICIEMBRE"/>
      <sheetName val="formato 12"/>
    </sheetNames>
    <sheetDataSet>
      <sheetData sheetId="0" refreshError="1"/>
      <sheetData sheetId="1" refreshError="1"/>
      <sheetData sheetId="2">
        <row r="15">
          <cell r="G15">
            <v>3374384</v>
          </cell>
          <cell r="H15">
            <v>186704.61</v>
          </cell>
          <cell r="I15">
            <v>9823.1200000000008</v>
          </cell>
          <cell r="J15">
            <v>381151.47</v>
          </cell>
          <cell r="K15">
            <v>371504.55</v>
          </cell>
          <cell r="L15">
            <v>430353.52</v>
          </cell>
          <cell r="M15">
            <v>369426.22</v>
          </cell>
          <cell r="N15">
            <v>383895.25</v>
          </cell>
          <cell r="O15">
            <v>7228.56</v>
          </cell>
          <cell r="P15">
            <v>7219.14</v>
          </cell>
          <cell r="Q15">
            <v>229164.22</v>
          </cell>
          <cell r="R15">
            <v>479208.93</v>
          </cell>
          <cell r="S15">
            <v>500953.99</v>
          </cell>
        </row>
        <row r="61">
          <cell r="S61">
            <v>1718545.4098430001</v>
          </cell>
        </row>
        <row r="64">
          <cell r="R64">
            <v>6701877.201444</v>
          </cell>
        </row>
        <row r="65">
          <cell r="R65">
            <v>6498326.0000000009</v>
          </cell>
        </row>
        <row r="68">
          <cell r="R68">
            <v>17263489.081444003</v>
          </cell>
        </row>
      </sheetData>
      <sheetData sheetId="3"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STENTO DE METRADOS"/>
      <sheetName val="RESUMEN DE METRADOS "/>
      <sheetName val="RESUMEN DE METRADOS  (3)"/>
    </sheetNames>
    <sheetDataSet>
      <sheetData sheetId="0"/>
      <sheetData sheetId="1">
        <row r="8">
          <cell r="C8" t="str">
            <v>03.01.02</v>
          </cell>
          <cell r="D8" t="str">
            <v>MURO DE LADRILLO KK TIPO IV SOGA, M 1:4, E=1.50 cm</v>
          </cell>
          <cell r="E8" t="str">
            <v>m2</v>
          </cell>
          <cell r="H8">
            <v>14.930999999999999</v>
          </cell>
        </row>
        <row r="10">
          <cell r="C10" t="str">
            <v>03.01.04</v>
          </cell>
          <cell r="D10" t="str">
            <v>MURO DE LADRILLO CARAVISTA TIPO SOGA, M: 1:4, E=1.5cm</v>
          </cell>
          <cell r="E10" t="str">
            <v>m2</v>
          </cell>
          <cell r="H10">
            <v>3.4839999999999947</v>
          </cell>
        </row>
        <row r="15">
          <cell r="C15" t="str">
            <v>03.02.04</v>
          </cell>
          <cell r="D15" t="str">
            <v>TARRAJEO DE SUPERFICIE DE COLUMNAS INCL. ARISTAS MEZCLA 1:4 CEMENTO:ARENA</v>
          </cell>
          <cell r="E15" t="str">
            <v>m2</v>
          </cell>
          <cell r="H15">
            <v>131.98700000000002</v>
          </cell>
        </row>
        <row r="18">
          <cell r="C18" t="str">
            <v>03.02.17</v>
          </cell>
          <cell r="D18" t="str">
            <v>MESA DE CONCRETO CON ACABADO CERAMICO 30x30cm EN SS.HH. E=0.15cm</v>
          </cell>
          <cell r="E18" t="str">
            <v>m2</v>
          </cell>
        </row>
        <row r="21">
          <cell r="C21" t="str">
            <v>03.02.20</v>
          </cell>
          <cell r="D21" t="str">
            <v>BRUÑAS DE 1CM ENTRE MUROS Y ESTRUCTURAS</v>
          </cell>
          <cell r="E21" t="str">
            <v>m</v>
          </cell>
          <cell r="H21">
            <v>97.840000000000032</v>
          </cell>
        </row>
        <row r="27">
          <cell r="C27" t="str">
            <v>02.02.01</v>
          </cell>
          <cell r="D27" t="str">
            <v>CIELO RASO SUSPENDIDO CON SISTEMA DRYWALL PANEL GYPLAC 1/2"</v>
          </cell>
          <cell r="E27" t="str">
            <v>m2</v>
          </cell>
        </row>
        <row r="37">
          <cell r="C37" t="str">
            <v>02.04.02.02</v>
          </cell>
          <cell r="D37" t="str">
            <v>CONTRAZOCALO DE CEMENTO PULIDO C/MORTERO 1:5 DE 2CM, H=30CM</v>
          </cell>
          <cell r="E37" t="str">
            <v>m2</v>
          </cell>
          <cell r="H37">
            <v>6.9</v>
          </cell>
        </row>
        <row r="52">
          <cell r="C52" t="str">
            <v>03.15.01</v>
          </cell>
          <cell r="D52" t="str">
            <v>PODIO DE CONCRETO C:A 1:10 , H= 10 cm</v>
          </cell>
          <cell r="E52" t="str">
            <v>m3</v>
          </cell>
          <cell r="H52">
            <v>0.98439999999999994</v>
          </cell>
        </row>
        <row r="53">
          <cell r="M53">
            <v>9093.2233780000024</v>
          </cell>
        </row>
      </sheetData>
      <sheetData sheetId="2"/>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P"/>
      <sheetName val="MM"/>
    </sheetNames>
    <sheetDataSet>
      <sheetData sheetId="0">
        <row r="46">
          <cell r="B46" t="str">
            <v>04.02.01.01</v>
          </cell>
          <cell r="C46" t="str">
            <v xml:space="preserve">         SALIDA DE AGUA FRIA CON TUBERÍA DE PVC SAP C-10 Ø 1/2"</v>
          </cell>
        </row>
        <row r="60">
          <cell r="B60" t="str">
            <v>04.02.02.01</v>
          </cell>
        </row>
        <row r="64">
          <cell r="B64" t="str">
            <v>04.02.02.02</v>
          </cell>
          <cell r="C64" t="str">
            <v xml:space="preserve">         TUBERIA DE PVC C-10 Ø 3/4" SP</v>
          </cell>
        </row>
        <row r="76">
          <cell r="B76" t="str">
            <v>04.02.04.01</v>
          </cell>
        </row>
        <row r="80">
          <cell r="B80" t="str">
            <v>04.02.04.02</v>
          </cell>
          <cell r="C80" t="str">
            <v xml:space="preserve">         CODO DE PVC Ø 3/4" x 90° SP</v>
          </cell>
        </row>
        <row r="82">
          <cell r="B82" t="str">
            <v>04.02.04.03</v>
          </cell>
          <cell r="C82" t="str">
            <v xml:space="preserve">         CODO DE PVC Ø 1" x 90° SP</v>
          </cell>
        </row>
        <row r="88">
          <cell r="B88" t="str">
            <v>04.02.04.07</v>
          </cell>
          <cell r="C88" t="str">
            <v xml:space="preserve">         TEE DE PVC Ø 1/2" SP</v>
          </cell>
        </row>
        <row r="91">
          <cell r="B91" t="str">
            <v>04.02.04.08</v>
          </cell>
          <cell r="C91" t="str">
            <v xml:space="preserve">         TEE DE PVC Ø 3/4" SP</v>
          </cell>
        </row>
        <row r="97">
          <cell r="B97" t="str">
            <v>04.02.04.12</v>
          </cell>
        </row>
        <row r="100">
          <cell r="B100" t="str">
            <v>04.02.04.14</v>
          </cell>
        </row>
        <row r="110">
          <cell r="B110" t="str">
            <v>04.02.05.01</v>
          </cell>
        </row>
        <row r="114">
          <cell r="B114" t="str">
            <v>04.02.05.03</v>
          </cell>
        </row>
        <row r="317">
          <cell r="M317">
            <v>4117.414499999999</v>
          </cell>
        </row>
      </sheetData>
      <sheetData sheetId="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 PRINC"/>
      <sheetName val="VAL AMP 3"/>
      <sheetName val="VAL AMP4 MM"/>
    </sheetNames>
    <sheetDataSet>
      <sheetData sheetId="0">
        <row r="16">
          <cell r="U16">
            <v>44.973066666666661</v>
          </cell>
        </row>
        <row r="148">
          <cell r="X148">
            <v>22346.663200000003</v>
          </cell>
        </row>
      </sheetData>
      <sheetData sheetId="1">
        <row r="17">
          <cell r="L17">
            <v>1</v>
          </cell>
        </row>
      </sheetData>
      <sheetData sheetId="2">
        <row r="25">
          <cell r="N25">
            <v>4</v>
          </cell>
        </row>
        <row r="72">
          <cell r="P72">
            <v>55202.606599999992</v>
          </cell>
        </row>
      </sheetData>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2"/>
      <sheetName val="CRONGRAMA JULIO"/>
      <sheetName val="FICHA 1"/>
      <sheetName val="DATOS GENERALES"/>
      <sheetName val="Hoja5"/>
      <sheetName val="Hoja6"/>
      <sheetName val="Hoja7"/>
      <sheetName val="METRADOS PN"/>
      <sheetName val="FICHA 2 MAR"/>
      <sheetName val="PARTIDAS EJEC. JUNIO"/>
      <sheetName val="RESUMEN GENERAL"/>
      <sheetName val="Curvaa SN (2)"/>
      <sheetName val="RES. VAL. "/>
      <sheetName val="MET AGOSTO"/>
      <sheetName val="Hoja4"/>
      <sheetName val="Hoja11"/>
      <sheetName val="Hoja10"/>
      <sheetName val="Hoja9"/>
      <sheetName val="Hoja3"/>
      <sheetName val="Hoja12"/>
      <sheetName val="Hoja8"/>
      <sheetName val="Hoja1"/>
      <sheetName val="P.NUEVAS PROYECTADAS"/>
      <sheetName val="MET.MM"/>
      <sheetName val="MET.PN"/>
      <sheetName val="VAL. PRINC"/>
      <sheetName val="Hoja13"/>
      <sheetName val="VAL. AMP.2 COVID"/>
      <sheetName val="VAL AMP 3"/>
      <sheetName val="VAL AMP4 MM"/>
      <sheetName val="VAL AMP 4 PN"/>
      <sheetName val="ABRIL "/>
      <sheetName val="Hoja14"/>
      <sheetName val="MET.ADIC"/>
      <sheetName val="MET.EXP"/>
      <sheetName val="CRON"/>
      <sheetName val="gantt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13">
          <cell r="O13">
            <v>22.33</v>
          </cell>
        </row>
        <row r="15">
          <cell r="G15" t="str">
            <v xml:space="preserve">               RELLENO Y COMPACTADO CON ARENA FINA (0.6m x 0.05m x L)</v>
          </cell>
          <cell r="H15" t="str">
            <v>m3</v>
          </cell>
          <cell r="P15">
            <v>2.9699999999999998</v>
          </cell>
        </row>
        <row r="16">
          <cell r="G16" t="str">
            <v xml:space="preserve">               RELLENO Y COMPACTADO CON MATERIAL PROPIO CERNIDO (0.60m x 0.25m x L)</v>
          </cell>
          <cell r="P16">
            <v>26.86</v>
          </cell>
        </row>
        <row r="17">
          <cell r="G17" t="str">
            <v xml:space="preserve">               RELLENO Y COMPACTADO CON MATERIAL PROPIO SIN TRATAR (0.60m x 0.30m x L)</v>
          </cell>
          <cell r="P17">
            <v>39.83</v>
          </cell>
        </row>
        <row r="18">
          <cell r="P18">
            <v>0.1399999999999999</v>
          </cell>
        </row>
        <row r="19">
          <cell r="G19" t="str">
            <v xml:space="preserve">               ELIMINACIÓN DE MATERIAL EXCEDENTE</v>
          </cell>
          <cell r="P19">
            <v>4.8800000000000008</v>
          </cell>
        </row>
        <row r="23">
          <cell r="G23" t="str">
            <v xml:space="preserve">               CINTA DE SEÑALIZACIÓN RIESGO ELÉCTRICO ENTERRADA (Según detalle)</v>
          </cell>
          <cell r="H23" t="str">
            <v>m</v>
          </cell>
          <cell r="P23">
            <v>10.75</v>
          </cell>
        </row>
        <row r="53">
          <cell r="G53" t="str">
            <v xml:space="preserve">         TUBERIA PVC SAP-P Ø 20mm</v>
          </cell>
          <cell r="H53" t="str">
            <v>m</v>
          </cell>
          <cell r="P53">
            <v>200</v>
          </cell>
        </row>
        <row r="55">
          <cell r="G55" t="str">
            <v xml:space="preserve">         TUBERIA PVC SAP-P Ø 35mm</v>
          </cell>
          <cell r="P55">
            <v>11.569999999999993</v>
          </cell>
        </row>
        <row r="57">
          <cell r="G57" t="str">
            <v xml:space="preserve">         SALIDA DE PUNTOS DE RED DE DATOS CAT 6</v>
          </cell>
          <cell r="H57" t="str">
            <v>pto</v>
          </cell>
          <cell r="P57">
            <v>3</v>
          </cell>
        </row>
        <row r="113">
          <cell r="Q113">
            <v>3545.8791000000001</v>
          </cell>
        </row>
      </sheetData>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GENERAL DE PROYECTO"/>
      <sheetName val="F -01"/>
      <sheetName val="FIC. PROY(FF1)"/>
      <sheetName val="INF.(FE-2)"/>
      <sheetName val="F-14 MEM DESC."/>
      <sheetName val="F 3B CURVA S "/>
      <sheetName val="F4 Res Val."/>
      <sheetName val="Val (F3-1) ET.ACT"/>
      <sheetName val="Val (F3-2)PN MP1"/>
      <sheetName val="Val (F3-3) MM MP2"/>
      <sheetName val="Val(F3-4) PN MP2"/>
      <sheetName val="Val(F3-5)DEDUC MP2"/>
      <sheetName val="CUADRO COMPARATIVO"/>
      <sheetName val="RESUMEN METRADOS"/>
      <sheetName val="MAYORES METRADOS"/>
      <sheetName val="MET SEPT"/>
      <sheetName val="MET setiembre - 2016 "/>
      <sheetName val="MET agosto 2016 (2)"/>
      <sheetName val="MET A° SEPT"/>
      <sheetName val="MET OCT"/>
      <sheetName val="MET A° OCT"/>
      <sheetName val="MET NOV"/>
      <sheetName val="MET A° NOV"/>
      <sheetName val="MET DIC"/>
      <sheetName val="MET A° DIC"/>
      <sheetName val="MET ENE"/>
      <sheetName val="MET A° ENE"/>
      <sheetName val="MET FEB"/>
      <sheetName val="MET A° FEB"/>
      <sheetName val="MET MAR"/>
      <sheetName val="MET A° MAR"/>
      <sheetName val="MET ABRIL"/>
      <sheetName val="MET A° ABRIL"/>
      <sheetName val="MET MAYO"/>
      <sheetName val="planilla est. mayo -2016 "/>
      <sheetName val="MET A° MAYO"/>
      <sheetName val="METRADO DICIEMBRE 2016"/>
      <sheetName val="Metra A° DIC 2016"/>
      <sheetName val="VAL MAY. MET. JUNIO 2016"/>
      <sheetName val="VALORIZACION ADICIONALES"/>
      <sheetName val="RESUMEN ADIC"/>
      <sheetName val="VAL NUEVOS METRADOS"/>
      <sheetName val="MET. A° JULIO 2016"/>
      <sheetName val="Metrados Junio 2016."/>
      <sheetName val="Planilla Acero Junio 2016"/>
      <sheetName val="Metrados junio 2016"/>
      <sheetName val="Val(F3-6) PN MP3"/>
      <sheetName val="VALORIZACION ESTADIO"/>
      <sheetName val="Val(F3-7) MM MP4"/>
      <sheetName val="Val(F3-8)"/>
      <sheetName val="CANT.PERS"/>
      <sheetName val="FE-12 TAREO REMUN."/>
      <sheetName val="MET EXP CONTRACT"/>
      <sheetName val="RESUM"/>
      <sheetName val="P.N01"/>
      <sheetName val="M.M02"/>
      <sheetName val="RES M.M02"/>
      <sheetName val="P.N02"/>
      <sheetName val="RES P.N02"/>
      <sheetName val="DEDUCTIVOS"/>
      <sheetName val="P.N03"/>
      <sheetName val="RES P.N03"/>
      <sheetName val="M.M N°4"/>
      <sheetName val="RES M.M N°4"/>
      <sheetName val="RESUMEN PN N°4"/>
      <sheetName val="P.N N°4"/>
      <sheetName val="CUADRO DE REMUNER NOVIEM"/>
      <sheetName val="PERS SIND Y REG"/>
      <sheetName val="REG CHARLAS"/>
      <sheetName val="CANT.PERS OCT"/>
      <sheetName val="MONT PERS."/>
      <sheetName val="TAREO OCT."/>
      <sheetName val="MET JULIO 2016"/>
      <sheetName val="MET.Acero agosto 2016 (2)"/>
      <sheetName val="MET.Acero setiembre 2016 "/>
      <sheetName val="Met Octubre 2016"/>
      <sheetName val="Met. acero Octub 2016"/>
    </sheetNames>
    <sheetDataSet>
      <sheetData sheetId="0"/>
      <sheetData sheetId="1"/>
      <sheetData sheetId="2"/>
      <sheetData sheetId="3"/>
      <sheetData sheetId="4"/>
      <sheetData sheetId="5"/>
      <sheetData sheetId="6"/>
      <sheetData sheetId="7"/>
      <sheetData sheetId="8"/>
      <sheetData sheetId="9"/>
      <sheetData sheetId="10"/>
      <sheetData sheetId="11">
        <row r="31">
          <cell r="H31">
            <v>0</v>
          </cell>
          <cell r="K31">
            <v>0</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TI EJEC MAR"/>
      <sheetName val="FICHA 1"/>
      <sheetName val="Hoja2"/>
      <sheetName val="CRONGRAMA JULIO"/>
      <sheetName val="DATOS GENERALES"/>
      <sheetName val="FICHA 2 ABRIL"/>
      <sheetName val="VAL. PRINC"/>
      <sheetName val="Hoja5"/>
      <sheetName val="Hoja6"/>
      <sheetName val="Hoja7"/>
      <sheetName val="METRADOS PN"/>
      <sheetName val="RESUMEN GENERAL"/>
      <sheetName val="RES. VAL. "/>
      <sheetName val="MET AGOSTO"/>
      <sheetName val="Hoja4"/>
      <sheetName val="Hoja11"/>
      <sheetName val="Hoja10"/>
      <sheetName val="Hoja9"/>
      <sheetName val="Hoja3"/>
      <sheetName val="Hoja12"/>
      <sheetName val="Hoja8"/>
      <sheetName val="Hoja1"/>
      <sheetName val="P.NUEVAS PROYECTADAS"/>
      <sheetName val="MET.MM"/>
      <sheetName val="MET.PN"/>
      <sheetName val="Curvaa SN"/>
      <sheetName val="VALORIZ. 3"/>
      <sheetName val="VAL 5 AMP4 MM"/>
      <sheetName val="VALORIZACION P N"/>
      <sheetName val="ABRIL "/>
      <sheetName val="Hoja14"/>
      <sheetName val="MET.ADIC"/>
      <sheetName val="MET.EXP"/>
      <sheetName val="CRON"/>
      <sheetName val="gantt (2)"/>
    </sheetNames>
    <sheetDataSet>
      <sheetData sheetId="0"/>
      <sheetData sheetId="1"/>
      <sheetData sheetId="2"/>
      <sheetData sheetId="3"/>
      <sheetData sheetId="4"/>
      <sheetData sheetId="5"/>
      <sheetData sheetId="6">
        <row r="840">
          <cell r="R840">
            <v>0</v>
          </cell>
          <cell r="T840">
            <v>0</v>
          </cell>
          <cell r="V840">
            <v>0</v>
          </cell>
        </row>
        <row r="841">
          <cell r="R841">
            <v>633159.44999999995</v>
          </cell>
          <cell r="T841">
            <v>0</v>
          </cell>
          <cell r="V841">
            <v>633159.44999999995</v>
          </cell>
        </row>
        <row r="842">
          <cell r="R842">
            <v>1089912.4699510001</v>
          </cell>
          <cell r="T842">
            <v>65284.065900000001</v>
          </cell>
          <cell r="V842">
            <v>1155196.5358510001</v>
          </cell>
        </row>
        <row r="843">
          <cell r="R843">
            <v>134406.38</v>
          </cell>
          <cell r="T843">
            <v>0</v>
          </cell>
          <cell r="V843">
            <v>134406.38</v>
          </cell>
        </row>
        <row r="844">
          <cell r="R844">
            <v>199392.45000000004</v>
          </cell>
          <cell r="T844">
            <v>15370</v>
          </cell>
          <cell r="V844">
            <v>214762.45000000004</v>
          </cell>
        </row>
        <row r="845">
          <cell r="R845">
            <v>0</v>
          </cell>
          <cell r="T845">
            <v>0</v>
          </cell>
          <cell r="V845">
            <v>0</v>
          </cell>
        </row>
        <row r="846">
          <cell r="R846">
            <v>185215.69</v>
          </cell>
          <cell r="T846">
            <v>0</v>
          </cell>
          <cell r="V846">
            <v>185215.69</v>
          </cell>
        </row>
        <row r="849">
          <cell r="R849">
            <v>0</v>
          </cell>
          <cell r="T849">
            <v>0</v>
          </cell>
        </row>
        <row r="850">
          <cell r="R850">
            <v>0</v>
          </cell>
          <cell r="T850">
            <v>0</v>
          </cell>
        </row>
        <row r="851">
          <cell r="R851">
            <v>17723.849999999999</v>
          </cell>
          <cell r="T851">
            <v>1553.75</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1">
          <cell r="G61">
            <v>45201.65</v>
          </cell>
          <cell r="I61">
            <v>41377.731825034469</v>
          </cell>
          <cell r="K61">
            <v>0</v>
          </cell>
        </row>
        <row r="62">
          <cell r="G62">
            <v>14913.66</v>
          </cell>
          <cell r="I62">
            <v>13652.011021937109</v>
          </cell>
          <cell r="K62">
            <v>0</v>
          </cell>
        </row>
      </sheetData>
      <sheetData sheetId="27">
        <row r="259">
          <cell r="G259">
            <v>141516.06656581606</v>
          </cell>
          <cell r="K259">
            <v>2794.5847313881704</v>
          </cell>
        </row>
        <row r="260">
          <cell r="G260">
            <v>32001.683836142925</v>
          </cell>
          <cell r="K260">
            <v>631.95239379836789</v>
          </cell>
        </row>
        <row r="261">
          <cell r="G261">
            <v>5607.6033818568603</v>
          </cell>
          <cell r="K261">
            <v>110.73599748004334</v>
          </cell>
        </row>
      </sheetData>
      <sheetData sheetId="28"/>
      <sheetData sheetId="29"/>
      <sheetData sheetId="30"/>
      <sheetData sheetId="31"/>
      <sheetData sheetId="32"/>
      <sheetData sheetId="33"/>
      <sheetData sheetId="34"/>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orizado P.MAYORES"/>
      <sheetName val="valorizado P.NUEVAS"/>
      <sheetName val="valorizado HASTA SETIEMBRE 2021"/>
      <sheetName val="Hoja1"/>
    </sheetNames>
    <sheetDataSet>
      <sheetData sheetId="0"/>
      <sheetData sheetId="1"/>
      <sheetData sheetId="2">
        <row r="887">
          <cell r="F887">
            <v>21937862.799199998</v>
          </cell>
        </row>
      </sheetData>
      <sheetData sheetId="3"/>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2"/>
      <sheetName val="CRONGRAMA JULIO"/>
      <sheetName val="FICHA 1"/>
      <sheetName val="DATOS GENERALES"/>
      <sheetName val="Hoja5"/>
      <sheetName val="Hoja6"/>
      <sheetName val="Hoja7"/>
      <sheetName val="METRADOS PN"/>
      <sheetName val="FICHA 2 MAR"/>
      <sheetName val="PARTIDAS EJEC. OCTUBRE"/>
      <sheetName val="P EJE MM"/>
      <sheetName val="P EJE PN"/>
      <sheetName val="RESUMEN GENERAL"/>
      <sheetName val="Curvaa SN (2)"/>
      <sheetName val="RES. VAL. "/>
      <sheetName val="MET AGOSTO"/>
      <sheetName val="Hoja4"/>
      <sheetName val="Hoja11"/>
      <sheetName val="Hoja10"/>
      <sheetName val="Hoja9"/>
      <sheetName val="Hoja3"/>
      <sheetName val="Hoja12"/>
      <sheetName val="Hoja8"/>
      <sheetName val="Hoja1"/>
      <sheetName val="P.NUEVAS PROYECTADAS"/>
      <sheetName val="MET.MM"/>
      <sheetName val="MET.PN"/>
      <sheetName val="VAL. AMP.2 COVID"/>
      <sheetName val="VAL AMP 3"/>
      <sheetName val="VAL. PRINC"/>
      <sheetName val="VAL AMP4 MM"/>
      <sheetName val="VAL AMP 4 PN"/>
      <sheetName val="ABRIL "/>
      <sheetName val="Hoja14"/>
      <sheetName val="MET.ADIC"/>
      <sheetName val="MET.EXP"/>
      <sheetName val="CRON"/>
      <sheetName val="gantt (2)"/>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1">
          <cell r="F41">
            <v>497223.53694383334</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FICHA 2"/>
      <sheetName val="Hoja2"/>
      <sheetName val="CRONGRAMA JULIO"/>
      <sheetName val="VAL. PRINC"/>
      <sheetName val="Hoja5"/>
      <sheetName val="Hoja6"/>
      <sheetName val="Hoja7"/>
      <sheetName val="METRADOS PN"/>
      <sheetName val="RES. VAL. "/>
      <sheetName val="MET AGOSTO"/>
      <sheetName val="Hoja4"/>
      <sheetName val="Hoja11"/>
      <sheetName val="Hoja10"/>
      <sheetName val="Hoja9"/>
      <sheetName val="Hoja3"/>
      <sheetName val="Hoja12"/>
      <sheetName val="Hoja8"/>
      <sheetName val="Hoja1"/>
      <sheetName val="P.NUEVAS PROYECTADAS"/>
      <sheetName val="MET.MM"/>
      <sheetName val="MET.PN"/>
      <sheetName val="CS"/>
      <sheetName val="ABRIL "/>
      <sheetName val="Hoja14"/>
      <sheetName val="MET.ADIC"/>
      <sheetName val="MET.EXP"/>
      <sheetName val="CRON"/>
      <sheetName val="gantt (2)"/>
      <sheetName val="METRADOS"/>
    </sheetNames>
    <sheetDataSet>
      <sheetData sheetId="0"/>
      <sheetData sheetId="1"/>
      <sheetData sheetId="2"/>
      <sheetData sheetId="3"/>
      <sheetData sheetId="4">
        <row r="4">
          <cell r="D4" t="str">
            <v>MEJORAMIENTO DEL SERVICIO EDUCATIVO EN LA IEP N° 54002 SANTA ROSA E IES SANTA ROSA DEL DISTRITO DE ABANCAY, PROVINCIA DE ABANCAY - REGIÓN APURÍMAC</v>
          </cell>
        </row>
        <row r="848">
          <cell r="F848">
            <v>19902744.010000005</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63">
          <cell r="A63">
            <v>43677</v>
          </cell>
        </row>
      </sheetData>
      <sheetData sheetId="23"/>
      <sheetData sheetId="24"/>
      <sheetData sheetId="25"/>
      <sheetData sheetId="26"/>
      <sheetData sheetId="27"/>
      <sheetData sheetId="28"/>
      <sheetData sheetId="29"/>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orizado P.MAYORES"/>
      <sheetName val="valorizado P.NUEVAS"/>
      <sheetName val="valorizado HASTA SETIEMBRE 2021"/>
    </sheetNames>
    <sheetDataSet>
      <sheetData sheetId="0"/>
      <sheetData sheetId="1"/>
      <sheetData sheetId="2">
        <row r="883">
          <cell r="AB883">
            <v>10932523.363550087</v>
          </cell>
        </row>
      </sheetData>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Hoja2"/>
      <sheetName val="CRONGRAMA JULIO"/>
      <sheetName val="FICHA 2 "/>
      <sheetName val="FICHA 2 VALE"/>
      <sheetName val="PATIDAS EJECU"/>
      <sheetName val="SUSTENTO DE METRADOS  ADICIONAL"/>
      <sheetName val="SUSTENTO DE METRADOS"/>
      <sheetName val="Metrado Fierro"/>
      <sheetName val="DATOS GENERALES"/>
      <sheetName val="VAL. PRINC"/>
      <sheetName val="Hoja5"/>
      <sheetName val="Hoja6"/>
      <sheetName val="Hoja7"/>
      <sheetName val="METRADOS PN"/>
      <sheetName val="RES. VAL. "/>
      <sheetName val="MET AGOSTO"/>
      <sheetName val="Hoja4"/>
      <sheetName val="Hoja11"/>
      <sheetName val="Hoja10"/>
      <sheetName val="Hoja9"/>
      <sheetName val="Hoja3"/>
      <sheetName val="Hoja12"/>
      <sheetName val="Hoja8"/>
      <sheetName val="Hoja1"/>
      <sheetName val="P.NUEVAS PROYECTADAS"/>
      <sheetName val="MET.MM"/>
      <sheetName val="MET.PN"/>
      <sheetName val="CS"/>
      <sheetName val="Hoja15"/>
      <sheetName val="ABRIL "/>
      <sheetName val="Hoja14"/>
      <sheetName val="MET.ADIC"/>
      <sheetName val="MET.EXP"/>
      <sheetName val="CRON"/>
      <sheetName val="gantt (2)"/>
      <sheetName val="Hoja13"/>
    </sheetNames>
    <sheetDataSet>
      <sheetData sheetId="0"/>
      <sheetData sheetId="1"/>
      <sheetData sheetId="2"/>
      <sheetData sheetId="3"/>
      <sheetData sheetId="4"/>
      <sheetData sheetId="5"/>
      <sheetData sheetId="6"/>
      <sheetData sheetId="7"/>
      <sheetData sheetId="8"/>
      <sheetData sheetId="9"/>
      <sheetData sheetId="10">
        <row r="840">
          <cell r="L840">
            <v>0</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ow r="63">
          <cell r="A63">
            <v>43663</v>
          </cell>
          <cell r="D63">
            <v>0</v>
          </cell>
          <cell r="G63">
            <v>0</v>
          </cell>
          <cell r="J63">
            <v>0</v>
          </cell>
        </row>
        <row r="64">
          <cell r="A64">
            <v>43677</v>
          </cell>
          <cell r="D64">
            <v>3.819839120420656E-2</v>
          </cell>
          <cell r="G64">
            <v>1.2612001895178471E-2</v>
          </cell>
          <cell r="J64">
            <v>1.1014247999318752E-2</v>
          </cell>
        </row>
        <row r="65">
          <cell r="A65">
            <v>43707</v>
          </cell>
          <cell r="D65">
            <v>5.1567057580761508E-2</v>
          </cell>
          <cell r="G65">
            <v>4.6422236089587288E-2</v>
          </cell>
          <cell r="J65">
            <v>2.4382914375873699E-2</v>
          </cell>
        </row>
        <row r="66">
          <cell r="A66">
            <v>43738</v>
          </cell>
          <cell r="D66">
            <v>5.1567057580761508E-2</v>
          </cell>
          <cell r="G66">
            <v>7.9017351537003316E-2</v>
          </cell>
          <cell r="J66">
            <v>5.912078099256133E-2</v>
          </cell>
        </row>
        <row r="67">
          <cell r="A67">
            <v>43769</v>
          </cell>
          <cell r="D67">
            <v>8.5929075172340108E-2</v>
          </cell>
          <cell r="G67">
            <v>0.10037954271031127</v>
          </cell>
          <cell r="J67">
            <v>9.3482798584139937E-2</v>
          </cell>
        </row>
        <row r="68">
          <cell r="A68">
            <v>43799</v>
          </cell>
          <cell r="D68">
            <v>0.12294200118843399</v>
          </cell>
          <cell r="G68">
            <v>0.14841798654999783</v>
          </cell>
          <cell r="J68">
            <v>0.13049572460023381</v>
          </cell>
        </row>
        <row r="69">
          <cell r="A69">
            <v>43830</v>
          </cell>
          <cell r="D69">
            <v>0</v>
          </cell>
          <cell r="G69">
            <v>0.19343544571043036</v>
          </cell>
          <cell r="J69">
            <v>0.16870914040098239</v>
          </cell>
        </row>
        <row r="70">
          <cell r="A70">
            <v>43861</v>
          </cell>
          <cell r="D70">
            <v>0</v>
          </cell>
          <cell r="G70">
            <v>0.21109432929743305</v>
          </cell>
          <cell r="J70">
            <v>0.17883974557485205</v>
          </cell>
        </row>
        <row r="71">
          <cell r="A71">
            <v>43890</v>
          </cell>
          <cell r="D71">
            <v>0</v>
          </cell>
          <cell r="G71">
            <v>0.24021998797790367</v>
          </cell>
          <cell r="J71">
            <v>0.20327970071032161</v>
          </cell>
        </row>
        <row r="72">
          <cell r="A72">
            <v>43921</v>
          </cell>
          <cell r="D72">
            <v>0</v>
          </cell>
          <cell r="G72">
            <v>0.29261663641207247</v>
          </cell>
          <cell r="J72">
            <v>0.21831061268190452</v>
          </cell>
        </row>
        <row r="73">
          <cell r="A73">
            <v>43951</v>
          </cell>
          <cell r="D73">
            <v>0</v>
          </cell>
          <cell r="G73">
            <v>0.37614084894664113</v>
          </cell>
          <cell r="J73">
            <v>0.21831061268190452</v>
          </cell>
        </row>
        <row r="74">
          <cell r="A74">
            <v>43982</v>
          </cell>
          <cell r="D74">
            <v>0</v>
          </cell>
          <cell r="G74">
            <v>0.46048949852760362</v>
          </cell>
          <cell r="J74">
            <v>0.21831061268190452</v>
          </cell>
        </row>
        <row r="75">
          <cell r="A75">
            <v>44012</v>
          </cell>
          <cell r="D75">
            <v>0</v>
          </cell>
          <cell r="G75">
            <v>0.60184329356058097</v>
          </cell>
          <cell r="J75">
            <v>0.21831061268190452</v>
          </cell>
        </row>
        <row r="76">
          <cell r="A76">
            <v>0</v>
          </cell>
          <cell r="D76">
            <v>0</v>
          </cell>
          <cell r="G76">
            <v>0</v>
          </cell>
          <cell r="J76">
            <v>0</v>
          </cell>
        </row>
        <row r="77">
          <cell r="A77">
            <v>0</v>
          </cell>
          <cell r="D77">
            <v>0</v>
          </cell>
          <cell r="G77">
            <v>0</v>
          </cell>
          <cell r="J77">
            <v>0</v>
          </cell>
        </row>
      </sheetData>
      <sheetData sheetId="29"/>
      <sheetData sheetId="30"/>
      <sheetData sheetId="31"/>
      <sheetData sheetId="32"/>
      <sheetData sheetId="33"/>
      <sheetData sheetId="34"/>
      <sheetData sheetId="35"/>
      <sheetData sheetId="36"/>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FICHA 2"/>
      <sheetName val="Hoja2"/>
      <sheetName val="VAL.PRINC"/>
      <sheetName val="CRONGRAMA JULIO"/>
      <sheetName val="VAL.M.M"/>
      <sheetName val="VAL.PN"/>
      <sheetName val="METRADOS PN"/>
      <sheetName val="Hoja4"/>
      <sheetName val="RES. VAL. "/>
      <sheetName val="MET AGOSTO"/>
      <sheetName val="MET. DIA"/>
      <sheetName val="Hoja3"/>
      <sheetName val="MET.DIA M.M"/>
      <sheetName val="MET. DIA P.N."/>
      <sheetName val="Hoja1"/>
      <sheetName val="P.NUEVAS PROYECTADAS"/>
      <sheetName val="CS"/>
      <sheetName val="MET.ADIC"/>
      <sheetName val="MET.EXP"/>
      <sheetName val="CRON"/>
      <sheetName val="gantt (2)"/>
    </sheetNames>
    <sheetDataSet>
      <sheetData sheetId="0" refreshError="1"/>
      <sheetData sheetId="1" refreshError="1"/>
      <sheetData sheetId="2" refreshError="1"/>
      <sheetData sheetId="3" refreshError="1">
        <row r="38">
          <cell r="B38" t="str">
            <v>ESTRUCTURAS</v>
          </cell>
        </row>
        <row r="292">
          <cell r="B292" t="str">
            <v>ARQUITECTURA</v>
          </cell>
        </row>
        <row r="542">
          <cell r="B542" t="str">
            <v>INSTALACIONES SANITARIAS</v>
          </cell>
        </row>
        <row r="601">
          <cell r="B601" t="str">
            <v>INSTALACIONES ELECTRICAS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 PRINC"/>
      <sheetName val="VAL AMP 3"/>
      <sheetName val="VAL AMP4 MM"/>
    </sheetNames>
    <sheetDataSet>
      <sheetData sheetId="0">
        <row r="16">
          <cell r="U16">
            <v>8.99</v>
          </cell>
        </row>
      </sheetData>
      <sheetData sheetId="1">
        <row r="17">
          <cell r="L17">
            <v>1</v>
          </cell>
        </row>
      </sheetData>
      <sheetData sheetId="2"/>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STENTO DE METRADOS"/>
      <sheetName val="RESUMEN DE METRADOS "/>
      <sheetName val="RESUMEN DE METRADOS  (3)"/>
    </sheetNames>
    <sheetDataSet>
      <sheetData sheetId="0"/>
      <sheetData sheetId="1">
        <row r="8">
          <cell r="G8">
            <v>98.842400000000026</v>
          </cell>
        </row>
        <row r="11">
          <cell r="H11">
            <v>17.442</v>
          </cell>
        </row>
        <row r="12">
          <cell r="H12">
            <v>68.603999999999999</v>
          </cell>
        </row>
        <row r="16">
          <cell r="H16">
            <v>258.70829999999989</v>
          </cell>
        </row>
        <row r="29">
          <cell r="I29">
            <v>158.27100000000002</v>
          </cell>
        </row>
        <row r="30">
          <cell r="I30">
            <v>125.70999999999998</v>
          </cell>
        </row>
        <row r="32">
          <cell r="H32">
            <v>586.42000000000007</v>
          </cell>
        </row>
        <row r="36">
          <cell r="I36">
            <v>71.293400000000005</v>
          </cell>
        </row>
        <row r="37">
          <cell r="I37">
            <v>553.86</v>
          </cell>
        </row>
        <row r="39">
          <cell r="I39">
            <v>640.93900000000008</v>
          </cell>
        </row>
        <row r="40">
          <cell r="I40">
            <v>54.620000000000005</v>
          </cell>
        </row>
        <row r="41">
          <cell r="I41">
            <v>546.14</v>
          </cell>
        </row>
        <row r="49">
          <cell r="I49">
            <v>53.4</v>
          </cell>
        </row>
        <row r="50">
          <cell r="I50">
            <v>103.09532000000002</v>
          </cell>
        </row>
        <row r="51">
          <cell r="I51">
            <v>103.09532000000002</v>
          </cell>
        </row>
        <row r="52">
          <cell r="I52">
            <v>34.302</v>
          </cell>
        </row>
        <row r="53">
          <cell r="I53">
            <v>22.806750000000005</v>
          </cell>
        </row>
        <row r="54">
          <cell r="I54">
            <v>72.750000000000014</v>
          </cell>
        </row>
      </sheetData>
      <sheetData sheetId="2"/>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2"/>
      <sheetName val="CRONGRAMA JULIO"/>
      <sheetName val="S. MOYORES METRADOS"/>
      <sheetName val="SUSTENTO DE M. CONTRACTUAL"/>
      <sheetName val="Metrado Fierro Contractual"/>
      <sheetName val="Metrado Fierro MAYOR M."/>
      <sheetName val="Hoja5"/>
      <sheetName val="Hoja6"/>
      <sheetName val="Hoja7"/>
      <sheetName val="METRADOS PN"/>
      <sheetName val="MET AGOSTO"/>
      <sheetName val="Hoja4"/>
      <sheetName val="Hoja11"/>
      <sheetName val="Hoja10"/>
      <sheetName val="Hoja9"/>
      <sheetName val="Hoja3"/>
      <sheetName val="Hoja12"/>
      <sheetName val="Hoja8"/>
      <sheetName val="Hoja1"/>
      <sheetName val="P.NUEVAS PROYECTADAS"/>
      <sheetName val="MET.MM"/>
      <sheetName val="MET.PN"/>
      <sheetName val="ABRIL "/>
      <sheetName val="Hoja14"/>
      <sheetName val="MET.ADIC"/>
      <sheetName val="MET.EXP"/>
      <sheetName val="CRON"/>
      <sheetName val="gantt (2)"/>
    </sheetNames>
    <sheetDataSet>
      <sheetData sheetId="0"/>
      <sheetData sheetId="1"/>
      <sheetData sheetId="2">
        <row r="16">
          <cell r="J16">
            <v>259.54825</v>
          </cell>
        </row>
        <row r="206">
          <cell r="J206">
            <v>34.108000000000004</v>
          </cell>
        </row>
        <row r="266">
          <cell r="J266">
            <v>1503.5530000000003</v>
          </cell>
        </row>
      </sheetData>
      <sheetData sheetId="3">
        <row r="9">
          <cell r="T9">
            <v>0.02</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FICHA 2"/>
      <sheetName val="Hoja2"/>
      <sheetName val="CRONGRAMA JULIO"/>
      <sheetName val="VAL. PRINC"/>
      <sheetName val="Hoja5"/>
      <sheetName val="Hoja6"/>
      <sheetName val="Hoja7"/>
      <sheetName val="VAL.M.M"/>
      <sheetName val="VAL.PN"/>
      <sheetName val="METRADOS PN"/>
      <sheetName val="RES. VAL. "/>
      <sheetName val="MET AGOSTO"/>
      <sheetName val="Hoja4"/>
      <sheetName val="Hoja11"/>
      <sheetName val="Hoja10"/>
      <sheetName val="Hoja9"/>
      <sheetName val="MET. DIA"/>
      <sheetName val="Hoja3"/>
      <sheetName val="MET.DIA M.M"/>
      <sheetName val="MET. DIA P.N."/>
      <sheetName val="Hoja8"/>
      <sheetName val="Hoja1"/>
      <sheetName val="P.NUEVAS PROYECTADAS"/>
      <sheetName val="CS"/>
      <sheetName val="MET.ADIC"/>
      <sheetName val="MET.EXP"/>
      <sheetName val="CRON"/>
      <sheetName val="gantt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14">
          <cell r="H14">
            <v>74832.791299999997</v>
          </cell>
        </row>
        <row r="15">
          <cell r="H15">
            <v>74832.75</v>
          </cell>
        </row>
        <row r="16">
          <cell r="H16">
            <v>390219.46500000003</v>
          </cell>
        </row>
        <row r="17">
          <cell r="H17">
            <v>72474.674800000008</v>
          </cell>
        </row>
        <row r="18">
          <cell r="H18">
            <v>0</v>
          </cell>
        </row>
        <row r="19">
          <cell r="H19">
            <v>3211.13</v>
          </cell>
        </row>
        <row r="38">
          <cell r="H38">
            <v>540738.0686</v>
          </cell>
        </row>
        <row r="39">
          <cell r="H39">
            <v>55816.822099999998</v>
          </cell>
        </row>
        <row r="40">
          <cell r="H40">
            <v>286835.83134454</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TRADO GENERAL"/>
      <sheetName val="METRADO ACERO"/>
      <sheetName val="Hoja1"/>
      <sheetName val="PARTIDAS EJEC. OCTUBRE"/>
      <sheetName val="FICHA 1"/>
      <sheetName val="Hoja2"/>
      <sheetName val="CRONGRAMA JULIO"/>
      <sheetName val="DATOS GENERALES"/>
      <sheetName val="FICHA 2 VALE"/>
      <sheetName val="VAL. PRINC"/>
      <sheetName val="Hoja5"/>
      <sheetName val="Hoja6"/>
      <sheetName val="Hoja7"/>
      <sheetName val="METRADOS PN"/>
      <sheetName val="RES. VAL. "/>
      <sheetName val="MET AGOSTO"/>
      <sheetName val="Hoja4"/>
      <sheetName val="Hoja11"/>
      <sheetName val="Hoja10"/>
      <sheetName val="Hoja9"/>
      <sheetName val="Hoja3"/>
      <sheetName val="Hoja12"/>
      <sheetName val="Hoja8"/>
      <sheetName val="P.NUEVAS PROYECTADAS"/>
      <sheetName val="MET.MM"/>
      <sheetName val="MET.PN"/>
      <sheetName val="curva S NNN"/>
      <sheetName val="ABRIL "/>
      <sheetName val="Hoja14"/>
      <sheetName val="MET.ADIC"/>
      <sheetName val="MET.EXP"/>
      <sheetName val="CRON"/>
      <sheetName val="gantt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01"/>
      <sheetName val="FE-02 (2)"/>
      <sheetName val="FE -03"/>
      <sheetName val="FE -04 "/>
      <sheetName val="VAL. PN"/>
      <sheetName val="VAL.MM"/>
      <sheetName val="VAL.ADIC"/>
      <sheetName val="VAL.PRINC"/>
      <sheetName val="RES. VAL. FINAL"/>
      <sheetName val="RESUMEN VALORIZACION"/>
      <sheetName val="MET. ADIC"/>
      <sheetName val="MET. EXP. TEC."/>
      <sheetName val="CRON. VALORIZADO"/>
      <sheetName val="gantt"/>
      <sheetName val="Hoja1"/>
      <sheetName val="Hoja1 (2)"/>
      <sheetName val="F-4 METRADOS DIARIOS"/>
      <sheetName val="Hoja2"/>
      <sheetName val="Informe de compatibilid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5">
          <cell r="I15">
            <v>0</v>
          </cell>
        </row>
        <row r="16">
          <cell r="I16">
            <v>0</v>
          </cell>
        </row>
        <row r="17">
          <cell r="I17">
            <v>0</v>
          </cell>
        </row>
        <row r="18">
          <cell r="I18">
            <v>0</v>
          </cell>
        </row>
        <row r="19">
          <cell r="I19">
            <v>0</v>
          </cell>
        </row>
        <row r="20">
          <cell r="I20">
            <v>0</v>
          </cell>
        </row>
        <row r="21">
          <cell r="I21">
            <v>0</v>
          </cell>
        </row>
        <row r="22">
          <cell r="I22">
            <v>0</v>
          </cell>
        </row>
        <row r="23">
          <cell r="I23">
            <v>0</v>
          </cell>
        </row>
        <row r="24">
          <cell r="I24">
            <v>0</v>
          </cell>
        </row>
        <row r="25">
          <cell r="I25">
            <v>0</v>
          </cell>
        </row>
        <row r="26">
          <cell r="I26">
            <v>0</v>
          </cell>
        </row>
        <row r="27">
          <cell r="I27">
            <v>0</v>
          </cell>
        </row>
        <row r="28">
          <cell r="I28">
            <v>0</v>
          </cell>
        </row>
        <row r="29">
          <cell r="I29">
            <v>0</v>
          </cell>
        </row>
        <row r="30">
          <cell r="I30">
            <v>0</v>
          </cell>
        </row>
        <row r="31">
          <cell r="I31">
            <v>24.0306</v>
          </cell>
        </row>
        <row r="32">
          <cell r="I32">
            <v>12.784000000000001</v>
          </cell>
        </row>
        <row r="33">
          <cell r="I33">
            <v>9.1212800000000005</v>
          </cell>
        </row>
        <row r="34">
          <cell r="I34">
            <v>385.34240000000005</v>
          </cell>
        </row>
        <row r="35">
          <cell r="I35">
            <v>7.8</v>
          </cell>
        </row>
        <row r="36">
          <cell r="I36">
            <v>2.1840000000000002</v>
          </cell>
        </row>
        <row r="37">
          <cell r="I37">
            <v>1.9296</v>
          </cell>
        </row>
        <row r="38">
          <cell r="I38">
            <v>3.3521999999999998</v>
          </cell>
        </row>
        <row r="39">
          <cell r="I39">
            <v>0</v>
          </cell>
        </row>
        <row r="40">
          <cell r="I40">
            <v>0</v>
          </cell>
        </row>
        <row r="41">
          <cell r="I41">
            <v>0</v>
          </cell>
        </row>
        <row r="42">
          <cell r="I42">
            <v>0</v>
          </cell>
        </row>
        <row r="43">
          <cell r="I43">
            <v>0</v>
          </cell>
        </row>
        <row r="44">
          <cell r="I44">
            <v>0</v>
          </cell>
        </row>
        <row r="45">
          <cell r="I45">
            <v>0</v>
          </cell>
        </row>
        <row r="46">
          <cell r="I46">
            <v>0</v>
          </cell>
        </row>
        <row r="47">
          <cell r="I47">
            <v>0</v>
          </cell>
        </row>
        <row r="48">
          <cell r="I48">
            <v>0</v>
          </cell>
        </row>
        <row r="49">
          <cell r="I49">
            <v>0</v>
          </cell>
        </row>
        <row r="50">
          <cell r="I50">
            <v>0</v>
          </cell>
        </row>
        <row r="51">
          <cell r="I51">
            <v>0</v>
          </cell>
        </row>
        <row r="52">
          <cell r="I52">
            <v>0</v>
          </cell>
        </row>
        <row r="53">
          <cell r="I53">
            <v>0</v>
          </cell>
        </row>
        <row r="54">
          <cell r="I54">
            <v>0</v>
          </cell>
        </row>
        <row r="55">
          <cell r="I55">
            <v>0</v>
          </cell>
        </row>
        <row r="56">
          <cell r="I56">
            <v>0</v>
          </cell>
        </row>
        <row r="57">
          <cell r="I57">
            <v>0</v>
          </cell>
        </row>
        <row r="58">
          <cell r="I58">
            <v>0</v>
          </cell>
        </row>
        <row r="59">
          <cell r="I59">
            <v>0</v>
          </cell>
        </row>
        <row r="60">
          <cell r="I60">
            <v>0</v>
          </cell>
        </row>
        <row r="61">
          <cell r="I61">
            <v>0</v>
          </cell>
        </row>
        <row r="62">
          <cell r="I62">
            <v>0</v>
          </cell>
        </row>
        <row r="63">
          <cell r="I63">
            <v>0</v>
          </cell>
        </row>
        <row r="64">
          <cell r="I64">
            <v>0</v>
          </cell>
        </row>
        <row r="65">
          <cell r="I65">
            <v>0</v>
          </cell>
        </row>
        <row r="66">
          <cell r="I66">
            <v>0</v>
          </cell>
        </row>
        <row r="67">
          <cell r="I67">
            <v>0</v>
          </cell>
        </row>
        <row r="68">
          <cell r="I68">
            <v>0</v>
          </cell>
        </row>
        <row r="69">
          <cell r="I69">
            <v>0</v>
          </cell>
        </row>
        <row r="70">
          <cell r="I70">
            <v>0</v>
          </cell>
        </row>
        <row r="71">
          <cell r="I71">
            <v>0</v>
          </cell>
        </row>
        <row r="72">
          <cell r="I72">
            <v>0</v>
          </cell>
        </row>
        <row r="73">
          <cell r="I73">
            <v>0</v>
          </cell>
        </row>
        <row r="74">
          <cell r="I74">
            <v>0</v>
          </cell>
        </row>
        <row r="75">
          <cell r="I75">
            <v>0</v>
          </cell>
        </row>
        <row r="76">
          <cell r="I76">
            <v>0</v>
          </cell>
        </row>
        <row r="77">
          <cell r="I77">
            <v>0</v>
          </cell>
        </row>
        <row r="78">
          <cell r="I78">
            <v>0</v>
          </cell>
        </row>
        <row r="79">
          <cell r="I79">
            <v>0</v>
          </cell>
        </row>
        <row r="80">
          <cell r="I80">
            <v>0</v>
          </cell>
        </row>
        <row r="81">
          <cell r="I81">
            <v>0</v>
          </cell>
        </row>
        <row r="82">
          <cell r="I82">
            <v>0</v>
          </cell>
        </row>
        <row r="83">
          <cell r="I83">
            <v>0</v>
          </cell>
        </row>
        <row r="84">
          <cell r="I84">
            <v>0</v>
          </cell>
        </row>
        <row r="85">
          <cell r="I85">
            <v>0</v>
          </cell>
        </row>
        <row r="86">
          <cell r="I86">
            <v>0</v>
          </cell>
        </row>
        <row r="87">
          <cell r="I87">
            <v>0</v>
          </cell>
        </row>
        <row r="88">
          <cell r="I88">
            <v>0</v>
          </cell>
        </row>
        <row r="89">
          <cell r="I89">
            <v>0</v>
          </cell>
        </row>
        <row r="90">
          <cell r="I90">
            <v>0</v>
          </cell>
        </row>
        <row r="91">
          <cell r="I91">
            <v>0</v>
          </cell>
        </row>
        <row r="92">
          <cell r="I92">
            <v>0</v>
          </cell>
        </row>
        <row r="93">
          <cell r="I93">
            <v>0</v>
          </cell>
        </row>
        <row r="94">
          <cell r="I94">
            <v>0</v>
          </cell>
        </row>
        <row r="95">
          <cell r="I95">
            <v>0</v>
          </cell>
        </row>
        <row r="96">
          <cell r="I96">
            <v>0</v>
          </cell>
        </row>
        <row r="97">
          <cell r="I97">
            <v>0</v>
          </cell>
        </row>
        <row r="98">
          <cell r="I98">
            <v>0</v>
          </cell>
        </row>
        <row r="99">
          <cell r="I99">
            <v>0</v>
          </cell>
        </row>
        <row r="100">
          <cell r="I100">
            <v>0</v>
          </cell>
        </row>
        <row r="101">
          <cell r="I101">
            <v>0</v>
          </cell>
        </row>
        <row r="102">
          <cell r="I102">
            <v>0</v>
          </cell>
        </row>
        <row r="103">
          <cell r="I103">
            <v>0</v>
          </cell>
        </row>
        <row r="104">
          <cell r="I104">
            <v>0</v>
          </cell>
        </row>
        <row r="105">
          <cell r="I105">
            <v>0</v>
          </cell>
        </row>
        <row r="106">
          <cell r="I106">
            <v>0</v>
          </cell>
        </row>
        <row r="107">
          <cell r="I107">
            <v>0</v>
          </cell>
        </row>
        <row r="108">
          <cell r="I108">
            <v>0</v>
          </cell>
        </row>
        <row r="109">
          <cell r="I109">
            <v>0</v>
          </cell>
        </row>
        <row r="110">
          <cell r="I110">
            <v>0</v>
          </cell>
        </row>
        <row r="111">
          <cell r="I111">
            <v>0</v>
          </cell>
        </row>
        <row r="112">
          <cell r="I112">
            <v>0</v>
          </cell>
        </row>
        <row r="113">
          <cell r="I113">
            <v>0</v>
          </cell>
        </row>
        <row r="114">
          <cell r="I114">
            <v>0</v>
          </cell>
        </row>
        <row r="115">
          <cell r="I115">
            <v>0</v>
          </cell>
        </row>
        <row r="116">
          <cell r="I116">
            <v>0</v>
          </cell>
        </row>
        <row r="117">
          <cell r="I117">
            <v>0</v>
          </cell>
        </row>
        <row r="118">
          <cell r="I118">
            <v>0</v>
          </cell>
        </row>
        <row r="119">
          <cell r="I119">
            <v>0</v>
          </cell>
        </row>
        <row r="120">
          <cell r="I120">
            <v>0</v>
          </cell>
        </row>
        <row r="121">
          <cell r="I121">
            <v>0</v>
          </cell>
        </row>
        <row r="122">
          <cell r="I122">
            <v>0</v>
          </cell>
        </row>
        <row r="123">
          <cell r="I123">
            <v>0</v>
          </cell>
        </row>
        <row r="124">
          <cell r="I124">
            <v>0</v>
          </cell>
        </row>
        <row r="125">
          <cell r="I125">
            <v>0</v>
          </cell>
        </row>
        <row r="126">
          <cell r="I126">
            <v>0</v>
          </cell>
        </row>
        <row r="127">
          <cell r="I127">
            <v>0</v>
          </cell>
        </row>
        <row r="128">
          <cell r="I128">
            <v>0</v>
          </cell>
        </row>
        <row r="129">
          <cell r="I129">
            <v>0</v>
          </cell>
        </row>
        <row r="130">
          <cell r="I130">
            <v>0</v>
          </cell>
        </row>
        <row r="131">
          <cell r="I131">
            <v>0</v>
          </cell>
        </row>
        <row r="132">
          <cell r="I132">
            <v>0</v>
          </cell>
        </row>
        <row r="133">
          <cell r="I133">
            <v>0</v>
          </cell>
        </row>
        <row r="134">
          <cell r="I134">
            <v>0</v>
          </cell>
        </row>
        <row r="135">
          <cell r="I135">
            <v>0</v>
          </cell>
        </row>
        <row r="136">
          <cell r="I136">
            <v>0</v>
          </cell>
        </row>
        <row r="137">
          <cell r="I137">
            <v>0</v>
          </cell>
        </row>
        <row r="138">
          <cell r="I138">
            <v>0</v>
          </cell>
        </row>
        <row r="139">
          <cell r="I139">
            <v>0</v>
          </cell>
        </row>
        <row r="140">
          <cell r="I140">
            <v>0</v>
          </cell>
        </row>
        <row r="141">
          <cell r="I141">
            <v>0</v>
          </cell>
        </row>
        <row r="142">
          <cell r="I142">
            <v>0</v>
          </cell>
        </row>
        <row r="143">
          <cell r="I143">
            <v>0</v>
          </cell>
        </row>
        <row r="144">
          <cell r="I144">
            <v>0</v>
          </cell>
        </row>
        <row r="145">
          <cell r="I145">
            <v>0</v>
          </cell>
        </row>
        <row r="146">
          <cell r="I146">
            <v>0</v>
          </cell>
        </row>
        <row r="147">
          <cell r="I147">
            <v>0</v>
          </cell>
        </row>
        <row r="148">
          <cell r="I148">
            <v>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VAL."/>
      <sheetName val="MOV.DE "/>
      <sheetName val="F-2(2)"/>
      <sheetName val="MEMB"/>
      <sheetName val="FICH.T"/>
      <sheetName val="FE-02"/>
      <sheetName val="VAL.PN"/>
      <sheetName val="VAL.MM"/>
      <sheetName val="VAL.PRINC"/>
      <sheetName val="RES. VAL. "/>
      <sheetName val="MET. DIA"/>
      <sheetName val="CS"/>
      <sheetName val="MET.ADIC"/>
      <sheetName val="MET.EXP"/>
      <sheetName val="CRON"/>
      <sheetName val="gantt (2)"/>
    </sheetNames>
    <sheetDataSet>
      <sheetData sheetId="0"/>
      <sheetData sheetId="1"/>
      <sheetData sheetId="2"/>
      <sheetData sheetId="3"/>
      <sheetData sheetId="4"/>
      <sheetData sheetId="5"/>
      <sheetData sheetId="6"/>
      <sheetData sheetId="7"/>
      <sheetData sheetId="8">
        <row r="15">
          <cell r="N15">
            <v>0.25</v>
          </cell>
        </row>
        <row r="16">
          <cell r="N16">
            <v>0</v>
          </cell>
        </row>
        <row r="19">
          <cell r="N19">
            <v>0</v>
          </cell>
        </row>
        <row r="21">
          <cell r="N21">
            <v>0</v>
          </cell>
        </row>
        <row r="22">
          <cell r="N22">
            <v>6806.6327500000007</v>
          </cell>
        </row>
        <row r="23">
          <cell r="N23">
            <v>9640.875250000001</v>
          </cell>
        </row>
        <row r="24">
          <cell r="N24">
            <v>0</v>
          </cell>
        </row>
        <row r="25">
          <cell r="N25">
            <v>4497.5</v>
          </cell>
        </row>
        <row r="27">
          <cell r="N27">
            <v>86102.1155</v>
          </cell>
        </row>
        <row r="28">
          <cell r="N28">
            <v>5329.5320000000002</v>
          </cell>
        </row>
        <row r="31">
          <cell r="N31">
            <v>2.7999999999792635E-3</v>
          </cell>
        </row>
        <row r="32">
          <cell r="N32">
            <v>2.0000000000095497E-3</v>
          </cell>
        </row>
        <row r="33">
          <cell r="N33">
            <v>4.6400000000090813E-3</v>
          </cell>
        </row>
        <row r="34">
          <cell r="N34">
            <v>0</v>
          </cell>
        </row>
        <row r="35">
          <cell r="N35">
            <v>0</v>
          </cell>
        </row>
        <row r="36">
          <cell r="N36">
            <v>2.000000000005997E-3</v>
          </cell>
        </row>
        <row r="37">
          <cell r="N37">
            <v>4.7999999999994714E-3</v>
          </cell>
        </row>
        <row r="38">
          <cell r="N38">
            <v>3.5999999999987153E-3</v>
          </cell>
        </row>
        <row r="40">
          <cell r="N40">
            <v>120</v>
          </cell>
        </row>
        <row r="41">
          <cell r="N41">
            <v>145</v>
          </cell>
        </row>
        <row r="42">
          <cell r="N42">
            <v>170</v>
          </cell>
        </row>
        <row r="43">
          <cell r="N43">
            <v>156</v>
          </cell>
        </row>
        <row r="44">
          <cell r="N44">
            <v>50</v>
          </cell>
        </row>
        <row r="45">
          <cell r="N45">
            <v>100</v>
          </cell>
        </row>
        <row r="46">
          <cell r="N46">
            <v>7.8</v>
          </cell>
        </row>
        <row r="47">
          <cell r="N47">
            <v>51</v>
          </cell>
        </row>
        <row r="49">
          <cell r="N49">
            <v>9852</v>
          </cell>
        </row>
        <row r="50">
          <cell r="N50">
            <v>1576</v>
          </cell>
        </row>
        <row r="51">
          <cell r="N51">
            <v>1000</v>
          </cell>
        </row>
        <row r="52">
          <cell r="O52">
            <v>1550015.2552</v>
          </cell>
        </row>
        <row r="112">
          <cell r="N112">
            <v>1</v>
          </cell>
        </row>
        <row r="113">
          <cell r="N113">
            <v>40</v>
          </cell>
        </row>
        <row r="114">
          <cell r="N114">
            <v>40</v>
          </cell>
        </row>
        <row r="115">
          <cell r="N115">
            <v>10</v>
          </cell>
        </row>
        <row r="116">
          <cell r="N116">
            <v>14</v>
          </cell>
        </row>
        <row r="117">
          <cell r="N117">
            <v>1</v>
          </cell>
        </row>
        <row r="118">
          <cell r="N118">
            <v>1</v>
          </cell>
        </row>
        <row r="120">
          <cell r="N120">
            <v>26</v>
          </cell>
        </row>
        <row r="121">
          <cell r="N121">
            <v>6</v>
          </cell>
        </row>
        <row r="122">
          <cell r="N122">
            <v>32</v>
          </cell>
        </row>
        <row r="123">
          <cell r="N123">
            <v>13</v>
          </cell>
        </row>
        <row r="125">
          <cell r="N125">
            <v>0</v>
          </cell>
        </row>
        <row r="128">
          <cell r="N128">
            <v>240</v>
          </cell>
        </row>
        <row r="129">
          <cell r="N129">
            <v>240</v>
          </cell>
        </row>
        <row r="130">
          <cell r="N130">
            <v>0.16</v>
          </cell>
        </row>
        <row r="131">
          <cell r="N131">
            <v>2880</v>
          </cell>
        </row>
        <row r="132">
          <cell r="N132">
            <v>400</v>
          </cell>
        </row>
        <row r="133">
          <cell r="N133">
            <v>1200</v>
          </cell>
        </row>
        <row r="135">
          <cell r="N135">
            <v>1</v>
          </cell>
        </row>
        <row r="136">
          <cell r="N136">
            <v>1</v>
          </cell>
        </row>
        <row r="137">
          <cell r="N137">
            <v>1</v>
          </cell>
        </row>
        <row r="139">
          <cell r="N139">
            <v>1</v>
          </cell>
        </row>
        <row r="140">
          <cell r="N140">
            <v>1</v>
          </cell>
        </row>
        <row r="141">
          <cell r="N141">
            <v>1</v>
          </cell>
        </row>
        <row r="142">
          <cell r="N142">
            <v>1</v>
          </cell>
        </row>
        <row r="144">
          <cell r="N144">
            <v>0</v>
          </cell>
        </row>
        <row r="145">
          <cell r="N145">
            <v>0</v>
          </cell>
        </row>
        <row r="146">
          <cell r="N146">
            <v>0</v>
          </cell>
        </row>
        <row r="148">
          <cell r="N148">
            <v>0.5</v>
          </cell>
        </row>
        <row r="149">
          <cell r="O149">
            <v>2880901.1635466004</v>
          </cell>
        </row>
      </sheetData>
      <sheetData sheetId="9"/>
      <sheetData sheetId="10"/>
      <sheetData sheetId="11"/>
      <sheetData sheetId="12"/>
      <sheetData sheetId="13"/>
      <sheetData sheetId="14"/>
      <sheetData sheetId="15"/>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CRON. VALORIZADO"/>
      <sheetName val="GANT"/>
      <sheetName val="CRON. VALORIZADO (2)"/>
      <sheetName val="VALORIZACION"/>
      <sheetName val="gantt"/>
    </sheetNames>
    <sheetDataSet>
      <sheetData sheetId="0">
        <row r="12">
          <cell r="G12">
            <v>92731.57</v>
          </cell>
        </row>
        <row r="14">
          <cell r="G14">
            <v>430413.80000000005</v>
          </cell>
        </row>
        <row r="16">
          <cell r="G16">
            <v>85391.61</v>
          </cell>
        </row>
        <row r="18">
          <cell r="G18">
            <v>311288.70999999996</v>
          </cell>
        </row>
        <row r="20">
          <cell r="G20">
            <v>224193.1</v>
          </cell>
        </row>
        <row r="22">
          <cell r="G22">
            <v>118992.08</v>
          </cell>
        </row>
        <row r="24">
          <cell r="G24">
            <v>297472</v>
          </cell>
        </row>
        <row r="26">
          <cell r="G26">
            <v>9213.36</v>
          </cell>
        </row>
        <row r="28">
          <cell r="G28">
            <v>13500.68</v>
          </cell>
        </row>
        <row r="30">
          <cell r="G30">
            <v>80094.94</v>
          </cell>
        </row>
        <row r="32">
          <cell r="G32">
            <v>171613.41</v>
          </cell>
        </row>
        <row r="34">
          <cell r="G34">
            <v>225423.43</v>
          </cell>
        </row>
        <row r="36">
          <cell r="G36">
            <v>847271.32</v>
          </cell>
        </row>
        <row r="38">
          <cell r="G38">
            <v>16738.03</v>
          </cell>
        </row>
        <row r="40">
          <cell r="G40">
            <v>139366.72</v>
          </cell>
        </row>
        <row r="43">
          <cell r="G43">
            <v>3202637.94</v>
          </cell>
        </row>
        <row r="44">
          <cell r="G44">
            <v>160131.9</v>
          </cell>
        </row>
        <row r="45">
          <cell r="G45">
            <v>64052.76</v>
          </cell>
        </row>
        <row r="46">
          <cell r="G46">
            <v>3426822.5999999996</v>
          </cell>
        </row>
        <row r="47">
          <cell r="G47">
            <v>616828.06999999995</v>
          </cell>
        </row>
        <row r="48">
          <cell r="G48">
            <v>4043650.6699999995</v>
          </cell>
        </row>
      </sheetData>
      <sheetData sheetId="1" refreshError="1"/>
      <sheetData sheetId="2">
        <row r="7">
          <cell r="D7" t="str">
            <v>JUNIO</v>
          </cell>
        </row>
      </sheetData>
      <sheetData sheetId="3" refreshError="1"/>
      <sheetData sheetId="4">
        <row r="4">
          <cell r="D4" t="str">
            <v>CONSTRUCCION TROCHA CARROZABLE PACHACONAS - RAMAL HUANCARAY, ANTABAMBA REGION - APURIMAC</v>
          </cell>
        </row>
        <row r="5">
          <cell r="P5" t="str">
            <v>PACHACONAS</v>
          </cell>
        </row>
        <row r="7">
          <cell r="D7" t="str">
            <v>ADMINISTRACION DIRECTA</v>
          </cell>
        </row>
        <row r="14">
          <cell r="B14" t="str">
            <v xml:space="preserve">            OBRAS PROVISIONALES.</v>
          </cell>
        </row>
        <row r="15">
          <cell r="B15" t="str">
            <v xml:space="preserve">  MOVILIZACIÓN Y DESMOVILIZACIÓN DE MAQUINARIA, EQUIPO Y H.</v>
          </cell>
          <cell r="J15">
            <v>39696.404999999999</v>
          </cell>
        </row>
        <row r="16">
          <cell r="B16" t="str">
            <v xml:space="preserve"> ACCESO A CANTERAS, DME Y FUENTES DE AGUA</v>
          </cell>
          <cell r="J16">
            <v>11928</v>
          </cell>
        </row>
        <row r="17">
          <cell r="B17" t="str">
            <v xml:space="preserve">            CONSTRUCCIÓN PLATAFORMA DE VIA.</v>
          </cell>
        </row>
        <row r="18">
          <cell r="B18" t="str">
            <v xml:space="preserve">                TRABAJOS PRELIMINARES.</v>
          </cell>
        </row>
        <row r="19">
          <cell r="B19" t="str">
            <v>TOPOGRAFÍA Y GEOREFERENCIACIÓN</v>
          </cell>
          <cell r="L19">
            <v>27890.316600000002</v>
          </cell>
        </row>
        <row r="20">
          <cell r="B20" t="str">
            <v xml:space="preserve">                MOVIMIENTO DE TIERRAS</v>
          </cell>
        </row>
        <row r="21">
          <cell r="B21" t="str">
            <v xml:space="preserve"> CORTE DE MATERIAL SUELTO</v>
          </cell>
          <cell r="L21">
            <v>703325.0368746703</v>
          </cell>
        </row>
        <row r="22">
          <cell r="B22" t="str">
            <v xml:space="preserve"> EXCAVACIÓN EN EXPLANACIONES EN ROCA FIJA</v>
          </cell>
          <cell r="L22">
            <v>845124.14230526343</v>
          </cell>
        </row>
        <row r="23">
          <cell r="B23" t="str">
            <v>EXCAVACIÓN EN EXPLANACIONES EN ROCA SUELTA</v>
          </cell>
          <cell r="D23">
            <v>27759.46</v>
          </cell>
        </row>
        <row r="24">
          <cell r="B24" t="str">
            <v>CONFORMACION DE TERRAPLENES</v>
          </cell>
          <cell r="F24">
            <v>3112.5636</v>
          </cell>
        </row>
        <row r="25">
          <cell r="B25" t="str">
            <v>PERFILADO Y COMPACTADO EN ZONA DE CORTE</v>
          </cell>
          <cell r="F25">
            <v>79753.399999999994</v>
          </cell>
        </row>
        <row r="26">
          <cell r="B26" t="str">
            <v xml:space="preserve">                TRANSPORTE</v>
          </cell>
        </row>
        <row r="27">
          <cell r="B27" t="str">
            <v>TRANSPORTE DE ELIMINACIÓN DE MATERIAL A DME D&lt;=1 km</v>
          </cell>
        </row>
        <row r="28">
          <cell r="B28" t="str">
            <v xml:space="preserve"> TRANSPORTE DE ELIMINACIÓN DE MATERIAL A DME &gt;1 km</v>
          </cell>
        </row>
        <row r="29">
          <cell r="B29" t="str">
            <v xml:space="preserve">            OBRAS DE ARTE Y DRENAJE.</v>
          </cell>
        </row>
        <row r="30">
          <cell r="B30" t="str">
            <v xml:space="preserve">                ALCANTARILLA TIPO I (0.80x0.80 m.)</v>
          </cell>
        </row>
        <row r="31">
          <cell r="B31" t="str">
            <v>TRAZO, REPLANTEO Y CONTROL TOPOGRAFICO</v>
          </cell>
        </row>
        <row r="32">
          <cell r="B32" t="str">
            <v>EXCAVACIÓN NO CLASIFICADA PARA ESTRUCTURAS</v>
          </cell>
        </row>
        <row r="33">
          <cell r="B33" t="str">
            <v>CONCRETO CICLOPEO f'c=175 kg/cm2 + 30% PM</v>
          </cell>
        </row>
        <row r="34">
          <cell r="B34" t="str">
            <v>ACERO DE REFUERZO GRADO 60</v>
          </cell>
        </row>
        <row r="35">
          <cell r="B35" t="str">
            <v xml:space="preserve"> ENCOFRADO Y DESENCOFRADO PARA OBRAS DE ARTE</v>
          </cell>
        </row>
        <row r="36">
          <cell r="B36" t="str">
            <v xml:space="preserve"> CONCRETO f'c=210 kg/cm2</v>
          </cell>
        </row>
        <row r="37">
          <cell r="B37" t="str">
            <v>CONCRETO f'c=175 kg/cm2</v>
          </cell>
        </row>
        <row r="38">
          <cell r="B38" t="str">
            <v xml:space="preserve"> RELLENO PARA ESTRUCTURAS CON MATERIAL PROPIO</v>
          </cell>
        </row>
        <row r="39">
          <cell r="B39" t="str">
            <v>MURO DE CONTENCION (L=100 m).</v>
          </cell>
        </row>
        <row r="40">
          <cell r="B40" t="str">
            <v>TRAZO, REPLANTEO Y CONTROL TOPOGRAFICO</v>
          </cell>
        </row>
        <row r="41">
          <cell r="B41" t="str">
            <v xml:space="preserve"> EXCAVACIÓN NO CLASIFICADA PARA ESTRUCTURAS</v>
          </cell>
        </row>
        <row r="42">
          <cell r="B42" t="str">
            <v>ENCOFRADO Y DESENCOFRADO PARA OBRAS DE ARTE</v>
          </cell>
        </row>
        <row r="43">
          <cell r="B43" t="str">
            <v xml:space="preserve"> CONCRETO CICLOPEO f'c=175 kg/cm2 + 30% PM</v>
          </cell>
        </row>
        <row r="44">
          <cell r="B44" t="str">
            <v xml:space="preserve"> TUBERIA DE PVC 2" PARA DRENAJE</v>
          </cell>
        </row>
        <row r="45">
          <cell r="B45" t="str">
            <v>TUBERIA DE PVC 4" PARA DRENAJE</v>
          </cell>
        </row>
        <row r="46">
          <cell r="B46" t="str">
            <v xml:space="preserve"> JUNTAS DE DILATACIÓN CON TECKNOPORT EN MUROS DE C.</v>
          </cell>
        </row>
        <row r="47">
          <cell r="B47" t="str">
            <v xml:space="preserve"> RELLENO PARA ESTRUCTURAS CON MATERIAL PROPIO</v>
          </cell>
        </row>
        <row r="48">
          <cell r="B48" t="str">
            <v xml:space="preserve">                CUNETAS SIN REVESTIR</v>
          </cell>
        </row>
        <row r="49">
          <cell r="B49" t="str">
            <v xml:space="preserve"> CONFORMACIÓN Y PERFILADO DE CUNETAS (MATERIAL SUELTO)</v>
          </cell>
        </row>
        <row r="50">
          <cell r="B50" t="str">
            <v xml:space="preserve"> CONFORMACIÓN Y PERFILADO DE CUNETAS (ROCA SUELTA)</v>
          </cell>
        </row>
        <row r="51">
          <cell r="B51" t="str">
            <v>CONFORMACIÓN Y PERFILADO DE CUNETAS (ROCA FIJA)</v>
          </cell>
        </row>
        <row r="52">
          <cell r="B52" t="str">
            <v xml:space="preserve">            PUENTE TABLERO SECCIÓN COMPUESTA.</v>
          </cell>
        </row>
        <row r="53">
          <cell r="B53" t="str">
            <v xml:space="preserve">                TRABAJOS PRELIMINARES.</v>
          </cell>
        </row>
        <row r="54">
          <cell r="B54" t="str">
            <v xml:space="preserve"> LIMPIEZA MANUAL DE TERRENO</v>
          </cell>
        </row>
        <row r="55">
          <cell r="B55" t="str">
            <v>TRAZO, REPLANTEO Y CONTROL TOPOGRAFICO</v>
          </cell>
        </row>
        <row r="56">
          <cell r="B56" t="str">
            <v>FLETE TERRESTRE DE MATERIALES A OBRA (PUENTE)</v>
          </cell>
        </row>
        <row r="57">
          <cell r="B57" t="str">
            <v xml:space="preserve">                MOVIMIENTO DE TIERRAS</v>
          </cell>
        </row>
        <row r="58">
          <cell r="B58" t="str">
            <v xml:space="preserve"> EXCAVACIONES.</v>
          </cell>
        </row>
        <row r="59">
          <cell r="B59" t="str">
            <v xml:space="preserve"> EXCAVACIÓN EN SECO CON MAQUINARIA</v>
          </cell>
        </row>
        <row r="60">
          <cell r="B60" t="str">
            <v>EXCAVACIÓN BAJO AGUA CON MAQUINARIA</v>
          </cell>
        </row>
        <row r="61">
          <cell r="B61" t="str">
            <v xml:space="preserve"> EXCAVACIÓN BAJO AGUA MANUAL</v>
          </cell>
        </row>
        <row r="62">
          <cell r="B62" t="str">
            <v xml:space="preserve">                    RELLENOS.</v>
          </cell>
        </row>
        <row r="63">
          <cell r="B63" t="str">
            <v xml:space="preserve"> RELLENO PARA ESTRUCTURAS CON MATERIAL PROPIO</v>
          </cell>
        </row>
        <row r="64">
          <cell r="B64" t="str">
            <v xml:space="preserve">      ELIMINACION DE MATERIAL EXCEDENTE.</v>
          </cell>
        </row>
        <row r="65">
          <cell r="B65" t="str">
            <v>TRANSPORTE DE ELIMINACIÓN DE MATERIAL A DME D&lt;=1 km</v>
          </cell>
        </row>
        <row r="66">
          <cell r="B66" t="str">
            <v xml:space="preserve">                ENCOFRADO Y DESENCOFRADO.</v>
          </cell>
        </row>
        <row r="67">
          <cell r="B67" t="str">
            <v xml:space="preserve"> ENCOFRADO Y DESENCOFRADO DE SUB ESTRUCTURA.</v>
          </cell>
        </row>
        <row r="68">
          <cell r="B68" t="str">
            <v xml:space="preserve"> ENCOFRADO Y DESENCOFRADO NORMAL BAJO AGUA</v>
          </cell>
        </row>
        <row r="69">
          <cell r="B69" t="str">
            <v xml:space="preserve"> ENCOFRADO Y DESENCOFRADO NORMAL DE ESTRIBOS</v>
          </cell>
        </row>
        <row r="70">
          <cell r="B70" t="str">
            <v xml:space="preserve">  ENCOFRADO Y DESENCOFRADO CARAVISTA EN ESTRIBOS</v>
          </cell>
        </row>
        <row r="71">
          <cell r="B71" t="str">
            <v>ENCOFRADO Y DESENCOFRADO DE SUPER ESTRUCTURA.</v>
          </cell>
        </row>
        <row r="72">
          <cell r="B72" t="str">
            <v xml:space="preserve"> ENCOFRADO Y DESENCOFRADO CARAVISTA DE TABLERO</v>
          </cell>
        </row>
        <row r="73">
          <cell r="B73" t="str">
            <v xml:space="preserve">                OBRAS DE CONCRETO SIMPLE.</v>
          </cell>
        </row>
        <row r="74">
          <cell r="B74" t="str">
            <v>CONCRETO CICLOPEO f'c=140 kg/cm2 + 30% PM</v>
          </cell>
        </row>
        <row r="75">
          <cell r="B75" t="str">
            <v xml:space="preserve"> CONCRETO CICLOPEO f'c=175 kg/cm2 + 30% PG</v>
          </cell>
        </row>
        <row r="76">
          <cell r="B76" t="str">
            <v xml:space="preserve">                    CONCRETO f'c=210 kg/cm2</v>
          </cell>
        </row>
        <row r="77">
          <cell r="B77" t="str">
            <v xml:space="preserve">                    CONCRETO f'c=280 kg/cm2</v>
          </cell>
        </row>
        <row r="78">
          <cell r="B78" t="str">
            <v xml:space="preserve">                OBRAS DE CONCRETO ARMADO.</v>
          </cell>
        </row>
        <row r="79">
          <cell r="B79" t="str">
            <v xml:space="preserve">                    CONCRETO.</v>
          </cell>
        </row>
        <row r="80">
          <cell r="B80" t="str">
            <v xml:space="preserve">                        CONCRETO f'c=210 kg/cm2</v>
          </cell>
        </row>
        <row r="81">
          <cell r="B81" t="str">
            <v xml:space="preserve">                        CONCRETO f'c=280 kg/cm2</v>
          </cell>
        </row>
        <row r="82">
          <cell r="B82" t="str">
            <v xml:space="preserve">                        CURADO DE CONCRETO</v>
          </cell>
        </row>
        <row r="83">
          <cell r="B83" t="str">
            <v xml:space="preserve">                    ACERO.</v>
          </cell>
        </row>
        <row r="84">
          <cell r="B84" t="str">
            <v xml:space="preserve"> ACERO DE REFUERZO GRADO 60 EN CIMENTACIÓN</v>
          </cell>
        </row>
        <row r="85">
          <cell r="B85" t="str">
            <v xml:space="preserve"> ACERO DE REFUERZO GRADO 60 EN ESTRIBOS</v>
          </cell>
        </row>
        <row r="86">
          <cell r="B86" t="str">
            <v>ACERO DE REFUERZO GRADO 60 EN LOSA DE TABLERO</v>
          </cell>
        </row>
        <row r="87">
          <cell r="B87" t="str">
            <v xml:space="preserve">                 ESTRUCTURA METÁLICA.</v>
          </cell>
        </row>
        <row r="88">
          <cell r="B88" t="str">
            <v xml:space="preserve"> FABRICACIÓN DE ESTRUCTURA METÁLICA (ACERO A-709)</v>
          </cell>
        </row>
        <row r="89">
          <cell r="B89" t="str">
            <v>PINTURA DE ESTRUCTURAS METÁLICAS</v>
          </cell>
        </row>
        <row r="90">
          <cell r="B90" t="str">
            <v xml:space="preserve"> TRANSPORTE DE ESTRUCTURA METÁLICA A OBRA</v>
          </cell>
        </row>
        <row r="91">
          <cell r="B91" t="str">
            <v xml:space="preserve"> MONTAJE Y LANZAMIENTO DE ESTRUCTURA METÁLICA</v>
          </cell>
        </row>
        <row r="92">
          <cell r="B92" t="str">
            <v xml:space="preserve">                VARIOS.</v>
          </cell>
        </row>
        <row r="93">
          <cell r="B93" t="str">
            <v xml:space="preserve">                    TUBERÍA PARA DRENAJE.</v>
          </cell>
        </row>
        <row r="94">
          <cell r="B94" t="str">
            <v xml:space="preserve"> TUBERIA DE PVC 3" PARA DRENAJE</v>
          </cell>
        </row>
        <row r="95">
          <cell r="B95" t="str">
            <v xml:space="preserve">                    BARANDA METÁLICA.</v>
          </cell>
        </row>
        <row r="96">
          <cell r="B96" t="str">
            <v>BARANDA METÁLICA, INC. PINTURA (SEGUN DISEÑO)</v>
          </cell>
        </row>
        <row r="97">
          <cell r="B97" t="str">
            <v xml:space="preserve">                    PINTURA .</v>
          </cell>
        </row>
        <row r="98">
          <cell r="B98" t="str">
            <v xml:space="preserve"> PINTURA EN SARDINELES</v>
          </cell>
        </row>
        <row r="99">
          <cell r="B99" t="str">
            <v xml:space="preserve">                    ELEMENTOS DE APOYO.</v>
          </cell>
        </row>
        <row r="100">
          <cell r="B100" t="str">
            <v xml:space="preserve"> APOYO DE NEOPRENO FIJO</v>
          </cell>
        </row>
        <row r="101">
          <cell r="B101" t="str">
            <v xml:space="preserve"> APOYO DE NEOPRENO MOVIL</v>
          </cell>
        </row>
        <row r="102">
          <cell r="B102" t="str">
            <v xml:space="preserve">                    UÑA DE HINCADO.</v>
          </cell>
        </row>
        <row r="103">
          <cell r="B103" t="str">
            <v>FABRICACIÓN DE ESTRUCTURA METÁLICA (UÑA)</v>
          </cell>
        </row>
        <row r="104">
          <cell r="B104" t="str">
            <v xml:space="preserve">                    DOWELLS DE ANCLAJE.</v>
          </cell>
        </row>
        <row r="105">
          <cell r="B105" t="str">
            <v xml:space="preserve"> DOWELLS DE ANCLAJE D=1"</v>
          </cell>
        </row>
        <row r="106">
          <cell r="B106" t="str">
            <v xml:space="preserve">                    LOSA DE APROXIMACIÓN.</v>
          </cell>
        </row>
        <row r="107">
          <cell r="B107" t="str">
            <v xml:space="preserve"> ACERO DE REFUERZO GRADO 60</v>
          </cell>
        </row>
        <row r="108">
          <cell r="B108" t="str">
            <v>ENCOFRADO Y DESENCOFRADO PARA OBRAS DE ARTE</v>
          </cell>
        </row>
        <row r="109">
          <cell r="B109" t="str">
            <v xml:space="preserve"> CONCRETO f'c=210 kg/cm2</v>
          </cell>
        </row>
        <row r="110">
          <cell r="B110" t="str">
            <v>CURADO DE CONCRETO</v>
          </cell>
        </row>
        <row r="111">
          <cell r="B111" t="str">
            <v xml:space="preserve">            PARTIDAS COMPLEMENTARIAS Y PRUEBAS DE LABORATORIO</v>
          </cell>
        </row>
        <row r="112">
          <cell r="B112" t="str">
            <v>DISEÑO DE MEZCLA (CONCRETO)</v>
          </cell>
        </row>
        <row r="113">
          <cell r="B113" t="str">
            <v xml:space="preserve"> TESTIGOS DE CONCRETO (BRIQUETAS) Y SLUMP TEST</v>
          </cell>
        </row>
        <row r="114">
          <cell r="B114" t="str">
            <v>PRUEBA DE CALIDAD DEL CONCRETO (PRUEBA A LA COMPRESION)</v>
          </cell>
        </row>
        <row r="115">
          <cell r="B115" t="str">
            <v xml:space="preserve"> PROCTOR DE CAMPO (COMPACTACIÓN)</v>
          </cell>
        </row>
        <row r="116">
          <cell r="B116" t="str">
            <v>DENSIDAD DE CAMPO</v>
          </cell>
        </row>
        <row r="117">
          <cell r="B117" t="str">
            <v xml:space="preserve"> PRUEBA DE CARGA DE SUPERESTRUCTURA (PUENTE)</v>
          </cell>
        </row>
        <row r="118">
          <cell r="B118" t="str">
            <v>PLACA RECORDATORIA DE BRONCE</v>
          </cell>
        </row>
        <row r="119">
          <cell r="B119" t="str">
            <v xml:space="preserve">            SEÑALIZACION Y SEGURIDAD VIAL</v>
          </cell>
        </row>
        <row r="120">
          <cell r="B120" t="str">
            <v xml:space="preserve">                SEÑAL PREVENTIVA (0.60x0.60 m)</v>
          </cell>
        </row>
        <row r="121">
          <cell r="B121" t="str">
            <v xml:space="preserve">                SEÑALES INFORMATIVAS</v>
          </cell>
        </row>
        <row r="122">
          <cell r="B122" t="str">
            <v xml:space="preserve">                POSTES DE SOPORTE DE SEÑALES</v>
          </cell>
        </row>
        <row r="123">
          <cell r="B123" t="str">
            <v xml:space="preserve">                POSTES DE KILOMETRAJE</v>
          </cell>
        </row>
        <row r="124">
          <cell r="B124" t="str">
            <v xml:space="preserve">            FLETE TERRESTRE</v>
          </cell>
        </row>
        <row r="125">
          <cell r="B125" t="str">
            <v xml:space="preserve">                FLETE TERRESTRE</v>
          </cell>
        </row>
        <row r="126">
          <cell r="B126" t="str">
            <v xml:space="preserve">            MITIGACIÓN DE IMPACTO AMBIENTAL</v>
          </cell>
        </row>
        <row r="127">
          <cell r="B127" t="str">
            <v xml:space="preserve">        PROGRAMA DE CIERRE DE OBRA, PROTECCION AMBIENTAL.</v>
          </cell>
        </row>
        <row r="128">
          <cell r="B128" t="str">
            <v xml:space="preserve"> RETIRO Y ALMACENAMIENTO DE TOP SOIL</v>
          </cell>
        </row>
        <row r="129">
          <cell r="B129" t="str">
            <v xml:space="preserve"> REPOSICIÓN DE TOP SOIL</v>
          </cell>
        </row>
        <row r="130">
          <cell r="B130" t="str">
            <v>REVEGETACIÓN</v>
          </cell>
        </row>
        <row r="131">
          <cell r="B131" t="str">
            <v>READECUACIÓN DE DÉPOSITO DE MATERIALES EXCEDENTES</v>
          </cell>
        </row>
        <row r="132">
          <cell r="B132" t="str">
            <v>READECUACIÓN AMBIENTAL DE CAMPAMENTOS</v>
          </cell>
        </row>
        <row r="133">
          <cell r="B133" t="str">
            <v>READECUACIÓN AMBIENTAL DE ALMACENES Y PATIO DE MÁQUINAS</v>
          </cell>
        </row>
        <row r="134">
          <cell r="B134" t="str">
            <v xml:space="preserve">                PROGRAMA DE MONITOREO AMBIENTAL.</v>
          </cell>
        </row>
        <row r="139">
          <cell r="B139" t="str">
            <v xml:space="preserve"> PROGRAMA DE MEDIDAS PREVENTIVAS, MITIGADORAS Y COR.</v>
          </cell>
        </row>
        <row r="140">
          <cell r="B140" t="str">
            <v xml:space="preserve"> PROGRAMA DE CAPACITACIÓN AMBIENTAL Y SEGURIDAD</v>
          </cell>
        </row>
        <row r="141">
          <cell r="B141" t="str">
            <v>PROGRAMA DE EDUCACIÓN AMBIENTAL Y SEGURIDAD VIAL</v>
          </cell>
        </row>
        <row r="142">
          <cell r="B142" t="str">
            <v>PROGRAMA DE PREVENCIÓN Y CONTINGENCIAS</v>
          </cell>
        </row>
        <row r="143">
          <cell r="B143" t="str">
            <v xml:space="preserve">            SEGURIDAD Y SALUD.</v>
          </cell>
        </row>
        <row r="144">
          <cell r="B144" t="str">
            <v xml:space="preserve">                EQUIPOS DE PROTECCIÓN INDIVIDUAL</v>
          </cell>
        </row>
        <row r="145">
          <cell r="B145" t="str">
            <v xml:space="preserve">                EQUIPOS DE PROTECCIÓN COLECTIVA</v>
          </cell>
        </row>
        <row r="146">
          <cell r="B146" t="str">
            <v xml:space="preserve">                SEÑALIZACIÓN TEMPORAL DE SEGURIDAD Y AMBIENTAL</v>
          </cell>
        </row>
        <row r="147">
          <cell r="B147" t="str">
            <v xml:space="preserve">            PLAN DE MONITOREO ARQUEOLÓGICO.</v>
          </cell>
        </row>
        <row r="148">
          <cell r="B148" t="str">
            <v xml:space="preserve">                PLAN DE MONITOREO ARQUEÓLOGICO</v>
          </cell>
        </row>
      </sheetData>
      <sheetData sheetId="5">
        <row r="3">
          <cell r="B3" t="str">
            <v>Proyecto:</v>
          </cell>
        </row>
      </sheetData>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printerSettings" Target="../printerSettings/printerSettings7.bin"/><Relationship Id="rId4"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2.xml"/><Relationship Id="rId1" Type="http://schemas.openxmlformats.org/officeDocument/2006/relationships/printerSettings" Target="../printerSettings/printerSettings12.bin"/><Relationship Id="rId4" Type="http://schemas.openxmlformats.org/officeDocument/2006/relationships/comments" Target="../comments5.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22.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6.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3.xml"/><Relationship Id="rId1" Type="http://schemas.openxmlformats.org/officeDocument/2006/relationships/printerSettings" Target="../printerSettings/printerSettings28.bin"/><Relationship Id="rId5" Type="http://schemas.openxmlformats.org/officeDocument/2006/relationships/image" Target="../media/image1.emf"/><Relationship Id="rId4" Type="http://schemas.openxmlformats.org/officeDocument/2006/relationships/oleObject" Target="../embeddings/oleObject1.bin"/></Relationships>
</file>

<file path=xl/worksheets/_rels/sheet37.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4.xml"/><Relationship Id="rId1" Type="http://schemas.openxmlformats.org/officeDocument/2006/relationships/printerSettings" Target="../printerSettings/printerSettings29.bin"/><Relationship Id="rId5" Type="http://schemas.openxmlformats.org/officeDocument/2006/relationships/image" Target="../media/image1.emf"/><Relationship Id="rId4" Type="http://schemas.openxmlformats.org/officeDocument/2006/relationships/oleObject" Target="../embeddings/oleObject2.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0.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13"/>
  <sheetViews>
    <sheetView workbookViewId="0"/>
  </sheetViews>
  <sheetFormatPr baseColWidth="10" defaultRowHeight="12.75"/>
  <cols>
    <col min="1" max="1" width="12.5703125" style="16" customWidth="1"/>
    <col min="2" max="2" width="95.5703125" style="16" customWidth="1"/>
    <col min="3" max="3" width="6.42578125" style="74" bestFit="1" customWidth="1"/>
    <col min="4" max="5" width="8.5703125" style="23" customWidth="1"/>
    <col min="6" max="6" width="14.5703125" style="23" customWidth="1"/>
    <col min="7" max="7" width="7.5703125" style="74" bestFit="1" customWidth="1"/>
    <col min="8" max="8" width="13" style="74" bestFit="1" customWidth="1"/>
    <col min="9" max="9" width="8.5703125" style="74" bestFit="1" customWidth="1"/>
    <col min="10" max="10" width="13" style="74" bestFit="1" customWidth="1"/>
    <col min="11" max="11" width="8.42578125" style="74" bestFit="1" customWidth="1"/>
    <col min="12" max="12" width="13" style="74" bestFit="1" customWidth="1"/>
    <col min="13" max="13" width="10.5703125" style="74" customWidth="1"/>
    <col min="14" max="14" width="8.42578125" style="16" customWidth="1"/>
    <col min="15" max="15" width="13.5703125" style="16" bestFit="1" customWidth="1"/>
    <col min="16" max="16" width="8.42578125" style="16" customWidth="1"/>
    <col min="17" max="17" width="13" style="16" bestFit="1" customWidth="1"/>
    <col min="18" max="256" width="11.5703125" style="16"/>
    <col min="257" max="257" width="8.5703125" style="16" customWidth="1"/>
    <col min="258" max="258" width="50" style="16" customWidth="1"/>
    <col min="259" max="259" width="6.42578125" style="16" bestFit="1" customWidth="1"/>
    <col min="260" max="261" width="8.5703125" style="16" customWidth="1"/>
    <col min="262" max="262" width="11.42578125" style="16" bestFit="1" customWidth="1"/>
    <col min="263" max="263" width="7.5703125" style="16" bestFit="1" customWidth="1"/>
    <col min="264" max="264" width="11.5703125" style="16" bestFit="1"/>
    <col min="265" max="265" width="8" style="16" bestFit="1" customWidth="1"/>
    <col min="266" max="266" width="11.5703125" style="16" bestFit="1"/>
    <col min="267" max="267" width="8.42578125" style="16" bestFit="1" customWidth="1"/>
    <col min="268" max="268" width="11.5703125" style="16" bestFit="1"/>
    <col min="269" max="269" width="8.42578125" style="16" customWidth="1"/>
    <col min="270" max="270" width="7.42578125" style="16" bestFit="1" customWidth="1"/>
    <col min="271" max="271" width="11.5703125" style="16" bestFit="1"/>
    <col min="272" max="272" width="8.42578125" style="16" customWidth="1"/>
    <col min="273" max="273" width="13" style="16" bestFit="1" customWidth="1"/>
    <col min="274" max="512" width="11.5703125" style="16"/>
    <col min="513" max="513" width="8.5703125" style="16" customWidth="1"/>
    <col min="514" max="514" width="50" style="16" customWidth="1"/>
    <col min="515" max="515" width="6.42578125" style="16" bestFit="1" customWidth="1"/>
    <col min="516" max="517" width="8.5703125" style="16" customWidth="1"/>
    <col min="518" max="518" width="11.42578125" style="16" bestFit="1" customWidth="1"/>
    <col min="519" max="519" width="7.5703125" style="16" bestFit="1" customWidth="1"/>
    <col min="520" max="520" width="11.5703125" style="16" bestFit="1"/>
    <col min="521" max="521" width="8" style="16" bestFit="1" customWidth="1"/>
    <col min="522" max="522" width="11.5703125" style="16" bestFit="1"/>
    <col min="523" max="523" width="8.42578125" style="16" bestFit="1" customWidth="1"/>
    <col min="524" max="524" width="11.5703125" style="16" bestFit="1"/>
    <col min="525" max="525" width="8.42578125" style="16" customWidth="1"/>
    <col min="526" max="526" width="7.42578125" style="16" bestFit="1" customWidth="1"/>
    <col min="527" max="527" width="11.5703125" style="16" bestFit="1"/>
    <col min="528" max="528" width="8.42578125" style="16" customWidth="1"/>
    <col min="529" max="529" width="13" style="16" bestFit="1" customWidth="1"/>
    <col min="530" max="768" width="11.5703125" style="16"/>
    <col min="769" max="769" width="8.5703125" style="16" customWidth="1"/>
    <col min="770" max="770" width="50" style="16" customWidth="1"/>
    <col min="771" max="771" width="6.42578125" style="16" bestFit="1" customWidth="1"/>
    <col min="772" max="773" width="8.5703125" style="16" customWidth="1"/>
    <col min="774" max="774" width="11.42578125" style="16" bestFit="1" customWidth="1"/>
    <col min="775" max="775" width="7.5703125" style="16" bestFit="1" customWidth="1"/>
    <col min="776" max="776" width="11.5703125" style="16" bestFit="1"/>
    <col min="777" max="777" width="8" style="16" bestFit="1" customWidth="1"/>
    <col min="778" max="778" width="11.5703125" style="16" bestFit="1"/>
    <col min="779" max="779" width="8.42578125" style="16" bestFit="1" customWidth="1"/>
    <col min="780" max="780" width="11.5703125" style="16" bestFit="1"/>
    <col min="781" max="781" width="8.42578125" style="16" customWidth="1"/>
    <col min="782" max="782" width="7.42578125" style="16" bestFit="1" customWidth="1"/>
    <col min="783" max="783" width="11.5703125" style="16" bestFit="1"/>
    <col min="784" max="784" width="8.42578125" style="16" customWidth="1"/>
    <col min="785" max="785" width="13" style="16" bestFit="1" customWidth="1"/>
    <col min="786" max="1024" width="11.5703125" style="16"/>
    <col min="1025" max="1025" width="8.5703125" style="16" customWidth="1"/>
    <col min="1026" max="1026" width="50" style="16" customWidth="1"/>
    <col min="1027" max="1027" width="6.42578125" style="16" bestFit="1" customWidth="1"/>
    <col min="1028" max="1029" width="8.5703125" style="16" customWidth="1"/>
    <col min="1030" max="1030" width="11.42578125" style="16" bestFit="1" customWidth="1"/>
    <col min="1031" max="1031" width="7.5703125" style="16" bestFit="1" customWidth="1"/>
    <col min="1032" max="1032" width="11.5703125" style="16" bestFit="1"/>
    <col min="1033" max="1033" width="8" style="16" bestFit="1" customWidth="1"/>
    <col min="1034" max="1034" width="11.5703125" style="16" bestFit="1"/>
    <col min="1035" max="1035" width="8.42578125" style="16" bestFit="1" customWidth="1"/>
    <col min="1036" max="1036" width="11.5703125" style="16" bestFit="1"/>
    <col min="1037" max="1037" width="8.42578125" style="16" customWidth="1"/>
    <col min="1038" max="1038" width="7.42578125" style="16" bestFit="1" customWidth="1"/>
    <col min="1039" max="1039" width="11.5703125" style="16" bestFit="1"/>
    <col min="1040" max="1040" width="8.42578125" style="16" customWidth="1"/>
    <col min="1041" max="1041" width="13" style="16" bestFit="1" customWidth="1"/>
    <col min="1042" max="1280" width="11.5703125" style="16"/>
    <col min="1281" max="1281" width="8.5703125" style="16" customWidth="1"/>
    <col min="1282" max="1282" width="50" style="16" customWidth="1"/>
    <col min="1283" max="1283" width="6.42578125" style="16" bestFit="1" customWidth="1"/>
    <col min="1284" max="1285" width="8.5703125" style="16" customWidth="1"/>
    <col min="1286" max="1286" width="11.42578125" style="16" bestFit="1" customWidth="1"/>
    <col min="1287" max="1287" width="7.5703125" style="16" bestFit="1" customWidth="1"/>
    <col min="1288" max="1288" width="11.5703125" style="16" bestFit="1"/>
    <col min="1289" max="1289" width="8" style="16" bestFit="1" customWidth="1"/>
    <col min="1290" max="1290" width="11.5703125" style="16" bestFit="1"/>
    <col min="1291" max="1291" width="8.42578125" style="16" bestFit="1" customWidth="1"/>
    <col min="1292" max="1292" width="11.5703125" style="16" bestFit="1"/>
    <col min="1293" max="1293" width="8.42578125" style="16" customWidth="1"/>
    <col min="1294" max="1294" width="7.42578125" style="16" bestFit="1" customWidth="1"/>
    <col min="1295" max="1295" width="11.5703125" style="16" bestFit="1"/>
    <col min="1296" max="1296" width="8.42578125" style="16" customWidth="1"/>
    <col min="1297" max="1297" width="13" style="16" bestFit="1" customWidth="1"/>
    <col min="1298" max="1536" width="11.5703125" style="16"/>
    <col min="1537" max="1537" width="8.5703125" style="16" customWidth="1"/>
    <col min="1538" max="1538" width="50" style="16" customWidth="1"/>
    <col min="1539" max="1539" width="6.42578125" style="16" bestFit="1" customWidth="1"/>
    <col min="1540" max="1541" width="8.5703125" style="16" customWidth="1"/>
    <col min="1542" max="1542" width="11.42578125" style="16" bestFit="1" customWidth="1"/>
    <col min="1543" max="1543" width="7.5703125" style="16" bestFit="1" customWidth="1"/>
    <col min="1544" max="1544" width="11.5703125" style="16" bestFit="1"/>
    <col min="1545" max="1545" width="8" style="16" bestFit="1" customWidth="1"/>
    <col min="1546" max="1546" width="11.5703125" style="16" bestFit="1"/>
    <col min="1547" max="1547" width="8.42578125" style="16" bestFit="1" customWidth="1"/>
    <col min="1548" max="1548" width="11.5703125" style="16" bestFit="1"/>
    <col min="1549" max="1549" width="8.42578125" style="16" customWidth="1"/>
    <col min="1550" max="1550" width="7.42578125" style="16" bestFit="1" customWidth="1"/>
    <col min="1551" max="1551" width="11.5703125" style="16" bestFit="1"/>
    <col min="1552" max="1552" width="8.42578125" style="16" customWidth="1"/>
    <col min="1553" max="1553" width="13" style="16" bestFit="1" customWidth="1"/>
    <col min="1554" max="1792" width="11.5703125" style="16"/>
    <col min="1793" max="1793" width="8.5703125" style="16" customWidth="1"/>
    <col min="1794" max="1794" width="50" style="16" customWidth="1"/>
    <col min="1795" max="1795" width="6.42578125" style="16" bestFit="1" customWidth="1"/>
    <col min="1796" max="1797" width="8.5703125" style="16" customWidth="1"/>
    <col min="1798" max="1798" width="11.42578125" style="16" bestFit="1" customWidth="1"/>
    <col min="1799" max="1799" width="7.5703125" style="16" bestFit="1" customWidth="1"/>
    <col min="1800" max="1800" width="11.5703125" style="16" bestFit="1"/>
    <col min="1801" max="1801" width="8" style="16" bestFit="1" customWidth="1"/>
    <col min="1802" max="1802" width="11.5703125" style="16" bestFit="1"/>
    <col min="1803" max="1803" width="8.42578125" style="16" bestFit="1" customWidth="1"/>
    <col min="1804" max="1804" width="11.5703125" style="16" bestFit="1"/>
    <col min="1805" max="1805" width="8.42578125" style="16" customWidth="1"/>
    <col min="1806" max="1806" width="7.42578125" style="16" bestFit="1" customWidth="1"/>
    <col min="1807" max="1807" width="11.5703125" style="16" bestFit="1"/>
    <col min="1808" max="1808" width="8.42578125" style="16" customWidth="1"/>
    <col min="1809" max="1809" width="13" style="16" bestFit="1" customWidth="1"/>
    <col min="1810" max="2048" width="11.5703125" style="16"/>
    <col min="2049" max="2049" width="8.5703125" style="16" customWidth="1"/>
    <col min="2050" max="2050" width="50" style="16" customWidth="1"/>
    <col min="2051" max="2051" width="6.42578125" style="16" bestFit="1" customWidth="1"/>
    <col min="2052" max="2053" width="8.5703125" style="16" customWidth="1"/>
    <col min="2054" max="2054" width="11.42578125" style="16" bestFit="1" customWidth="1"/>
    <col min="2055" max="2055" width="7.5703125" style="16" bestFit="1" customWidth="1"/>
    <col min="2056" max="2056" width="11.5703125" style="16" bestFit="1"/>
    <col min="2057" max="2057" width="8" style="16" bestFit="1" customWidth="1"/>
    <col min="2058" max="2058" width="11.5703125" style="16" bestFit="1"/>
    <col min="2059" max="2059" width="8.42578125" style="16" bestFit="1" customWidth="1"/>
    <col min="2060" max="2060" width="11.5703125" style="16" bestFit="1"/>
    <col min="2061" max="2061" width="8.42578125" style="16" customWidth="1"/>
    <col min="2062" max="2062" width="7.42578125" style="16" bestFit="1" customWidth="1"/>
    <col min="2063" max="2063" width="11.5703125" style="16" bestFit="1"/>
    <col min="2064" max="2064" width="8.42578125" style="16" customWidth="1"/>
    <col min="2065" max="2065" width="13" style="16" bestFit="1" customWidth="1"/>
    <col min="2066" max="2304" width="11.5703125" style="16"/>
    <col min="2305" max="2305" width="8.5703125" style="16" customWidth="1"/>
    <col min="2306" max="2306" width="50" style="16" customWidth="1"/>
    <col min="2307" max="2307" width="6.42578125" style="16" bestFit="1" customWidth="1"/>
    <col min="2308" max="2309" width="8.5703125" style="16" customWidth="1"/>
    <col min="2310" max="2310" width="11.42578125" style="16" bestFit="1" customWidth="1"/>
    <col min="2311" max="2311" width="7.5703125" style="16" bestFit="1" customWidth="1"/>
    <col min="2312" max="2312" width="11.5703125" style="16" bestFit="1"/>
    <col min="2313" max="2313" width="8" style="16" bestFit="1" customWidth="1"/>
    <col min="2314" max="2314" width="11.5703125" style="16" bestFit="1"/>
    <col min="2315" max="2315" width="8.42578125" style="16" bestFit="1" customWidth="1"/>
    <col min="2316" max="2316" width="11.5703125" style="16" bestFit="1"/>
    <col min="2317" max="2317" width="8.42578125" style="16" customWidth="1"/>
    <col min="2318" max="2318" width="7.42578125" style="16" bestFit="1" customWidth="1"/>
    <col min="2319" max="2319" width="11.5703125" style="16" bestFit="1"/>
    <col min="2320" max="2320" width="8.42578125" style="16" customWidth="1"/>
    <col min="2321" max="2321" width="13" style="16" bestFit="1" customWidth="1"/>
    <col min="2322" max="2560" width="11.5703125" style="16"/>
    <col min="2561" max="2561" width="8.5703125" style="16" customWidth="1"/>
    <col min="2562" max="2562" width="50" style="16" customWidth="1"/>
    <col min="2563" max="2563" width="6.42578125" style="16" bestFit="1" customWidth="1"/>
    <col min="2564" max="2565" width="8.5703125" style="16" customWidth="1"/>
    <col min="2566" max="2566" width="11.42578125" style="16" bestFit="1" customWidth="1"/>
    <col min="2567" max="2567" width="7.5703125" style="16" bestFit="1" customWidth="1"/>
    <col min="2568" max="2568" width="11.5703125" style="16" bestFit="1"/>
    <col min="2569" max="2569" width="8" style="16" bestFit="1" customWidth="1"/>
    <col min="2570" max="2570" width="11.5703125" style="16" bestFit="1"/>
    <col min="2571" max="2571" width="8.42578125" style="16" bestFit="1" customWidth="1"/>
    <col min="2572" max="2572" width="11.5703125" style="16" bestFit="1"/>
    <col min="2573" max="2573" width="8.42578125" style="16" customWidth="1"/>
    <col min="2574" max="2574" width="7.42578125" style="16" bestFit="1" customWidth="1"/>
    <col min="2575" max="2575" width="11.5703125" style="16" bestFit="1"/>
    <col min="2576" max="2576" width="8.42578125" style="16" customWidth="1"/>
    <col min="2577" max="2577" width="13" style="16" bestFit="1" customWidth="1"/>
    <col min="2578" max="2816" width="11.5703125" style="16"/>
    <col min="2817" max="2817" width="8.5703125" style="16" customWidth="1"/>
    <col min="2818" max="2818" width="50" style="16" customWidth="1"/>
    <col min="2819" max="2819" width="6.42578125" style="16" bestFit="1" customWidth="1"/>
    <col min="2820" max="2821" width="8.5703125" style="16" customWidth="1"/>
    <col min="2822" max="2822" width="11.42578125" style="16" bestFit="1" customWidth="1"/>
    <col min="2823" max="2823" width="7.5703125" style="16" bestFit="1" customWidth="1"/>
    <col min="2824" max="2824" width="11.5703125" style="16" bestFit="1"/>
    <col min="2825" max="2825" width="8" style="16" bestFit="1" customWidth="1"/>
    <col min="2826" max="2826" width="11.5703125" style="16" bestFit="1"/>
    <col min="2827" max="2827" width="8.42578125" style="16" bestFit="1" customWidth="1"/>
    <col min="2828" max="2828" width="11.5703125" style="16" bestFit="1"/>
    <col min="2829" max="2829" width="8.42578125" style="16" customWidth="1"/>
    <col min="2830" max="2830" width="7.42578125" style="16" bestFit="1" customWidth="1"/>
    <col min="2831" max="2831" width="11.5703125" style="16" bestFit="1"/>
    <col min="2832" max="2832" width="8.42578125" style="16" customWidth="1"/>
    <col min="2833" max="2833" width="13" style="16" bestFit="1" customWidth="1"/>
    <col min="2834" max="3072" width="11.5703125" style="16"/>
    <col min="3073" max="3073" width="8.5703125" style="16" customWidth="1"/>
    <col min="3074" max="3074" width="50" style="16" customWidth="1"/>
    <col min="3075" max="3075" width="6.42578125" style="16" bestFit="1" customWidth="1"/>
    <col min="3076" max="3077" width="8.5703125" style="16" customWidth="1"/>
    <col min="3078" max="3078" width="11.42578125" style="16" bestFit="1" customWidth="1"/>
    <col min="3079" max="3079" width="7.5703125" style="16" bestFit="1" customWidth="1"/>
    <col min="3080" max="3080" width="11.5703125" style="16" bestFit="1"/>
    <col min="3081" max="3081" width="8" style="16" bestFit="1" customWidth="1"/>
    <col min="3082" max="3082" width="11.5703125" style="16" bestFit="1"/>
    <col min="3083" max="3083" width="8.42578125" style="16" bestFit="1" customWidth="1"/>
    <col min="3084" max="3084" width="11.5703125" style="16" bestFit="1"/>
    <col min="3085" max="3085" width="8.42578125" style="16" customWidth="1"/>
    <col min="3086" max="3086" width="7.42578125" style="16" bestFit="1" customWidth="1"/>
    <col min="3087" max="3087" width="11.5703125" style="16" bestFit="1"/>
    <col min="3088" max="3088" width="8.42578125" style="16" customWidth="1"/>
    <col min="3089" max="3089" width="13" style="16" bestFit="1" customWidth="1"/>
    <col min="3090" max="3328" width="11.5703125" style="16"/>
    <col min="3329" max="3329" width="8.5703125" style="16" customWidth="1"/>
    <col min="3330" max="3330" width="50" style="16" customWidth="1"/>
    <col min="3331" max="3331" width="6.42578125" style="16" bestFit="1" customWidth="1"/>
    <col min="3332" max="3333" width="8.5703125" style="16" customWidth="1"/>
    <col min="3334" max="3334" width="11.42578125" style="16" bestFit="1" customWidth="1"/>
    <col min="3335" max="3335" width="7.5703125" style="16" bestFit="1" customWidth="1"/>
    <col min="3336" max="3336" width="11.5703125" style="16" bestFit="1"/>
    <col min="3337" max="3337" width="8" style="16" bestFit="1" customWidth="1"/>
    <col min="3338" max="3338" width="11.5703125" style="16" bestFit="1"/>
    <col min="3339" max="3339" width="8.42578125" style="16" bestFit="1" customWidth="1"/>
    <col min="3340" max="3340" width="11.5703125" style="16" bestFit="1"/>
    <col min="3341" max="3341" width="8.42578125" style="16" customWidth="1"/>
    <col min="3342" max="3342" width="7.42578125" style="16" bestFit="1" customWidth="1"/>
    <col min="3343" max="3343" width="11.5703125" style="16" bestFit="1"/>
    <col min="3344" max="3344" width="8.42578125" style="16" customWidth="1"/>
    <col min="3345" max="3345" width="13" style="16" bestFit="1" customWidth="1"/>
    <col min="3346" max="3584" width="11.5703125" style="16"/>
    <col min="3585" max="3585" width="8.5703125" style="16" customWidth="1"/>
    <col min="3586" max="3586" width="50" style="16" customWidth="1"/>
    <col min="3587" max="3587" width="6.42578125" style="16" bestFit="1" customWidth="1"/>
    <col min="3588" max="3589" width="8.5703125" style="16" customWidth="1"/>
    <col min="3590" max="3590" width="11.42578125" style="16" bestFit="1" customWidth="1"/>
    <col min="3591" max="3591" width="7.5703125" style="16" bestFit="1" customWidth="1"/>
    <col min="3592" max="3592" width="11.5703125" style="16" bestFit="1"/>
    <col min="3593" max="3593" width="8" style="16" bestFit="1" customWidth="1"/>
    <col min="3594" max="3594" width="11.5703125" style="16" bestFit="1"/>
    <col min="3595" max="3595" width="8.42578125" style="16" bestFit="1" customWidth="1"/>
    <col min="3596" max="3596" width="11.5703125" style="16" bestFit="1"/>
    <col min="3597" max="3597" width="8.42578125" style="16" customWidth="1"/>
    <col min="3598" max="3598" width="7.42578125" style="16" bestFit="1" customWidth="1"/>
    <col min="3599" max="3599" width="11.5703125" style="16" bestFit="1"/>
    <col min="3600" max="3600" width="8.42578125" style="16" customWidth="1"/>
    <col min="3601" max="3601" width="13" style="16" bestFit="1" customWidth="1"/>
    <col min="3602" max="3840" width="11.5703125" style="16"/>
    <col min="3841" max="3841" width="8.5703125" style="16" customWidth="1"/>
    <col min="3842" max="3842" width="50" style="16" customWidth="1"/>
    <col min="3843" max="3843" width="6.42578125" style="16" bestFit="1" customWidth="1"/>
    <col min="3844" max="3845" width="8.5703125" style="16" customWidth="1"/>
    <col min="3846" max="3846" width="11.42578125" style="16" bestFit="1" customWidth="1"/>
    <col min="3847" max="3847" width="7.5703125" style="16" bestFit="1" customWidth="1"/>
    <col min="3848" max="3848" width="11.5703125" style="16" bestFit="1"/>
    <col min="3849" max="3849" width="8" style="16" bestFit="1" customWidth="1"/>
    <col min="3850" max="3850" width="11.5703125" style="16" bestFit="1"/>
    <col min="3851" max="3851" width="8.42578125" style="16" bestFit="1" customWidth="1"/>
    <col min="3852" max="3852" width="11.5703125" style="16" bestFit="1"/>
    <col min="3853" max="3853" width="8.42578125" style="16" customWidth="1"/>
    <col min="3854" max="3854" width="7.42578125" style="16" bestFit="1" customWidth="1"/>
    <col min="3855" max="3855" width="11.5703125" style="16" bestFit="1"/>
    <col min="3856" max="3856" width="8.42578125" style="16" customWidth="1"/>
    <col min="3857" max="3857" width="13" style="16" bestFit="1" customWidth="1"/>
    <col min="3858" max="4096" width="11.5703125" style="16"/>
    <col min="4097" max="4097" width="8.5703125" style="16" customWidth="1"/>
    <col min="4098" max="4098" width="50" style="16" customWidth="1"/>
    <col min="4099" max="4099" width="6.42578125" style="16" bestFit="1" customWidth="1"/>
    <col min="4100" max="4101" width="8.5703125" style="16" customWidth="1"/>
    <col min="4102" max="4102" width="11.42578125" style="16" bestFit="1" customWidth="1"/>
    <col min="4103" max="4103" width="7.5703125" style="16" bestFit="1" customWidth="1"/>
    <col min="4104" max="4104" width="11.5703125" style="16" bestFit="1"/>
    <col min="4105" max="4105" width="8" style="16" bestFit="1" customWidth="1"/>
    <col min="4106" max="4106" width="11.5703125" style="16" bestFit="1"/>
    <col min="4107" max="4107" width="8.42578125" style="16" bestFit="1" customWidth="1"/>
    <col min="4108" max="4108" width="11.5703125" style="16" bestFit="1"/>
    <col min="4109" max="4109" width="8.42578125" style="16" customWidth="1"/>
    <col min="4110" max="4110" width="7.42578125" style="16" bestFit="1" customWidth="1"/>
    <col min="4111" max="4111" width="11.5703125" style="16" bestFit="1"/>
    <col min="4112" max="4112" width="8.42578125" style="16" customWidth="1"/>
    <col min="4113" max="4113" width="13" style="16" bestFit="1" customWidth="1"/>
    <col min="4114" max="4352" width="11.5703125" style="16"/>
    <col min="4353" max="4353" width="8.5703125" style="16" customWidth="1"/>
    <col min="4354" max="4354" width="50" style="16" customWidth="1"/>
    <col min="4355" max="4355" width="6.42578125" style="16" bestFit="1" customWidth="1"/>
    <col min="4356" max="4357" width="8.5703125" style="16" customWidth="1"/>
    <col min="4358" max="4358" width="11.42578125" style="16" bestFit="1" customWidth="1"/>
    <col min="4359" max="4359" width="7.5703125" style="16" bestFit="1" customWidth="1"/>
    <col min="4360" max="4360" width="11.5703125" style="16" bestFit="1"/>
    <col min="4361" max="4361" width="8" style="16" bestFit="1" customWidth="1"/>
    <col min="4362" max="4362" width="11.5703125" style="16" bestFit="1"/>
    <col min="4363" max="4363" width="8.42578125" style="16" bestFit="1" customWidth="1"/>
    <col min="4364" max="4364" width="11.5703125" style="16" bestFit="1"/>
    <col min="4365" max="4365" width="8.42578125" style="16" customWidth="1"/>
    <col min="4366" max="4366" width="7.42578125" style="16" bestFit="1" customWidth="1"/>
    <col min="4367" max="4367" width="11.5703125" style="16" bestFit="1"/>
    <col min="4368" max="4368" width="8.42578125" style="16" customWidth="1"/>
    <col min="4369" max="4369" width="13" style="16" bestFit="1" customWidth="1"/>
    <col min="4370" max="4608" width="11.5703125" style="16"/>
    <col min="4609" max="4609" width="8.5703125" style="16" customWidth="1"/>
    <col min="4610" max="4610" width="50" style="16" customWidth="1"/>
    <col min="4611" max="4611" width="6.42578125" style="16" bestFit="1" customWidth="1"/>
    <col min="4612" max="4613" width="8.5703125" style="16" customWidth="1"/>
    <col min="4614" max="4614" width="11.42578125" style="16" bestFit="1" customWidth="1"/>
    <col min="4615" max="4615" width="7.5703125" style="16" bestFit="1" customWidth="1"/>
    <col min="4616" max="4616" width="11.5703125" style="16" bestFit="1"/>
    <col min="4617" max="4617" width="8" style="16" bestFit="1" customWidth="1"/>
    <col min="4618" max="4618" width="11.5703125" style="16" bestFit="1"/>
    <col min="4619" max="4619" width="8.42578125" style="16" bestFit="1" customWidth="1"/>
    <col min="4620" max="4620" width="11.5703125" style="16" bestFit="1"/>
    <col min="4621" max="4621" width="8.42578125" style="16" customWidth="1"/>
    <col min="4622" max="4622" width="7.42578125" style="16" bestFit="1" customWidth="1"/>
    <col min="4623" max="4623" width="11.5703125" style="16" bestFit="1"/>
    <col min="4624" max="4624" width="8.42578125" style="16" customWidth="1"/>
    <col min="4625" max="4625" width="13" style="16" bestFit="1" customWidth="1"/>
    <col min="4626" max="4864" width="11.5703125" style="16"/>
    <col min="4865" max="4865" width="8.5703125" style="16" customWidth="1"/>
    <col min="4866" max="4866" width="50" style="16" customWidth="1"/>
    <col min="4867" max="4867" width="6.42578125" style="16" bestFit="1" customWidth="1"/>
    <col min="4868" max="4869" width="8.5703125" style="16" customWidth="1"/>
    <col min="4870" max="4870" width="11.42578125" style="16" bestFit="1" customWidth="1"/>
    <col min="4871" max="4871" width="7.5703125" style="16" bestFit="1" customWidth="1"/>
    <col min="4872" max="4872" width="11.5703125" style="16" bestFit="1"/>
    <col min="4873" max="4873" width="8" style="16" bestFit="1" customWidth="1"/>
    <col min="4874" max="4874" width="11.5703125" style="16" bestFit="1"/>
    <col min="4875" max="4875" width="8.42578125" style="16" bestFit="1" customWidth="1"/>
    <col min="4876" max="4876" width="11.5703125" style="16" bestFit="1"/>
    <col min="4877" max="4877" width="8.42578125" style="16" customWidth="1"/>
    <col min="4878" max="4878" width="7.42578125" style="16" bestFit="1" customWidth="1"/>
    <col min="4879" max="4879" width="11.5703125" style="16" bestFit="1"/>
    <col min="4880" max="4880" width="8.42578125" style="16" customWidth="1"/>
    <col min="4881" max="4881" width="13" style="16" bestFit="1" customWidth="1"/>
    <col min="4882" max="5120" width="11.5703125" style="16"/>
    <col min="5121" max="5121" width="8.5703125" style="16" customWidth="1"/>
    <col min="5122" max="5122" width="50" style="16" customWidth="1"/>
    <col min="5123" max="5123" width="6.42578125" style="16" bestFit="1" customWidth="1"/>
    <col min="5124" max="5125" width="8.5703125" style="16" customWidth="1"/>
    <col min="5126" max="5126" width="11.42578125" style="16" bestFit="1" customWidth="1"/>
    <col min="5127" max="5127" width="7.5703125" style="16" bestFit="1" customWidth="1"/>
    <col min="5128" max="5128" width="11.5703125" style="16" bestFit="1"/>
    <col min="5129" max="5129" width="8" style="16" bestFit="1" customWidth="1"/>
    <col min="5130" max="5130" width="11.5703125" style="16" bestFit="1"/>
    <col min="5131" max="5131" width="8.42578125" style="16" bestFit="1" customWidth="1"/>
    <col min="5132" max="5132" width="11.5703125" style="16" bestFit="1"/>
    <col min="5133" max="5133" width="8.42578125" style="16" customWidth="1"/>
    <col min="5134" max="5134" width="7.42578125" style="16" bestFit="1" customWidth="1"/>
    <col min="5135" max="5135" width="11.5703125" style="16" bestFit="1"/>
    <col min="5136" max="5136" width="8.42578125" style="16" customWidth="1"/>
    <col min="5137" max="5137" width="13" style="16" bestFit="1" customWidth="1"/>
    <col min="5138" max="5376" width="11.5703125" style="16"/>
    <col min="5377" max="5377" width="8.5703125" style="16" customWidth="1"/>
    <col min="5378" max="5378" width="50" style="16" customWidth="1"/>
    <col min="5379" max="5379" width="6.42578125" style="16" bestFit="1" customWidth="1"/>
    <col min="5380" max="5381" width="8.5703125" style="16" customWidth="1"/>
    <col min="5382" max="5382" width="11.42578125" style="16" bestFit="1" customWidth="1"/>
    <col min="5383" max="5383" width="7.5703125" style="16" bestFit="1" customWidth="1"/>
    <col min="5384" max="5384" width="11.5703125" style="16" bestFit="1"/>
    <col min="5385" max="5385" width="8" style="16" bestFit="1" customWidth="1"/>
    <col min="5386" max="5386" width="11.5703125" style="16" bestFit="1"/>
    <col min="5387" max="5387" width="8.42578125" style="16" bestFit="1" customWidth="1"/>
    <col min="5388" max="5388" width="11.5703125" style="16" bestFit="1"/>
    <col min="5389" max="5389" width="8.42578125" style="16" customWidth="1"/>
    <col min="5390" max="5390" width="7.42578125" style="16" bestFit="1" customWidth="1"/>
    <col min="5391" max="5391" width="11.5703125" style="16" bestFit="1"/>
    <col min="5392" max="5392" width="8.42578125" style="16" customWidth="1"/>
    <col min="5393" max="5393" width="13" style="16" bestFit="1" customWidth="1"/>
    <col min="5394" max="5632" width="11.5703125" style="16"/>
    <col min="5633" max="5633" width="8.5703125" style="16" customWidth="1"/>
    <col min="5634" max="5634" width="50" style="16" customWidth="1"/>
    <col min="5635" max="5635" width="6.42578125" style="16" bestFit="1" customWidth="1"/>
    <col min="5636" max="5637" width="8.5703125" style="16" customWidth="1"/>
    <col min="5638" max="5638" width="11.42578125" style="16" bestFit="1" customWidth="1"/>
    <col min="5639" max="5639" width="7.5703125" style="16" bestFit="1" customWidth="1"/>
    <col min="5640" max="5640" width="11.5703125" style="16" bestFit="1"/>
    <col min="5641" max="5641" width="8" style="16" bestFit="1" customWidth="1"/>
    <col min="5642" max="5642" width="11.5703125" style="16" bestFit="1"/>
    <col min="5643" max="5643" width="8.42578125" style="16" bestFit="1" customWidth="1"/>
    <col min="5644" max="5644" width="11.5703125" style="16" bestFit="1"/>
    <col min="5645" max="5645" width="8.42578125" style="16" customWidth="1"/>
    <col min="5646" max="5646" width="7.42578125" style="16" bestFit="1" customWidth="1"/>
    <col min="5647" max="5647" width="11.5703125" style="16" bestFit="1"/>
    <col min="5648" max="5648" width="8.42578125" style="16" customWidth="1"/>
    <col min="5649" max="5649" width="13" style="16" bestFit="1" customWidth="1"/>
    <col min="5650" max="5888" width="11.5703125" style="16"/>
    <col min="5889" max="5889" width="8.5703125" style="16" customWidth="1"/>
    <col min="5890" max="5890" width="50" style="16" customWidth="1"/>
    <col min="5891" max="5891" width="6.42578125" style="16" bestFit="1" customWidth="1"/>
    <col min="5892" max="5893" width="8.5703125" style="16" customWidth="1"/>
    <col min="5894" max="5894" width="11.42578125" style="16" bestFit="1" customWidth="1"/>
    <col min="5895" max="5895" width="7.5703125" style="16" bestFit="1" customWidth="1"/>
    <col min="5896" max="5896" width="11.5703125" style="16" bestFit="1"/>
    <col min="5897" max="5897" width="8" style="16" bestFit="1" customWidth="1"/>
    <col min="5898" max="5898" width="11.5703125" style="16" bestFit="1"/>
    <col min="5899" max="5899" width="8.42578125" style="16" bestFit="1" customWidth="1"/>
    <col min="5900" max="5900" width="11.5703125" style="16" bestFit="1"/>
    <col min="5901" max="5901" width="8.42578125" style="16" customWidth="1"/>
    <col min="5902" max="5902" width="7.42578125" style="16" bestFit="1" customWidth="1"/>
    <col min="5903" max="5903" width="11.5703125" style="16" bestFit="1"/>
    <col min="5904" max="5904" width="8.42578125" style="16" customWidth="1"/>
    <col min="5905" max="5905" width="13" style="16" bestFit="1" customWidth="1"/>
    <col min="5906" max="6144" width="11.5703125" style="16"/>
    <col min="6145" max="6145" width="8.5703125" style="16" customWidth="1"/>
    <col min="6146" max="6146" width="50" style="16" customWidth="1"/>
    <col min="6147" max="6147" width="6.42578125" style="16" bestFit="1" customWidth="1"/>
    <col min="6148" max="6149" width="8.5703125" style="16" customWidth="1"/>
    <col min="6150" max="6150" width="11.42578125" style="16" bestFit="1" customWidth="1"/>
    <col min="6151" max="6151" width="7.5703125" style="16" bestFit="1" customWidth="1"/>
    <col min="6152" max="6152" width="11.5703125" style="16" bestFit="1"/>
    <col min="6153" max="6153" width="8" style="16" bestFit="1" customWidth="1"/>
    <col min="6154" max="6154" width="11.5703125" style="16" bestFit="1"/>
    <col min="6155" max="6155" width="8.42578125" style="16" bestFit="1" customWidth="1"/>
    <col min="6156" max="6156" width="11.5703125" style="16" bestFit="1"/>
    <col min="6157" max="6157" width="8.42578125" style="16" customWidth="1"/>
    <col min="6158" max="6158" width="7.42578125" style="16" bestFit="1" customWidth="1"/>
    <col min="6159" max="6159" width="11.5703125" style="16" bestFit="1"/>
    <col min="6160" max="6160" width="8.42578125" style="16" customWidth="1"/>
    <col min="6161" max="6161" width="13" style="16" bestFit="1" customWidth="1"/>
    <col min="6162" max="6400" width="11.5703125" style="16"/>
    <col min="6401" max="6401" width="8.5703125" style="16" customWidth="1"/>
    <col min="6402" max="6402" width="50" style="16" customWidth="1"/>
    <col min="6403" max="6403" width="6.42578125" style="16" bestFit="1" customWidth="1"/>
    <col min="6404" max="6405" width="8.5703125" style="16" customWidth="1"/>
    <col min="6406" max="6406" width="11.42578125" style="16" bestFit="1" customWidth="1"/>
    <col min="6407" max="6407" width="7.5703125" style="16" bestFit="1" customWidth="1"/>
    <col min="6408" max="6408" width="11.5703125" style="16" bestFit="1"/>
    <col min="6409" max="6409" width="8" style="16" bestFit="1" customWidth="1"/>
    <col min="6410" max="6410" width="11.5703125" style="16" bestFit="1"/>
    <col min="6411" max="6411" width="8.42578125" style="16" bestFit="1" customWidth="1"/>
    <col min="6412" max="6412" width="11.5703125" style="16" bestFit="1"/>
    <col min="6413" max="6413" width="8.42578125" style="16" customWidth="1"/>
    <col min="6414" max="6414" width="7.42578125" style="16" bestFit="1" customWidth="1"/>
    <col min="6415" max="6415" width="11.5703125" style="16" bestFit="1"/>
    <col min="6416" max="6416" width="8.42578125" style="16" customWidth="1"/>
    <col min="6417" max="6417" width="13" style="16" bestFit="1" customWidth="1"/>
    <col min="6418" max="6656" width="11.5703125" style="16"/>
    <col min="6657" max="6657" width="8.5703125" style="16" customWidth="1"/>
    <col min="6658" max="6658" width="50" style="16" customWidth="1"/>
    <col min="6659" max="6659" width="6.42578125" style="16" bestFit="1" customWidth="1"/>
    <col min="6660" max="6661" width="8.5703125" style="16" customWidth="1"/>
    <col min="6662" max="6662" width="11.42578125" style="16" bestFit="1" customWidth="1"/>
    <col min="6663" max="6663" width="7.5703125" style="16" bestFit="1" customWidth="1"/>
    <col min="6664" max="6664" width="11.5703125" style="16" bestFit="1"/>
    <col min="6665" max="6665" width="8" style="16" bestFit="1" customWidth="1"/>
    <col min="6666" max="6666" width="11.5703125" style="16" bestFit="1"/>
    <col min="6667" max="6667" width="8.42578125" style="16" bestFit="1" customWidth="1"/>
    <col min="6668" max="6668" width="11.5703125" style="16" bestFit="1"/>
    <col min="6669" max="6669" width="8.42578125" style="16" customWidth="1"/>
    <col min="6670" max="6670" width="7.42578125" style="16" bestFit="1" customWidth="1"/>
    <col min="6671" max="6671" width="11.5703125" style="16" bestFit="1"/>
    <col min="6672" max="6672" width="8.42578125" style="16" customWidth="1"/>
    <col min="6673" max="6673" width="13" style="16" bestFit="1" customWidth="1"/>
    <col min="6674" max="6912" width="11.5703125" style="16"/>
    <col min="6913" max="6913" width="8.5703125" style="16" customWidth="1"/>
    <col min="6914" max="6914" width="50" style="16" customWidth="1"/>
    <col min="6915" max="6915" width="6.42578125" style="16" bestFit="1" customWidth="1"/>
    <col min="6916" max="6917" width="8.5703125" style="16" customWidth="1"/>
    <col min="6918" max="6918" width="11.42578125" style="16" bestFit="1" customWidth="1"/>
    <col min="6919" max="6919" width="7.5703125" style="16" bestFit="1" customWidth="1"/>
    <col min="6920" max="6920" width="11.5703125" style="16" bestFit="1"/>
    <col min="6921" max="6921" width="8" style="16" bestFit="1" customWidth="1"/>
    <col min="6922" max="6922" width="11.5703125" style="16" bestFit="1"/>
    <col min="6923" max="6923" width="8.42578125" style="16" bestFit="1" customWidth="1"/>
    <col min="6924" max="6924" width="11.5703125" style="16" bestFit="1"/>
    <col min="6925" max="6925" width="8.42578125" style="16" customWidth="1"/>
    <col min="6926" max="6926" width="7.42578125" style="16" bestFit="1" customWidth="1"/>
    <col min="6927" max="6927" width="11.5703125" style="16" bestFit="1"/>
    <col min="6928" max="6928" width="8.42578125" style="16" customWidth="1"/>
    <col min="6929" max="6929" width="13" style="16" bestFit="1" customWidth="1"/>
    <col min="6930" max="7168" width="11.5703125" style="16"/>
    <col min="7169" max="7169" width="8.5703125" style="16" customWidth="1"/>
    <col min="7170" max="7170" width="50" style="16" customWidth="1"/>
    <col min="7171" max="7171" width="6.42578125" style="16" bestFit="1" customWidth="1"/>
    <col min="7172" max="7173" width="8.5703125" style="16" customWidth="1"/>
    <col min="7174" max="7174" width="11.42578125" style="16" bestFit="1" customWidth="1"/>
    <col min="7175" max="7175" width="7.5703125" style="16" bestFit="1" customWidth="1"/>
    <col min="7176" max="7176" width="11.5703125" style="16" bestFit="1"/>
    <col min="7177" max="7177" width="8" style="16" bestFit="1" customWidth="1"/>
    <col min="7178" max="7178" width="11.5703125" style="16" bestFit="1"/>
    <col min="7179" max="7179" width="8.42578125" style="16" bestFit="1" customWidth="1"/>
    <col min="7180" max="7180" width="11.5703125" style="16" bestFit="1"/>
    <col min="7181" max="7181" width="8.42578125" style="16" customWidth="1"/>
    <col min="7182" max="7182" width="7.42578125" style="16" bestFit="1" customWidth="1"/>
    <col min="7183" max="7183" width="11.5703125" style="16" bestFit="1"/>
    <col min="7184" max="7184" width="8.42578125" style="16" customWidth="1"/>
    <col min="7185" max="7185" width="13" style="16" bestFit="1" customWidth="1"/>
    <col min="7186" max="7424" width="11.5703125" style="16"/>
    <col min="7425" max="7425" width="8.5703125" style="16" customWidth="1"/>
    <col min="7426" max="7426" width="50" style="16" customWidth="1"/>
    <col min="7427" max="7427" width="6.42578125" style="16" bestFit="1" customWidth="1"/>
    <col min="7428" max="7429" width="8.5703125" style="16" customWidth="1"/>
    <col min="7430" max="7430" width="11.42578125" style="16" bestFit="1" customWidth="1"/>
    <col min="7431" max="7431" width="7.5703125" style="16" bestFit="1" customWidth="1"/>
    <col min="7432" max="7432" width="11.5703125" style="16" bestFit="1"/>
    <col min="7433" max="7433" width="8" style="16" bestFit="1" customWidth="1"/>
    <col min="7434" max="7434" width="11.5703125" style="16" bestFit="1"/>
    <col min="7435" max="7435" width="8.42578125" style="16" bestFit="1" customWidth="1"/>
    <col min="7436" max="7436" width="11.5703125" style="16" bestFit="1"/>
    <col min="7437" max="7437" width="8.42578125" style="16" customWidth="1"/>
    <col min="7438" max="7438" width="7.42578125" style="16" bestFit="1" customWidth="1"/>
    <col min="7439" max="7439" width="11.5703125" style="16" bestFit="1"/>
    <col min="7440" max="7440" width="8.42578125" style="16" customWidth="1"/>
    <col min="7441" max="7441" width="13" style="16" bestFit="1" customWidth="1"/>
    <col min="7442" max="7680" width="11.5703125" style="16"/>
    <col min="7681" max="7681" width="8.5703125" style="16" customWidth="1"/>
    <col min="7682" max="7682" width="50" style="16" customWidth="1"/>
    <col min="7683" max="7683" width="6.42578125" style="16" bestFit="1" customWidth="1"/>
    <col min="7684" max="7685" width="8.5703125" style="16" customWidth="1"/>
    <col min="7686" max="7686" width="11.42578125" style="16" bestFit="1" customWidth="1"/>
    <col min="7687" max="7687" width="7.5703125" style="16" bestFit="1" customWidth="1"/>
    <col min="7688" max="7688" width="11.5703125" style="16" bestFit="1"/>
    <col min="7689" max="7689" width="8" style="16" bestFit="1" customWidth="1"/>
    <col min="7690" max="7690" width="11.5703125" style="16" bestFit="1"/>
    <col min="7691" max="7691" width="8.42578125" style="16" bestFit="1" customWidth="1"/>
    <col min="7692" max="7692" width="11.5703125" style="16" bestFit="1"/>
    <col min="7693" max="7693" width="8.42578125" style="16" customWidth="1"/>
    <col min="7694" max="7694" width="7.42578125" style="16" bestFit="1" customWidth="1"/>
    <col min="7695" max="7695" width="11.5703125" style="16" bestFit="1"/>
    <col min="7696" max="7696" width="8.42578125" style="16" customWidth="1"/>
    <col min="7697" max="7697" width="13" style="16" bestFit="1" customWidth="1"/>
    <col min="7698" max="7936" width="11.5703125" style="16"/>
    <col min="7937" max="7937" width="8.5703125" style="16" customWidth="1"/>
    <col min="7938" max="7938" width="50" style="16" customWidth="1"/>
    <col min="7939" max="7939" width="6.42578125" style="16" bestFit="1" customWidth="1"/>
    <col min="7940" max="7941" width="8.5703125" style="16" customWidth="1"/>
    <col min="7942" max="7942" width="11.42578125" style="16" bestFit="1" customWidth="1"/>
    <col min="7943" max="7943" width="7.5703125" style="16" bestFit="1" customWidth="1"/>
    <col min="7944" max="7944" width="11.5703125" style="16" bestFit="1"/>
    <col min="7945" max="7945" width="8" style="16" bestFit="1" customWidth="1"/>
    <col min="7946" max="7946" width="11.5703125" style="16" bestFit="1"/>
    <col min="7947" max="7947" width="8.42578125" style="16" bestFit="1" customWidth="1"/>
    <col min="7948" max="7948" width="11.5703125" style="16" bestFit="1"/>
    <col min="7949" max="7949" width="8.42578125" style="16" customWidth="1"/>
    <col min="7950" max="7950" width="7.42578125" style="16" bestFit="1" customWidth="1"/>
    <col min="7951" max="7951" width="11.5703125" style="16" bestFit="1"/>
    <col min="7952" max="7952" width="8.42578125" style="16" customWidth="1"/>
    <col min="7953" max="7953" width="13" style="16" bestFit="1" customWidth="1"/>
    <col min="7954" max="8192" width="11.5703125" style="16"/>
    <col min="8193" max="8193" width="8.5703125" style="16" customWidth="1"/>
    <col min="8194" max="8194" width="50" style="16" customWidth="1"/>
    <col min="8195" max="8195" width="6.42578125" style="16" bestFit="1" customWidth="1"/>
    <col min="8196" max="8197" width="8.5703125" style="16" customWidth="1"/>
    <col min="8198" max="8198" width="11.42578125" style="16" bestFit="1" customWidth="1"/>
    <col min="8199" max="8199" width="7.5703125" style="16" bestFit="1" customWidth="1"/>
    <col min="8200" max="8200" width="11.5703125" style="16" bestFit="1"/>
    <col min="8201" max="8201" width="8" style="16" bestFit="1" customWidth="1"/>
    <col min="8202" max="8202" width="11.5703125" style="16" bestFit="1"/>
    <col min="8203" max="8203" width="8.42578125" style="16" bestFit="1" customWidth="1"/>
    <col min="8204" max="8204" width="11.5703125" style="16" bestFit="1"/>
    <col min="8205" max="8205" width="8.42578125" style="16" customWidth="1"/>
    <col min="8206" max="8206" width="7.42578125" style="16" bestFit="1" customWidth="1"/>
    <col min="8207" max="8207" width="11.5703125" style="16" bestFit="1"/>
    <col min="8208" max="8208" width="8.42578125" style="16" customWidth="1"/>
    <col min="8209" max="8209" width="13" style="16" bestFit="1" customWidth="1"/>
    <col min="8210" max="8448" width="11.5703125" style="16"/>
    <col min="8449" max="8449" width="8.5703125" style="16" customWidth="1"/>
    <col min="8450" max="8450" width="50" style="16" customWidth="1"/>
    <col min="8451" max="8451" width="6.42578125" style="16" bestFit="1" customWidth="1"/>
    <col min="8452" max="8453" width="8.5703125" style="16" customWidth="1"/>
    <col min="8454" max="8454" width="11.42578125" style="16" bestFit="1" customWidth="1"/>
    <col min="8455" max="8455" width="7.5703125" style="16" bestFit="1" customWidth="1"/>
    <col min="8456" max="8456" width="11.5703125" style="16" bestFit="1"/>
    <col min="8457" max="8457" width="8" style="16" bestFit="1" customWidth="1"/>
    <col min="8458" max="8458" width="11.5703125" style="16" bestFit="1"/>
    <col min="8459" max="8459" width="8.42578125" style="16" bestFit="1" customWidth="1"/>
    <col min="8460" max="8460" width="11.5703125" style="16" bestFit="1"/>
    <col min="8461" max="8461" width="8.42578125" style="16" customWidth="1"/>
    <col min="8462" max="8462" width="7.42578125" style="16" bestFit="1" customWidth="1"/>
    <col min="8463" max="8463" width="11.5703125" style="16" bestFit="1"/>
    <col min="8464" max="8464" width="8.42578125" style="16" customWidth="1"/>
    <col min="8465" max="8465" width="13" style="16" bestFit="1" customWidth="1"/>
    <col min="8466" max="8704" width="11.5703125" style="16"/>
    <col min="8705" max="8705" width="8.5703125" style="16" customWidth="1"/>
    <col min="8706" max="8706" width="50" style="16" customWidth="1"/>
    <col min="8707" max="8707" width="6.42578125" style="16" bestFit="1" customWidth="1"/>
    <col min="8708" max="8709" width="8.5703125" style="16" customWidth="1"/>
    <col min="8710" max="8710" width="11.42578125" style="16" bestFit="1" customWidth="1"/>
    <col min="8711" max="8711" width="7.5703125" style="16" bestFit="1" customWidth="1"/>
    <col min="8712" max="8712" width="11.5703125" style="16" bestFit="1"/>
    <col min="8713" max="8713" width="8" style="16" bestFit="1" customWidth="1"/>
    <col min="8714" max="8714" width="11.5703125" style="16" bestFit="1"/>
    <col min="8715" max="8715" width="8.42578125" style="16" bestFit="1" customWidth="1"/>
    <col min="8716" max="8716" width="11.5703125" style="16" bestFit="1"/>
    <col min="8717" max="8717" width="8.42578125" style="16" customWidth="1"/>
    <col min="8718" max="8718" width="7.42578125" style="16" bestFit="1" customWidth="1"/>
    <col min="8719" max="8719" width="11.5703125" style="16" bestFit="1"/>
    <col min="8720" max="8720" width="8.42578125" style="16" customWidth="1"/>
    <col min="8721" max="8721" width="13" style="16" bestFit="1" customWidth="1"/>
    <col min="8722" max="8960" width="11.5703125" style="16"/>
    <col min="8961" max="8961" width="8.5703125" style="16" customWidth="1"/>
    <col min="8962" max="8962" width="50" style="16" customWidth="1"/>
    <col min="8963" max="8963" width="6.42578125" style="16" bestFit="1" customWidth="1"/>
    <col min="8964" max="8965" width="8.5703125" style="16" customWidth="1"/>
    <col min="8966" max="8966" width="11.42578125" style="16" bestFit="1" customWidth="1"/>
    <col min="8967" max="8967" width="7.5703125" style="16" bestFit="1" customWidth="1"/>
    <col min="8968" max="8968" width="11.5703125" style="16" bestFit="1"/>
    <col min="8969" max="8969" width="8" style="16" bestFit="1" customWidth="1"/>
    <col min="8970" max="8970" width="11.5703125" style="16" bestFit="1"/>
    <col min="8971" max="8971" width="8.42578125" style="16" bestFit="1" customWidth="1"/>
    <col min="8972" max="8972" width="11.5703125" style="16" bestFit="1"/>
    <col min="8973" max="8973" width="8.42578125" style="16" customWidth="1"/>
    <col min="8974" max="8974" width="7.42578125" style="16" bestFit="1" customWidth="1"/>
    <col min="8975" max="8975" width="11.5703125" style="16" bestFit="1"/>
    <col min="8976" max="8976" width="8.42578125" style="16" customWidth="1"/>
    <col min="8977" max="8977" width="13" style="16" bestFit="1" customWidth="1"/>
    <col min="8978" max="9216" width="11.5703125" style="16"/>
    <col min="9217" max="9217" width="8.5703125" style="16" customWidth="1"/>
    <col min="9218" max="9218" width="50" style="16" customWidth="1"/>
    <col min="9219" max="9219" width="6.42578125" style="16" bestFit="1" customWidth="1"/>
    <col min="9220" max="9221" width="8.5703125" style="16" customWidth="1"/>
    <col min="9222" max="9222" width="11.42578125" style="16" bestFit="1" customWidth="1"/>
    <col min="9223" max="9223" width="7.5703125" style="16" bestFit="1" customWidth="1"/>
    <col min="9224" max="9224" width="11.5703125" style="16" bestFit="1"/>
    <col min="9225" max="9225" width="8" style="16" bestFit="1" customWidth="1"/>
    <col min="9226" max="9226" width="11.5703125" style="16" bestFit="1"/>
    <col min="9227" max="9227" width="8.42578125" style="16" bestFit="1" customWidth="1"/>
    <col min="9228" max="9228" width="11.5703125" style="16" bestFit="1"/>
    <col min="9229" max="9229" width="8.42578125" style="16" customWidth="1"/>
    <col min="9230" max="9230" width="7.42578125" style="16" bestFit="1" customWidth="1"/>
    <col min="9231" max="9231" width="11.5703125" style="16" bestFit="1"/>
    <col min="9232" max="9232" width="8.42578125" style="16" customWidth="1"/>
    <col min="9233" max="9233" width="13" style="16" bestFit="1" customWidth="1"/>
    <col min="9234" max="9472" width="11.5703125" style="16"/>
    <col min="9473" max="9473" width="8.5703125" style="16" customWidth="1"/>
    <col min="9474" max="9474" width="50" style="16" customWidth="1"/>
    <col min="9475" max="9475" width="6.42578125" style="16" bestFit="1" customWidth="1"/>
    <col min="9476" max="9477" width="8.5703125" style="16" customWidth="1"/>
    <col min="9478" max="9478" width="11.42578125" style="16" bestFit="1" customWidth="1"/>
    <col min="9479" max="9479" width="7.5703125" style="16" bestFit="1" customWidth="1"/>
    <col min="9480" max="9480" width="11.5703125" style="16" bestFit="1"/>
    <col min="9481" max="9481" width="8" style="16" bestFit="1" customWidth="1"/>
    <col min="9482" max="9482" width="11.5703125" style="16" bestFit="1"/>
    <col min="9483" max="9483" width="8.42578125" style="16" bestFit="1" customWidth="1"/>
    <col min="9484" max="9484" width="11.5703125" style="16" bestFit="1"/>
    <col min="9485" max="9485" width="8.42578125" style="16" customWidth="1"/>
    <col min="9486" max="9486" width="7.42578125" style="16" bestFit="1" customWidth="1"/>
    <col min="9487" max="9487" width="11.5703125" style="16" bestFit="1"/>
    <col min="9488" max="9488" width="8.42578125" style="16" customWidth="1"/>
    <col min="9489" max="9489" width="13" style="16" bestFit="1" customWidth="1"/>
    <col min="9490" max="9728" width="11.5703125" style="16"/>
    <col min="9729" max="9729" width="8.5703125" style="16" customWidth="1"/>
    <col min="9730" max="9730" width="50" style="16" customWidth="1"/>
    <col min="9731" max="9731" width="6.42578125" style="16" bestFit="1" customWidth="1"/>
    <col min="9732" max="9733" width="8.5703125" style="16" customWidth="1"/>
    <col min="9734" max="9734" width="11.42578125" style="16" bestFit="1" customWidth="1"/>
    <col min="9735" max="9735" width="7.5703125" style="16" bestFit="1" customWidth="1"/>
    <col min="9736" max="9736" width="11.5703125" style="16" bestFit="1"/>
    <col min="9737" max="9737" width="8" style="16" bestFit="1" customWidth="1"/>
    <col min="9738" max="9738" width="11.5703125" style="16" bestFit="1"/>
    <col min="9739" max="9739" width="8.42578125" style="16" bestFit="1" customWidth="1"/>
    <col min="9740" max="9740" width="11.5703125" style="16" bestFit="1"/>
    <col min="9741" max="9741" width="8.42578125" style="16" customWidth="1"/>
    <col min="9742" max="9742" width="7.42578125" style="16" bestFit="1" customWidth="1"/>
    <col min="9743" max="9743" width="11.5703125" style="16" bestFit="1"/>
    <col min="9744" max="9744" width="8.42578125" style="16" customWidth="1"/>
    <col min="9745" max="9745" width="13" style="16" bestFit="1" customWidth="1"/>
    <col min="9746" max="9984" width="11.5703125" style="16"/>
    <col min="9985" max="9985" width="8.5703125" style="16" customWidth="1"/>
    <col min="9986" max="9986" width="50" style="16" customWidth="1"/>
    <col min="9987" max="9987" width="6.42578125" style="16" bestFit="1" customWidth="1"/>
    <col min="9988" max="9989" width="8.5703125" style="16" customWidth="1"/>
    <col min="9990" max="9990" width="11.42578125" style="16" bestFit="1" customWidth="1"/>
    <col min="9991" max="9991" width="7.5703125" style="16" bestFit="1" customWidth="1"/>
    <col min="9992" max="9992" width="11.5703125" style="16" bestFit="1"/>
    <col min="9993" max="9993" width="8" style="16" bestFit="1" customWidth="1"/>
    <col min="9994" max="9994" width="11.5703125" style="16" bestFit="1"/>
    <col min="9995" max="9995" width="8.42578125" style="16" bestFit="1" customWidth="1"/>
    <col min="9996" max="9996" width="11.5703125" style="16" bestFit="1"/>
    <col min="9997" max="9997" width="8.42578125" style="16" customWidth="1"/>
    <col min="9998" max="9998" width="7.42578125" style="16" bestFit="1" customWidth="1"/>
    <col min="9999" max="9999" width="11.5703125" style="16" bestFit="1"/>
    <col min="10000" max="10000" width="8.42578125" style="16" customWidth="1"/>
    <col min="10001" max="10001" width="13" style="16" bestFit="1" customWidth="1"/>
    <col min="10002" max="10240" width="11.5703125" style="16"/>
    <col min="10241" max="10241" width="8.5703125" style="16" customWidth="1"/>
    <col min="10242" max="10242" width="50" style="16" customWidth="1"/>
    <col min="10243" max="10243" width="6.42578125" style="16" bestFit="1" customWidth="1"/>
    <col min="10244" max="10245" width="8.5703125" style="16" customWidth="1"/>
    <col min="10246" max="10246" width="11.42578125" style="16" bestFit="1" customWidth="1"/>
    <col min="10247" max="10247" width="7.5703125" style="16" bestFit="1" customWidth="1"/>
    <col min="10248" max="10248" width="11.5703125" style="16" bestFit="1"/>
    <col min="10249" max="10249" width="8" style="16" bestFit="1" customWidth="1"/>
    <col min="10250" max="10250" width="11.5703125" style="16" bestFit="1"/>
    <col min="10251" max="10251" width="8.42578125" style="16" bestFit="1" customWidth="1"/>
    <col min="10252" max="10252" width="11.5703125" style="16" bestFit="1"/>
    <col min="10253" max="10253" width="8.42578125" style="16" customWidth="1"/>
    <col min="10254" max="10254" width="7.42578125" style="16" bestFit="1" customWidth="1"/>
    <col min="10255" max="10255" width="11.5703125" style="16" bestFit="1"/>
    <col min="10256" max="10256" width="8.42578125" style="16" customWidth="1"/>
    <col min="10257" max="10257" width="13" style="16" bestFit="1" customWidth="1"/>
    <col min="10258" max="10496" width="11.5703125" style="16"/>
    <col min="10497" max="10497" width="8.5703125" style="16" customWidth="1"/>
    <col min="10498" max="10498" width="50" style="16" customWidth="1"/>
    <col min="10499" max="10499" width="6.42578125" style="16" bestFit="1" customWidth="1"/>
    <col min="10500" max="10501" width="8.5703125" style="16" customWidth="1"/>
    <col min="10502" max="10502" width="11.42578125" style="16" bestFit="1" customWidth="1"/>
    <col min="10503" max="10503" width="7.5703125" style="16" bestFit="1" customWidth="1"/>
    <col min="10504" max="10504" width="11.5703125" style="16" bestFit="1"/>
    <col min="10505" max="10505" width="8" style="16" bestFit="1" customWidth="1"/>
    <col min="10506" max="10506" width="11.5703125" style="16" bestFit="1"/>
    <col min="10507" max="10507" width="8.42578125" style="16" bestFit="1" customWidth="1"/>
    <col min="10508" max="10508" width="11.5703125" style="16" bestFit="1"/>
    <col min="10509" max="10509" width="8.42578125" style="16" customWidth="1"/>
    <col min="10510" max="10510" width="7.42578125" style="16" bestFit="1" customWidth="1"/>
    <col min="10511" max="10511" width="11.5703125" style="16" bestFit="1"/>
    <col min="10512" max="10512" width="8.42578125" style="16" customWidth="1"/>
    <col min="10513" max="10513" width="13" style="16" bestFit="1" customWidth="1"/>
    <col min="10514" max="10752" width="11.5703125" style="16"/>
    <col min="10753" max="10753" width="8.5703125" style="16" customWidth="1"/>
    <col min="10754" max="10754" width="50" style="16" customWidth="1"/>
    <col min="10755" max="10755" width="6.42578125" style="16" bestFit="1" customWidth="1"/>
    <col min="10756" max="10757" width="8.5703125" style="16" customWidth="1"/>
    <col min="10758" max="10758" width="11.42578125" style="16" bestFit="1" customWidth="1"/>
    <col min="10759" max="10759" width="7.5703125" style="16" bestFit="1" customWidth="1"/>
    <col min="10760" max="10760" width="11.5703125" style="16" bestFit="1"/>
    <col min="10761" max="10761" width="8" style="16" bestFit="1" customWidth="1"/>
    <col min="10762" max="10762" width="11.5703125" style="16" bestFit="1"/>
    <col min="10763" max="10763" width="8.42578125" style="16" bestFit="1" customWidth="1"/>
    <col min="10764" max="10764" width="11.5703125" style="16" bestFit="1"/>
    <col min="10765" max="10765" width="8.42578125" style="16" customWidth="1"/>
    <col min="10766" max="10766" width="7.42578125" style="16" bestFit="1" customWidth="1"/>
    <col min="10767" max="10767" width="11.5703125" style="16" bestFit="1"/>
    <col min="10768" max="10768" width="8.42578125" style="16" customWidth="1"/>
    <col min="10769" max="10769" width="13" style="16" bestFit="1" customWidth="1"/>
    <col min="10770" max="11008" width="11.5703125" style="16"/>
    <col min="11009" max="11009" width="8.5703125" style="16" customWidth="1"/>
    <col min="11010" max="11010" width="50" style="16" customWidth="1"/>
    <col min="11011" max="11011" width="6.42578125" style="16" bestFit="1" customWidth="1"/>
    <col min="11012" max="11013" width="8.5703125" style="16" customWidth="1"/>
    <col min="11014" max="11014" width="11.42578125" style="16" bestFit="1" customWidth="1"/>
    <col min="11015" max="11015" width="7.5703125" style="16" bestFit="1" customWidth="1"/>
    <col min="11016" max="11016" width="11.5703125" style="16" bestFit="1"/>
    <col min="11017" max="11017" width="8" style="16" bestFit="1" customWidth="1"/>
    <col min="11018" max="11018" width="11.5703125" style="16" bestFit="1"/>
    <col min="11019" max="11019" width="8.42578125" style="16" bestFit="1" customWidth="1"/>
    <col min="11020" max="11020" width="11.5703125" style="16" bestFit="1"/>
    <col min="11021" max="11021" width="8.42578125" style="16" customWidth="1"/>
    <col min="11022" max="11022" width="7.42578125" style="16" bestFit="1" customWidth="1"/>
    <col min="11023" max="11023" width="11.5703125" style="16" bestFit="1"/>
    <col min="11024" max="11024" width="8.42578125" style="16" customWidth="1"/>
    <col min="11025" max="11025" width="13" style="16" bestFit="1" customWidth="1"/>
    <col min="11026" max="11264" width="11.5703125" style="16"/>
    <col min="11265" max="11265" width="8.5703125" style="16" customWidth="1"/>
    <col min="11266" max="11266" width="50" style="16" customWidth="1"/>
    <col min="11267" max="11267" width="6.42578125" style="16" bestFit="1" customWidth="1"/>
    <col min="11268" max="11269" width="8.5703125" style="16" customWidth="1"/>
    <col min="11270" max="11270" width="11.42578125" style="16" bestFit="1" customWidth="1"/>
    <col min="11271" max="11271" width="7.5703125" style="16" bestFit="1" customWidth="1"/>
    <col min="11272" max="11272" width="11.5703125" style="16" bestFit="1"/>
    <col min="11273" max="11273" width="8" style="16" bestFit="1" customWidth="1"/>
    <col min="11274" max="11274" width="11.5703125" style="16" bestFit="1"/>
    <col min="11275" max="11275" width="8.42578125" style="16" bestFit="1" customWidth="1"/>
    <col min="11276" max="11276" width="11.5703125" style="16" bestFit="1"/>
    <col min="11277" max="11277" width="8.42578125" style="16" customWidth="1"/>
    <col min="11278" max="11278" width="7.42578125" style="16" bestFit="1" customWidth="1"/>
    <col min="11279" max="11279" width="11.5703125" style="16" bestFit="1"/>
    <col min="11280" max="11280" width="8.42578125" style="16" customWidth="1"/>
    <col min="11281" max="11281" width="13" style="16" bestFit="1" customWidth="1"/>
    <col min="11282" max="11520" width="11.5703125" style="16"/>
    <col min="11521" max="11521" width="8.5703125" style="16" customWidth="1"/>
    <col min="11522" max="11522" width="50" style="16" customWidth="1"/>
    <col min="11523" max="11523" width="6.42578125" style="16" bestFit="1" customWidth="1"/>
    <col min="11524" max="11525" width="8.5703125" style="16" customWidth="1"/>
    <col min="11526" max="11526" width="11.42578125" style="16" bestFit="1" customWidth="1"/>
    <col min="11527" max="11527" width="7.5703125" style="16" bestFit="1" customWidth="1"/>
    <col min="11528" max="11528" width="11.5703125" style="16" bestFit="1"/>
    <col min="11529" max="11529" width="8" style="16" bestFit="1" customWidth="1"/>
    <col min="11530" max="11530" width="11.5703125" style="16" bestFit="1"/>
    <col min="11531" max="11531" width="8.42578125" style="16" bestFit="1" customWidth="1"/>
    <col min="11532" max="11532" width="11.5703125" style="16" bestFit="1"/>
    <col min="11533" max="11533" width="8.42578125" style="16" customWidth="1"/>
    <col min="11534" max="11534" width="7.42578125" style="16" bestFit="1" customWidth="1"/>
    <col min="11535" max="11535" width="11.5703125" style="16" bestFit="1"/>
    <col min="11536" max="11536" width="8.42578125" style="16" customWidth="1"/>
    <col min="11537" max="11537" width="13" style="16" bestFit="1" customWidth="1"/>
    <col min="11538" max="11776" width="11.5703125" style="16"/>
    <col min="11777" max="11777" width="8.5703125" style="16" customWidth="1"/>
    <col min="11778" max="11778" width="50" style="16" customWidth="1"/>
    <col min="11779" max="11779" width="6.42578125" style="16" bestFit="1" customWidth="1"/>
    <col min="11780" max="11781" width="8.5703125" style="16" customWidth="1"/>
    <col min="11782" max="11782" width="11.42578125" style="16" bestFit="1" customWidth="1"/>
    <col min="11783" max="11783" width="7.5703125" style="16" bestFit="1" customWidth="1"/>
    <col min="11784" max="11784" width="11.5703125" style="16" bestFit="1"/>
    <col min="11785" max="11785" width="8" style="16" bestFit="1" customWidth="1"/>
    <col min="11786" max="11786" width="11.5703125" style="16" bestFit="1"/>
    <col min="11787" max="11787" width="8.42578125" style="16" bestFit="1" customWidth="1"/>
    <col min="11788" max="11788" width="11.5703125" style="16" bestFit="1"/>
    <col min="11789" max="11789" width="8.42578125" style="16" customWidth="1"/>
    <col min="11790" max="11790" width="7.42578125" style="16" bestFit="1" customWidth="1"/>
    <col min="11791" max="11791" width="11.5703125" style="16" bestFit="1"/>
    <col min="11792" max="11792" width="8.42578125" style="16" customWidth="1"/>
    <col min="11793" max="11793" width="13" style="16" bestFit="1" customWidth="1"/>
    <col min="11794" max="12032" width="11.5703125" style="16"/>
    <col min="12033" max="12033" width="8.5703125" style="16" customWidth="1"/>
    <col min="12034" max="12034" width="50" style="16" customWidth="1"/>
    <col min="12035" max="12035" width="6.42578125" style="16" bestFit="1" customWidth="1"/>
    <col min="12036" max="12037" width="8.5703125" style="16" customWidth="1"/>
    <col min="12038" max="12038" width="11.42578125" style="16" bestFit="1" customWidth="1"/>
    <col min="12039" max="12039" width="7.5703125" style="16" bestFit="1" customWidth="1"/>
    <col min="12040" max="12040" width="11.5703125" style="16" bestFit="1"/>
    <col min="12041" max="12041" width="8" style="16" bestFit="1" customWidth="1"/>
    <col min="12042" max="12042" width="11.5703125" style="16" bestFit="1"/>
    <col min="12043" max="12043" width="8.42578125" style="16" bestFit="1" customWidth="1"/>
    <col min="12044" max="12044" width="11.5703125" style="16" bestFit="1"/>
    <col min="12045" max="12045" width="8.42578125" style="16" customWidth="1"/>
    <col min="12046" max="12046" width="7.42578125" style="16" bestFit="1" customWidth="1"/>
    <col min="12047" max="12047" width="11.5703125" style="16" bestFit="1"/>
    <col min="12048" max="12048" width="8.42578125" style="16" customWidth="1"/>
    <col min="12049" max="12049" width="13" style="16" bestFit="1" customWidth="1"/>
    <col min="12050" max="12288" width="11.5703125" style="16"/>
    <col min="12289" max="12289" width="8.5703125" style="16" customWidth="1"/>
    <col min="12290" max="12290" width="50" style="16" customWidth="1"/>
    <col min="12291" max="12291" width="6.42578125" style="16" bestFit="1" customWidth="1"/>
    <col min="12292" max="12293" width="8.5703125" style="16" customWidth="1"/>
    <col min="12294" max="12294" width="11.42578125" style="16" bestFit="1" customWidth="1"/>
    <col min="12295" max="12295" width="7.5703125" style="16" bestFit="1" customWidth="1"/>
    <col min="12296" max="12296" width="11.5703125" style="16" bestFit="1"/>
    <col min="12297" max="12297" width="8" style="16" bestFit="1" customWidth="1"/>
    <col min="12298" max="12298" width="11.5703125" style="16" bestFit="1"/>
    <col min="12299" max="12299" width="8.42578125" style="16" bestFit="1" customWidth="1"/>
    <col min="12300" max="12300" width="11.5703125" style="16" bestFit="1"/>
    <col min="12301" max="12301" width="8.42578125" style="16" customWidth="1"/>
    <col min="12302" max="12302" width="7.42578125" style="16" bestFit="1" customWidth="1"/>
    <col min="12303" max="12303" width="11.5703125" style="16" bestFit="1"/>
    <col min="12304" max="12304" width="8.42578125" style="16" customWidth="1"/>
    <col min="12305" max="12305" width="13" style="16" bestFit="1" customWidth="1"/>
    <col min="12306" max="12544" width="11.5703125" style="16"/>
    <col min="12545" max="12545" width="8.5703125" style="16" customWidth="1"/>
    <col min="12546" max="12546" width="50" style="16" customWidth="1"/>
    <col min="12547" max="12547" width="6.42578125" style="16" bestFit="1" customWidth="1"/>
    <col min="12548" max="12549" width="8.5703125" style="16" customWidth="1"/>
    <col min="12550" max="12550" width="11.42578125" style="16" bestFit="1" customWidth="1"/>
    <col min="12551" max="12551" width="7.5703125" style="16" bestFit="1" customWidth="1"/>
    <col min="12552" max="12552" width="11.5703125" style="16" bestFit="1"/>
    <col min="12553" max="12553" width="8" style="16" bestFit="1" customWidth="1"/>
    <col min="12554" max="12554" width="11.5703125" style="16" bestFit="1"/>
    <col min="12555" max="12555" width="8.42578125" style="16" bestFit="1" customWidth="1"/>
    <col min="12556" max="12556" width="11.5703125" style="16" bestFit="1"/>
    <col min="12557" max="12557" width="8.42578125" style="16" customWidth="1"/>
    <col min="12558" max="12558" width="7.42578125" style="16" bestFit="1" customWidth="1"/>
    <col min="12559" max="12559" width="11.5703125" style="16" bestFit="1"/>
    <col min="12560" max="12560" width="8.42578125" style="16" customWidth="1"/>
    <col min="12561" max="12561" width="13" style="16" bestFit="1" customWidth="1"/>
    <col min="12562" max="12800" width="11.5703125" style="16"/>
    <col min="12801" max="12801" width="8.5703125" style="16" customWidth="1"/>
    <col min="12802" max="12802" width="50" style="16" customWidth="1"/>
    <col min="12803" max="12803" width="6.42578125" style="16" bestFit="1" customWidth="1"/>
    <col min="12804" max="12805" width="8.5703125" style="16" customWidth="1"/>
    <col min="12806" max="12806" width="11.42578125" style="16" bestFit="1" customWidth="1"/>
    <col min="12807" max="12807" width="7.5703125" style="16" bestFit="1" customWidth="1"/>
    <col min="12808" max="12808" width="11.5703125" style="16" bestFit="1"/>
    <col min="12809" max="12809" width="8" style="16" bestFit="1" customWidth="1"/>
    <col min="12810" max="12810" width="11.5703125" style="16" bestFit="1"/>
    <col min="12811" max="12811" width="8.42578125" style="16" bestFit="1" customWidth="1"/>
    <col min="12812" max="12812" width="11.5703125" style="16" bestFit="1"/>
    <col min="12813" max="12813" width="8.42578125" style="16" customWidth="1"/>
    <col min="12814" max="12814" width="7.42578125" style="16" bestFit="1" customWidth="1"/>
    <col min="12815" max="12815" width="11.5703125" style="16" bestFit="1"/>
    <col min="12816" max="12816" width="8.42578125" style="16" customWidth="1"/>
    <col min="12817" max="12817" width="13" style="16" bestFit="1" customWidth="1"/>
    <col min="12818" max="13056" width="11.5703125" style="16"/>
    <col min="13057" max="13057" width="8.5703125" style="16" customWidth="1"/>
    <col min="13058" max="13058" width="50" style="16" customWidth="1"/>
    <col min="13059" max="13059" width="6.42578125" style="16" bestFit="1" customWidth="1"/>
    <col min="13060" max="13061" width="8.5703125" style="16" customWidth="1"/>
    <col min="13062" max="13062" width="11.42578125" style="16" bestFit="1" customWidth="1"/>
    <col min="13063" max="13063" width="7.5703125" style="16" bestFit="1" customWidth="1"/>
    <col min="13064" max="13064" width="11.5703125" style="16" bestFit="1"/>
    <col min="13065" max="13065" width="8" style="16" bestFit="1" customWidth="1"/>
    <col min="13066" max="13066" width="11.5703125" style="16" bestFit="1"/>
    <col min="13067" max="13067" width="8.42578125" style="16" bestFit="1" customWidth="1"/>
    <col min="13068" max="13068" width="11.5703125" style="16" bestFit="1"/>
    <col min="13069" max="13069" width="8.42578125" style="16" customWidth="1"/>
    <col min="13070" max="13070" width="7.42578125" style="16" bestFit="1" customWidth="1"/>
    <col min="13071" max="13071" width="11.5703125" style="16" bestFit="1"/>
    <col min="13072" max="13072" width="8.42578125" style="16" customWidth="1"/>
    <col min="13073" max="13073" width="13" style="16" bestFit="1" customWidth="1"/>
    <col min="13074" max="13312" width="11.5703125" style="16"/>
    <col min="13313" max="13313" width="8.5703125" style="16" customWidth="1"/>
    <col min="13314" max="13314" width="50" style="16" customWidth="1"/>
    <col min="13315" max="13315" width="6.42578125" style="16" bestFit="1" customWidth="1"/>
    <col min="13316" max="13317" width="8.5703125" style="16" customWidth="1"/>
    <col min="13318" max="13318" width="11.42578125" style="16" bestFit="1" customWidth="1"/>
    <col min="13319" max="13319" width="7.5703125" style="16" bestFit="1" customWidth="1"/>
    <col min="13320" max="13320" width="11.5703125" style="16" bestFit="1"/>
    <col min="13321" max="13321" width="8" style="16" bestFit="1" customWidth="1"/>
    <col min="13322" max="13322" width="11.5703125" style="16" bestFit="1"/>
    <col min="13323" max="13323" width="8.42578125" style="16" bestFit="1" customWidth="1"/>
    <col min="13324" max="13324" width="11.5703125" style="16" bestFit="1"/>
    <col min="13325" max="13325" width="8.42578125" style="16" customWidth="1"/>
    <col min="13326" max="13326" width="7.42578125" style="16" bestFit="1" customWidth="1"/>
    <col min="13327" max="13327" width="11.5703125" style="16" bestFit="1"/>
    <col min="13328" max="13328" width="8.42578125" style="16" customWidth="1"/>
    <col min="13329" max="13329" width="13" style="16" bestFit="1" customWidth="1"/>
    <col min="13330" max="13568" width="11.5703125" style="16"/>
    <col min="13569" max="13569" width="8.5703125" style="16" customWidth="1"/>
    <col min="13570" max="13570" width="50" style="16" customWidth="1"/>
    <col min="13571" max="13571" width="6.42578125" style="16" bestFit="1" customWidth="1"/>
    <col min="13572" max="13573" width="8.5703125" style="16" customWidth="1"/>
    <col min="13574" max="13574" width="11.42578125" style="16" bestFit="1" customWidth="1"/>
    <col min="13575" max="13575" width="7.5703125" style="16" bestFit="1" customWidth="1"/>
    <col min="13576" max="13576" width="11.5703125" style="16" bestFit="1"/>
    <col min="13577" max="13577" width="8" style="16" bestFit="1" customWidth="1"/>
    <col min="13578" max="13578" width="11.5703125" style="16" bestFit="1"/>
    <col min="13579" max="13579" width="8.42578125" style="16" bestFit="1" customWidth="1"/>
    <col min="13580" max="13580" width="11.5703125" style="16" bestFit="1"/>
    <col min="13581" max="13581" width="8.42578125" style="16" customWidth="1"/>
    <col min="13582" max="13582" width="7.42578125" style="16" bestFit="1" customWidth="1"/>
    <col min="13583" max="13583" width="11.5703125" style="16" bestFit="1"/>
    <col min="13584" max="13584" width="8.42578125" style="16" customWidth="1"/>
    <col min="13585" max="13585" width="13" style="16" bestFit="1" customWidth="1"/>
    <col min="13586" max="13824" width="11.5703125" style="16"/>
    <col min="13825" max="13825" width="8.5703125" style="16" customWidth="1"/>
    <col min="13826" max="13826" width="50" style="16" customWidth="1"/>
    <col min="13827" max="13827" width="6.42578125" style="16" bestFit="1" customWidth="1"/>
    <col min="13828" max="13829" width="8.5703125" style="16" customWidth="1"/>
    <col min="13830" max="13830" width="11.42578125" style="16" bestFit="1" customWidth="1"/>
    <col min="13831" max="13831" width="7.5703125" style="16" bestFit="1" customWidth="1"/>
    <col min="13832" max="13832" width="11.5703125" style="16" bestFit="1"/>
    <col min="13833" max="13833" width="8" style="16" bestFit="1" customWidth="1"/>
    <col min="13834" max="13834" width="11.5703125" style="16" bestFit="1"/>
    <col min="13835" max="13835" width="8.42578125" style="16" bestFit="1" customWidth="1"/>
    <col min="13836" max="13836" width="11.5703125" style="16" bestFit="1"/>
    <col min="13837" max="13837" width="8.42578125" style="16" customWidth="1"/>
    <col min="13838" max="13838" width="7.42578125" style="16" bestFit="1" customWidth="1"/>
    <col min="13839" max="13839" width="11.5703125" style="16" bestFit="1"/>
    <col min="13840" max="13840" width="8.42578125" style="16" customWidth="1"/>
    <col min="13841" max="13841" width="13" style="16" bestFit="1" customWidth="1"/>
    <col min="13842" max="14080" width="11.5703125" style="16"/>
    <col min="14081" max="14081" width="8.5703125" style="16" customWidth="1"/>
    <col min="14082" max="14082" width="50" style="16" customWidth="1"/>
    <col min="14083" max="14083" width="6.42578125" style="16" bestFit="1" customWidth="1"/>
    <col min="14084" max="14085" width="8.5703125" style="16" customWidth="1"/>
    <col min="14086" max="14086" width="11.42578125" style="16" bestFit="1" customWidth="1"/>
    <col min="14087" max="14087" width="7.5703125" style="16" bestFit="1" customWidth="1"/>
    <col min="14088" max="14088" width="11.5703125" style="16" bestFit="1"/>
    <col min="14089" max="14089" width="8" style="16" bestFit="1" customWidth="1"/>
    <col min="14090" max="14090" width="11.5703125" style="16" bestFit="1"/>
    <col min="14091" max="14091" width="8.42578125" style="16" bestFit="1" customWidth="1"/>
    <col min="14092" max="14092" width="11.5703125" style="16" bestFit="1"/>
    <col min="14093" max="14093" width="8.42578125" style="16" customWidth="1"/>
    <col min="14094" max="14094" width="7.42578125" style="16" bestFit="1" customWidth="1"/>
    <col min="14095" max="14095" width="11.5703125" style="16" bestFit="1"/>
    <col min="14096" max="14096" width="8.42578125" style="16" customWidth="1"/>
    <col min="14097" max="14097" width="13" style="16" bestFit="1" customWidth="1"/>
    <col min="14098" max="14336" width="11.5703125" style="16"/>
    <col min="14337" max="14337" width="8.5703125" style="16" customWidth="1"/>
    <col min="14338" max="14338" width="50" style="16" customWidth="1"/>
    <col min="14339" max="14339" width="6.42578125" style="16" bestFit="1" customWidth="1"/>
    <col min="14340" max="14341" width="8.5703125" style="16" customWidth="1"/>
    <col min="14342" max="14342" width="11.42578125" style="16" bestFit="1" customWidth="1"/>
    <col min="14343" max="14343" width="7.5703125" style="16" bestFit="1" customWidth="1"/>
    <col min="14344" max="14344" width="11.5703125" style="16" bestFit="1"/>
    <col min="14345" max="14345" width="8" style="16" bestFit="1" customWidth="1"/>
    <col min="14346" max="14346" width="11.5703125" style="16" bestFit="1"/>
    <col min="14347" max="14347" width="8.42578125" style="16" bestFit="1" customWidth="1"/>
    <col min="14348" max="14348" width="11.5703125" style="16" bestFit="1"/>
    <col min="14349" max="14349" width="8.42578125" style="16" customWidth="1"/>
    <col min="14350" max="14350" width="7.42578125" style="16" bestFit="1" customWidth="1"/>
    <col min="14351" max="14351" width="11.5703125" style="16" bestFit="1"/>
    <col min="14352" max="14352" width="8.42578125" style="16" customWidth="1"/>
    <col min="14353" max="14353" width="13" style="16" bestFit="1" customWidth="1"/>
    <col min="14354" max="14592" width="11.5703125" style="16"/>
    <col min="14593" max="14593" width="8.5703125" style="16" customWidth="1"/>
    <col min="14594" max="14594" width="50" style="16" customWidth="1"/>
    <col min="14595" max="14595" width="6.42578125" style="16" bestFit="1" customWidth="1"/>
    <col min="14596" max="14597" width="8.5703125" style="16" customWidth="1"/>
    <col min="14598" max="14598" width="11.42578125" style="16" bestFit="1" customWidth="1"/>
    <col min="14599" max="14599" width="7.5703125" style="16" bestFit="1" customWidth="1"/>
    <col min="14600" max="14600" width="11.5703125" style="16" bestFit="1"/>
    <col min="14601" max="14601" width="8" style="16" bestFit="1" customWidth="1"/>
    <col min="14602" max="14602" width="11.5703125" style="16" bestFit="1"/>
    <col min="14603" max="14603" width="8.42578125" style="16" bestFit="1" customWidth="1"/>
    <col min="14604" max="14604" width="11.5703125" style="16" bestFit="1"/>
    <col min="14605" max="14605" width="8.42578125" style="16" customWidth="1"/>
    <col min="14606" max="14606" width="7.42578125" style="16" bestFit="1" customWidth="1"/>
    <col min="14607" max="14607" width="11.5703125" style="16" bestFit="1"/>
    <col min="14608" max="14608" width="8.42578125" style="16" customWidth="1"/>
    <col min="14609" max="14609" width="13" style="16" bestFit="1" customWidth="1"/>
    <col min="14610" max="14848" width="11.5703125" style="16"/>
    <col min="14849" max="14849" width="8.5703125" style="16" customWidth="1"/>
    <col min="14850" max="14850" width="50" style="16" customWidth="1"/>
    <col min="14851" max="14851" width="6.42578125" style="16" bestFit="1" customWidth="1"/>
    <col min="14852" max="14853" width="8.5703125" style="16" customWidth="1"/>
    <col min="14854" max="14854" width="11.42578125" style="16" bestFit="1" customWidth="1"/>
    <col min="14855" max="14855" width="7.5703125" style="16" bestFit="1" customWidth="1"/>
    <col min="14856" max="14856" width="11.5703125" style="16" bestFit="1"/>
    <col min="14857" max="14857" width="8" style="16" bestFit="1" customWidth="1"/>
    <col min="14858" max="14858" width="11.5703125" style="16" bestFit="1"/>
    <col min="14859" max="14859" width="8.42578125" style="16" bestFit="1" customWidth="1"/>
    <col min="14860" max="14860" width="11.5703125" style="16" bestFit="1"/>
    <col min="14861" max="14861" width="8.42578125" style="16" customWidth="1"/>
    <col min="14862" max="14862" width="7.42578125" style="16" bestFit="1" customWidth="1"/>
    <col min="14863" max="14863" width="11.5703125" style="16" bestFit="1"/>
    <col min="14864" max="14864" width="8.42578125" style="16" customWidth="1"/>
    <col min="14865" max="14865" width="13" style="16" bestFit="1" customWidth="1"/>
    <col min="14866" max="15104" width="11.5703125" style="16"/>
    <col min="15105" max="15105" width="8.5703125" style="16" customWidth="1"/>
    <col min="15106" max="15106" width="50" style="16" customWidth="1"/>
    <col min="15107" max="15107" width="6.42578125" style="16" bestFit="1" customWidth="1"/>
    <col min="15108" max="15109" width="8.5703125" style="16" customWidth="1"/>
    <col min="15110" max="15110" width="11.42578125" style="16" bestFit="1" customWidth="1"/>
    <col min="15111" max="15111" width="7.5703125" style="16" bestFit="1" customWidth="1"/>
    <col min="15112" max="15112" width="11.5703125" style="16" bestFit="1"/>
    <col min="15113" max="15113" width="8" style="16" bestFit="1" customWidth="1"/>
    <col min="15114" max="15114" width="11.5703125" style="16" bestFit="1"/>
    <col min="15115" max="15115" width="8.42578125" style="16" bestFit="1" customWidth="1"/>
    <col min="15116" max="15116" width="11.5703125" style="16" bestFit="1"/>
    <col min="15117" max="15117" width="8.42578125" style="16" customWidth="1"/>
    <col min="15118" max="15118" width="7.42578125" style="16" bestFit="1" customWidth="1"/>
    <col min="15119" max="15119" width="11.5703125" style="16" bestFit="1"/>
    <col min="15120" max="15120" width="8.42578125" style="16" customWidth="1"/>
    <col min="15121" max="15121" width="13" style="16" bestFit="1" customWidth="1"/>
    <col min="15122" max="15360" width="11.5703125" style="16"/>
    <col min="15361" max="15361" width="8.5703125" style="16" customWidth="1"/>
    <col min="15362" max="15362" width="50" style="16" customWidth="1"/>
    <col min="15363" max="15363" width="6.42578125" style="16" bestFit="1" customWidth="1"/>
    <col min="15364" max="15365" width="8.5703125" style="16" customWidth="1"/>
    <col min="15366" max="15366" width="11.42578125" style="16" bestFit="1" customWidth="1"/>
    <col min="15367" max="15367" width="7.5703125" style="16" bestFit="1" customWidth="1"/>
    <col min="15368" max="15368" width="11.5703125" style="16" bestFit="1"/>
    <col min="15369" max="15369" width="8" style="16" bestFit="1" customWidth="1"/>
    <col min="15370" max="15370" width="11.5703125" style="16" bestFit="1"/>
    <col min="15371" max="15371" width="8.42578125" style="16" bestFit="1" customWidth="1"/>
    <col min="15372" max="15372" width="11.5703125" style="16" bestFit="1"/>
    <col min="15373" max="15373" width="8.42578125" style="16" customWidth="1"/>
    <col min="15374" max="15374" width="7.42578125" style="16" bestFit="1" customWidth="1"/>
    <col min="15375" max="15375" width="11.5703125" style="16" bestFit="1"/>
    <col min="15376" max="15376" width="8.42578125" style="16" customWidth="1"/>
    <col min="15377" max="15377" width="13" style="16" bestFit="1" customWidth="1"/>
    <col min="15378" max="15616" width="11.5703125" style="16"/>
    <col min="15617" max="15617" width="8.5703125" style="16" customWidth="1"/>
    <col min="15618" max="15618" width="50" style="16" customWidth="1"/>
    <col min="15619" max="15619" width="6.42578125" style="16" bestFit="1" customWidth="1"/>
    <col min="15620" max="15621" width="8.5703125" style="16" customWidth="1"/>
    <col min="15622" max="15622" width="11.42578125" style="16" bestFit="1" customWidth="1"/>
    <col min="15623" max="15623" width="7.5703125" style="16" bestFit="1" customWidth="1"/>
    <col min="15624" max="15624" width="11.5703125" style="16" bestFit="1"/>
    <col min="15625" max="15625" width="8" style="16" bestFit="1" customWidth="1"/>
    <col min="15626" max="15626" width="11.5703125" style="16" bestFit="1"/>
    <col min="15627" max="15627" width="8.42578125" style="16" bestFit="1" customWidth="1"/>
    <col min="15628" max="15628" width="11.5703125" style="16" bestFit="1"/>
    <col min="15629" max="15629" width="8.42578125" style="16" customWidth="1"/>
    <col min="15630" max="15630" width="7.42578125" style="16" bestFit="1" customWidth="1"/>
    <col min="15631" max="15631" width="11.5703125" style="16" bestFit="1"/>
    <col min="15632" max="15632" width="8.42578125" style="16" customWidth="1"/>
    <col min="15633" max="15633" width="13" style="16" bestFit="1" customWidth="1"/>
    <col min="15634" max="15872" width="11.5703125" style="16"/>
    <col min="15873" max="15873" width="8.5703125" style="16" customWidth="1"/>
    <col min="15874" max="15874" width="50" style="16" customWidth="1"/>
    <col min="15875" max="15875" width="6.42578125" style="16" bestFit="1" customWidth="1"/>
    <col min="15876" max="15877" width="8.5703125" style="16" customWidth="1"/>
    <col min="15878" max="15878" width="11.42578125" style="16" bestFit="1" customWidth="1"/>
    <col min="15879" max="15879" width="7.5703125" style="16" bestFit="1" customWidth="1"/>
    <col min="15880" max="15880" width="11.5703125" style="16" bestFit="1"/>
    <col min="15881" max="15881" width="8" style="16" bestFit="1" customWidth="1"/>
    <col min="15882" max="15882" width="11.5703125" style="16" bestFit="1"/>
    <col min="15883" max="15883" width="8.42578125" style="16" bestFit="1" customWidth="1"/>
    <col min="15884" max="15884" width="11.5703125" style="16" bestFit="1"/>
    <col min="15885" max="15885" width="8.42578125" style="16" customWidth="1"/>
    <col min="15886" max="15886" width="7.42578125" style="16" bestFit="1" customWidth="1"/>
    <col min="15887" max="15887" width="11.5703125" style="16" bestFit="1"/>
    <col min="15888" max="15888" width="8.42578125" style="16" customWidth="1"/>
    <col min="15889" max="15889" width="13" style="16" bestFit="1" customWidth="1"/>
    <col min="15890" max="16128" width="11.5703125" style="16"/>
    <col min="16129" max="16129" width="8.5703125" style="16" customWidth="1"/>
    <col min="16130" max="16130" width="50" style="16" customWidth="1"/>
    <col min="16131" max="16131" width="6.42578125" style="16" bestFit="1" customWidth="1"/>
    <col min="16132" max="16133" width="8.5703125" style="16" customWidth="1"/>
    <col min="16134" max="16134" width="11.42578125" style="16" bestFit="1" customWidth="1"/>
    <col min="16135" max="16135" width="7.5703125" style="16" bestFit="1" customWidth="1"/>
    <col min="16136" max="16136" width="11.5703125" style="16" bestFit="1"/>
    <col min="16137" max="16137" width="8" style="16" bestFit="1" customWidth="1"/>
    <col min="16138" max="16138" width="11.5703125" style="16" bestFit="1"/>
    <col min="16139" max="16139" width="8.42578125" style="16" bestFit="1" customWidth="1"/>
    <col min="16140" max="16140" width="11.5703125" style="16" bestFit="1"/>
    <col min="16141" max="16141" width="8.42578125" style="16" customWidth="1"/>
    <col min="16142" max="16142" width="7.42578125" style="16" bestFit="1" customWidth="1"/>
    <col min="16143" max="16143" width="11.5703125" style="16" bestFit="1"/>
    <col min="16144" max="16144" width="8.42578125" style="16" customWidth="1"/>
    <col min="16145" max="16145" width="13" style="16" bestFit="1" customWidth="1"/>
    <col min="16146" max="16384" width="11.5703125" style="16"/>
  </cols>
  <sheetData>
    <row r="1" spans="1:18" s="4" customFormat="1">
      <c r="A1" s="1"/>
      <c r="B1" s="2"/>
      <c r="C1" s="73"/>
      <c r="E1" s="34" t="s">
        <v>12</v>
      </c>
      <c r="G1" s="73"/>
      <c r="H1" s="73"/>
      <c r="I1" s="73"/>
      <c r="J1" s="73"/>
      <c r="K1" s="73"/>
      <c r="L1" s="73"/>
      <c r="M1" s="73"/>
    </row>
    <row r="2" spans="1:18" s="4" customFormat="1" ht="12" customHeight="1">
      <c r="A2" s="2166" t="s">
        <v>2093</v>
      </c>
      <c r="B2" s="2166"/>
      <c r="C2" s="2166"/>
      <c r="D2" s="2166"/>
      <c r="E2" s="2166"/>
      <c r="F2" s="2166"/>
      <c r="G2" s="2166"/>
      <c r="H2" s="2166"/>
      <c r="I2" s="2166"/>
      <c r="J2" s="2166"/>
      <c r="K2" s="2166"/>
      <c r="L2" s="2166"/>
      <c r="M2" s="2166"/>
      <c r="N2" s="2166"/>
      <c r="O2" s="2166"/>
      <c r="P2" s="2166"/>
    </row>
    <row r="3" spans="1:18" s="4" customFormat="1" ht="13.5" customHeight="1" thickBot="1">
      <c r="A3" s="5"/>
      <c r="B3" s="2167" t="s">
        <v>2094</v>
      </c>
      <c r="C3" s="2167"/>
      <c r="D3" s="2167"/>
      <c r="E3" s="2167"/>
      <c r="F3" s="2167"/>
      <c r="G3" s="2167"/>
      <c r="H3" s="2167"/>
      <c r="I3" s="2167"/>
      <c r="J3" s="2167"/>
      <c r="K3" s="5"/>
      <c r="L3" s="5"/>
      <c r="M3" s="5"/>
      <c r="N3" s="5"/>
      <c r="O3" s="5"/>
      <c r="P3" s="5"/>
    </row>
    <row r="4" spans="1:18" s="140" customFormat="1" ht="32.25" customHeight="1" thickBot="1">
      <c r="A4" s="3"/>
      <c r="B4" s="540" t="s">
        <v>6</v>
      </c>
      <c r="C4" s="143" t="s">
        <v>4</v>
      </c>
      <c r="D4" s="2168" t="s">
        <v>532</v>
      </c>
      <c r="E4" s="2169"/>
      <c r="F4" s="2169"/>
      <c r="G4" s="2169"/>
      <c r="H4" s="2169"/>
      <c r="I4" s="2169"/>
      <c r="J4" s="2169"/>
      <c r="K4" s="2169"/>
      <c r="L4" s="2170"/>
      <c r="M4" s="455" t="s">
        <v>13</v>
      </c>
      <c r="N4" s="139"/>
      <c r="O4" s="2171">
        <v>42951</v>
      </c>
      <c r="P4" s="2171"/>
    </row>
    <row r="5" spans="1:18" s="4" customFormat="1" ht="12.75" customHeight="1">
      <c r="A5" s="5"/>
      <c r="B5" s="9" t="s">
        <v>5</v>
      </c>
      <c r="C5" s="562" t="s">
        <v>4</v>
      </c>
      <c r="D5" s="11" t="s">
        <v>533</v>
      </c>
      <c r="E5" s="5"/>
      <c r="F5" s="5"/>
      <c r="G5" s="5"/>
      <c r="H5" s="3"/>
      <c r="I5" s="5"/>
      <c r="J5" s="3"/>
      <c r="K5" s="3"/>
      <c r="L5" s="3"/>
      <c r="M5" s="5" t="s">
        <v>14</v>
      </c>
      <c r="O5" s="5"/>
      <c r="P5" s="268" t="s">
        <v>535</v>
      </c>
    </row>
    <row r="6" spans="1:18" s="4" customFormat="1">
      <c r="A6" s="1"/>
      <c r="B6" s="9" t="s">
        <v>15</v>
      </c>
      <c r="C6" s="562" t="s">
        <v>4</v>
      </c>
      <c r="D6" s="11" t="s">
        <v>534</v>
      </c>
      <c r="E6" s="1"/>
      <c r="F6" s="1"/>
      <c r="G6" s="3"/>
      <c r="H6" s="3"/>
      <c r="I6" s="3"/>
      <c r="J6" s="3"/>
      <c r="K6" s="3"/>
      <c r="L6" s="3"/>
      <c r="M6" s="5" t="s">
        <v>16</v>
      </c>
      <c r="O6" s="1"/>
      <c r="P6" s="268" t="s">
        <v>536</v>
      </c>
    </row>
    <row r="7" spans="1:18" s="4" customFormat="1">
      <c r="A7" s="1"/>
      <c r="B7" s="9" t="s">
        <v>17</v>
      </c>
      <c r="C7" s="562" t="s">
        <v>4</v>
      </c>
      <c r="D7" s="11" t="s">
        <v>11</v>
      </c>
      <c r="E7" s="1"/>
      <c r="F7" s="1"/>
      <c r="G7" s="3"/>
      <c r="H7" s="3"/>
      <c r="I7" s="3"/>
      <c r="J7" s="3"/>
      <c r="K7" s="3"/>
      <c r="L7" s="3"/>
      <c r="M7" s="5" t="s">
        <v>18</v>
      </c>
      <c r="O7" s="12"/>
      <c r="P7" s="268" t="s">
        <v>10</v>
      </c>
    </row>
    <row r="8" spans="1:18" s="4" customFormat="1">
      <c r="A8" s="1"/>
      <c r="B8" s="9" t="s">
        <v>19</v>
      </c>
      <c r="C8" s="562" t="s">
        <v>4</v>
      </c>
      <c r="D8" s="13">
        <v>2017</v>
      </c>
      <c r="E8" s="1"/>
      <c r="F8" s="1"/>
      <c r="G8" s="3"/>
      <c r="H8" s="3"/>
      <c r="I8" s="3"/>
      <c r="J8" s="3"/>
      <c r="K8" s="3"/>
      <c r="L8" s="5"/>
      <c r="M8" s="3"/>
      <c r="N8" s="1"/>
      <c r="O8" s="1"/>
      <c r="P8" s="1"/>
    </row>
    <row r="9" spans="1:18" ht="13.5" thickBot="1"/>
    <row r="10" spans="1:18" s="4" customFormat="1" ht="11.25" customHeight="1" thickBot="1">
      <c r="A10" s="2154" t="s">
        <v>20</v>
      </c>
      <c r="B10" s="2154" t="s">
        <v>21</v>
      </c>
      <c r="C10" s="2158" t="s">
        <v>22</v>
      </c>
      <c r="D10" s="2174" t="s">
        <v>23</v>
      </c>
      <c r="E10" s="2175"/>
      <c r="F10" s="2176"/>
      <c r="G10" s="2160" t="s">
        <v>24</v>
      </c>
      <c r="H10" s="2161"/>
      <c r="I10" s="2161"/>
      <c r="J10" s="2161"/>
      <c r="K10" s="2161"/>
      <c r="L10" s="2161"/>
      <c r="M10" s="2162"/>
      <c r="N10" s="2174" t="s">
        <v>25</v>
      </c>
      <c r="O10" s="2175"/>
      <c r="P10" s="2176"/>
    </row>
    <row r="11" spans="1:18" s="4" customFormat="1" ht="11.25" customHeight="1" thickBot="1">
      <c r="A11" s="2172"/>
      <c r="B11" s="2172"/>
      <c r="C11" s="2173"/>
      <c r="D11" s="2177"/>
      <c r="E11" s="2178"/>
      <c r="F11" s="2179"/>
      <c r="G11" s="2160" t="s">
        <v>26</v>
      </c>
      <c r="H11" s="2162"/>
      <c r="I11" s="2160" t="s">
        <v>27</v>
      </c>
      <c r="J11" s="2162"/>
      <c r="K11" s="2160" t="s">
        <v>28</v>
      </c>
      <c r="L11" s="2161"/>
      <c r="M11" s="2162"/>
      <c r="N11" s="2177"/>
      <c r="O11" s="2178"/>
      <c r="P11" s="2179"/>
    </row>
    <row r="12" spans="1:18" s="4" customFormat="1" ht="11.25" customHeight="1">
      <c r="A12" s="2172"/>
      <c r="B12" s="2172"/>
      <c r="C12" s="2173"/>
      <c r="D12" s="2154" t="s">
        <v>29</v>
      </c>
      <c r="E12" s="2156" t="s">
        <v>30</v>
      </c>
      <c r="F12" s="2154" t="s">
        <v>31</v>
      </c>
      <c r="G12" s="2154" t="s">
        <v>3</v>
      </c>
      <c r="H12" s="2158" t="s">
        <v>32</v>
      </c>
      <c r="I12" s="2154" t="s">
        <v>3</v>
      </c>
      <c r="J12" s="2154" t="s">
        <v>32</v>
      </c>
      <c r="K12" s="2154" t="s">
        <v>3</v>
      </c>
      <c r="L12" s="2154" t="s">
        <v>32</v>
      </c>
      <c r="M12" s="2154" t="s">
        <v>0</v>
      </c>
      <c r="N12" s="2154" t="s">
        <v>3</v>
      </c>
      <c r="O12" s="2180" t="s">
        <v>32</v>
      </c>
      <c r="P12" s="2154" t="s">
        <v>0</v>
      </c>
    </row>
    <row r="13" spans="1:18" s="4" customFormat="1" ht="11.25" customHeight="1" thickBot="1">
      <c r="A13" s="2155"/>
      <c r="B13" s="2155"/>
      <c r="C13" s="2159"/>
      <c r="D13" s="2155"/>
      <c r="E13" s="2157"/>
      <c r="F13" s="2155"/>
      <c r="G13" s="2155"/>
      <c r="H13" s="2159"/>
      <c r="I13" s="2155"/>
      <c r="J13" s="2155"/>
      <c r="K13" s="2155"/>
      <c r="L13" s="2155"/>
      <c r="M13" s="2155"/>
      <c r="N13" s="2155"/>
      <c r="O13" s="2181"/>
      <c r="P13" s="2155"/>
    </row>
    <row r="14" spans="1:18" s="439" customFormat="1" ht="11.25" customHeight="1">
      <c r="A14" s="541" t="s">
        <v>33</v>
      </c>
      <c r="B14" s="541" t="s">
        <v>1132</v>
      </c>
      <c r="C14" s="563"/>
      <c r="D14" s="545"/>
      <c r="E14" s="441"/>
      <c r="F14" s="442"/>
      <c r="G14" s="701"/>
      <c r="H14" s="564"/>
      <c r="I14" s="436"/>
      <c r="J14" s="456"/>
      <c r="K14" s="275"/>
      <c r="L14" s="457"/>
      <c r="M14" s="276"/>
      <c r="N14" s="275"/>
      <c r="O14" s="441"/>
      <c r="P14" s="276"/>
      <c r="Q14" s="437"/>
    </row>
    <row r="15" spans="1:18" s="14" customFormat="1" ht="11.25" customHeight="1">
      <c r="A15" s="440" t="s">
        <v>35</v>
      </c>
      <c r="B15" s="543" t="s">
        <v>1133</v>
      </c>
      <c r="C15" s="905"/>
      <c r="D15" s="546"/>
      <c r="E15" s="440"/>
      <c r="F15" s="440"/>
      <c r="G15" s="702"/>
      <c r="H15" s="279"/>
      <c r="I15" s="440"/>
      <c r="J15" s="440"/>
      <c r="K15" s="440"/>
      <c r="L15" s="440"/>
      <c r="M15" s="440" t="str">
        <f>+IF(C15=0,"",L15/F15)</f>
        <v/>
      </c>
      <c r="N15" s="440"/>
      <c r="O15" s="440"/>
      <c r="P15" s="440"/>
      <c r="Q15" s="166"/>
      <c r="R15" s="14">
        <v>0.5</v>
      </c>
    </row>
    <row r="16" spans="1:18" s="438" customFormat="1" ht="11.1" customHeight="1">
      <c r="A16" s="539" t="s">
        <v>538</v>
      </c>
      <c r="B16" s="539" t="s">
        <v>1135</v>
      </c>
      <c r="C16" s="472" t="s">
        <v>64</v>
      </c>
      <c r="D16" s="547" t="s">
        <v>1455</v>
      </c>
      <c r="E16" s="535" t="s">
        <v>1772</v>
      </c>
      <c r="F16" s="280">
        <f t="shared" ref="F16:F25" si="0">+ROUND(D16*E16,2)</f>
        <v>2518.1799999999998</v>
      </c>
      <c r="G16" s="458">
        <v>0</v>
      </c>
      <c r="H16" s="538">
        <f t="shared" ref="H16:H26" si="1">G16*E16</f>
        <v>0</v>
      </c>
      <c r="I16" s="566" t="e">
        <f>#REF!</f>
        <v>#REF!</v>
      </c>
      <c r="J16" s="459" t="e">
        <f t="shared" ref="J16:J18" si="2">I16*E16</f>
        <v>#REF!</v>
      </c>
      <c r="K16" s="458" t="e">
        <f t="shared" ref="K16:K26" si="3">G16+I16</f>
        <v>#REF!</v>
      </c>
      <c r="L16" s="460" t="e">
        <f t="shared" ref="L16:L26" si="4">K16*E16</f>
        <v>#REF!</v>
      </c>
      <c r="M16" s="461" t="e">
        <f t="shared" ref="M16:M26" si="5">+IF(C16=0,"",L16/F16)</f>
        <v>#REF!</v>
      </c>
      <c r="N16" s="282" t="e">
        <f t="shared" ref="N16:N26" si="6">D16-K16</f>
        <v>#REF!</v>
      </c>
      <c r="O16" s="283" t="e">
        <f t="shared" ref="O16:O26" si="7">ROUND((N16*E16),2)</f>
        <v>#REF!</v>
      </c>
      <c r="P16" s="281" t="e">
        <f t="shared" ref="P16:P26" si="8">+IF(F16=0,"",O16/F16)</f>
        <v>#REF!</v>
      </c>
      <c r="Q16" s="437"/>
    </row>
    <row r="17" spans="1:19" s="439" customFormat="1" ht="11.25" customHeight="1">
      <c r="A17" s="539" t="s">
        <v>539</v>
      </c>
      <c r="B17" s="539" t="s">
        <v>1921</v>
      </c>
      <c r="C17" s="548" t="s">
        <v>64</v>
      </c>
      <c r="D17" s="547" t="s">
        <v>1455</v>
      </c>
      <c r="E17" s="535" t="s">
        <v>1773</v>
      </c>
      <c r="F17" s="280">
        <f t="shared" si="0"/>
        <v>566.4</v>
      </c>
      <c r="G17" s="703">
        <v>0</v>
      </c>
      <c r="H17" s="538">
        <f t="shared" si="1"/>
        <v>0</v>
      </c>
      <c r="I17" s="566" t="e">
        <f>#REF!</f>
        <v>#REF!</v>
      </c>
      <c r="J17" s="459" t="e">
        <f t="shared" si="2"/>
        <v>#REF!</v>
      </c>
      <c r="K17" s="458" t="e">
        <f t="shared" si="3"/>
        <v>#REF!</v>
      </c>
      <c r="L17" s="460" t="e">
        <f t="shared" si="4"/>
        <v>#REF!</v>
      </c>
      <c r="M17" s="461" t="e">
        <f t="shared" si="5"/>
        <v>#REF!</v>
      </c>
      <c r="N17" s="282" t="e">
        <f t="shared" si="6"/>
        <v>#REF!</v>
      </c>
      <c r="O17" s="283" t="e">
        <f t="shared" si="7"/>
        <v>#REF!</v>
      </c>
      <c r="P17" s="281" t="e">
        <f t="shared" si="8"/>
        <v>#REF!</v>
      </c>
      <c r="Q17" s="437"/>
    </row>
    <row r="18" spans="1:19" ht="11.25" customHeight="1">
      <c r="A18" s="539" t="s">
        <v>540</v>
      </c>
      <c r="B18" s="539" t="s">
        <v>1137</v>
      </c>
      <c r="C18" s="472" t="s">
        <v>64</v>
      </c>
      <c r="D18" s="547" t="s">
        <v>1455</v>
      </c>
      <c r="E18" s="535" t="s">
        <v>1774</v>
      </c>
      <c r="F18" s="280">
        <f t="shared" si="0"/>
        <v>1180</v>
      </c>
      <c r="G18" s="458">
        <v>0</v>
      </c>
      <c r="H18" s="538">
        <f t="shared" si="1"/>
        <v>0</v>
      </c>
      <c r="I18" s="566" t="e">
        <f>#REF!</f>
        <v>#REF!</v>
      </c>
      <c r="J18" s="459" t="e">
        <f t="shared" si="2"/>
        <v>#REF!</v>
      </c>
      <c r="K18" s="458" t="e">
        <f t="shared" si="3"/>
        <v>#REF!</v>
      </c>
      <c r="L18" s="460" t="e">
        <f t="shared" si="4"/>
        <v>#REF!</v>
      </c>
      <c r="M18" s="461" t="e">
        <f t="shared" si="5"/>
        <v>#REF!</v>
      </c>
      <c r="N18" s="282" t="e">
        <f t="shared" si="6"/>
        <v>#REF!</v>
      </c>
      <c r="O18" s="283" t="e">
        <f t="shared" si="7"/>
        <v>#REF!</v>
      </c>
      <c r="P18" s="281" t="e">
        <f t="shared" si="8"/>
        <v>#REF!</v>
      </c>
      <c r="Q18" s="166"/>
      <c r="R18" s="16">
        <v>26.52</v>
      </c>
    </row>
    <row r="19" spans="1:19" s="496" customFormat="1" ht="11.25" customHeight="1">
      <c r="A19" s="440" t="s">
        <v>551</v>
      </c>
      <c r="B19" s="543" t="s">
        <v>1147</v>
      </c>
      <c r="C19" s="605"/>
      <c r="D19" s="606"/>
      <c r="E19" s="607"/>
      <c r="F19" s="608">
        <f t="shared" si="0"/>
        <v>0</v>
      </c>
      <c r="G19" s="609">
        <v>0</v>
      </c>
      <c r="H19" s="610">
        <f t="shared" si="1"/>
        <v>0</v>
      </c>
      <c r="I19" s="566"/>
      <c r="J19" s="610"/>
      <c r="K19" s="609">
        <f t="shared" si="3"/>
        <v>0</v>
      </c>
      <c r="L19" s="611">
        <f t="shared" si="4"/>
        <v>0</v>
      </c>
      <c r="M19" s="612" t="str">
        <f t="shared" si="5"/>
        <v/>
      </c>
      <c r="N19" s="613">
        <f t="shared" si="6"/>
        <v>0</v>
      </c>
      <c r="O19" s="614">
        <f t="shared" si="7"/>
        <v>0</v>
      </c>
      <c r="P19" s="615" t="str">
        <f t="shared" si="8"/>
        <v/>
      </c>
      <c r="Q19" s="166"/>
      <c r="R19" s="496">
        <v>216.27539999999999</v>
      </c>
    </row>
    <row r="20" spans="1:19" s="496" customFormat="1" ht="11.25" customHeight="1">
      <c r="A20" s="539" t="s">
        <v>552</v>
      </c>
      <c r="B20" s="539" t="s">
        <v>1148</v>
      </c>
      <c r="C20" s="472" t="s">
        <v>64</v>
      </c>
      <c r="D20" s="547" t="s">
        <v>1455</v>
      </c>
      <c r="E20" s="535" t="s">
        <v>1775</v>
      </c>
      <c r="F20" s="280">
        <f t="shared" si="0"/>
        <v>3245</v>
      </c>
      <c r="G20" s="458">
        <v>0</v>
      </c>
      <c r="H20" s="538">
        <f t="shared" si="1"/>
        <v>0</v>
      </c>
      <c r="I20" s="566" t="e">
        <f>#REF!</f>
        <v>#REF!</v>
      </c>
      <c r="J20" s="459" t="e">
        <f>I20*E20</f>
        <v>#REF!</v>
      </c>
      <c r="K20" s="458" t="e">
        <f t="shared" si="3"/>
        <v>#REF!</v>
      </c>
      <c r="L20" s="460" t="e">
        <f t="shared" si="4"/>
        <v>#REF!</v>
      </c>
      <c r="M20" s="461" t="e">
        <f t="shared" si="5"/>
        <v>#REF!</v>
      </c>
      <c r="N20" s="282" t="e">
        <f t="shared" si="6"/>
        <v>#REF!</v>
      </c>
      <c r="O20" s="283" t="e">
        <f t="shared" si="7"/>
        <v>#REF!</v>
      </c>
      <c r="P20" s="281" t="e">
        <f t="shared" si="8"/>
        <v>#REF!</v>
      </c>
      <c r="Q20" s="166"/>
      <c r="R20" s="496">
        <v>117.32400000000001</v>
      </c>
      <c r="S20" s="496">
        <v>-75.556999999999988</v>
      </c>
    </row>
    <row r="21" spans="1:19" s="496" customFormat="1" ht="11.25" customHeight="1">
      <c r="A21" s="539" t="s">
        <v>553</v>
      </c>
      <c r="B21" s="539" t="s">
        <v>1149</v>
      </c>
      <c r="C21" s="472" t="s">
        <v>36</v>
      </c>
      <c r="D21" s="547" t="s">
        <v>1459</v>
      </c>
      <c r="E21" s="535" t="s">
        <v>1776</v>
      </c>
      <c r="F21" s="280">
        <f t="shared" si="0"/>
        <v>11221.8</v>
      </c>
      <c r="G21" s="458">
        <v>15</v>
      </c>
      <c r="H21" s="538">
        <f t="shared" si="1"/>
        <v>5610.9</v>
      </c>
      <c r="I21" s="566" t="e">
        <f>#REF!</f>
        <v>#REF!</v>
      </c>
      <c r="J21" s="459" t="e">
        <f t="shared" ref="J21:J25" si="9">I21*E21</f>
        <v>#REF!</v>
      </c>
      <c r="K21" s="458" t="e">
        <f t="shared" si="3"/>
        <v>#REF!</v>
      </c>
      <c r="L21" s="460" t="e">
        <f t="shared" si="4"/>
        <v>#REF!</v>
      </c>
      <c r="M21" s="461" t="e">
        <f t="shared" si="5"/>
        <v>#REF!</v>
      </c>
      <c r="N21" s="282" t="e">
        <f t="shared" si="6"/>
        <v>#REF!</v>
      </c>
      <c r="O21" s="283" t="e">
        <f t="shared" si="7"/>
        <v>#REF!</v>
      </c>
      <c r="P21" s="281" t="e">
        <f t="shared" si="8"/>
        <v>#REF!</v>
      </c>
      <c r="Q21" s="166"/>
      <c r="R21" s="496">
        <v>107.35898399999999</v>
      </c>
      <c r="S21" s="496">
        <v>-25.590000000000018</v>
      </c>
    </row>
    <row r="22" spans="1:19" ht="11.25" customHeight="1">
      <c r="A22" s="539" t="s">
        <v>554</v>
      </c>
      <c r="B22" s="539" t="s">
        <v>1150</v>
      </c>
      <c r="C22" s="472" t="s">
        <v>64</v>
      </c>
      <c r="D22" s="547" t="s">
        <v>1455</v>
      </c>
      <c r="E22" s="535" t="s">
        <v>1777</v>
      </c>
      <c r="F22" s="280">
        <f t="shared" si="0"/>
        <v>2380</v>
      </c>
      <c r="G22" s="458">
        <v>0.5</v>
      </c>
      <c r="H22" s="538">
        <f t="shared" si="1"/>
        <v>1190</v>
      </c>
      <c r="I22" s="566" t="e">
        <f>#REF!</f>
        <v>#REF!</v>
      </c>
      <c r="J22" s="459" t="e">
        <f t="shared" si="9"/>
        <v>#REF!</v>
      </c>
      <c r="K22" s="458" t="e">
        <f t="shared" si="3"/>
        <v>#REF!</v>
      </c>
      <c r="L22" s="460" t="e">
        <f t="shared" si="4"/>
        <v>#REF!</v>
      </c>
      <c r="M22" s="461" t="e">
        <f t="shared" si="5"/>
        <v>#REF!</v>
      </c>
      <c r="N22" s="282" t="e">
        <f t="shared" si="6"/>
        <v>#REF!</v>
      </c>
      <c r="O22" s="283" t="e">
        <f t="shared" si="7"/>
        <v>#REF!</v>
      </c>
      <c r="P22" s="281" t="e">
        <f t="shared" si="8"/>
        <v>#REF!</v>
      </c>
      <c r="Q22" s="166"/>
      <c r="R22" s="16">
        <v>3468.0816000000004</v>
      </c>
      <c r="S22" s="16">
        <v>-665.18000000000029</v>
      </c>
    </row>
    <row r="23" spans="1:19" s="496" customFormat="1" ht="11.25" customHeight="1">
      <c r="A23" s="539" t="s">
        <v>555</v>
      </c>
      <c r="B23" s="539" t="s">
        <v>1151</v>
      </c>
      <c r="C23" s="472" t="s">
        <v>64</v>
      </c>
      <c r="D23" s="547" t="s">
        <v>1455</v>
      </c>
      <c r="E23" s="535" t="s">
        <v>1778</v>
      </c>
      <c r="F23" s="280">
        <f t="shared" si="0"/>
        <v>1104</v>
      </c>
      <c r="G23" s="458">
        <v>0.5</v>
      </c>
      <c r="H23" s="538">
        <f t="shared" si="1"/>
        <v>552</v>
      </c>
      <c r="I23" s="566" t="e">
        <f>#REF!</f>
        <v>#REF!</v>
      </c>
      <c r="J23" s="459" t="e">
        <f t="shared" si="9"/>
        <v>#REF!</v>
      </c>
      <c r="K23" s="458" t="e">
        <f t="shared" si="3"/>
        <v>#REF!</v>
      </c>
      <c r="L23" s="460" t="e">
        <f t="shared" si="4"/>
        <v>#REF!</v>
      </c>
      <c r="M23" s="461" t="e">
        <f t="shared" si="5"/>
        <v>#REF!</v>
      </c>
      <c r="N23" s="282" t="e">
        <f t="shared" si="6"/>
        <v>#REF!</v>
      </c>
      <c r="O23" s="283" t="e">
        <f t="shared" si="7"/>
        <v>#REF!</v>
      </c>
      <c r="P23" s="281" t="e">
        <f t="shared" si="8"/>
        <v>#REF!</v>
      </c>
      <c r="Q23" s="166"/>
      <c r="R23" s="497">
        <v>72</v>
      </c>
      <c r="S23" s="496">
        <v>-110.48240000000001</v>
      </c>
    </row>
    <row r="24" spans="1:19" s="496" customFormat="1" ht="11.25" customHeight="1">
      <c r="A24" s="539" t="s">
        <v>556</v>
      </c>
      <c r="B24" s="539" t="s">
        <v>1152</v>
      </c>
      <c r="C24" s="472" t="s">
        <v>64</v>
      </c>
      <c r="D24" s="547" t="s">
        <v>1455</v>
      </c>
      <c r="E24" s="535" t="s">
        <v>1779</v>
      </c>
      <c r="F24" s="280">
        <f t="shared" si="0"/>
        <v>3950</v>
      </c>
      <c r="G24" s="458">
        <v>0</v>
      </c>
      <c r="H24" s="538">
        <f t="shared" si="1"/>
        <v>0</v>
      </c>
      <c r="I24" s="566" t="e">
        <f>#REF!</f>
        <v>#REF!</v>
      </c>
      <c r="J24" s="459" t="e">
        <f t="shared" si="9"/>
        <v>#REF!</v>
      </c>
      <c r="K24" s="458" t="e">
        <f t="shared" si="3"/>
        <v>#REF!</v>
      </c>
      <c r="L24" s="460" t="e">
        <f t="shared" si="4"/>
        <v>#REF!</v>
      </c>
      <c r="M24" s="461" t="e">
        <f t="shared" si="5"/>
        <v>#REF!</v>
      </c>
      <c r="N24" s="282" t="e">
        <f t="shared" si="6"/>
        <v>#REF!</v>
      </c>
      <c r="O24" s="283" t="e">
        <f t="shared" si="7"/>
        <v>#REF!</v>
      </c>
      <c r="P24" s="281" t="e">
        <f t="shared" si="8"/>
        <v>#REF!</v>
      </c>
      <c r="Q24" s="166"/>
      <c r="R24" s="496">
        <v>20.159999999999997</v>
      </c>
      <c r="S24" s="496">
        <v>-5.2679999999999971</v>
      </c>
    </row>
    <row r="25" spans="1:19" ht="11.25" customHeight="1" thickBot="1">
      <c r="A25" s="539" t="s">
        <v>557</v>
      </c>
      <c r="B25" s="539" t="s">
        <v>1153</v>
      </c>
      <c r="C25" s="472" t="s">
        <v>64</v>
      </c>
      <c r="D25" s="547" t="s">
        <v>1455</v>
      </c>
      <c r="E25" s="535" t="s">
        <v>1780</v>
      </c>
      <c r="F25" s="280">
        <f t="shared" si="0"/>
        <v>4966.95</v>
      </c>
      <c r="G25" s="458">
        <v>0</v>
      </c>
      <c r="H25" s="538">
        <f t="shared" si="1"/>
        <v>0</v>
      </c>
      <c r="I25" s="566" t="e">
        <f>#REF!</f>
        <v>#REF!</v>
      </c>
      <c r="J25" s="459" t="e">
        <f t="shared" si="9"/>
        <v>#REF!</v>
      </c>
      <c r="K25" s="458" t="e">
        <f t="shared" si="3"/>
        <v>#REF!</v>
      </c>
      <c r="L25" s="460" t="e">
        <f t="shared" si="4"/>
        <v>#REF!</v>
      </c>
      <c r="M25" s="461" t="e">
        <f t="shared" si="5"/>
        <v>#REF!</v>
      </c>
      <c r="N25" s="282" t="e">
        <f t="shared" si="6"/>
        <v>#REF!</v>
      </c>
      <c r="O25" s="283" t="e">
        <f t="shared" si="7"/>
        <v>#REF!</v>
      </c>
      <c r="P25" s="281" t="e">
        <f t="shared" si="8"/>
        <v>#REF!</v>
      </c>
      <c r="Q25" s="166"/>
      <c r="R25" s="16">
        <v>18.619199999999999</v>
      </c>
      <c r="S25" s="16">
        <v>-1.1647999999999996</v>
      </c>
    </row>
    <row r="26" spans="1:19" s="496" customFormat="1" ht="11.25" customHeight="1">
      <c r="A26" s="541" t="s">
        <v>42</v>
      </c>
      <c r="B26" s="541" t="s">
        <v>1154</v>
      </c>
      <c r="C26" s="605"/>
      <c r="D26" s="606"/>
      <c r="E26" s="607"/>
      <c r="F26" s="608"/>
      <c r="G26" s="609">
        <v>0</v>
      </c>
      <c r="H26" s="610">
        <f t="shared" si="1"/>
        <v>0</v>
      </c>
      <c r="I26" s="566"/>
      <c r="J26" s="538"/>
      <c r="K26" s="609">
        <f t="shared" si="3"/>
        <v>0</v>
      </c>
      <c r="L26" s="611">
        <f t="shared" si="4"/>
        <v>0</v>
      </c>
      <c r="M26" s="612" t="str">
        <f t="shared" si="5"/>
        <v/>
      </c>
      <c r="N26" s="613">
        <f t="shared" si="6"/>
        <v>0</v>
      </c>
      <c r="O26" s="614">
        <f t="shared" si="7"/>
        <v>0</v>
      </c>
      <c r="P26" s="615" t="str">
        <f t="shared" si="8"/>
        <v/>
      </c>
      <c r="Q26" s="166"/>
      <c r="R26" s="496">
        <v>30.169799999999999</v>
      </c>
    </row>
    <row r="27" spans="1:19" ht="11.25" customHeight="1">
      <c r="A27" s="440" t="s">
        <v>44</v>
      </c>
      <c r="B27" s="543" t="s">
        <v>1202</v>
      </c>
      <c r="C27" s="605"/>
      <c r="D27" s="606"/>
      <c r="E27" s="607"/>
      <c r="F27" s="608">
        <f t="shared" ref="F27:F43" si="10">+ROUND(D27*E27,2)</f>
        <v>0</v>
      </c>
      <c r="G27" s="609">
        <v>0</v>
      </c>
      <c r="H27" s="610">
        <f t="shared" ref="H27:H43" si="11">G27*E27</f>
        <v>0</v>
      </c>
      <c r="I27" s="566"/>
      <c r="J27" s="610"/>
      <c r="K27" s="609">
        <f t="shared" ref="K27:K43" si="12">G27+I27</f>
        <v>0</v>
      </c>
      <c r="L27" s="611">
        <f t="shared" ref="L27:L43" si="13">K27*E27</f>
        <v>0</v>
      </c>
      <c r="M27" s="612" t="str">
        <f t="shared" ref="M27:M43" si="14">+IF(C27=0,"",L27/F27)</f>
        <v/>
      </c>
      <c r="N27" s="613">
        <f t="shared" ref="N27:N43" si="15">D27-K27</f>
        <v>0</v>
      </c>
      <c r="O27" s="614">
        <f t="shared" ref="O27:O43" si="16">ROUND((N27*E27),2)</f>
        <v>0</v>
      </c>
      <c r="P27" s="615" t="str">
        <f t="shared" ref="P27:P43" si="17">+IF(F27=0,"",O27/F27)</f>
        <v/>
      </c>
      <c r="Q27" s="166"/>
      <c r="R27" s="16">
        <v>0</v>
      </c>
    </row>
    <row r="28" spans="1:19" ht="11.25" customHeight="1">
      <c r="A28" s="542" t="s">
        <v>54</v>
      </c>
      <c r="B28" s="542" t="s">
        <v>46</v>
      </c>
      <c r="C28" s="605"/>
      <c r="D28" s="606"/>
      <c r="E28" s="607"/>
      <c r="F28" s="608">
        <f t="shared" si="10"/>
        <v>0</v>
      </c>
      <c r="G28" s="609">
        <v>0</v>
      </c>
      <c r="H28" s="610">
        <f t="shared" si="11"/>
        <v>0</v>
      </c>
      <c r="I28" s="566"/>
      <c r="J28" s="610"/>
      <c r="K28" s="609">
        <f t="shared" si="12"/>
        <v>0</v>
      </c>
      <c r="L28" s="611">
        <f t="shared" si="13"/>
        <v>0</v>
      </c>
      <c r="M28" s="612" t="str">
        <f t="shared" si="14"/>
        <v/>
      </c>
      <c r="N28" s="613">
        <f t="shared" si="15"/>
        <v>0</v>
      </c>
      <c r="O28" s="614">
        <f t="shared" si="16"/>
        <v>0</v>
      </c>
      <c r="P28" s="615" t="str">
        <f t="shared" si="17"/>
        <v/>
      </c>
      <c r="Q28" s="166"/>
      <c r="R28" s="16">
        <v>0</v>
      </c>
    </row>
    <row r="29" spans="1:19" s="438" customFormat="1" ht="11.25" customHeight="1">
      <c r="A29" s="542" t="s">
        <v>616</v>
      </c>
      <c r="B29" s="542" t="s">
        <v>1169</v>
      </c>
      <c r="C29" s="605"/>
      <c r="D29" s="606"/>
      <c r="E29" s="607"/>
      <c r="F29" s="608">
        <f t="shared" si="10"/>
        <v>0</v>
      </c>
      <c r="G29" s="609">
        <v>0</v>
      </c>
      <c r="H29" s="610">
        <f t="shared" si="11"/>
        <v>0</v>
      </c>
      <c r="I29" s="566"/>
      <c r="J29" s="610"/>
      <c r="K29" s="609">
        <f t="shared" si="12"/>
        <v>0</v>
      </c>
      <c r="L29" s="611">
        <f t="shared" si="13"/>
        <v>0</v>
      </c>
      <c r="M29" s="612" t="str">
        <f t="shared" si="14"/>
        <v/>
      </c>
      <c r="N29" s="613">
        <f t="shared" si="15"/>
        <v>0</v>
      </c>
      <c r="O29" s="614">
        <f t="shared" si="16"/>
        <v>0</v>
      </c>
      <c r="P29" s="615" t="str">
        <f t="shared" si="17"/>
        <v/>
      </c>
      <c r="Q29" s="437"/>
      <c r="R29" s="438" t="s">
        <v>83</v>
      </c>
    </row>
    <row r="30" spans="1:19" s="438" customFormat="1" ht="11.25" customHeight="1">
      <c r="A30" s="539" t="s">
        <v>620</v>
      </c>
      <c r="B30" s="539" t="s">
        <v>1173</v>
      </c>
      <c r="C30" s="605"/>
      <c r="D30" s="606"/>
      <c r="E30" s="607"/>
      <c r="F30" s="608">
        <f t="shared" si="10"/>
        <v>0</v>
      </c>
      <c r="G30" s="609">
        <v>0</v>
      </c>
      <c r="H30" s="610">
        <f t="shared" si="11"/>
        <v>0</v>
      </c>
      <c r="I30" s="566"/>
      <c r="J30" s="610"/>
      <c r="K30" s="609">
        <f t="shared" si="12"/>
        <v>0</v>
      </c>
      <c r="L30" s="611">
        <f t="shared" si="13"/>
        <v>0</v>
      </c>
      <c r="M30" s="612" t="str">
        <f t="shared" si="14"/>
        <v/>
      </c>
      <c r="N30" s="613">
        <f t="shared" si="15"/>
        <v>0</v>
      </c>
      <c r="O30" s="614">
        <f t="shared" si="16"/>
        <v>0</v>
      </c>
      <c r="P30" s="615" t="str">
        <f t="shared" si="17"/>
        <v/>
      </c>
      <c r="Q30" s="437"/>
      <c r="R30" s="438" t="s">
        <v>83</v>
      </c>
    </row>
    <row r="31" spans="1:19" ht="11.25" customHeight="1">
      <c r="A31" s="539" t="s">
        <v>621</v>
      </c>
      <c r="B31" s="539" t="s">
        <v>1207</v>
      </c>
      <c r="C31" s="472" t="s">
        <v>40</v>
      </c>
      <c r="D31" s="547" t="s">
        <v>1505</v>
      </c>
      <c r="E31" s="535" t="s">
        <v>1785</v>
      </c>
      <c r="F31" s="280">
        <f t="shared" si="10"/>
        <v>1736.9</v>
      </c>
      <c r="G31" s="458">
        <v>0</v>
      </c>
      <c r="H31" s="538">
        <f t="shared" si="11"/>
        <v>0</v>
      </c>
      <c r="I31" s="566" t="e">
        <f>#REF!</f>
        <v>#REF!</v>
      </c>
      <c r="J31" s="459" t="e">
        <f t="shared" ref="J31:J35" si="18">I31*E31</f>
        <v>#REF!</v>
      </c>
      <c r="K31" s="458" t="e">
        <f t="shared" si="12"/>
        <v>#REF!</v>
      </c>
      <c r="L31" s="460" t="e">
        <f t="shared" si="13"/>
        <v>#REF!</v>
      </c>
      <c r="M31" s="461" t="e">
        <f t="shared" si="14"/>
        <v>#REF!</v>
      </c>
      <c r="N31" s="282" t="e">
        <f t="shared" si="15"/>
        <v>#REF!</v>
      </c>
      <c r="O31" s="283" t="e">
        <f t="shared" si="16"/>
        <v>#REF!</v>
      </c>
      <c r="P31" s="281" t="e">
        <f t="shared" si="17"/>
        <v>#REF!</v>
      </c>
      <c r="Q31" s="166"/>
      <c r="R31" s="16">
        <v>0</v>
      </c>
    </row>
    <row r="32" spans="1:19" s="14" customFormat="1" ht="11.25" customHeight="1">
      <c r="A32" s="539" t="s">
        <v>622</v>
      </c>
      <c r="B32" s="539" t="s">
        <v>1175</v>
      </c>
      <c r="C32" s="548" t="s">
        <v>37</v>
      </c>
      <c r="D32" s="547" t="s">
        <v>1506</v>
      </c>
      <c r="E32" s="535" t="s">
        <v>1787</v>
      </c>
      <c r="F32" s="280">
        <f t="shared" si="10"/>
        <v>1674.14</v>
      </c>
      <c r="G32" s="458">
        <v>0</v>
      </c>
      <c r="H32" s="538">
        <f t="shared" si="11"/>
        <v>0</v>
      </c>
      <c r="I32" s="566" t="e">
        <f>#REF!</f>
        <v>#REF!</v>
      </c>
      <c r="J32" s="459" t="e">
        <f t="shared" si="18"/>
        <v>#REF!</v>
      </c>
      <c r="K32" s="458" t="e">
        <f t="shared" si="12"/>
        <v>#REF!</v>
      </c>
      <c r="L32" s="460" t="e">
        <f t="shared" si="13"/>
        <v>#REF!</v>
      </c>
      <c r="M32" s="461" t="e">
        <f t="shared" si="14"/>
        <v>#REF!</v>
      </c>
      <c r="N32" s="282" t="e">
        <f t="shared" si="15"/>
        <v>#REF!</v>
      </c>
      <c r="O32" s="283" t="e">
        <f t="shared" si="16"/>
        <v>#REF!</v>
      </c>
      <c r="P32" s="281" t="e">
        <f t="shared" si="17"/>
        <v>#REF!</v>
      </c>
      <c r="Q32" s="166"/>
      <c r="R32" s="14">
        <v>0</v>
      </c>
    </row>
    <row r="33" spans="1:18" ht="11.25" customHeight="1">
      <c r="A33" s="539" t="s">
        <v>624</v>
      </c>
      <c r="B33" s="539" t="s">
        <v>1177</v>
      </c>
      <c r="C33" s="605"/>
      <c r="D33" s="606"/>
      <c r="E33" s="607"/>
      <c r="F33" s="608">
        <f t="shared" si="10"/>
        <v>0</v>
      </c>
      <c r="G33" s="609">
        <v>0</v>
      </c>
      <c r="H33" s="610">
        <f t="shared" si="11"/>
        <v>0</v>
      </c>
      <c r="I33" s="566"/>
      <c r="J33" s="610"/>
      <c r="K33" s="609">
        <f t="shared" si="12"/>
        <v>0</v>
      </c>
      <c r="L33" s="611">
        <f t="shared" si="13"/>
        <v>0</v>
      </c>
      <c r="M33" s="612" t="str">
        <f t="shared" si="14"/>
        <v/>
      </c>
      <c r="N33" s="613">
        <f t="shared" si="15"/>
        <v>0</v>
      </c>
      <c r="O33" s="614">
        <f t="shared" si="16"/>
        <v>0</v>
      </c>
      <c r="P33" s="615" t="str">
        <f t="shared" si="17"/>
        <v/>
      </c>
      <c r="Q33" s="166"/>
      <c r="R33" s="16">
        <v>0</v>
      </c>
    </row>
    <row r="34" spans="1:18" s="438" customFormat="1" ht="11.25" customHeight="1">
      <c r="A34" s="539" t="s">
        <v>625</v>
      </c>
      <c r="B34" s="539" t="s">
        <v>1208</v>
      </c>
      <c r="C34" s="472" t="s">
        <v>40</v>
      </c>
      <c r="D34" s="547" t="s">
        <v>1508</v>
      </c>
      <c r="E34" s="535" t="s">
        <v>1788</v>
      </c>
      <c r="F34" s="280">
        <f t="shared" si="10"/>
        <v>3376.8</v>
      </c>
      <c r="G34" s="458">
        <v>0</v>
      </c>
      <c r="H34" s="538">
        <f t="shared" si="11"/>
        <v>0</v>
      </c>
      <c r="I34" s="566" t="e">
        <f>#REF!</f>
        <v>#REF!</v>
      </c>
      <c r="J34" s="459" t="e">
        <f t="shared" si="18"/>
        <v>#REF!</v>
      </c>
      <c r="K34" s="458" t="e">
        <f t="shared" si="12"/>
        <v>#REF!</v>
      </c>
      <c r="L34" s="460" t="e">
        <f t="shared" si="13"/>
        <v>#REF!</v>
      </c>
      <c r="M34" s="461" t="e">
        <f t="shared" si="14"/>
        <v>#REF!</v>
      </c>
      <c r="N34" s="282" t="e">
        <f t="shared" si="15"/>
        <v>#REF!</v>
      </c>
      <c r="O34" s="283" t="e">
        <f t="shared" si="16"/>
        <v>#REF!</v>
      </c>
      <c r="P34" s="281" t="e">
        <f t="shared" si="17"/>
        <v>#REF!</v>
      </c>
      <c r="Q34" s="437"/>
      <c r="R34" s="438" t="s">
        <v>83</v>
      </c>
    </row>
    <row r="35" spans="1:18" ht="11.25" customHeight="1">
      <c r="A35" s="539" t="s">
        <v>626</v>
      </c>
      <c r="B35" s="539" t="s">
        <v>1179</v>
      </c>
      <c r="C35" s="472" t="s">
        <v>37</v>
      </c>
      <c r="D35" s="547" t="s">
        <v>1509</v>
      </c>
      <c r="E35" s="535" t="s">
        <v>1789</v>
      </c>
      <c r="F35" s="280">
        <f t="shared" si="10"/>
        <v>4244.54</v>
      </c>
      <c r="G35" s="458">
        <v>0</v>
      </c>
      <c r="H35" s="538">
        <f t="shared" si="11"/>
        <v>0</v>
      </c>
      <c r="I35" s="566" t="e">
        <f>#REF!</f>
        <v>#REF!</v>
      </c>
      <c r="J35" s="459" t="e">
        <f t="shared" si="18"/>
        <v>#REF!</v>
      </c>
      <c r="K35" s="458" t="e">
        <f t="shared" si="12"/>
        <v>#REF!</v>
      </c>
      <c r="L35" s="460" t="e">
        <f t="shared" si="13"/>
        <v>#REF!</v>
      </c>
      <c r="M35" s="461" t="e">
        <f t="shared" si="14"/>
        <v>#REF!</v>
      </c>
      <c r="N35" s="282" t="e">
        <f t="shared" si="15"/>
        <v>#REF!</v>
      </c>
      <c r="O35" s="283" t="e">
        <f t="shared" si="16"/>
        <v>#REF!</v>
      </c>
      <c r="P35" s="281" t="e">
        <f t="shared" si="17"/>
        <v>#REF!</v>
      </c>
      <c r="Q35" s="166"/>
      <c r="R35" s="16">
        <v>2</v>
      </c>
    </row>
    <row r="36" spans="1:18" ht="11.25" customHeight="1">
      <c r="A36" s="539" t="s">
        <v>632</v>
      </c>
      <c r="B36" s="539" t="s">
        <v>1185</v>
      </c>
      <c r="C36" s="605"/>
      <c r="D36" s="606"/>
      <c r="E36" s="607"/>
      <c r="F36" s="608">
        <f t="shared" si="10"/>
        <v>0</v>
      </c>
      <c r="G36" s="609">
        <v>0</v>
      </c>
      <c r="H36" s="610">
        <f t="shared" si="11"/>
        <v>0</v>
      </c>
      <c r="I36" s="566"/>
      <c r="J36" s="610"/>
      <c r="K36" s="609">
        <f t="shared" si="12"/>
        <v>0</v>
      </c>
      <c r="L36" s="611">
        <f t="shared" si="13"/>
        <v>0</v>
      </c>
      <c r="M36" s="612" t="str">
        <f t="shared" si="14"/>
        <v/>
      </c>
      <c r="N36" s="613">
        <f t="shared" si="15"/>
        <v>0</v>
      </c>
      <c r="O36" s="614">
        <f t="shared" si="16"/>
        <v>0</v>
      </c>
      <c r="P36" s="615" t="str">
        <f t="shared" si="17"/>
        <v/>
      </c>
      <c r="Q36" s="166"/>
      <c r="R36" s="16">
        <v>0</v>
      </c>
    </row>
    <row r="37" spans="1:18" ht="11.25" customHeight="1">
      <c r="A37" s="539" t="s">
        <v>634</v>
      </c>
      <c r="B37" s="539" t="s">
        <v>1187</v>
      </c>
      <c r="C37" s="472" t="s">
        <v>37</v>
      </c>
      <c r="D37" s="547" t="s">
        <v>1515</v>
      </c>
      <c r="E37" s="535" t="s">
        <v>1791</v>
      </c>
      <c r="F37" s="280">
        <f t="shared" si="10"/>
        <v>7391.72</v>
      </c>
      <c r="G37" s="458">
        <v>0</v>
      </c>
      <c r="H37" s="538">
        <f t="shared" si="11"/>
        <v>0</v>
      </c>
      <c r="I37" s="566" t="e">
        <f>#REF!</f>
        <v>#REF!</v>
      </c>
      <c r="J37" s="459" t="e">
        <f t="shared" ref="J37:J42" si="19">I37*E37</f>
        <v>#REF!</v>
      </c>
      <c r="K37" s="458" t="e">
        <f t="shared" si="12"/>
        <v>#REF!</v>
      </c>
      <c r="L37" s="460" t="e">
        <f t="shared" si="13"/>
        <v>#REF!</v>
      </c>
      <c r="M37" s="461" t="e">
        <f t="shared" si="14"/>
        <v>#REF!</v>
      </c>
      <c r="N37" s="282" t="e">
        <f t="shared" si="15"/>
        <v>#REF!</v>
      </c>
      <c r="O37" s="283" t="e">
        <f t="shared" si="16"/>
        <v>#REF!</v>
      </c>
      <c r="P37" s="281" t="e">
        <f t="shared" si="17"/>
        <v>#REF!</v>
      </c>
      <c r="Q37" s="166"/>
      <c r="R37" s="16">
        <v>0</v>
      </c>
    </row>
    <row r="38" spans="1:18" ht="11.25" customHeight="1">
      <c r="A38" s="539" t="s">
        <v>635</v>
      </c>
      <c r="B38" s="539" t="s">
        <v>1188</v>
      </c>
      <c r="C38" s="472" t="s">
        <v>48</v>
      </c>
      <c r="D38" s="547" t="s">
        <v>1516</v>
      </c>
      <c r="E38" s="535" t="s">
        <v>1786</v>
      </c>
      <c r="F38" s="280">
        <f t="shared" si="10"/>
        <v>6944.62</v>
      </c>
      <c r="G38" s="458">
        <v>0</v>
      </c>
      <c r="H38" s="538">
        <f t="shared" si="11"/>
        <v>0</v>
      </c>
      <c r="I38" s="566" t="e">
        <f>#REF!</f>
        <v>#REF!</v>
      </c>
      <c r="J38" s="459" t="e">
        <f t="shared" si="19"/>
        <v>#REF!</v>
      </c>
      <c r="K38" s="458" t="e">
        <f t="shared" si="12"/>
        <v>#REF!</v>
      </c>
      <c r="L38" s="460" t="e">
        <f t="shared" si="13"/>
        <v>#REF!</v>
      </c>
      <c r="M38" s="461" t="e">
        <f t="shared" si="14"/>
        <v>#REF!</v>
      </c>
      <c r="N38" s="282" t="e">
        <f t="shared" si="15"/>
        <v>#REF!</v>
      </c>
      <c r="O38" s="283" t="e">
        <f t="shared" si="16"/>
        <v>#REF!</v>
      </c>
      <c r="P38" s="281" t="e">
        <f t="shared" si="17"/>
        <v>#REF!</v>
      </c>
      <c r="Q38" s="166"/>
      <c r="R38" s="16">
        <v>0</v>
      </c>
    </row>
    <row r="39" spans="1:18" ht="11.25" customHeight="1">
      <c r="A39" s="539" t="s">
        <v>636</v>
      </c>
      <c r="B39" s="539" t="s">
        <v>1189</v>
      </c>
      <c r="C39" s="472"/>
      <c r="D39" s="606"/>
      <c r="E39" s="607"/>
      <c r="F39" s="608">
        <f t="shared" si="10"/>
        <v>0</v>
      </c>
      <c r="G39" s="609">
        <v>0</v>
      </c>
      <c r="H39" s="610">
        <f t="shared" si="11"/>
        <v>0</v>
      </c>
      <c r="I39" s="566"/>
      <c r="J39" s="610"/>
      <c r="K39" s="609">
        <f t="shared" si="12"/>
        <v>0</v>
      </c>
      <c r="L39" s="611">
        <f t="shared" si="13"/>
        <v>0</v>
      </c>
      <c r="M39" s="612" t="str">
        <f t="shared" si="14"/>
        <v/>
      </c>
      <c r="N39" s="613">
        <f t="shared" si="15"/>
        <v>0</v>
      </c>
      <c r="O39" s="614">
        <f t="shared" si="16"/>
        <v>0</v>
      </c>
      <c r="P39" s="615" t="str">
        <f t="shared" si="17"/>
        <v/>
      </c>
      <c r="Q39" s="166"/>
      <c r="R39" s="16">
        <v>0</v>
      </c>
    </row>
    <row r="40" spans="1:18" s="438" customFormat="1" ht="11.25" customHeight="1">
      <c r="A40" s="539" t="s">
        <v>638</v>
      </c>
      <c r="B40" s="539" t="s">
        <v>1191</v>
      </c>
      <c r="C40" s="472" t="s">
        <v>37</v>
      </c>
      <c r="D40" s="547" t="s">
        <v>1518</v>
      </c>
      <c r="E40" s="535" t="s">
        <v>1792</v>
      </c>
      <c r="F40" s="280">
        <f t="shared" si="10"/>
        <v>4004.04</v>
      </c>
      <c r="G40" s="458">
        <v>0</v>
      </c>
      <c r="H40" s="538">
        <f t="shared" si="11"/>
        <v>0</v>
      </c>
      <c r="I40" s="566" t="e">
        <f>#REF!</f>
        <v>#REF!</v>
      </c>
      <c r="J40" s="459" t="e">
        <f t="shared" si="19"/>
        <v>#REF!</v>
      </c>
      <c r="K40" s="458" t="e">
        <f t="shared" si="12"/>
        <v>#REF!</v>
      </c>
      <c r="L40" s="460" t="e">
        <f t="shared" si="13"/>
        <v>#REF!</v>
      </c>
      <c r="M40" s="461" t="e">
        <f t="shared" si="14"/>
        <v>#REF!</v>
      </c>
      <c r="N40" s="282" t="e">
        <f t="shared" si="15"/>
        <v>#REF!</v>
      </c>
      <c r="O40" s="283" t="e">
        <f t="shared" si="16"/>
        <v>#REF!</v>
      </c>
      <c r="P40" s="281" t="e">
        <f t="shared" si="17"/>
        <v>#REF!</v>
      </c>
      <c r="Q40" s="437"/>
      <c r="R40" s="438" t="s">
        <v>83</v>
      </c>
    </row>
    <row r="41" spans="1:18" s="14" customFormat="1" ht="11.25" customHeight="1">
      <c r="A41" s="542" t="s">
        <v>647</v>
      </c>
      <c r="B41" s="542" t="s">
        <v>1200</v>
      </c>
      <c r="C41" s="616"/>
      <c r="D41" s="606"/>
      <c r="E41" s="607"/>
      <c r="F41" s="608">
        <f t="shared" si="10"/>
        <v>0</v>
      </c>
      <c r="G41" s="609">
        <v>0</v>
      </c>
      <c r="H41" s="610">
        <f t="shared" si="11"/>
        <v>0</v>
      </c>
      <c r="I41" s="566"/>
      <c r="J41" s="610"/>
      <c r="K41" s="609">
        <f t="shared" si="12"/>
        <v>0</v>
      </c>
      <c r="L41" s="611">
        <f t="shared" si="13"/>
        <v>0</v>
      </c>
      <c r="M41" s="612" t="str">
        <f t="shared" si="14"/>
        <v/>
      </c>
      <c r="N41" s="613">
        <f t="shared" si="15"/>
        <v>0</v>
      </c>
      <c r="O41" s="614">
        <f t="shared" si="16"/>
        <v>0</v>
      </c>
      <c r="P41" s="615" t="str">
        <f t="shared" si="17"/>
        <v/>
      </c>
      <c r="Q41" s="166"/>
      <c r="R41" s="14">
        <v>0</v>
      </c>
    </row>
    <row r="42" spans="1:18" ht="11.25" customHeight="1">
      <c r="A42" s="539" t="s">
        <v>649</v>
      </c>
      <c r="B42" s="539" t="s">
        <v>225</v>
      </c>
      <c r="C42" s="472" t="s">
        <v>1450</v>
      </c>
      <c r="D42" s="547" t="s">
        <v>1493</v>
      </c>
      <c r="E42" s="535" t="s">
        <v>1582</v>
      </c>
      <c r="F42" s="280">
        <f t="shared" si="10"/>
        <v>690</v>
      </c>
      <c r="G42" s="458">
        <v>0</v>
      </c>
      <c r="H42" s="538">
        <f t="shared" si="11"/>
        <v>0</v>
      </c>
      <c r="I42" s="566" t="e">
        <f>#REF!</f>
        <v>#REF!</v>
      </c>
      <c r="J42" s="459" t="e">
        <f t="shared" si="19"/>
        <v>#REF!</v>
      </c>
      <c r="K42" s="458" t="e">
        <f t="shared" si="12"/>
        <v>#REF!</v>
      </c>
      <c r="L42" s="460" t="e">
        <f t="shared" si="13"/>
        <v>#REF!</v>
      </c>
      <c r="M42" s="461" t="e">
        <f t="shared" si="14"/>
        <v>#REF!</v>
      </c>
      <c r="N42" s="282" t="e">
        <f t="shared" si="15"/>
        <v>#REF!</v>
      </c>
      <c r="O42" s="283" t="e">
        <f t="shared" si="16"/>
        <v>#REF!</v>
      </c>
      <c r="P42" s="281" t="e">
        <f t="shared" si="17"/>
        <v>#REF!</v>
      </c>
      <c r="Q42" s="166"/>
      <c r="R42" s="16">
        <v>0</v>
      </c>
    </row>
    <row r="43" spans="1:18" ht="11.25" customHeight="1">
      <c r="A43" s="440" t="s">
        <v>52</v>
      </c>
      <c r="B43" s="543" t="s">
        <v>1209</v>
      </c>
      <c r="C43" s="605"/>
      <c r="D43" s="606"/>
      <c r="E43" s="607"/>
      <c r="F43" s="608">
        <f t="shared" si="10"/>
        <v>0</v>
      </c>
      <c r="G43" s="609">
        <v>0</v>
      </c>
      <c r="H43" s="610">
        <f t="shared" si="11"/>
        <v>0</v>
      </c>
      <c r="I43" s="566"/>
      <c r="J43" s="610"/>
      <c r="K43" s="609">
        <f t="shared" si="12"/>
        <v>0</v>
      </c>
      <c r="L43" s="611">
        <f t="shared" si="13"/>
        <v>0</v>
      </c>
      <c r="M43" s="612" t="str">
        <f t="shared" si="14"/>
        <v/>
      </c>
      <c r="N43" s="613">
        <f t="shared" si="15"/>
        <v>0</v>
      </c>
      <c r="O43" s="614">
        <f t="shared" si="16"/>
        <v>0</v>
      </c>
      <c r="P43" s="615" t="str">
        <f t="shared" si="17"/>
        <v/>
      </c>
      <c r="Q43" s="166"/>
      <c r="R43" s="16">
        <v>0</v>
      </c>
    </row>
    <row r="44" spans="1:18" s="14" customFormat="1" ht="11.25" customHeight="1">
      <c r="A44" s="542" t="s">
        <v>661</v>
      </c>
      <c r="B44" s="542" t="s">
        <v>1169</v>
      </c>
      <c r="C44" s="616"/>
      <c r="D44" s="606"/>
      <c r="E44" s="607"/>
      <c r="F44" s="608">
        <f t="shared" ref="F44:F57" si="20">+ROUND(D44*E44,2)</f>
        <v>0</v>
      </c>
      <c r="G44" s="609">
        <v>0</v>
      </c>
      <c r="H44" s="610">
        <f t="shared" ref="H44:H57" si="21">G44*E44</f>
        <v>0</v>
      </c>
      <c r="I44" s="566"/>
      <c r="J44" s="610"/>
      <c r="K44" s="609">
        <f t="shared" ref="K44:K57" si="22">G44+I44</f>
        <v>0</v>
      </c>
      <c r="L44" s="611">
        <f t="shared" ref="L44:L57" si="23">K44*E44</f>
        <v>0</v>
      </c>
      <c r="M44" s="612" t="str">
        <f t="shared" ref="M44:M57" si="24">+IF(C44=0,"",L44/F44)</f>
        <v/>
      </c>
      <c r="N44" s="613">
        <f t="shared" ref="N44:N57" si="25">D44-K44</f>
        <v>0</v>
      </c>
      <c r="O44" s="614">
        <f t="shared" ref="O44:O57" si="26">ROUND((N44*E44),2)</f>
        <v>0</v>
      </c>
      <c r="P44" s="615" t="str">
        <f t="shared" ref="P44:P57" si="27">+IF(F44=0,"",O44/F44)</f>
        <v/>
      </c>
      <c r="Q44" s="166"/>
    </row>
    <row r="45" spans="1:18" s="14" customFormat="1" ht="11.25" customHeight="1">
      <c r="A45" s="539" t="s">
        <v>665</v>
      </c>
      <c r="B45" s="539" t="s">
        <v>1173</v>
      </c>
      <c r="C45" s="616"/>
      <c r="D45" s="606"/>
      <c r="E45" s="607"/>
      <c r="F45" s="608">
        <f t="shared" si="20"/>
        <v>0</v>
      </c>
      <c r="G45" s="609">
        <v>0</v>
      </c>
      <c r="H45" s="610">
        <f t="shared" si="21"/>
        <v>0</v>
      </c>
      <c r="I45" s="566"/>
      <c r="J45" s="610"/>
      <c r="K45" s="609">
        <f t="shared" si="22"/>
        <v>0</v>
      </c>
      <c r="L45" s="611">
        <f t="shared" si="23"/>
        <v>0</v>
      </c>
      <c r="M45" s="612" t="str">
        <f t="shared" si="24"/>
        <v/>
      </c>
      <c r="N45" s="613">
        <f t="shared" si="25"/>
        <v>0</v>
      </c>
      <c r="O45" s="614">
        <f t="shared" si="26"/>
        <v>0</v>
      </c>
      <c r="P45" s="615" t="str">
        <f t="shared" si="27"/>
        <v/>
      </c>
      <c r="Q45" s="166"/>
    </row>
    <row r="46" spans="1:18" s="14" customFormat="1" ht="11.25" customHeight="1">
      <c r="A46" s="539" t="s">
        <v>666</v>
      </c>
      <c r="B46" s="539" t="s">
        <v>1207</v>
      </c>
      <c r="C46" s="548" t="s">
        <v>40</v>
      </c>
      <c r="D46" s="547" t="s">
        <v>1536</v>
      </c>
      <c r="E46" s="535" t="s">
        <v>1785</v>
      </c>
      <c r="F46" s="280">
        <f t="shared" si="20"/>
        <v>1718.67</v>
      </c>
      <c r="G46" s="458">
        <v>0</v>
      </c>
      <c r="H46" s="538">
        <f t="shared" si="21"/>
        <v>0</v>
      </c>
      <c r="I46" s="566" t="e">
        <f>#REF!</f>
        <v>#REF!</v>
      </c>
      <c r="J46" s="459" t="e">
        <f t="shared" ref="J46:J57" si="28">I46*E46</f>
        <v>#REF!</v>
      </c>
      <c r="K46" s="458" t="e">
        <f t="shared" si="22"/>
        <v>#REF!</v>
      </c>
      <c r="L46" s="460" t="e">
        <f t="shared" si="23"/>
        <v>#REF!</v>
      </c>
      <c r="M46" s="461" t="e">
        <f t="shared" si="24"/>
        <v>#REF!</v>
      </c>
      <c r="N46" s="282" t="e">
        <f t="shared" si="25"/>
        <v>#REF!</v>
      </c>
      <c r="O46" s="283" t="e">
        <f t="shared" si="26"/>
        <v>#REF!</v>
      </c>
      <c r="P46" s="281" t="e">
        <f t="shared" si="27"/>
        <v>#REF!</v>
      </c>
      <c r="Q46" s="166"/>
    </row>
    <row r="47" spans="1:18" s="14" customFormat="1" ht="11.25" customHeight="1">
      <c r="A47" s="539" t="s">
        <v>667</v>
      </c>
      <c r="B47" s="539" t="s">
        <v>1175</v>
      </c>
      <c r="C47" s="548" t="s">
        <v>37</v>
      </c>
      <c r="D47" s="547" t="s">
        <v>1537</v>
      </c>
      <c r="E47" s="535" t="s">
        <v>1787</v>
      </c>
      <c r="F47" s="280">
        <f t="shared" si="20"/>
        <v>1659.3</v>
      </c>
      <c r="G47" s="458">
        <v>0</v>
      </c>
      <c r="H47" s="538">
        <f t="shared" si="21"/>
        <v>0</v>
      </c>
      <c r="I47" s="566" t="e">
        <f>#REF!</f>
        <v>#REF!</v>
      </c>
      <c r="J47" s="459" t="e">
        <f t="shared" si="28"/>
        <v>#REF!</v>
      </c>
      <c r="K47" s="458" t="e">
        <f t="shared" si="22"/>
        <v>#REF!</v>
      </c>
      <c r="L47" s="460" t="e">
        <f t="shared" si="23"/>
        <v>#REF!</v>
      </c>
      <c r="M47" s="461" t="e">
        <f t="shared" si="24"/>
        <v>#REF!</v>
      </c>
      <c r="N47" s="282" t="e">
        <f t="shared" si="25"/>
        <v>#REF!</v>
      </c>
      <c r="O47" s="283" t="e">
        <f t="shared" si="26"/>
        <v>#REF!</v>
      </c>
      <c r="P47" s="281" t="e">
        <f t="shared" si="27"/>
        <v>#REF!</v>
      </c>
      <c r="Q47" s="166"/>
    </row>
    <row r="48" spans="1:18" s="14" customFormat="1" ht="11.25" customHeight="1">
      <c r="A48" s="539" t="s">
        <v>669</v>
      </c>
      <c r="B48" s="539" t="s">
        <v>1177</v>
      </c>
      <c r="C48" s="548"/>
      <c r="D48" s="547"/>
      <c r="E48" s="535"/>
      <c r="F48" s="280"/>
      <c r="G48" s="458"/>
      <c r="H48" s="538"/>
      <c r="I48" s="566"/>
      <c r="J48" s="459"/>
      <c r="K48" s="458"/>
      <c r="L48" s="460"/>
      <c r="M48" s="461"/>
      <c r="N48" s="282"/>
      <c r="O48" s="283"/>
      <c r="P48" s="281"/>
      <c r="Q48" s="166"/>
    </row>
    <row r="49" spans="1:17" s="14" customFormat="1" ht="11.25" customHeight="1">
      <c r="A49" s="539" t="s">
        <v>670</v>
      </c>
      <c r="B49" s="539" t="s">
        <v>1208</v>
      </c>
      <c r="C49" s="548" t="s">
        <v>40</v>
      </c>
      <c r="D49" s="547" t="s">
        <v>1539</v>
      </c>
      <c r="E49" s="535" t="s">
        <v>1788</v>
      </c>
      <c r="F49" s="280">
        <f t="shared" si="20"/>
        <v>3632.19</v>
      </c>
      <c r="G49" s="458">
        <v>0</v>
      </c>
      <c r="H49" s="538">
        <f t="shared" si="21"/>
        <v>0</v>
      </c>
      <c r="I49" s="566" t="e">
        <f>#REF!</f>
        <v>#REF!</v>
      </c>
      <c r="J49" s="459" t="e">
        <f t="shared" si="28"/>
        <v>#REF!</v>
      </c>
      <c r="K49" s="458" t="e">
        <f t="shared" si="22"/>
        <v>#REF!</v>
      </c>
      <c r="L49" s="460" t="e">
        <f t="shared" si="23"/>
        <v>#REF!</v>
      </c>
      <c r="M49" s="461" t="e">
        <f t="shared" si="24"/>
        <v>#REF!</v>
      </c>
      <c r="N49" s="282" t="e">
        <f t="shared" si="25"/>
        <v>#REF!</v>
      </c>
      <c r="O49" s="283" t="e">
        <f t="shared" si="26"/>
        <v>#REF!</v>
      </c>
      <c r="P49" s="281" t="e">
        <f t="shared" si="27"/>
        <v>#REF!</v>
      </c>
      <c r="Q49" s="166"/>
    </row>
    <row r="50" spans="1:17" s="14" customFormat="1" ht="11.25" customHeight="1">
      <c r="A50" s="539" t="s">
        <v>671</v>
      </c>
      <c r="B50" s="539" t="s">
        <v>1179</v>
      </c>
      <c r="C50" s="548" t="s">
        <v>37</v>
      </c>
      <c r="D50" s="547" t="s">
        <v>1540</v>
      </c>
      <c r="E50" s="535" t="s">
        <v>1789</v>
      </c>
      <c r="F50" s="280">
        <f t="shared" si="20"/>
        <v>4178.62</v>
      </c>
      <c r="G50" s="458">
        <v>0</v>
      </c>
      <c r="H50" s="538">
        <f t="shared" si="21"/>
        <v>0</v>
      </c>
      <c r="I50" s="566" t="e">
        <f>#REF!</f>
        <v>#REF!</v>
      </c>
      <c r="J50" s="459" t="e">
        <f t="shared" si="28"/>
        <v>#REF!</v>
      </c>
      <c r="K50" s="458" t="e">
        <f t="shared" si="22"/>
        <v>#REF!</v>
      </c>
      <c r="L50" s="460" t="e">
        <f t="shared" si="23"/>
        <v>#REF!</v>
      </c>
      <c r="M50" s="461" t="e">
        <f t="shared" si="24"/>
        <v>#REF!</v>
      </c>
      <c r="N50" s="282" t="e">
        <f t="shared" si="25"/>
        <v>#REF!</v>
      </c>
      <c r="O50" s="283" t="e">
        <f t="shared" si="26"/>
        <v>#REF!</v>
      </c>
      <c r="P50" s="281" t="e">
        <f t="shared" si="27"/>
        <v>#REF!</v>
      </c>
      <c r="Q50" s="166"/>
    </row>
    <row r="51" spans="1:17" s="14" customFormat="1" ht="11.25" customHeight="1">
      <c r="A51" s="539" t="s">
        <v>677</v>
      </c>
      <c r="B51" s="539" t="s">
        <v>1185</v>
      </c>
      <c r="C51" s="616"/>
      <c r="D51" s="606"/>
      <c r="E51" s="607"/>
      <c r="F51" s="608">
        <f t="shared" si="20"/>
        <v>0</v>
      </c>
      <c r="G51" s="609">
        <v>0</v>
      </c>
      <c r="H51" s="610">
        <f t="shared" si="21"/>
        <v>0</v>
      </c>
      <c r="I51" s="566"/>
      <c r="J51" s="610"/>
      <c r="K51" s="609">
        <f t="shared" si="22"/>
        <v>0</v>
      </c>
      <c r="L51" s="611">
        <f t="shared" si="23"/>
        <v>0</v>
      </c>
      <c r="M51" s="612" t="str">
        <f t="shared" si="24"/>
        <v/>
      </c>
      <c r="N51" s="613">
        <f t="shared" si="25"/>
        <v>0</v>
      </c>
      <c r="O51" s="614">
        <f t="shared" si="26"/>
        <v>0</v>
      </c>
      <c r="P51" s="615" t="str">
        <f t="shared" si="27"/>
        <v/>
      </c>
      <c r="Q51" s="166"/>
    </row>
    <row r="52" spans="1:17" s="14" customFormat="1" ht="11.25" customHeight="1">
      <c r="A52" s="539" t="s">
        <v>678</v>
      </c>
      <c r="B52" s="539" t="s">
        <v>1186</v>
      </c>
      <c r="C52" s="548" t="s">
        <v>40</v>
      </c>
      <c r="D52" s="547" t="s">
        <v>1545</v>
      </c>
      <c r="E52" s="535" t="s">
        <v>1790</v>
      </c>
      <c r="F52" s="280">
        <f t="shared" si="20"/>
        <v>5421.76</v>
      </c>
      <c r="G52" s="458">
        <v>0</v>
      </c>
      <c r="H52" s="538">
        <f t="shared" si="21"/>
        <v>0</v>
      </c>
      <c r="I52" s="566" t="e">
        <f>#REF!</f>
        <v>#REF!</v>
      </c>
      <c r="J52" s="459" t="e">
        <f t="shared" si="28"/>
        <v>#REF!</v>
      </c>
      <c r="K52" s="458" t="e">
        <f t="shared" si="22"/>
        <v>#REF!</v>
      </c>
      <c r="L52" s="460" t="e">
        <f t="shared" si="23"/>
        <v>#REF!</v>
      </c>
      <c r="M52" s="461" t="e">
        <f t="shared" si="24"/>
        <v>#REF!</v>
      </c>
      <c r="N52" s="282" t="e">
        <f t="shared" si="25"/>
        <v>#REF!</v>
      </c>
      <c r="O52" s="283" t="e">
        <f t="shared" si="26"/>
        <v>#REF!</v>
      </c>
      <c r="P52" s="281" t="e">
        <f t="shared" si="27"/>
        <v>#REF!</v>
      </c>
      <c r="Q52" s="166"/>
    </row>
    <row r="53" spans="1:17" s="14" customFormat="1" ht="11.25" customHeight="1">
      <c r="A53" s="539" t="s">
        <v>679</v>
      </c>
      <c r="B53" s="539" t="s">
        <v>1187</v>
      </c>
      <c r="C53" s="548" t="s">
        <v>37</v>
      </c>
      <c r="D53" s="547" t="s">
        <v>1546</v>
      </c>
      <c r="E53" s="535" t="s">
        <v>1791</v>
      </c>
      <c r="F53" s="280">
        <f t="shared" si="20"/>
        <v>6463.78</v>
      </c>
      <c r="G53" s="458">
        <v>0</v>
      </c>
      <c r="H53" s="538">
        <f t="shared" si="21"/>
        <v>0</v>
      </c>
      <c r="I53" s="566" t="e">
        <f>#REF!</f>
        <v>#REF!</v>
      </c>
      <c r="J53" s="459" t="e">
        <f t="shared" si="28"/>
        <v>#REF!</v>
      </c>
      <c r="K53" s="458" t="e">
        <f t="shared" si="22"/>
        <v>#REF!</v>
      </c>
      <c r="L53" s="460" t="e">
        <f t="shared" si="23"/>
        <v>#REF!</v>
      </c>
      <c r="M53" s="461" t="e">
        <f t="shared" si="24"/>
        <v>#REF!</v>
      </c>
      <c r="N53" s="282" t="e">
        <f t="shared" si="25"/>
        <v>#REF!</v>
      </c>
      <c r="O53" s="283" t="e">
        <f t="shared" si="26"/>
        <v>#REF!</v>
      </c>
      <c r="P53" s="281" t="e">
        <f t="shared" si="27"/>
        <v>#REF!</v>
      </c>
      <c r="Q53" s="166"/>
    </row>
    <row r="54" spans="1:17" s="14" customFormat="1" ht="11.25" customHeight="1">
      <c r="A54" s="539" t="s">
        <v>681</v>
      </c>
      <c r="B54" s="539" t="s">
        <v>1189</v>
      </c>
      <c r="C54" s="616"/>
      <c r="D54" s="606"/>
      <c r="E54" s="607"/>
      <c r="F54" s="608">
        <f t="shared" si="20"/>
        <v>0</v>
      </c>
      <c r="G54" s="609">
        <v>0</v>
      </c>
      <c r="H54" s="610">
        <f t="shared" si="21"/>
        <v>0</v>
      </c>
      <c r="I54" s="566"/>
      <c r="J54" s="610"/>
      <c r="K54" s="609">
        <f t="shared" si="22"/>
        <v>0</v>
      </c>
      <c r="L54" s="611">
        <f t="shared" si="23"/>
        <v>0</v>
      </c>
      <c r="M54" s="612" t="str">
        <f t="shared" si="24"/>
        <v/>
      </c>
      <c r="N54" s="613">
        <f t="shared" si="25"/>
        <v>0</v>
      </c>
      <c r="O54" s="614">
        <f t="shared" si="26"/>
        <v>0</v>
      </c>
      <c r="P54" s="615" t="str">
        <f t="shared" si="27"/>
        <v/>
      </c>
      <c r="Q54" s="166"/>
    </row>
    <row r="55" spans="1:17" s="14" customFormat="1" ht="11.25" customHeight="1">
      <c r="A55" s="539" t="s">
        <v>683</v>
      </c>
      <c r="B55" s="539" t="s">
        <v>1191</v>
      </c>
      <c r="C55" s="548" t="s">
        <v>37</v>
      </c>
      <c r="D55" s="547" t="s">
        <v>1549</v>
      </c>
      <c r="E55" s="535" t="s">
        <v>1792</v>
      </c>
      <c r="F55" s="280">
        <f t="shared" si="20"/>
        <v>6032.52</v>
      </c>
      <c r="G55" s="458">
        <v>0</v>
      </c>
      <c r="H55" s="538">
        <f t="shared" si="21"/>
        <v>0</v>
      </c>
      <c r="I55" s="566" t="e">
        <f>#REF!</f>
        <v>#REF!</v>
      </c>
      <c r="J55" s="459" t="e">
        <f t="shared" si="28"/>
        <v>#REF!</v>
      </c>
      <c r="K55" s="458" t="e">
        <f t="shared" si="22"/>
        <v>#REF!</v>
      </c>
      <c r="L55" s="460" t="e">
        <f t="shared" si="23"/>
        <v>#REF!</v>
      </c>
      <c r="M55" s="461" t="e">
        <f t="shared" si="24"/>
        <v>#REF!</v>
      </c>
      <c r="N55" s="282" t="e">
        <f t="shared" si="25"/>
        <v>#REF!</v>
      </c>
      <c r="O55" s="283" t="e">
        <f t="shared" si="26"/>
        <v>#REF!</v>
      </c>
      <c r="P55" s="281" t="e">
        <f t="shared" si="27"/>
        <v>#REF!</v>
      </c>
      <c r="Q55" s="166"/>
    </row>
    <row r="56" spans="1:17" s="14" customFormat="1" ht="11.25" customHeight="1">
      <c r="A56" s="542" t="s">
        <v>692</v>
      </c>
      <c r="B56" s="542" t="s">
        <v>1200</v>
      </c>
      <c r="C56" s="548"/>
      <c r="D56" s="547"/>
      <c r="E56" s="535"/>
      <c r="F56" s="280">
        <f t="shared" si="20"/>
        <v>0</v>
      </c>
      <c r="G56" s="458">
        <v>0</v>
      </c>
      <c r="H56" s="538">
        <f t="shared" si="21"/>
        <v>0</v>
      </c>
      <c r="I56" s="566" t="e">
        <f>#REF!</f>
        <v>#REF!</v>
      </c>
      <c r="J56" s="459" t="e">
        <f t="shared" si="28"/>
        <v>#REF!</v>
      </c>
      <c r="K56" s="458" t="e">
        <f t="shared" si="22"/>
        <v>#REF!</v>
      </c>
      <c r="L56" s="460" t="e">
        <f t="shared" si="23"/>
        <v>#REF!</v>
      </c>
      <c r="M56" s="461" t="str">
        <f t="shared" si="24"/>
        <v/>
      </c>
      <c r="N56" s="282" t="e">
        <f t="shared" si="25"/>
        <v>#REF!</v>
      </c>
      <c r="O56" s="283" t="e">
        <f t="shared" si="26"/>
        <v>#REF!</v>
      </c>
      <c r="P56" s="281" t="str">
        <f t="shared" si="27"/>
        <v/>
      </c>
      <c r="Q56" s="166"/>
    </row>
    <row r="57" spans="1:17" s="14" customFormat="1" ht="11.25" customHeight="1">
      <c r="A57" s="539" t="s">
        <v>694</v>
      </c>
      <c r="B57" s="539" t="s">
        <v>225</v>
      </c>
      <c r="C57" s="548" t="s">
        <v>1450</v>
      </c>
      <c r="D57" s="547" t="s">
        <v>1493</v>
      </c>
      <c r="E57" s="535" t="s">
        <v>1582</v>
      </c>
      <c r="F57" s="280">
        <f t="shared" si="20"/>
        <v>690</v>
      </c>
      <c r="G57" s="458">
        <v>0</v>
      </c>
      <c r="H57" s="538">
        <f t="shared" si="21"/>
        <v>0</v>
      </c>
      <c r="I57" s="566" t="e">
        <f>#REF!</f>
        <v>#REF!</v>
      </c>
      <c r="J57" s="459" t="e">
        <f t="shared" si="28"/>
        <v>#REF!</v>
      </c>
      <c r="K57" s="458" t="e">
        <f t="shared" si="22"/>
        <v>#REF!</v>
      </c>
      <c r="L57" s="460" t="e">
        <f t="shared" si="23"/>
        <v>#REF!</v>
      </c>
      <c r="M57" s="461" t="e">
        <f t="shared" si="24"/>
        <v>#REF!</v>
      </c>
      <c r="N57" s="282" t="e">
        <f t="shared" si="25"/>
        <v>#REF!</v>
      </c>
      <c r="O57" s="283" t="e">
        <f t="shared" si="26"/>
        <v>#REF!</v>
      </c>
      <c r="P57" s="281" t="e">
        <f t="shared" si="27"/>
        <v>#REF!</v>
      </c>
      <c r="Q57" s="166"/>
    </row>
    <row r="58" spans="1:17" s="14" customFormat="1" ht="11.25" customHeight="1">
      <c r="A58" s="440" t="s">
        <v>742</v>
      </c>
      <c r="B58" s="543" t="s">
        <v>1211</v>
      </c>
      <c r="C58" s="616"/>
      <c r="D58" s="606"/>
      <c r="E58" s="607"/>
      <c r="F58" s="608">
        <f t="shared" ref="F58:F78" si="29">+ROUND(D58*E58,2)</f>
        <v>0</v>
      </c>
      <c r="G58" s="609">
        <v>0</v>
      </c>
      <c r="H58" s="610">
        <f t="shared" ref="H58:H78" si="30">G58*E58</f>
        <v>0</v>
      </c>
      <c r="I58" s="566"/>
      <c r="J58" s="610"/>
      <c r="K58" s="609">
        <f t="shared" ref="K58:K78" si="31">G58+I58</f>
        <v>0</v>
      </c>
      <c r="L58" s="611">
        <f t="shared" ref="L58:L78" si="32">K58*E58</f>
        <v>0</v>
      </c>
      <c r="M58" s="612" t="str">
        <f t="shared" ref="M58:M78" si="33">+IF(C58=0,"",L58/F58)</f>
        <v/>
      </c>
      <c r="N58" s="613">
        <f t="shared" ref="N58:N78" si="34">D58-K58</f>
        <v>0</v>
      </c>
      <c r="O58" s="614">
        <f t="shared" ref="O58:O78" si="35">ROUND((N58*E58),2)</f>
        <v>0</v>
      </c>
      <c r="P58" s="615" t="str">
        <f t="shared" ref="P58:P78" si="36">+IF(F58=0,"",O58/F58)</f>
        <v/>
      </c>
      <c r="Q58" s="166"/>
    </row>
    <row r="59" spans="1:17" s="14" customFormat="1" ht="11.25" customHeight="1">
      <c r="A59" s="542" t="s">
        <v>743</v>
      </c>
      <c r="B59" s="542" t="s">
        <v>46</v>
      </c>
      <c r="C59" s="616"/>
      <c r="D59" s="606"/>
      <c r="E59" s="607"/>
      <c r="F59" s="608">
        <f t="shared" si="29"/>
        <v>0</v>
      </c>
      <c r="G59" s="609">
        <v>0</v>
      </c>
      <c r="H59" s="610">
        <f t="shared" si="30"/>
        <v>0</v>
      </c>
      <c r="I59" s="566"/>
      <c r="J59" s="610"/>
      <c r="K59" s="609">
        <f t="shared" si="31"/>
        <v>0</v>
      </c>
      <c r="L59" s="611">
        <f t="shared" si="32"/>
        <v>0</v>
      </c>
      <c r="M59" s="612" t="str">
        <f t="shared" si="33"/>
        <v/>
      </c>
      <c r="N59" s="613">
        <f t="shared" si="34"/>
        <v>0</v>
      </c>
      <c r="O59" s="614">
        <f t="shared" si="35"/>
        <v>0</v>
      </c>
      <c r="P59" s="615" t="str">
        <f t="shared" si="36"/>
        <v/>
      </c>
      <c r="Q59" s="166"/>
    </row>
    <row r="60" spans="1:17" s="14" customFormat="1" ht="11.25" customHeight="1">
      <c r="A60" s="539" t="s">
        <v>744</v>
      </c>
      <c r="B60" s="539" t="s">
        <v>1212</v>
      </c>
      <c r="C60" s="548" t="s">
        <v>40</v>
      </c>
      <c r="D60" s="547" t="s">
        <v>1583</v>
      </c>
      <c r="E60" s="535" t="s">
        <v>1781</v>
      </c>
      <c r="F60" s="280">
        <f t="shared" si="29"/>
        <v>15592.13</v>
      </c>
      <c r="G60" s="458">
        <v>76.09</v>
      </c>
      <c r="H60" s="538">
        <f t="shared" si="30"/>
        <v>2538.3624</v>
      </c>
      <c r="I60" s="566" t="e">
        <f>#REF!</f>
        <v>#REF!</v>
      </c>
      <c r="J60" s="459" t="e">
        <f t="shared" ref="J60:J78" si="37">I60*E60</f>
        <v>#REF!</v>
      </c>
      <c r="K60" s="458" t="e">
        <f t="shared" si="31"/>
        <v>#REF!</v>
      </c>
      <c r="L60" s="460" t="e">
        <f t="shared" si="32"/>
        <v>#REF!</v>
      </c>
      <c r="M60" s="461" t="e">
        <f t="shared" si="33"/>
        <v>#REF!</v>
      </c>
      <c r="N60" s="282" t="e">
        <f t="shared" si="34"/>
        <v>#REF!</v>
      </c>
      <c r="O60" s="283" t="e">
        <f t="shared" si="35"/>
        <v>#REF!</v>
      </c>
      <c r="P60" s="281" t="e">
        <f t="shared" si="36"/>
        <v>#REF!</v>
      </c>
      <c r="Q60" s="166"/>
    </row>
    <row r="61" spans="1:17" s="14" customFormat="1" ht="11.25" customHeight="1">
      <c r="A61" s="542" t="s">
        <v>746</v>
      </c>
      <c r="B61" s="542" t="s">
        <v>1162</v>
      </c>
      <c r="C61" s="548"/>
      <c r="D61" s="547"/>
      <c r="E61" s="535"/>
      <c r="F61" s="608">
        <f t="shared" si="29"/>
        <v>0</v>
      </c>
      <c r="G61" s="609">
        <v>0</v>
      </c>
      <c r="H61" s="610">
        <f t="shared" si="30"/>
        <v>0</v>
      </c>
      <c r="I61" s="566"/>
      <c r="J61" s="610"/>
      <c r="K61" s="609">
        <f t="shared" si="31"/>
        <v>0</v>
      </c>
      <c r="L61" s="611">
        <f t="shared" si="32"/>
        <v>0</v>
      </c>
      <c r="M61" s="612" t="str">
        <f t="shared" si="33"/>
        <v/>
      </c>
      <c r="N61" s="613">
        <f t="shared" si="34"/>
        <v>0</v>
      </c>
      <c r="O61" s="614">
        <f t="shared" si="35"/>
        <v>0</v>
      </c>
      <c r="P61" s="615" t="str">
        <f t="shared" si="36"/>
        <v/>
      </c>
      <c r="Q61" s="166"/>
    </row>
    <row r="62" spans="1:17" s="14" customFormat="1" ht="11.25" customHeight="1">
      <c r="A62" s="539" t="s">
        <v>747</v>
      </c>
      <c r="B62" s="539" t="s">
        <v>1204</v>
      </c>
      <c r="C62" s="548" t="s">
        <v>40</v>
      </c>
      <c r="D62" s="547" t="s">
        <v>1585</v>
      </c>
      <c r="E62" s="535" t="s">
        <v>1782</v>
      </c>
      <c r="F62" s="280">
        <f t="shared" si="29"/>
        <v>4205.5600000000004</v>
      </c>
      <c r="G62" s="458">
        <v>0</v>
      </c>
      <c r="H62" s="538">
        <f t="shared" si="30"/>
        <v>0</v>
      </c>
      <c r="I62" s="566" t="e">
        <f>#REF!</f>
        <v>#REF!</v>
      </c>
      <c r="J62" s="459" t="e">
        <f t="shared" si="37"/>
        <v>#REF!</v>
      </c>
      <c r="K62" s="458" t="e">
        <f t="shared" si="31"/>
        <v>#REF!</v>
      </c>
      <c r="L62" s="460" t="e">
        <f t="shared" si="32"/>
        <v>#REF!</v>
      </c>
      <c r="M62" s="461" t="e">
        <f t="shared" si="33"/>
        <v>#REF!</v>
      </c>
      <c r="N62" s="282" t="e">
        <f t="shared" si="34"/>
        <v>#REF!</v>
      </c>
      <c r="O62" s="283" t="e">
        <f t="shared" si="35"/>
        <v>#REF!</v>
      </c>
      <c r="P62" s="281" t="e">
        <f t="shared" si="36"/>
        <v>#REF!</v>
      </c>
      <c r="Q62" s="166"/>
    </row>
    <row r="63" spans="1:17" s="14" customFormat="1" ht="11.25" customHeight="1">
      <c r="A63" s="542" t="s">
        <v>748</v>
      </c>
      <c r="B63" s="542" t="s">
        <v>1169</v>
      </c>
      <c r="C63" s="616"/>
      <c r="D63" s="606"/>
      <c r="E63" s="607"/>
      <c r="F63" s="608">
        <f t="shared" si="29"/>
        <v>0</v>
      </c>
      <c r="G63" s="609">
        <v>0</v>
      </c>
      <c r="H63" s="610">
        <f t="shared" si="30"/>
        <v>0</v>
      </c>
      <c r="I63" s="566"/>
      <c r="J63" s="610"/>
      <c r="K63" s="609">
        <f t="shared" si="31"/>
        <v>0</v>
      </c>
      <c r="L63" s="611">
        <f t="shared" si="32"/>
        <v>0</v>
      </c>
      <c r="M63" s="612" t="str">
        <f t="shared" si="33"/>
        <v/>
      </c>
      <c r="N63" s="613">
        <f t="shared" si="34"/>
        <v>0</v>
      </c>
      <c r="O63" s="614">
        <f t="shared" si="35"/>
        <v>0</v>
      </c>
      <c r="P63" s="615" t="str">
        <f t="shared" si="36"/>
        <v/>
      </c>
      <c r="Q63" s="166"/>
    </row>
    <row r="64" spans="1:17" s="14" customFormat="1" ht="11.25" customHeight="1">
      <c r="A64" s="539" t="s">
        <v>749</v>
      </c>
      <c r="B64" s="539" t="s">
        <v>1177</v>
      </c>
      <c r="C64" s="616"/>
      <c r="D64" s="606"/>
      <c r="E64" s="607"/>
      <c r="F64" s="608">
        <f t="shared" si="29"/>
        <v>0</v>
      </c>
      <c r="G64" s="609">
        <v>0</v>
      </c>
      <c r="H64" s="610">
        <f t="shared" si="30"/>
        <v>0</v>
      </c>
      <c r="I64" s="566"/>
      <c r="J64" s="610"/>
      <c r="K64" s="609">
        <f t="shared" si="31"/>
        <v>0</v>
      </c>
      <c r="L64" s="611">
        <f t="shared" si="32"/>
        <v>0</v>
      </c>
      <c r="M64" s="612" t="str">
        <f t="shared" si="33"/>
        <v/>
      </c>
      <c r="N64" s="613">
        <f t="shared" si="34"/>
        <v>0</v>
      </c>
      <c r="O64" s="614">
        <f t="shared" si="35"/>
        <v>0</v>
      </c>
      <c r="P64" s="615" t="str">
        <f t="shared" si="36"/>
        <v/>
      </c>
      <c r="Q64" s="166"/>
    </row>
    <row r="65" spans="1:17" s="14" customFormat="1" ht="11.25" customHeight="1">
      <c r="A65" s="539" t="s">
        <v>752</v>
      </c>
      <c r="B65" s="539" t="s">
        <v>1180</v>
      </c>
      <c r="C65" s="548" t="s">
        <v>48</v>
      </c>
      <c r="D65" s="547" t="s">
        <v>1588</v>
      </c>
      <c r="E65" s="535" t="s">
        <v>1786</v>
      </c>
      <c r="F65" s="280">
        <f t="shared" si="29"/>
        <v>4530.4799999999996</v>
      </c>
      <c r="G65" s="458">
        <v>0</v>
      </c>
      <c r="H65" s="538">
        <f t="shared" si="30"/>
        <v>0</v>
      </c>
      <c r="I65" s="566" t="e">
        <f>#REF!</f>
        <v>#REF!</v>
      </c>
      <c r="J65" s="459" t="e">
        <f t="shared" si="37"/>
        <v>#REF!</v>
      </c>
      <c r="K65" s="458" t="e">
        <f t="shared" si="31"/>
        <v>#REF!</v>
      </c>
      <c r="L65" s="460" t="e">
        <f t="shared" si="32"/>
        <v>#REF!</v>
      </c>
      <c r="M65" s="461" t="e">
        <f t="shared" si="33"/>
        <v>#REF!</v>
      </c>
      <c r="N65" s="282" t="e">
        <f t="shared" si="34"/>
        <v>#REF!</v>
      </c>
      <c r="O65" s="283" t="e">
        <f t="shared" si="35"/>
        <v>#REF!</v>
      </c>
      <c r="P65" s="281" t="e">
        <f t="shared" si="36"/>
        <v>#REF!</v>
      </c>
      <c r="Q65" s="166"/>
    </row>
    <row r="66" spans="1:17" s="14" customFormat="1" ht="11.25" customHeight="1">
      <c r="A66" s="539" t="s">
        <v>757</v>
      </c>
      <c r="B66" s="539" t="s">
        <v>1213</v>
      </c>
      <c r="C66" s="616"/>
      <c r="D66" s="606"/>
      <c r="E66" s="607"/>
      <c r="F66" s="608">
        <f t="shared" si="29"/>
        <v>0</v>
      </c>
      <c r="G66" s="609">
        <v>0</v>
      </c>
      <c r="H66" s="610">
        <f t="shared" si="30"/>
        <v>0</v>
      </c>
      <c r="I66" s="566"/>
      <c r="J66" s="610"/>
      <c r="K66" s="609">
        <f t="shared" si="31"/>
        <v>0</v>
      </c>
      <c r="L66" s="611">
        <f t="shared" si="32"/>
        <v>0</v>
      </c>
      <c r="M66" s="612" t="str">
        <f t="shared" si="33"/>
        <v/>
      </c>
      <c r="N66" s="613">
        <f t="shared" si="34"/>
        <v>0</v>
      </c>
      <c r="O66" s="614">
        <f t="shared" si="35"/>
        <v>0</v>
      </c>
      <c r="P66" s="615" t="str">
        <f t="shared" si="36"/>
        <v/>
      </c>
      <c r="Q66" s="166"/>
    </row>
    <row r="67" spans="1:17" s="14" customFormat="1" ht="11.25" customHeight="1">
      <c r="A67" s="539" t="s">
        <v>758</v>
      </c>
      <c r="B67" s="539" t="s">
        <v>1205</v>
      </c>
      <c r="C67" s="548" t="s">
        <v>40</v>
      </c>
      <c r="D67" s="547" t="s">
        <v>1592</v>
      </c>
      <c r="E67" s="535" t="s">
        <v>1783</v>
      </c>
      <c r="F67" s="280">
        <f t="shared" si="29"/>
        <v>1788.3</v>
      </c>
      <c r="G67" s="458">
        <v>0</v>
      </c>
      <c r="H67" s="538">
        <f t="shared" si="30"/>
        <v>0</v>
      </c>
      <c r="I67" s="566" t="e">
        <f>#REF!</f>
        <v>#REF!</v>
      </c>
      <c r="J67" s="459" t="e">
        <f t="shared" si="37"/>
        <v>#REF!</v>
      </c>
      <c r="K67" s="458" t="e">
        <f t="shared" si="31"/>
        <v>#REF!</v>
      </c>
      <c r="L67" s="460" t="e">
        <f t="shared" si="32"/>
        <v>#REF!</v>
      </c>
      <c r="M67" s="461" t="e">
        <f t="shared" si="33"/>
        <v>#REF!</v>
      </c>
      <c r="N67" s="282" t="e">
        <f t="shared" si="34"/>
        <v>#REF!</v>
      </c>
      <c r="O67" s="283" t="e">
        <f t="shared" si="35"/>
        <v>#REF!</v>
      </c>
      <c r="P67" s="281" t="e">
        <f t="shared" si="36"/>
        <v>#REF!</v>
      </c>
      <c r="Q67" s="166"/>
    </row>
    <row r="68" spans="1:17" s="14" customFormat="1" ht="11.25" customHeight="1">
      <c r="A68" s="539" t="s">
        <v>759</v>
      </c>
      <c r="B68" s="539" t="s">
        <v>1214</v>
      </c>
      <c r="C68" s="548" t="s">
        <v>37</v>
      </c>
      <c r="D68" s="547" t="s">
        <v>1593</v>
      </c>
      <c r="E68" s="535" t="s">
        <v>1793</v>
      </c>
      <c r="F68" s="280">
        <f t="shared" si="29"/>
        <v>3147.55</v>
      </c>
      <c r="G68" s="458">
        <v>0</v>
      </c>
      <c r="H68" s="538">
        <f t="shared" si="30"/>
        <v>0</v>
      </c>
      <c r="I68" s="566" t="e">
        <f>#REF!</f>
        <v>#REF!</v>
      </c>
      <c r="J68" s="459" t="e">
        <f t="shared" si="37"/>
        <v>#REF!</v>
      </c>
      <c r="K68" s="458" t="e">
        <f t="shared" si="31"/>
        <v>#REF!</v>
      </c>
      <c r="L68" s="460" t="e">
        <f t="shared" si="32"/>
        <v>#REF!</v>
      </c>
      <c r="M68" s="461" t="e">
        <f t="shared" si="33"/>
        <v>#REF!</v>
      </c>
      <c r="N68" s="282" t="e">
        <f t="shared" si="34"/>
        <v>#REF!</v>
      </c>
      <c r="O68" s="283" t="e">
        <f t="shared" si="35"/>
        <v>#REF!</v>
      </c>
      <c r="P68" s="281" t="e">
        <f t="shared" si="36"/>
        <v>#REF!</v>
      </c>
      <c r="Q68" s="166"/>
    </row>
    <row r="69" spans="1:17" s="14" customFormat="1" ht="11.25" customHeight="1">
      <c r="A69" s="539" t="s">
        <v>760</v>
      </c>
      <c r="B69" s="539" t="s">
        <v>1215</v>
      </c>
      <c r="C69" s="548" t="s">
        <v>48</v>
      </c>
      <c r="D69" s="547" t="s">
        <v>1594</v>
      </c>
      <c r="E69" s="535" t="s">
        <v>1786</v>
      </c>
      <c r="F69" s="280">
        <f t="shared" si="29"/>
        <v>2097.13</v>
      </c>
      <c r="G69" s="458">
        <v>0</v>
      </c>
      <c r="H69" s="538">
        <f t="shared" si="30"/>
        <v>0</v>
      </c>
      <c r="I69" s="566" t="e">
        <f>#REF!</f>
        <v>#REF!</v>
      </c>
      <c r="J69" s="459" t="e">
        <f t="shared" si="37"/>
        <v>#REF!</v>
      </c>
      <c r="K69" s="458" t="e">
        <f t="shared" si="31"/>
        <v>#REF!</v>
      </c>
      <c r="L69" s="460" t="e">
        <f t="shared" si="32"/>
        <v>#REF!</v>
      </c>
      <c r="M69" s="461" t="e">
        <f t="shared" si="33"/>
        <v>#REF!</v>
      </c>
      <c r="N69" s="282" t="e">
        <f t="shared" si="34"/>
        <v>#REF!</v>
      </c>
      <c r="O69" s="283" t="e">
        <f t="shared" si="35"/>
        <v>#REF!</v>
      </c>
      <c r="P69" s="281" t="e">
        <f t="shared" si="36"/>
        <v>#REF!</v>
      </c>
      <c r="Q69" s="166"/>
    </row>
    <row r="70" spans="1:17" s="14" customFormat="1" ht="11.25" customHeight="1">
      <c r="A70" s="440" t="s">
        <v>763</v>
      </c>
      <c r="B70" s="543" t="s">
        <v>1217</v>
      </c>
      <c r="C70" s="616"/>
      <c r="D70" s="606"/>
      <c r="E70" s="607"/>
      <c r="F70" s="608">
        <f t="shared" si="29"/>
        <v>0</v>
      </c>
      <c r="G70" s="609">
        <v>0</v>
      </c>
      <c r="H70" s="610">
        <f t="shared" si="30"/>
        <v>0</v>
      </c>
      <c r="I70" s="566"/>
      <c r="J70" s="610"/>
      <c r="K70" s="609">
        <f t="shared" si="31"/>
        <v>0</v>
      </c>
      <c r="L70" s="611">
        <f t="shared" si="32"/>
        <v>0</v>
      </c>
      <c r="M70" s="612" t="str">
        <f t="shared" si="33"/>
        <v/>
      </c>
      <c r="N70" s="613">
        <f t="shared" si="34"/>
        <v>0</v>
      </c>
      <c r="O70" s="614">
        <f t="shared" si="35"/>
        <v>0</v>
      </c>
      <c r="P70" s="615" t="str">
        <f t="shared" si="36"/>
        <v/>
      </c>
      <c r="Q70" s="166"/>
    </row>
    <row r="71" spans="1:17" s="14" customFormat="1" ht="11.25" customHeight="1">
      <c r="A71" s="542" t="s">
        <v>767</v>
      </c>
      <c r="B71" s="542" t="s">
        <v>1218</v>
      </c>
      <c r="C71" s="616"/>
      <c r="D71" s="606"/>
      <c r="E71" s="607"/>
      <c r="F71" s="608">
        <f t="shared" si="29"/>
        <v>0</v>
      </c>
      <c r="G71" s="609">
        <v>0</v>
      </c>
      <c r="H71" s="610">
        <f t="shared" si="30"/>
        <v>0</v>
      </c>
      <c r="I71" s="566"/>
      <c r="J71" s="610"/>
      <c r="K71" s="609">
        <f t="shared" si="31"/>
        <v>0</v>
      </c>
      <c r="L71" s="611">
        <f t="shared" si="32"/>
        <v>0</v>
      </c>
      <c r="M71" s="612" t="str">
        <f t="shared" si="33"/>
        <v/>
      </c>
      <c r="N71" s="613">
        <f t="shared" si="34"/>
        <v>0</v>
      </c>
      <c r="O71" s="614">
        <f t="shared" si="35"/>
        <v>0</v>
      </c>
      <c r="P71" s="615" t="str">
        <f t="shared" si="36"/>
        <v/>
      </c>
      <c r="Q71" s="166"/>
    </row>
    <row r="72" spans="1:17" s="14" customFormat="1" ht="11.25" customHeight="1">
      <c r="A72" s="539" t="s">
        <v>768</v>
      </c>
      <c r="B72" s="539" t="s">
        <v>1219</v>
      </c>
      <c r="C72" s="548" t="s">
        <v>40</v>
      </c>
      <c r="D72" s="547" t="s">
        <v>1598</v>
      </c>
      <c r="E72" s="535" t="s">
        <v>1788</v>
      </c>
      <c r="F72" s="280">
        <f t="shared" si="29"/>
        <v>115781.8</v>
      </c>
      <c r="G72" s="458">
        <v>0</v>
      </c>
      <c r="H72" s="538">
        <f t="shared" si="30"/>
        <v>0</v>
      </c>
      <c r="I72" s="566" t="e">
        <f>#REF!</f>
        <v>#REF!</v>
      </c>
      <c r="J72" s="459" t="e">
        <f t="shared" si="37"/>
        <v>#REF!</v>
      </c>
      <c r="K72" s="458" t="e">
        <f t="shared" si="31"/>
        <v>#REF!</v>
      </c>
      <c r="L72" s="460" t="e">
        <f t="shared" si="32"/>
        <v>#REF!</v>
      </c>
      <c r="M72" s="461" t="e">
        <f t="shared" si="33"/>
        <v>#REF!</v>
      </c>
      <c r="N72" s="282" t="e">
        <f t="shared" si="34"/>
        <v>#REF!</v>
      </c>
      <c r="O72" s="283" t="e">
        <f t="shared" si="35"/>
        <v>#REF!</v>
      </c>
      <c r="P72" s="281" t="e">
        <f t="shared" si="36"/>
        <v>#REF!</v>
      </c>
      <c r="Q72" s="166"/>
    </row>
    <row r="73" spans="1:17" s="14" customFormat="1" ht="11.25" customHeight="1">
      <c r="A73" s="539" t="s">
        <v>769</v>
      </c>
      <c r="B73" s="539" t="s">
        <v>1220</v>
      </c>
      <c r="C73" s="548" t="s">
        <v>37</v>
      </c>
      <c r="D73" s="547" t="s">
        <v>1599</v>
      </c>
      <c r="E73" s="535" t="s">
        <v>1789</v>
      </c>
      <c r="F73" s="280">
        <f t="shared" si="29"/>
        <v>29987.97</v>
      </c>
      <c r="G73" s="458">
        <v>0</v>
      </c>
      <c r="H73" s="538">
        <f t="shared" si="30"/>
        <v>0</v>
      </c>
      <c r="I73" s="566" t="e">
        <f>#REF!</f>
        <v>#REF!</v>
      </c>
      <c r="J73" s="459" t="e">
        <f t="shared" si="37"/>
        <v>#REF!</v>
      </c>
      <c r="K73" s="458" t="e">
        <f t="shared" si="31"/>
        <v>#REF!</v>
      </c>
      <c r="L73" s="460" t="e">
        <f t="shared" si="32"/>
        <v>#REF!</v>
      </c>
      <c r="M73" s="461" t="e">
        <f t="shared" si="33"/>
        <v>#REF!</v>
      </c>
      <c r="N73" s="282" t="e">
        <f t="shared" si="34"/>
        <v>#REF!</v>
      </c>
      <c r="O73" s="283" t="e">
        <f t="shared" si="35"/>
        <v>#REF!</v>
      </c>
      <c r="P73" s="281" t="e">
        <f t="shared" si="36"/>
        <v>#REF!</v>
      </c>
      <c r="Q73" s="166"/>
    </row>
    <row r="74" spans="1:17" s="14" customFormat="1" ht="11.25" customHeight="1">
      <c r="A74" s="539" t="s">
        <v>770</v>
      </c>
      <c r="B74" s="539" t="s">
        <v>1221</v>
      </c>
      <c r="C74" s="548" t="s">
        <v>48</v>
      </c>
      <c r="D74" s="547" t="s">
        <v>1600</v>
      </c>
      <c r="E74" s="535" t="s">
        <v>1786</v>
      </c>
      <c r="F74" s="280">
        <f t="shared" si="29"/>
        <v>73844.98</v>
      </c>
      <c r="G74" s="458">
        <v>0</v>
      </c>
      <c r="H74" s="538">
        <f t="shared" si="30"/>
        <v>0</v>
      </c>
      <c r="I74" s="566" t="e">
        <f>#REF!</f>
        <v>#REF!</v>
      </c>
      <c r="J74" s="459" t="e">
        <f t="shared" si="37"/>
        <v>#REF!</v>
      </c>
      <c r="K74" s="458" t="e">
        <f t="shared" si="31"/>
        <v>#REF!</v>
      </c>
      <c r="L74" s="460" t="e">
        <f t="shared" si="32"/>
        <v>#REF!</v>
      </c>
      <c r="M74" s="461" t="e">
        <f t="shared" si="33"/>
        <v>#REF!</v>
      </c>
      <c r="N74" s="282" t="e">
        <f t="shared" si="34"/>
        <v>#REF!</v>
      </c>
      <c r="O74" s="283" t="e">
        <f t="shared" si="35"/>
        <v>#REF!</v>
      </c>
      <c r="P74" s="281" t="e">
        <f t="shared" si="36"/>
        <v>#REF!</v>
      </c>
      <c r="Q74" s="166"/>
    </row>
    <row r="75" spans="1:17" s="14" customFormat="1" ht="11.25" customHeight="1">
      <c r="A75" s="440" t="s">
        <v>774</v>
      </c>
      <c r="B75" s="543" t="s">
        <v>1223</v>
      </c>
      <c r="C75" s="616"/>
      <c r="D75" s="606"/>
      <c r="E75" s="607"/>
      <c r="F75" s="608">
        <f t="shared" si="29"/>
        <v>0</v>
      </c>
      <c r="G75" s="609">
        <v>0</v>
      </c>
      <c r="H75" s="610">
        <f t="shared" si="30"/>
        <v>0</v>
      </c>
      <c r="I75" s="566"/>
      <c r="J75" s="610"/>
      <c r="K75" s="609">
        <f t="shared" si="31"/>
        <v>0</v>
      </c>
      <c r="L75" s="611">
        <f t="shared" si="32"/>
        <v>0</v>
      </c>
      <c r="M75" s="612" t="str">
        <f t="shared" si="33"/>
        <v/>
      </c>
      <c r="N75" s="613">
        <f t="shared" si="34"/>
        <v>0</v>
      </c>
      <c r="O75" s="614">
        <f t="shared" si="35"/>
        <v>0</v>
      </c>
      <c r="P75" s="615" t="str">
        <f t="shared" si="36"/>
        <v/>
      </c>
      <c r="Q75" s="166"/>
    </row>
    <row r="76" spans="1:17" s="14" customFormat="1" ht="11.25" customHeight="1">
      <c r="A76" s="542" t="s">
        <v>778</v>
      </c>
      <c r="B76" s="542" t="s">
        <v>1162</v>
      </c>
      <c r="C76" s="616"/>
      <c r="D76" s="606"/>
      <c r="E76" s="607"/>
      <c r="F76" s="608">
        <f t="shared" si="29"/>
        <v>0</v>
      </c>
      <c r="G76" s="609">
        <v>0</v>
      </c>
      <c r="H76" s="610">
        <f t="shared" si="30"/>
        <v>0</v>
      </c>
      <c r="I76" s="566"/>
      <c r="J76" s="610"/>
      <c r="K76" s="609">
        <f t="shared" si="31"/>
        <v>0</v>
      </c>
      <c r="L76" s="611">
        <f t="shared" si="32"/>
        <v>0</v>
      </c>
      <c r="M76" s="612" t="str">
        <f t="shared" si="33"/>
        <v/>
      </c>
      <c r="N76" s="613">
        <f t="shared" si="34"/>
        <v>0</v>
      </c>
      <c r="O76" s="614">
        <f t="shared" si="35"/>
        <v>0</v>
      </c>
      <c r="P76" s="615" t="str">
        <f t="shared" si="36"/>
        <v/>
      </c>
      <c r="Q76" s="166"/>
    </row>
    <row r="77" spans="1:17" s="14" customFormat="1" ht="11.25" customHeight="1">
      <c r="A77" s="539" t="s">
        <v>779</v>
      </c>
      <c r="B77" s="539" t="s">
        <v>1204</v>
      </c>
      <c r="C77" s="548" t="s">
        <v>40</v>
      </c>
      <c r="D77" s="547" t="s">
        <v>1605</v>
      </c>
      <c r="E77" s="535" t="s">
        <v>1782</v>
      </c>
      <c r="F77" s="280">
        <f t="shared" si="29"/>
        <v>24835.03</v>
      </c>
      <c r="G77" s="458">
        <v>0</v>
      </c>
      <c r="H77" s="538">
        <f t="shared" si="30"/>
        <v>0</v>
      </c>
      <c r="I77" s="566" t="e">
        <f>#REF!</f>
        <v>#REF!</v>
      </c>
      <c r="J77" s="459" t="e">
        <f>I77*E77</f>
        <v>#REF!</v>
      </c>
      <c r="K77" s="458" t="e">
        <f t="shared" si="31"/>
        <v>#REF!</v>
      </c>
      <c r="L77" s="460" t="e">
        <f t="shared" si="32"/>
        <v>#REF!</v>
      </c>
      <c r="M77" s="461" t="e">
        <f t="shared" si="33"/>
        <v>#REF!</v>
      </c>
      <c r="N77" s="282" t="e">
        <f t="shared" si="34"/>
        <v>#REF!</v>
      </c>
      <c r="O77" s="283" t="e">
        <f t="shared" si="35"/>
        <v>#REF!</v>
      </c>
      <c r="P77" s="281" t="e">
        <f t="shared" si="36"/>
        <v>#REF!</v>
      </c>
      <c r="Q77" s="166"/>
    </row>
    <row r="78" spans="1:17" s="14" customFormat="1" ht="11.25" customHeight="1" thickBot="1">
      <c r="A78" s="539" t="s">
        <v>780</v>
      </c>
      <c r="B78" s="539" t="s">
        <v>1224</v>
      </c>
      <c r="C78" s="548" t="s">
        <v>37</v>
      </c>
      <c r="D78" s="547" t="s">
        <v>1606</v>
      </c>
      <c r="E78" s="535" t="s">
        <v>1784</v>
      </c>
      <c r="F78" s="280">
        <f t="shared" si="29"/>
        <v>8890.2199999999993</v>
      </c>
      <c r="G78" s="458">
        <v>0</v>
      </c>
      <c r="H78" s="538">
        <f t="shared" si="30"/>
        <v>0</v>
      </c>
      <c r="I78" s="566" t="e">
        <f>#REF!</f>
        <v>#REF!</v>
      </c>
      <c r="J78" s="459" t="e">
        <f t="shared" si="37"/>
        <v>#REF!</v>
      </c>
      <c r="K78" s="458" t="e">
        <f t="shared" si="31"/>
        <v>#REF!</v>
      </c>
      <c r="L78" s="460" t="e">
        <f t="shared" si="32"/>
        <v>#REF!</v>
      </c>
      <c r="M78" s="461" t="e">
        <f t="shared" si="33"/>
        <v>#REF!</v>
      </c>
      <c r="N78" s="282" t="e">
        <f t="shared" si="34"/>
        <v>#REF!</v>
      </c>
      <c r="O78" s="283" t="e">
        <f t="shared" si="35"/>
        <v>#REF!</v>
      </c>
      <c r="P78" s="281" t="e">
        <f t="shared" si="36"/>
        <v>#REF!</v>
      </c>
      <c r="Q78" s="166"/>
    </row>
    <row r="79" spans="1:17" s="14" customFormat="1" ht="11.25" customHeight="1">
      <c r="A79" s="541" t="s">
        <v>45</v>
      </c>
      <c r="B79" s="541" t="s">
        <v>1234</v>
      </c>
      <c r="C79" s="616"/>
      <c r="D79" s="606"/>
      <c r="E79" s="607"/>
      <c r="F79" s="608">
        <f t="shared" ref="F79:F82" si="38">+ROUND(D79*E79,2)</f>
        <v>0</v>
      </c>
      <c r="G79" s="609">
        <v>0</v>
      </c>
      <c r="H79" s="610">
        <f t="shared" ref="H79:H82" si="39">G79*E79</f>
        <v>0</v>
      </c>
      <c r="I79" s="566"/>
      <c r="J79" s="538"/>
      <c r="K79" s="609">
        <f t="shared" ref="K79:K82" si="40">G79+I79</f>
        <v>0</v>
      </c>
      <c r="L79" s="611">
        <f t="shared" ref="L79:L82" si="41">K79*E79</f>
        <v>0</v>
      </c>
      <c r="M79" s="612" t="str">
        <f t="shared" ref="M79:M82" si="42">+IF(C79=0,"",L79/F79)</f>
        <v/>
      </c>
      <c r="N79" s="613">
        <f t="shared" ref="N79:N82" si="43">D79-K79</f>
        <v>0</v>
      </c>
      <c r="O79" s="614">
        <f t="shared" ref="O79:O82" si="44">ROUND((N79*E79),2)</f>
        <v>0</v>
      </c>
      <c r="P79" s="615" t="str">
        <f t="shared" ref="P79:P82" si="45">+IF(F79=0,"",O79/F79)</f>
        <v/>
      </c>
      <c r="Q79" s="166"/>
    </row>
    <row r="80" spans="1:17" s="14" customFormat="1" ht="11.25" customHeight="1">
      <c r="A80" s="440" t="s">
        <v>47</v>
      </c>
      <c r="B80" s="543" t="s">
        <v>1235</v>
      </c>
      <c r="C80" s="616"/>
      <c r="D80" s="606"/>
      <c r="E80" s="607"/>
      <c r="F80" s="608">
        <f t="shared" si="38"/>
        <v>0</v>
      </c>
      <c r="G80" s="609">
        <v>0</v>
      </c>
      <c r="H80" s="610">
        <f t="shared" si="39"/>
        <v>0</v>
      </c>
      <c r="I80" s="566"/>
      <c r="J80" s="610"/>
      <c r="K80" s="609">
        <f t="shared" si="40"/>
        <v>0</v>
      </c>
      <c r="L80" s="611">
        <f t="shared" si="41"/>
        <v>0</v>
      </c>
      <c r="M80" s="612" t="str">
        <f t="shared" si="42"/>
        <v/>
      </c>
      <c r="N80" s="613">
        <f t="shared" si="43"/>
        <v>0</v>
      </c>
      <c r="O80" s="614">
        <f t="shared" si="44"/>
        <v>0</v>
      </c>
      <c r="P80" s="615" t="str">
        <f t="shared" si="45"/>
        <v/>
      </c>
      <c r="Q80" s="166"/>
    </row>
    <row r="81" spans="1:18" s="14" customFormat="1" ht="11.25" customHeight="1">
      <c r="A81" s="542" t="s">
        <v>49</v>
      </c>
      <c r="B81" s="542" t="s">
        <v>1236</v>
      </c>
      <c r="C81" s="616"/>
      <c r="D81" s="606"/>
      <c r="E81" s="607"/>
      <c r="F81" s="608">
        <f t="shared" si="38"/>
        <v>0</v>
      </c>
      <c r="G81" s="609">
        <v>0</v>
      </c>
      <c r="H81" s="610">
        <f t="shared" si="39"/>
        <v>0</v>
      </c>
      <c r="I81" s="566"/>
      <c r="J81" s="610"/>
      <c r="K81" s="609">
        <f t="shared" si="40"/>
        <v>0</v>
      </c>
      <c r="L81" s="611">
        <f t="shared" si="41"/>
        <v>0</v>
      </c>
      <c r="M81" s="612" t="str">
        <f t="shared" si="42"/>
        <v/>
      </c>
      <c r="N81" s="613">
        <f t="shared" si="43"/>
        <v>0</v>
      </c>
      <c r="O81" s="614">
        <f t="shared" si="44"/>
        <v>0</v>
      </c>
      <c r="P81" s="615" t="str">
        <f t="shared" si="45"/>
        <v/>
      </c>
      <c r="Q81" s="166"/>
    </row>
    <row r="82" spans="1:18" s="14" customFormat="1" ht="11.25" customHeight="1">
      <c r="A82" s="539" t="s">
        <v>801</v>
      </c>
      <c r="B82" s="539" t="s">
        <v>1237</v>
      </c>
      <c r="C82" s="548" t="s">
        <v>37</v>
      </c>
      <c r="D82" s="547" t="s">
        <v>1619</v>
      </c>
      <c r="E82" s="535" t="s">
        <v>1794</v>
      </c>
      <c r="F82" s="280">
        <f t="shared" si="38"/>
        <v>10809.42</v>
      </c>
      <c r="G82" s="458">
        <v>0</v>
      </c>
      <c r="H82" s="538">
        <f t="shared" si="39"/>
        <v>0</v>
      </c>
      <c r="I82" s="566" t="e">
        <f>#REF!</f>
        <v>#REF!</v>
      </c>
      <c r="J82" s="459" t="e">
        <f t="shared" ref="J82" si="46">I82*E82</f>
        <v>#REF!</v>
      </c>
      <c r="K82" s="458" t="e">
        <f t="shared" si="40"/>
        <v>#REF!</v>
      </c>
      <c r="L82" s="460" t="e">
        <f t="shared" si="41"/>
        <v>#REF!</v>
      </c>
      <c r="M82" s="461" t="e">
        <f t="shared" si="42"/>
        <v>#REF!</v>
      </c>
      <c r="N82" s="282" t="e">
        <f t="shared" si="43"/>
        <v>#REF!</v>
      </c>
      <c r="O82" s="283" t="e">
        <f t="shared" si="44"/>
        <v>#REF!</v>
      </c>
      <c r="P82" s="281" t="e">
        <f t="shared" si="45"/>
        <v>#REF!</v>
      </c>
      <c r="Q82" s="166"/>
    </row>
    <row r="83" spans="1:18" ht="11.25" customHeight="1">
      <c r="A83" s="575"/>
      <c r="B83" s="576" t="s">
        <v>59</v>
      </c>
      <c r="C83" s="565"/>
      <c r="D83" s="565"/>
      <c r="E83" s="565"/>
      <c r="F83" s="577">
        <f>ROUND(SUM(F16:F82),2)</f>
        <v>386502.5</v>
      </c>
      <c r="G83" s="587"/>
      <c r="H83" s="577">
        <f>SUM(H16:H82)</f>
        <v>9891.2623999999996</v>
      </c>
      <c r="I83" s="24">
        <f>H83/F83</f>
        <v>2.5591716483075788E-2</v>
      </c>
      <c r="J83" s="577" t="e">
        <f>ROUND(SUM(J16:J82),2)</f>
        <v>#REF!</v>
      </c>
      <c r="K83" s="24" t="e">
        <f>J83/F83</f>
        <v>#REF!</v>
      </c>
      <c r="L83" s="577" t="e">
        <f>SUM(L16:L82)</f>
        <v>#REF!</v>
      </c>
      <c r="M83" s="24" t="e">
        <f>+L83/F$83</f>
        <v>#REF!</v>
      </c>
      <c r="N83" s="604"/>
      <c r="O83" s="577" t="e">
        <f>SUM(O16:O82)</f>
        <v>#REF!</v>
      </c>
      <c r="P83" s="578" t="e">
        <f>O83/F83</f>
        <v>#REF!</v>
      </c>
      <c r="Q83" s="23"/>
      <c r="R83" s="23" t="e">
        <f>Q83-O83</f>
        <v>#REF!</v>
      </c>
    </row>
    <row r="84" spans="1:18" ht="11.25" customHeight="1">
      <c r="A84" s="575"/>
      <c r="B84" s="601" t="s">
        <v>1806</v>
      </c>
      <c r="C84" s="602">
        <v>0.13514167899999999</v>
      </c>
      <c r="D84" s="565"/>
      <c r="E84" s="565"/>
      <c r="F84" s="577">
        <f>ROUND((F83*C84),2)</f>
        <v>52232.6</v>
      </c>
      <c r="G84" s="587"/>
      <c r="H84" s="577">
        <f>ROUND((H83*C84),2)</f>
        <v>1336.72</v>
      </c>
      <c r="I84" s="24"/>
      <c r="J84" s="577" t="e">
        <f>ROUND((J83*C84),2)</f>
        <v>#REF!</v>
      </c>
      <c r="K84" s="24"/>
      <c r="L84" s="577" t="e">
        <f>ROUND((L83*C84),2)</f>
        <v>#REF!</v>
      </c>
      <c r="M84" s="24"/>
      <c r="N84" s="604"/>
      <c r="O84" s="577" t="e">
        <f>F84-L84</f>
        <v>#REF!</v>
      </c>
      <c r="P84" s="578"/>
      <c r="Q84" s="23"/>
      <c r="R84" s="23"/>
    </row>
    <row r="85" spans="1:18" ht="11.25" customHeight="1">
      <c r="A85" s="575"/>
      <c r="B85" s="601" t="s">
        <v>1807</v>
      </c>
      <c r="C85" s="602">
        <v>2.5765203E-2</v>
      </c>
      <c r="D85" s="565"/>
      <c r="E85" s="565"/>
      <c r="F85" s="577">
        <f>ROUND((F83*C85),2)</f>
        <v>9958.32</v>
      </c>
      <c r="G85" s="587"/>
      <c r="H85" s="577">
        <f>ROUND((H83*C85),2)</f>
        <v>254.85</v>
      </c>
      <c r="I85" s="24"/>
      <c r="J85" s="577"/>
      <c r="K85" s="24"/>
      <c r="L85" s="577"/>
      <c r="M85" s="24"/>
      <c r="N85" s="604"/>
      <c r="O85" s="577">
        <f>F85-L85</f>
        <v>9958.32</v>
      </c>
      <c r="P85" s="578"/>
      <c r="Q85" s="23"/>
      <c r="R85" s="23"/>
    </row>
    <row r="86" spans="1:18" ht="11.25" customHeight="1">
      <c r="A86" s="575"/>
      <c r="B86" s="601" t="s">
        <v>1808</v>
      </c>
      <c r="C86" s="602">
        <v>5.4089901000000003E-2</v>
      </c>
      <c r="D86" s="565"/>
      <c r="E86" s="565"/>
      <c r="F86" s="577">
        <f>ROUND((F83*C86),2)</f>
        <v>20905.88</v>
      </c>
      <c r="G86" s="587"/>
      <c r="H86" s="577">
        <f>ROUND((H83*C86),2)</f>
        <v>535.02</v>
      </c>
      <c r="I86" s="24"/>
      <c r="J86" s="577" t="e">
        <f>ROUND((J83*C86),2)</f>
        <v>#REF!</v>
      </c>
      <c r="K86" s="24"/>
      <c r="L86" s="577" t="e">
        <f>ROUND((L83*C86),2)</f>
        <v>#REF!</v>
      </c>
      <c r="M86" s="24"/>
      <c r="N86" s="604"/>
      <c r="O86" s="577" t="e">
        <f t="shared" ref="O86:O88" si="47">F86-L86</f>
        <v>#REF!</v>
      </c>
      <c r="P86" s="578"/>
      <c r="Q86" s="23"/>
      <c r="R86" s="23"/>
    </row>
    <row r="87" spans="1:18" ht="11.25" customHeight="1">
      <c r="A87" s="575"/>
      <c r="B87" s="601" t="s">
        <v>1809</v>
      </c>
      <c r="C87" s="602">
        <v>1.4803359E-2</v>
      </c>
      <c r="D87" s="565"/>
      <c r="E87" s="565"/>
      <c r="F87" s="577">
        <f>ROUND((F83*C87),2)</f>
        <v>5721.54</v>
      </c>
      <c r="G87" s="587"/>
      <c r="H87" s="577">
        <f>ROUND((H83*C87),2)</f>
        <v>146.41999999999999</v>
      </c>
      <c r="I87" s="24"/>
      <c r="J87" s="577"/>
      <c r="K87" s="24"/>
      <c r="L87" s="577"/>
      <c r="M87" s="24"/>
      <c r="N87" s="604"/>
      <c r="O87" s="577">
        <f t="shared" si="47"/>
        <v>5721.54</v>
      </c>
      <c r="P87" s="578"/>
      <c r="Q87" s="23"/>
      <c r="R87" s="23"/>
    </row>
    <row r="88" spans="1:18" ht="11.25" customHeight="1">
      <c r="A88" s="575"/>
      <c r="B88" s="601" t="s">
        <v>1810</v>
      </c>
      <c r="C88" s="602">
        <v>3.2312274000000002E-2</v>
      </c>
      <c r="D88" s="565"/>
      <c r="E88" s="565"/>
      <c r="F88" s="577">
        <f>ROUND((F83*C88),2)</f>
        <v>12488.77</v>
      </c>
      <c r="G88" s="587"/>
      <c r="H88" s="577">
        <f>ROUND((H83*C88),2)</f>
        <v>319.61</v>
      </c>
      <c r="I88" s="24"/>
      <c r="J88" s="577"/>
      <c r="K88" s="24"/>
      <c r="L88" s="577"/>
      <c r="M88" s="24"/>
      <c r="N88" s="604"/>
      <c r="O88" s="577">
        <f t="shared" si="47"/>
        <v>12488.77</v>
      </c>
      <c r="P88" s="578"/>
      <c r="Q88" s="23"/>
      <c r="R88" s="23"/>
    </row>
    <row r="89" spans="1:18" ht="11.25" customHeight="1">
      <c r="A89" s="575"/>
      <c r="B89" s="601" t="s">
        <v>1811</v>
      </c>
      <c r="C89" s="603"/>
      <c r="D89" s="565"/>
      <c r="E89" s="565"/>
      <c r="F89" s="577">
        <f>ROUND(SUM(F83:F88),2)</f>
        <v>487809.61</v>
      </c>
      <c r="G89" s="587"/>
      <c r="H89" s="577">
        <f>SUM(H83:H88)</f>
        <v>12483.8824</v>
      </c>
      <c r="I89" s="24"/>
      <c r="J89" s="577" t="e">
        <f>SUM(J83:J88)</f>
        <v>#REF!</v>
      </c>
      <c r="K89" s="24"/>
      <c r="L89" s="577" t="e">
        <f>SUM(L83:L88)</f>
        <v>#REF!</v>
      </c>
      <c r="M89" s="24"/>
      <c r="N89" s="604"/>
      <c r="O89" s="577" t="e">
        <f>ROUND(SUM(O83:O88),2)</f>
        <v>#REF!</v>
      </c>
      <c r="P89" s="578"/>
      <c r="Q89" s="23"/>
      <c r="R89" s="23"/>
    </row>
    <row r="90" spans="1:18" ht="11.25" customHeight="1">
      <c r="A90" s="575"/>
      <c r="B90" s="601" t="s">
        <v>1812</v>
      </c>
      <c r="C90" s="603"/>
      <c r="D90" s="565"/>
      <c r="E90" s="565"/>
      <c r="F90" s="577">
        <v>28300.9</v>
      </c>
      <c r="G90" s="587"/>
      <c r="H90" s="577">
        <v>0</v>
      </c>
      <c r="I90" s="907"/>
      <c r="J90" s="577"/>
      <c r="K90" s="603"/>
      <c r="L90" s="577"/>
      <c r="M90" s="24"/>
      <c r="N90" s="604"/>
      <c r="O90" s="577">
        <v>28300.9</v>
      </c>
      <c r="P90" s="577"/>
      <c r="Q90" s="23"/>
    </row>
    <row r="91" spans="1:18" ht="11.25" customHeight="1">
      <c r="A91" s="575"/>
      <c r="B91" s="601" t="s">
        <v>1813</v>
      </c>
      <c r="C91" s="603"/>
      <c r="D91" s="565"/>
      <c r="E91" s="565"/>
      <c r="F91" s="577">
        <v>77006.47</v>
      </c>
      <c r="G91" s="587"/>
      <c r="H91" s="577">
        <v>0</v>
      </c>
      <c r="I91" s="907"/>
      <c r="J91" s="577"/>
      <c r="K91" s="603"/>
      <c r="L91" s="577"/>
      <c r="M91" s="24"/>
      <c r="N91" s="604"/>
      <c r="O91" s="577">
        <v>77006.47</v>
      </c>
      <c r="P91" s="577"/>
      <c r="Q91" s="144"/>
    </row>
    <row r="92" spans="1:18" ht="11.25" customHeight="1">
      <c r="A92" s="575"/>
      <c r="B92" s="601" t="s">
        <v>1814</v>
      </c>
      <c r="C92" s="603"/>
      <c r="D92" s="565"/>
      <c r="E92" s="565"/>
      <c r="F92" s="577">
        <v>26717.1</v>
      </c>
      <c r="G92" s="587"/>
      <c r="H92" s="577">
        <v>0</v>
      </c>
      <c r="I92" s="907"/>
      <c r="J92" s="577"/>
      <c r="K92" s="603"/>
      <c r="L92" s="577"/>
      <c r="M92" s="24"/>
      <c r="N92" s="604"/>
      <c r="O92" s="577">
        <v>26717.1</v>
      </c>
      <c r="P92" s="577"/>
      <c r="Q92" s="23"/>
    </row>
    <row r="93" spans="1:18" ht="11.25" customHeight="1">
      <c r="A93" s="575"/>
      <c r="B93" s="601" t="s">
        <v>1815</v>
      </c>
      <c r="C93" s="603"/>
      <c r="D93" s="565"/>
      <c r="E93" s="565"/>
      <c r="F93" s="577">
        <v>16525.419999999998</v>
      </c>
      <c r="G93" s="587"/>
      <c r="H93" s="577">
        <v>0</v>
      </c>
      <c r="I93" s="907"/>
      <c r="J93" s="577"/>
      <c r="K93" s="603"/>
      <c r="L93" s="577"/>
      <c r="M93" s="24"/>
      <c r="N93" s="604"/>
      <c r="O93" s="577">
        <v>16525.419999999998</v>
      </c>
      <c r="P93" s="577"/>
      <c r="Q93" s="23"/>
    </row>
    <row r="94" spans="1:18" ht="11.25" customHeight="1">
      <c r="A94" s="575"/>
      <c r="B94" s="580" t="s">
        <v>61</v>
      </c>
      <c r="C94" s="565"/>
      <c r="D94" s="565"/>
      <c r="E94" s="565"/>
      <c r="F94" s="581">
        <f>SUM(F89:F93)</f>
        <v>636359.5</v>
      </c>
      <c r="G94" s="587"/>
      <c r="H94" s="582">
        <f>SUM(H83:H93)</f>
        <v>24967.764800000001</v>
      </c>
      <c r="I94" s="24">
        <f>H94/F94</f>
        <v>3.9235314000969579E-2</v>
      </c>
      <c r="J94" s="583" t="e">
        <f>SUM(J89:J93)</f>
        <v>#REF!</v>
      </c>
      <c r="K94" s="24" t="e">
        <f>J94/F94</f>
        <v>#REF!</v>
      </c>
      <c r="L94" s="583" t="e">
        <f>ROUND(SUM(L89:L93),2)</f>
        <v>#REF!</v>
      </c>
      <c r="M94" s="24" t="e">
        <f>+L94/F94</f>
        <v>#REF!</v>
      </c>
      <c r="N94" s="604"/>
      <c r="O94" s="581" t="e">
        <f>ROUND(SUM(O89:O93),2)</f>
        <v>#REF!</v>
      </c>
      <c r="P94" s="578" t="e">
        <f>O94/F94</f>
        <v>#REF!</v>
      </c>
      <c r="Q94" s="167"/>
    </row>
    <row r="95" spans="1:18" hidden="1">
      <c r="A95" s="575"/>
      <c r="B95" s="580"/>
      <c r="C95" s="584"/>
      <c r="D95" s="585"/>
      <c r="E95" s="586"/>
      <c r="F95" s="587"/>
      <c r="G95" s="588"/>
      <c r="H95" s="579"/>
      <c r="I95" s="588"/>
      <c r="J95" s="588"/>
      <c r="K95" s="584"/>
      <c r="L95" s="588"/>
      <c r="M95" s="588"/>
      <c r="N95" s="586"/>
      <c r="O95" s="580"/>
      <c r="P95" s="580"/>
      <c r="Q95" s="23"/>
    </row>
    <row r="96" spans="1:18" hidden="1">
      <c r="A96" s="589"/>
      <c r="B96" s="580"/>
      <c r="C96" s="584"/>
      <c r="D96" s="585"/>
      <c r="E96" s="586"/>
      <c r="F96" s="587"/>
      <c r="G96" s="588"/>
      <c r="H96" s="584"/>
      <c r="I96" s="588"/>
      <c r="J96" s="588"/>
      <c r="K96" s="584"/>
      <c r="L96" s="588"/>
      <c r="M96" s="588"/>
      <c r="N96" s="586"/>
      <c r="O96" s="580"/>
      <c r="P96" s="580"/>
    </row>
    <row r="97" spans="1:17" ht="13.35" hidden="1" customHeight="1">
      <c r="A97" s="575"/>
      <c r="B97" s="590"/>
      <c r="C97" s="2163" t="s">
        <v>62</v>
      </c>
      <c r="D97" s="2164"/>
      <c r="E97" s="2164"/>
      <c r="F97" s="2164"/>
      <c r="G97" s="2165"/>
      <c r="H97" s="591">
        <f>+H83/F83</f>
        <v>2.5591716483075788E-2</v>
      </c>
      <c r="I97" s="907"/>
      <c r="J97" s="76" t="e">
        <f>+J83/F83</f>
        <v>#REF!</v>
      </c>
      <c r="K97" s="537"/>
      <c r="L97" s="906"/>
      <c r="M97" s="76" t="e">
        <f>+L83/F83</f>
        <v>#REF!</v>
      </c>
      <c r="N97" s="592"/>
      <c r="O97" s="593"/>
      <c r="P97" s="594" t="e">
        <f>+O83/F83</f>
        <v>#REF!</v>
      </c>
      <c r="Q97" s="167"/>
    </row>
    <row r="98" spans="1:17" ht="13.5" hidden="1">
      <c r="A98" s="589"/>
      <c r="B98" s="580"/>
      <c r="C98" s="595"/>
      <c r="D98" s="596"/>
      <c r="E98" s="40"/>
      <c r="F98" s="597"/>
      <c r="G98" s="595"/>
      <c r="H98" s="595"/>
      <c r="I98" s="907"/>
      <c r="J98" s="907"/>
      <c r="K98" s="595"/>
      <c r="L98" s="907"/>
      <c r="M98" s="595"/>
      <c r="N98" s="598"/>
      <c r="O98" s="599"/>
      <c r="P98" s="600"/>
    </row>
    <row r="99" spans="1:17" ht="13.5" hidden="1">
      <c r="A99" s="589"/>
      <c r="B99" s="576" t="s">
        <v>1806</v>
      </c>
      <c r="C99" s="595">
        <v>0.13514169600000001</v>
      </c>
      <c r="D99" s="596"/>
      <c r="E99" s="40"/>
      <c r="F99" s="597">
        <f>F83*C99</f>
        <v>52232.603358240005</v>
      </c>
      <c r="G99" s="595"/>
      <c r="H99" s="595"/>
      <c r="I99" s="907"/>
      <c r="J99" s="907"/>
      <c r="K99" s="595"/>
      <c r="L99" s="907"/>
      <c r="M99" s="595"/>
      <c r="N99" s="598"/>
      <c r="O99" s="599"/>
      <c r="P99" s="600"/>
    </row>
    <row r="100" spans="1:17" ht="13.5" hidden="1">
      <c r="A100" s="589"/>
      <c r="B100" s="576" t="s">
        <v>1807</v>
      </c>
      <c r="C100" s="595">
        <v>2.5765203E-2</v>
      </c>
      <c r="D100" s="596"/>
      <c r="E100" s="40"/>
      <c r="F100" s="597">
        <f>F90*C100</f>
        <v>729.17843358269999</v>
      </c>
      <c r="G100" s="595"/>
      <c r="H100" s="595"/>
      <c r="I100" s="907"/>
      <c r="J100" s="907"/>
      <c r="K100" s="595"/>
      <c r="L100" s="907"/>
      <c r="M100" s="595"/>
      <c r="N100" s="598"/>
      <c r="O100" s="599"/>
      <c r="P100" s="600"/>
    </row>
    <row r="101" spans="1:17" ht="13.5" hidden="1">
      <c r="A101" s="589"/>
      <c r="B101" s="576" t="s">
        <v>1808</v>
      </c>
      <c r="C101" s="595">
        <v>5.4089901000000003E-2</v>
      </c>
      <c r="D101" s="596"/>
      <c r="E101" s="40"/>
      <c r="F101" s="597">
        <f>F91*C101</f>
        <v>4165.2723386594698</v>
      </c>
      <c r="G101" s="595"/>
      <c r="H101" s="595"/>
      <c r="I101" s="907"/>
      <c r="J101" s="907"/>
      <c r="K101" s="595"/>
      <c r="L101" s="907"/>
      <c r="M101" s="595"/>
      <c r="N101" s="598"/>
      <c r="O101" s="599"/>
      <c r="P101" s="600"/>
    </row>
    <row r="102" spans="1:17" ht="13.5" hidden="1">
      <c r="A102" s="589"/>
      <c r="B102" s="576" t="s">
        <v>1809</v>
      </c>
      <c r="C102" s="595">
        <v>1.4803359E-2</v>
      </c>
      <c r="D102" s="596"/>
      <c r="E102" s="40"/>
      <c r="F102" s="597">
        <f>F92*C102</f>
        <v>395.50282273889997</v>
      </c>
      <c r="G102" s="595"/>
      <c r="H102" s="595"/>
      <c r="I102" s="907"/>
      <c r="J102" s="907"/>
      <c r="K102" s="595"/>
      <c r="L102" s="907"/>
      <c r="M102" s="595"/>
      <c r="N102" s="598"/>
      <c r="O102" s="599"/>
      <c r="P102" s="600"/>
    </row>
    <row r="103" spans="1:17" ht="13.5" hidden="1">
      <c r="A103" s="589"/>
      <c r="B103" s="576" t="s">
        <v>1810</v>
      </c>
      <c r="C103" s="595">
        <v>3.2312274000000002E-2</v>
      </c>
      <c r="D103" s="596"/>
      <c r="E103" s="40"/>
      <c r="F103" s="597">
        <f>F93*C103</f>
        <v>533.97389900507994</v>
      </c>
      <c r="G103" s="595"/>
      <c r="H103" s="595"/>
      <c r="I103" s="907"/>
      <c r="J103" s="907"/>
      <c r="K103" s="595"/>
      <c r="L103" s="907"/>
      <c r="M103" s="595"/>
      <c r="N103" s="598"/>
      <c r="O103" s="599"/>
      <c r="P103" s="600"/>
    </row>
    <row r="104" spans="1:17" ht="13.5" hidden="1">
      <c r="A104" s="589"/>
      <c r="B104" s="576" t="s">
        <v>1811</v>
      </c>
      <c r="C104" s="595"/>
      <c r="D104" s="596"/>
      <c r="E104" s="40"/>
      <c r="F104" s="597"/>
      <c r="G104" s="595"/>
      <c r="H104" s="595"/>
      <c r="I104" s="907"/>
      <c r="J104" s="907"/>
      <c r="K104" s="595"/>
      <c r="L104" s="907"/>
      <c r="M104" s="595"/>
      <c r="N104" s="598"/>
      <c r="O104" s="599"/>
      <c r="P104" s="600"/>
    </row>
    <row r="105" spans="1:17" ht="13.5" hidden="1">
      <c r="A105" s="589"/>
      <c r="B105" s="576" t="s">
        <v>1812</v>
      </c>
      <c r="C105" s="595"/>
      <c r="D105" s="596"/>
      <c r="E105" s="40"/>
      <c r="F105" s="597"/>
      <c r="G105" s="595"/>
      <c r="H105" s="595"/>
      <c r="I105" s="907"/>
      <c r="J105" s="907"/>
      <c r="K105" s="595"/>
      <c r="L105" s="907"/>
      <c r="M105" s="595"/>
      <c r="N105" s="598"/>
      <c r="O105" s="599"/>
      <c r="P105" s="600"/>
    </row>
    <row r="106" spans="1:17" ht="13.5" hidden="1">
      <c r="A106" s="589"/>
      <c r="B106" s="576" t="s">
        <v>1813</v>
      </c>
      <c r="C106" s="595"/>
      <c r="D106" s="596"/>
      <c r="E106" s="40"/>
      <c r="F106" s="597"/>
      <c r="G106" s="595"/>
      <c r="H106" s="595"/>
      <c r="I106" s="907"/>
      <c r="J106" s="907"/>
      <c r="K106" s="595"/>
      <c r="L106" s="907"/>
      <c r="M106" s="595"/>
      <c r="N106" s="598"/>
      <c r="O106" s="599"/>
      <c r="P106" s="600"/>
    </row>
    <row r="107" spans="1:17" ht="13.5" hidden="1">
      <c r="A107" s="589"/>
      <c r="B107" s="576" t="s">
        <v>1814</v>
      </c>
      <c r="C107" s="595"/>
      <c r="D107" s="596"/>
      <c r="E107" s="40"/>
      <c r="F107" s="597"/>
      <c r="G107" s="595"/>
      <c r="H107" s="595"/>
      <c r="I107" s="907"/>
      <c r="J107" s="907"/>
      <c r="K107" s="595"/>
      <c r="L107" s="907"/>
      <c r="M107" s="595"/>
      <c r="N107" s="598"/>
      <c r="O107" s="599"/>
      <c r="P107" s="600"/>
    </row>
    <row r="108" spans="1:17" ht="13.5" hidden="1">
      <c r="A108" s="589"/>
      <c r="B108" s="576" t="s">
        <v>1815</v>
      </c>
      <c r="C108" s="595"/>
      <c r="D108" s="596"/>
      <c r="E108" s="40"/>
      <c r="F108" s="597"/>
      <c r="G108" s="595"/>
      <c r="H108" s="595"/>
      <c r="I108" s="907"/>
      <c r="J108" s="907"/>
      <c r="K108" s="595"/>
      <c r="L108" s="907"/>
      <c r="M108" s="595"/>
      <c r="N108" s="598"/>
      <c r="O108" s="599"/>
      <c r="P108" s="600"/>
    </row>
    <row r="109" spans="1:17" ht="13.5" hidden="1">
      <c r="A109" s="589"/>
      <c r="B109" s="576" t="s">
        <v>1816</v>
      </c>
      <c r="C109" s="595"/>
      <c r="D109" s="596"/>
      <c r="E109" s="40"/>
      <c r="F109" s="597"/>
      <c r="G109" s="595"/>
      <c r="H109" s="595"/>
      <c r="I109" s="907"/>
      <c r="J109" s="907"/>
      <c r="K109" s="595"/>
      <c r="L109" s="907"/>
      <c r="M109" s="595"/>
      <c r="N109" s="598"/>
      <c r="O109" s="599"/>
      <c r="P109" s="600"/>
    </row>
    <row r="110" spans="1:17" hidden="1">
      <c r="A110" s="567"/>
      <c r="B110" s="567"/>
      <c r="C110" s="568"/>
      <c r="D110" s="569"/>
      <c r="E110" s="569"/>
      <c r="F110" s="569"/>
      <c r="G110" s="570"/>
      <c r="H110" s="571"/>
      <c r="I110" s="570"/>
      <c r="J110" s="571"/>
      <c r="K110" s="570"/>
      <c r="L110" s="571"/>
      <c r="M110" s="572"/>
      <c r="N110" s="573"/>
      <c r="O110" s="573"/>
      <c r="P110" s="574"/>
    </row>
    <row r="111" spans="1:17">
      <c r="G111" s="74">
        <v>2829924.5386533998</v>
      </c>
      <c r="H111" s="74">
        <v>2831657.7990533998</v>
      </c>
      <c r="O111" s="23" t="e">
        <f>F94-L94</f>
        <v>#REF!</v>
      </c>
    </row>
    <row r="112" spans="1:17">
      <c r="G112" s="462">
        <f>H83-G111</f>
        <v>-2820033.2762533999</v>
      </c>
      <c r="H112" s="462">
        <f>H83-H111</f>
        <v>-2821766.5366533999</v>
      </c>
      <c r="I112" s="462"/>
      <c r="L112" s="462"/>
      <c r="O112" s="23" t="e">
        <f>O94-O111</f>
        <v>#REF!</v>
      </c>
    </row>
    <row r="113" spans="8:12">
      <c r="H113" s="462"/>
      <c r="I113" s="462"/>
      <c r="L113" s="462"/>
    </row>
  </sheetData>
  <mergeCells count="27">
    <mergeCell ref="C97:G97"/>
    <mergeCell ref="K12:K13"/>
    <mergeCell ref="A2:P2"/>
    <mergeCell ref="B3:J3"/>
    <mergeCell ref="D4:L4"/>
    <mergeCell ref="O4:P4"/>
    <mergeCell ref="A10:A13"/>
    <mergeCell ref="B10:B13"/>
    <mergeCell ref="C10:C13"/>
    <mergeCell ref="D10:F11"/>
    <mergeCell ref="G10:M10"/>
    <mergeCell ref="N10:P11"/>
    <mergeCell ref="O12:O13"/>
    <mergeCell ref="P12:P13"/>
    <mergeCell ref="G11:H11"/>
    <mergeCell ref="I11:J11"/>
    <mergeCell ref="L12:L13"/>
    <mergeCell ref="M12:M13"/>
    <mergeCell ref="N12:N13"/>
    <mergeCell ref="J12:J13"/>
    <mergeCell ref="K11:M11"/>
    <mergeCell ref="I12:I13"/>
    <mergeCell ref="G12:G13"/>
    <mergeCell ref="D12:D13"/>
    <mergeCell ref="E12:E13"/>
    <mergeCell ref="F12:F13"/>
    <mergeCell ref="H12:H13"/>
  </mergeCells>
  <pageMargins left="0.7" right="0.7" top="0.75" bottom="0.75" header="0.3" footer="0.3"/>
  <pageSetup scale="36" orientation="portrait" r:id="rId1"/>
  <colBreaks count="1" manualBreakCount="1">
    <brk id="16" max="1048575" man="1"/>
  </col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2060"/>
  </sheetPr>
  <dimension ref="A1:G33"/>
  <sheetViews>
    <sheetView workbookViewId="0">
      <selection sqref="A1:G1"/>
    </sheetView>
  </sheetViews>
  <sheetFormatPr baseColWidth="10" defaultRowHeight="12.75"/>
  <cols>
    <col min="2" max="5" width="15.5703125" customWidth="1"/>
    <col min="6" max="6" width="20.42578125" customWidth="1"/>
    <col min="7" max="7" width="28.42578125" customWidth="1"/>
  </cols>
  <sheetData>
    <row r="1" spans="1:7">
      <c r="A1" s="2182" t="s">
        <v>529</v>
      </c>
      <c r="B1" s="2182"/>
      <c r="C1" s="2182"/>
      <c r="D1" s="2182"/>
      <c r="E1" s="2182"/>
      <c r="F1" s="2182"/>
      <c r="G1" s="2182"/>
    </row>
    <row r="2" spans="1:7">
      <c r="A2" s="255" t="s">
        <v>1955</v>
      </c>
      <c r="B2" s="256" t="s">
        <v>1957</v>
      </c>
      <c r="C2" s="256" t="s">
        <v>1958</v>
      </c>
      <c r="D2" s="256" t="s">
        <v>1959</v>
      </c>
      <c r="E2" s="256" t="s">
        <v>1960</v>
      </c>
      <c r="F2" s="256" t="s">
        <v>1211</v>
      </c>
      <c r="G2" s="256" t="s">
        <v>1972</v>
      </c>
    </row>
    <row r="3" spans="1:7">
      <c r="A3" s="855">
        <v>42917</v>
      </c>
      <c r="B3" s="850"/>
      <c r="C3" s="858"/>
      <c r="D3" s="858"/>
      <c r="E3" s="858"/>
      <c r="F3" s="858"/>
      <c r="G3" s="119"/>
    </row>
    <row r="4" spans="1:7">
      <c r="A4" s="856">
        <v>42918</v>
      </c>
      <c r="B4" s="859"/>
      <c r="C4" s="859"/>
      <c r="D4" s="859"/>
      <c r="E4" s="859"/>
      <c r="F4" s="859"/>
      <c r="G4" s="852"/>
    </row>
    <row r="5" spans="1:7">
      <c r="A5" s="855">
        <v>42919</v>
      </c>
      <c r="B5" s="858"/>
      <c r="C5" s="858"/>
      <c r="D5" s="858"/>
      <c r="E5" s="858"/>
      <c r="F5" s="858"/>
      <c r="G5" s="119"/>
    </row>
    <row r="6" spans="1:7">
      <c r="A6" s="855">
        <v>42920</v>
      </c>
      <c r="B6" s="858"/>
      <c r="C6" s="858"/>
      <c r="D6" s="858"/>
      <c r="E6" s="858"/>
      <c r="F6" s="858"/>
      <c r="G6" s="119"/>
    </row>
    <row r="7" spans="1:7" ht="38.25">
      <c r="A7" s="855">
        <v>42921</v>
      </c>
      <c r="B7" s="860"/>
      <c r="C7" s="858"/>
      <c r="D7" s="851" t="s">
        <v>1956</v>
      </c>
      <c r="E7" s="858"/>
      <c r="F7" s="858"/>
      <c r="G7" s="119"/>
    </row>
    <row r="8" spans="1:7" ht="51">
      <c r="A8" s="855">
        <v>42922</v>
      </c>
      <c r="B8" s="858"/>
      <c r="C8" s="851" t="s">
        <v>1961</v>
      </c>
      <c r="D8" s="851" t="s">
        <v>1963</v>
      </c>
      <c r="E8" s="858"/>
      <c r="F8" s="851" t="s">
        <v>1967</v>
      </c>
      <c r="G8" s="119"/>
    </row>
    <row r="9" spans="1:7" ht="51">
      <c r="A9" s="855">
        <v>42923</v>
      </c>
      <c r="B9" s="858"/>
      <c r="C9" s="851" t="s">
        <v>1964</v>
      </c>
      <c r="D9" s="851" t="s">
        <v>1965</v>
      </c>
      <c r="E9" s="858"/>
      <c r="F9" s="851" t="s">
        <v>1962</v>
      </c>
      <c r="G9" s="119"/>
    </row>
    <row r="10" spans="1:7" ht="51">
      <c r="A10" s="855">
        <v>42924</v>
      </c>
      <c r="B10" s="858"/>
      <c r="C10" s="851" t="s">
        <v>1966</v>
      </c>
      <c r="D10" s="851" t="s">
        <v>1965</v>
      </c>
      <c r="E10" s="858"/>
      <c r="F10" s="849" t="s">
        <v>1967</v>
      </c>
      <c r="G10" s="119"/>
    </row>
    <row r="11" spans="1:7">
      <c r="A11" s="856">
        <v>42925</v>
      </c>
      <c r="B11" s="853"/>
      <c r="C11" s="859"/>
      <c r="D11" s="859"/>
      <c r="E11" s="859"/>
      <c r="F11" s="859"/>
      <c r="G11" s="852"/>
    </row>
    <row r="12" spans="1:7" ht="51">
      <c r="A12" s="855">
        <v>42926</v>
      </c>
      <c r="B12" s="858"/>
      <c r="C12" s="851" t="s">
        <v>1965</v>
      </c>
      <c r="D12" s="851" t="s">
        <v>1965</v>
      </c>
      <c r="E12" s="858"/>
      <c r="F12" s="851" t="s">
        <v>1962</v>
      </c>
      <c r="G12" s="119"/>
    </row>
    <row r="13" spans="1:7" ht="51">
      <c r="A13" s="855">
        <v>42927</v>
      </c>
      <c r="B13" s="858"/>
      <c r="C13" s="851" t="s">
        <v>1965</v>
      </c>
      <c r="D13" s="851" t="s">
        <v>1965</v>
      </c>
      <c r="E13" s="858"/>
      <c r="F13" s="851" t="s">
        <v>1967</v>
      </c>
      <c r="G13" s="851" t="s">
        <v>1973</v>
      </c>
    </row>
    <row r="14" spans="1:7" ht="51">
      <c r="A14" s="855">
        <v>42928</v>
      </c>
      <c r="B14" s="858"/>
      <c r="C14" s="851" t="s">
        <v>1968</v>
      </c>
      <c r="D14" s="851" t="s">
        <v>1969</v>
      </c>
      <c r="E14" s="858"/>
      <c r="F14" s="851" t="s">
        <v>1962</v>
      </c>
      <c r="G14" s="851" t="s">
        <v>1973</v>
      </c>
    </row>
    <row r="15" spans="1:7" ht="51">
      <c r="A15" s="855">
        <v>42929</v>
      </c>
      <c r="B15" s="850"/>
      <c r="C15" s="851" t="s">
        <v>1968</v>
      </c>
      <c r="D15" s="851" t="s">
        <v>1969</v>
      </c>
      <c r="E15" s="858"/>
      <c r="F15" s="851" t="s">
        <v>1967</v>
      </c>
      <c r="G15" s="851" t="s">
        <v>1973</v>
      </c>
    </row>
    <row r="16" spans="1:7" ht="38.25">
      <c r="A16" s="855">
        <v>42930</v>
      </c>
      <c r="B16" s="858"/>
      <c r="C16" s="851" t="s">
        <v>1970</v>
      </c>
      <c r="D16" s="851" t="s">
        <v>1970</v>
      </c>
      <c r="E16" s="858"/>
      <c r="F16" s="851" t="s">
        <v>1962</v>
      </c>
      <c r="G16" s="854" t="s">
        <v>1974</v>
      </c>
    </row>
    <row r="17" spans="1:7" ht="51">
      <c r="A17" s="855">
        <v>42931</v>
      </c>
      <c r="B17" s="858"/>
      <c r="C17" s="851" t="s">
        <v>1970</v>
      </c>
      <c r="D17" s="851" t="s">
        <v>1970</v>
      </c>
      <c r="E17" s="858"/>
      <c r="F17" s="851" t="s">
        <v>1967</v>
      </c>
      <c r="G17" s="851" t="s">
        <v>1975</v>
      </c>
    </row>
    <row r="18" spans="1:7">
      <c r="A18" s="856">
        <v>42932</v>
      </c>
      <c r="B18" s="859"/>
      <c r="C18" s="859"/>
      <c r="D18" s="859"/>
      <c r="E18" s="859"/>
      <c r="F18" s="859"/>
      <c r="G18" s="852"/>
    </row>
    <row r="19" spans="1:7" ht="38.25">
      <c r="A19" s="855">
        <v>42933</v>
      </c>
      <c r="B19" s="850"/>
      <c r="C19" s="851" t="s">
        <v>1970</v>
      </c>
      <c r="D19" s="851" t="s">
        <v>1970</v>
      </c>
      <c r="E19" s="858"/>
      <c r="F19" s="858"/>
      <c r="G19" s="851" t="s">
        <v>1975</v>
      </c>
    </row>
    <row r="20" spans="1:7" ht="38.25">
      <c r="A20" s="855">
        <v>42934</v>
      </c>
      <c r="B20" s="858"/>
      <c r="C20" s="851" t="s">
        <v>1970</v>
      </c>
      <c r="D20" s="851" t="s">
        <v>1970</v>
      </c>
      <c r="E20" s="858"/>
      <c r="F20" s="858"/>
      <c r="G20" s="851" t="s">
        <v>1976</v>
      </c>
    </row>
    <row r="21" spans="1:7" ht="38.25">
      <c r="A21" s="855">
        <v>42935</v>
      </c>
      <c r="B21" s="858"/>
      <c r="C21" s="851" t="s">
        <v>1970</v>
      </c>
      <c r="D21" s="858"/>
      <c r="E21" s="858"/>
      <c r="F21" s="858"/>
      <c r="G21" s="851" t="s">
        <v>1975</v>
      </c>
    </row>
    <row r="22" spans="1:7" ht="25.5">
      <c r="A22" s="855">
        <v>42936</v>
      </c>
      <c r="B22" s="858"/>
      <c r="C22" s="851" t="s">
        <v>1971</v>
      </c>
      <c r="D22" s="851" t="s">
        <v>1971</v>
      </c>
      <c r="E22" s="858"/>
      <c r="F22" s="858"/>
      <c r="G22" s="851" t="s">
        <v>1976</v>
      </c>
    </row>
    <row r="23" spans="1:7" ht="38.25">
      <c r="A23" s="855">
        <v>42937</v>
      </c>
      <c r="B23" s="851" t="s">
        <v>1980</v>
      </c>
      <c r="C23" s="849" t="s">
        <v>1979</v>
      </c>
      <c r="D23" s="849" t="s">
        <v>1979</v>
      </c>
      <c r="E23" s="858"/>
      <c r="F23" s="858"/>
      <c r="G23" s="851" t="s">
        <v>1977</v>
      </c>
    </row>
    <row r="24" spans="1:7" ht="38.25">
      <c r="A24" s="855">
        <v>42938</v>
      </c>
      <c r="B24" s="851" t="s">
        <v>1980</v>
      </c>
      <c r="C24" s="849" t="s">
        <v>1979</v>
      </c>
      <c r="D24" s="849" t="s">
        <v>1979</v>
      </c>
      <c r="E24" s="858"/>
      <c r="F24" s="858"/>
      <c r="G24" s="851" t="s">
        <v>1977</v>
      </c>
    </row>
    <row r="25" spans="1:7">
      <c r="A25" s="856">
        <v>42939</v>
      </c>
      <c r="B25" s="859"/>
      <c r="C25" s="859"/>
      <c r="D25" s="859"/>
      <c r="E25" s="859"/>
      <c r="F25" s="859"/>
      <c r="G25" s="862"/>
    </row>
    <row r="26" spans="1:7" ht="38.25">
      <c r="A26" s="855">
        <v>42940</v>
      </c>
      <c r="B26" s="851" t="s">
        <v>1981</v>
      </c>
      <c r="C26" s="849" t="s">
        <v>1979</v>
      </c>
      <c r="D26" s="849" t="s">
        <v>1979</v>
      </c>
      <c r="E26" s="858"/>
      <c r="F26" s="858"/>
      <c r="G26" s="851" t="s">
        <v>1977</v>
      </c>
    </row>
    <row r="27" spans="1:7" ht="38.25">
      <c r="A27" s="855">
        <v>42941</v>
      </c>
      <c r="C27" s="849" t="s">
        <v>1979</v>
      </c>
      <c r="D27" s="849" t="s">
        <v>1979</v>
      </c>
      <c r="E27" s="858"/>
      <c r="F27" s="858"/>
      <c r="G27" s="854" t="s">
        <v>1978</v>
      </c>
    </row>
    <row r="28" spans="1:7" ht="25.5">
      <c r="A28" s="855">
        <v>42942</v>
      </c>
      <c r="B28" s="858"/>
      <c r="C28" s="858"/>
      <c r="D28" s="858"/>
      <c r="E28" s="858"/>
      <c r="F28" s="858"/>
      <c r="G28" s="851" t="s">
        <v>1975</v>
      </c>
    </row>
    <row r="29" spans="1:7" ht="25.5">
      <c r="A29" s="855">
        <v>42943</v>
      </c>
      <c r="B29" s="858"/>
      <c r="C29" s="858"/>
      <c r="D29" s="858"/>
      <c r="E29" s="858"/>
      <c r="F29" s="858"/>
      <c r="G29" s="851" t="s">
        <v>1976</v>
      </c>
    </row>
    <row r="30" spans="1:7">
      <c r="A30" s="856">
        <v>42944</v>
      </c>
      <c r="B30" s="859"/>
      <c r="C30" s="859"/>
      <c r="D30" s="859"/>
      <c r="E30" s="859"/>
      <c r="F30" s="859"/>
      <c r="G30" s="852"/>
    </row>
    <row r="31" spans="1:7" ht="25.5">
      <c r="A31" s="857">
        <v>42945</v>
      </c>
      <c r="B31" s="861"/>
      <c r="C31" s="861"/>
      <c r="D31" s="861"/>
      <c r="E31" s="861"/>
      <c r="F31" s="851" t="s">
        <v>1980</v>
      </c>
      <c r="G31" s="119"/>
    </row>
    <row r="32" spans="1:7">
      <c r="A32" s="856">
        <v>42946</v>
      </c>
      <c r="B32" s="859"/>
      <c r="C32" s="859"/>
      <c r="D32" s="859"/>
      <c r="E32" s="859"/>
      <c r="F32" s="862"/>
      <c r="G32" s="852"/>
    </row>
    <row r="33" spans="1:7" ht="25.5">
      <c r="A33" s="855">
        <v>42947</v>
      </c>
      <c r="B33" s="858"/>
      <c r="C33" s="858"/>
      <c r="D33" s="858"/>
      <c r="E33" s="858"/>
      <c r="F33" s="851" t="s">
        <v>1980</v>
      </c>
      <c r="G33" s="119"/>
    </row>
  </sheetData>
  <mergeCells count="1">
    <mergeCell ref="A1:G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C1:AM117"/>
  <sheetViews>
    <sheetView view="pageBreakPreview" topLeftCell="A55" zoomScaleNormal="100" zoomScaleSheetLayoutView="100" workbookViewId="0">
      <selection activeCell="F18" sqref="F18"/>
    </sheetView>
  </sheetViews>
  <sheetFormatPr baseColWidth="10" defaultRowHeight="15"/>
  <cols>
    <col min="1" max="1" width="11.5703125" style="1931"/>
    <col min="2" max="2" width="1" style="1931" customWidth="1"/>
    <col min="3" max="3" width="4.42578125" style="1931" customWidth="1"/>
    <col min="4" max="4" width="5.42578125" style="1931" customWidth="1"/>
    <col min="5" max="5" width="50.5703125" style="1931" bestFit="1" customWidth="1"/>
    <col min="6" max="6" width="56.42578125" style="1931" customWidth="1"/>
    <col min="7" max="7" width="1.28515625" style="1931" customWidth="1"/>
    <col min="8" max="8" width="17" style="1931" customWidth="1"/>
    <col min="9" max="258" width="10.85546875" style="1931"/>
    <col min="259" max="259" width="4.42578125" style="1931" customWidth="1"/>
    <col min="260" max="260" width="5.42578125" style="1931" customWidth="1"/>
    <col min="261" max="261" width="50.5703125" style="1931" bestFit="1" customWidth="1"/>
    <col min="262" max="262" width="56.42578125" style="1931" customWidth="1"/>
    <col min="263" max="514" width="10.85546875" style="1931"/>
    <col min="515" max="515" width="4.42578125" style="1931" customWidth="1"/>
    <col min="516" max="516" width="5.42578125" style="1931" customWidth="1"/>
    <col min="517" max="517" width="50.5703125" style="1931" bestFit="1" customWidth="1"/>
    <col min="518" max="518" width="56.42578125" style="1931" customWidth="1"/>
    <col min="519" max="770" width="10.85546875" style="1931"/>
    <col min="771" max="771" width="4.42578125" style="1931" customWidth="1"/>
    <col min="772" max="772" width="5.42578125" style="1931" customWidth="1"/>
    <col min="773" max="773" width="50.5703125" style="1931" bestFit="1" customWidth="1"/>
    <col min="774" max="774" width="56.42578125" style="1931" customWidth="1"/>
    <col min="775" max="1026" width="10.85546875" style="1931"/>
    <col min="1027" max="1027" width="4.42578125" style="1931" customWidth="1"/>
    <col min="1028" max="1028" width="5.42578125" style="1931" customWidth="1"/>
    <col min="1029" max="1029" width="50.5703125" style="1931" bestFit="1" customWidth="1"/>
    <col min="1030" max="1030" width="56.42578125" style="1931" customWidth="1"/>
    <col min="1031" max="1282" width="10.85546875" style="1931"/>
    <col min="1283" max="1283" width="4.42578125" style="1931" customWidth="1"/>
    <col min="1284" max="1284" width="5.42578125" style="1931" customWidth="1"/>
    <col min="1285" max="1285" width="50.5703125" style="1931" bestFit="1" customWidth="1"/>
    <col min="1286" max="1286" width="56.42578125" style="1931" customWidth="1"/>
    <col min="1287" max="1538" width="10.85546875" style="1931"/>
    <col min="1539" max="1539" width="4.42578125" style="1931" customWidth="1"/>
    <col min="1540" max="1540" width="5.42578125" style="1931" customWidth="1"/>
    <col min="1541" max="1541" width="50.5703125" style="1931" bestFit="1" customWidth="1"/>
    <col min="1542" max="1542" width="56.42578125" style="1931" customWidth="1"/>
    <col min="1543" max="1794" width="10.85546875" style="1931"/>
    <col min="1795" max="1795" width="4.42578125" style="1931" customWidth="1"/>
    <col min="1796" max="1796" width="5.42578125" style="1931" customWidth="1"/>
    <col min="1797" max="1797" width="50.5703125" style="1931" bestFit="1" customWidth="1"/>
    <col min="1798" max="1798" width="56.42578125" style="1931" customWidth="1"/>
    <col min="1799" max="2050" width="10.85546875" style="1931"/>
    <col min="2051" max="2051" width="4.42578125" style="1931" customWidth="1"/>
    <col min="2052" max="2052" width="5.42578125" style="1931" customWidth="1"/>
    <col min="2053" max="2053" width="50.5703125" style="1931" bestFit="1" customWidth="1"/>
    <col min="2054" max="2054" width="56.42578125" style="1931" customWidth="1"/>
    <col min="2055" max="2306" width="10.85546875" style="1931"/>
    <col min="2307" max="2307" width="4.42578125" style="1931" customWidth="1"/>
    <col min="2308" max="2308" width="5.42578125" style="1931" customWidth="1"/>
    <col min="2309" max="2309" width="50.5703125" style="1931" bestFit="1" customWidth="1"/>
    <col min="2310" max="2310" width="56.42578125" style="1931" customWidth="1"/>
    <col min="2311" max="2562" width="10.85546875" style="1931"/>
    <col min="2563" max="2563" width="4.42578125" style="1931" customWidth="1"/>
    <col min="2564" max="2564" width="5.42578125" style="1931" customWidth="1"/>
    <col min="2565" max="2565" width="50.5703125" style="1931" bestFit="1" customWidth="1"/>
    <col min="2566" max="2566" width="56.42578125" style="1931" customWidth="1"/>
    <col min="2567" max="2818" width="10.85546875" style="1931"/>
    <col min="2819" max="2819" width="4.42578125" style="1931" customWidth="1"/>
    <col min="2820" max="2820" width="5.42578125" style="1931" customWidth="1"/>
    <col min="2821" max="2821" width="50.5703125" style="1931" bestFit="1" customWidth="1"/>
    <col min="2822" max="2822" width="56.42578125" style="1931" customWidth="1"/>
    <col min="2823" max="3074" width="10.85546875" style="1931"/>
    <col min="3075" max="3075" width="4.42578125" style="1931" customWidth="1"/>
    <col min="3076" max="3076" width="5.42578125" style="1931" customWidth="1"/>
    <col min="3077" max="3077" width="50.5703125" style="1931" bestFit="1" customWidth="1"/>
    <col min="3078" max="3078" width="56.42578125" style="1931" customWidth="1"/>
    <col min="3079" max="3330" width="10.85546875" style="1931"/>
    <col min="3331" max="3331" width="4.42578125" style="1931" customWidth="1"/>
    <col min="3332" max="3332" width="5.42578125" style="1931" customWidth="1"/>
    <col min="3333" max="3333" width="50.5703125" style="1931" bestFit="1" customWidth="1"/>
    <col min="3334" max="3334" width="56.42578125" style="1931" customWidth="1"/>
    <col min="3335" max="3586" width="10.85546875" style="1931"/>
    <col min="3587" max="3587" width="4.42578125" style="1931" customWidth="1"/>
    <col min="3588" max="3588" width="5.42578125" style="1931" customWidth="1"/>
    <col min="3589" max="3589" width="50.5703125" style="1931" bestFit="1" customWidth="1"/>
    <col min="3590" max="3590" width="56.42578125" style="1931" customWidth="1"/>
    <col min="3591" max="3842" width="10.85546875" style="1931"/>
    <col min="3843" max="3843" width="4.42578125" style="1931" customWidth="1"/>
    <col min="3844" max="3844" width="5.42578125" style="1931" customWidth="1"/>
    <col min="3845" max="3845" width="50.5703125" style="1931" bestFit="1" customWidth="1"/>
    <col min="3846" max="3846" width="56.42578125" style="1931" customWidth="1"/>
    <col min="3847" max="4098" width="10.85546875" style="1931"/>
    <col min="4099" max="4099" width="4.42578125" style="1931" customWidth="1"/>
    <col min="4100" max="4100" width="5.42578125" style="1931" customWidth="1"/>
    <col min="4101" max="4101" width="50.5703125" style="1931" bestFit="1" customWidth="1"/>
    <col min="4102" max="4102" width="56.42578125" style="1931" customWidth="1"/>
    <col min="4103" max="4354" width="10.85546875" style="1931"/>
    <col min="4355" max="4355" width="4.42578125" style="1931" customWidth="1"/>
    <col min="4356" max="4356" width="5.42578125" style="1931" customWidth="1"/>
    <col min="4357" max="4357" width="50.5703125" style="1931" bestFit="1" customWidth="1"/>
    <col min="4358" max="4358" width="56.42578125" style="1931" customWidth="1"/>
    <col min="4359" max="4610" width="10.85546875" style="1931"/>
    <col min="4611" max="4611" width="4.42578125" style="1931" customWidth="1"/>
    <col min="4612" max="4612" width="5.42578125" style="1931" customWidth="1"/>
    <col min="4613" max="4613" width="50.5703125" style="1931" bestFit="1" customWidth="1"/>
    <col min="4614" max="4614" width="56.42578125" style="1931" customWidth="1"/>
    <col min="4615" max="4866" width="10.85546875" style="1931"/>
    <col min="4867" max="4867" width="4.42578125" style="1931" customWidth="1"/>
    <col min="4868" max="4868" width="5.42578125" style="1931" customWidth="1"/>
    <col min="4869" max="4869" width="50.5703125" style="1931" bestFit="1" customWidth="1"/>
    <col min="4870" max="4870" width="56.42578125" style="1931" customWidth="1"/>
    <col min="4871" max="5122" width="10.85546875" style="1931"/>
    <col min="5123" max="5123" width="4.42578125" style="1931" customWidth="1"/>
    <col min="5124" max="5124" width="5.42578125" style="1931" customWidth="1"/>
    <col min="5125" max="5125" width="50.5703125" style="1931" bestFit="1" customWidth="1"/>
    <col min="5126" max="5126" width="56.42578125" style="1931" customWidth="1"/>
    <col min="5127" max="5378" width="10.85546875" style="1931"/>
    <col min="5379" max="5379" width="4.42578125" style="1931" customWidth="1"/>
    <col min="5380" max="5380" width="5.42578125" style="1931" customWidth="1"/>
    <col min="5381" max="5381" width="50.5703125" style="1931" bestFit="1" customWidth="1"/>
    <col min="5382" max="5382" width="56.42578125" style="1931" customWidth="1"/>
    <col min="5383" max="5634" width="10.85546875" style="1931"/>
    <col min="5635" max="5635" width="4.42578125" style="1931" customWidth="1"/>
    <col min="5636" max="5636" width="5.42578125" style="1931" customWidth="1"/>
    <col min="5637" max="5637" width="50.5703125" style="1931" bestFit="1" customWidth="1"/>
    <col min="5638" max="5638" width="56.42578125" style="1931" customWidth="1"/>
    <col min="5639" max="5890" width="10.85546875" style="1931"/>
    <col min="5891" max="5891" width="4.42578125" style="1931" customWidth="1"/>
    <col min="5892" max="5892" width="5.42578125" style="1931" customWidth="1"/>
    <col min="5893" max="5893" width="50.5703125" style="1931" bestFit="1" customWidth="1"/>
    <col min="5894" max="5894" width="56.42578125" style="1931" customWidth="1"/>
    <col min="5895" max="6146" width="10.85546875" style="1931"/>
    <col min="6147" max="6147" width="4.42578125" style="1931" customWidth="1"/>
    <col min="6148" max="6148" width="5.42578125" style="1931" customWidth="1"/>
    <col min="6149" max="6149" width="50.5703125" style="1931" bestFit="1" customWidth="1"/>
    <col min="6150" max="6150" width="56.42578125" style="1931" customWidth="1"/>
    <col min="6151" max="6402" width="10.85546875" style="1931"/>
    <col min="6403" max="6403" width="4.42578125" style="1931" customWidth="1"/>
    <col min="6404" max="6404" width="5.42578125" style="1931" customWidth="1"/>
    <col min="6405" max="6405" width="50.5703125" style="1931" bestFit="1" customWidth="1"/>
    <col min="6406" max="6406" width="56.42578125" style="1931" customWidth="1"/>
    <col min="6407" max="6658" width="10.85546875" style="1931"/>
    <col min="6659" max="6659" width="4.42578125" style="1931" customWidth="1"/>
    <col min="6660" max="6660" width="5.42578125" style="1931" customWidth="1"/>
    <col min="6661" max="6661" width="50.5703125" style="1931" bestFit="1" customWidth="1"/>
    <col min="6662" max="6662" width="56.42578125" style="1931" customWidth="1"/>
    <col min="6663" max="6914" width="10.85546875" style="1931"/>
    <col min="6915" max="6915" width="4.42578125" style="1931" customWidth="1"/>
    <col min="6916" max="6916" width="5.42578125" style="1931" customWidth="1"/>
    <col min="6917" max="6917" width="50.5703125" style="1931" bestFit="1" customWidth="1"/>
    <col min="6918" max="6918" width="56.42578125" style="1931" customWidth="1"/>
    <col min="6919" max="7170" width="10.85546875" style="1931"/>
    <col min="7171" max="7171" width="4.42578125" style="1931" customWidth="1"/>
    <col min="7172" max="7172" width="5.42578125" style="1931" customWidth="1"/>
    <col min="7173" max="7173" width="50.5703125" style="1931" bestFit="1" customWidth="1"/>
    <col min="7174" max="7174" width="56.42578125" style="1931" customWidth="1"/>
    <col min="7175" max="7426" width="10.85546875" style="1931"/>
    <col min="7427" max="7427" width="4.42578125" style="1931" customWidth="1"/>
    <col min="7428" max="7428" width="5.42578125" style="1931" customWidth="1"/>
    <col min="7429" max="7429" width="50.5703125" style="1931" bestFit="1" customWidth="1"/>
    <col min="7430" max="7430" width="56.42578125" style="1931" customWidth="1"/>
    <col min="7431" max="7682" width="10.85546875" style="1931"/>
    <col min="7683" max="7683" width="4.42578125" style="1931" customWidth="1"/>
    <col min="7684" max="7684" width="5.42578125" style="1931" customWidth="1"/>
    <col min="7685" max="7685" width="50.5703125" style="1931" bestFit="1" customWidth="1"/>
    <col min="7686" max="7686" width="56.42578125" style="1931" customWidth="1"/>
    <col min="7687" max="7938" width="10.85546875" style="1931"/>
    <col min="7939" max="7939" width="4.42578125" style="1931" customWidth="1"/>
    <col min="7940" max="7940" width="5.42578125" style="1931" customWidth="1"/>
    <col min="7941" max="7941" width="50.5703125" style="1931" bestFit="1" customWidth="1"/>
    <col min="7942" max="7942" width="56.42578125" style="1931" customWidth="1"/>
    <col min="7943" max="8194" width="10.85546875" style="1931"/>
    <col min="8195" max="8195" width="4.42578125" style="1931" customWidth="1"/>
    <col min="8196" max="8196" width="5.42578125" style="1931" customWidth="1"/>
    <col min="8197" max="8197" width="50.5703125" style="1931" bestFit="1" customWidth="1"/>
    <col min="8198" max="8198" width="56.42578125" style="1931" customWidth="1"/>
    <col min="8199" max="8450" width="10.85546875" style="1931"/>
    <col min="8451" max="8451" width="4.42578125" style="1931" customWidth="1"/>
    <col min="8452" max="8452" width="5.42578125" style="1931" customWidth="1"/>
    <col min="8453" max="8453" width="50.5703125" style="1931" bestFit="1" customWidth="1"/>
    <col min="8454" max="8454" width="56.42578125" style="1931" customWidth="1"/>
    <col min="8455" max="8706" width="10.85546875" style="1931"/>
    <col min="8707" max="8707" width="4.42578125" style="1931" customWidth="1"/>
    <col min="8708" max="8708" width="5.42578125" style="1931" customWidth="1"/>
    <col min="8709" max="8709" width="50.5703125" style="1931" bestFit="1" customWidth="1"/>
    <col min="8710" max="8710" width="56.42578125" style="1931" customWidth="1"/>
    <col min="8711" max="8962" width="10.85546875" style="1931"/>
    <col min="8963" max="8963" width="4.42578125" style="1931" customWidth="1"/>
    <col min="8964" max="8964" width="5.42578125" style="1931" customWidth="1"/>
    <col min="8965" max="8965" width="50.5703125" style="1931" bestFit="1" customWidth="1"/>
    <col min="8966" max="8966" width="56.42578125" style="1931" customWidth="1"/>
    <col min="8967" max="9218" width="10.85546875" style="1931"/>
    <col min="9219" max="9219" width="4.42578125" style="1931" customWidth="1"/>
    <col min="9220" max="9220" width="5.42578125" style="1931" customWidth="1"/>
    <col min="9221" max="9221" width="50.5703125" style="1931" bestFit="1" customWidth="1"/>
    <col min="9222" max="9222" width="56.42578125" style="1931" customWidth="1"/>
    <col min="9223" max="9474" width="10.85546875" style="1931"/>
    <col min="9475" max="9475" width="4.42578125" style="1931" customWidth="1"/>
    <col min="9476" max="9476" width="5.42578125" style="1931" customWidth="1"/>
    <col min="9477" max="9477" width="50.5703125" style="1931" bestFit="1" customWidth="1"/>
    <col min="9478" max="9478" width="56.42578125" style="1931" customWidth="1"/>
    <col min="9479" max="9730" width="10.85546875" style="1931"/>
    <col min="9731" max="9731" width="4.42578125" style="1931" customWidth="1"/>
    <col min="9732" max="9732" width="5.42578125" style="1931" customWidth="1"/>
    <col min="9733" max="9733" width="50.5703125" style="1931" bestFit="1" customWidth="1"/>
    <col min="9734" max="9734" width="56.42578125" style="1931" customWidth="1"/>
    <col min="9735" max="9986" width="10.85546875" style="1931"/>
    <col min="9987" max="9987" width="4.42578125" style="1931" customWidth="1"/>
    <col min="9988" max="9988" width="5.42578125" style="1931" customWidth="1"/>
    <col min="9989" max="9989" width="50.5703125" style="1931" bestFit="1" customWidth="1"/>
    <col min="9990" max="9990" width="56.42578125" style="1931" customWidth="1"/>
    <col min="9991" max="10242" width="10.85546875" style="1931"/>
    <col min="10243" max="10243" width="4.42578125" style="1931" customWidth="1"/>
    <col min="10244" max="10244" width="5.42578125" style="1931" customWidth="1"/>
    <col min="10245" max="10245" width="50.5703125" style="1931" bestFit="1" customWidth="1"/>
    <col min="10246" max="10246" width="56.42578125" style="1931" customWidth="1"/>
    <col min="10247" max="10498" width="10.85546875" style="1931"/>
    <col min="10499" max="10499" width="4.42578125" style="1931" customWidth="1"/>
    <col min="10500" max="10500" width="5.42578125" style="1931" customWidth="1"/>
    <col min="10501" max="10501" width="50.5703125" style="1931" bestFit="1" customWidth="1"/>
    <col min="10502" max="10502" width="56.42578125" style="1931" customWidth="1"/>
    <col min="10503" max="10754" width="10.85546875" style="1931"/>
    <col min="10755" max="10755" width="4.42578125" style="1931" customWidth="1"/>
    <col min="10756" max="10756" width="5.42578125" style="1931" customWidth="1"/>
    <col min="10757" max="10757" width="50.5703125" style="1931" bestFit="1" customWidth="1"/>
    <col min="10758" max="10758" width="56.42578125" style="1931" customWidth="1"/>
    <col min="10759" max="11010" width="10.85546875" style="1931"/>
    <col min="11011" max="11011" width="4.42578125" style="1931" customWidth="1"/>
    <col min="11012" max="11012" width="5.42578125" style="1931" customWidth="1"/>
    <col min="11013" max="11013" width="50.5703125" style="1931" bestFit="1" customWidth="1"/>
    <col min="11014" max="11014" width="56.42578125" style="1931" customWidth="1"/>
    <col min="11015" max="11266" width="10.85546875" style="1931"/>
    <col min="11267" max="11267" width="4.42578125" style="1931" customWidth="1"/>
    <col min="11268" max="11268" width="5.42578125" style="1931" customWidth="1"/>
    <col min="11269" max="11269" width="50.5703125" style="1931" bestFit="1" customWidth="1"/>
    <col min="11270" max="11270" width="56.42578125" style="1931" customWidth="1"/>
    <col min="11271" max="11522" width="10.85546875" style="1931"/>
    <col min="11523" max="11523" width="4.42578125" style="1931" customWidth="1"/>
    <col min="11524" max="11524" width="5.42578125" style="1931" customWidth="1"/>
    <col min="11525" max="11525" width="50.5703125" style="1931" bestFit="1" customWidth="1"/>
    <col min="11526" max="11526" width="56.42578125" style="1931" customWidth="1"/>
    <col min="11527" max="11778" width="10.85546875" style="1931"/>
    <col min="11779" max="11779" width="4.42578125" style="1931" customWidth="1"/>
    <col min="11780" max="11780" width="5.42578125" style="1931" customWidth="1"/>
    <col min="11781" max="11781" width="50.5703125" style="1931" bestFit="1" customWidth="1"/>
    <col min="11782" max="11782" width="56.42578125" style="1931" customWidth="1"/>
    <col min="11783" max="12034" width="10.85546875" style="1931"/>
    <col min="12035" max="12035" width="4.42578125" style="1931" customWidth="1"/>
    <col min="12036" max="12036" width="5.42578125" style="1931" customWidth="1"/>
    <col min="12037" max="12037" width="50.5703125" style="1931" bestFit="1" customWidth="1"/>
    <col min="12038" max="12038" width="56.42578125" style="1931" customWidth="1"/>
    <col min="12039" max="12290" width="10.85546875" style="1931"/>
    <col min="12291" max="12291" width="4.42578125" style="1931" customWidth="1"/>
    <col min="12292" max="12292" width="5.42578125" style="1931" customWidth="1"/>
    <col min="12293" max="12293" width="50.5703125" style="1931" bestFit="1" customWidth="1"/>
    <col min="12294" max="12294" width="56.42578125" style="1931" customWidth="1"/>
    <col min="12295" max="12546" width="10.85546875" style="1931"/>
    <col min="12547" max="12547" width="4.42578125" style="1931" customWidth="1"/>
    <col min="12548" max="12548" width="5.42578125" style="1931" customWidth="1"/>
    <col min="12549" max="12549" width="50.5703125" style="1931" bestFit="1" customWidth="1"/>
    <col min="12550" max="12550" width="56.42578125" style="1931" customWidth="1"/>
    <col min="12551" max="12802" width="10.85546875" style="1931"/>
    <col min="12803" max="12803" width="4.42578125" style="1931" customWidth="1"/>
    <col min="12804" max="12804" width="5.42578125" style="1931" customWidth="1"/>
    <col min="12805" max="12805" width="50.5703125" style="1931" bestFit="1" customWidth="1"/>
    <col min="12806" max="12806" width="56.42578125" style="1931" customWidth="1"/>
    <col min="12807" max="13058" width="10.85546875" style="1931"/>
    <col min="13059" max="13059" width="4.42578125" style="1931" customWidth="1"/>
    <col min="13060" max="13060" width="5.42578125" style="1931" customWidth="1"/>
    <col min="13061" max="13061" width="50.5703125" style="1931" bestFit="1" customWidth="1"/>
    <col min="13062" max="13062" width="56.42578125" style="1931" customWidth="1"/>
    <col min="13063" max="13314" width="10.85546875" style="1931"/>
    <col min="13315" max="13315" width="4.42578125" style="1931" customWidth="1"/>
    <col min="13316" max="13316" width="5.42578125" style="1931" customWidth="1"/>
    <col min="13317" max="13317" width="50.5703125" style="1931" bestFit="1" customWidth="1"/>
    <col min="13318" max="13318" width="56.42578125" style="1931" customWidth="1"/>
    <col min="13319" max="13570" width="10.85546875" style="1931"/>
    <col min="13571" max="13571" width="4.42578125" style="1931" customWidth="1"/>
    <col min="13572" max="13572" width="5.42578125" style="1931" customWidth="1"/>
    <col min="13573" max="13573" width="50.5703125" style="1931" bestFit="1" customWidth="1"/>
    <col min="13574" max="13574" width="56.42578125" style="1931" customWidth="1"/>
    <col min="13575" max="13826" width="10.85546875" style="1931"/>
    <col min="13827" max="13827" width="4.42578125" style="1931" customWidth="1"/>
    <col min="13828" max="13828" width="5.42578125" style="1931" customWidth="1"/>
    <col min="13829" max="13829" width="50.5703125" style="1931" bestFit="1" customWidth="1"/>
    <col min="13830" max="13830" width="56.42578125" style="1931" customWidth="1"/>
    <col min="13831" max="14082" width="10.85546875" style="1931"/>
    <col min="14083" max="14083" width="4.42578125" style="1931" customWidth="1"/>
    <col min="14084" max="14084" width="5.42578125" style="1931" customWidth="1"/>
    <col min="14085" max="14085" width="50.5703125" style="1931" bestFit="1" customWidth="1"/>
    <col min="14086" max="14086" width="56.42578125" style="1931" customWidth="1"/>
    <col min="14087" max="14338" width="10.85546875" style="1931"/>
    <col min="14339" max="14339" width="4.42578125" style="1931" customWidth="1"/>
    <col min="14340" max="14340" width="5.42578125" style="1931" customWidth="1"/>
    <col min="14341" max="14341" width="50.5703125" style="1931" bestFit="1" customWidth="1"/>
    <col min="14342" max="14342" width="56.42578125" style="1931" customWidth="1"/>
    <col min="14343" max="14594" width="10.85546875" style="1931"/>
    <col min="14595" max="14595" width="4.42578125" style="1931" customWidth="1"/>
    <col min="14596" max="14596" width="5.42578125" style="1931" customWidth="1"/>
    <col min="14597" max="14597" width="50.5703125" style="1931" bestFit="1" customWidth="1"/>
    <col min="14598" max="14598" width="56.42578125" style="1931" customWidth="1"/>
    <col min="14599" max="14850" width="10.85546875" style="1931"/>
    <col min="14851" max="14851" width="4.42578125" style="1931" customWidth="1"/>
    <col min="14852" max="14852" width="5.42578125" style="1931" customWidth="1"/>
    <col min="14853" max="14853" width="50.5703125" style="1931" bestFit="1" customWidth="1"/>
    <col min="14854" max="14854" width="56.42578125" style="1931" customWidth="1"/>
    <col min="14855" max="15106" width="10.85546875" style="1931"/>
    <col min="15107" max="15107" width="4.42578125" style="1931" customWidth="1"/>
    <col min="15108" max="15108" width="5.42578125" style="1931" customWidth="1"/>
    <col min="15109" max="15109" width="50.5703125" style="1931" bestFit="1" customWidth="1"/>
    <col min="15110" max="15110" width="56.42578125" style="1931" customWidth="1"/>
    <col min="15111" max="15362" width="10.85546875" style="1931"/>
    <col min="15363" max="15363" width="4.42578125" style="1931" customWidth="1"/>
    <col min="15364" max="15364" width="5.42578125" style="1931" customWidth="1"/>
    <col min="15365" max="15365" width="50.5703125" style="1931" bestFit="1" customWidth="1"/>
    <col min="15366" max="15366" width="56.42578125" style="1931" customWidth="1"/>
    <col min="15367" max="15618" width="10.85546875" style="1931"/>
    <col min="15619" max="15619" width="4.42578125" style="1931" customWidth="1"/>
    <col min="15620" max="15620" width="5.42578125" style="1931" customWidth="1"/>
    <col min="15621" max="15621" width="50.5703125" style="1931" bestFit="1" customWidth="1"/>
    <col min="15622" max="15622" width="56.42578125" style="1931" customWidth="1"/>
    <col min="15623" max="15874" width="10.85546875" style="1931"/>
    <col min="15875" max="15875" width="4.42578125" style="1931" customWidth="1"/>
    <col min="15876" max="15876" width="5.42578125" style="1931" customWidth="1"/>
    <col min="15877" max="15877" width="50.5703125" style="1931" bestFit="1" customWidth="1"/>
    <col min="15878" max="15878" width="56.42578125" style="1931" customWidth="1"/>
    <col min="15879" max="16130" width="10.85546875" style="1931"/>
    <col min="16131" max="16131" width="4.42578125" style="1931" customWidth="1"/>
    <col min="16132" max="16132" width="5.42578125" style="1931" customWidth="1"/>
    <col min="16133" max="16133" width="50.5703125" style="1931" bestFit="1" customWidth="1"/>
    <col min="16134" max="16134" width="56.42578125" style="1931" customWidth="1"/>
    <col min="16135" max="16384" width="10.85546875" style="1931"/>
  </cols>
  <sheetData>
    <row r="1" spans="3:39">
      <c r="C1" s="2188" t="s">
        <v>1823</v>
      </c>
      <c r="D1" s="2188"/>
      <c r="E1" s="2188"/>
      <c r="F1" s="2188"/>
      <c r="G1" s="674"/>
      <c r="H1" s="674"/>
      <c r="I1" s="674"/>
      <c r="J1" s="674"/>
      <c r="K1" s="674"/>
      <c r="L1" s="674"/>
      <c r="M1" s="674"/>
      <c r="N1" s="674"/>
      <c r="O1" s="674"/>
      <c r="P1" s="674"/>
      <c r="Q1" s="674"/>
      <c r="R1" s="674"/>
      <c r="S1" s="674"/>
      <c r="T1" s="674"/>
      <c r="U1" s="674"/>
      <c r="V1" s="674"/>
      <c r="W1" s="674"/>
      <c r="X1" s="674"/>
      <c r="Y1" s="674"/>
      <c r="Z1" s="674"/>
      <c r="AA1" s="674"/>
      <c r="AB1" s="674"/>
      <c r="AC1" s="674"/>
      <c r="AD1" s="674"/>
      <c r="AE1" s="674"/>
      <c r="AF1" s="674"/>
      <c r="AG1" s="674"/>
      <c r="AH1" s="674"/>
      <c r="AI1" s="674"/>
      <c r="AJ1" s="674"/>
      <c r="AK1" s="674"/>
      <c r="AL1" s="674"/>
      <c r="AM1" s="674"/>
    </row>
    <row r="2" spans="3:39">
      <c r="C2" s="2189" t="s">
        <v>4341</v>
      </c>
      <c r="D2" s="2190"/>
      <c r="E2" s="2190"/>
      <c r="F2" s="2190"/>
      <c r="G2" s="674"/>
      <c r="H2" s="674"/>
      <c r="I2" s="674"/>
      <c r="J2" s="674"/>
      <c r="K2" s="674"/>
      <c r="L2" s="674"/>
      <c r="M2" s="674"/>
      <c r="N2" s="674"/>
      <c r="O2" s="674"/>
      <c r="P2" s="674"/>
      <c r="Q2" s="674"/>
      <c r="R2" s="674"/>
      <c r="S2" s="674"/>
      <c r="T2" s="674"/>
      <c r="U2" s="674"/>
      <c r="V2" s="674"/>
      <c r="W2" s="674"/>
      <c r="X2" s="674"/>
      <c r="Y2" s="674"/>
      <c r="Z2" s="674"/>
      <c r="AA2" s="674"/>
      <c r="AB2" s="674"/>
      <c r="AC2" s="674"/>
      <c r="AD2" s="674"/>
      <c r="AE2" s="674"/>
      <c r="AF2" s="674"/>
      <c r="AG2" s="674"/>
      <c r="AH2" s="674"/>
      <c r="AI2" s="674"/>
      <c r="AJ2" s="674"/>
      <c r="AK2" s="674"/>
      <c r="AL2" s="674"/>
      <c r="AM2" s="674"/>
    </row>
    <row r="3" spans="3:39" ht="15.75" thickBot="1">
      <c r="C3" s="1932"/>
      <c r="D3" s="1932"/>
      <c r="E3" s="2191" t="s">
        <v>4342</v>
      </c>
      <c r="F3" s="2191"/>
      <c r="G3" s="674"/>
      <c r="H3" s="674"/>
      <c r="I3" s="674"/>
      <c r="J3" s="674"/>
      <c r="K3" s="674"/>
      <c r="L3" s="674"/>
      <c r="M3" s="674"/>
      <c r="N3" s="674"/>
      <c r="O3" s="674"/>
      <c r="P3" s="674"/>
      <c r="Q3" s="674"/>
      <c r="R3" s="674"/>
      <c r="S3" s="674"/>
      <c r="T3" s="674"/>
      <c r="U3" s="674"/>
      <c r="V3" s="674"/>
      <c r="W3" s="674"/>
      <c r="X3" s="674"/>
      <c r="Y3" s="674"/>
      <c r="Z3" s="674"/>
      <c r="AA3" s="674"/>
      <c r="AB3" s="674"/>
      <c r="AC3" s="674"/>
      <c r="AD3" s="674"/>
      <c r="AE3" s="674"/>
      <c r="AF3" s="674"/>
      <c r="AG3" s="674"/>
      <c r="AH3" s="674"/>
      <c r="AI3" s="674"/>
      <c r="AJ3" s="674"/>
      <c r="AK3" s="674"/>
      <c r="AL3" s="674"/>
      <c r="AM3" s="674"/>
    </row>
    <row r="4" spans="3:39">
      <c r="C4" s="1933"/>
      <c r="D4" s="1934"/>
      <c r="E4" s="1934"/>
      <c r="F4" s="1935"/>
      <c r="G4" s="674"/>
      <c r="H4" s="674"/>
      <c r="I4" s="674"/>
      <c r="J4" s="674"/>
      <c r="K4" s="674"/>
      <c r="L4" s="674"/>
      <c r="M4" s="674"/>
      <c r="N4" s="674"/>
      <c r="O4" s="674"/>
      <c r="P4" s="674"/>
      <c r="Q4" s="674"/>
      <c r="R4" s="674"/>
      <c r="S4" s="674"/>
      <c r="T4" s="674"/>
      <c r="U4" s="674"/>
      <c r="V4" s="674"/>
      <c r="W4" s="674"/>
      <c r="X4" s="674"/>
      <c r="Y4" s="674"/>
      <c r="Z4" s="674"/>
      <c r="AA4" s="674"/>
      <c r="AB4" s="674"/>
      <c r="AC4" s="674"/>
      <c r="AD4" s="674"/>
      <c r="AE4" s="674"/>
      <c r="AF4" s="674"/>
      <c r="AG4" s="674"/>
      <c r="AH4" s="674"/>
      <c r="AI4" s="674"/>
      <c r="AJ4" s="674"/>
      <c r="AK4" s="674"/>
      <c r="AL4" s="674"/>
      <c r="AM4" s="674"/>
    </row>
    <row r="5" spans="3:39">
      <c r="C5" s="675">
        <v>1</v>
      </c>
      <c r="D5" s="676"/>
      <c r="E5" s="1936" t="s">
        <v>1824</v>
      </c>
      <c r="F5" s="2067" t="s">
        <v>1825</v>
      </c>
      <c r="G5" s="674"/>
      <c r="H5" s="674"/>
      <c r="I5" s="674"/>
      <c r="J5" s="674"/>
      <c r="K5" s="674"/>
      <c r="L5" s="674"/>
      <c r="M5" s="674"/>
      <c r="N5" s="674"/>
      <c r="O5" s="674"/>
      <c r="P5" s="674"/>
      <c r="Q5" s="674"/>
      <c r="R5" s="674"/>
      <c r="S5" s="674"/>
      <c r="T5" s="674"/>
      <c r="U5" s="674"/>
      <c r="V5" s="674"/>
      <c r="W5" s="674"/>
      <c r="X5" s="674"/>
      <c r="Y5" s="674"/>
      <c r="Z5" s="674"/>
      <c r="AA5" s="674"/>
      <c r="AB5" s="674"/>
      <c r="AC5" s="674"/>
      <c r="AD5" s="674"/>
      <c r="AE5" s="674"/>
      <c r="AF5" s="674"/>
      <c r="AG5" s="674"/>
      <c r="AH5" s="674"/>
      <c r="AI5" s="674"/>
      <c r="AJ5" s="674"/>
      <c r="AK5" s="674"/>
      <c r="AL5" s="674"/>
      <c r="AM5" s="674"/>
    </row>
    <row r="6" spans="3:39">
      <c r="C6" s="675"/>
      <c r="D6" s="676">
        <v>1.1000000000000001</v>
      </c>
      <c r="E6" s="1936" t="s">
        <v>1826</v>
      </c>
      <c r="F6" s="2067" t="s">
        <v>1827</v>
      </c>
      <c r="G6" s="674"/>
      <c r="H6" s="674"/>
      <c r="I6" s="674"/>
      <c r="J6" s="674"/>
      <c r="K6" s="674"/>
      <c r="L6" s="674"/>
      <c r="M6" s="674"/>
      <c r="N6" s="674"/>
      <c r="O6" s="674"/>
      <c r="P6" s="674"/>
      <c r="Q6" s="674"/>
      <c r="R6" s="674"/>
      <c r="S6" s="674"/>
      <c r="T6" s="674"/>
      <c r="U6" s="674"/>
      <c r="V6" s="674"/>
      <c r="W6" s="674"/>
      <c r="X6" s="674"/>
      <c r="Y6" s="674"/>
      <c r="Z6" s="674"/>
      <c r="AA6" s="674"/>
      <c r="AB6" s="674"/>
      <c r="AC6" s="674"/>
      <c r="AD6" s="674"/>
      <c r="AE6" s="674"/>
      <c r="AF6" s="674"/>
      <c r="AG6" s="674"/>
      <c r="AH6" s="674"/>
      <c r="AI6" s="674"/>
      <c r="AJ6" s="674"/>
      <c r="AK6" s="674"/>
      <c r="AL6" s="674"/>
      <c r="AM6" s="674"/>
    </row>
    <row r="7" spans="3:39">
      <c r="C7" s="675"/>
      <c r="D7" s="676">
        <v>1.2</v>
      </c>
      <c r="E7" s="1936" t="s">
        <v>1828</v>
      </c>
      <c r="F7" s="2067" t="s">
        <v>1829</v>
      </c>
      <c r="G7" s="674"/>
      <c r="H7" s="674"/>
      <c r="I7" s="674"/>
      <c r="J7" s="674"/>
      <c r="K7" s="674"/>
      <c r="L7" s="674"/>
      <c r="M7" s="674"/>
      <c r="N7" s="674"/>
      <c r="O7" s="674"/>
      <c r="P7" s="674"/>
      <c r="Q7" s="674"/>
      <c r="R7" s="674"/>
      <c r="S7" s="674"/>
      <c r="T7" s="674"/>
      <c r="U7" s="674"/>
      <c r="V7" s="674"/>
      <c r="W7" s="674"/>
      <c r="X7" s="674"/>
      <c r="Y7" s="674"/>
      <c r="Z7" s="674"/>
      <c r="AA7" s="674"/>
      <c r="AB7" s="674"/>
      <c r="AC7" s="674"/>
      <c r="AD7" s="674"/>
      <c r="AE7" s="674"/>
      <c r="AF7" s="674"/>
      <c r="AG7" s="674"/>
      <c r="AH7" s="674"/>
      <c r="AI7" s="674"/>
      <c r="AJ7" s="674"/>
      <c r="AK7" s="674"/>
      <c r="AL7" s="674"/>
      <c r="AM7" s="674"/>
    </row>
    <row r="8" spans="3:39">
      <c r="C8" s="675"/>
      <c r="D8" s="676">
        <v>1.3</v>
      </c>
      <c r="E8" s="1936" t="s">
        <v>1830</v>
      </c>
      <c r="F8" s="2067">
        <v>83321022</v>
      </c>
      <c r="G8" s="674"/>
      <c r="H8" s="674"/>
      <c r="I8" s="674"/>
      <c r="J8" s="674"/>
      <c r="K8" s="674"/>
      <c r="L8" s="674"/>
      <c r="M8" s="674"/>
      <c r="N8" s="674"/>
      <c r="O8" s="674"/>
      <c r="P8" s="674"/>
      <c r="Q8" s="674"/>
      <c r="R8" s="674"/>
      <c r="S8" s="674"/>
      <c r="T8" s="674"/>
      <c r="U8" s="674"/>
      <c r="V8" s="674"/>
      <c r="W8" s="674"/>
      <c r="X8" s="674"/>
      <c r="Y8" s="674"/>
      <c r="Z8" s="674"/>
      <c r="AA8" s="674"/>
      <c r="AB8" s="674"/>
      <c r="AC8" s="674"/>
      <c r="AD8" s="674"/>
      <c r="AE8" s="674"/>
      <c r="AF8" s="674"/>
      <c r="AG8" s="674"/>
      <c r="AH8" s="674"/>
      <c r="AI8" s="674"/>
      <c r="AJ8" s="674"/>
      <c r="AK8" s="674"/>
      <c r="AL8" s="674"/>
      <c r="AM8" s="674"/>
    </row>
    <row r="9" spans="3:39">
      <c r="C9" s="675"/>
      <c r="D9" s="676">
        <v>1.4</v>
      </c>
      <c r="E9" s="1936" t="s">
        <v>1831</v>
      </c>
      <c r="F9" s="2067">
        <v>20527141762</v>
      </c>
      <c r="G9" s="674"/>
      <c r="H9" s="674"/>
      <c r="I9" s="674"/>
      <c r="J9" s="674"/>
      <c r="K9" s="674"/>
      <c r="L9" s="674"/>
      <c r="M9" s="674"/>
      <c r="N9" s="674"/>
      <c r="O9" s="674"/>
      <c r="P9" s="674"/>
      <c r="Q9" s="674"/>
      <c r="R9" s="674"/>
      <c r="S9" s="674"/>
      <c r="T9" s="674"/>
      <c r="U9" s="674"/>
      <c r="V9" s="674"/>
      <c r="W9" s="674"/>
      <c r="X9" s="674"/>
      <c r="Y9" s="674"/>
      <c r="Z9" s="674"/>
      <c r="AA9" s="674"/>
      <c r="AB9" s="674"/>
      <c r="AC9" s="674"/>
      <c r="AD9" s="674"/>
      <c r="AE9" s="674"/>
      <c r="AF9" s="674"/>
      <c r="AG9" s="674"/>
      <c r="AH9" s="674"/>
      <c r="AI9" s="674"/>
      <c r="AJ9" s="674"/>
      <c r="AK9" s="674"/>
      <c r="AL9" s="674"/>
      <c r="AM9" s="674"/>
    </row>
    <row r="10" spans="3:39" ht="46.5" customHeight="1">
      <c r="C10" s="2192">
        <v>2</v>
      </c>
      <c r="D10" s="676"/>
      <c r="E10" s="1937" t="s">
        <v>1832</v>
      </c>
      <c r="F10" s="2018" t="s">
        <v>2236</v>
      </c>
      <c r="G10" s="674"/>
      <c r="H10" s="674"/>
      <c r="I10" s="674"/>
      <c r="J10" s="674"/>
      <c r="K10" s="674"/>
      <c r="L10" s="674"/>
      <c r="M10" s="674"/>
      <c r="N10" s="674"/>
      <c r="O10" s="674"/>
      <c r="P10" s="674"/>
      <c r="Q10" s="674"/>
      <c r="R10" s="674"/>
      <c r="S10" s="674"/>
      <c r="T10" s="674"/>
      <c r="U10" s="674"/>
      <c r="V10" s="674"/>
      <c r="W10" s="674"/>
      <c r="X10" s="674"/>
      <c r="Y10" s="674"/>
      <c r="Z10" s="674"/>
      <c r="AA10" s="674"/>
      <c r="AB10" s="674"/>
      <c r="AC10" s="674"/>
      <c r="AD10" s="674"/>
      <c r="AE10" s="674"/>
      <c r="AF10" s="674"/>
      <c r="AG10" s="674"/>
      <c r="AH10" s="674"/>
      <c r="AI10" s="674"/>
      <c r="AJ10" s="674"/>
      <c r="AK10" s="674"/>
      <c r="AL10" s="674"/>
      <c r="AM10" s="674"/>
    </row>
    <row r="11" spans="3:39" ht="43.5" customHeight="1">
      <c r="C11" s="2193"/>
      <c r="D11" s="676"/>
      <c r="E11" s="1937" t="s">
        <v>1833</v>
      </c>
      <c r="F11" s="2019" t="s">
        <v>2236</v>
      </c>
      <c r="G11" s="674"/>
      <c r="H11" s="674"/>
      <c r="I11" s="674"/>
      <c r="J11" s="674"/>
      <c r="K11" s="674"/>
      <c r="L11" s="674"/>
      <c r="M11" s="674"/>
      <c r="N11" s="674"/>
      <c r="O11" s="674"/>
      <c r="P11" s="674"/>
      <c r="Q11" s="674"/>
      <c r="R11" s="674"/>
      <c r="S11" s="674"/>
      <c r="T11" s="674"/>
      <c r="U11" s="674"/>
      <c r="V11" s="674"/>
      <c r="W11" s="674"/>
      <c r="X11" s="674"/>
      <c r="Y11" s="674"/>
      <c r="Z11" s="674"/>
      <c r="AA11" s="674"/>
      <c r="AB11" s="674"/>
      <c r="AC11" s="674"/>
      <c r="AD11" s="674"/>
      <c r="AE11" s="674"/>
      <c r="AF11" s="674"/>
      <c r="AG11" s="674"/>
      <c r="AH11" s="674"/>
      <c r="AI11" s="674"/>
      <c r="AJ11" s="674"/>
      <c r="AK11" s="674"/>
      <c r="AL11" s="674"/>
      <c r="AM11" s="674"/>
    </row>
    <row r="12" spans="3:39">
      <c r="C12" s="675"/>
      <c r="D12" s="676">
        <v>2.1</v>
      </c>
      <c r="E12" s="1936" t="s">
        <v>1834</v>
      </c>
      <c r="F12" s="677" t="s">
        <v>1829</v>
      </c>
      <c r="G12" s="674"/>
      <c r="H12" s="674"/>
      <c r="I12" s="674"/>
      <c r="J12" s="674"/>
      <c r="K12" s="674"/>
      <c r="L12" s="674"/>
      <c r="M12" s="674"/>
      <c r="N12" s="674"/>
      <c r="O12" s="674"/>
      <c r="P12" s="674"/>
      <c r="Q12" s="674"/>
      <c r="R12" s="674"/>
      <c r="S12" s="674"/>
      <c r="T12" s="674"/>
      <c r="U12" s="674"/>
      <c r="V12" s="674"/>
      <c r="W12" s="674"/>
      <c r="X12" s="674"/>
      <c r="Y12" s="674"/>
      <c r="Z12" s="674"/>
      <c r="AA12" s="674"/>
      <c r="AB12" s="674"/>
      <c r="AC12" s="674"/>
      <c r="AD12" s="674"/>
      <c r="AE12" s="674"/>
      <c r="AF12" s="674"/>
      <c r="AG12" s="674"/>
      <c r="AH12" s="674"/>
      <c r="AI12" s="674"/>
      <c r="AJ12" s="674"/>
      <c r="AK12" s="674"/>
      <c r="AL12" s="674"/>
      <c r="AM12" s="674"/>
    </row>
    <row r="13" spans="3:39">
      <c r="C13" s="675"/>
      <c r="D13" s="676">
        <v>2.2000000000000002</v>
      </c>
      <c r="E13" s="1936" t="s">
        <v>1835</v>
      </c>
      <c r="F13" s="677">
        <v>167720</v>
      </c>
      <c r="G13" s="674"/>
      <c r="H13" s="674"/>
      <c r="I13" s="674"/>
      <c r="J13" s="674"/>
      <c r="K13" s="674"/>
      <c r="L13" s="674"/>
      <c r="M13" s="674"/>
      <c r="N13" s="674"/>
      <c r="O13" s="674"/>
      <c r="P13" s="674"/>
      <c r="Q13" s="674"/>
      <c r="R13" s="674"/>
      <c r="S13" s="674"/>
      <c r="T13" s="674"/>
      <c r="U13" s="674"/>
      <c r="V13" s="674"/>
      <c r="W13" s="674"/>
      <c r="X13" s="674"/>
      <c r="Y13" s="674"/>
      <c r="Z13" s="674"/>
      <c r="AA13" s="674"/>
      <c r="AB13" s="674"/>
      <c r="AC13" s="674"/>
      <c r="AD13" s="674"/>
      <c r="AE13" s="674"/>
      <c r="AF13" s="674"/>
      <c r="AG13" s="674"/>
      <c r="AH13" s="674"/>
      <c r="AI13" s="674"/>
      <c r="AJ13" s="674"/>
      <c r="AK13" s="674"/>
      <c r="AL13" s="674"/>
      <c r="AM13" s="674"/>
    </row>
    <row r="14" spans="3:39">
      <c r="C14" s="675">
        <v>3</v>
      </c>
      <c r="D14" s="676"/>
      <c r="E14" s="1936" t="s">
        <v>1836</v>
      </c>
      <c r="F14" s="2020">
        <v>26822242.739999998</v>
      </c>
    </row>
    <row r="15" spans="3:39">
      <c r="C15" s="675"/>
      <c r="D15" s="1081">
        <v>3.01</v>
      </c>
      <c r="E15" s="1936" t="s">
        <v>1837</v>
      </c>
      <c r="F15" s="678">
        <v>20698803.16</v>
      </c>
    </row>
    <row r="16" spans="3:39">
      <c r="C16" s="675"/>
      <c r="D16" s="1081">
        <v>3.02</v>
      </c>
      <c r="E16" s="1936" t="s">
        <v>1838</v>
      </c>
      <c r="F16" s="678">
        <v>1944879.91</v>
      </c>
    </row>
    <row r="17" spans="3:37">
      <c r="C17" s="675"/>
      <c r="D17" s="1081">
        <v>3.03</v>
      </c>
      <c r="E17" s="1931" t="s">
        <v>1839</v>
      </c>
      <c r="F17" s="678">
        <v>134176.26999999999</v>
      </c>
    </row>
    <row r="18" spans="3:37">
      <c r="C18" s="1938"/>
      <c r="D18" s="1081">
        <v>3.04</v>
      </c>
      <c r="E18" s="2114" t="s">
        <v>1840</v>
      </c>
      <c r="F18" s="678">
        <v>560134.16</v>
      </c>
    </row>
    <row r="19" spans="3:37">
      <c r="C19" s="1938"/>
      <c r="D19" s="1081">
        <v>3.05</v>
      </c>
      <c r="E19" s="1936" t="s">
        <v>1841</v>
      </c>
      <c r="F19" s="678">
        <v>95831.08</v>
      </c>
    </row>
    <row r="20" spans="3:37">
      <c r="C20" s="1938"/>
      <c r="D20" s="1081">
        <v>3.06</v>
      </c>
      <c r="E20" s="1936" t="s">
        <v>1842</v>
      </c>
      <c r="F20" s="678">
        <v>222934.95</v>
      </c>
    </row>
    <row r="21" spans="3:37">
      <c r="C21" s="1938"/>
      <c r="D21" s="1081">
        <v>3.07</v>
      </c>
      <c r="E21" s="1936" t="s">
        <v>1843</v>
      </c>
      <c r="F21" s="678">
        <v>90351.92</v>
      </c>
    </row>
    <row r="22" spans="3:37">
      <c r="C22" s="1938"/>
      <c r="D22" s="1081">
        <v>3.08</v>
      </c>
      <c r="E22" s="1931" t="s">
        <v>1844</v>
      </c>
      <c r="F22" s="678">
        <v>1946691</v>
      </c>
    </row>
    <row r="23" spans="3:37">
      <c r="C23" s="1938"/>
      <c r="D23" s="1081">
        <v>3.09</v>
      </c>
      <c r="E23" s="1936" t="s">
        <v>1845</v>
      </c>
      <c r="F23" s="678">
        <v>203328.92</v>
      </c>
    </row>
    <row r="24" spans="3:37">
      <c r="C24" s="1938"/>
      <c r="D24" s="1081">
        <v>3.1</v>
      </c>
      <c r="E24" s="1936" t="s">
        <v>2237</v>
      </c>
      <c r="F24" s="678">
        <v>281600</v>
      </c>
    </row>
    <row r="25" spans="3:37">
      <c r="C25" s="1938"/>
      <c r="D25" s="1081">
        <v>3.11</v>
      </c>
      <c r="E25" s="1936" t="s">
        <v>2238</v>
      </c>
      <c r="F25" s="678">
        <v>633159.44999999995</v>
      </c>
      <c r="G25" s="1939"/>
      <c r="H25" s="1939"/>
    </row>
    <row r="26" spans="3:37">
      <c r="C26" s="1940">
        <v>4</v>
      </c>
      <c r="D26" s="1936"/>
      <c r="E26" s="1936" t="s">
        <v>1846</v>
      </c>
      <c r="F26" s="677"/>
      <c r="G26" s="1941"/>
      <c r="H26" s="1941"/>
      <c r="I26" s="1942"/>
      <c r="J26" s="1943"/>
      <c r="K26" s="1944"/>
      <c r="L26" s="1944"/>
      <c r="M26" s="1944"/>
      <c r="N26" s="1944"/>
      <c r="O26" s="1944"/>
      <c r="P26" s="1944"/>
      <c r="Q26" s="1944"/>
      <c r="R26" s="1944"/>
      <c r="S26" s="1944"/>
      <c r="T26" s="1944"/>
      <c r="U26" s="1944"/>
      <c r="V26" s="1944"/>
      <c r="W26" s="1944"/>
      <c r="X26" s="1944"/>
      <c r="Y26" s="1944"/>
      <c r="Z26" s="1944"/>
      <c r="AA26" s="1944"/>
      <c r="AB26" s="1944"/>
      <c r="AC26" s="1944"/>
      <c r="AD26" s="1944"/>
      <c r="AE26" s="1944"/>
      <c r="AF26" s="1944"/>
      <c r="AG26" s="1944"/>
      <c r="AH26" s="1944"/>
      <c r="AI26" s="1944"/>
      <c r="AJ26" s="1944"/>
      <c r="AK26" s="1944"/>
    </row>
    <row r="27" spans="3:37">
      <c r="C27" s="1938"/>
      <c r="D27" s="676">
        <v>4.0999999999999996</v>
      </c>
      <c r="E27" s="1936" t="s">
        <v>1847</v>
      </c>
      <c r="F27" s="2021" t="s">
        <v>4311</v>
      </c>
      <c r="G27" s="1941"/>
      <c r="H27" s="1941"/>
      <c r="I27" s="1942"/>
      <c r="J27" s="1943"/>
      <c r="K27" s="1944"/>
      <c r="L27" s="1944"/>
      <c r="M27" s="1944"/>
      <c r="N27" s="1944"/>
      <c r="O27" s="1944"/>
      <c r="P27" s="1944"/>
      <c r="Q27" s="1944"/>
      <c r="R27" s="1944"/>
      <c r="S27" s="1944"/>
      <c r="T27" s="1944"/>
      <c r="U27" s="1944"/>
      <c r="V27" s="1944"/>
      <c r="W27" s="1944"/>
      <c r="X27" s="1944"/>
      <c r="Y27" s="1944"/>
      <c r="Z27" s="1944"/>
      <c r="AA27" s="1944"/>
      <c r="AB27" s="1944"/>
      <c r="AC27" s="1944"/>
      <c r="AD27" s="1944"/>
      <c r="AE27" s="1944"/>
      <c r="AF27" s="1944"/>
      <c r="AG27" s="1944"/>
      <c r="AH27" s="1944"/>
      <c r="AI27" s="1944"/>
      <c r="AJ27" s="1944"/>
      <c r="AK27" s="1944"/>
    </row>
    <row r="28" spans="3:37">
      <c r="C28" s="1938"/>
      <c r="D28" s="676">
        <v>4.2</v>
      </c>
      <c r="E28" s="1936" t="s">
        <v>7</v>
      </c>
      <c r="F28" s="2022" t="s">
        <v>4312</v>
      </c>
      <c r="G28" s="1945"/>
      <c r="H28" s="1945"/>
      <c r="I28" s="1942"/>
      <c r="J28" s="1943"/>
      <c r="K28" s="1944"/>
      <c r="L28" s="1944"/>
      <c r="M28" s="1944"/>
      <c r="N28" s="1944"/>
      <c r="O28" s="1944"/>
      <c r="P28" s="1944"/>
      <c r="Q28" s="1944"/>
      <c r="R28" s="1944"/>
      <c r="S28" s="1944"/>
      <c r="T28" s="1944"/>
      <c r="U28" s="1944"/>
      <c r="V28" s="1944"/>
      <c r="W28" s="1944"/>
      <c r="X28" s="1944"/>
      <c r="Y28" s="1944"/>
      <c r="Z28" s="1944"/>
      <c r="AA28" s="1944"/>
      <c r="AB28" s="1944"/>
      <c r="AC28" s="1944"/>
      <c r="AD28" s="1944"/>
      <c r="AE28" s="1944"/>
      <c r="AF28" s="1944"/>
      <c r="AG28" s="1944"/>
      <c r="AH28" s="1944"/>
      <c r="AI28" s="1944"/>
      <c r="AJ28" s="1944"/>
      <c r="AK28" s="1944"/>
    </row>
    <row r="29" spans="3:37">
      <c r="C29" s="1938"/>
      <c r="D29" s="676">
        <v>4.3</v>
      </c>
      <c r="E29" s="1936" t="s">
        <v>1849</v>
      </c>
      <c r="F29" s="2021"/>
      <c r="G29" s="1945"/>
      <c r="H29" s="1945"/>
      <c r="I29" s="1942"/>
      <c r="J29" s="2183"/>
      <c r="K29" s="2183"/>
      <c r="L29" s="2183"/>
      <c r="M29" s="2183"/>
      <c r="N29" s="2183"/>
      <c r="O29" s="2183"/>
      <c r="P29" s="2183"/>
      <c r="Q29" s="2183"/>
      <c r="R29" s="2183"/>
      <c r="S29" s="2183"/>
      <c r="T29" s="2183"/>
      <c r="U29" s="2183"/>
      <c r="V29" s="2183"/>
      <c r="W29" s="2183"/>
      <c r="X29" s="2183"/>
      <c r="Y29" s="2183"/>
      <c r="Z29" s="2183"/>
      <c r="AA29" s="2183"/>
      <c r="AB29" s="2183"/>
      <c r="AC29" s="2183"/>
      <c r="AD29" s="2183"/>
      <c r="AE29" s="2183"/>
      <c r="AF29" s="2183"/>
      <c r="AG29" s="2183"/>
      <c r="AH29" s="2183"/>
      <c r="AI29" s="2183"/>
      <c r="AJ29" s="2183"/>
      <c r="AK29" s="2183"/>
    </row>
    <row r="30" spans="3:37" ht="51.6" customHeight="1">
      <c r="C30" s="1938"/>
      <c r="D30" s="676">
        <v>4.4000000000000004</v>
      </c>
      <c r="E30" s="1937" t="s">
        <v>6</v>
      </c>
      <c r="F30" s="1082" t="s">
        <v>2236</v>
      </c>
      <c r="G30" s="1945"/>
      <c r="H30" s="1945"/>
      <c r="I30" s="1942"/>
      <c r="J30" s="2183"/>
      <c r="K30" s="2183"/>
      <c r="L30" s="2183"/>
      <c r="M30" s="2183"/>
      <c r="N30" s="2183"/>
      <c r="O30" s="2183"/>
      <c r="P30" s="2183"/>
      <c r="Q30" s="2183"/>
      <c r="R30" s="2183"/>
      <c r="S30" s="2183"/>
      <c r="T30" s="2183"/>
      <c r="U30" s="2183"/>
      <c r="V30" s="2183"/>
      <c r="W30" s="2183"/>
      <c r="X30" s="2183"/>
      <c r="Y30" s="2183"/>
      <c r="Z30" s="2183"/>
      <c r="AA30" s="2183"/>
      <c r="AB30" s="2183"/>
      <c r="AC30" s="2183"/>
      <c r="AD30" s="2183"/>
      <c r="AE30" s="2183"/>
      <c r="AF30" s="2183"/>
      <c r="AG30" s="2183"/>
      <c r="AH30" s="2183"/>
      <c r="AI30" s="2183"/>
      <c r="AJ30" s="2183"/>
      <c r="AK30" s="2183"/>
    </row>
    <row r="31" spans="3:37">
      <c r="C31" s="1938"/>
      <c r="D31" s="676">
        <v>4.5</v>
      </c>
      <c r="E31" s="1936" t="s">
        <v>5</v>
      </c>
      <c r="F31" s="677" t="s">
        <v>2244</v>
      </c>
      <c r="G31" s="1945"/>
      <c r="H31" s="1945"/>
      <c r="I31" s="1942"/>
      <c r="J31" s="1943"/>
      <c r="K31" s="1944"/>
      <c r="L31" s="1944"/>
      <c r="M31" s="1944"/>
      <c r="N31" s="1944"/>
      <c r="O31" s="1944"/>
      <c r="P31" s="1944"/>
      <c r="Q31" s="1944"/>
      <c r="R31" s="1944"/>
      <c r="S31" s="1944"/>
      <c r="T31" s="1944"/>
      <c r="U31" s="1944"/>
      <c r="V31" s="1944"/>
      <c r="W31" s="1944"/>
      <c r="X31" s="1944"/>
      <c r="Y31" s="1944"/>
      <c r="Z31" s="1944"/>
      <c r="AA31" s="1944"/>
      <c r="AB31" s="1944"/>
      <c r="AC31" s="1944"/>
      <c r="AD31" s="1944"/>
      <c r="AE31" s="1944"/>
      <c r="AF31" s="1944"/>
      <c r="AG31" s="1944"/>
      <c r="AH31" s="1944"/>
      <c r="AI31" s="1944"/>
      <c r="AJ31" s="1944"/>
      <c r="AK31" s="1944"/>
    </row>
    <row r="32" spans="3:37">
      <c r="C32" s="1938"/>
      <c r="D32" s="676">
        <v>4.5999999999999996</v>
      </c>
      <c r="E32" s="1946" t="s">
        <v>1850</v>
      </c>
      <c r="F32" s="679" t="s">
        <v>4269</v>
      </c>
      <c r="G32" s="1945"/>
      <c r="H32" s="1945"/>
      <c r="I32" s="1942"/>
      <c r="J32" s="1947"/>
      <c r="K32" s="1944"/>
      <c r="L32" s="1944"/>
      <c r="M32" s="1944"/>
      <c r="N32" s="1944"/>
      <c r="O32" s="1944"/>
      <c r="P32" s="1944"/>
      <c r="Q32" s="1944"/>
      <c r="R32" s="1944"/>
      <c r="S32" s="1944"/>
      <c r="T32" s="1944"/>
      <c r="U32" s="1944"/>
      <c r="V32" s="1944"/>
      <c r="W32" s="1944"/>
      <c r="X32" s="1944"/>
      <c r="Y32" s="1944"/>
      <c r="Z32" s="1944"/>
      <c r="AA32" s="1944"/>
      <c r="AB32" s="1944"/>
      <c r="AC32" s="1944"/>
      <c r="AD32" s="1944"/>
      <c r="AE32" s="1944"/>
      <c r="AF32" s="1944"/>
      <c r="AG32" s="1944"/>
      <c r="AH32" s="1944"/>
      <c r="AI32" s="1944"/>
      <c r="AJ32" s="1944"/>
      <c r="AK32" s="1944"/>
    </row>
    <row r="33" spans="3:37">
      <c r="C33" s="1938"/>
      <c r="D33" s="676">
        <v>4.7</v>
      </c>
      <c r="E33" s="1936" t="s">
        <v>1851</v>
      </c>
      <c r="F33" s="677" t="s">
        <v>1852</v>
      </c>
      <c r="G33" s="1945"/>
      <c r="H33" s="1941"/>
      <c r="I33" s="1942"/>
      <c r="J33" s="1943"/>
      <c r="K33" s="1944"/>
      <c r="L33" s="1944"/>
      <c r="M33" s="1944"/>
      <c r="N33" s="1944"/>
      <c r="O33" s="1944"/>
      <c r="P33" s="1944"/>
      <c r="Q33" s="1944"/>
      <c r="R33" s="1944"/>
      <c r="S33" s="1944"/>
      <c r="T33" s="1944"/>
      <c r="U33" s="1944"/>
      <c r="V33" s="1944"/>
      <c r="W33" s="1944"/>
      <c r="X33" s="1944"/>
      <c r="Y33" s="1944"/>
      <c r="Z33" s="1944"/>
      <c r="AA33" s="1944"/>
      <c r="AB33" s="1944"/>
      <c r="AC33" s="1944"/>
      <c r="AD33" s="1944"/>
      <c r="AE33" s="1944"/>
      <c r="AF33" s="1944"/>
      <c r="AG33" s="1944"/>
      <c r="AH33" s="1944"/>
      <c r="AI33" s="1944"/>
      <c r="AJ33" s="1944"/>
      <c r="AK33" s="1944"/>
    </row>
    <row r="34" spans="3:37">
      <c r="C34" s="1938"/>
      <c r="D34" s="676">
        <v>4.8</v>
      </c>
      <c r="E34" s="1936" t="s">
        <v>1853</v>
      </c>
      <c r="F34" s="677" t="s">
        <v>11</v>
      </c>
    </row>
    <row r="35" spans="3:37">
      <c r="C35" s="1938">
        <v>5</v>
      </c>
      <c r="D35" s="1936"/>
      <c r="E35" s="1936" t="s">
        <v>1854</v>
      </c>
      <c r="F35" s="677" t="s">
        <v>2239</v>
      </c>
    </row>
    <row r="36" spans="3:37">
      <c r="C36" s="1938">
        <v>6</v>
      </c>
      <c r="D36" s="1936"/>
      <c r="E36" s="1936" t="s">
        <v>1855</v>
      </c>
      <c r="F36" s="677">
        <v>810</v>
      </c>
    </row>
    <row r="37" spans="3:37">
      <c r="C37" s="1938">
        <v>7</v>
      </c>
      <c r="D37" s="1936"/>
      <c r="E37" s="1989" t="s">
        <v>4315</v>
      </c>
      <c r="F37" s="677" t="s">
        <v>2240</v>
      </c>
    </row>
    <row r="38" spans="3:37">
      <c r="C38" s="1938"/>
      <c r="D38" s="1936">
        <v>7.1</v>
      </c>
      <c r="E38" s="1936" t="s">
        <v>1856</v>
      </c>
      <c r="F38" s="677" t="s">
        <v>2241</v>
      </c>
    </row>
    <row r="39" spans="3:37">
      <c r="C39" s="1938"/>
      <c r="D39" s="1936">
        <v>7.2</v>
      </c>
      <c r="E39" s="1936" t="s">
        <v>1858</v>
      </c>
      <c r="F39" s="677"/>
    </row>
    <row r="40" spans="3:37">
      <c r="C40" s="1938"/>
      <c r="D40" s="1936">
        <v>7.3</v>
      </c>
      <c r="E40" s="1936" t="s">
        <v>1859</v>
      </c>
      <c r="F40" s="677">
        <v>8760</v>
      </c>
    </row>
    <row r="41" spans="3:37">
      <c r="C41" s="1938"/>
      <c r="D41" s="1936">
        <v>7.4</v>
      </c>
      <c r="E41" s="1936" t="s">
        <v>1826</v>
      </c>
      <c r="F41" s="677"/>
    </row>
    <row r="42" spans="3:37">
      <c r="C42" s="1938"/>
      <c r="D42" s="1936">
        <v>7.5</v>
      </c>
      <c r="E42" s="1936" t="s">
        <v>1860</v>
      </c>
      <c r="F42" s="677"/>
    </row>
    <row r="43" spans="3:37">
      <c r="C43" s="1938">
        <v>8</v>
      </c>
      <c r="D43" s="1936"/>
      <c r="E43" s="1936" t="s">
        <v>1861</v>
      </c>
      <c r="F43" s="677" t="s">
        <v>2233</v>
      </c>
    </row>
    <row r="44" spans="3:37">
      <c r="C44" s="1938"/>
      <c r="D44" s="1936">
        <v>8.1</v>
      </c>
      <c r="E44" s="1936" t="s">
        <v>1856</v>
      </c>
      <c r="F44" s="677" t="s">
        <v>1857</v>
      </c>
    </row>
    <row r="45" spans="3:37">
      <c r="C45" s="1938"/>
      <c r="D45" s="1936">
        <v>8.1999999999999993</v>
      </c>
      <c r="E45" s="1936" t="s">
        <v>1858</v>
      </c>
      <c r="F45" s="677">
        <v>42302162</v>
      </c>
    </row>
    <row r="46" spans="3:37">
      <c r="C46" s="1938"/>
      <c r="D46" s="1936">
        <v>8.3000000000000007</v>
      </c>
      <c r="E46" s="1936" t="s">
        <v>1859</v>
      </c>
      <c r="F46" s="677">
        <v>110618</v>
      </c>
    </row>
    <row r="47" spans="3:37">
      <c r="C47" s="1938"/>
      <c r="D47" s="1936">
        <v>8.4</v>
      </c>
      <c r="E47" s="1936" t="s">
        <v>1826</v>
      </c>
      <c r="F47" s="677" t="s">
        <v>2234</v>
      </c>
    </row>
    <row r="48" spans="3:37">
      <c r="C48" s="1938"/>
      <c r="D48" s="1936">
        <v>8.5</v>
      </c>
      <c r="E48" s="1936" t="s">
        <v>1860</v>
      </c>
      <c r="F48" s="677">
        <v>937749003</v>
      </c>
    </row>
    <row r="49" spans="3:6">
      <c r="C49" s="1938">
        <v>9</v>
      </c>
      <c r="D49" s="1936"/>
      <c r="E49" s="1936" t="s">
        <v>1862</v>
      </c>
      <c r="F49" s="677"/>
    </row>
    <row r="50" spans="3:6" ht="15" customHeight="1">
      <c r="C50" s="1938"/>
      <c r="D50" s="1948">
        <v>9.1</v>
      </c>
      <c r="E50" s="2184" t="s">
        <v>2242</v>
      </c>
      <c r="F50" s="2185"/>
    </row>
    <row r="51" spans="3:6">
      <c r="C51" s="1938"/>
      <c r="D51" s="1949"/>
      <c r="E51" s="2184"/>
      <c r="F51" s="2185"/>
    </row>
    <row r="52" spans="3:6">
      <c r="C52" s="1938"/>
      <c r="D52" s="1949"/>
      <c r="E52" s="2184"/>
      <c r="F52" s="2185"/>
    </row>
    <row r="53" spans="3:6">
      <c r="C53" s="1938"/>
      <c r="D53" s="1949"/>
      <c r="E53" s="2184"/>
      <c r="F53" s="2185"/>
    </row>
    <row r="54" spans="3:6">
      <c r="C54" s="1938"/>
      <c r="D54" s="1949"/>
      <c r="E54" s="2184"/>
      <c r="F54" s="2185"/>
    </row>
    <row r="55" spans="3:6">
      <c r="C55" s="1938"/>
      <c r="D55" s="1949"/>
      <c r="E55" s="2184"/>
      <c r="F55" s="2185"/>
    </row>
    <row r="56" spans="3:6">
      <c r="C56" s="1938"/>
      <c r="D56" s="1949"/>
      <c r="E56" s="2184"/>
      <c r="F56" s="2185"/>
    </row>
    <row r="57" spans="3:6">
      <c r="C57" s="1938"/>
      <c r="D57" s="1949"/>
      <c r="E57" s="2184"/>
      <c r="F57" s="2185"/>
    </row>
    <row r="58" spans="3:6">
      <c r="C58" s="1938"/>
      <c r="D58" s="1949"/>
      <c r="E58" s="2184"/>
      <c r="F58" s="2185"/>
    </row>
    <row r="59" spans="3:6">
      <c r="C59" s="1938"/>
      <c r="D59" s="1949"/>
      <c r="E59" s="2184"/>
      <c r="F59" s="2185"/>
    </row>
    <row r="60" spans="3:6">
      <c r="C60" s="1938"/>
      <c r="D60" s="1949"/>
      <c r="E60" s="2184"/>
      <c r="F60" s="2185"/>
    </row>
    <row r="61" spans="3:6">
      <c r="C61" s="1938"/>
      <c r="D61" s="1949"/>
      <c r="E61" s="2184"/>
      <c r="F61" s="2185"/>
    </row>
    <row r="62" spans="3:6">
      <c r="C62" s="1938"/>
      <c r="D62" s="1949"/>
      <c r="E62" s="2184"/>
      <c r="F62" s="2185"/>
    </row>
    <row r="63" spans="3:6">
      <c r="C63" s="1938"/>
      <c r="D63" s="1949"/>
      <c r="E63" s="2184"/>
      <c r="F63" s="2185"/>
    </row>
    <row r="64" spans="3:6">
      <c r="C64" s="1938"/>
      <c r="D64" s="1949"/>
      <c r="E64" s="2184"/>
      <c r="F64" s="2185"/>
    </row>
    <row r="65" spans="3:6">
      <c r="C65" s="1938"/>
      <c r="D65" s="1949"/>
      <c r="E65" s="2184"/>
      <c r="F65" s="2185"/>
    </row>
    <row r="66" spans="3:6">
      <c r="C66" s="1938"/>
      <c r="D66" s="1949"/>
      <c r="E66" s="2184"/>
      <c r="F66" s="2185"/>
    </row>
    <row r="67" spans="3:6">
      <c r="C67" s="1938"/>
      <c r="D67" s="1949"/>
      <c r="E67" s="2184"/>
      <c r="F67" s="2185"/>
    </row>
    <row r="68" spans="3:6">
      <c r="C68" s="1938"/>
      <c r="D68" s="1949"/>
      <c r="E68" s="2184"/>
      <c r="F68" s="2185"/>
    </row>
    <row r="69" spans="3:6">
      <c r="C69" s="1938"/>
      <c r="D69" s="1949"/>
      <c r="E69" s="2184"/>
      <c r="F69" s="2185"/>
    </row>
    <row r="70" spans="3:6">
      <c r="C70" s="1938"/>
      <c r="D70" s="1949"/>
      <c r="E70" s="2184"/>
      <c r="F70" s="2185"/>
    </row>
    <row r="71" spans="3:6">
      <c r="C71" s="1938"/>
      <c r="D71" s="1949"/>
      <c r="E71" s="2184"/>
      <c r="F71" s="2185"/>
    </row>
    <row r="72" spans="3:6">
      <c r="C72" s="1938"/>
      <c r="D72" s="1949"/>
      <c r="E72" s="2184"/>
      <c r="F72" s="2185"/>
    </row>
    <row r="73" spans="3:6">
      <c r="C73" s="1938"/>
      <c r="D73" s="1949"/>
      <c r="E73" s="2184"/>
      <c r="F73" s="2185"/>
    </row>
    <row r="74" spans="3:6">
      <c r="C74" s="1938"/>
      <c r="D74" s="1949"/>
      <c r="E74" s="2184"/>
      <c r="F74" s="2185"/>
    </row>
    <row r="75" spans="3:6">
      <c r="C75" s="1938"/>
      <c r="D75" s="1949"/>
      <c r="E75" s="2184"/>
      <c r="F75" s="2185"/>
    </row>
    <row r="76" spans="3:6">
      <c r="C76" s="1938"/>
      <c r="D76" s="1949"/>
      <c r="E76" s="2184"/>
      <c r="F76" s="2185"/>
    </row>
    <row r="77" spans="3:6">
      <c r="C77" s="1938"/>
      <c r="D77" s="1949"/>
      <c r="E77" s="2184"/>
      <c r="F77" s="2185"/>
    </row>
    <row r="78" spans="3:6">
      <c r="C78" s="1938"/>
      <c r="D78" s="1949"/>
      <c r="E78" s="2184"/>
      <c r="F78" s="2185"/>
    </row>
    <row r="79" spans="3:6">
      <c r="C79" s="1938"/>
      <c r="D79" s="1949"/>
      <c r="E79" s="2184"/>
      <c r="F79" s="2185"/>
    </row>
    <row r="80" spans="3:6">
      <c r="C80" s="1938"/>
      <c r="D80" s="1949"/>
      <c r="E80" s="2184"/>
      <c r="F80" s="2185"/>
    </row>
    <row r="81" spans="3:6">
      <c r="C81" s="1938"/>
      <c r="D81" s="1949"/>
      <c r="E81" s="2184"/>
      <c r="F81" s="2185"/>
    </row>
    <row r="82" spans="3:6">
      <c r="C82" s="1938"/>
      <c r="D82" s="1949"/>
      <c r="E82" s="2184"/>
      <c r="F82" s="2185"/>
    </row>
    <row r="83" spans="3:6">
      <c r="C83" s="1938"/>
      <c r="D83" s="1949"/>
      <c r="E83" s="2184"/>
      <c r="F83" s="2185"/>
    </row>
    <row r="84" spans="3:6">
      <c r="C84" s="1938"/>
      <c r="D84" s="1949"/>
      <c r="E84" s="2184"/>
      <c r="F84" s="2185"/>
    </row>
    <row r="85" spans="3:6" ht="15.75" thickBot="1">
      <c r="C85" s="2023"/>
      <c r="D85" s="2024"/>
      <c r="E85" s="2186"/>
      <c r="F85" s="2187"/>
    </row>
    <row r="86" spans="3:6" ht="6" customHeight="1">
      <c r="E86" s="680"/>
      <c r="F86" s="680"/>
    </row>
    <row r="87" spans="3:6">
      <c r="E87" s="680"/>
      <c r="F87" s="680"/>
    </row>
    <row r="88" spans="3:6">
      <c r="E88" s="680"/>
      <c r="F88" s="680"/>
    </row>
    <row r="89" spans="3:6">
      <c r="E89" s="680"/>
      <c r="F89" s="680"/>
    </row>
    <row r="90" spans="3:6">
      <c r="E90" s="680"/>
      <c r="F90" s="680"/>
    </row>
    <row r="91" spans="3:6">
      <c r="E91" s="680"/>
      <c r="F91" s="680"/>
    </row>
    <row r="92" spans="3:6">
      <c r="E92" s="680"/>
      <c r="F92" s="680"/>
    </row>
    <row r="93" spans="3:6">
      <c r="E93" s="680"/>
      <c r="F93" s="680"/>
    </row>
    <row r="94" spans="3:6">
      <c r="E94" s="680"/>
      <c r="F94" s="680"/>
    </row>
    <row r="95" spans="3:6">
      <c r="E95" s="680"/>
      <c r="F95" s="680"/>
    </row>
    <row r="96" spans="3:6">
      <c r="E96" s="680"/>
      <c r="F96" s="680"/>
    </row>
    <row r="97" spans="5:6">
      <c r="E97" s="680"/>
      <c r="F97" s="680"/>
    </row>
    <row r="98" spans="5:6">
      <c r="E98" s="680"/>
      <c r="F98" s="680"/>
    </row>
    <row r="99" spans="5:6">
      <c r="E99" s="680"/>
      <c r="F99" s="680"/>
    </row>
    <row r="100" spans="5:6">
      <c r="E100" s="680"/>
      <c r="F100" s="680"/>
    </row>
    <row r="101" spans="5:6">
      <c r="E101" s="680"/>
      <c r="F101" s="680"/>
    </row>
    <row r="102" spans="5:6">
      <c r="E102" s="680"/>
      <c r="F102" s="680"/>
    </row>
    <row r="103" spans="5:6">
      <c r="E103" s="680"/>
      <c r="F103" s="680"/>
    </row>
    <row r="104" spans="5:6">
      <c r="E104" s="680"/>
      <c r="F104" s="680"/>
    </row>
    <row r="105" spans="5:6">
      <c r="E105" s="680"/>
      <c r="F105" s="680"/>
    </row>
    <row r="106" spans="5:6">
      <c r="E106" s="680"/>
      <c r="F106" s="680"/>
    </row>
    <row r="107" spans="5:6">
      <c r="E107" s="680"/>
      <c r="F107" s="680"/>
    </row>
    <row r="108" spans="5:6">
      <c r="E108" s="680"/>
      <c r="F108" s="680"/>
    </row>
    <row r="109" spans="5:6">
      <c r="E109" s="680"/>
      <c r="F109" s="680"/>
    </row>
    <row r="110" spans="5:6">
      <c r="E110" s="680"/>
      <c r="F110" s="680"/>
    </row>
    <row r="111" spans="5:6">
      <c r="E111" s="680"/>
      <c r="F111" s="680"/>
    </row>
    <row r="112" spans="5:6">
      <c r="E112" s="680"/>
      <c r="F112" s="680"/>
    </row>
    <row r="113" spans="5:6">
      <c r="E113" s="680"/>
      <c r="F113" s="680"/>
    </row>
    <row r="114" spans="5:6">
      <c r="E114" s="680"/>
      <c r="F114" s="680"/>
    </row>
    <row r="115" spans="5:6">
      <c r="E115" s="680"/>
      <c r="F115" s="680"/>
    </row>
    <row r="116" spans="5:6">
      <c r="E116" s="680"/>
      <c r="F116" s="680"/>
    </row>
    <row r="117" spans="5:6">
      <c r="E117" s="680"/>
      <c r="F117" s="680"/>
    </row>
  </sheetData>
  <mergeCells count="6">
    <mergeCell ref="J29:AK30"/>
    <mergeCell ref="E50:F85"/>
    <mergeCell ref="C1:F1"/>
    <mergeCell ref="C2:F2"/>
    <mergeCell ref="E3:F3"/>
    <mergeCell ref="C10:C11"/>
  </mergeCells>
  <printOptions horizontalCentered="1"/>
  <pageMargins left="0.71" right="3.937007874015748E-2" top="0.87" bottom="0.56999999999999995" header="0.65" footer="0.64"/>
  <pageSetup paperSize="9" scale="80" fitToHeight="0" orientation="portrait" r:id="rId1"/>
  <rowBreaks count="1" manualBreakCount="1">
    <brk id="48" min="1" max="6"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29"/>
  <sheetViews>
    <sheetView view="pageBreakPreview" topLeftCell="A7" zoomScaleNormal="100" zoomScaleSheetLayoutView="100" workbookViewId="0">
      <selection activeCell="F23" sqref="C23:F29"/>
    </sheetView>
  </sheetViews>
  <sheetFormatPr baseColWidth="10" defaultRowHeight="12.75"/>
  <sheetData>
    <row r="1" spans="1:8" ht="18">
      <c r="A1" s="2203"/>
      <c r="B1" s="2203"/>
      <c r="C1" s="2203"/>
      <c r="D1" s="2203"/>
      <c r="E1" s="2203"/>
      <c r="F1" s="2203"/>
      <c r="G1" s="2203"/>
      <c r="H1" s="2203"/>
    </row>
    <row r="2" spans="1:8" ht="19.5">
      <c r="A2" s="2204" t="s">
        <v>67</v>
      </c>
      <c r="B2" s="2204"/>
      <c r="C2" s="2204"/>
      <c r="D2" s="2204"/>
      <c r="E2" s="2204"/>
      <c r="F2" s="2204"/>
      <c r="G2" s="2204"/>
      <c r="H2" s="1162"/>
    </row>
    <row r="3" spans="1:8">
      <c r="A3" s="2205" t="s">
        <v>3585</v>
      </c>
      <c r="B3" s="2205"/>
      <c r="C3" s="2205"/>
      <c r="D3" s="2205"/>
      <c r="E3" s="2205"/>
      <c r="F3" s="2205"/>
      <c r="G3" s="2205"/>
      <c r="H3" s="1162"/>
    </row>
    <row r="4" spans="1:8">
      <c r="A4" s="2206" t="s">
        <v>3586</v>
      </c>
      <c r="B4" s="2206"/>
      <c r="C4" s="2206"/>
      <c r="D4" s="2206"/>
      <c r="E4" s="2206"/>
      <c r="F4" s="2206"/>
      <c r="G4" s="2206"/>
      <c r="H4" s="1162"/>
    </row>
    <row r="5" spans="1:8" ht="20.25">
      <c r="A5" s="2207" t="s">
        <v>3587</v>
      </c>
      <c r="B5" s="2207"/>
      <c r="C5" s="2207"/>
      <c r="D5" s="2207"/>
      <c r="E5" s="2207"/>
      <c r="F5" s="2207"/>
      <c r="G5" s="2207"/>
      <c r="H5" s="1163"/>
    </row>
    <row r="6" spans="1:8" ht="20.25">
      <c r="A6" s="2208" t="s">
        <v>4343</v>
      </c>
      <c r="B6" s="2208"/>
      <c r="C6" s="2208"/>
      <c r="D6" s="2208"/>
      <c r="E6" s="2208"/>
      <c r="F6" s="2208"/>
      <c r="G6" s="2208"/>
      <c r="H6" s="1163"/>
    </row>
    <row r="7" spans="1:8">
      <c r="A7" s="1162"/>
      <c r="B7" s="1162"/>
      <c r="C7" s="1162"/>
      <c r="D7" s="1162"/>
      <c r="E7" s="1162"/>
      <c r="F7" s="1162"/>
      <c r="G7" s="1162"/>
      <c r="H7" s="1162"/>
    </row>
    <row r="8" spans="1:8">
      <c r="A8" s="1164">
        <v>4.0999999999999996</v>
      </c>
      <c r="B8" s="2209" t="s">
        <v>3588</v>
      </c>
      <c r="C8" s="2209"/>
      <c r="D8" s="2209"/>
      <c r="E8" s="1165"/>
      <c r="F8" s="1165"/>
      <c r="G8" s="1165"/>
      <c r="H8" s="1166"/>
    </row>
    <row r="9" spans="1:8">
      <c r="A9" s="1164"/>
      <c r="B9" s="1165"/>
      <c r="C9" s="1165"/>
      <c r="D9" s="1165"/>
      <c r="E9" s="1165"/>
      <c r="F9" s="1165"/>
      <c r="G9" s="1165"/>
      <c r="H9" s="1166"/>
    </row>
    <row r="10" spans="1:8" ht="245.85" customHeight="1">
      <c r="A10" s="1165"/>
      <c r="B10" s="2210" t="s">
        <v>3589</v>
      </c>
      <c r="C10" s="2210"/>
      <c r="D10" s="2210"/>
      <c r="E10" s="2210"/>
      <c r="F10" s="2210"/>
      <c r="G10" s="2210"/>
      <c r="H10" s="1166"/>
    </row>
    <row r="11" spans="1:8">
      <c r="A11" s="1164">
        <v>4.2</v>
      </c>
      <c r="B11" s="2209" t="s">
        <v>3590</v>
      </c>
      <c r="C11" s="2209"/>
      <c r="D11" s="2209"/>
      <c r="E11" s="2209"/>
      <c r="F11" s="1167"/>
      <c r="G11" s="1167"/>
      <c r="H11" s="1166"/>
    </row>
    <row r="12" spans="1:8" ht="33.75" customHeight="1">
      <c r="A12" s="1165"/>
      <c r="B12" s="2211" t="s">
        <v>3591</v>
      </c>
      <c r="C12" s="2211"/>
      <c r="D12" s="2211"/>
      <c r="E12" s="2211"/>
      <c r="F12" s="2211"/>
      <c r="G12" s="2211"/>
      <c r="H12" s="1166"/>
    </row>
    <row r="13" spans="1:8">
      <c r="A13" s="1164">
        <v>4.3</v>
      </c>
      <c r="B13" s="1165" t="s">
        <v>3592</v>
      </c>
      <c r="C13" s="1165"/>
      <c r="D13" s="1165"/>
      <c r="E13" s="1167"/>
      <c r="F13" s="1167"/>
      <c r="G13" s="1167"/>
      <c r="H13" s="1166"/>
    </row>
    <row r="14" spans="1:8">
      <c r="A14" s="1164"/>
      <c r="B14" s="1165"/>
      <c r="C14" s="1165"/>
      <c r="D14" s="1165"/>
      <c r="E14" s="1167"/>
      <c r="F14" s="1167"/>
      <c r="G14" s="1167"/>
      <c r="H14" s="1166"/>
    </row>
    <row r="15" spans="1:8" ht="87.75" customHeight="1">
      <c r="A15" s="1165"/>
      <c r="B15" s="2212" t="s">
        <v>3593</v>
      </c>
      <c r="C15" s="2212"/>
      <c r="D15" s="2212"/>
      <c r="E15" s="2212"/>
      <c r="F15" s="2212"/>
      <c r="G15" s="2212"/>
      <c r="H15" s="1166"/>
    </row>
    <row r="16" spans="1:8" ht="26.25" customHeight="1">
      <c r="A16" s="1165"/>
      <c r="B16" s="1167"/>
      <c r="C16" s="1167"/>
      <c r="D16" s="1167"/>
      <c r="E16" s="1167"/>
      <c r="F16" s="1167"/>
      <c r="G16" s="1167"/>
      <c r="H16" s="1166"/>
    </row>
    <row r="17" spans="1:8">
      <c r="A17" s="1164">
        <v>4.4000000000000004</v>
      </c>
      <c r="B17" s="1168" t="s">
        <v>3594</v>
      </c>
      <c r="C17" s="1168"/>
      <c r="D17" s="1169"/>
      <c r="E17" s="1169"/>
      <c r="F17" s="1169"/>
      <c r="G17" s="1169"/>
      <c r="H17" s="1166"/>
    </row>
    <row r="18" spans="1:8">
      <c r="A18" s="1164"/>
      <c r="B18" s="1170"/>
      <c r="C18" s="1170"/>
      <c r="D18" s="1170"/>
      <c r="E18" s="1170"/>
      <c r="F18" s="1170"/>
      <c r="G18" s="1170"/>
      <c r="H18" s="1166"/>
    </row>
    <row r="19" spans="1:8" ht="104.25" customHeight="1">
      <c r="A19" s="1165"/>
      <c r="B19" s="2202" t="s">
        <v>3595</v>
      </c>
      <c r="C19" s="2202"/>
      <c r="D19" s="2202"/>
      <c r="E19" s="2202"/>
      <c r="F19" s="2202"/>
      <c r="G19" s="2202"/>
      <c r="H19" s="1171"/>
    </row>
    <row r="20" spans="1:8">
      <c r="A20" s="1165"/>
      <c r="B20" s="1172"/>
      <c r="C20" s="1172"/>
      <c r="D20" s="1172"/>
      <c r="E20" s="1172"/>
      <c r="F20" s="1172"/>
      <c r="G20" s="1172"/>
      <c r="H20" s="1171"/>
    </row>
    <row r="21" spans="1:8">
      <c r="A21" s="1165"/>
      <c r="B21" s="1173" t="s">
        <v>3596</v>
      </c>
      <c r="C21" s="1172"/>
      <c r="D21" s="1172"/>
      <c r="E21" s="1172"/>
      <c r="F21" s="1172"/>
      <c r="G21" s="1172"/>
      <c r="H21" s="1171"/>
    </row>
    <row r="22" spans="1:8">
      <c r="A22" s="1165"/>
      <c r="B22" s="1174" t="s">
        <v>3597</v>
      </c>
      <c r="C22" s="2194" t="s">
        <v>3598</v>
      </c>
      <c r="D22" s="2194"/>
      <c r="E22" s="1174" t="s">
        <v>3599</v>
      </c>
      <c r="F22" s="1174" t="s">
        <v>3</v>
      </c>
      <c r="G22" s="1175"/>
      <c r="H22" s="1171"/>
    </row>
    <row r="23" spans="1:8">
      <c r="A23" s="1165"/>
      <c r="B23" s="1176">
        <v>1</v>
      </c>
      <c r="C23" s="2195" t="s">
        <v>3600</v>
      </c>
      <c r="D23" s="2195"/>
      <c r="E23" s="1176" t="s">
        <v>276</v>
      </c>
      <c r="F23" s="1177">
        <v>2673.88</v>
      </c>
      <c r="G23" s="1175"/>
      <c r="H23" s="1171"/>
    </row>
    <row r="24" spans="1:8">
      <c r="A24" s="1165"/>
      <c r="B24" s="1176">
        <v>2</v>
      </c>
      <c r="C24" s="2195" t="s">
        <v>3601</v>
      </c>
      <c r="D24" s="2195"/>
      <c r="E24" s="1176" t="s">
        <v>276</v>
      </c>
      <c r="F24" s="1177">
        <v>3780.41</v>
      </c>
      <c r="G24" s="1175"/>
      <c r="H24" s="1171"/>
    </row>
    <row r="25" spans="1:8">
      <c r="A25" s="1165"/>
      <c r="B25" s="1176">
        <v>3</v>
      </c>
      <c r="C25" s="2195" t="s">
        <v>3602</v>
      </c>
      <c r="D25" s="2195"/>
      <c r="E25" s="1176" t="s">
        <v>276</v>
      </c>
      <c r="F25" s="1177">
        <v>412.33</v>
      </c>
      <c r="G25" s="1175"/>
      <c r="H25" s="1171"/>
    </row>
    <row r="26" spans="1:8">
      <c r="A26" s="1165"/>
      <c r="B26" s="2196">
        <v>4</v>
      </c>
      <c r="C26" s="2199" t="s">
        <v>3603</v>
      </c>
      <c r="D26" s="2200"/>
      <c r="E26" s="2200"/>
      <c r="F26" s="2201"/>
      <c r="G26" s="1175"/>
      <c r="H26" s="1171"/>
    </row>
    <row r="27" spans="1:8">
      <c r="A27" s="1165"/>
      <c r="B27" s="2197"/>
      <c r="C27" s="2195" t="s">
        <v>3604</v>
      </c>
      <c r="D27" s="2195"/>
      <c r="E27" s="1176" t="s">
        <v>276</v>
      </c>
      <c r="F27" s="1177">
        <v>248.05</v>
      </c>
      <c r="G27" s="1175"/>
      <c r="H27" s="1171"/>
    </row>
    <row r="28" spans="1:8">
      <c r="A28" s="1165"/>
      <c r="B28" s="2197"/>
      <c r="C28" s="2195" t="s">
        <v>3605</v>
      </c>
      <c r="D28" s="2195"/>
      <c r="E28" s="1176" t="s">
        <v>276</v>
      </c>
      <c r="F28" s="1177">
        <v>72.98</v>
      </c>
      <c r="G28" s="1175"/>
      <c r="H28" s="1171"/>
    </row>
    <row r="29" spans="1:8">
      <c r="A29" s="1165"/>
      <c r="B29" s="2198"/>
      <c r="C29" s="2195" t="s">
        <v>3606</v>
      </c>
      <c r="D29" s="2195"/>
      <c r="E29" s="1176" t="s">
        <v>276</v>
      </c>
      <c r="F29" s="1177">
        <v>1783.17</v>
      </c>
      <c r="G29" s="1175"/>
      <c r="H29" s="1171"/>
    </row>
  </sheetData>
  <mergeCells count="21">
    <mergeCell ref="B19:G19"/>
    <mergeCell ref="A1:H1"/>
    <mergeCell ref="A2:G2"/>
    <mergeCell ref="A3:G3"/>
    <mergeCell ref="A4:G4"/>
    <mergeCell ref="A5:G5"/>
    <mergeCell ref="A6:G6"/>
    <mergeCell ref="B8:D8"/>
    <mergeCell ref="B10:G10"/>
    <mergeCell ref="B11:E11"/>
    <mergeCell ref="B12:G12"/>
    <mergeCell ref="B15:G15"/>
    <mergeCell ref="C22:D22"/>
    <mergeCell ref="C23:D23"/>
    <mergeCell ref="C24:D24"/>
    <mergeCell ref="C25:D25"/>
    <mergeCell ref="B26:B29"/>
    <mergeCell ref="C26:F26"/>
    <mergeCell ref="C27:D27"/>
    <mergeCell ref="C28:D28"/>
    <mergeCell ref="C29:D29"/>
  </mergeCells>
  <pageMargins left="0.7" right="0.7" top="0.75" bottom="0.75" header="0.3" footer="0.3"/>
  <pageSetup paperSize="9" scale="87"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2060"/>
  </sheetPr>
  <dimension ref="A1:AM167"/>
  <sheetViews>
    <sheetView workbookViewId="0">
      <selection sqref="A1:K1"/>
    </sheetView>
  </sheetViews>
  <sheetFormatPr baseColWidth="10" defaultColWidth="11.42578125" defaultRowHeight="12.75"/>
  <cols>
    <col min="1" max="1" width="14.42578125" style="552" customWidth="1"/>
    <col min="2" max="2" width="99.42578125" style="550" customWidth="1"/>
    <col min="3" max="4" width="7" style="498" customWidth="1"/>
    <col min="5" max="5" width="9.42578125" style="498" customWidth="1"/>
    <col min="6" max="8" width="7" style="498" customWidth="1"/>
    <col min="9" max="9" width="7" style="735" customWidth="1"/>
    <col min="10" max="11" width="7" style="498" customWidth="1"/>
    <col min="12" max="15" width="7" style="499" customWidth="1"/>
    <col min="16" max="16" width="7" style="755" customWidth="1"/>
    <col min="17" max="18" width="7" style="498" customWidth="1"/>
    <col min="19" max="22" width="7" style="499" customWidth="1"/>
    <col min="23" max="23" width="10.5703125" style="755" customWidth="1"/>
    <col min="24" max="24" width="9.42578125" style="499" customWidth="1"/>
    <col min="25" max="25" width="7" style="499" customWidth="1"/>
    <col min="26" max="26" width="10.42578125" style="499" customWidth="1"/>
    <col min="27" max="27" width="8.5703125" style="499" customWidth="1"/>
    <col min="28" max="28" width="7" style="499" customWidth="1"/>
    <col min="29" max="29" width="9.42578125" style="499" customWidth="1"/>
    <col min="30" max="30" width="7" style="755" customWidth="1"/>
    <col min="31" max="31" width="9.5703125" style="940" customWidth="1"/>
    <col min="32" max="32" width="7" style="499" customWidth="1"/>
    <col min="33" max="33" width="9.42578125" style="761" customWidth="1"/>
    <col min="34" max="34" width="9.42578125" style="499" hidden="1" customWidth="1"/>
    <col min="35" max="36" width="9.42578125" style="498" customWidth="1"/>
    <col min="37" max="37" width="11.42578125" style="498"/>
    <col min="38" max="38" width="14.42578125" style="498" customWidth="1"/>
    <col min="39" max="256" width="11.42578125" style="498"/>
    <col min="257" max="257" width="6.42578125" style="498" customWidth="1"/>
    <col min="258" max="258" width="47.5703125" style="498" customWidth="1"/>
    <col min="259" max="260" width="5" style="498" customWidth="1"/>
    <col min="261" max="261" width="5.42578125" style="498" customWidth="1"/>
    <col min="262" max="262" width="4.5703125" style="498" customWidth="1"/>
    <col min="263" max="264" width="4.42578125" style="498" customWidth="1"/>
    <col min="265" max="265" width="3.5703125" style="498" customWidth="1"/>
    <col min="266" max="266" width="5" style="498" customWidth="1"/>
    <col min="267" max="267" width="4" style="498" customWidth="1"/>
    <col min="268" max="269" width="4.5703125" style="498" customWidth="1"/>
    <col min="270" max="270" width="4.42578125" style="498" customWidth="1"/>
    <col min="271" max="271" width="4" style="498" customWidth="1"/>
    <col min="272" max="272" width="3.5703125" style="498" customWidth="1"/>
    <col min="273" max="274" width="4.5703125" style="498" customWidth="1"/>
    <col min="275" max="275" width="4" style="498" customWidth="1"/>
    <col min="276" max="277" width="4.42578125" style="498" customWidth="1"/>
    <col min="278" max="278" width="3.5703125" style="498" customWidth="1"/>
    <col min="279" max="279" width="4.42578125" style="498" customWidth="1"/>
    <col min="280" max="280" width="5.5703125" style="498" customWidth="1"/>
    <col min="281" max="281" width="3.5703125" style="498" customWidth="1"/>
    <col min="282" max="282" width="4" style="498" customWidth="1"/>
    <col min="283" max="283" width="4.5703125" style="498" customWidth="1"/>
    <col min="284" max="286" width="4.42578125" style="498" customWidth="1"/>
    <col min="287" max="288" width="4.5703125" style="498" customWidth="1"/>
    <col min="289" max="289" width="4" style="498" customWidth="1"/>
    <col min="290" max="290" width="4.5703125" style="498" customWidth="1"/>
    <col min="291" max="291" width="6" style="498" customWidth="1"/>
    <col min="292" max="292" width="8.5703125" style="498" customWidth="1"/>
    <col min="293" max="512" width="11.42578125" style="498"/>
    <col min="513" max="513" width="6.42578125" style="498" customWidth="1"/>
    <col min="514" max="514" width="47.5703125" style="498" customWidth="1"/>
    <col min="515" max="516" width="5" style="498" customWidth="1"/>
    <col min="517" max="517" width="5.42578125" style="498" customWidth="1"/>
    <col min="518" max="518" width="4.5703125" style="498" customWidth="1"/>
    <col min="519" max="520" width="4.42578125" style="498" customWidth="1"/>
    <col min="521" max="521" width="3.5703125" style="498" customWidth="1"/>
    <col min="522" max="522" width="5" style="498" customWidth="1"/>
    <col min="523" max="523" width="4" style="498" customWidth="1"/>
    <col min="524" max="525" width="4.5703125" style="498" customWidth="1"/>
    <col min="526" max="526" width="4.42578125" style="498" customWidth="1"/>
    <col min="527" max="527" width="4" style="498" customWidth="1"/>
    <col min="528" max="528" width="3.5703125" style="498" customWidth="1"/>
    <col min="529" max="530" width="4.5703125" style="498" customWidth="1"/>
    <col min="531" max="531" width="4" style="498" customWidth="1"/>
    <col min="532" max="533" width="4.42578125" style="498" customWidth="1"/>
    <col min="534" max="534" width="3.5703125" style="498" customWidth="1"/>
    <col min="535" max="535" width="4.42578125" style="498" customWidth="1"/>
    <col min="536" max="536" width="5.5703125" style="498" customWidth="1"/>
    <col min="537" max="537" width="3.5703125" style="498" customWidth="1"/>
    <col min="538" max="538" width="4" style="498" customWidth="1"/>
    <col min="539" max="539" width="4.5703125" style="498" customWidth="1"/>
    <col min="540" max="542" width="4.42578125" style="498" customWidth="1"/>
    <col min="543" max="544" width="4.5703125" style="498" customWidth="1"/>
    <col min="545" max="545" width="4" style="498" customWidth="1"/>
    <col min="546" max="546" width="4.5703125" style="498" customWidth="1"/>
    <col min="547" max="547" width="6" style="498" customWidth="1"/>
    <col min="548" max="548" width="8.5703125" style="498" customWidth="1"/>
    <col min="549" max="768" width="11.42578125" style="498"/>
    <col min="769" max="769" width="6.42578125" style="498" customWidth="1"/>
    <col min="770" max="770" width="47.5703125" style="498" customWidth="1"/>
    <col min="771" max="772" width="5" style="498" customWidth="1"/>
    <col min="773" max="773" width="5.42578125" style="498" customWidth="1"/>
    <col min="774" max="774" width="4.5703125" style="498" customWidth="1"/>
    <col min="775" max="776" width="4.42578125" style="498" customWidth="1"/>
    <col min="777" max="777" width="3.5703125" style="498" customWidth="1"/>
    <col min="778" max="778" width="5" style="498" customWidth="1"/>
    <col min="779" max="779" width="4" style="498" customWidth="1"/>
    <col min="780" max="781" width="4.5703125" style="498" customWidth="1"/>
    <col min="782" max="782" width="4.42578125" style="498" customWidth="1"/>
    <col min="783" max="783" width="4" style="498" customWidth="1"/>
    <col min="784" max="784" width="3.5703125" style="498" customWidth="1"/>
    <col min="785" max="786" width="4.5703125" style="498" customWidth="1"/>
    <col min="787" max="787" width="4" style="498" customWidth="1"/>
    <col min="788" max="789" width="4.42578125" style="498" customWidth="1"/>
    <col min="790" max="790" width="3.5703125" style="498" customWidth="1"/>
    <col min="791" max="791" width="4.42578125" style="498" customWidth="1"/>
    <col min="792" max="792" width="5.5703125" style="498" customWidth="1"/>
    <col min="793" max="793" width="3.5703125" style="498" customWidth="1"/>
    <col min="794" max="794" width="4" style="498" customWidth="1"/>
    <col min="795" max="795" width="4.5703125" style="498" customWidth="1"/>
    <col min="796" max="798" width="4.42578125" style="498" customWidth="1"/>
    <col min="799" max="800" width="4.5703125" style="498" customWidth="1"/>
    <col min="801" max="801" width="4" style="498" customWidth="1"/>
    <col min="802" max="802" width="4.5703125" style="498" customWidth="1"/>
    <col min="803" max="803" width="6" style="498" customWidth="1"/>
    <col min="804" max="804" width="8.5703125" style="498" customWidth="1"/>
    <col min="805" max="1024" width="11.42578125" style="498"/>
    <col min="1025" max="1025" width="6.42578125" style="498" customWidth="1"/>
    <col min="1026" max="1026" width="47.5703125" style="498" customWidth="1"/>
    <col min="1027" max="1028" width="5" style="498" customWidth="1"/>
    <col min="1029" max="1029" width="5.42578125" style="498" customWidth="1"/>
    <col min="1030" max="1030" width="4.5703125" style="498" customWidth="1"/>
    <col min="1031" max="1032" width="4.42578125" style="498" customWidth="1"/>
    <col min="1033" max="1033" width="3.5703125" style="498" customWidth="1"/>
    <col min="1034" max="1034" width="5" style="498" customWidth="1"/>
    <col min="1035" max="1035" width="4" style="498" customWidth="1"/>
    <col min="1036" max="1037" width="4.5703125" style="498" customWidth="1"/>
    <col min="1038" max="1038" width="4.42578125" style="498" customWidth="1"/>
    <col min="1039" max="1039" width="4" style="498" customWidth="1"/>
    <col min="1040" max="1040" width="3.5703125" style="498" customWidth="1"/>
    <col min="1041" max="1042" width="4.5703125" style="498" customWidth="1"/>
    <col min="1043" max="1043" width="4" style="498" customWidth="1"/>
    <col min="1044" max="1045" width="4.42578125" style="498" customWidth="1"/>
    <col min="1046" max="1046" width="3.5703125" style="498" customWidth="1"/>
    <col min="1047" max="1047" width="4.42578125" style="498" customWidth="1"/>
    <col min="1048" max="1048" width="5.5703125" style="498" customWidth="1"/>
    <col min="1049" max="1049" width="3.5703125" style="498" customWidth="1"/>
    <col min="1050" max="1050" width="4" style="498" customWidth="1"/>
    <col min="1051" max="1051" width="4.5703125" style="498" customWidth="1"/>
    <col min="1052" max="1054" width="4.42578125" style="498" customWidth="1"/>
    <col min="1055" max="1056" width="4.5703125" style="498" customWidth="1"/>
    <col min="1057" max="1057" width="4" style="498" customWidth="1"/>
    <col min="1058" max="1058" width="4.5703125" style="498" customWidth="1"/>
    <col min="1059" max="1059" width="6" style="498" customWidth="1"/>
    <col min="1060" max="1060" width="8.5703125" style="498" customWidth="1"/>
    <col min="1061" max="1280" width="11.42578125" style="498"/>
    <col min="1281" max="1281" width="6.42578125" style="498" customWidth="1"/>
    <col min="1282" max="1282" width="47.5703125" style="498" customWidth="1"/>
    <col min="1283" max="1284" width="5" style="498" customWidth="1"/>
    <col min="1285" max="1285" width="5.42578125" style="498" customWidth="1"/>
    <col min="1286" max="1286" width="4.5703125" style="498" customWidth="1"/>
    <col min="1287" max="1288" width="4.42578125" style="498" customWidth="1"/>
    <col min="1289" max="1289" width="3.5703125" style="498" customWidth="1"/>
    <col min="1290" max="1290" width="5" style="498" customWidth="1"/>
    <col min="1291" max="1291" width="4" style="498" customWidth="1"/>
    <col min="1292" max="1293" width="4.5703125" style="498" customWidth="1"/>
    <col min="1294" max="1294" width="4.42578125" style="498" customWidth="1"/>
    <col min="1295" max="1295" width="4" style="498" customWidth="1"/>
    <col min="1296" max="1296" width="3.5703125" style="498" customWidth="1"/>
    <col min="1297" max="1298" width="4.5703125" style="498" customWidth="1"/>
    <col min="1299" max="1299" width="4" style="498" customWidth="1"/>
    <col min="1300" max="1301" width="4.42578125" style="498" customWidth="1"/>
    <col min="1302" max="1302" width="3.5703125" style="498" customWidth="1"/>
    <col min="1303" max="1303" width="4.42578125" style="498" customWidth="1"/>
    <col min="1304" max="1304" width="5.5703125" style="498" customWidth="1"/>
    <col min="1305" max="1305" width="3.5703125" style="498" customWidth="1"/>
    <col min="1306" max="1306" width="4" style="498" customWidth="1"/>
    <col min="1307" max="1307" width="4.5703125" style="498" customWidth="1"/>
    <col min="1308" max="1310" width="4.42578125" style="498" customWidth="1"/>
    <col min="1311" max="1312" width="4.5703125" style="498" customWidth="1"/>
    <col min="1313" max="1313" width="4" style="498" customWidth="1"/>
    <col min="1314" max="1314" width="4.5703125" style="498" customWidth="1"/>
    <col min="1315" max="1315" width="6" style="498" customWidth="1"/>
    <col min="1316" max="1316" width="8.5703125" style="498" customWidth="1"/>
    <col min="1317" max="1536" width="11.42578125" style="498"/>
    <col min="1537" max="1537" width="6.42578125" style="498" customWidth="1"/>
    <col min="1538" max="1538" width="47.5703125" style="498" customWidth="1"/>
    <col min="1539" max="1540" width="5" style="498" customWidth="1"/>
    <col min="1541" max="1541" width="5.42578125" style="498" customWidth="1"/>
    <col min="1542" max="1542" width="4.5703125" style="498" customWidth="1"/>
    <col min="1543" max="1544" width="4.42578125" style="498" customWidth="1"/>
    <col min="1545" max="1545" width="3.5703125" style="498" customWidth="1"/>
    <col min="1546" max="1546" width="5" style="498" customWidth="1"/>
    <col min="1547" max="1547" width="4" style="498" customWidth="1"/>
    <col min="1548" max="1549" width="4.5703125" style="498" customWidth="1"/>
    <col min="1550" max="1550" width="4.42578125" style="498" customWidth="1"/>
    <col min="1551" max="1551" width="4" style="498" customWidth="1"/>
    <col min="1552" max="1552" width="3.5703125" style="498" customWidth="1"/>
    <col min="1553" max="1554" width="4.5703125" style="498" customWidth="1"/>
    <col min="1555" max="1555" width="4" style="498" customWidth="1"/>
    <col min="1556" max="1557" width="4.42578125" style="498" customWidth="1"/>
    <col min="1558" max="1558" width="3.5703125" style="498" customWidth="1"/>
    <col min="1559" max="1559" width="4.42578125" style="498" customWidth="1"/>
    <col min="1560" max="1560" width="5.5703125" style="498" customWidth="1"/>
    <col min="1561" max="1561" width="3.5703125" style="498" customWidth="1"/>
    <col min="1562" max="1562" width="4" style="498" customWidth="1"/>
    <col min="1563" max="1563" width="4.5703125" style="498" customWidth="1"/>
    <col min="1564" max="1566" width="4.42578125" style="498" customWidth="1"/>
    <col min="1567" max="1568" width="4.5703125" style="498" customWidth="1"/>
    <col min="1569" max="1569" width="4" style="498" customWidth="1"/>
    <col min="1570" max="1570" width="4.5703125" style="498" customWidth="1"/>
    <col min="1571" max="1571" width="6" style="498" customWidth="1"/>
    <col min="1572" max="1572" width="8.5703125" style="498" customWidth="1"/>
    <col min="1573" max="1792" width="11.42578125" style="498"/>
    <col min="1793" max="1793" width="6.42578125" style="498" customWidth="1"/>
    <col min="1794" max="1794" width="47.5703125" style="498" customWidth="1"/>
    <col min="1795" max="1796" width="5" style="498" customWidth="1"/>
    <col min="1797" max="1797" width="5.42578125" style="498" customWidth="1"/>
    <col min="1798" max="1798" width="4.5703125" style="498" customWidth="1"/>
    <col min="1799" max="1800" width="4.42578125" style="498" customWidth="1"/>
    <col min="1801" max="1801" width="3.5703125" style="498" customWidth="1"/>
    <col min="1802" max="1802" width="5" style="498" customWidth="1"/>
    <col min="1803" max="1803" width="4" style="498" customWidth="1"/>
    <col min="1804" max="1805" width="4.5703125" style="498" customWidth="1"/>
    <col min="1806" max="1806" width="4.42578125" style="498" customWidth="1"/>
    <col min="1807" max="1807" width="4" style="498" customWidth="1"/>
    <col min="1808" max="1808" width="3.5703125" style="498" customWidth="1"/>
    <col min="1809" max="1810" width="4.5703125" style="498" customWidth="1"/>
    <col min="1811" max="1811" width="4" style="498" customWidth="1"/>
    <col min="1812" max="1813" width="4.42578125" style="498" customWidth="1"/>
    <col min="1814" max="1814" width="3.5703125" style="498" customWidth="1"/>
    <col min="1815" max="1815" width="4.42578125" style="498" customWidth="1"/>
    <col min="1816" max="1816" width="5.5703125" style="498" customWidth="1"/>
    <col min="1817" max="1817" width="3.5703125" style="498" customWidth="1"/>
    <col min="1818" max="1818" width="4" style="498" customWidth="1"/>
    <col min="1819" max="1819" width="4.5703125" style="498" customWidth="1"/>
    <col min="1820" max="1822" width="4.42578125" style="498" customWidth="1"/>
    <col min="1823" max="1824" width="4.5703125" style="498" customWidth="1"/>
    <col min="1825" max="1825" width="4" style="498" customWidth="1"/>
    <col min="1826" max="1826" width="4.5703125" style="498" customWidth="1"/>
    <col min="1827" max="1827" width="6" style="498" customWidth="1"/>
    <col min="1828" max="1828" width="8.5703125" style="498" customWidth="1"/>
    <col min="1829" max="2048" width="11.42578125" style="498"/>
    <col min="2049" max="2049" width="6.42578125" style="498" customWidth="1"/>
    <col min="2050" max="2050" width="47.5703125" style="498" customWidth="1"/>
    <col min="2051" max="2052" width="5" style="498" customWidth="1"/>
    <col min="2053" max="2053" width="5.42578125" style="498" customWidth="1"/>
    <col min="2054" max="2054" width="4.5703125" style="498" customWidth="1"/>
    <col min="2055" max="2056" width="4.42578125" style="498" customWidth="1"/>
    <col min="2057" max="2057" width="3.5703125" style="498" customWidth="1"/>
    <col min="2058" max="2058" width="5" style="498" customWidth="1"/>
    <col min="2059" max="2059" width="4" style="498" customWidth="1"/>
    <col min="2060" max="2061" width="4.5703125" style="498" customWidth="1"/>
    <col min="2062" max="2062" width="4.42578125" style="498" customWidth="1"/>
    <col min="2063" max="2063" width="4" style="498" customWidth="1"/>
    <col min="2064" max="2064" width="3.5703125" style="498" customWidth="1"/>
    <col min="2065" max="2066" width="4.5703125" style="498" customWidth="1"/>
    <col min="2067" max="2067" width="4" style="498" customWidth="1"/>
    <col min="2068" max="2069" width="4.42578125" style="498" customWidth="1"/>
    <col min="2070" max="2070" width="3.5703125" style="498" customWidth="1"/>
    <col min="2071" max="2071" width="4.42578125" style="498" customWidth="1"/>
    <col min="2072" max="2072" width="5.5703125" style="498" customWidth="1"/>
    <col min="2073" max="2073" width="3.5703125" style="498" customWidth="1"/>
    <col min="2074" max="2074" width="4" style="498" customWidth="1"/>
    <col min="2075" max="2075" width="4.5703125" style="498" customWidth="1"/>
    <col min="2076" max="2078" width="4.42578125" style="498" customWidth="1"/>
    <col min="2079" max="2080" width="4.5703125" style="498" customWidth="1"/>
    <col min="2081" max="2081" width="4" style="498" customWidth="1"/>
    <col min="2082" max="2082" width="4.5703125" style="498" customWidth="1"/>
    <col min="2083" max="2083" width="6" style="498" customWidth="1"/>
    <col min="2084" max="2084" width="8.5703125" style="498" customWidth="1"/>
    <col min="2085" max="2304" width="11.42578125" style="498"/>
    <col min="2305" max="2305" width="6.42578125" style="498" customWidth="1"/>
    <col min="2306" max="2306" width="47.5703125" style="498" customWidth="1"/>
    <col min="2307" max="2308" width="5" style="498" customWidth="1"/>
    <col min="2309" max="2309" width="5.42578125" style="498" customWidth="1"/>
    <col min="2310" max="2310" width="4.5703125" style="498" customWidth="1"/>
    <col min="2311" max="2312" width="4.42578125" style="498" customWidth="1"/>
    <col min="2313" max="2313" width="3.5703125" style="498" customWidth="1"/>
    <col min="2314" max="2314" width="5" style="498" customWidth="1"/>
    <col min="2315" max="2315" width="4" style="498" customWidth="1"/>
    <col min="2316" max="2317" width="4.5703125" style="498" customWidth="1"/>
    <col min="2318" max="2318" width="4.42578125" style="498" customWidth="1"/>
    <col min="2319" max="2319" width="4" style="498" customWidth="1"/>
    <col min="2320" max="2320" width="3.5703125" style="498" customWidth="1"/>
    <col min="2321" max="2322" width="4.5703125" style="498" customWidth="1"/>
    <col min="2323" max="2323" width="4" style="498" customWidth="1"/>
    <col min="2324" max="2325" width="4.42578125" style="498" customWidth="1"/>
    <col min="2326" max="2326" width="3.5703125" style="498" customWidth="1"/>
    <col min="2327" max="2327" width="4.42578125" style="498" customWidth="1"/>
    <col min="2328" max="2328" width="5.5703125" style="498" customWidth="1"/>
    <col min="2329" max="2329" width="3.5703125" style="498" customWidth="1"/>
    <col min="2330" max="2330" width="4" style="498" customWidth="1"/>
    <col min="2331" max="2331" width="4.5703125" style="498" customWidth="1"/>
    <col min="2332" max="2334" width="4.42578125" style="498" customWidth="1"/>
    <col min="2335" max="2336" width="4.5703125" style="498" customWidth="1"/>
    <col min="2337" max="2337" width="4" style="498" customWidth="1"/>
    <col min="2338" max="2338" width="4.5703125" style="498" customWidth="1"/>
    <col min="2339" max="2339" width="6" style="498" customWidth="1"/>
    <col min="2340" max="2340" width="8.5703125" style="498" customWidth="1"/>
    <col min="2341" max="2560" width="11.42578125" style="498"/>
    <col min="2561" max="2561" width="6.42578125" style="498" customWidth="1"/>
    <col min="2562" max="2562" width="47.5703125" style="498" customWidth="1"/>
    <col min="2563" max="2564" width="5" style="498" customWidth="1"/>
    <col min="2565" max="2565" width="5.42578125" style="498" customWidth="1"/>
    <col min="2566" max="2566" width="4.5703125" style="498" customWidth="1"/>
    <col min="2567" max="2568" width="4.42578125" style="498" customWidth="1"/>
    <col min="2569" max="2569" width="3.5703125" style="498" customWidth="1"/>
    <col min="2570" max="2570" width="5" style="498" customWidth="1"/>
    <col min="2571" max="2571" width="4" style="498" customWidth="1"/>
    <col min="2572" max="2573" width="4.5703125" style="498" customWidth="1"/>
    <col min="2574" max="2574" width="4.42578125" style="498" customWidth="1"/>
    <col min="2575" max="2575" width="4" style="498" customWidth="1"/>
    <col min="2576" max="2576" width="3.5703125" style="498" customWidth="1"/>
    <col min="2577" max="2578" width="4.5703125" style="498" customWidth="1"/>
    <col min="2579" max="2579" width="4" style="498" customWidth="1"/>
    <col min="2580" max="2581" width="4.42578125" style="498" customWidth="1"/>
    <col min="2582" max="2582" width="3.5703125" style="498" customWidth="1"/>
    <col min="2583" max="2583" width="4.42578125" style="498" customWidth="1"/>
    <col min="2584" max="2584" width="5.5703125" style="498" customWidth="1"/>
    <col min="2585" max="2585" width="3.5703125" style="498" customWidth="1"/>
    <col min="2586" max="2586" width="4" style="498" customWidth="1"/>
    <col min="2587" max="2587" width="4.5703125" style="498" customWidth="1"/>
    <col min="2588" max="2590" width="4.42578125" style="498" customWidth="1"/>
    <col min="2591" max="2592" width="4.5703125" style="498" customWidth="1"/>
    <col min="2593" max="2593" width="4" style="498" customWidth="1"/>
    <col min="2594" max="2594" width="4.5703125" style="498" customWidth="1"/>
    <col min="2595" max="2595" width="6" style="498" customWidth="1"/>
    <col min="2596" max="2596" width="8.5703125" style="498" customWidth="1"/>
    <col min="2597" max="2816" width="11.42578125" style="498"/>
    <col min="2817" max="2817" width="6.42578125" style="498" customWidth="1"/>
    <col min="2818" max="2818" width="47.5703125" style="498" customWidth="1"/>
    <col min="2819" max="2820" width="5" style="498" customWidth="1"/>
    <col min="2821" max="2821" width="5.42578125" style="498" customWidth="1"/>
    <col min="2822" max="2822" width="4.5703125" style="498" customWidth="1"/>
    <col min="2823" max="2824" width="4.42578125" style="498" customWidth="1"/>
    <col min="2825" max="2825" width="3.5703125" style="498" customWidth="1"/>
    <col min="2826" max="2826" width="5" style="498" customWidth="1"/>
    <col min="2827" max="2827" width="4" style="498" customWidth="1"/>
    <col min="2828" max="2829" width="4.5703125" style="498" customWidth="1"/>
    <col min="2830" max="2830" width="4.42578125" style="498" customWidth="1"/>
    <col min="2831" max="2831" width="4" style="498" customWidth="1"/>
    <col min="2832" max="2832" width="3.5703125" style="498" customWidth="1"/>
    <col min="2833" max="2834" width="4.5703125" style="498" customWidth="1"/>
    <col min="2835" max="2835" width="4" style="498" customWidth="1"/>
    <col min="2836" max="2837" width="4.42578125" style="498" customWidth="1"/>
    <col min="2838" max="2838" width="3.5703125" style="498" customWidth="1"/>
    <col min="2839" max="2839" width="4.42578125" style="498" customWidth="1"/>
    <col min="2840" max="2840" width="5.5703125" style="498" customWidth="1"/>
    <col min="2841" max="2841" width="3.5703125" style="498" customWidth="1"/>
    <col min="2842" max="2842" width="4" style="498" customWidth="1"/>
    <col min="2843" max="2843" width="4.5703125" style="498" customWidth="1"/>
    <col min="2844" max="2846" width="4.42578125" style="498" customWidth="1"/>
    <col min="2847" max="2848" width="4.5703125" style="498" customWidth="1"/>
    <col min="2849" max="2849" width="4" style="498" customWidth="1"/>
    <col min="2850" max="2850" width="4.5703125" style="498" customWidth="1"/>
    <col min="2851" max="2851" width="6" style="498" customWidth="1"/>
    <col min="2852" max="2852" width="8.5703125" style="498" customWidth="1"/>
    <col min="2853" max="3072" width="11.42578125" style="498"/>
    <col min="3073" max="3073" width="6.42578125" style="498" customWidth="1"/>
    <col min="3074" max="3074" width="47.5703125" style="498" customWidth="1"/>
    <col min="3075" max="3076" width="5" style="498" customWidth="1"/>
    <col min="3077" max="3077" width="5.42578125" style="498" customWidth="1"/>
    <col min="3078" max="3078" width="4.5703125" style="498" customWidth="1"/>
    <col min="3079" max="3080" width="4.42578125" style="498" customWidth="1"/>
    <col min="3081" max="3081" width="3.5703125" style="498" customWidth="1"/>
    <col min="3082" max="3082" width="5" style="498" customWidth="1"/>
    <col min="3083" max="3083" width="4" style="498" customWidth="1"/>
    <col min="3084" max="3085" width="4.5703125" style="498" customWidth="1"/>
    <col min="3086" max="3086" width="4.42578125" style="498" customWidth="1"/>
    <col min="3087" max="3087" width="4" style="498" customWidth="1"/>
    <col min="3088" max="3088" width="3.5703125" style="498" customWidth="1"/>
    <col min="3089" max="3090" width="4.5703125" style="498" customWidth="1"/>
    <col min="3091" max="3091" width="4" style="498" customWidth="1"/>
    <col min="3092" max="3093" width="4.42578125" style="498" customWidth="1"/>
    <col min="3094" max="3094" width="3.5703125" style="498" customWidth="1"/>
    <col min="3095" max="3095" width="4.42578125" style="498" customWidth="1"/>
    <col min="3096" max="3096" width="5.5703125" style="498" customWidth="1"/>
    <col min="3097" max="3097" width="3.5703125" style="498" customWidth="1"/>
    <col min="3098" max="3098" width="4" style="498" customWidth="1"/>
    <col min="3099" max="3099" width="4.5703125" style="498" customWidth="1"/>
    <col min="3100" max="3102" width="4.42578125" style="498" customWidth="1"/>
    <col min="3103" max="3104" width="4.5703125" style="498" customWidth="1"/>
    <col min="3105" max="3105" width="4" style="498" customWidth="1"/>
    <col min="3106" max="3106" width="4.5703125" style="498" customWidth="1"/>
    <col min="3107" max="3107" width="6" style="498" customWidth="1"/>
    <col min="3108" max="3108" width="8.5703125" style="498" customWidth="1"/>
    <col min="3109" max="3328" width="11.42578125" style="498"/>
    <col min="3329" max="3329" width="6.42578125" style="498" customWidth="1"/>
    <col min="3330" max="3330" width="47.5703125" style="498" customWidth="1"/>
    <col min="3331" max="3332" width="5" style="498" customWidth="1"/>
    <col min="3333" max="3333" width="5.42578125" style="498" customWidth="1"/>
    <col min="3334" max="3334" width="4.5703125" style="498" customWidth="1"/>
    <col min="3335" max="3336" width="4.42578125" style="498" customWidth="1"/>
    <col min="3337" max="3337" width="3.5703125" style="498" customWidth="1"/>
    <col min="3338" max="3338" width="5" style="498" customWidth="1"/>
    <col min="3339" max="3339" width="4" style="498" customWidth="1"/>
    <col min="3340" max="3341" width="4.5703125" style="498" customWidth="1"/>
    <col min="3342" max="3342" width="4.42578125" style="498" customWidth="1"/>
    <col min="3343" max="3343" width="4" style="498" customWidth="1"/>
    <col min="3344" max="3344" width="3.5703125" style="498" customWidth="1"/>
    <col min="3345" max="3346" width="4.5703125" style="498" customWidth="1"/>
    <col min="3347" max="3347" width="4" style="498" customWidth="1"/>
    <col min="3348" max="3349" width="4.42578125" style="498" customWidth="1"/>
    <col min="3350" max="3350" width="3.5703125" style="498" customWidth="1"/>
    <col min="3351" max="3351" width="4.42578125" style="498" customWidth="1"/>
    <col min="3352" max="3352" width="5.5703125" style="498" customWidth="1"/>
    <col min="3353" max="3353" width="3.5703125" style="498" customWidth="1"/>
    <col min="3354" max="3354" width="4" style="498" customWidth="1"/>
    <col min="3355" max="3355" width="4.5703125" style="498" customWidth="1"/>
    <col min="3356" max="3358" width="4.42578125" style="498" customWidth="1"/>
    <col min="3359" max="3360" width="4.5703125" style="498" customWidth="1"/>
    <col min="3361" max="3361" width="4" style="498" customWidth="1"/>
    <col min="3362" max="3362" width="4.5703125" style="498" customWidth="1"/>
    <col min="3363" max="3363" width="6" style="498" customWidth="1"/>
    <col min="3364" max="3364" width="8.5703125" style="498" customWidth="1"/>
    <col min="3365" max="3584" width="11.42578125" style="498"/>
    <col min="3585" max="3585" width="6.42578125" style="498" customWidth="1"/>
    <col min="3586" max="3586" width="47.5703125" style="498" customWidth="1"/>
    <col min="3587" max="3588" width="5" style="498" customWidth="1"/>
    <col min="3589" max="3589" width="5.42578125" style="498" customWidth="1"/>
    <col min="3590" max="3590" width="4.5703125" style="498" customWidth="1"/>
    <col min="3591" max="3592" width="4.42578125" style="498" customWidth="1"/>
    <col min="3593" max="3593" width="3.5703125" style="498" customWidth="1"/>
    <col min="3594" max="3594" width="5" style="498" customWidth="1"/>
    <col min="3595" max="3595" width="4" style="498" customWidth="1"/>
    <col min="3596" max="3597" width="4.5703125" style="498" customWidth="1"/>
    <col min="3598" max="3598" width="4.42578125" style="498" customWidth="1"/>
    <col min="3599" max="3599" width="4" style="498" customWidth="1"/>
    <col min="3600" max="3600" width="3.5703125" style="498" customWidth="1"/>
    <col min="3601" max="3602" width="4.5703125" style="498" customWidth="1"/>
    <col min="3603" max="3603" width="4" style="498" customWidth="1"/>
    <col min="3604" max="3605" width="4.42578125" style="498" customWidth="1"/>
    <col min="3606" max="3606" width="3.5703125" style="498" customWidth="1"/>
    <col min="3607" max="3607" width="4.42578125" style="498" customWidth="1"/>
    <col min="3608" max="3608" width="5.5703125" style="498" customWidth="1"/>
    <col min="3609" max="3609" width="3.5703125" style="498" customWidth="1"/>
    <col min="3610" max="3610" width="4" style="498" customWidth="1"/>
    <col min="3611" max="3611" width="4.5703125" style="498" customWidth="1"/>
    <col min="3612" max="3614" width="4.42578125" style="498" customWidth="1"/>
    <col min="3615" max="3616" width="4.5703125" style="498" customWidth="1"/>
    <col min="3617" max="3617" width="4" style="498" customWidth="1"/>
    <col min="3618" max="3618" width="4.5703125" style="498" customWidth="1"/>
    <col min="3619" max="3619" width="6" style="498" customWidth="1"/>
    <col min="3620" max="3620" width="8.5703125" style="498" customWidth="1"/>
    <col min="3621" max="3840" width="11.42578125" style="498"/>
    <col min="3841" max="3841" width="6.42578125" style="498" customWidth="1"/>
    <col min="3842" max="3842" width="47.5703125" style="498" customWidth="1"/>
    <col min="3843" max="3844" width="5" style="498" customWidth="1"/>
    <col min="3845" max="3845" width="5.42578125" style="498" customWidth="1"/>
    <col min="3846" max="3846" width="4.5703125" style="498" customWidth="1"/>
    <col min="3847" max="3848" width="4.42578125" style="498" customWidth="1"/>
    <col min="3849" max="3849" width="3.5703125" style="498" customWidth="1"/>
    <col min="3850" max="3850" width="5" style="498" customWidth="1"/>
    <col min="3851" max="3851" width="4" style="498" customWidth="1"/>
    <col min="3852" max="3853" width="4.5703125" style="498" customWidth="1"/>
    <col min="3854" max="3854" width="4.42578125" style="498" customWidth="1"/>
    <col min="3855" max="3855" width="4" style="498" customWidth="1"/>
    <col min="3856" max="3856" width="3.5703125" style="498" customWidth="1"/>
    <col min="3857" max="3858" width="4.5703125" style="498" customWidth="1"/>
    <col min="3859" max="3859" width="4" style="498" customWidth="1"/>
    <col min="3860" max="3861" width="4.42578125" style="498" customWidth="1"/>
    <col min="3862" max="3862" width="3.5703125" style="498" customWidth="1"/>
    <col min="3863" max="3863" width="4.42578125" style="498" customWidth="1"/>
    <col min="3864" max="3864" width="5.5703125" style="498" customWidth="1"/>
    <col min="3865" max="3865" width="3.5703125" style="498" customWidth="1"/>
    <col min="3866" max="3866" width="4" style="498" customWidth="1"/>
    <col min="3867" max="3867" width="4.5703125" style="498" customWidth="1"/>
    <col min="3868" max="3870" width="4.42578125" style="498" customWidth="1"/>
    <col min="3871" max="3872" width="4.5703125" style="498" customWidth="1"/>
    <col min="3873" max="3873" width="4" style="498" customWidth="1"/>
    <col min="3874" max="3874" width="4.5703125" style="498" customWidth="1"/>
    <col min="3875" max="3875" width="6" style="498" customWidth="1"/>
    <col min="3876" max="3876" width="8.5703125" style="498" customWidth="1"/>
    <col min="3877" max="4096" width="11.42578125" style="498"/>
    <col min="4097" max="4097" width="6.42578125" style="498" customWidth="1"/>
    <col min="4098" max="4098" width="47.5703125" style="498" customWidth="1"/>
    <col min="4099" max="4100" width="5" style="498" customWidth="1"/>
    <col min="4101" max="4101" width="5.42578125" style="498" customWidth="1"/>
    <col min="4102" max="4102" width="4.5703125" style="498" customWidth="1"/>
    <col min="4103" max="4104" width="4.42578125" style="498" customWidth="1"/>
    <col min="4105" max="4105" width="3.5703125" style="498" customWidth="1"/>
    <col min="4106" max="4106" width="5" style="498" customWidth="1"/>
    <col min="4107" max="4107" width="4" style="498" customWidth="1"/>
    <col min="4108" max="4109" width="4.5703125" style="498" customWidth="1"/>
    <col min="4110" max="4110" width="4.42578125" style="498" customWidth="1"/>
    <col min="4111" max="4111" width="4" style="498" customWidth="1"/>
    <col min="4112" max="4112" width="3.5703125" style="498" customWidth="1"/>
    <col min="4113" max="4114" width="4.5703125" style="498" customWidth="1"/>
    <col min="4115" max="4115" width="4" style="498" customWidth="1"/>
    <col min="4116" max="4117" width="4.42578125" style="498" customWidth="1"/>
    <col min="4118" max="4118" width="3.5703125" style="498" customWidth="1"/>
    <col min="4119" max="4119" width="4.42578125" style="498" customWidth="1"/>
    <col min="4120" max="4120" width="5.5703125" style="498" customWidth="1"/>
    <col min="4121" max="4121" width="3.5703125" style="498" customWidth="1"/>
    <col min="4122" max="4122" width="4" style="498" customWidth="1"/>
    <col min="4123" max="4123" width="4.5703125" style="498" customWidth="1"/>
    <col min="4124" max="4126" width="4.42578125" style="498" customWidth="1"/>
    <col min="4127" max="4128" width="4.5703125" style="498" customWidth="1"/>
    <col min="4129" max="4129" width="4" style="498" customWidth="1"/>
    <col min="4130" max="4130" width="4.5703125" style="498" customWidth="1"/>
    <col min="4131" max="4131" width="6" style="498" customWidth="1"/>
    <col min="4132" max="4132" width="8.5703125" style="498" customWidth="1"/>
    <col min="4133" max="4352" width="11.42578125" style="498"/>
    <col min="4353" max="4353" width="6.42578125" style="498" customWidth="1"/>
    <col min="4354" max="4354" width="47.5703125" style="498" customWidth="1"/>
    <col min="4355" max="4356" width="5" style="498" customWidth="1"/>
    <col min="4357" max="4357" width="5.42578125" style="498" customWidth="1"/>
    <col min="4358" max="4358" width="4.5703125" style="498" customWidth="1"/>
    <col min="4359" max="4360" width="4.42578125" style="498" customWidth="1"/>
    <col min="4361" max="4361" width="3.5703125" style="498" customWidth="1"/>
    <col min="4362" max="4362" width="5" style="498" customWidth="1"/>
    <col min="4363" max="4363" width="4" style="498" customWidth="1"/>
    <col min="4364" max="4365" width="4.5703125" style="498" customWidth="1"/>
    <col min="4366" max="4366" width="4.42578125" style="498" customWidth="1"/>
    <col min="4367" max="4367" width="4" style="498" customWidth="1"/>
    <col min="4368" max="4368" width="3.5703125" style="498" customWidth="1"/>
    <col min="4369" max="4370" width="4.5703125" style="498" customWidth="1"/>
    <col min="4371" max="4371" width="4" style="498" customWidth="1"/>
    <col min="4372" max="4373" width="4.42578125" style="498" customWidth="1"/>
    <col min="4374" max="4374" width="3.5703125" style="498" customWidth="1"/>
    <col min="4375" max="4375" width="4.42578125" style="498" customWidth="1"/>
    <col min="4376" max="4376" width="5.5703125" style="498" customWidth="1"/>
    <col min="4377" max="4377" width="3.5703125" style="498" customWidth="1"/>
    <col min="4378" max="4378" width="4" style="498" customWidth="1"/>
    <col min="4379" max="4379" width="4.5703125" style="498" customWidth="1"/>
    <col min="4380" max="4382" width="4.42578125" style="498" customWidth="1"/>
    <col min="4383" max="4384" width="4.5703125" style="498" customWidth="1"/>
    <col min="4385" max="4385" width="4" style="498" customWidth="1"/>
    <col min="4386" max="4386" width="4.5703125" style="498" customWidth="1"/>
    <col min="4387" max="4387" width="6" style="498" customWidth="1"/>
    <col min="4388" max="4388" width="8.5703125" style="498" customWidth="1"/>
    <col min="4389" max="4608" width="11.42578125" style="498"/>
    <col min="4609" max="4609" width="6.42578125" style="498" customWidth="1"/>
    <col min="4610" max="4610" width="47.5703125" style="498" customWidth="1"/>
    <col min="4611" max="4612" width="5" style="498" customWidth="1"/>
    <col min="4613" max="4613" width="5.42578125" style="498" customWidth="1"/>
    <col min="4614" max="4614" width="4.5703125" style="498" customWidth="1"/>
    <col min="4615" max="4616" width="4.42578125" style="498" customWidth="1"/>
    <col min="4617" max="4617" width="3.5703125" style="498" customWidth="1"/>
    <col min="4618" max="4618" width="5" style="498" customWidth="1"/>
    <col min="4619" max="4619" width="4" style="498" customWidth="1"/>
    <col min="4620" max="4621" width="4.5703125" style="498" customWidth="1"/>
    <col min="4622" max="4622" width="4.42578125" style="498" customWidth="1"/>
    <col min="4623" max="4623" width="4" style="498" customWidth="1"/>
    <col min="4624" max="4624" width="3.5703125" style="498" customWidth="1"/>
    <col min="4625" max="4626" width="4.5703125" style="498" customWidth="1"/>
    <col min="4627" max="4627" width="4" style="498" customWidth="1"/>
    <col min="4628" max="4629" width="4.42578125" style="498" customWidth="1"/>
    <col min="4630" max="4630" width="3.5703125" style="498" customWidth="1"/>
    <col min="4631" max="4631" width="4.42578125" style="498" customWidth="1"/>
    <col min="4632" max="4632" width="5.5703125" style="498" customWidth="1"/>
    <col min="4633" max="4633" width="3.5703125" style="498" customWidth="1"/>
    <col min="4634" max="4634" width="4" style="498" customWidth="1"/>
    <col min="4635" max="4635" width="4.5703125" style="498" customWidth="1"/>
    <col min="4636" max="4638" width="4.42578125" style="498" customWidth="1"/>
    <col min="4639" max="4640" width="4.5703125" style="498" customWidth="1"/>
    <col min="4641" max="4641" width="4" style="498" customWidth="1"/>
    <col min="4642" max="4642" width="4.5703125" style="498" customWidth="1"/>
    <col min="4643" max="4643" width="6" style="498" customWidth="1"/>
    <col min="4644" max="4644" width="8.5703125" style="498" customWidth="1"/>
    <col min="4645" max="4864" width="11.42578125" style="498"/>
    <col min="4865" max="4865" width="6.42578125" style="498" customWidth="1"/>
    <col min="4866" max="4866" width="47.5703125" style="498" customWidth="1"/>
    <col min="4867" max="4868" width="5" style="498" customWidth="1"/>
    <col min="4869" max="4869" width="5.42578125" style="498" customWidth="1"/>
    <col min="4870" max="4870" width="4.5703125" style="498" customWidth="1"/>
    <col min="4871" max="4872" width="4.42578125" style="498" customWidth="1"/>
    <col min="4873" max="4873" width="3.5703125" style="498" customWidth="1"/>
    <col min="4874" max="4874" width="5" style="498" customWidth="1"/>
    <col min="4875" max="4875" width="4" style="498" customWidth="1"/>
    <col min="4876" max="4877" width="4.5703125" style="498" customWidth="1"/>
    <col min="4878" max="4878" width="4.42578125" style="498" customWidth="1"/>
    <col min="4879" max="4879" width="4" style="498" customWidth="1"/>
    <col min="4880" max="4880" width="3.5703125" style="498" customWidth="1"/>
    <col min="4881" max="4882" width="4.5703125" style="498" customWidth="1"/>
    <col min="4883" max="4883" width="4" style="498" customWidth="1"/>
    <col min="4884" max="4885" width="4.42578125" style="498" customWidth="1"/>
    <col min="4886" max="4886" width="3.5703125" style="498" customWidth="1"/>
    <col min="4887" max="4887" width="4.42578125" style="498" customWidth="1"/>
    <col min="4888" max="4888" width="5.5703125" style="498" customWidth="1"/>
    <col min="4889" max="4889" width="3.5703125" style="498" customWidth="1"/>
    <col min="4890" max="4890" width="4" style="498" customWidth="1"/>
    <col min="4891" max="4891" width="4.5703125" style="498" customWidth="1"/>
    <col min="4892" max="4894" width="4.42578125" style="498" customWidth="1"/>
    <col min="4895" max="4896" width="4.5703125" style="498" customWidth="1"/>
    <col min="4897" max="4897" width="4" style="498" customWidth="1"/>
    <col min="4898" max="4898" width="4.5703125" style="498" customWidth="1"/>
    <col min="4899" max="4899" width="6" style="498" customWidth="1"/>
    <col min="4900" max="4900" width="8.5703125" style="498" customWidth="1"/>
    <col min="4901" max="5120" width="11.42578125" style="498"/>
    <col min="5121" max="5121" width="6.42578125" style="498" customWidth="1"/>
    <col min="5122" max="5122" width="47.5703125" style="498" customWidth="1"/>
    <col min="5123" max="5124" width="5" style="498" customWidth="1"/>
    <col min="5125" max="5125" width="5.42578125" style="498" customWidth="1"/>
    <col min="5126" max="5126" width="4.5703125" style="498" customWidth="1"/>
    <col min="5127" max="5128" width="4.42578125" style="498" customWidth="1"/>
    <col min="5129" max="5129" width="3.5703125" style="498" customWidth="1"/>
    <col min="5130" max="5130" width="5" style="498" customWidth="1"/>
    <col min="5131" max="5131" width="4" style="498" customWidth="1"/>
    <col min="5132" max="5133" width="4.5703125" style="498" customWidth="1"/>
    <col min="5134" max="5134" width="4.42578125" style="498" customWidth="1"/>
    <col min="5135" max="5135" width="4" style="498" customWidth="1"/>
    <col min="5136" max="5136" width="3.5703125" style="498" customWidth="1"/>
    <col min="5137" max="5138" width="4.5703125" style="498" customWidth="1"/>
    <col min="5139" max="5139" width="4" style="498" customWidth="1"/>
    <col min="5140" max="5141" width="4.42578125" style="498" customWidth="1"/>
    <col min="5142" max="5142" width="3.5703125" style="498" customWidth="1"/>
    <col min="5143" max="5143" width="4.42578125" style="498" customWidth="1"/>
    <col min="5144" max="5144" width="5.5703125" style="498" customWidth="1"/>
    <col min="5145" max="5145" width="3.5703125" style="498" customWidth="1"/>
    <col min="5146" max="5146" width="4" style="498" customWidth="1"/>
    <col min="5147" max="5147" width="4.5703125" style="498" customWidth="1"/>
    <col min="5148" max="5150" width="4.42578125" style="498" customWidth="1"/>
    <col min="5151" max="5152" width="4.5703125" style="498" customWidth="1"/>
    <col min="5153" max="5153" width="4" style="498" customWidth="1"/>
    <col min="5154" max="5154" width="4.5703125" style="498" customWidth="1"/>
    <col min="5155" max="5155" width="6" style="498" customWidth="1"/>
    <col min="5156" max="5156" width="8.5703125" style="498" customWidth="1"/>
    <col min="5157" max="5376" width="11.42578125" style="498"/>
    <col min="5377" max="5377" width="6.42578125" style="498" customWidth="1"/>
    <col min="5378" max="5378" width="47.5703125" style="498" customWidth="1"/>
    <col min="5379" max="5380" width="5" style="498" customWidth="1"/>
    <col min="5381" max="5381" width="5.42578125" style="498" customWidth="1"/>
    <col min="5382" max="5382" width="4.5703125" style="498" customWidth="1"/>
    <col min="5383" max="5384" width="4.42578125" style="498" customWidth="1"/>
    <col min="5385" max="5385" width="3.5703125" style="498" customWidth="1"/>
    <col min="5386" max="5386" width="5" style="498" customWidth="1"/>
    <col min="5387" max="5387" width="4" style="498" customWidth="1"/>
    <col min="5388" max="5389" width="4.5703125" style="498" customWidth="1"/>
    <col min="5390" max="5390" width="4.42578125" style="498" customWidth="1"/>
    <col min="5391" max="5391" width="4" style="498" customWidth="1"/>
    <col min="5392" max="5392" width="3.5703125" style="498" customWidth="1"/>
    <col min="5393" max="5394" width="4.5703125" style="498" customWidth="1"/>
    <col min="5395" max="5395" width="4" style="498" customWidth="1"/>
    <col min="5396" max="5397" width="4.42578125" style="498" customWidth="1"/>
    <col min="5398" max="5398" width="3.5703125" style="498" customWidth="1"/>
    <col min="5399" max="5399" width="4.42578125" style="498" customWidth="1"/>
    <col min="5400" max="5400" width="5.5703125" style="498" customWidth="1"/>
    <col min="5401" max="5401" width="3.5703125" style="498" customWidth="1"/>
    <col min="5402" max="5402" width="4" style="498" customWidth="1"/>
    <col min="5403" max="5403" width="4.5703125" style="498" customWidth="1"/>
    <col min="5404" max="5406" width="4.42578125" style="498" customWidth="1"/>
    <col min="5407" max="5408" width="4.5703125" style="498" customWidth="1"/>
    <col min="5409" max="5409" width="4" style="498" customWidth="1"/>
    <col min="5410" max="5410" width="4.5703125" style="498" customWidth="1"/>
    <col min="5411" max="5411" width="6" style="498" customWidth="1"/>
    <col min="5412" max="5412" width="8.5703125" style="498" customWidth="1"/>
    <col min="5413" max="5632" width="11.42578125" style="498"/>
    <col min="5633" max="5633" width="6.42578125" style="498" customWidth="1"/>
    <col min="5634" max="5634" width="47.5703125" style="498" customWidth="1"/>
    <col min="5635" max="5636" width="5" style="498" customWidth="1"/>
    <col min="5637" max="5637" width="5.42578125" style="498" customWidth="1"/>
    <col min="5638" max="5638" width="4.5703125" style="498" customWidth="1"/>
    <col min="5639" max="5640" width="4.42578125" style="498" customWidth="1"/>
    <col min="5641" max="5641" width="3.5703125" style="498" customWidth="1"/>
    <col min="5642" max="5642" width="5" style="498" customWidth="1"/>
    <col min="5643" max="5643" width="4" style="498" customWidth="1"/>
    <col min="5644" max="5645" width="4.5703125" style="498" customWidth="1"/>
    <col min="5646" max="5646" width="4.42578125" style="498" customWidth="1"/>
    <col min="5647" max="5647" width="4" style="498" customWidth="1"/>
    <col min="5648" max="5648" width="3.5703125" style="498" customWidth="1"/>
    <col min="5649" max="5650" width="4.5703125" style="498" customWidth="1"/>
    <col min="5651" max="5651" width="4" style="498" customWidth="1"/>
    <col min="5652" max="5653" width="4.42578125" style="498" customWidth="1"/>
    <col min="5654" max="5654" width="3.5703125" style="498" customWidth="1"/>
    <col min="5655" max="5655" width="4.42578125" style="498" customWidth="1"/>
    <col min="5656" max="5656" width="5.5703125" style="498" customWidth="1"/>
    <col min="5657" max="5657" width="3.5703125" style="498" customWidth="1"/>
    <col min="5658" max="5658" width="4" style="498" customWidth="1"/>
    <col min="5659" max="5659" width="4.5703125" style="498" customWidth="1"/>
    <col min="5660" max="5662" width="4.42578125" style="498" customWidth="1"/>
    <col min="5663" max="5664" width="4.5703125" style="498" customWidth="1"/>
    <col min="5665" max="5665" width="4" style="498" customWidth="1"/>
    <col min="5666" max="5666" width="4.5703125" style="498" customWidth="1"/>
    <col min="5667" max="5667" width="6" style="498" customWidth="1"/>
    <col min="5668" max="5668" width="8.5703125" style="498" customWidth="1"/>
    <col min="5669" max="5888" width="11.42578125" style="498"/>
    <col min="5889" max="5889" width="6.42578125" style="498" customWidth="1"/>
    <col min="5890" max="5890" width="47.5703125" style="498" customWidth="1"/>
    <col min="5891" max="5892" width="5" style="498" customWidth="1"/>
    <col min="5893" max="5893" width="5.42578125" style="498" customWidth="1"/>
    <col min="5894" max="5894" width="4.5703125" style="498" customWidth="1"/>
    <col min="5895" max="5896" width="4.42578125" style="498" customWidth="1"/>
    <col min="5897" max="5897" width="3.5703125" style="498" customWidth="1"/>
    <col min="5898" max="5898" width="5" style="498" customWidth="1"/>
    <col min="5899" max="5899" width="4" style="498" customWidth="1"/>
    <col min="5900" max="5901" width="4.5703125" style="498" customWidth="1"/>
    <col min="5902" max="5902" width="4.42578125" style="498" customWidth="1"/>
    <col min="5903" max="5903" width="4" style="498" customWidth="1"/>
    <col min="5904" max="5904" width="3.5703125" style="498" customWidth="1"/>
    <col min="5905" max="5906" width="4.5703125" style="498" customWidth="1"/>
    <col min="5907" max="5907" width="4" style="498" customWidth="1"/>
    <col min="5908" max="5909" width="4.42578125" style="498" customWidth="1"/>
    <col min="5910" max="5910" width="3.5703125" style="498" customWidth="1"/>
    <col min="5911" max="5911" width="4.42578125" style="498" customWidth="1"/>
    <col min="5912" max="5912" width="5.5703125" style="498" customWidth="1"/>
    <col min="5913" max="5913" width="3.5703125" style="498" customWidth="1"/>
    <col min="5914" max="5914" width="4" style="498" customWidth="1"/>
    <col min="5915" max="5915" width="4.5703125" style="498" customWidth="1"/>
    <col min="5916" max="5918" width="4.42578125" style="498" customWidth="1"/>
    <col min="5919" max="5920" width="4.5703125" style="498" customWidth="1"/>
    <col min="5921" max="5921" width="4" style="498" customWidth="1"/>
    <col min="5922" max="5922" width="4.5703125" style="498" customWidth="1"/>
    <col min="5923" max="5923" width="6" style="498" customWidth="1"/>
    <col min="5924" max="5924" width="8.5703125" style="498" customWidth="1"/>
    <col min="5925" max="6144" width="11.42578125" style="498"/>
    <col min="6145" max="6145" width="6.42578125" style="498" customWidth="1"/>
    <col min="6146" max="6146" width="47.5703125" style="498" customWidth="1"/>
    <col min="6147" max="6148" width="5" style="498" customWidth="1"/>
    <col min="6149" max="6149" width="5.42578125" style="498" customWidth="1"/>
    <col min="6150" max="6150" width="4.5703125" style="498" customWidth="1"/>
    <col min="6151" max="6152" width="4.42578125" style="498" customWidth="1"/>
    <col min="6153" max="6153" width="3.5703125" style="498" customWidth="1"/>
    <col min="6154" max="6154" width="5" style="498" customWidth="1"/>
    <col min="6155" max="6155" width="4" style="498" customWidth="1"/>
    <col min="6156" max="6157" width="4.5703125" style="498" customWidth="1"/>
    <col min="6158" max="6158" width="4.42578125" style="498" customWidth="1"/>
    <col min="6159" max="6159" width="4" style="498" customWidth="1"/>
    <col min="6160" max="6160" width="3.5703125" style="498" customWidth="1"/>
    <col min="6161" max="6162" width="4.5703125" style="498" customWidth="1"/>
    <col min="6163" max="6163" width="4" style="498" customWidth="1"/>
    <col min="6164" max="6165" width="4.42578125" style="498" customWidth="1"/>
    <col min="6166" max="6166" width="3.5703125" style="498" customWidth="1"/>
    <col min="6167" max="6167" width="4.42578125" style="498" customWidth="1"/>
    <col min="6168" max="6168" width="5.5703125" style="498" customWidth="1"/>
    <col min="6169" max="6169" width="3.5703125" style="498" customWidth="1"/>
    <col min="6170" max="6170" width="4" style="498" customWidth="1"/>
    <col min="6171" max="6171" width="4.5703125" style="498" customWidth="1"/>
    <col min="6172" max="6174" width="4.42578125" style="498" customWidth="1"/>
    <col min="6175" max="6176" width="4.5703125" style="498" customWidth="1"/>
    <col min="6177" max="6177" width="4" style="498" customWidth="1"/>
    <col min="6178" max="6178" width="4.5703125" style="498" customWidth="1"/>
    <col min="6179" max="6179" width="6" style="498" customWidth="1"/>
    <col min="6180" max="6180" width="8.5703125" style="498" customWidth="1"/>
    <col min="6181" max="6400" width="11.42578125" style="498"/>
    <col min="6401" max="6401" width="6.42578125" style="498" customWidth="1"/>
    <col min="6402" max="6402" width="47.5703125" style="498" customWidth="1"/>
    <col min="6403" max="6404" width="5" style="498" customWidth="1"/>
    <col min="6405" max="6405" width="5.42578125" style="498" customWidth="1"/>
    <col min="6406" max="6406" width="4.5703125" style="498" customWidth="1"/>
    <col min="6407" max="6408" width="4.42578125" style="498" customWidth="1"/>
    <col min="6409" max="6409" width="3.5703125" style="498" customWidth="1"/>
    <col min="6410" max="6410" width="5" style="498" customWidth="1"/>
    <col min="6411" max="6411" width="4" style="498" customWidth="1"/>
    <col min="6412" max="6413" width="4.5703125" style="498" customWidth="1"/>
    <col min="6414" max="6414" width="4.42578125" style="498" customWidth="1"/>
    <col min="6415" max="6415" width="4" style="498" customWidth="1"/>
    <col min="6416" max="6416" width="3.5703125" style="498" customWidth="1"/>
    <col min="6417" max="6418" width="4.5703125" style="498" customWidth="1"/>
    <col min="6419" max="6419" width="4" style="498" customWidth="1"/>
    <col min="6420" max="6421" width="4.42578125" style="498" customWidth="1"/>
    <col min="6422" max="6422" width="3.5703125" style="498" customWidth="1"/>
    <col min="6423" max="6423" width="4.42578125" style="498" customWidth="1"/>
    <col min="6424" max="6424" width="5.5703125" style="498" customWidth="1"/>
    <col min="6425" max="6425" width="3.5703125" style="498" customWidth="1"/>
    <col min="6426" max="6426" width="4" style="498" customWidth="1"/>
    <col min="6427" max="6427" width="4.5703125" style="498" customWidth="1"/>
    <col min="6428" max="6430" width="4.42578125" style="498" customWidth="1"/>
    <col min="6431" max="6432" width="4.5703125" style="498" customWidth="1"/>
    <col min="6433" max="6433" width="4" style="498" customWidth="1"/>
    <col min="6434" max="6434" width="4.5703125" style="498" customWidth="1"/>
    <col min="6435" max="6435" width="6" style="498" customWidth="1"/>
    <col min="6436" max="6436" width="8.5703125" style="498" customWidth="1"/>
    <col min="6437" max="6656" width="11.42578125" style="498"/>
    <col min="6657" max="6657" width="6.42578125" style="498" customWidth="1"/>
    <col min="6658" max="6658" width="47.5703125" style="498" customWidth="1"/>
    <col min="6659" max="6660" width="5" style="498" customWidth="1"/>
    <col min="6661" max="6661" width="5.42578125" style="498" customWidth="1"/>
    <col min="6662" max="6662" width="4.5703125" style="498" customWidth="1"/>
    <col min="6663" max="6664" width="4.42578125" style="498" customWidth="1"/>
    <col min="6665" max="6665" width="3.5703125" style="498" customWidth="1"/>
    <col min="6666" max="6666" width="5" style="498" customWidth="1"/>
    <col min="6667" max="6667" width="4" style="498" customWidth="1"/>
    <col min="6668" max="6669" width="4.5703125" style="498" customWidth="1"/>
    <col min="6670" max="6670" width="4.42578125" style="498" customWidth="1"/>
    <col min="6671" max="6671" width="4" style="498" customWidth="1"/>
    <col min="6672" max="6672" width="3.5703125" style="498" customWidth="1"/>
    <col min="6673" max="6674" width="4.5703125" style="498" customWidth="1"/>
    <col min="6675" max="6675" width="4" style="498" customWidth="1"/>
    <col min="6676" max="6677" width="4.42578125" style="498" customWidth="1"/>
    <col min="6678" max="6678" width="3.5703125" style="498" customWidth="1"/>
    <col min="6679" max="6679" width="4.42578125" style="498" customWidth="1"/>
    <col min="6680" max="6680" width="5.5703125" style="498" customWidth="1"/>
    <col min="6681" max="6681" width="3.5703125" style="498" customWidth="1"/>
    <col min="6682" max="6682" width="4" style="498" customWidth="1"/>
    <col min="6683" max="6683" width="4.5703125" style="498" customWidth="1"/>
    <col min="6684" max="6686" width="4.42578125" style="498" customWidth="1"/>
    <col min="6687" max="6688" width="4.5703125" style="498" customWidth="1"/>
    <col min="6689" max="6689" width="4" style="498" customWidth="1"/>
    <col min="6690" max="6690" width="4.5703125" style="498" customWidth="1"/>
    <col min="6691" max="6691" width="6" style="498" customWidth="1"/>
    <col min="6692" max="6692" width="8.5703125" style="498" customWidth="1"/>
    <col min="6693" max="6912" width="11.42578125" style="498"/>
    <col min="6913" max="6913" width="6.42578125" style="498" customWidth="1"/>
    <col min="6914" max="6914" width="47.5703125" style="498" customWidth="1"/>
    <col min="6915" max="6916" width="5" style="498" customWidth="1"/>
    <col min="6917" max="6917" width="5.42578125" style="498" customWidth="1"/>
    <col min="6918" max="6918" width="4.5703125" style="498" customWidth="1"/>
    <col min="6919" max="6920" width="4.42578125" style="498" customWidth="1"/>
    <col min="6921" max="6921" width="3.5703125" style="498" customWidth="1"/>
    <col min="6922" max="6922" width="5" style="498" customWidth="1"/>
    <col min="6923" max="6923" width="4" style="498" customWidth="1"/>
    <col min="6924" max="6925" width="4.5703125" style="498" customWidth="1"/>
    <col min="6926" max="6926" width="4.42578125" style="498" customWidth="1"/>
    <col min="6927" max="6927" width="4" style="498" customWidth="1"/>
    <col min="6928" max="6928" width="3.5703125" style="498" customWidth="1"/>
    <col min="6929" max="6930" width="4.5703125" style="498" customWidth="1"/>
    <col min="6931" max="6931" width="4" style="498" customWidth="1"/>
    <col min="6932" max="6933" width="4.42578125" style="498" customWidth="1"/>
    <col min="6934" max="6934" width="3.5703125" style="498" customWidth="1"/>
    <col min="6935" max="6935" width="4.42578125" style="498" customWidth="1"/>
    <col min="6936" max="6936" width="5.5703125" style="498" customWidth="1"/>
    <col min="6937" max="6937" width="3.5703125" style="498" customWidth="1"/>
    <col min="6938" max="6938" width="4" style="498" customWidth="1"/>
    <col min="6939" max="6939" width="4.5703125" style="498" customWidth="1"/>
    <col min="6940" max="6942" width="4.42578125" style="498" customWidth="1"/>
    <col min="6943" max="6944" width="4.5703125" style="498" customWidth="1"/>
    <col min="6945" max="6945" width="4" style="498" customWidth="1"/>
    <col min="6946" max="6946" width="4.5703125" style="498" customWidth="1"/>
    <col min="6947" max="6947" width="6" style="498" customWidth="1"/>
    <col min="6948" max="6948" width="8.5703125" style="498" customWidth="1"/>
    <col min="6949" max="7168" width="11.42578125" style="498"/>
    <col min="7169" max="7169" width="6.42578125" style="498" customWidth="1"/>
    <col min="7170" max="7170" width="47.5703125" style="498" customWidth="1"/>
    <col min="7171" max="7172" width="5" style="498" customWidth="1"/>
    <col min="7173" max="7173" width="5.42578125" style="498" customWidth="1"/>
    <col min="7174" max="7174" width="4.5703125" style="498" customWidth="1"/>
    <col min="7175" max="7176" width="4.42578125" style="498" customWidth="1"/>
    <col min="7177" max="7177" width="3.5703125" style="498" customWidth="1"/>
    <col min="7178" max="7178" width="5" style="498" customWidth="1"/>
    <col min="7179" max="7179" width="4" style="498" customWidth="1"/>
    <col min="7180" max="7181" width="4.5703125" style="498" customWidth="1"/>
    <col min="7182" max="7182" width="4.42578125" style="498" customWidth="1"/>
    <col min="7183" max="7183" width="4" style="498" customWidth="1"/>
    <col min="7184" max="7184" width="3.5703125" style="498" customWidth="1"/>
    <col min="7185" max="7186" width="4.5703125" style="498" customWidth="1"/>
    <col min="7187" max="7187" width="4" style="498" customWidth="1"/>
    <col min="7188" max="7189" width="4.42578125" style="498" customWidth="1"/>
    <col min="7190" max="7190" width="3.5703125" style="498" customWidth="1"/>
    <col min="7191" max="7191" width="4.42578125" style="498" customWidth="1"/>
    <col min="7192" max="7192" width="5.5703125" style="498" customWidth="1"/>
    <col min="7193" max="7193" width="3.5703125" style="498" customWidth="1"/>
    <col min="7194" max="7194" width="4" style="498" customWidth="1"/>
    <col min="7195" max="7195" width="4.5703125" style="498" customWidth="1"/>
    <col min="7196" max="7198" width="4.42578125" style="498" customWidth="1"/>
    <col min="7199" max="7200" width="4.5703125" style="498" customWidth="1"/>
    <col min="7201" max="7201" width="4" style="498" customWidth="1"/>
    <col min="7202" max="7202" width="4.5703125" style="498" customWidth="1"/>
    <col min="7203" max="7203" width="6" style="498" customWidth="1"/>
    <col min="7204" max="7204" width="8.5703125" style="498" customWidth="1"/>
    <col min="7205" max="7424" width="11.42578125" style="498"/>
    <col min="7425" max="7425" width="6.42578125" style="498" customWidth="1"/>
    <col min="7426" max="7426" width="47.5703125" style="498" customWidth="1"/>
    <col min="7427" max="7428" width="5" style="498" customWidth="1"/>
    <col min="7429" max="7429" width="5.42578125" style="498" customWidth="1"/>
    <col min="7430" max="7430" width="4.5703125" style="498" customWidth="1"/>
    <col min="7431" max="7432" width="4.42578125" style="498" customWidth="1"/>
    <col min="7433" max="7433" width="3.5703125" style="498" customWidth="1"/>
    <col min="7434" max="7434" width="5" style="498" customWidth="1"/>
    <col min="7435" max="7435" width="4" style="498" customWidth="1"/>
    <col min="7436" max="7437" width="4.5703125" style="498" customWidth="1"/>
    <col min="7438" max="7438" width="4.42578125" style="498" customWidth="1"/>
    <col min="7439" max="7439" width="4" style="498" customWidth="1"/>
    <col min="7440" max="7440" width="3.5703125" style="498" customWidth="1"/>
    <col min="7441" max="7442" width="4.5703125" style="498" customWidth="1"/>
    <col min="7443" max="7443" width="4" style="498" customWidth="1"/>
    <col min="7444" max="7445" width="4.42578125" style="498" customWidth="1"/>
    <col min="7446" max="7446" width="3.5703125" style="498" customWidth="1"/>
    <col min="7447" max="7447" width="4.42578125" style="498" customWidth="1"/>
    <col min="7448" max="7448" width="5.5703125" style="498" customWidth="1"/>
    <col min="7449" max="7449" width="3.5703125" style="498" customWidth="1"/>
    <col min="7450" max="7450" width="4" style="498" customWidth="1"/>
    <col min="7451" max="7451" width="4.5703125" style="498" customWidth="1"/>
    <col min="7452" max="7454" width="4.42578125" style="498" customWidth="1"/>
    <col min="7455" max="7456" width="4.5703125" style="498" customWidth="1"/>
    <col min="7457" max="7457" width="4" style="498" customWidth="1"/>
    <col min="7458" max="7458" width="4.5703125" style="498" customWidth="1"/>
    <col min="7459" max="7459" width="6" style="498" customWidth="1"/>
    <col min="7460" max="7460" width="8.5703125" style="498" customWidth="1"/>
    <col min="7461" max="7680" width="11.42578125" style="498"/>
    <col min="7681" max="7681" width="6.42578125" style="498" customWidth="1"/>
    <col min="7682" max="7682" width="47.5703125" style="498" customWidth="1"/>
    <col min="7683" max="7684" width="5" style="498" customWidth="1"/>
    <col min="7685" max="7685" width="5.42578125" style="498" customWidth="1"/>
    <col min="7686" max="7686" width="4.5703125" style="498" customWidth="1"/>
    <col min="7687" max="7688" width="4.42578125" style="498" customWidth="1"/>
    <col min="7689" max="7689" width="3.5703125" style="498" customWidth="1"/>
    <col min="7690" max="7690" width="5" style="498" customWidth="1"/>
    <col min="7691" max="7691" width="4" style="498" customWidth="1"/>
    <col min="7692" max="7693" width="4.5703125" style="498" customWidth="1"/>
    <col min="7694" max="7694" width="4.42578125" style="498" customWidth="1"/>
    <col min="7695" max="7695" width="4" style="498" customWidth="1"/>
    <col min="7696" max="7696" width="3.5703125" style="498" customWidth="1"/>
    <col min="7697" max="7698" width="4.5703125" style="498" customWidth="1"/>
    <col min="7699" max="7699" width="4" style="498" customWidth="1"/>
    <col min="7700" max="7701" width="4.42578125" style="498" customWidth="1"/>
    <col min="7702" max="7702" width="3.5703125" style="498" customWidth="1"/>
    <col min="7703" max="7703" width="4.42578125" style="498" customWidth="1"/>
    <col min="7704" max="7704" width="5.5703125" style="498" customWidth="1"/>
    <col min="7705" max="7705" width="3.5703125" style="498" customWidth="1"/>
    <col min="7706" max="7706" width="4" style="498" customWidth="1"/>
    <col min="7707" max="7707" width="4.5703125" style="498" customWidth="1"/>
    <col min="7708" max="7710" width="4.42578125" style="498" customWidth="1"/>
    <col min="7711" max="7712" width="4.5703125" style="498" customWidth="1"/>
    <col min="7713" max="7713" width="4" style="498" customWidth="1"/>
    <col min="7714" max="7714" width="4.5703125" style="498" customWidth="1"/>
    <col min="7715" max="7715" width="6" style="498" customWidth="1"/>
    <col min="7716" max="7716" width="8.5703125" style="498" customWidth="1"/>
    <col min="7717" max="7936" width="11.42578125" style="498"/>
    <col min="7937" max="7937" width="6.42578125" style="498" customWidth="1"/>
    <col min="7938" max="7938" width="47.5703125" style="498" customWidth="1"/>
    <col min="7939" max="7940" width="5" style="498" customWidth="1"/>
    <col min="7941" max="7941" width="5.42578125" style="498" customWidth="1"/>
    <col min="7942" max="7942" width="4.5703125" style="498" customWidth="1"/>
    <col min="7943" max="7944" width="4.42578125" style="498" customWidth="1"/>
    <col min="7945" max="7945" width="3.5703125" style="498" customWidth="1"/>
    <col min="7946" max="7946" width="5" style="498" customWidth="1"/>
    <col min="7947" max="7947" width="4" style="498" customWidth="1"/>
    <col min="7948" max="7949" width="4.5703125" style="498" customWidth="1"/>
    <col min="7950" max="7950" width="4.42578125" style="498" customWidth="1"/>
    <col min="7951" max="7951" width="4" style="498" customWidth="1"/>
    <col min="7952" max="7952" width="3.5703125" style="498" customWidth="1"/>
    <col min="7953" max="7954" width="4.5703125" style="498" customWidth="1"/>
    <col min="7955" max="7955" width="4" style="498" customWidth="1"/>
    <col min="7956" max="7957" width="4.42578125" style="498" customWidth="1"/>
    <col min="7958" max="7958" width="3.5703125" style="498" customWidth="1"/>
    <col min="7959" max="7959" width="4.42578125" style="498" customWidth="1"/>
    <col min="7960" max="7960" width="5.5703125" style="498" customWidth="1"/>
    <col min="7961" max="7961" width="3.5703125" style="498" customWidth="1"/>
    <col min="7962" max="7962" width="4" style="498" customWidth="1"/>
    <col min="7963" max="7963" width="4.5703125" style="498" customWidth="1"/>
    <col min="7964" max="7966" width="4.42578125" style="498" customWidth="1"/>
    <col min="7967" max="7968" width="4.5703125" style="498" customWidth="1"/>
    <col min="7969" max="7969" width="4" style="498" customWidth="1"/>
    <col min="7970" max="7970" width="4.5703125" style="498" customWidth="1"/>
    <col min="7971" max="7971" width="6" style="498" customWidth="1"/>
    <col min="7972" max="7972" width="8.5703125" style="498" customWidth="1"/>
    <col min="7973" max="8192" width="11.42578125" style="498"/>
    <col min="8193" max="8193" width="6.42578125" style="498" customWidth="1"/>
    <col min="8194" max="8194" width="47.5703125" style="498" customWidth="1"/>
    <col min="8195" max="8196" width="5" style="498" customWidth="1"/>
    <col min="8197" max="8197" width="5.42578125" style="498" customWidth="1"/>
    <col min="8198" max="8198" width="4.5703125" style="498" customWidth="1"/>
    <col min="8199" max="8200" width="4.42578125" style="498" customWidth="1"/>
    <col min="8201" max="8201" width="3.5703125" style="498" customWidth="1"/>
    <col min="8202" max="8202" width="5" style="498" customWidth="1"/>
    <col min="8203" max="8203" width="4" style="498" customWidth="1"/>
    <col min="8204" max="8205" width="4.5703125" style="498" customWidth="1"/>
    <col min="8206" max="8206" width="4.42578125" style="498" customWidth="1"/>
    <col min="8207" max="8207" width="4" style="498" customWidth="1"/>
    <col min="8208" max="8208" width="3.5703125" style="498" customWidth="1"/>
    <col min="8209" max="8210" width="4.5703125" style="498" customWidth="1"/>
    <col min="8211" max="8211" width="4" style="498" customWidth="1"/>
    <col min="8212" max="8213" width="4.42578125" style="498" customWidth="1"/>
    <col min="8214" max="8214" width="3.5703125" style="498" customWidth="1"/>
    <col min="8215" max="8215" width="4.42578125" style="498" customWidth="1"/>
    <col min="8216" max="8216" width="5.5703125" style="498" customWidth="1"/>
    <col min="8217" max="8217" width="3.5703125" style="498" customWidth="1"/>
    <col min="8218" max="8218" width="4" style="498" customWidth="1"/>
    <col min="8219" max="8219" width="4.5703125" style="498" customWidth="1"/>
    <col min="8220" max="8222" width="4.42578125" style="498" customWidth="1"/>
    <col min="8223" max="8224" width="4.5703125" style="498" customWidth="1"/>
    <col min="8225" max="8225" width="4" style="498" customWidth="1"/>
    <col min="8226" max="8226" width="4.5703125" style="498" customWidth="1"/>
    <col min="8227" max="8227" width="6" style="498" customWidth="1"/>
    <col min="8228" max="8228" width="8.5703125" style="498" customWidth="1"/>
    <col min="8229" max="8448" width="11.42578125" style="498"/>
    <col min="8449" max="8449" width="6.42578125" style="498" customWidth="1"/>
    <col min="8450" max="8450" width="47.5703125" style="498" customWidth="1"/>
    <col min="8451" max="8452" width="5" style="498" customWidth="1"/>
    <col min="8453" max="8453" width="5.42578125" style="498" customWidth="1"/>
    <col min="8454" max="8454" width="4.5703125" style="498" customWidth="1"/>
    <col min="8455" max="8456" width="4.42578125" style="498" customWidth="1"/>
    <col min="8457" max="8457" width="3.5703125" style="498" customWidth="1"/>
    <col min="8458" max="8458" width="5" style="498" customWidth="1"/>
    <col min="8459" max="8459" width="4" style="498" customWidth="1"/>
    <col min="8460" max="8461" width="4.5703125" style="498" customWidth="1"/>
    <col min="8462" max="8462" width="4.42578125" style="498" customWidth="1"/>
    <col min="8463" max="8463" width="4" style="498" customWidth="1"/>
    <col min="8464" max="8464" width="3.5703125" style="498" customWidth="1"/>
    <col min="8465" max="8466" width="4.5703125" style="498" customWidth="1"/>
    <col min="8467" max="8467" width="4" style="498" customWidth="1"/>
    <col min="8468" max="8469" width="4.42578125" style="498" customWidth="1"/>
    <col min="8470" max="8470" width="3.5703125" style="498" customWidth="1"/>
    <col min="8471" max="8471" width="4.42578125" style="498" customWidth="1"/>
    <col min="8472" max="8472" width="5.5703125" style="498" customWidth="1"/>
    <col min="8473" max="8473" width="3.5703125" style="498" customWidth="1"/>
    <col min="8474" max="8474" width="4" style="498" customWidth="1"/>
    <col min="8475" max="8475" width="4.5703125" style="498" customWidth="1"/>
    <col min="8476" max="8478" width="4.42578125" style="498" customWidth="1"/>
    <col min="8479" max="8480" width="4.5703125" style="498" customWidth="1"/>
    <col min="8481" max="8481" width="4" style="498" customWidth="1"/>
    <col min="8482" max="8482" width="4.5703125" style="498" customWidth="1"/>
    <col min="8483" max="8483" width="6" style="498" customWidth="1"/>
    <col min="8484" max="8484" width="8.5703125" style="498" customWidth="1"/>
    <col min="8485" max="8704" width="11.42578125" style="498"/>
    <col min="8705" max="8705" width="6.42578125" style="498" customWidth="1"/>
    <col min="8706" max="8706" width="47.5703125" style="498" customWidth="1"/>
    <col min="8707" max="8708" width="5" style="498" customWidth="1"/>
    <col min="8709" max="8709" width="5.42578125" style="498" customWidth="1"/>
    <col min="8710" max="8710" width="4.5703125" style="498" customWidth="1"/>
    <col min="8711" max="8712" width="4.42578125" style="498" customWidth="1"/>
    <col min="8713" max="8713" width="3.5703125" style="498" customWidth="1"/>
    <col min="8714" max="8714" width="5" style="498" customWidth="1"/>
    <col min="8715" max="8715" width="4" style="498" customWidth="1"/>
    <col min="8716" max="8717" width="4.5703125" style="498" customWidth="1"/>
    <col min="8718" max="8718" width="4.42578125" style="498" customWidth="1"/>
    <col min="8719" max="8719" width="4" style="498" customWidth="1"/>
    <col min="8720" max="8720" width="3.5703125" style="498" customWidth="1"/>
    <col min="8721" max="8722" width="4.5703125" style="498" customWidth="1"/>
    <col min="8723" max="8723" width="4" style="498" customWidth="1"/>
    <col min="8724" max="8725" width="4.42578125" style="498" customWidth="1"/>
    <col min="8726" max="8726" width="3.5703125" style="498" customWidth="1"/>
    <col min="8727" max="8727" width="4.42578125" style="498" customWidth="1"/>
    <col min="8728" max="8728" width="5.5703125" style="498" customWidth="1"/>
    <col min="8729" max="8729" width="3.5703125" style="498" customWidth="1"/>
    <col min="8730" max="8730" width="4" style="498" customWidth="1"/>
    <col min="8731" max="8731" width="4.5703125" style="498" customWidth="1"/>
    <col min="8732" max="8734" width="4.42578125" style="498" customWidth="1"/>
    <col min="8735" max="8736" width="4.5703125" style="498" customWidth="1"/>
    <col min="8737" max="8737" width="4" style="498" customWidth="1"/>
    <col min="8738" max="8738" width="4.5703125" style="498" customWidth="1"/>
    <col min="8739" max="8739" width="6" style="498" customWidth="1"/>
    <col min="8740" max="8740" width="8.5703125" style="498" customWidth="1"/>
    <col min="8741" max="8960" width="11.42578125" style="498"/>
    <col min="8961" max="8961" width="6.42578125" style="498" customWidth="1"/>
    <col min="8962" max="8962" width="47.5703125" style="498" customWidth="1"/>
    <col min="8963" max="8964" width="5" style="498" customWidth="1"/>
    <col min="8965" max="8965" width="5.42578125" style="498" customWidth="1"/>
    <col min="8966" max="8966" width="4.5703125" style="498" customWidth="1"/>
    <col min="8967" max="8968" width="4.42578125" style="498" customWidth="1"/>
    <col min="8969" max="8969" width="3.5703125" style="498" customWidth="1"/>
    <col min="8970" max="8970" width="5" style="498" customWidth="1"/>
    <col min="8971" max="8971" width="4" style="498" customWidth="1"/>
    <col min="8972" max="8973" width="4.5703125" style="498" customWidth="1"/>
    <col min="8974" max="8974" width="4.42578125" style="498" customWidth="1"/>
    <col min="8975" max="8975" width="4" style="498" customWidth="1"/>
    <col min="8976" max="8976" width="3.5703125" style="498" customWidth="1"/>
    <col min="8977" max="8978" width="4.5703125" style="498" customWidth="1"/>
    <col min="8979" max="8979" width="4" style="498" customWidth="1"/>
    <col min="8980" max="8981" width="4.42578125" style="498" customWidth="1"/>
    <col min="8982" max="8982" width="3.5703125" style="498" customWidth="1"/>
    <col min="8983" max="8983" width="4.42578125" style="498" customWidth="1"/>
    <col min="8984" max="8984" width="5.5703125" style="498" customWidth="1"/>
    <col min="8985" max="8985" width="3.5703125" style="498" customWidth="1"/>
    <col min="8986" max="8986" width="4" style="498" customWidth="1"/>
    <col min="8987" max="8987" width="4.5703125" style="498" customWidth="1"/>
    <col min="8988" max="8990" width="4.42578125" style="498" customWidth="1"/>
    <col min="8991" max="8992" width="4.5703125" style="498" customWidth="1"/>
    <col min="8993" max="8993" width="4" style="498" customWidth="1"/>
    <col min="8994" max="8994" width="4.5703125" style="498" customWidth="1"/>
    <col min="8995" max="8995" width="6" style="498" customWidth="1"/>
    <col min="8996" max="8996" width="8.5703125" style="498" customWidth="1"/>
    <col min="8997" max="9216" width="11.42578125" style="498"/>
    <col min="9217" max="9217" width="6.42578125" style="498" customWidth="1"/>
    <col min="9218" max="9218" width="47.5703125" style="498" customWidth="1"/>
    <col min="9219" max="9220" width="5" style="498" customWidth="1"/>
    <col min="9221" max="9221" width="5.42578125" style="498" customWidth="1"/>
    <col min="9222" max="9222" width="4.5703125" style="498" customWidth="1"/>
    <col min="9223" max="9224" width="4.42578125" style="498" customWidth="1"/>
    <col min="9225" max="9225" width="3.5703125" style="498" customWidth="1"/>
    <col min="9226" max="9226" width="5" style="498" customWidth="1"/>
    <col min="9227" max="9227" width="4" style="498" customWidth="1"/>
    <col min="9228" max="9229" width="4.5703125" style="498" customWidth="1"/>
    <col min="9230" max="9230" width="4.42578125" style="498" customWidth="1"/>
    <col min="9231" max="9231" width="4" style="498" customWidth="1"/>
    <col min="9232" max="9232" width="3.5703125" style="498" customWidth="1"/>
    <col min="9233" max="9234" width="4.5703125" style="498" customWidth="1"/>
    <col min="9235" max="9235" width="4" style="498" customWidth="1"/>
    <col min="9236" max="9237" width="4.42578125" style="498" customWidth="1"/>
    <col min="9238" max="9238" width="3.5703125" style="498" customWidth="1"/>
    <col min="9239" max="9239" width="4.42578125" style="498" customWidth="1"/>
    <col min="9240" max="9240" width="5.5703125" style="498" customWidth="1"/>
    <col min="9241" max="9241" width="3.5703125" style="498" customWidth="1"/>
    <col min="9242" max="9242" width="4" style="498" customWidth="1"/>
    <col min="9243" max="9243" width="4.5703125" style="498" customWidth="1"/>
    <col min="9244" max="9246" width="4.42578125" style="498" customWidth="1"/>
    <col min="9247" max="9248" width="4.5703125" style="498" customWidth="1"/>
    <col min="9249" max="9249" width="4" style="498" customWidth="1"/>
    <col min="9250" max="9250" width="4.5703125" style="498" customWidth="1"/>
    <col min="9251" max="9251" width="6" style="498" customWidth="1"/>
    <col min="9252" max="9252" width="8.5703125" style="498" customWidth="1"/>
    <col min="9253" max="9472" width="11.42578125" style="498"/>
    <col min="9473" max="9473" width="6.42578125" style="498" customWidth="1"/>
    <col min="9474" max="9474" width="47.5703125" style="498" customWidth="1"/>
    <col min="9475" max="9476" width="5" style="498" customWidth="1"/>
    <col min="9477" max="9477" width="5.42578125" style="498" customWidth="1"/>
    <col min="9478" max="9478" width="4.5703125" style="498" customWidth="1"/>
    <col min="9479" max="9480" width="4.42578125" style="498" customWidth="1"/>
    <col min="9481" max="9481" width="3.5703125" style="498" customWidth="1"/>
    <col min="9482" max="9482" width="5" style="498" customWidth="1"/>
    <col min="9483" max="9483" width="4" style="498" customWidth="1"/>
    <col min="9484" max="9485" width="4.5703125" style="498" customWidth="1"/>
    <col min="9486" max="9486" width="4.42578125" style="498" customWidth="1"/>
    <col min="9487" max="9487" width="4" style="498" customWidth="1"/>
    <col min="9488" max="9488" width="3.5703125" style="498" customWidth="1"/>
    <col min="9489" max="9490" width="4.5703125" style="498" customWidth="1"/>
    <col min="9491" max="9491" width="4" style="498" customWidth="1"/>
    <col min="9492" max="9493" width="4.42578125" style="498" customWidth="1"/>
    <col min="9494" max="9494" width="3.5703125" style="498" customWidth="1"/>
    <col min="9495" max="9495" width="4.42578125" style="498" customWidth="1"/>
    <col min="9496" max="9496" width="5.5703125" style="498" customWidth="1"/>
    <col min="9497" max="9497" width="3.5703125" style="498" customWidth="1"/>
    <col min="9498" max="9498" width="4" style="498" customWidth="1"/>
    <col min="9499" max="9499" width="4.5703125" style="498" customWidth="1"/>
    <col min="9500" max="9502" width="4.42578125" style="498" customWidth="1"/>
    <col min="9503" max="9504" width="4.5703125" style="498" customWidth="1"/>
    <col min="9505" max="9505" width="4" style="498" customWidth="1"/>
    <col min="9506" max="9506" width="4.5703125" style="498" customWidth="1"/>
    <col min="9507" max="9507" width="6" style="498" customWidth="1"/>
    <col min="9508" max="9508" width="8.5703125" style="498" customWidth="1"/>
    <col min="9509" max="9728" width="11.42578125" style="498"/>
    <col min="9729" max="9729" width="6.42578125" style="498" customWidth="1"/>
    <col min="9730" max="9730" width="47.5703125" style="498" customWidth="1"/>
    <col min="9731" max="9732" width="5" style="498" customWidth="1"/>
    <col min="9733" max="9733" width="5.42578125" style="498" customWidth="1"/>
    <col min="9734" max="9734" width="4.5703125" style="498" customWidth="1"/>
    <col min="9735" max="9736" width="4.42578125" style="498" customWidth="1"/>
    <col min="9737" max="9737" width="3.5703125" style="498" customWidth="1"/>
    <col min="9738" max="9738" width="5" style="498" customWidth="1"/>
    <col min="9739" max="9739" width="4" style="498" customWidth="1"/>
    <col min="9740" max="9741" width="4.5703125" style="498" customWidth="1"/>
    <col min="9742" max="9742" width="4.42578125" style="498" customWidth="1"/>
    <col min="9743" max="9743" width="4" style="498" customWidth="1"/>
    <col min="9744" max="9744" width="3.5703125" style="498" customWidth="1"/>
    <col min="9745" max="9746" width="4.5703125" style="498" customWidth="1"/>
    <col min="9747" max="9747" width="4" style="498" customWidth="1"/>
    <col min="9748" max="9749" width="4.42578125" style="498" customWidth="1"/>
    <col min="9750" max="9750" width="3.5703125" style="498" customWidth="1"/>
    <col min="9751" max="9751" width="4.42578125" style="498" customWidth="1"/>
    <col min="9752" max="9752" width="5.5703125" style="498" customWidth="1"/>
    <col min="9753" max="9753" width="3.5703125" style="498" customWidth="1"/>
    <col min="9754" max="9754" width="4" style="498" customWidth="1"/>
    <col min="9755" max="9755" width="4.5703125" style="498" customWidth="1"/>
    <col min="9756" max="9758" width="4.42578125" style="498" customWidth="1"/>
    <col min="9759" max="9760" width="4.5703125" style="498" customWidth="1"/>
    <col min="9761" max="9761" width="4" style="498" customWidth="1"/>
    <col min="9762" max="9762" width="4.5703125" style="498" customWidth="1"/>
    <col min="9763" max="9763" width="6" style="498" customWidth="1"/>
    <col min="9764" max="9764" width="8.5703125" style="498" customWidth="1"/>
    <col min="9765" max="9984" width="11.42578125" style="498"/>
    <col min="9985" max="9985" width="6.42578125" style="498" customWidth="1"/>
    <col min="9986" max="9986" width="47.5703125" style="498" customWidth="1"/>
    <col min="9987" max="9988" width="5" style="498" customWidth="1"/>
    <col min="9989" max="9989" width="5.42578125" style="498" customWidth="1"/>
    <col min="9990" max="9990" width="4.5703125" style="498" customWidth="1"/>
    <col min="9991" max="9992" width="4.42578125" style="498" customWidth="1"/>
    <col min="9993" max="9993" width="3.5703125" style="498" customWidth="1"/>
    <col min="9994" max="9994" width="5" style="498" customWidth="1"/>
    <col min="9995" max="9995" width="4" style="498" customWidth="1"/>
    <col min="9996" max="9997" width="4.5703125" style="498" customWidth="1"/>
    <col min="9998" max="9998" width="4.42578125" style="498" customWidth="1"/>
    <col min="9999" max="9999" width="4" style="498" customWidth="1"/>
    <col min="10000" max="10000" width="3.5703125" style="498" customWidth="1"/>
    <col min="10001" max="10002" width="4.5703125" style="498" customWidth="1"/>
    <col min="10003" max="10003" width="4" style="498" customWidth="1"/>
    <col min="10004" max="10005" width="4.42578125" style="498" customWidth="1"/>
    <col min="10006" max="10006" width="3.5703125" style="498" customWidth="1"/>
    <col min="10007" max="10007" width="4.42578125" style="498" customWidth="1"/>
    <col min="10008" max="10008" width="5.5703125" style="498" customWidth="1"/>
    <col min="10009" max="10009" width="3.5703125" style="498" customWidth="1"/>
    <col min="10010" max="10010" width="4" style="498" customWidth="1"/>
    <col min="10011" max="10011" width="4.5703125" style="498" customWidth="1"/>
    <col min="10012" max="10014" width="4.42578125" style="498" customWidth="1"/>
    <col min="10015" max="10016" width="4.5703125" style="498" customWidth="1"/>
    <col min="10017" max="10017" width="4" style="498" customWidth="1"/>
    <col min="10018" max="10018" width="4.5703125" style="498" customWidth="1"/>
    <col min="10019" max="10019" width="6" style="498" customWidth="1"/>
    <col min="10020" max="10020" width="8.5703125" style="498" customWidth="1"/>
    <col min="10021" max="10240" width="11.42578125" style="498"/>
    <col min="10241" max="10241" width="6.42578125" style="498" customWidth="1"/>
    <col min="10242" max="10242" width="47.5703125" style="498" customWidth="1"/>
    <col min="10243" max="10244" width="5" style="498" customWidth="1"/>
    <col min="10245" max="10245" width="5.42578125" style="498" customWidth="1"/>
    <col min="10246" max="10246" width="4.5703125" style="498" customWidth="1"/>
    <col min="10247" max="10248" width="4.42578125" style="498" customWidth="1"/>
    <col min="10249" max="10249" width="3.5703125" style="498" customWidth="1"/>
    <col min="10250" max="10250" width="5" style="498" customWidth="1"/>
    <col min="10251" max="10251" width="4" style="498" customWidth="1"/>
    <col min="10252" max="10253" width="4.5703125" style="498" customWidth="1"/>
    <col min="10254" max="10254" width="4.42578125" style="498" customWidth="1"/>
    <col min="10255" max="10255" width="4" style="498" customWidth="1"/>
    <col min="10256" max="10256" width="3.5703125" style="498" customWidth="1"/>
    <col min="10257" max="10258" width="4.5703125" style="498" customWidth="1"/>
    <col min="10259" max="10259" width="4" style="498" customWidth="1"/>
    <col min="10260" max="10261" width="4.42578125" style="498" customWidth="1"/>
    <col min="10262" max="10262" width="3.5703125" style="498" customWidth="1"/>
    <col min="10263" max="10263" width="4.42578125" style="498" customWidth="1"/>
    <col min="10264" max="10264" width="5.5703125" style="498" customWidth="1"/>
    <col min="10265" max="10265" width="3.5703125" style="498" customWidth="1"/>
    <col min="10266" max="10266" width="4" style="498" customWidth="1"/>
    <col min="10267" max="10267" width="4.5703125" style="498" customWidth="1"/>
    <col min="10268" max="10270" width="4.42578125" style="498" customWidth="1"/>
    <col min="10271" max="10272" width="4.5703125" style="498" customWidth="1"/>
    <col min="10273" max="10273" width="4" style="498" customWidth="1"/>
    <col min="10274" max="10274" width="4.5703125" style="498" customWidth="1"/>
    <col min="10275" max="10275" width="6" style="498" customWidth="1"/>
    <col min="10276" max="10276" width="8.5703125" style="498" customWidth="1"/>
    <col min="10277" max="10496" width="11.42578125" style="498"/>
    <col min="10497" max="10497" width="6.42578125" style="498" customWidth="1"/>
    <col min="10498" max="10498" width="47.5703125" style="498" customWidth="1"/>
    <col min="10499" max="10500" width="5" style="498" customWidth="1"/>
    <col min="10501" max="10501" width="5.42578125" style="498" customWidth="1"/>
    <col min="10502" max="10502" width="4.5703125" style="498" customWidth="1"/>
    <col min="10503" max="10504" width="4.42578125" style="498" customWidth="1"/>
    <col min="10505" max="10505" width="3.5703125" style="498" customWidth="1"/>
    <col min="10506" max="10506" width="5" style="498" customWidth="1"/>
    <col min="10507" max="10507" width="4" style="498" customWidth="1"/>
    <col min="10508" max="10509" width="4.5703125" style="498" customWidth="1"/>
    <col min="10510" max="10510" width="4.42578125" style="498" customWidth="1"/>
    <col min="10511" max="10511" width="4" style="498" customWidth="1"/>
    <col min="10512" max="10512" width="3.5703125" style="498" customWidth="1"/>
    <col min="10513" max="10514" width="4.5703125" style="498" customWidth="1"/>
    <col min="10515" max="10515" width="4" style="498" customWidth="1"/>
    <col min="10516" max="10517" width="4.42578125" style="498" customWidth="1"/>
    <col min="10518" max="10518" width="3.5703125" style="498" customWidth="1"/>
    <col min="10519" max="10519" width="4.42578125" style="498" customWidth="1"/>
    <col min="10520" max="10520" width="5.5703125" style="498" customWidth="1"/>
    <col min="10521" max="10521" width="3.5703125" style="498" customWidth="1"/>
    <col min="10522" max="10522" width="4" style="498" customWidth="1"/>
    <col min="10523" max="10523" width="4.5703125" style="498" customWidth="1"/>
    <col min="10524" max="10526" width="4.42578125" style="498" customWidth="1"/>
    <col min="10527" max="10528" width="4.5703125" style="498" customWidth="1"/>
    <col min="10529" max="10529" width="4" style="498" customWidth="1"/>
    <col min="10530" max="10530" width="4.5703125" style="498" customWidth="1"/>
    <col min="10531" max="10531" width="6" style="498" customWidth="1"/>
    <col min="10532" max="10532" width="8.5703125" style="498" customWidth="1"/>
    <col min="10533" max="10752" width="11.42578125" style="498"/>
    <col min="10753" max="10753" width="6.42578125" style="498" customWidth="1"/>
    <col min="10754" max="10754" width="47.5703125" style="498" customWidth="1"/>
    <col min="10755" max="10756" width="5" style="498" customWidth="1"/>
    <col min="10757" max="10757" width="5.42578125" style="498" customWidth="1"/>
    <col min="10758" max="10758" width="4.5703125" style="498" customWidth="1"/>
    <col min="10759" max="10760" width="4.42578125" style="498" customWidth="1"/>
    <col min="10761" max="10761" width="3.5703125" style="498" customWidth="1"/>
    <col min="10762" max="10762" width="5" style="498" customWidth="1"/>
    <col min="10763" max="10763" width="4" style="498" customWidth="1"/>
    <col min="10764" max="10765" width="4.5703125" style="498" customWidth="1"/>
    <col min="10766" max="10766" width="4.42578125" style="498" customWidth="1"/>
    <col min="10767" max="10767" width="4" style="498" customWidth="1"/>
    <col min="10768" max="10768" width="3.5703125" style="498" customWidth="1"/>
    <col min="10769" max="10770" width="4.5703125" style="498" customWidth="1"/>
    <col min="10771" max="10771" width="4" style="498" customWidth="1"/>
    <col min="10772" max="10773" width="4.42578125" style="498" customWidth="1"/>
    <col min="10774" max="10774" width="3.5703125" style="498" customWidth="1"/>
    <col min="10775" max="10775" width="4.42578125" style="498" customWidth="1"/>
    <col min="10776" max="10776" width="5.5703125" style="498" customWidth="1"/>
    <col min="10777" max="10777" width="3.5703125" style="498" customWidth="1"/>
    <col min="10778" max="10778" width="4" style="498" customWidth="1"/>
    <col min="10779" max="10779" width="4.5703125" style="498" customWidth="1"/>
    <col min="10780" max="10782" width="4.42578125" style="498" customWidth="1"/>
    <col min="10783" max="10784" width="4.5703125" style="498" customWidth="1"/>
    <col min="10785" max="10785" width="4" style="498" customWidth="1"/>
    <col min="10786" max="10786" width="4.5703125" style="498" customWidth="1"/>
    <col min="10787" max="10787" width="6" style="498" customWidth="1"/>
    <col min="10788" max="10788" width="8.5703125" style="498" customWidth="1"/>
    <col min="10789" max="11008" width="11.42578125" style="498"/>
    <col min="11009" max="11009" width="6.42578125" style="498" customWidth="1"/>
    <col min="11010" max="11010" width="47.5703125" style="498" customWidth="1"/>
    <col min="11011" max="11012" width="5" style="498" customWidth="1"/>
    <col min="11013" max="11013" width="5.42578125" style="498" customWidth="1"/>
    <col min="11014" max="11014" width="4.5703125" style="498" customWidth="1"/>
    <col min="11015" max="11016" width="4.42578125" style="498" customWidth="1"/>
    <col min="11017" max="11017" width="3.5703125" style="498" customWidth="1"/>
    <col min="11018" max="11018" width="5" style="498" customWidth="1"/>
    <col min="11019" max="11019" width="4" style="498" customWidth="1"/>
    <col min="11020" max="11021" width="4.5703125" style="498" customWidth="1"/>
    <col min="11022" max="11022" width="4.42578125" style="498" customWidth="1"/>
    <col min="11023" max="11023" width="4" style="498" customWidth="1"/>
    <col min="11024" max="11024" width="3.5703125" style="498" customWidth="1"/>
    <col min="11025" max="11026" width="4.5703125" style="498" customWidth="1"/>
    <col min="11027" max="11027" width="4" style="498" customWidth="1"/>
    <col min="11028" max="11029" width="4.42578125" style="498" customWidth="1"/>
    <col min="11030" max="11030" width="3.5703125" style="498" customWidth="1"/>
    <col min="11031" max="11031" width="4.42578125" style="498" customWidth="1"/>
    <col min="11032" max="11032" width="5.5703125" style="498" customWidth="1"/>
    <col min="11033" max="11033" width="3.5703125" style="498" customWidth="1"/>
    <col min="11034" max="11034" width="4" style="498" customWidth="1"/>
    <col min="11035" max="11035" width="4.5703125" style="498" customWidth="1"/>
    <col min="11036" max="11038" width="4.42578125" style="498" customWidth="1"/>
    <col min="11039" max="11040" width="4.5703125" style="498" customWidth="1"/>
    <col min="11041" max="11041" width="4" style="498" customWidth="1"/>
    <col min="11042" max="11042" width="4.5703125" style="498" customWidth="1"/>
    <col min="11043" max="11043" width="6" style="498" customWidth="1"/>
    <col min="11044" max="11044" width="8.5703125" style="498" customWidth="1"/>
    <col min="11045" max="11264" width="11.42578125" style="498"/>
    <col min="11265" max="11265" width="6.42578125" style="498" customWidth="1"/>
    <col min="11266" max="11266" width="47.5703125" style="498" customWidth="1"/>
    <col min="11267" max="11268" width="5" style="498" customWidth="1"/>
    <col min="11269" max="11269" width="5.42578125" style="498" customWidth="1"/>
    <col min="11270" max="11270" width="4.5703125" style="498" customWidth="1"/>
    <col min="11271" max="11272" width="4.42578125" style="498" customWidth="1"/>
    <col min="11273" max="11273" width="3.5703125" style="498" customWidth="1"/>
    <col min="11274" max="11274" width="5" style="498" customWidth="1"/>
    <col min="11275" max="11275" width="4" style="498" customWidth="1"/>
    <col min="11276" max="11277" width="4.5703125" style="498" customWidth="1"/>
    <col min="11278" max="11278" width="4.42578125" style="498" customWidth="1"/>
    <col min="11279" max="11279" width="4" style="498" customWidth="1"/>
    <col min="11280" max="11280" width="3.5703125" style="498" customWidth="1"/>
    <col min="11281" max="11282" width="4.5703125" style="498" customWidth="1"/>
    <col min="11283" max="11283" width="4" style="498" customWidth="1"/>
    <col min="11284" max="11285" width="4.42578125" style="498" customWidth="1"/>
    <col min="11286" max="11286" width="3.5703125" style="498" customWidth="1"/>
    <col min="11287" max="11287" width="4.42578125" style="498" customWidth="1"/>
    <col min="11288" max="11288" width="5.5703125" style="498" customWidth="1"/>
    <col min="11289" max="11289" width="3.5703125" style="498" customWidth="1"/>
    <col min="11290" max="11290" width="4" style="498" customWidth="1"/>
    <col min="11291" max="11291" width="4.5703125" style="498" customWidth="1"/>
    <col min="11292" max="11294" width="4.42578125" style="498" customWidth="1"/>
    <col min="11295" max="11296" width="4.5703125" style="498" customWidth="1"/>
    <col min="11297" max="11297" width="4" style="498" customWidth="1"/>
    <col min="11298" max="11298" width="4.5703125" style="498" customWidth="1"/>
    <col min="11299" max="11299" width="6" style="498" customWidth="1"/>
    <col min="11300" max="11300" width="8.5703125" style="498" customWidth="1"/>
    <col min="11301" max="11520" width="11.42578125" style="498"/>
    <col min="11521" max="11521" width="6.42578125" style="498" customWidth="1"/>
    <col min="11522" max="11522" width="47.5703125" style="498" customWidth="1"/>
    <col min="11523" max="11524" width="5" style="498" customWidth="1"/>
    <col min="11525" max="11525" width="5.42578125" style="498" customWidth="1"/>
    <col min="11526" max="11526" width="4.5703125" style="498" customWidth="1"/>
    <col min="11527" max="11528" width="4.42578125" style="498" customWidth="1"/>
    <col min="11529" max="11529" width="3.5703125" style="498" customWidth="1"/>
    <col min="11530" max="11530" width="5" style="498" customWidth="1"/>
    <col min="11531" max="11531" width="4" style="498" customWidth="1"/>
    <col min="11532" max="11533" width="4.5703125" style="498" customWidth="1"/>
    <col min="11534" max="11534" width="4.42578125" style="498" customWidth="1"/>
    <col min="11535" max="11535" width="4" style="498" customWidth="1"/>
    <col min="11536" max="11536" width="3.5703125" style="498" customWidth="1"/>
    <col min="11537" max="11538" width="4.5703125" style="498" customWidth="1"/>
    <col min="11539" max="11539" width="4" style="498" customWidth="1"/>
    <col min="11540" max="11541" width="4.42578125" style="498" customWidth="1"/>
    <col min="11542" max="11542" width="3.5703125" style="498" customWidth="1"/>
    <col min="11543" max="11543" width="4.42578125" style="498" customWidth="1"/>
    <col min="11544" max="11544" width="5.5703125" style="498" customWidth="1"/>
    <col min="11545" max="11545" width="3.5703125" style="498" customWidth="1"/>
    <col min="11546" max="11546" width="4" style="498" customWidth="1"/>
    <col min="11547" max="11547" width="4.5703125" style="498" customWidth="1"/>
    <col min="11548" max="11550" width="4.42578125" style="498" customWidth="1"/>
    <col min="11551" max="11552" width="4.5703125" style="498" customWidth="1"/>
    <col min="11553" max="11553" width="4" style="498" customWidth="1"/>
    <col min="11554" max="11554" width="4.5703125" style="498" customWidth="1"/>
    <col min="11555" max="11555" width="6" style="498" customWidth="1"/>
    <col min="11556" max="11556" width="8.5703125" style="498" customWidth="1"/>
    <col min="11557" max="11776" width="11.42578125" style="498"/>
    <col min="11777" max="11777" width="6.42578125" style="498" customWidth="1"/>
    <col min="11778" max="11778" width="47.5703125" style="498" customWidth="1"/>
    <col min="11779" max="11780" width="5" style="498" customWidth="1"/>
    <col min="11781" max="11781" width="5.42578125" style="498" customWidth="1"/>
    <col min="11782" max="11782" width="4.5703125" style="498" customWidth="1"/>
    <col min="11783" max="11784" width="4.42578125" style="498" customWidth="1"/>
    <col min="11785" max="11785" width="3.5703125" style="498" customWidth="1"/>
    <col min="11786" max="11786" width="5" style="498" customWidth="1"/>
    <col min="11787" max="11787" width="4" style="498" customWidth="1"/>
    <col min="11788" max="11789" width="4.5703125" style="498" customWidth="1"/>
    <col min="11790" max="11790" width="4.42578125" style="498" customWidth="1"/>
    <col min="11791" max="11791" width="4" style="498" customWidth="1"/>
    <col min="11792" max="11792" width="3.5703125" style="498" customWidth="1"/>
    <col min="11793" max="11794" width="4.5703125" style="498" customWidth="1"/>
    <col min="11795" max="11795" width="4" style="498" customWidth="1"/>
    <col min="11796" max="11797" width="4.42578125" style="498" customWidth="1"/>
    <col min="11798" max="11798" width="3.5703125" style="498" customWidth="1"/>
    <col min="11799" max="11799" width="4.42578125" style="498" customWidth="1"/>
    <col min="11800" max="11800" width="5.5703125" style="498" customWidth="1"/>
    <col min="11801" max="11801" width="3.5703125" style="498" customWidth="1"/>
    <col min="11802" max="11802" width="4" style="498" customWidth="1"/>
    <col min="11803" max="11803" width="4.5703125" style="498" customWidth="1"/>
    <col min="11804" max="11806" width="4.42578125" style="498" customWidth="1"/>
    <col min="11807" max="11808" width="4.5703125" style="498" customWidth="1"/>
    <col min="11809" max="11809" width="4" style="498" customWidth="1"/>
    <col min="11810" max="11810" width="4.5703125" style="498" customWidth="1"/>
    <col min="11811" max="11811" width="6" style="498" customWidth="1"/>
    <col min="11812" max="11812" width="8.5703125" style="498" customWidth="1"/>
    <col min="11813" max="12032" width="11.42578125" style="498"/>
    <col min="12033" max="12033" width="6.42578125" style="498" customWidth="1"/>
    <col min="12034" max="12034" width="47.5703125" style="498" customWidth="1"/>
    <col min="12035" max="12036" width="5" style="498" customWidth="1"/>
    <col min="12037" max="12037" width="5.42578125" style="498" customWidth="1"/>
    <col min="12038" max="12038" width="4.5703125" style="498" customWidth="1"/>
    <col min="12039" max="12040" width="4.42578125" style="498" customWidth="1"/>
    <col min="12041" max="12041" width="3.5703125" style="498" customWidth="1"/>
    <col min="12042" max="12042" width="5" style="498" customWidth="1"/>
    <col min="12043" max="12043" width="4" style="498" customWidth="1"/>
    <col min="12044" max="12045" width="4.5703125" style="498" customWidth="1"/>
    <col min="12046" max="12046" width="4.42578125" style="498" customWidth="1"/>
    <col min="12047" max="12047" width="4" style="498" customWidth="1"/>
    <col min="12048" max="12048" width="3.5703125" style="498" customWidth="1"/>
    <col min="12049" max="12050" width="4.5703125" style="498" customWidth="1"/>
    <col min="12051" max="12051" width="4" style="498" customWidth="1"/>
    <col min="12052" max="12053" width="4.42578125" style="498" customWidth="1"/>
    <col min="12054" max="12054" width="3.5703125" style="498" customWidth="1"/>
    <col min="12055" max="12055" width="4.42578125" style="498" customWidth="1"/>
    <col min="12056" max="12056" width="5.5703125" style="498" customWidth="1"/>
    <col min="12057" max="12057" width="3.5703125" style="498" customWidth="1"/>
    <col min="12058" max="12058" width="4" style="498" customWidth="1"/>
    <col min="12059" max="12059" width="4.5703125" style="498" customWidth="1"/>
    <col min="12060" max="12062" width="4.42578125" style="498" customWidth="1"/>
    <col min="12063" max="12064" width="4.5703125" style="498" customWidth="1"/>
    <col min="12065" max="12065" width="4" style="498" customWidth="1"/>
    <col min="12066" max="12066" width="4.5703125" style="498" customWidth="1"/>
    <col min="12067" max="12067" width="6" style="498" customWidth="1"/>
    <col min="12068" max="12068" width="8.5703125" style="498" customWidth="1"/>
    <col min="12069" max="12288" width="11.42578125" style="498"/>
    <col min="12289" max="12289" width="6.42578125" style="498" customWidth="1"/>
    <col min="12290" max="12290" width="47.5703125" style="498" customWidth="1"/>
    <col min="12291" max="12292" width="5" style="498" customWidth="1"/>
    <col min="12293" max="12293" width="5.42578125" style="498" customWidth="1"/>
    <col min="12294" max="12294" width="4.5703125" style="498" customWidth="1"/>
    <col min="12295" max="12296" width="4.42578125" style="498" customWidth="1"/>
    <col min="12297" max="12297" width="3.5703125" style="498" customWidth="1"/>
    <col min="12298" max="12298" width="5" style="498" customWidth="1"/>
    <col min="12299" max="12299" width="4" style="498" customWidth="1"/>
    <col min="12300" max="12301" width="4.5703125" style="498" customWidth="1"/>
    <col min="12302" max="12302" width="4.42578125" style="498" customWidth="1"/>
    <col min="12303" max="12303" width="4" style="498" customWidth="1"/>
    <col min="12304" max="12304" width="3.5703125" style="498" customWidth="1"/>
    <col min="12305" max="12306" width="4.5703125" style="498" customWidth="1"/>
    <col min="12307" max="12307" width="4" style="498" customWidth="1"/>
    <col min="12308" max="12309" width="4.42578125" style="498" customWidth="1"/>
    <col min="12310" max="12310" width="3.5703125" style="498" customWidth="1"/>
    <col min="12311" max="12311" width="4.42578125" style="498" customWidth="1"/>
    <col min="12312" max="12312" width="5.5703125" style="498" customWidth="1"/>
    <col min="12313" max="12313" width="3.5703125" style="498" customWidth="1"/>
    <col min="12314" max="12314" width="4" style="498" customWidth="1"/>
    <col min="12315" max="12315" width="4.5703125" style="498" customWidth="1"/>
    <col min="12316" max="12318" width="4.42578125" style="498" customWidth="1"/>
    <col min="12319" max="12320" width="4.5703125" style="498" customWidth="1"/>
    <col min="12321" max="12321" width="4" style="498" customWidth="1"/>
    <col min="12322" max="12322" width="4.5703125" style="498" customWidth="1"/>
    <col min="12323" max="12323" width="6" style="498" customWidth="1"/>
    <col min="12324" max="12324" width="8.5703125" style="498" customWidth="1"/>
    <col min="12325" max="12544" width="11.42578125" style="498"/>
    <col min="12545" max="12545" width="6.42578125" style="498" customWidth="1"/>
    <col min="12546" max="12546" width="47.5703125" style="498" customWidth="1"/>
    <col min="12547" max="12548" width="5" style="498" customWidth="1"/>
    <col min="12549" max="12549" width="5.42578125" style="498" customWidth="1"/>
    <col min="12550" max="12550" width="4.5703125" style="498" customWidth="1"/>
    <col min="12551" max="12552" width="4.42578125" style="498" customWidth="1"/>
    <col min="12553" max="12553" width="3.5703125" style="498" customWidth="1"/>
    <col min="12554" max="12554" width="5" style="498" customWidth="1"/>
    <col min="12555" max="12555" width="4" style="498" customWidth="1"/>
    <col min="12556" max="12557" width="4.5703125" style="498" customWidth="1"/>
    <col min="12558" max="12558" width="4.42578125" style="498" customWidth="1"/>
    <col min="12559" max="12559" width="4" style="498" customWidth="1"/>
    <col min="12560" max="12560" width="3.5703125" style="498" customWidth="1"/>
    <col min="12561" max="12562" width="4.5703125" style="498" customWidth="1"/>
    <col min="12563" max="12563" width="4" style="498" customWidth="1"/>
    <col min="12564" max="12565" width="4.42578125" style="498" customWidth="1"/>
    <col min="12566" max="12566" width="3.5703125" style="498" customWidth="1"/>
    <col min="12567" max="12567" width="4.42578125" style="498" customWidth="1"/>
    <col min="12568" max="12568" width="5.5703125" style="498" customWidth="1"/>
    <col min="12569" max="12569" width="3.5703125" style="498" customWidth="1"/>
    <col min="12570" max="12570" width="4" style="498" customWidth="1"/>
    <col min="12571" max="12571" width="4.5703125" style="498" customWidth="1"/>
    <col min="12572" max="12574" width="4.42578125" style="498" customWidth="1"/>
    <col min="12575" max="12576" width="4.5703125" style="498" customWidth="1"/>
    <col min="12577" max="12577" width="4" style="498" customWidth="1"/>
    <col min="12578" max="12578" width="4.5703125" style="498" customWidth="1"/>
    <col min="12579" max="12579" width="6" style="498" customWidth="1"/>
    <col min="12580" max="12580" width="8.5703125" style="498" customWidth="1"/>
    <col min="12581" max="12800" width="11.42578125" style="498"/>
    <col min="12801" max="12801" width="6.42578125" style="498" customWidth="1"/>
    <col min="12802" max="12802" width="47.5703125" style="498" customWidth="1"/>
    <col min="12803" max="12804" width="5" style="498" customWidth="1"/>
    <col min="12805" max="12805" width="5.42578125" style="498" customWidth="1"/>
    <col min="12806" max="12806" width="4.5703125" style="498" customWidth="1"/>
    <col min="12807" max="12808" width="4.42578125" style="498" customWidth="1"/>
    <col min="12809" max="12809" width="3.5703125" style="498" customWidth="1"/>
    <col min="12810" max="12810" width="5" style="498" customWidth="1"/>
    <col min="12811" max="12811" width="4" style="498" customWidth="1"/>
    <col min="12812" max="12813" width="4.5703125" style="498" customWidth="1"/>
    <col min="12814" max="12814" width="4.42578125" style="498" customWidth="1"/>
    <col min="12815" max="12815" width="4" style="498" customWidth="1"/>
    <col min="12816" max="12816" width="3.5703125" style="498" customWidth="1"/>
    <col min="12817" max="12818" width="4.5703125" style="498" customWidth="1"/>
    <col min="12819" max="12819" width="4" style="498" customWidth="1"/>
    <col min="12820" max="12821" width="4.42578125" style="498" customWidth="1"/>
    <col min="12822" max="12822" width="3.5703125" style="498" customWidth="1"/>
    <col min="12823" max="12823" width="4.42578125" style="498" customWidth="1"/>
    <col min="12824" max="12824" width="5.5703125" style="498" customWidth="1"/>
    <col min="12825" max="12825" width="3.5703125" style="498" customWidth="1"/>
    <col min="12826" max="12826" width="4" style="498" customWidth="1"/>
    <col min="12827" max="12827" width="4.5703125" style="498" customWidth="1"/>
    <col min="12828" max="12830" width="4.42578125" style="498" customWidth="1"/>
    <col min="12831" max="12832" width="4.5703125" style="498" customWidth="1"/>
    <col min="12833" max="12833" width="4" style="498" customWidth="1"/>
    <col min="12834" max="12834" width="4.5703125" style="498" customWidth="1"/>
    <col min="12835" max="12835" width="6" style="498" customWidth="1"/>
    <col min="12836" max="12836" width="8.5703125" style="498" customWidth="1"/>
    <col min="12837" max="13056" width="11.42578125" style="498"/>
    <col min="13057" max="13057" width="6.42578125" style="498" customWidth="1"/>
    <col min="13058" max="13058" width="47.5703125" style="498" customWidth="1"/>
    <col min="13059" max="13060" width="5" style="498" customWidth="1"/>
    <col min="13061" max="13061" width="5.42578125" style="498" customWidth="1"/>
    <col min="13062" max="13062" width="4.5703125" style="498" customWidth="1"/>
    <col min="13063" max="13064" width="4.42578125" style="498" customWidth="1"/>
    <col min="13065" max="13065" width="3.5703125" style="498" customWidth="1"/>
    <col min="13066" max="13066" width="5" style="498" customWidth="1"/>
    <col min="13067" max="13067" width="4" style="498" customWidth="1"/>
    <col min="13068" max="13069" width="4.5703125" style="498" customWidth="1"/>
    <col min="13070" max="13070" width="4.42578125" style="498" customWidth="1"/>
    <col min="13071" max="13071" width="4" style="498" customWidth="1"/>
    <col min="13072" max="13072" width="3.5703125" style="498" customWidth="1"/>
    <col min="13073" max="13074" width="4.5703125" style="498" customWidth="1"/>
    <col min="13075" max="13075" width="4" style="498" customWidth="1"/>
    <col min="13076" max="13077" width="4.42578125" style="498" customWidth="1"/>
    <col min="13078" max="13078" width="3.5703125" style="498" customWidth="1"/>
    <col min="13079" max="13079" width="4.42578125" style="498" customWidth="1"/>
    <col min="13080" max="13080" width="5.5703125" style="498" customWidth="1"/>
    <col min="13081" max="13081" width="3.5703125" style="498" customWidth="1"/>
    <col min="13082" max="13082" width="4" style="498" customWidth="1"/>
    <col min="13083" max="13083" width="4.5703125" style="498" customWidth="1"/>
    <col min="13084" max="13086" width="4.42578125" style="498" customWidth="1"/>
    <col min="13087" max="13088" width="4.5703125" style="498" customWidth="1"/>
    <col min="13089" max="13089" width="4" style="498" customWidth="1"/>
    <col min="13090" max="13090" width="4.5703125" style="498" customWidth="1"/>
    <col min="13091" max="13091" width="6" style="498" customWidth="1"/>
    <col min="13092" max="13092" width="8.5703125" style="498" customWidth="1"/>
    <col min="13093" max="13312" width="11.42578125" style="498"/>
    <col min="13313" max="13313" width="6.42578125" style="498" customWidth="1"/>
    <col min="13314" max="13314" width="47.5703125" style="498" customWidth="1"/>
    <col min="13315" max="13316" width="5" style="498" customWidth="1"/>
    <col min="13317" max="13317" width="5.42578125" style="498" customWidth="1"/>
    <col min="13318" max="13318" width="4.5703125" style="498" customWidth="1"/>
    <col min="13319" max="13320" width="4.42578125" style="498" customWidth="1"/>
    <col min="13321" max="13321" width="3.5703125" style="498" customWidth="1"/>
    <col min="13322" max="13322" width="5" style="498" customWidth="1"/>
    <col min="13323" max="13323" width="4" style="498" customWidth="1"/>
    <col min="13324" max="13325" width="4.5703125" style="498" customWidth="1"/>
    <col min="13326" max="13326" width="4.42578125" style="498" customWidth="1"/>
    <col min="13327" max="13327" width="4" style="498" customWidth="1"/>
    <col min="13328" max="13328" width="3.5703125" style="498" customWidth="1"/>
    <col min="13329" max="13330" width="4.5703125" style="498" customWidth="1"/>
    <col min="13331" max="13331" width="4" style="498" customWidth="1"/>
    <col min="13332" max="13333" width="4.42578125" style="498" customWidth="1"/>
    <col min="13334" max="13334" width="3.5703125" style="498" customWidth="1"/>
    <col min="13335" max="13335" width="4.42578125" style="498" customWidth="1"/>
    <col min="13336" max="13336" width="5.5703125" style="498" customWidth="1"/>
    <col min="13337" max="13337" width="3.5703125" style="498" customWidth="1"/>
    <col min="13338" max="13338" width="4" style="498" customWidth="1"/>
    <col min="13339" max="13339" width="4.5703125" style="498" customWidth="1"/>
    <col min="13340" max="13342" width="4.42578125" style="498" customWidth="1"/>
    <col min="13343" max="13344" width="4.5703125" style="498" customWidth="1"/>
    <col min="13345" max="13345" width="4" style="498" customWidth="1"/>
    <col min="13346" max="13346" width="4.5703125" style="498" customWidth="1"/>
    <col min="13347" max="13347" width="6" style="498" customWidth="1"/>
    <col min="13348" max="13348" width="8.5703125" style="498" customWidth="1"/>
    <col min="13349" max="13568" width="11.42578125" style="498"/>
    <col min="13569" max="13569" width="6.42578125" style="498" customWidth="1"/>
    <col min="13570" max="13570" width="47.5703125" style="498" customWidth="1"/>
    <col min="13571" max="13572" width="5" style="498" customWidth="1"/>
    <col min="13573" max="13573" width="5.42578125" style="498" customWidth="1"/>
    <col min="13574" max="13574" width="4.5703125" style="498" customWidth="1"/>
    <col min="13575" max="13576" width="4.42578125" style="498" customWidth="1"/>
    <col min="13577" max="13577" width="3.5703125" style="498" customWidth="1"/>
    <col min="13578" max="13578" width="5" style="498" customWidth="1"/>
    <col min="13579" max="13579" width="4" style="498" customWidth="1"/>
    <col min="13580" max="13581" width="4.5703125" style="498" customWidth="1"/>
    <col min="13582" max="13582" width="4.42578125" style="498" customWidth="1"/>
    <col min="13583" max="13583" width="4" style="498" customWidth="1"/>
    <col min="13584" max="13584" width="3.5703125" style="498" customWidth="1"/>
    <col min="13585" max="13586" width="4.5703125" style="498" customWidth="1"/>
    <col min="13587" max="13587" width="4" style="498" customWidth="1"/>
    <col min="13588" max="13589" width="4.42578125" style="498" customWidth="1"/>
    <col min="13590" max="13590" width="3.5703125" style="498" customWidth="1"/>
    <col min="13591" max="13591" width="4.42578125" style="498" customWidth="1"/>
    <col min="13592" max="13592" width="5.5703125" style="498" customWidth="1"/>
    <col min="13593" max="13593" width="3.5703125" style="498" customWidth="1"/>
    <col min="13594" max="13594" width="4" style="498" customWidth="1"/>
    <col min="13595" max="13595" width="4.5703125" style="498" customWidth="1"/>
    <col min="13596" max="13598" width="4.42578125" style="498" customWidth="1"/>
    <col min="13599" max="13600" width="4.5703125" style="498" customWidth="1"/>
    <col min="13601" max="13601" width="4" style="498" customWidth="1"/>
    <col min="13602" max="13602" width="4.5703125" style="498" customWidth="1"/>
    <col min="13603" max="13603" width="6" style="498" customWidth="1"/>
    <col min="13604" max="13604" width="8.5703125" style="498" customWidth="1"/>
    <col min="13605" max="13824" width="11.42578125" style="498"/>
    <col min="13825" max="13825" width="6.42578125" style="498" customWidth="1"/>
    <col min="13826" max="13826" width="47.5703125" style="498" customWidth="1"/>
    <col min="13827" max="13828" width="5" style="498" customWidth="1"/>
    <col min="13829" max="13829" width="5.42578125" style="498" customWidth="1"/>
    <col min="13830" max="13830" width="4.5703125" style="498" customWidth="1"/>
    <col min="13831" max="13832" width="4.42578125" style="498" customWidth="1"/>
    <col min="13833" max="13833" width="3.5703125" style="498" customWidth="1"/>
    <col min="13834" max="13834" width="5" style="498" customWidth="1"/>
    <col min="13835" max="13835" width="4" style="498" customWidth="1"/>
    <col min="13836" max="13837" width="4.5703125" style="498" customWidth="1"/>
    <col min="13838" max="13838" width="4.42578125" style="498" customWidth="1"/>
    <col min="13839" max="13839" width="4" style="498" customWidth="1"/>
    <col min="13840" max="13840" width="3.5703125" style="498" customWidth="1"/>
    <col min="13841" max="13842" width="4.5703125" style="498" customWidth="1"/>
    <col min="13843" max="13843" width="4" style="498" customWidth="1"/>
    <col min="13844" max="13845" width="4.42578125" style="498" customWidth="1"/>
    <col min="13846" max="13846" width="3.5703125" style="498" customWidth="1"/>
    <col min="13847" max="13847" width="4.42578125" style="498" customWidth="1"/>
    <col min="13848" max="13848" width="5.5703125" style="498" customWidth="1"/>
    <col min="13849" max="13849" width="3.5703125" style="498" customWidth="1"/>
    <col min="13850" max="13850" width="4" style="498" customWidth="1"/>
    <col min="13851" max="13851" width="4.5703125" style="498" customWidth="1"/>
    <col min="13852" max="13854" width="4.42578125" style="498" customWidth="1"/>
    <col min="13855" max="13856" width="4.5703125" style="498" customWidth="1"/>
    <col min="13857" max="13857" width="4" style="498" customWidth="1"/>
    <col min="13858" max="13858" width="4.5703125" style="498" customWidth="1"/>
    <col min="13859" max="13859" width="6" style="498" customWidth="1"/>
    <col min="13860" max="13860" width="8.5703125" style="498" customWidth="1"/>
    <col min="13861" max="14080" width="11.42578125" style="498"/>
    <col min="14081" max="14081" width="6.42578125" style="498" customWidth="1"/>
    <col min="14082" max="14082" width="47.5703125" style="498" customWidth="1"/>
    <col min="14083" max="14084" width="5" style="498" customWidth="1"/>
    <col min="14085" max="14085" width="5.42578125" style="498" customWidth="1"/>
    <col min="14086" max="14086" width="4.5703125" style="498" customWidth="1"/>
    <col min="14087" max="14088" width="4.42578125" style="498" customWidth="1"/>
    <col min="14089" max="14089" width="3.5703125" style="498" customWidth="1"/>
    <col min="14090" max="14090" width="5" style="498" customWidth="1"/>
    <col min="14091" max="14091" width="4" style="498" customWidth="1"/>
    <col min="14092" max="14093" width="4.5703125" style="498" customWidth="1"/>
    <col min="14094" max="14094" width="4.42578125" style="498" customWidth="1"/>
    <col min="14095" max="14095" width="4" style="498" customWidth="1"/>
    <col min="14096" max="14096" width="3.5703125" style="498" customWidth="1"/>
    <col min="14097" max="14098" width="4.5703125" style="498" customWidth="1"/>
    <col min="14099" max="14099" width="4" style="498" customWidth="1"/>
    <col min="14100" max="14101" width="4.42578125" style="498" customWidth="1"/>
    <col min="14102" max="14102" width="3.5703125" style="498" customWidth="1"/>
    <col min="14103" max="14103" width="4.42578125" style="498" customWidth="1"/>
    <col min="14104" max="14104" width="5.5703125" style="498" customWidth="1"/>
    <col min="14105" max="14105" width="3.5703125" style="498" customWidth="1"/>
    <col min="14106" max="14106" width="4" style="498" customWidth="1"/>
    <col min="14107" max="14107" width="4.5703125" style="498" customWidth="1"/>
    <col min="14108" max="14110" width="4.42578125" style="498" customWidth="1"/>
    <col min="14111" max="14112" width="4.5703125" style="498" customWidth="1"/>
    <col min="14113" max="14113" width="4" style="498" customWidth="1"/>
    <col min="14114" max="14114" width="4.5703125" style="498" customWidth="1"/>
    <col min="14115" max="14115" width="6" style="498" customWidth="1"/>
    <col min="14116" max="14116" width="8.5703125" style="498" customWidth="1"/>
    <col min="14117" max="14336" width="11.42578125" style="498"/>
    <col min="14337" max="14337" width="6.42578125" style="498" customWidth="1"/>
    <col min="14338" max="14338" width="47.5703125" style="498" customWidth="1"/>
    <col min="14339" max="14340" width="5" style="498" customWidth="1"/>
    <col min="14341" max="14341" width="5.42578125" style="498" customWidth="1"/>
    <col min="14342" max="14342" width="4.5703125" style="498" customWidth="1"/>
    <col min="14343" max="14344" width="4.42578125" style="498" customWidth="1"/>
    <col min="14345" max="14345" width="3.5703125" style="498" customWidth="1"/>
    <col min="14346" max="14346" width="5" style="498" customWidth="1"/>
    <col min="14347" max="14347" width="4" style="498" customWidth="1"/>
    <col min="14348" max="14349" width="4.5703125" style="498" customWidth="1"/>
    <col min="14350" max="14350" width="4.42578125" style="498" customWidth="1"/>
    <col min="14351" max="14351" width="4" style="498" customWidth="1"/>
    <col min="14352" max="14352" width="3.5703125" style="498" customWidth="1"/>
    <col min="14353" max="14354" width="4.5703125" style="498" customWidth="1"/>
    <col min="14355" max="14355" width="4" style="498" customWidth="1"/>
    <col min="14356" max="14357" width="4.42578125" style="498" customWidth="1"/>
    <col min="14358" max="14358" width="3.5703125" style="498" customWidth="1"/>
    <col min="14359" max="14359" width="4.42578125" style="498" customWidth="1"/>
    <col min="14360" max="14360" width="5.5703125" style="498" customWidth="1"/>
    <col min="14361" max="14361" width="3.5703125" style="498" customWidth="1"/>
    <col min="14362" max="14362" width="4" style="498" customWidth="1"/>
    <col min="14363" max="14363" width="4.5703125" style="498" customWidth="1"/>
    <col min="14364" max="14366" width="4.42578125" style="498" customWidth="1"/>
    <col min="14367" max="14368" width="4.5703125" style="498" customWidth="1"/>
    <col min="14369" max="14369" width="4" style="498" customWidth="1"/>
    <col min="14370" max="14370" width="4.5703125" style="498" customWidth="1"/>
    <col min="14371" max="14371" width="6" style="498" customWidth="1"/>
    <col min="14372" max="14372" width="8.5703125" style="498" customWidth="1"/>
    <col min="14373" max="14592" width="11.42578125" style="498"/>
    <col min="14593" max="14593" width="6.42578125" style="498" customWidth="1"/>
    <col min="14594" max="14594" width="47.5703125" style="498" customWidth="1"/>
    <col min="14595" max="14596" width="5" style="498" customWidth="1"/>
    <col min="14597" max="14597" width="5.42578125" style="498" customWidth="1"/>
    <col min="14598" max="14598" width="4.5703125" style="498" customWidth="1"/>
    <col min="14599" max="14600" width="4.42578125" style="498" customWidth="1"/>
    <col min="14601" max="14601" width="3.5703125" style="498" customWidth="1"/>
    <col min="14602" max="14602" width="5" style="498" customWidth="1"/>
    <col min="14603" max="14603" width="4" style="498" customWidth="1"/>
    <col min="14604" max="14605" width="4.5703125" style="498" customWidth="1"/>
    <col min="14606" max="14606" width="4.42578125" style="498" customWidth="1"/>
    <col min="14607" max="14607" width="4" style="498" customWidth="1"/>
    <col min="14608" max="14608" width="3.5703125" style="498" customWidth="1"/>
    <col min="14609" max="14610" width="4.5703125" style="498" customWidth="1"/>
    <col min="14611" max="14611" width="4" style="498" customWidth="1"/>
    <col min="14612" max="14613" width="4.42578125" style="498" customWidth="1"/>
    <col min="14614" max="14614" width="3.5703125" style="498" customWidth="1"/>
    <col min="14615" max="14615" width="4.42578125" style="498" customWidth="1"/>
    <col min="14616" max="14616" width="5.5703125" style="498" customWidth="1"/>
    <col min="14617" max="14617" width="3.5703125" style="498" customWidth="1"/>
    <col min="14618" max="14618" width="4" style="498" customWidth="1"/>
    <col min="14619" max="14619" width="4.5703125" style="498" customWidth="1"/>
    <col min="14620" max="14622" width="4.42578125" style="498" customWidth="1"/>
    <col min="14623" max="14624" width="4.5703125" style="498" customWidth="1"/>
    <col min="14625" max="14625" width="4" style="498" customWidth="1"/>
    <col min="14626" max="14626" width="4.5703125" style="498" customWidth="1"/>
    <col min="14627" max="14627" width="6" style="498" customWidth="1"/>
    <col min="14628" max="14628" width="8.5703125" style="498" customWidth="1"/>
    <col min="14629" max="14848" width="11.42578125" style="498"/>
    <col min="14849" max="14849" width="6.42578125" style="498" customWidth="1"/>
    <col min="14850" max="14850" width="47.5703125" style="498" customWidth="1"/>
    <col min="14851" max="14852" width="5" style="498" customWidth="1"/>
    <col min="14853" max="14853" width="5.42578125" style="498" customWidth="1"/>
    <col min="14854" max="14854" width="4.5703125" style="498" customWidth="1"/>
    <col min="14855" max="14856" width="4.42578125" style="498" customWidth="1"/>
    <col min="14857" max="14857" width="3.5703125" style="498" customWidth="1"/>
    <col min="14858" max="14858" width="5" style="498" customWidth="1"/>
    <col min="14859" max="14859" width="4" style="498" customWidth="1"/>
    <col min="14860" max="14861" width="4.5703125" style="498" customWidth="1"/>
    <col min="14862" max="14862" width="4.42578125" style="498" customWidth="1"/>
    <col min="14863" max="14863" width="4" style="498" customWidth="1"/>
    <col min="14864" max="14864" width="3.5703125" style="498" customWidth="1"/>
    <col min="14865" max="14866" width="4.5703125" style="498" customWidth="1"/>
    <col min="14867" max="14867" width="4" style="498" customWidth="1"/>
    <col min="14868" max="14869" width="4.42578125" style="498" customWidth="1"/>
    <col min="14870" max="14870" width="3.5703125" style="498" customWidth="1"/>
    <col min="14871" max="14871" width="4.42578125" style="498" customWidth="1"/>
    <col min="14872" max="14872" width="5.5703125" style="498" customWidth="1"/>
    <col min="14873" max="14873" width="3.5703125" style="498" customWidth="1"/>
    <col min="14874" max="14874" width="4" style="498" customWidth="1"/>
    <col min="14875" max="14875" width="4.5703125" style="498" customWidth="1"/>
    <col min="14876" max="14878" width="4.42578125" style="498" customWidth="1"/>
    <col min="14879" max="14880" width="4.5703125" style="498" customWidth="1"/>
    <col min="14881" max="14881" width="4" style="498" customWidth="1"/>
    <col min="14882" max="14882" width="4.5703125" style="498" customWidth="1"/>
    <col min="14883" max="14883" width="6" style="498" customWidth="1"/>
    <col min="14884" max="14884" width="8.5703125" style="498" customWidth="1"/>
    <col min="14885" max="15104" width="11.42578125" style="498"/>
    <col min="15105" max="15105" width="6.42578125" style="498" customWidth="1"/>
    <col min="15106" max="15106" width="47.5703125" style="498" customWidth="1"/>
    <col min="15107" max="15108" width="5" style="498" customWidth="1"/>
    <col min="15109" max="15109" width="5.42578125" style="498" customWidth="1"/>
    <col min="15110" max="15110" width="4.5703125" style="498" customWidth="1"/>
    <col min="15111" max="15112" width="4.42578125" style="498" customWidth="1"/>
    <col min="15113" max="15113" width="3.5703125" style="498" customWidth="1"/>
    <col min="15114" max="15114" width="5" style="498" customWidth="1"/>
    <col min="15115" max="15115" width="4" style="498" customWidth="1"/>
    <col min="15116" max="15117" width="4.5703125" style="498" customWidth="1"/>
    <col min="15118" max="15118" width="4.42578125" style="498" customWidth="1"/>
    <col min="15119" max="15119" width="4" style="498" customWidth="1"/>
    <col min="15120" max="15120" width="3.5703125" style="498" customWidth="1"/>
    <col min="15121" max="15122" width="4.5703125" style="498" customWidth="1"/>
    <col min="15123" max="15123" width="4" style="498" customWidth="1"/>
    <col min="15124" max="15125" width="4.42578125" style="498" customWidth="1"/>
    <col min="15126" max="15126" width="3.5703125" style="498" customWidth="1"/>
    <col min="15127" max="15127" width="4.42578125" style="498" customWidth="1"/>
    <col min="15128" max="15128" width="5.5703125" style="498" customWidth="1"/>
    <col min="15129" max="15129" width="3.5703125" style="498" customWidth="1"/>
    <col min="15130" max="15130" width="4" style="498" customWidth="1"/>
    <col min="15131" max="15131" width="4.5703125" style="498" customWidth="1"/>
    <col min="15132" max="15134" width="4.42578125" style="498" customWidth="1"/>
    <col min="15135" max="15136" width="4.5703125" style="498" customWidth="1"/>
    <col min="15137" max="15137" width="4" style="498" customWidth="1"/>
    <col min="15138" max="15138" width="4.5703125" style="498" customWidth="1"/>
    <col min="15139" max="15139" width="6" style="498" customWidth="1"/>
    <col min="15140" max="15140" width="8.5703125" style="498" customWidth="1"/>
    <col min="15141" max="15360" width="11.42578125" style="498"/>
    <col min="15361" max="15361" width="6.42578125" style="498" customWidth="1"/>
    <col min="15362" max="15362" width="47.5703125" style="498" customWidth="1"/>
    <col min="15363" max="15364" width="5" style="498" customWidth="1"/>
    <col min="15365" max="15365" width="5.42578125" style="498" customWidth="1"/>
    <col min="15366" max="15366" width="4.5703125" style="498" customWidth="1"/>
    <col min="15367" max="15368" width="4.42578125" style="498" customWidth="1"/>
    <col min="15369" max="15369" width="3.5703125" style="498" customWidth="1"/>
    <col min="15370" max="15370" width="5" style="498" customWidth="1"/>
    <col min="15371" max="15371" width="4" style="498" customWidth="1"/>
    <col min="15372" max="15373" width="4.5703125" style="498" customWidth="1"/>
    <col min="15374" max="15374" width="4.42578125" style="498" customWidth="1"/>
    <col min="15375" max="15375" width="4" style="498" customWidth="1"/>
    <col min="15376" max="15376" width="3.5703125" style="498" customWidth="1"/>
    <col min="15377" max="15378" width="4.5703125" style="498" customWidth="1"/>
    <col min="15379" max="15379" width="4" style="498" customWidth="1"/>
    <col min="15380" max="15381" width="4.42578125" style="498" customWidth="1"/>
    <col min="15382" max="15382" width="3.5703125" style="498" customWidth="1"/>
    <col min="15383" max="15383" width="4.42578125" style="498" customWidth="1"/>
    <col min="15384" max="15384" width="5.5703125" style="498" customWidth="1"/>
    <col min="15385" max="15385" width="3.5703125" style="498" customWidth="1"/>
    <col min="15386" max="15386" width="4" style="498" customWidth="1"/>
    <col min="15387" max="15387" width="4.5703125" style="498" customWidth="1"/>
    <col min="15388" max="15390" width="4.42578125" style="498" customWidth="1"/>
    <col min="15391" max="15392" width="4.5703125" style="498" customWidth="1"/>
    <col min="15393" max="15393" width="4" style="498" customWidth="1"/>
    <col min="15394" max="15394" width="4.5703125" style="498" customWidth="1"/>
    <col min="15395" max="15395" width="6" style="498" customWidth="1"/>
    <col min="15396" max="15396" width="8.5703125" style="498" customWidth="1"/>
    <col min="15397" max="15616" width="11.42578125" style="498"/>
    <col min="15617" max="15617" width="6.42578125" style="498" customWidth="1"/>
    <col min="15618" max="15618" width="47.5703125" style="498" customWidth="1"/>
    <col min="15619" max="15620" width="5" style="498" customWidth="1"/>
    <col min="15621" max="15621" width="5.42578125" style="498" customWidth="1"/>
    <col min="15622" max="15622" width="4.5703125" style="498" customWidth="1"/>
    <col min="15623" max="15624" width="4.42578125" style="498" customWidth="1"/>
    <col min="15625" max="15625" width="3.5703125" style="498" customWidth="1"/>
    <col min="15626" max="15626" width="5" style="498" customWidth="1"/>
    <col min="15627" max="15627" width="4" style="498" customWidth="1"/>
    <col min="15628" max="15629" width="4.5703125" style="498" customWidth="1"/>
    <col min="15630" max="15630" width="4.42578125" style="498" customWidth="1"/>
    <col min="15631" max="15631" width="4" style="498" customWidth="1"/>
    <col min="15632" max="15632" width="3.5703125" style="498" customWidth="1"/>
    <col min="15633" max="15634" width="4.5703125" style="498" customWidth="1"/>
    <col min="15635" max="15635" width="4" style="498" customWidth="1"/>
    <col min="15636" max="15637" width="4.42578125" style="498" customWidth="1"/>
    <col min="15638" max="15638" width="3.5703125" style="498" customWidth="1"/>
    <col min="15639" max="15639" width="4.42578125" style="498" customWidth="1"/>
    <col min="15640" max="15640" width="5.5703125" style="498" customWidth="1"/>
    <col min="15641" max="15641" width="3.5703125" style="498" customWidth="1"/>
    <col min="15642" max="15642" width="4" style="498" customWidth="1"/>
    <col min="15643" max="15643" width="4.5703125" style="498" customWidth="1"/>
    <col min="15644" max="15646" width="4.42578125" style="498" customWidth="1"/>
    <col min="15647" max="15648" width="4.5703125" style="498" customWidth="1"/>
    <col min="15649" max="15649" width="4" style="498" customWidth="1"/>
    <col min="15650" max="15650" width="4.5703125" style="498" customWidth="1"/>
    <col min="15651" max="15651" width="6" style="498" customWidth="1"/>
    <col min="15652" max="15652" width="8.5703125" style="498" customWidth="1"/>
    <col min="15653" max="15872" width="11.42578125" style="498"/>
    <col min="15873" max="15873" width="6.42578125" style="498" customWidth="1"/>
    <col min="15874" max="15874" width="47.5703125" style="498" customWidth="1"/>
    <col min="15875" max="15876" width="5" style="498" customWidth="1"/>
    <col min="15877" max="15877" width="5.42578125" style="498" customWidth="1"/>
    <col min="15878" max="15878" width="4.5703125" style="498" customWidth="1"/>
    <col min="15879" max="15880" width="4.42578125" style="498" customWidth="1"/>
    <col min="15881" max="15881" width="3.5703125" style="498" customWidth="1"/>
    <col min="15882" max="15882" width="5" style="498" customWidth="1"/>
    <col min="15883" max="15883" width="4" style="498" customWidth="1"/>
    <col min="15884" max="15885" width="4.5703125" style="498" customWidth="1"/>
    <col min="15886" max="15886" width="4.42578125" style="498" customWidth="1"/>
    <col min="15887" max="15887" width="4" style="498" customWidth="1"/>
    <col min="15888" max="15888" width="3.5703125" style="498" customWidth="1"/>
    <col min="15889" max="15890" width="4.5703125" style="498" customWidth="1"/>
    <col min="15891" max="15891" width="4" style="498" customWidth="1"/>
    <col min="15892" max="15893" width="4.42578125" style="498" customWidth="1"/>
    <col min="15894" max="15894" width="3.5703125" style="498" customWidth="1"/>
    <col min="15895" max="15895" width="4.42578125" style="498" customWidth="1"/>
    <col min="15896" max="15896" width="5.5703125" style="498" customWidth="1"/>
    <col min="15897" max="15897" width="3.5703125" style="498" customWidth="1"/>
    <col min="15898" max="15898" width="4" style="498" customWidth="1"/>
    <col min="15899" max="15899" width="4.5703125" style="498" customWidth="1"/>
    <col min="15900" max="15902" width="4.42578125" style="498" customWidth="1"/>
    <col min="15903" max="15904" width="4.5703125" style="498" customWidth="1"/>
    <col min="15905" max="15905" width="4" style="498" customWidth="1"/>
    <col min="15906" max="15906" width="4.5703125" style="498" customWidth="1"/>
    <col min="15907" max="15907" width="6" style="498" customWidth="1"/>
    <col min="15908" max="15908" width="8.5703125" style="498" customWidth="1"/>
    <col min="15909" max="16128" width="11.42578125" style="498"/>
    <col min="16129" max="16129" width="6.42578125" style="498" customWidth="1"/>
    <col min="16130" max="16130" width="47.5703125" style="498" customWidth="1"/>
    <col min="16131" max="16132" width="5" style="498" customWidth="1"/>
    <col min="16133" max="16133" width="5.42578125" style="498" customWidth="1"/>
    <col min="16134" max="16134" width="4.5703125" style="498" customWidth="1"/>
    <col min="16135" max="16136" width="4.42578125" style="498" customWidth="1"/>
    <col min="16137" max="16137" width="3.5703125" style="498" customWidth="1"/>
    <col min="16138" max="16138" width="5" style="498" customWidth="1"/>
    <col min="16139" max="16139" width="4" style="498" customWidth="1"/>
    <col min="16140" max="16141" width="4.5703125" style="498" customWidth="1"/>
    <col min="16142" max="16142" width="4.42578125" style="498" customWidth="1"/>
    <col min="16143" max="16143" width="4" style="498" customWidth="1"/>
    <col min="16144" max="16144" width="3.5703125" style="498" customWidth="1"/>
    <col min="16145" max="16146" width="4.5703125" style="498" customWidth="1"/>
    <col min="16147" max="16147" width="4" style="498" customWidth="1"/>
    <col min="16148" max="16149" width="4.42578125" style="498" customWidth="1"/>
    <col min="16150" max="16150" width="3.5703125" style="498" customWidth="1"/>
    <col min="16151" max="16151" width="4.42578125" style="498" customWidth="1"/>
    <col min="16152" max="16152" width="5.5703125" style="498" customWidth="1"/>
    <col min="16153" max="16153" width="3.5703125" style="498" customWidth="1"/>
    <col min="16154" max="16154" width="4" style="498" customWidth="1"/>
    <col min="16155" max="16155" width="4.5703125" style="498" customWidth="1"/>
    <col min="16156" max="16158" width="4.42578125" style="498" customWidth="1"/>
    <col min="16159" max="16160" width="4.5703125" style="498" customWidth="1"/>
    <col min="16161" max="16161" width="4" style="498" customWidth="1"/>
    <col min="16162" max="16162" width="4.5703125" style="498" customWidth="1"/>
    <col min="16163" max="16163" width="6" style="498" customWidth="1"/>
    <col min="16164" max="16164" width="8.5703125" style="498" customWidth="1"/>
    <col min="16165" max="16384" width="11.42578125" style="498"/>
  </cols>
  <sheetData>
    <row r="1" spans="1:39">
      <c r="A1" s="2213" t="s">
        <v>283</v>
      </c>
      <c r="B1" s="2213"/>
      <c r="C1" s="2213"/>
      <c r="D1" s="2213"/>
      <c r="E1" s="2213"/>
      <c r="F1" s="2213"/>
      <c r="G1" s="2213"/>
      <c r="H1" s="2213"/>
      <c r="I1" s="2213"/>
      <c r="J1" s="2213"/>
      <c r="K1" s="2213"/>
      <c r="P1" s="499"/>
      <c r="W1" s="499"/>
      <c r="AD1" s="499"/>
      <c r="AG1" s="499"/>
    </row>
    <row r="2" spans="1:39">
      <c r="A2" s="2214" t="s">
        <v>1802</v>
      </c>
      <c r="B2" s="2214"/>
      <c r="C2" s="2214"/>
      <c r="D2" s="2214"/>
      <c r="E2" s="2214"/>
      <c r="F2" s="2214"/>
      <c r="G2" s="2214"/>
      <c r="H2" s="2214"/>
      <c r="I2" s="2214"/>
      <c r="J2" s="2214"/>
      <c r="K2" s="2214"/>
      <c r="P2" s="499"/>
      <c r="W2" s="499"/>
      <c r="AD2" s="499"/>
      <c r="AG2" s="499"/>
    </row>
    <row r="3" spans="1:39">
      <c r="A3" s="549"/>
      <c r="G3" s="498">
        <v>7</v>
      </c>
      <c r="I3" s="498"/>
      <c r="P3" s="499"/>
      <c r="W3" s="499"/>
      <c r="AD3" s="499"/>
      <c r="AG3" s="499"/>
    </row>
    <row r="4" spans="1:39">
      <c r="A4" s="551"/>
      <c r="B4" s="2215" t="s">
        <v>1800</v>
      </c>
      <c r="C4" s="2215"/>
      <c r="D4" s="2215"/>
      <c r="E4" s="2215"/>
      <c r="F4" s="2215"/>
      <c r="G4" s="2215"/>
      <c r="H4" s="2215"/>
      <c r="I4" s="2215"/>
      <c r="J4" s="2215"/>
      <c r="K4" s="2215"/>
      <c r="P4" s="499"/>
      <c r="W4" s="499"/>
      <c r="AD4" s="499"/>
      <c r="AG4" s="499"/>
    </row>
    <row r="5" spans="1:39" ht="12.75" customHeight="1">
      <c r="A5" s="551"/>
      <c r="B5" s="2216" t="e">
        <f>#REF!</f>
        <v>#REF!</v>
      </c>
      <c r="C5" s="2217"/>
      <c r="D5" s="2217"/>
      <c r="E5" s="2217"/>
      <c r="F5" s="2217"/>
      <c r="G5" s="2217"/>
      <c r="H5" s="2217"/>
      <c r="I5" s="2217"/>
      <c r="J5" s="2217"/>
      <c r="K5" s="2217"/>
      <c r="P5" s="499"/>
      <c r="W5" s="499"/>
      <c r="AD5" s="499"/>
      <c r="AG5" s="499"/>
    </row>
    <row r="6" spans="1:39" ht="13.5" customHeight="1">
      <c r="B6" s="553"/>
      <c r="C6" s="500"/>
      <c r="I6" s="498"/>
      <c r="P6" s="499"/>
      <c r="W6" s="499"/>
      <c r="AD6" s="499"/>
      <c r="AG6" s="499"/>
    </row>
    <row r="7" spans="1:39" ht="13.5" customHeight="1">
      <c r="B7" s="553"/>
      <c r="C7" s="500"/>
      <c r="I7" s="498"/>
      <c r="P7" s="499"/>
      <c r="W7" s="499"/>
      <c r="AD7" s="499"/>
      <c r="AG7" s="499"/>
    </row>
    <row r="8" spans="1:39" ht="13.5" customHeight="1" thickBot="1">
      <c r="B8" s="553"/>
      <c r="C8" s="500"/>
      <c r="D8" s="871" t="s">
        <v>2109</v>
      </c>
      <c r="E8" s="871" t="s">
        <v>1991</v>
      </c>
      <c r="F8" s="871" t="s">
        <v>1990</v>
      </c>
      <c r="G8" s="871" t="s">
        <v>1984</v>
      </c>
      <c r="H8" s="871" t="s">
        <v>1985</v>
      </c>
      <c r="I8" s="871" t="s">
        <v>1986</v>
      </c>
      <c r="J8" s="871" t="s">
        <v>1987</v>
      </c>
      <c r="K8" s="871" t="s">
        <v>1988</v>
      </c>
      <c r="L8" s="871" t="s">
        <v>1989</v>
      </c>
      <c r="M8" s="871" t="s">
        <v>1990</v>
      </c>
      <c r="N8" s="871" t="s">
        <v>1984</v>
      </c>
      <c r="O8" s="871" t="s">
        <v>1985</v>
      </c>
      <c r="P8" s="871" t="s">
        <v>1986</v>
      </c>
      <c r="Q8" s="871" t="s">
        <v>1987</v>
      </c>
      <c r="R8" s="871" t="s">
        <v>1988</v>
      </c>
      <c r="S8" s="871" t="s">
        <v>1989</v>
      </c>
      <c r="T8" s="871" t="s">
        <v>1990</v>
      </c>
      <c r="U8" s="871" t="s">
        <v>1984</v>
      </c>
      <c r="V8" s="871" t="s">
        <v>1985</v>
      </c>
      <c r="W8" s="871" t="s">
        <v>1986</v>
      </c>
      <c r="X8" s="871" t="s">
        <v>1987</v>
      </c>
      <c r="Y8" s="871" t="s">
        <v>1988</v>
      </c>
      <c r="Z8" s="871" t="s">
        <v>1989</v>
      </c>
      <c r="AA8" s="871" t="s">
        <v>1990</v>
      </c>
      <c r="AB8" s="871" t="s">
        <v>1984</v>
      </c>
      <c r="AC8" s="871" t="s">
        <v>1985</v>
      </c>
      <c r="AD8" s="871" t="s">
        <v>1986</v>
      </c>
      <c r="AE8" s="871" t="s">
        <v>1987</v>
      </c>
      <c r="AF8" s="871" t="s">
        <v>1988</v>
      </c>
      <c r="AG8" s="871" t="s">
        <v>1989</v>
      </c>
      <c r="AH8" s="871" t="s">
        <v>1987</v>
      </c>
      <c r="AI8" s="871"/>
    </row>
    <row r="9" spans="1:39" ht="13.5" thickBot="1">
      <c r="A9" s="2218" t="s">
        <v>285</v>
      </c>
      <c r="B9" s="2218" t="s">
        <v>20</v>
      </c>
      <c r="C9" s="501"/>
      <c r="D9" s="502">
        <v>1</v>
      </c>
      <c r="E9" s="502">
        <f>+D9+1</f>
        <v>2</v>
      </c>
      <c r="F9" s="736">
        <f t="shared" ref="F9:AH9" si="0">+E9+1</f>
        <v>3</v>
      </c>
      <c r="G9" s="502">
        <f t="shared" si="0"/>
        <v>4</v>
      </c>
      <c r="H9" s="502">
        <f t="shared" si="0"/>
        <v>5</v>
      </c>
      <c r="I9" s="502">
        <f t="shared" si="0"/>
        <v>6</v>
      </c>
      <c r="J9" s="502">
        <f t="shared" si="0"/>
        <v>7</v>
      </c>
      <c r="K9" s="502">
        <f t="shared" si="0"/>
        <v>8</v>
      </c>
      <c r="L9" s="502">
        <f t="shared" si="0"/>
        <v>9</v>
      </c>
      <c r="M9" s="736">
        <f t="shared" si="0"/>
        <v>10</v>
      </c>
      <c r="N9" s="502">
        <f t="shared" si="0"/>
        <v>11</v>
      </c>
      <c r="O9" s="502">
        <f t="shared" si="0"/>
        <v>12</v>
      </c>
      <c r="P9" s="502">
        <f t="shared" si="0"/>
        <v>13</v>
      </c>
      <c r="Q9" s="502">
        <f t="shared" si="0"/>
        <v>14</v>
      </c>
      <c r="R9" s="502">
        <f t="shared" si="0"/>
        <v>15</v>
      </c>
      <c r="S9" s="502">
        <f t="shared" si="0"/>
        <v>16</v>
      </c>
      <c r="T9" s="736">
        <f t="shared" si="0"/>
        <v>17</v>
      </c>
      <c r="U9" s="502">
        <f t="shared" si="0"/>
        <v>18</v>
      </c>
      <c r="V9" s="502">
        <f t="shared" si="0"/>
        <v>19</v>
      </c>
      <c r="W9" s="502">
        <f t="shared" si="0"/>
        <v>20</v>
      </c>
      <c r="X9" s="502">
        <f t="shared" si="0"/>
        <v>21</v>
      </c>
      <c r="Y9" s="502">
        <f t="shared" si="0"/>
        <v>22</v>
      </c>
      <c r="Z9" s="502">
        <f t="shared" si="0"/>
        <v>23</v>
      </c>
      <c r="AA9" s="736">
        <f t="shared" si="0"/>
        <v>24</v>
      </c>
      <c r="AB9" s="502">
        <f t="shared" si="0"/>
        <v>25</v>
      </c>
      <c r="AC9" s="502">
        <f t="shared" si="0"/>
        <v>26</v>
      </c>
      <c r="AD9" s="502">
        <f t="shared" si="0"/>
        <v>27</v>
      </c>
      <c r="AE9" s="503">
        <f t="shared" si="0"/>
        <v>28</v>
      </c>
      <c r="AF9" s="502">
        <f t="shared" si="0"/>
        <v>29</v>
      </c>
      <c r="AG9" s="502">
        <f t="shared" si="0"/>
        <v>30</v>
      </c>
      <c r="AH9" s="502">
        <f t="shared" si="0"/>
        <v>31</v>
      </c>
      <c r="AI9" s="504" t="s">
        <v>359</v>
      </c>
      <c r="AJ9" s="672" t="s">
        <v>26</v>
      </c>
      <c r="AK9" s="671" t="s">
        <v>1822</v>
      </c>
      <c r="AL9" s="671" t="s">
        <v>1821</v>
      </c>
      <c r="AM9" s="505" t="s">
        <v>25</v>
      </c>
    </row>
    <row r="10" spans="1:39" ht="13.5" thickBot="1">
      <c r="A10" s="2219"/>
      <c r="B10" s="2219"/>
      <c r="C10" s="888" t="s">
        <v>73</v>
      </c>
      <c r="D10" s="507" t="s">
        <v>305</v>
      </c>
      <c r="E10" s="507" t="s">
        <v>305</v>
      </c>
      <c r="F10" s="737" t="s">
        <v>305</v>
      </c>
      <c r="G10" s="507" t="s">
        <v>305</v>
      </c>
      <c r="H10" s="507" t="s">
        <v>305</v>
      </c>
      <c r="I10" s="507" t="s">
        <v>305</v>
      </c>
      <c r="J10" s="507" t="s">
        <v>305</v>
      </c>
      <c r="K10" s="507" t="s">
        <v>305</v>
      </c>
      <c r="L10" s="507" t="s">
        <v>305</v>
      </c>
      <c r="M10" s="737" t="s">
        <v>305</v>
      </c>
      <c r="N10" s="507" t="s">
        <v>305</v>
      </c>
      <c r="O10" s="507" t="s">
        <v>305</v>
      </c>
      <c r="P10" s="507" t="s">
        <v>305</v>
      </c>
      <c r="Q10" s="507" t="s">
        <v>305</v>
      </c>
      <c r="R10" s="507" t="s">
        <v>305</v>
      </c>
      <c r="S10" s="507" t="s">
        <v>305</v>
      </c>
      <c r="T10" s="737" t="s">
        <v>305</v>
      </c>
      <c r="U10" s="507" t="s">
        <v>305</v>
      </c>
      <c r="V10" s="507" t="s">
        <v>305</v>
      </c>
      <c r="W10" s="507" t="s">
        <v>305</v>
      </c>
      <c r="X10" s="507" t="s">
        <v>305</v>
      </c>
      <c r="Y10" s="507" t="s">
        <v>305</v>
      </c>
      <c r="Z10" s="507" t="s">
        <v>305</v>
      </c>
      <c r="AA10" s="737" t="s">
        <v>305</v>
      </c>
      <c r="AB10" s="507" t="s">
        <v>305</v>
      </c>
      <c r="AC10" s="507" t="s">
        <v>305</v>
      </c>
      <c r="AD10" s="507" t="s">
        <v>305</v>
      </c>
      <c r="AE10" s="508" t="s">
        <v>305</v>
      </c>
      <c r="AF10" s="507" t="s">
        <v>305</v>
      </c>
      <c r="AG10" s="957" t="s">
        <v>305</v>
      </c>
      <c r="AH10" s="507" t="s">
        <v>305</v>
      </c>
      <c r="AI10" s="509" t="s">
        <v>287</v>
      </c>
      <c r="AJ10" s="668" t="s">
        <v>287</v>
      </c>
      <c r="AK10" s="671"/>
      <c r="AL10" s="671"/>
      <c r="AM10" s="505"/>
    </row>
    <row r="11" spans="1:39" s="518" customFormat="1">
      <c r="A11" s="541" t="s">
        <v>33</v>
      </c>
      <c r="B11" s="541" t="s">
        <v>1132</v>
      </c>
      <c r="C11" s="563"/>
      <c r="D11" s="510"/>
      <c r="E11" s="511"/>
      <c r="F11" s="818"/>
      <c r="G11" s="510"/>
      <c r="H11" s="510"/>
      <c r="I11" s="955"/>
      <c r="J11" s="512"/>
      <c r="K11" s="512"/>
      <c r="L11" s="514"/>
      <c r="M11" s="818"/>
      <c r="N11" s="514"/>
      <c r="O11" s="514"/>
      <c r="P11" s="514"/>
      <c r="Q11" s="522"/>
      <c r="R11" s="522"/>
      <c r="S11" s="514"/>
      <c r="T11" s="818"/>
      <c r="U11" s="514"/>
      <c r="V11" s="514"/>
      <c r="W11" s="514"/>
      <c r="X11" s="514"/>
      <c r="Y11" s="514"/>
      <c r="Z11" s="514"/>
      <c r="AA11" s="818"/>
      <c r="AB11" s="514"/>
      <c r="AC11" s="514"/>
      <c r="AD11" s="514"/>
      <c r="AE11" s="698"/>
      <c r="AF11" s="514"/>
      <c r="AG11" s="527"/>
      <c r="AH11" s="789"/>
      <c r="AI11" s="664">
        <f t="shared" ref="AI11:AI21" si="1">ROUND((SUM(D11:AH11)),2)</f>
        <v>0</v>
      </c>
      <c r="AJ11" s="521"/>
      <c r="AK11" s="520"/>
      <c r="AL11" s="673"/>
      <c r="AM11" s="670"/>
    </row>
    <row r="12" spans="1:39" s="500" customFormat="1">
      <c r="A12" s="440" t="s">
        <v>548</v>
      </c>
      <c r="B12" s="543" t="s">
        <v>1145</v>
      </c>
      <c r="C12" s="605"/>
      <c r="D12" s="519"/>
      <c r="E12" s="520"/>
      <c r="F12" s="726"/>
      <c r="G12" s="520"/>
      <c r="H12" s="520"/>
      <c r="I12" s="521"/>
      <c r="J12" s="521"/>
      <c r="K12" s="521"/>
      <c r="L12" s="514"/>
      <c r="M12" s="726"/>
      <c r="N12" s="514"/>
      <c r="O12" s="514"/>
      <c r="P12" s="514"/>
      <c r="Q12" s="522"/>
      <c r="R12" s="522"/>
      <c r="S12" s="514"/>
      <c r="T12" s="726"/>
      <c r="U12" s="514"/>
      <c r="V12" s="514"/>
      <c r="W12" s="514"/>
      <c r="X12" s="514"/>
      <c r="Y12" s="514"/>
      <c r="Z12" s="514"/>
      <c r="AA12" s="726"/>
      <c r="AB12" s="514"/>
      <c r="AC12" s="514"/>
      <c r="AD12" s="514"/>
      <c r="AE12" s="698"/>
      <c r="AF12" s="514"/>
      <c r="AG12" s="527"/>
      <c r="AH12" s="789"/>
      <c r="AI12" s="664">
        <f t="shared" si="1"/>
        <v>0</v>
      </c>
      <c r="AJ12" s="521">
        <v>0</v>
      </c>
      <c r="AK12" s="520">
        <f t="shared" ref="AK12:AK36" si="2">AI12+AJ12</f>
        <v>0</v>
      </c>
      <c r="AL12" s="672"/>
      <c r="AM12" s="669">
        <f t="shared" ref="AM12:AM36" si="3">AL12-AK12</f>
        <v>0</v>
      </c>
    </row>
    <row r="13" spans="1:39" s="500" customFormat="1" ht="13.5" thickBot="1">
      <c r="A13" s="539" t="s">
        <v>550</v>
      </c>
      <c r="B13" s="539" t="s">
        <v>1819</v>
      </c>
      <c r="C13" s="472" t="s">
        <v>37</v>
      </c>
      <c r="D13" s="519"/>
      <c r="E13" s="520"/>
      <c r="F13" s="726"/>
      <c r="G13" s="520"/>
      <c r="H13" s="520"/>
      <c r="I13" s="521"/>
      <c r="J13" s="521"/>
      <c r="K13" s="521"/>
      <c r="L13" s="972">
        <f>10*1.2*1.2+2*2.73*0.25+2*6.15*0.25+3.18*6*0.25-12.89</f>
        <v>10.719999999999999</v>
      </c>
      <c r="M13" s="726"/>
      <c r="N13" s="514"/>
      <c r="O13" s="514"/>
      <c r="P13" s="514"/>
      <c r="Q13" s="522"/>
      <c r="R13" s="522"/>
      <c r="S13" s="514"/>
      <c r="T13" s="726"/>
      <c r="U13" s="514"/>
      <c r="V13" s="514"/>
      <c r="W13" s="514"/>
      <c r="X13" s="757"/>
      <c r="Y13" s="514"/>
      <c r="Z13" s="514"/>
      <c r="AA13" s="726"/>
      <c r="AB13" s="522"/>
      <c r="AC13" s="514"/>
      <c r="AD13" s="514"/>
      <c r="AE13" s="698"/>
      <c r="AF13" s="514"/>
      <c r="AG13" s="527"/>
      <c r="AH13" s="789"/>
      <c r="AI13" s="996">
        <f t="shared" si="1"/>
        <v>10.72</v>
      </c>
      <c r="AJ13" s="521">
        <v>154.35</v>
      </c>
      <c r="AK13" s="520">
        <f>AI13+AJ13</f>
        <v>165.07</v>
      </c>
      <c r="AL13" s="672" t="s">
        <v>1456</v>
      </c>
      <c r="AM13" s="669">
        <f>AL13-AK13</f>
        <v>491.72999999999996</v>
      </c>
    </row>
    <row r="14" spans="1:39" s="843" customFormat="1">
      <c r="A14" s="949" t="s">
        <v>42</v>
      </c>
      <c r="B14" s="949" t="s">
        <v>1154</v>
      </c>
      <c r="C14" s="950"/>
      <c r="D14" s="519"/>
      <c r="E14" s="520"/>
      <c r="F14" s="726"/>
      <c r="G14" s="520"/>
      <c r="H14" s="520"/>
      <c r="I14" s="521"/>
      <c r="J14" s="521"/>
      <c r="K14" s="521"/>
      <c r="L14" s="514"/>
      <c r="M14" s="726"/>
      <c r="N14" s="514"/>
      <c r="O14" s="514"/>
      <c r="P14" s="514"/>
      <c r="Q14" s="522"/>
      <c r="R14" s="522"/>
      <c r="S14" s="514"/>
      <c r="T14" s="726"/>
      <c r="U14" s="514"/>
      <c r="V14" s="514"/>
      <c r="W14" s="514"/>
      <c r="X14" s="514"/>
      <c r="Y14" s="514"/>
      <c r="Z14" s="514"/>
      <c r="AA14" s="726"/>
      <c r="AB14" s="514"/>
      <c r="AC14" s="514"/>
      <c r="AD14" s="514"/>
      <c r="AE14" s="698"/>
      <c r="AF14" s="514"/>
      <c r="AG14" s="527"/>
      <c r="AH14" s="789"/>
      <c r="AI14" s="840">
        <f t="shared" si="1"/>
        <v>0</v>
      </c>
      <c r="AJ14" s="836">
        <v>0</v>
      </c>
      <c r="AK14" s="835">
        <f t="shared" si="2"/>
        <v>0</v>
      </c>
      <c r="AL14" s="841"/>
      <c r="AM14" s="842">
        <f t="shared" si="3"/>
        <v>0</v>
      </c>
    </row>
    <row r="15" spans="1:39" s="500" customFormat="1">
      <c r="A15" s="440" t="s">
        <v>43</v>
      </c>
      <c r="B15" s="543" t="s">
        <v>1155</v>
      </c>
      <c r="C15" s="605"/>
      <c r="D15" s="519"/>
      <c r="E15" s="520"/>
      <c r="F15" s="726"/>
      <c r="G15" s="520"/>
      <c r="H15" s="520"/>
      <c r="I15" s="521"/>
      <c r="J15" s="521"/>
      <c r="K15" s="521"/>
      <c r="L15" s="514"/>
      <c r="M15" s="726"/>
      <c r="N15" s="514"/>
      <c r="O15" s="514"/>
      <c r="P15" s="514"/>
      <c r="Q15" s="522"/>
      <c r="R15" s="522"/>
      <c r="S15" s="514"/>
      <c r="T15" s="726"/>
      <c r="U15" s="514"/>
      <c r="V15" s="514"/>
      <c r="W15" s="514"/>
      <c r="X15" s="514"/>
      <c r="Y15" s="514"/>
      <c r="Z15" s="514"/>
      <c r="AA15" s="726"/>
      <c r="AB15" s="514"/>
      <c r="AC15" s="514"/>
      <c r="AD15" s="514"/>
      <c r="AE15" s="698"/>
      <c r="AF15" s="514"/>
      <c r="AG15" s="527"/>
      <c r="AH15" s="789"/>
      <c r="AI15" s="664">
        <f t="shared" si="1"/>
        <v>0</v>
      </c>
      <c r="AJ15" s="521">
        <v>0</v>
      </c>
      <c r="AK15" s="520">
        <f t="shared" si="2"/>
        <v>0</v>
      </c>
      <c r="AL15" s="672"/>
      <c r="AM15" s="669">
        <f t="shared" si="3"/>
        <v>0</v>
      </c>
    </row>
    <row r="16" spans="1:39" s="500" customFormat="1">
      <c r="A16" s="542" t="s">
        <v>571</v>
      </c>
      <c r="B16" s="542" t="s">
        <v>1169</v>
      </c>
      <c r="C16" s="975"/>
      <c r="D16" s="667"/>
      <c r="E16" s="667"/>
      <c r="F16" s="775"/>
      <c r="G16" s="667"/>
      <c r="H16" s="520"/>
      <c r="I16" s="521"/>
      <c r="J16" s="521"/>
      <c r="K16" s="521"/>
      <c r="L16" s="514"/>
      <c r="M16" s="726"/>
      <c r="N16" s="514"/>
      <c r="O16" s="514"/>
      <c r="P16" s="514"/>
      <c r="Q16" s="522"/>
      <c r="R16" s="522"/>
      <c r="S16" s="514"/>
      <c r="T16" s="726"/>
      <c r="U16" s="514"/>
      <c r="V16" s="514"/>
      <c r="W16" s="514"/>
      <c r="X16" s="514"/>
      <c r="Y16" s="514"/>
      <c r="Z16" s="514"/>
      <c r="AA16" s="726"/>
      <c r="AB16" s="514"/>
      <c r="AC16" s="514"/>
      <c r="AD16" s="514"/>
      <c r="AE16" s="698"/>
      <c r="AF16" s="514"/>
      <c r="AG16" s="527"/>
      <c r="AH16" s="789"/>
      <c r="AI16" s="664">
        <f t="shared" si="1"/>
        <v>0</v>
      </c>
      <c r="AJ16" s="521">
        <v>0</v>
      </c>
      <c r="AK16" s="520">
        <f t="shared" si="2"/>
        <v>0</v>
      </c>
      <c r="AL16" s="672"/>
      <c r="AM16" s="669">
        <f t="shared" si="3"/>
        <v>0</v>
      </c>
    </row>
    <row r="17" spans="1:39" s="500" customFormat="1">
      <c r="A17" s="539" t="s">
        <v>572</v>
      </c>
      <c r="B17" s="539" t="s">
        <v>1170</v>
      </c>
      <c r="C17" s="975"/>
      <c r="D17" s="667"/>
      <c r="E17" s="667"/>
      <c r="F17" s="775"/>
      <c r="G17" s="667"/>
      <c r="H17" s="520"/>
      <c r="I17" s="521"/>
      <c r="J17" s="521"/>
      <c r="K17" s="521"/>
      <c r="L17" s="514"/>
      <c r="M17" s="726"/>
      <c r="N17" s="514"/>
      <c r="O17" s="514"/>
      <c r="P17" s="514"/>
      <c r="Q17" s="522"/>
      <c r="R17" s="522"/>
      <c r="S17" s="514"/>
      <c r="T17" s="726"/>
      <c r="U17" s="514"/>
      <c r="V17" s="514"/>
      <c r="W17" s="514"/>
      <c r="X17" s="514"/>
      <c r="Y17" s="514"/>
      <c r="Z17" s="514"/>
      <c r="AA17" s="726"/>
      <c r="AB17" s="514"/>
      <c r="AC17" s="514"/>
      <c r="AD17" s="514"/>
      <c r="AE17" s="698"/>
      <c r="AF17" s="514"/>
      <c r="AG17" s="527"/>
      <c r="AH17" s="789"/>
      <c r="AI17" s="664">
        <f t="shared" si="1"/>
        <v>0</v>
      </c>
      <c r="AJ17" s="521">
        <v>0</v>
      </c>
      <c r="AK17" s="520">
        <f t="shared" si="2"/>
        <v>0</v>
      </c>
      <c r="AL17" s="672"/>
      <c r="AM17" s="669">
        <f t="shared" si="3"/>
        <v>0</v>
      </c>
    </row>
    <row r="18" spans="1:39" s="500" customFormat="1">
      <c r="A18" s="539" t="s">
        <v>573</v>
      </c>
      <c r="B18" s="539" t="s">
        <v>1171</v>
      </c>
      <c r="C18" s="973" t="s">
        <v>40</v>
      </c>
      <c r="D18" s="667"/>
      <c r="E18" s="667"/>
      <c r="F18" s="775"/>
      <c r="G18" s="667"/>
      <c r="H18" s="520"/>
      <c r="I18" s="521"/>
      <c r="J18" s="967">
        <f>2*1.2*1.2*0.4</f>
        <v>1.1519999999999999</v>
      </c>
      <c r="K18" s="521"/>
      <c r="L18" s="514"/>
      <c r="M18" s="726"/>
      <c r="N18" s="514"/>
      <c r="O18" s="514"/>
      <c r="P18" s="514"/>
      <c r="Q18" s="522"/>
      <c r="R18" s="522"/>
      <c r="S18" s="514"/>
      <c r="T18" s="726"/>
      <c r="U18" s="514"/>
      <c r="V18" s="514"/>
      <c r="W18" s="514"/>
      <c r="X18" s="514"/>
      <c r="Y18" s="514"/>
      <c r="Z18" s="514"/>
      <c r="AA18" s="726"/>
      <c r="AB18" s="514"/>
      <c r="AC18" s="514"/>
      <c r="AD18" s="514"/>
      <c r="AE18" s="698"/>
      <c r="AF18" s="514"/>
      <c r="AG18" s="527"/>
      <c r="AH18" s="698"/>
      <c r="AI18" s="996">
        <f t="shared" si="1"/>
        <v>1.1499999999999999</v>
      </c>
      <c r="AJ18" s="521">
        <v>0</v>
      </c>
      <c r="AK18" s="520">
        <f t="shared" si="2"/>
        <v>1.1499999999999999</v>
      </c>
      <c r="AL18" s="672" t="s">
        <v>1470</v>
      </c>
      <c r="AM18" s="669">
        <f t="shared" si="3"/>
        <v>3.4600000000000004</v>
      </c>
    </row>
    <row r="19" spans="1:39" s="500" customFormat="1">
      <c r="A19" s="539" t="s">
        <v>574</v>
      </c>
      <c r="B19" s="539" t="s">
        <v>1172</v>
      </c>
      <c r="C19" s="973" t="s">
        <v>48</v>
      </c>
      <c r="D19" s="667"/>
      <c r="E19" s="667"/>
      <c r="F19" s="775"/>
      <c r="G19" s="667"/>
      <c r="H19" s="520"/>
      <c r="I19" s="521"/>
      <c r="J19" s="967">
        <f>26.61+21.56</f>
        <v>48.17</v>
      </c>
      <c r="K19" s="521"/>
      <c r="L19" s="514"/>
      <c r="M19" s="726"/>
      <c r="N19" s="514"/>
      <c r="O19" s="514"/>
      <c r="P19" s="514"/>
      <c r="Q19" s="522"/>
      <c r="R19" s="522"/>
      <c r="S19" s="514"/>
      <c r="T19" s="726"/>
      <c r="U19" s="514"/>
      <c r="V19" s="514"/>
      <c r="W19" s="514"/>
      <c r="X19" s="514"/>
      <c r="Y19" s="514"/>
      <c r="Z19" s="514"/>
      <c r="AA19" s="726"/>
      <c r="AB19" s="514"/>
      <c r="AC19" s="514"/>
      <c r="AD19" s="514"/>
      <c r="AE19" s="698"/>
      <c r="AF19" s="514"/>
      <c r="AG19" s="527"/>
      <c r="AH19" s="698"/>
      <c r="AI19" s="996">
        <f t="shared" si="1"/>
        <v>48.17</v>
      </c>
      <c r="AJ19" s="521">
        <v>0</v>
      </c>
      <c r="AK19" s="520">
        <f t="shared" si="2"/>
        <v>48.17</v>
      </c>
      <c r="AL19" s="672" t="s">
        <v>1471</v>
      </c>
      <c r="AM19" s="669">
        <f t="shared" si="3"/>
        <v>144.52999999999997</v>
      </c>
    </row>
    <row r="20" spans="1:39" s="500" customFormat="1">
      <c r="A20" s="539" t="s">
        <v>575</v>
      </c>
      <c r="B20" s="539" t="s">
        <v>1173</v>
      </c>
      <c r="C20" s="975"/>
      <c r="D20" s="667"/>
      <c r="E20" s="667"/>
      <c r="F20" s="775"/>
      <c r="G20" s="667"/>
      <c r="H20" s="520"/>
      <c r="I20" s="521"/>
      <c r="J20" s="521"/>
      <c r="K20" s="521"/>
      <c r="L20" s="514"/>
      <c r="M20" s="726"/>
      <c r="N20" s="514"/>
      <c r="O20" s="514"/>
      <c r="P20" s="514"/>
      <c r="Q20" s="522"/>
      <c r="R20" s="522"/>
      <c r="S20" s="514"/>
      <c r="T20" s="726"/>
      <c r="U20" s="514"/>
      <c r="V20" s="514"/>
      <c r="W20" s="514"/>
      <c r="X20" s="514"/>
      <c r="Y20" s="514"/>
      <c r="Z20" s="514"/>
      <c r="AA20" s="726"/>
      <c r="AB20" s="514"/>
      <c r="AC20" s="514"/>
      <c r="AD20" s="514"/>
      <c r="AE20" s="698"/>
      <c r="AF20" s="514"/>
      <c r="AG20" s="527"/>
      <c r="AH20" s="789"/>
      <c r="AI20" s="664">
        <f t="shared" si="1"/>
        <v>0</v>
      </c>
      <c r="AJ20" s="521">
        <v>0</v>
      </c>
      <c r="AK20" s="520">
        <f t="shared" si="2"/>
        <v>0</v>
      </c>
      <c r="AL20" s="672"/>
      <c r="AM20" s="669">
        <f t="shared" si="3"/>
        <v>0</v>
      </c>
    </row>
    <row r="21" spans="1:39" s="500" customFormat="1">
      <c r="A21" s="539" t="s">
        <v>576</v>
      </c>
      <c r="B21" s="539" t="s">
        <v>1174</v>
      </c>
      <c r="C21" s="973" t="s">
        <v>40</v>
      </c>
      <c r="D21" s="667"/>
      <c r="E21" s="667"/>
      <c r="F21" s="775"/>
      <c r="G21" s="667"/>
      <c r="H21" s="520"/>
      <c r="I21" s="521"/>
      <c r="J21" s="521"/>
      <c r="K21" s="521"/>
      <c r="L21" s="514"/>
      <c r="M21" s="726"/>
      <c r="N21" s="514"/>
      <c r="O21" s="514"/>
      <c r="P21" s="514"/>
      <c r="Q21" s="522"/>
      <c r="R21" s="522"/>
      <c r="S21" s="972">
        <v>1.93</v>
      </c>
      <c r="T21" s="726"/>
      <c r="U21" s="514"/>
      <c r="V21" s="514"/>
      <c r="W21" s="514"/>
      <c r="X21" s="514"/>
      <c r="Y21" s="514"/>
      <c r="Z21" s="514"/>
      <c r="AA21" s="726"/>
      <c r="AB21" s="514"/>
      <c r="AC21" s="514"/>
      <c r="AD21" s="514"/>
      <c r="AE21" s="698"/>
      <c r="AF21" s="514"/>
      <c r="AG21" s="527"/>
      <c r="AH21" s="789"/>
      <c r="AI21" s="996">
        <f t="shared" si="1"/>
        <v>1.93</v>
      </c>
      <c r="AJ21" s="521">
        <v>0</v>
      </c>
      <c r="AK21" s="520">
        <f t="shared" si="2"/>
        <v>1.93</v>
      </c>
      <c r="AL21" s="672" t="s">
        <v>1472</v>
      </c>
      <c r="AM21" s="669">
        <f t="shared" si="3"/>
        <v>0</v>
      </c>
    </row>
    <row r="22" spans="1:39" s="500" customFormat="1">
      <c r="A22" s="539" t="s">
        <v>577</v>
      </c>
      <c r="B22" s="539" t="s">
        <v>1175</v>
      </c>
      <c r="C22" s="973" t="s">
        <v>37</v>
      </c>
      <c r="D22" s="667"/>
      <c r="E22" s="667"/>
      <c r="F22" s="775"/>
      <c r="G22" s="667"/>
      <c r="H22" s="520"/>
      <c r="I22" s="521"/>
      <c r="J22" s="521"/>
      <c r="L22" s="514"/>
      <c r="M22" s="726"/>
      <c r="N22" s="521"/>
      <c r="O22" s="514"/>
      <c r="P22" s="514"/>
      <c r="Q22" s="522"/>
      <c r="R22" s="522"/>
      <c r="S22" s="972">
        <v>15.42</v>
      </c>
      <c r="T22" s="726"/>
      <c r="U22" s="514"/>
      <c r="V22" s="514"/>
      <c r="W22" s="514"/>
      <c r="X22" s="514"/>
      <c r="Y22" s="514"/>
      <c r="Z22" s="514"/>
      <c r="AA22" s="726"/>
      <c r="AB22" s="514"/>
      <c r="AC22" s="514"/>
      <c r="AD22" s="514"/>
      <c r="AE22" s="698"/>
      <c r="AF22" s="514"/>
      <c r="AG22" s="527"/>
      <c r="AH22" s="789"/>
      <c r="AI22" s="996">
        <f>ROUND((SUM(F22:AH22)),2)</f>
        <v>15.42</v>
      </c>
      <c r="AJ22" s="521">
        <v>0</v>
      </c>
      <c r="AK22" s="520">
        <f t="shared" si="2"/>
        <v>15.42</v>
      </c>
      <c r="AL22" s="672" t="s">
        <v>1473</v>
      </c>
      <c r="AM22" s="669">
        <f t="shared" si="3"/>
        <v>0</v>
      </c>
    </row>
    <row r="23" spans="1:39" s="518" customFormat="1">
      <c r="A23" s="539" t="s">
        <v>578</v>
      </c>
      <c r="B23" s="539" t="s">
        <v>1176</v>
      </c>
      <c r="C23" s="973" t="s">
        <v>48</v>
      </c>
      <c r="D23" s="670"/>
      <c r="E23" s="670"/>
      <c r="F23" s="820"/>
      <c r="G23" s="670"/>
      <c r="H23" s="526"/>
      <c r="I23" s="521"/>
      <c r="J23" s="527"/>
      <c r="K23" s="967">
        <f>99.83-17.86</f>
        <v>81.97</v>
      </c>
      <c r="L23" s="514"/>
      <c r="M23" s="731"/>
      <c r="N23" s="514"/>
      <c r="O23" s="514"/>
      <c r="P23" s="514"/>
      <c r="Q23" s="522"/>
      <c r="R23" s="522"/>
      <c r="S23" s="514"/>
      <c r="T23" s="731"/>
      <c r="U23" s="514"/>
      <c r="V23" s="514"/>
      <c r="W23" s="514"/>
      <c r="X23" s="514"/>
      <c r="Y23" s="514"/>
      <c r="Z23" s="514"/>
      <c r="AA23" s="731"/>
      <c r="AB23" s="514"/>
      <c r="AC23" s="514"/>
      <c r="AD23" s="514"/>
      <c r="AE23" s="698"/>
      <c r="AF23" s="514"/>
      <c r="AG23" s="527"/>
      <c r="AH23" s="956"/>
      <c r="AI23" s="996">
        <f>ROUND((SUM(F23:AH23)),2)</f>
        <v>81.97</v>
      </c>
      <c r="AJ23" s="521">
        <v>0</v>
      </c>
      <c r="AK23" s="520">
        <f t="shared" si="2"/>
        <v>81.97</v>
      </c>
      <c r="AL23" s="673" t="s">
        <v>1474</v>
      </c>
      <c r="AM23" s="669">
        <f t="shared" si="3"/>
        <v>193.58</v>
      </c>
    </row>
    <row r="24" spans="1:39" s="518" customFormat="1">
      <c r="A24" s="539" t="s">
        <v>579</v>
      </c>
      <c r="B24" s="539" t="s">
        <v>1177</v>
      </c>
      <c r="C24" s="975"/>
      <c r="D24" s="526"/>
      <c r="E24" s="526"/>
      <c r="F24" s="731"/>
      <c r="G24" s="526"/>
      <c r="H24" s="526"/>
      <c r="I24" s="521"/>
      <c r="J24" s="527"/>
      <c r="K24" s="527"/>
      <c r="L24" s="514"/>
      <c r="M24" s="731"/>
      <c r="N24" s="514"/>
      <c r="O24" s="514"/>
      <c r="P24" s="514"/>
      <c r="Q24" s="522"/>
      <c r="R24" s="522"/>
      <c r="S24" s="514"/>
      <c r="T24" s="731"/>
      <c r="U24" s="514"/>
      <c r="V24" s="514"/>
      <c r="W24" s="514"/>
      <c r="X24" s="514"/>
      <c r="Y24" s="514"/>
      <c r="Z24" s="514"/>
      <c r="AA24" s="731"/>
      <c r="AB24" s="514"/>
      <c r="AC24" s="514"/>
      <c r="AD24" s="514"/>
      <c r="AE24" s="698"/>
      <c r="AF24" s="514"/>
      <c r="AG24" s="527"/>
      <c r="AH24" s="789"/>
      <c r="AI24" s="664">
        <f t="shared" ref="AI24:AI47" si="4">ROUND((SUM(D24:AH24)),2)</f>
        <v>0</v>
      </c>
      <c r="AJ24" s="521">
        <v>0</v>
      </c>
      <c r="AK24" s="520">
        <f t="shared" si="2"/>
        <v>0</v>
      </c>
      <c r="AL24" s="673"/>
      <c r="AM24" s="669">
        <f t="shared" si="3"/>
        <v>0</v>
      </c>
    </row>
    <row r="25" spans="1:39" s="500" customFormat="1">
      <c r="A25" s="539" t="s">
        <v>580</v>
      </c>
      <c r="B25" s="539" t="s">
        <v>1178</v>
      </c>
      <c r="C25" s="973" t="s">
        <v>40</v>
      </c>
      <c r="D25" s="520"/>
      <c r="E25" s="520"/>
      <c r="F25" s="726"/>
      <c r="G25" s="520"/>
      <c r="H25" s="520"/>
      <c r="I25" s="521"/>
      <c r="J25" s="521"/>
      <c r="K25" s="521"/>
      <c r="L25" s="514"/>
      <c r="M25" s="726"/>
      <c r="N25" s="514"/>
      <c r="O25" s="514"/>
      <c r="P25" s="514"/>
      <c r="Q25" s="522"/>
      <c r="R25" s="522"/>
      <c r="S25" s="514"/>
      <c r="T25" s="726"/>
      <c r="U25" s="979">
        <f>8*0.25*0.25*3.5</f>
        <v>1.75</v>
      </c>
      <c r="V25" s="514"/>
      <c r="W25" s="514"/>
      <c r="X25" s="514"/>
      <c r="Y25" s="514"/>
      <c r="Z25" s="514"/>
      <c r="AA25" s="726"/>
      <c r="AB25" s="976">
        <f>0.6*0.25*0.25*2</f>
        <v>7.4999999999999997E-2</v>
      </c>
      <c r="AC25" s="514"/>
      <c r="AD25" s="514"/>
      <c r="AE25" s="698"/>
      <c r="AF25" s="514"/>
      <c r="AG25" s="527"/>
      <c r="AH25" s="789"/>
      <c r="AI25" s="996">
        <f t="shared" si="4"/>
        <v>1.83</v>
      </c>
      <c r="AJ25" s="521">
        <v>0</v>
      </c>
      <c r="AK25" s="520">
        <f t="shared" si="2"/>
        <v>1.83</v>
      </c>
      <c r="AL25" s="672" t="s">
        <v>1475</v>
      </c>
      <c r="AM25" s="669">
        <f t="shared" si="3"/>
        <v>1</v>
      </c>
    </row>
    <row r="26" spans="1:39" s="500" customFormat="1">
      <c r="A26" s="539" t="s">
        <v>581</v>
      </c>
      <c r="B26" s="539" t="s">
        <v>1179</v>
      </c>
      <c r="C26" s="973" t="s">
        <v>37</v>
      </c>
      <c r="D26" s="520"/>
      <c r="E26" s="520"/>
      <c r="F26" s="726"/>
      <c r="G26" s="520"/>
      <c r="H26" s="520"/>
      <c r="I26" s="521"/>
      <c r="J26" s="521"/>
      <c r="K26" s="521"/>
      <c r="L26" s="514"/>
      <c r="M26" s="726"/>
      <c r="N26" s="514"/>
      <c r="O26" s="514"/>
      <c r="P26" s="514"/>
      <c r="Q26" s="522"/>
      <c r="R26" s="522"/>
      <c r="T26" s="726"/>
      <c r="U26" s="979">
        <f>8*1*3.5</f>
        <v>28</v>
      </c>
      <c r="V26" s="514"/>
      <c r="W26" s="514"/>
      <c r="X26" s="514"/>
      <c r="Y26" s="514"/>
      <c r="Z26" s="514"/>
      <c r="AA26" s="726"/>
      <c r="AB26" s="976">
        <f>0.6*(1)*2</f>
        <v>1.2</v>
      </c>
      <c r="AC26" s="514"/>
      <c r="AD26" s="514"/>
      <c r="AE26" s="698"/>
      <c r="AF26" s="514"/>
      <c r="AG26" s="527"/>
      <c r="AH26" s="789"/>
      <c r="AI26" s="996">
        <f t="shared" si="4"/>
        <v>29.2</v>
      </c>
      <c r="AJ26" s="521">
        <v>0</v>
      </c>
      <c r="AK26" s="520">
        <f t="shared" si="2"/>
        <v>29.2</v>
      </c>
      <c r="AL26" s="672" t="s">
        <v>1476</v>
      </c>
      <c r="AM26" s="669">
        <f t="shared" si="3"/>
        <v>10.820000000000004</v>
      </c>
    </row>
    <row r="27" spans="1:39" s="500" customFormat="1">
      <c r="A27" s="539" t="s">
        <v>582</v>
      </c>
      <c r="B27" s="539" t="s">
        <v>1180</v>
      </c>
      <c r="C27" s="973" t="s">
        <v>48</v>
      </c>
      <c r="D27" s="520"/>
      <c r="E27" s="520"/>
      <c r="F27" s="726"/>
      <c r="G27" s="520"/>
      <c r="H27" s="520"/>
      <c r="I27" s="521"/>
      <c r="J27" s="967">
        <f>2*55.56</f>
        <v>111.12</v>
      </c>
      <c r="K27" s="521"/>
      <c r="L27" s="514"/>
      <c r="M27" s="726"/>
      <c r="N27" s="514"/>
      <c r="O27" s="514"/>
      <c r="P27" s="514"/>
      <c r="Q27" s="522"/>
      <c r="R27" s="522"/>
      <c r="S27" s="514"/>
      <c r="T27" s="726"/>
      <c r="U27" s="514"/>
      <c r="V27" s="514"/>
      <c r="W27" s="514"/>
      <c r="X27" s="514"/>
      <c r="Y27" s="514"/>
      <c r="Z27" s="514"/>
      <c r="AA27" s="726"/>
      <c r="AB27" s="522"/>
      <c r="AC27" s="514"/>
      <c r="AD27" s="514"/>
      <c r="AE27" s="698"/>
      <c r="AF27" s="514"/>
      <c r="AG27" s="527"/>
      <c r="AH27" s="956"/>
      <c r="AI27" s="996">
        <f t="shared" si="4"/>
        <v>111.12</v>
      </c>
      <c r="AJ27" s="521">
        <v>0</v>
      </c>
      <c r="AK27" s="520">
        <f t="shared" si="2"/>
        <v>111.12</v>
      </c>
      <c r="AL27" s="672" t="s">
        <v>1477</v>
      </c>
      <c r="AM27" s="669">
        <f t="shared" si="3"/>
        <v>333.36</v>
      </c>
    </row>
    <row r="28" spans="1:39" s="500" customFormat="1">
      <c r="A28" s="539" t="s">
        <v>587</v>
      </c>
      <c r="B28" s="539" t="s">
        <v>1185</v>
      </c>
      <c r="C28" s="605"/>
      <c r="D28" s="519"/>
      <c r="E28" s="520"/>
      <c r="F28" s="726"/>
      <c r="G28" s="520"/>
      <c r="H28" s="520"/>
      <c r="I28" s="521"/>
      <c r="J28" s="521"/>
      <c r="K28" s="521"/>
      <c r="L28" s="514"/>
      <c r="M28" s="726"/>
      <c r="N28" s="514"/>
      <c r="O28" s="514"/>
      <c r="P28" s="514"/>
      <c r="Q28" s="522"/>
      <c r="R28" s="522"/>
      <c r="S28" s="514"/>
      <c r="T28" s="726"/>
      <c r="U28" s="514"/>
      <c r="V28" s="514"/>
      <c r="W28" s="514"/>
      <c r="X28" s="514"/>
      <c r="Y28" s="514"/>
      <c r="Z28" s="514"/>
      <c r="AA28" s="726"/>
      <c r="AB28" s="514"/>
      <c r="AC28" s="514"/>
      <c r="AD28" s="514"/>
      <c r="AE28" s="698"/>
      <c r="AF28" s="514"/>
      <c r="AG28" s="527"/>
      <c r="AH28" s="789"/>
      <c r="AI28" s="664">
        <f t="shared" si="4"/>
        <v>0</v>
      </c>
      <c r="AJ28" s="521">
        <v>0</v>
      </c>
      <c r="AK28" s="520">
        <f t="shared" si="2"/>
        <v>0</v>
      </c>
      <c r="AL28" s="672"/>
      <c r="AM28" s="669">
        <f t="shared" si="3"/>
        <v>0</v>
      </c>
    </row>
    <row r="29" spans="1:39" s="500" customFormat="1">
      <c r="A29" s="539" t="s">
        <v>588</v>
      </c>
      <c r="B29" s="539" t="s">
        <v>1186</v>
      </c>
      <c r="C29" s="472" t="s">
        <v>40</v>
      </c>
      <c r="D29" s="519"/>
      <c r="E29" s="520"/>
      <c r="F29" s="726"/>
      <c r="G29" s="520"/>
      <c r="H29" s="520"/>
      <c r="I29" s="521"/>
      <c r="J29" s="521"/>
      <c r="K29" s="521"/>
      <c r="L29" s="514"/>
      <c r="M29" s="726"/>
      <c r="N29" s="514"/>
      <c r="O29" s="514"/>
      <c r="P29" s="514"/>
      <c r="Q29" s="522"/>
      <c r="R29" s="522"/>
      <c r="T29" s="726"/>
      <c r="V29" s="976">
        <f>5.25*0.25*0.4*2</f>
        <v>1.05</v>
      </c>
      <c r="W29" s="514"/>
      <c r="X29" s="514"/>
      <c r="Y29" s="514"/>
      <c r="Z29" s="514"/>
      <c r="AA29" s="726"/>
      <c r="AB29" s="976">
        <f>5.75*0.25*0.4*3+6.15*0.25*0.4*2</f>
        <v>2.9550000000000001</v>
      </c>
      <c r="AC29" s="514"/>
      <c r="AD29" s="514"/>
      <c r="AE29" s="698"/>
      <c r="AF29" s="514"/>
      <c r="AG29" s="527"/>
      <c r="AH29" s="789"/>
      <c r="AI29" s="996">
        <f t="shared" si="4"/>
        <v>4.01</v>
      </c>
      <c r="AJ29" s="521">
        <v>0</v>
      </c>
      <c r="AK29" s="520">
        <f t="shared" si="2"/>
        <v>4.01</v>
      </c>
      <c r="AL29" s="672" t="s">
        <v>1481</v>
      </c>
      <c r="AM29" s="669">
        <f t="shared" si="3"/>
        <v>0.53000000000000025</v>
      </c>
    </row>
    <row r="30" spans="1:39" s="500" customFormat="1">
      <c r="A30" s="539" t="s">
        <v>589</v>
      </c>
      <c r="B30" s="539" t="s">
        <v>1187</v>
      </c>
      <c r="C30" s="472" t="s">
        <v>37</v>
      </c>
      <c r="D30" s="519"/>
      <c r="E30" s="520"/>
      <c r="F30" s="726"/>
      <c r="G30" s="520"/>
      <c r="H30" s="520"/>
      <c r="I30" s="521"/>
      <c r="J30" s="521"/>
      <c r="K30" s="521"/>
      <c r="L30" s="514"/>
      <c r="M30" s="726"/>
      <c r="N30" s="514"/>
      <c r="O30" s="514"/>
      <c r="P30" s="514"/>
      <c r="Q30" s="522"/>
      <c r="R30" s="522"/>
      <c r="T30" s="726"/>
      <c r="V30" s="976">
        <f>5.5+7.5+1.3</f>
        <v>14.3</v>
      </c>
      <c r="W30" s="976">
        <v>24.63</v>
      </c>
      <c r="X30" s="522"/>
      <c r="Y30" s="514"/>
      <c r="Z30" s="514"/>
      <c r="AA30" s="726"/>
      <c r="AB30" s="522"/>
      <c r="AC30" s="514"/>
      <c r="AD30" s="514"/>
      <c r="AE30" s="698"/>
      <c r="AF30" s="514"/>
      <c r="AG30" s="527"/>
      <c r="AH30" s="789"/>
      <c r="AI30" s="996">
        <f t="shared" si="4"/>
        <v>38.93</v>
      </c>
      <c r="AJ30" s="521">
        <v>0</v>
      </c>
      <c r="AK30" s="520">
        <f t="shared" si="2"/>
        <v>38.93</v>
      </c>
      <c r="AL30" s="672" t="s">
        <v>1482</v>
      </c>
      <c r="AM30" s="669">
        <f t="shared" si="3"/>
        <v>0</v>
      </c>
    </row>
    <row r="31" spans="1:39" s="500" customFormat="1">
      <c r="A31" s="539" t="s">
        <v>590</v>
      </c>
      <c r="B31" s="539" t="s">
        <v>1188</v>
      </c>
      <c r="C31" s="472" t="s">
        <v>48</v>
      </c>
      <c r="D31" s="519"/>
      <c r="E31" s="520"/>
      <c r="F31" s="726"/>
      <c r="G31" s="520"/>
      <c r="H31" s="520"/>
      <c r="I31" s="521"/>
      <c r="J31" s="521"/>
      <c r="K31" s="521"/>
      <c r="L31" s="514"/>
      <c r="M31" s="726"/>
      <c r="N31" s="514"/>
      <c r="O31" s="514"/>
      <c r="P31" s="514"/>
      <c r="Q31" s="522"/>
      <c r="R31" s="522"/>
      <c r="T31" s="726"/>
      <c r="V31" s="976">
        <f>3*85.56</f>
        <v>256.68</v>
      </c>
      <c r="W31" s="976">
        <v>307.12999999999994</v>
      </c>
      <c r="X31" s="522"/>
      <c r="Y31" s="514"/>
      <c r="Z31" s="514"/>
      <c r="AA31" s="726"/>
      <c r="AB31" s="522"/>
      <c r="AC31" s="514"/>
      <c r="AD31" s="514"/>
      <c r="AE31" s="698"/>
      <c r="AF31" s="514"/>
      <c r="AG31" s="527"/>
      <c r="AH31" s="789"/>
      <c r="AI31" s="996">
        <f t="shared" si="4"/>
        <v>563.80999999999995</v>
      </c>
      <c r="AJ31" s="521">
        <v>0</v>
      </c>
      <c r="AK31" s="520">
        <f t="shared" si="2"/>
        <v>563.80999999999995</v>
      </c>
      <c r="AL31" s="672" t="s">
        <v>1483</v>
      </c>
      <c r="AM31" s="669">
        <f t="shared" si="3"/>
        <v>0</v>
      </c>
    </row>
    <row r="32" spans="1:39" s="518" customFormat="1">
      <c r="A32" s="539" t="s">
        <v>591</v>
      </c>
      <c r="B32" s="539" t="s">
        <v>1189</v>
      </c>
      <c r="C32" s="605"/>
      <c r="D32" s="525"/>
      <c r="E32" s="526"/>
      <c r="F32" s="731"/>
      <c r="G32" s="526"/>
      <c r="H32" s="526"/>
      <c r="I32" s="521"/>
      <c r="J32" s="527"/>
      <c r="K32" s="527"/>
      <c r="L32" s="514"/>
      <c r="M32" s="731"/>
      <c r="N32" s="514"/>
      <c r="O32" s="514"/>
      <c r="P32" s="514"/>
      <c r="Q32" s="522"/>
      <c r="R32" s="522"/>
      <c r="S32" s="514"/>
      <c r="T32" s="731"/>
      <c r="U32" s="514"/>
      <c r="V32" s="514"/>
      <c r="W32" s="514"/>
      <c r="X32" s="514"/>
      <c r="Y32" s="514"/>
      <c r="Z32" s="514"/>
      <c r="AA32" s="731"/>
      <c r="AB32" s="522"/>
      <c r="AC32" s="514"/>
      <c r="AD32" s="514"/>
      <c r="AE32" s="698"/>
      <c r="AF32" s="514"/>
      <c r="AG32" s="527"/>
      <c r="AH32" s="789"/>
      <c r="AI32" s="664">
        <f t="shared" si="4"/>
        <v>0</v>
      </c>
      <c r="AJ32" s="521">
        <v>0</v>
      </c>
      <c r="AK32" s="520">
        <f t="shared" si="2"/>
        <v>0</v>
      </c>
      <c r="AL32" s="673"/>
      <c r="AM32" s="669">
        <f t="shared" si="3"/>
        <v>0</v>
      </c>
    </row>
    <row r="33" spans="1:39" s="500" customFormat="1">
      <c r="A33" s="539" t="s">
        <v>592</v>
      </c>
      <c r="B33" s="539" t="s">
        <v>1190</v>
      </c>
      <c r="C33" s="472" t="s">
        <v>40</v>
      </c>
      <c r="D33" s="519"/>
      <c r="E33" s="520"/>
      <c r="F33" s="726"/>
      <c r="G33" s="520"/>
      <c r="H33" s="520"/>
      <c r="I33" s="521"/>
      <c r="J33" s="521"/>
      <c r="K33" s="521"/>
      <c r="L33" s="514"/>
      <c r="M33" s="726"/>
      <c r="N33" s="514"/>
      <c r="O33" s="514"/>
      <c r="P33" s="514"/>
      <c r="Q33" s="522"/>
      <c r="R33" s="522"/>
      <c r="S33" s="514"/>
      <c r="T33" s="726"/>
      <c r="U33" s="514"/>
      <c r="V33" s="514"/>
      <c r="W33" s="514"/>
      <c r="X33" s="514"/>
      <c r="Y33" s="514"/>
      <c r="Z33" s="514"/>
      <c r="AA33" s="726"/>
      <c r="AB33" s="976">
        <f>(0.05*7.35*6.35+2*6.35*0.2*0.2+0.5*0.2*7.35+20.05*0.2*0.2+6.95*0.1*0.15*11+4*0.2*0.2*0.6)-1.97</f>
        <v>3.6513749999999998</v>
      </c>
      <c r="AC33" s="514"/>
      <c r="AD33" s="514"/>
      <c r="AE33" s="698"/>
      <c r="AF33" s="514"/>
      <c r="AG33" s="527"/>
      <c r="AH33" s="789"/>
      <c r="AI33" s="996">
        <f t="shared" si="4"/>
        <v>3.65</v>
      </c>
      <c r="AJ33" s="521">
        <v>0</v>
      </c>
      <c r="AK33" s="520">
        <f t="shared" si="2"/>
        <v>3.65</v>
      </c>
      <c r="AL33" s="672" t="s">
        <v>1484</v>
      </c>
      <c r="AM33" s="669">
        <f t="shared" si="3"/>
        <v>0</v>
      </c>
    </row>
    <row r="34" spans="1:39" s="500" customFormat="1">
      <c r="A34" s="539" t="s">
        <v>593</v>
      </c>
      <c r="B34" s="539" t="s">
        <v>1191</v>
      </c>
      <c r="C34" s="472" t="s">
        <v>37</v>
      </c>
      <c r="D34" s="519"/>
      <c r="E34" s="520"/>
      <c r="F34" s="726"/>
      <c r="G34" s="520"/>
      <c r="H34" s="520"/>
      <c r="I34" s="521"/>
      <c r="J34" s="521"/>
      <c r="K34" s="521"/>
      <c r="L34" s="514"/>
      <c r="M34" s="726"/>
      <c r="N34" s="514"/>
      <c r="O34" s="514"/>
      <c r="P34" s="514"/>
      <c r="Q34" s="522"/>
      <c r="R34" s="522"/>
      <c r="T34" s="726"/>
      <c r="V34" s="976">
        <f>2.72*0.25*7</f>
        <v>4.7600000000000007</v>
      </c>
      <c r="W34" s="976">
        <f>18.5*0.6</f>
        <v>11.1</v>
      </c>
      <c r="X34" s="979">
        <v>25.91</v>
      </c>
      <c r="Y34" s="514"/>
      <c r="Z34" s="514"/>
      <c r="AA34" s="726"/>
      <c r="AB34" s="522"/>
      <c r="AC34" s="514"/>
      <c r="AD34" s="514"/>
      <c r="AE34" s="698"/>
      <c r="AF34" s="514"/>
      <c r="AG34" s="527"/>
      <c r="AH34" s="789"/>
      <c r="AI34" s="996">
        <f t="shared" si="4"/>
        <v>41.77</v>
      </c>
      <c r="AJ34" s="521">
        <v>0</v>
      </c>
      <c r="AK34" s="520">
        <f t="shared" si="2"/>
        <v>41.77</v>
      </c>
      <c r="AL34" s="672" t="s">
        <v>1485</v>
      </c>
      <c r="AM34" s="669">
        <f t="shared" si="3"/>
        <v>0</v>
      </c>
    </row>
    <row r="35" spans="1:39" s="500" customFormat="1">
      <c r="A35" s="539" t="s">
        <v>594</v>
      </c>
      <c r="B35" s="539" t="s">
        <v>1192</v>
      </c>
      <c r="C35" s="472" t="s">
        <v>48</v>
      </c>
      <c r="D35" s="519"/>
      <c r="E35" s="520"/>
      <c r="F35" s="726"/>
      <c r="G35" s="520"/>
      <c r="H35" s="520"/>
      <c r="I35" s="521"/>
      <c r="J35" s="521"/>
      <c r="K35" s="521"/>
      <c r="L35" s="514"/>
      <c r="M35" s="726"/>
      <c r="N35" s="514"/>
      <c r="O35" s="514"/>
      <c r="P35" s="514"/>
      <c r="Q35" s="522"/>
      <c r="R35" s="522"/>
      <c r="S35" s="514"/>
      <c r="T35" s="726"/>
      <c r="U35" s="514"/>
      <c r="V35" s="514"/>
      <c r="W35" s="976">
        <v>94.05</v>
      </c>
      <c r="X35" s="979">
        <f>204.34-0.15</f>
        <v>204.19</v>
      </c>
      <c r="Y35" s="514"/>
      <c r="Z35" s="514"/>
      <c r="AA35" s="726"/>
      <c r="AB35" s="522"/>
      <c r="AC35" s="514"/>
      <c r="AD35" s="514"/>
      <c r="AE35" s="698"/>
      <c r="AF35" s="514"/>
      <c r="AG35" s="527"/>
      <c r="AH35" s="789"/>
      <c r="AI35" s="996">
        <f t="shared" si="4"/>
        <v>298.24</v>
      </c>
      <c r="AJ35" s="521">
        <v>0</v>
      </c>
      <c r="AK35" s="520">
        <f t="shared" si="2"/>
        <v>298.24</v>
      </c>
      <c r="AL35" s="672" t="s">
        <v>1486</v>
      </c>
      <c r="AM35" s="669">
        <f t="shared" si="3"/>
        <v>0</v>
      </c>
    </row>
    <row r="36" spans="1:39" s="500" customFormat="1">
      <c r="A36" s="539" t="s">
        <v>595</v>
      </c>
      <c r="B36" s="539" t="s">
        <v>1193</v>
      </c>
      <c r="C36" s="548" t="s">
        <v>1450</v>
      </c>
      <c r="D36" s="519"/>
      <c r="E36" s="520"/>
      <c r="F36" s="726"/>
      <c r="G36" s="520"/>
      <c r="H36" s="520"/>
      <c r="I36" s="521"/>
      <c r="J36" s="521"/>
      <c r="K36" s="521"/>
      <c r="L36" s="514"/>
      <c r="M36" s="726"/>
      <c r="N36" s="514"/>
      <c r="O36" s="514"/>
      <c r="P36" s="514"/>
      <c r="Q36" s="522"/>
      <c r="R36" s="522"/>
      <c r="S36" s="514"/>
      <c r="T36" s="726"/>
      <c r="U36" s="514"/>
      <c r="V36" s="514"/>
      <c r="W36" s="514"/>
      <c r="X36" s="981">
        <v>200</v>
      </c>
      <c r="Z36" s="514"/>
      <c r="AA36" s="726"/>
      <c r="AB36" s="522"/>
      <c r="AC36" s="514"/>
      <c r="AD36" s="514"/>
      <c r="AE36" s="698"/>
      <c r="AF36" s="514"/>
      <c r="AG36" s="527"/>
      <c r="AH36" s="789"/>
      <c r="AI36" s="996">
        <f t="shared" si="4"/>
        <v>200</v>
      </c>
      <c r="AJ36" s="521">
        <v>0</v>
      </c>
      <c r="AK36" s="520">
        <f t="shared" si="2"/>
        <v>200</v>
      </c>
      <c r="AL36" s="672" t="s">
        <v>1487</v>
      </c>
      <c r="AM36" s="669">
        <f t="shared" si="3"/>
        <v>147.94999999999999</v>
      </c>
    </row>
    <row r="37" spans="1:39" s="500" customFormat="1">
      <c r="A37" s="542" t="s">
        <v>602</v>
      </c>
      <c r="B37" s="542" t="s">
        <v>1200</v>
      </c>
      <c r="C37" s="616"/>
      <c r="D37" s="519"/>
      <c r="E37" s="520"/>
      <c r="F37" s="726"/>
      <c r="G37" s="520"/>
      <c r="H37" s="520"/>
      <c r="I37" s="521"/>
      <c r="J37" s="521"/>
      <c r="K37" s="521"/>
      <c r="L37" s="514"/>
      <c r="M37" s="726"/>
      <c r="N37" s="514"/>
      <c r="O37" s="514"/>
      <c r="P37" s="514"/>
      <c r="Q37" s="522"/>
      <c r="R37" s="522"/>
      <c r="S37" s="514"/>
      <c r="T37" s="726"/>
      <c r="U37" s="514"/>
      <c r="V37" s="514"/>
      <c r="W37" s="514"/>
      <c r="X37" s="514"/>
      <c r="Y37" s="514"/>
      <c r="Z37" s="514"/>
      <c r="AA37" s="726"/>
      <c r="AB37" s="514"/>
      <c r="AC37" s="514"/>
      <c r="AD37" s="514"/>
      <c r="AE37" s="698"/>
      <c r="AF37" s="514"/>
      <c r="AG37" s="527"/>
      <c r="AH37" s="789"/>
      <c r="AI37" s="664">
        <f t="shared" si="4"/>
        <v>0</v>
      </c>
      <c r="AJ37" s="521">
        <v>0</v>
      </c>
      <c r="AK37" s="520">
        <f t="shared" ref="AK37:AK54" si="5">AI37+AJ37</f>
        <v>0</v>
      </c>
      <c r="AL37" s="672"/>
      <c r="AM37" s="669">
        <f t="shared" ref="AM37:AM54" si="6">AL37-AK37</f>
        <v>0</v>
      </c>
    </row>
    <row r="38" spans="1:39" s="500" customFormat="1">
      <c r="A38" s="539" t="s">
        <v>603</v>
      </c>
      <c r="B38" s="539" t="s">
        <v>1201</v>
      </c>
      <c r="C38" s="472" t="s">
        <v>38</v>
      </c>
      <c r="D38" s="519"/>
      <c r="E38" s="520"/>
      <c r="F38" s="726"/>
      <c r="G38" s="520"/>
      <c r="H38" s="520"/>
      <c r="I38" s="521"/>
      <c r="J38" s="521"/>
      <c r="K38" s="521"/>
      <c r="L38" s="514"/>
      <c r="M38" s="726"/>
      <c r="N38" s="514"/>
      <c r="O38" s="514"/>
      <c r="P38" s="514"/>
      <c r="Q38" s="522"/>
      <c r="R38" s="522"/>
      <c r="S38" s="514"/>
      <c r="T38" s="726"/>
      <c r="U38" s="514"/>
      <c r="V38" s="514"/>
      <c r="W38" s="514"/>
      <c r="X38" s="514"/>
      <c r="Y38" s="514"/>
      <c r="Z38" s="514"/>
      <c r="AA38" s="726"/>
      <c r="AB38" s="514"/>
      <c r="AC38" s="514"/>
      <c r="AD38" s="514"/>
      <c r="AE38" s="698"/>
      <c r="AF38" s="514"/>
      <c r="AG38" s="527"/>
      <c r="AH38" s="789"/>
      <c r="AI38" s="664">
        <f t="shared" si="4"/>
        <v>0</v>
      </c>
      <c r="AJ38" s="521">
        <v>0</v>
      </c>
      <c r="AK38" s="520">
        <f t="shared" si="5"/>
        <v>0</v>
      </c>
      <c r="AL38" s="672" t="s">
        <v>1492</v>
      </c>
      <c r="AM38" s="669">
        <f t="shared" si="6"/>
        <v>100.3</v>
      </c>
    </row>
    <row r="39" spans="1:39" s="518" customFormat="1">
      <c r="A39" s="539" t="s">
        <v>604</v>
      </c>
      <c r="B39" s="539" t="s">
        <v>225</v>
      </c>
      <c r="C39" s="472" t="s">
        <v>1450</v>
      </c>
      <c r="D39" s="525"/>
      <c r="E39" s="526"/>
      <c r="F39" s="731"/>
      <c r="G39" s="526"/>
      <c r="H39" s="526"/>
      <c r="I39" s="521"/>
      <c r="J39" s="527"/>
      <c r="K39" s="527"/>
      <c r="L39" s="514"/>
      <c r="M39" s="731"/>
      <c r="N39" s="514"/>
      <c r="O39" s="514"/>
      <c r="P39" s="514"/>
      <c r="Q39" s="522"/>
      <c r="R39" s="522"/>
      <c r="S39" s="514"/>
      <c r="T39" s="731"/>
      <c r="U39" s="514"/>
      <c r="V39" s="514"/>
      <c r="W39" s="514"/>
      <c r="X39" s="514"/>
      <c r="Y39" s="514"/>
      <c r="Z39" s="514"/>
      <c r="AA39" s="731"/>
      <c r="AB39" s="514"/>
      <c r="AC39" s="514"/>
      <c r="AD39" s="514"/>
      <c r="AE39" s="698"/>
      <c r="AF39" s="514"/>
      <c r="AG39" s="971">
        <v>2</v>
      </c>
      <c r="AH39" s="789"/>
      <c r="AI39" s="996">
        <f t="shared" si="4"/>
        <v>2</v>
      </c>
      <c r="AJ39" s="521">
        <v>0</v>
      </c>
      <c r="AK39" s="520">
        <f t="shared" si="5"/>
        <v>2</v>
      </c>
      <c r="AL39" s="673" t="s">
        <v>1493</v>
      </c>
      <c r="AM39" s="669">
        <f t="shared" si="6"/>
        <v>13</v>
      </c>
    </row>
    <row r="40" spans="1:39" s="730" customFormat="1">
      <c r="A40" s="814" t="s">
        <v>44</v>
      </c>
      <c r="B40" s="815" t="s">
        <v>1202</v>
      </c>
      <c r="C40" s="826"/>
      <c r="D40" s="519"/>
      <c r="E40" s="520"/>
      <c r="F40" s="726"/>
      <c r="G40" s="520"/>
      <c r="H40" s="520"/>
      <c r="I40" s="521"/>
      <c r="J40" s="521"/>
      <c r="K40" s="521"/>
      <c r="L40" s="514"/>
      <c r="M40" s="726"/>
      <c r="N40" s="514"/>
      <c r="O40" s="514"/>
      <c r="P40" s="514"/>
      <c r="Q40" s="522"/>
      <c r="R40" s="522"/>
      <c r="S40" s="514"/>
      <c r="T40" s="726"/>
      <c r="U40" s="514"/>
      <c r="V40" s="514"/>
      <c r="W40" s="514"/>
      <c r="X40" s="514"/>
      <c r="Y40" s="514"/>
      <c r="Z40" s="514"/>
      <c r="AA40" s="726"/>
      <c r="AB40" s="514"/>
      <c r="AC40" s="514"/>
      <c r="AD40" s="514"/>
      <c r="AE40" s="698"/>
      <c r="AF40" s="514"/>
      <c r="AG40" s="527"/>
      <c r="AH40" s="789"/>
      <c r="AI40" s="786">
        <f t="shared" si="4"/>
        <v>0</v>
      </c>
      <c r="AJ40" s="725">
        <v>0</v>
      </c>
      <c r="AK40" s="726">
        <f t="shared" si="5"/>
        <v>0</v>
      </c>
      <c r="AL40" s="728"/>
      <c r="AM40" s="729">
        <f t="shared" si="6"/>
        <v>0</v>
      </c>
    </row>
    <row r="41" spans="1:39" s="500" customFormat="1">
      <c r="A41" s="542" t="s">
        <v>54</v>
      </c>
      <c r="B41" s="542" t="s">
        <v>46</v>
      </c>
      <c r="C41" s="605"/>
      <c r="D41" s="519"/>
      <c r="E41" s="520"/>
      <c r="F41" s="726"/>
      <c r="G41" s="520"/>
      <c r="H41" s="520"/>
      <c r="I41" s="521"/>
      <c r="J41" s="521"/>
      <c r="K41" s="521"/>
      <c r="L41" s="514"/>
      <c r="M41" s="726"/>
      <c r="N41" s="514"/>
      <c r="O41" s="514"/>
      <c r="P41" s="514"/>
      <c r="Q41" s="522"/>
      <c r="R41" s="522"/>
      <c r="S41" s="514"/>
      <c r="T41" s="726"/>
      <c r="U41" s="514"/>
      <c r="V41" s="514"/>
      <c r="W41" s="514"/>
      <c r="X41" s="514"/>
      <c r="Y41" s="514"/>
      <c r="Z41" s="514"/>
      <c r="AA41" s="726"/>
      <c r="AB41" s="514"/>
      <c r="AC41" s="514"/>
      <c r="AD41" s="514"/>
      <c r="AE41" s="698"/>
      <c r="AF41" s="514"/>
      <c r="AG41" s="527"/>
      <c r="AH41" s="789"/>
      <c r="AI41" s="664">
        <f t="shared" si="4"/>
        <v>0</v>
      </c>
      <c r="AJ41" s="521">
        <v>0</v>
      </c>
      <c r="AK41" s="520">
        <f t="shared" si="5"/>
        <v>0</v>
      </c>
      <c r="AL41" s="672"/>
      <c r="AM41" s="669">
        <f t="shared" si="6"/>
        <v>0</v>
      </c>
    </row>
    <row r="42" spans="1:39" s="500" customFormat="1">
      <c r="A42" s="539" t="s">
        <v>607</v>
      </c>
      <c r="B42" s="539" t="s">
        <v>1158</v>
      </c>
      <c r="C42" s="548" t="s">
        <v>40</v>
      </c>
      <c r="D42" s="519"/>
      <c r="E42" s="520"/>
      <c r="F42" s="726"/>
      <c r="G42" s="520"/>
      <c r="H42" s="520"/>
      <c r="I42" s="521"/>
      <c r="J42" s="521"/>
      <c r="K42" s="521"/>
      <c r="L42" s="514"/>
      <c r="M42" s="726"/>
      <c r="N42" s="514"/>
      <c r="O42" s="514"/>
      <c r="P42" s="514"/>
      <c r="Q42" s="522"/>
      <c r="R42" s="522"/>
      <c r="S42" s="514"/>
      <c r="T42" s="726"/>
      <c r="U42" s="514"/>
      <c r="V42" s="514"/>
      <c r="W42" s="514"/>
      <c r="X42" s="514"/>
      <c r="Y42" s="976">
        <f>2.5*2.5*0.3</f>
        <v>1.875</v>
      </c>
      <c r="Z42" s="514"/>
      <c r="AA42" s="726"/>
      <c r="AB42" s="514"/>
      <c r="AC42" s="514"/>
      <c r="AD42" s="514"/>
      <c r="AE42" s="698"/>
      <c r="AF42" s="514"/>
      <c r="AG42" s="527"/>
      <c r="AH42" s="789"/>
      <c r="AI42" s="996">
        <f t="shared" si="4"/>
        <v>1.88</v>
      </c>
      <c r="AJ42" s="521">
        <v>0</v>
      </c>
      <c r="AK42" s="520">
        <f t="shared" si="5"/>
        <v>1.88</v>
      </c>
      <c r="AL42" s="672" t="s">
        <v>1496</v>
      </c>
      <c r="AM42" s="669">
        <f t="shared" si="6"/>
        <v>26.490000000000002</v>
      </c>
    </row>
    <row r="43" spans="1:39" s="500" customFormat="1">
      <c r="A43" s="542" t="s">
        <v>616</v>
      </c>
      <c r="B43" s="542" t="s">
        <v>1169</v>
      </c>
      <c r="C43" s="605"/>
      <c r="D43" s="519"/>
      <c r="E43" s="520"/>
      <c r="F43" s="726"/>
      <c r="G43" s="520"/>
      <c r="H43" s="520"/>
      <c r="I43" s="521"/>
      <c r="J43" s="521"/>
      <c r="K43" s="521"/>
      <c r="L43" s="514"/>
      <c r="M43" s="726"/>
      <c r="N43" s="514"/>
      <c r="O43" s="514"/>
      <c r="P43" s="514"/>
      <c r="Q43" s="522"/>
      <c r="R43" s="522"/>
      <c r="S43" s="514"/>
      <c r="T43" s="726"/>
      <c r="U43" s="514"/>
      <c r="V43" s="514"/>
      <c r="W43" s="514"/>
      <c r="X43" s="514"/>
      <c r="Y43" s="514"/>
      <c r="Z43" s="514"/>
      <c r="AA43" s="726"/>
      <c r="AB43" s="514"/>
      <c r="AC43" s="514"/>
      <c r="AD43" s="514"/>
      <c r="AE43" s="698"/>
      <c r="AF43" s="514"/>
      <c r="AG43" s="527"/>
      <c r="AH43" s="789"/>
      <c r="AI43" s="664">
        <f t="shared" si="4"/>
        <v>0</v>
      </c>
      <c r="AJ43" s="521">
        <v>0</v>
      </c>
      <c r="AK43" s="520">
        <f t="shared" si="5"/>
        <v>0</v>
      </c>
      <c r="AL43" s="672"/>
      <c r="AM43" s="669">
        <f t="shared" si="6"/>
        <v>0</v>
      </c>
    </row>
    <row r="44" spans="1:39" s="500" customFormat="1">
      <c r="A44" s="539" t="s">
        <v>628</v>
      </c>
      <c r="B44" s="539" t="s">
        <v>1181</v>
      </c>
      <c r="C44" s="605"/>
      <c r="D44" s="519"/>
      <c r="E44" s="520"/>
      <c r="F44" s="726"/>
      <c r="G44" s="520"/>
      <c r="H44" s="520"/>
      <c r="I44" s="521"/>
      <c r="J44" s="521"/>
      <c r="K44" s="521"/>
      <c r="L44" s="514"/>
      <c r="M44" s="726"/>
      <c r="N44" s="514"/>
      <c r="O44" s="514"/>
      <c r="P44" s="514"/>
      <c r="Q44" s="522"/>
      <c r="R44" s="522"/>
      <c r="S44" s="514"/>
      <c r="T44" s="726"/>
      <c r="U44" s="514"/>
      <c r="V44" s="514"/>
      <c r="W44" s="514"/>
      <c r="X44" s="514"/>
      <c r="Y44" s="514"/>
      <c r="Z44" s="514"/>
      <c r="AA44" s="726"/>
      <c r="AB44" s="514"/>
      <c r="AC44" s="514"/>
      <c r="AD44" s="514"/>
      <c r="AE44" s="698"/>
      <c r="AF44" s="514"/>
      <c r="AG44" s="527"/>
      <c r="AH44" s="789"/>
      <c r="AI44" s="664">
        <f t="shared" si="4"/>
        <v>0</v>
      </c>
      <c r="AJ44" s="521">
        <v>0</v>
      </c>
      <c r="AK44" s="520">
        <f t="shared" si="5"/>
        <v>0</v>
      </c>
      <c r="AL44" s="672"/>
      <c r="AM44" s="669">
        <f t="shared" si="6"/>
        <v>0</v>
      </c>
    </row>
    <row r="45" spans="1:39" s="500" customFormat="1">
      <c r="A45" s="539" t="s">
        <v>629</v>
      </c>
      <c r="B45" s="539" t="s">
        <v>1182</v>
      </c>
      <c r="C45" s="472" t="s">
        <v>40</v>
      </c>
      <c r="D45" s="519"/>
      <c r="E45" s="520"/>
      <c r="F45" s="726"/>
      <c r="G45" s="520"/>
      <c r="H45" s="520"/>
      <c r="I45" s="521"/>
      <c r="J45" s="521"/>
      <c r="K45" s="967">
        <f>8*0.24*0.15*3.48</f>
        <v>1.00224</v>
      </c>
      <c r="L45" s="514"/>
      <c r="M45" s="726"/>
      <c r="N45" s="967">
        <f>4*0.15*0.24</f>
        <v>0.14399999999999999</v>
      </c>
      <c r="O45" s="967">
        <f>6*0.15*0.24</f>
        <v>0.21599999999999997</v>
      </c>
      <c r="P45" s="514"/>
      <c r="Q45" s="976">
        <v>0.67</v>
      </c>
      <c r="R45" s="522"/>
      <c r="S45" s="514"/>
      <c r="T45" s="726"/>
      <c r="U45" s="980">
        <f>2*0.25*0.35*3.5</f>
        <v>0.61249999999999993</v>
      </c>
      <c r="V45" s="514"/>
      <c r="W45" s="514"/>
      <c r="X45" s="514"/>
      <c r="Y45" s="514"/>
      <c r="Z45" s="514"/>
      <c r="AA45" s="726"/>
      <c r="AB45" s="514"/>
      <c r="AC45" s="514"/>
      <c r="AD45" s="976">
        <f>(4*0.25*0.2*2.45)-0.31</f>
        <v>0.18000000000000005</v>
      </c>
      <c r="AE45" s="698"/>
      <c r="AF45" s="514"/>
      <c r="AG45" s="527"/>
      <c r="AH45" s="789"/>
      <c r="AI45" s="996">
        <f t="shared" si="4"/>
        <v>2.82</v>
      </c>
      <c r="AJ45" s="521">
        <v>0</v>
      </c>
      <c r="AK45" s="520">
        <f t="shared" si="5"/>
        <v>2.82</v>
      </c>
      <c r="AL45" s="672" t="s">
        <v>1511</v>
      </c>
      <c r="AM45" s="669">
        <f t="shared" si="6"/>
        <v>0</v>
      </c>
    </row>
    <row r="46" spans="1:39" s="500" customFormat="1">
      <c r="A46" s="539" t="s">
        <v>630</v>
      </c>
      <c r="B46" s="539" t="s">
        <v>1183</v>
      </c>
      <c r="C46" s="548" t="s">
        <v>37</v>
      </c>
      <c r="D46" s="519"/>
      <c r="E46" s="520"/>
      <c r="F46" s="726"/>
      <c r="G46" s="520"/>
      <c r="H46" s="520"/>
      <c r="I46" s="521"/>
      <c r="K46" s="967">
        <f>8*(2*0.15+0.24)</f>
        <v>4.32</v>
      </c>
      <c r="L46" s="967">
        <f>2*(2*0.15+0.24)</f>
        <v>1.08</v>
      </c>
      <c r="M46" s="726"/>
      <c r="N46" s="967">
        <f>4*(2*0.15+0.24)</f>
        <v>2.16</v>
      </c>
      <c r="O46" s="967">
        <f>6*(2*0.15+0.24)</f>
        <v>3.24</v>
      </c>
      <c r="P46" s="514"/>
      <c r="Q46" s="976">
        <v>7.87</v>
      </c>
      <c r="R46" s="522"/>
      <c r="S46" s="514"/>
      <c r="T46" s="726"/>
      <c r="U46" s="980">
        <f>2*3.5*0.95</f>
        <v>6.6499999999999995</v>
      </c>
      <c r="V46" s="514"/>
      <c r="W46" s="514"/>
      <c r="X46" s="514"/>
      <c r="Y46" s="514"/>
      <c r="Z46" s="514"/>
      <c r="AA46" s="726"/>
      <c r="AB46" s="514"/>
      <c r="AC46" s="514"/>
      <c r="AD46" s="976">
        <f>4*(0.25+0.2+0.2)*2.45</f>
        <v>6.370000000000001</v>
      </c>
      <c r="AE46" s="976">
        <f>(0.25+0.2+0.2)*2.45</f>
        <v>1.5925000000000002</v>
      </c>
      <c r="AF46" s="514"/>
      <c r="AG46" s="527"/>
      <c r="AH46" s="789"/>
      <c r="AI46" s="996">
        <f t="shared" si="4"/>
        <v>33.28</v>
      </c>
      <c r="AJ46" s="521">
        <v>0</v>
      </c>
      <c r="AK46" s="520">
        <f t="shared" si="5"/>
        <v>33.28</v>
      </c>
      <c r="AL46" s="672" t="s">
        <v>1512</v>
      </c>
      <c r="AM46" s="669">
        <f t="shared" si="6"/>
        <v>2.1599999999999966</v>
      </c>
    </row>
    <row r="47" spans="1:39" s="500" customFormat="1">
      <c r="A47" s="539" t="s">
        <v>631</v>
      </c>
      <c r="B47" s="539" t="s">
        <v>1184</v>
      </c>
      <c r="C47" s="472" t="s">
        <v>48</v>
      </c>
      <c r="D47" s="519"/>
      <c r="E47" s="520"/>
      <c r="F47" s="726"/>
      <c r="G47" s="520"/>
      <c r="H47" s="520"/>
      <c r="I47" s="521"/>
      <c r="K47" s="967">
        <f>8*10.61</f>
        <v>84.88</v>
      </c>
      <c r="L47" s="967">
        <f>2*10.61</f>
        <v>21.22</v>
      </c>
      <c r="M47" s="726"/>
      <c r="N47" s="967">
        <f>4*10.61</f>
        <v>42.44</v>
      </c>
      <c r="O47" s="967">
        <f>6*10.61</f>
        <v>63.66</v>
      </c>
      <c r="P47" s="514"/>
      <c r="Q47" s="976">
        <v>42.44</v>
      </c>
      <c r="R47" s="522"/>
      <c r="S47" s="514"/>
      <c r="T47" s="726"/>
      <c r="U47" s="980">
        <f>2*10.61</f>
        <v>21.22</v>
      </c>
      <c r="V47" s="514"/>
      <c r="W47" s="514"/>
      <c r="X47" s="514"/>
      <c r="Y47" s="514"/>
      <c r="Z47" s="514"/>
      <c r="AA47" s="726"/>
      <c r="AB47" s="514"/>
      <c r="AC47" s="514"/>
      <c r="AD47" s="514"/>
      <c r="AE47" s="698"/>
      <c r="AF47" s="514"/>
      <c r="AG47" s="527"/>
      <c r="AH47" s="789"/>
      <c r="AI47" s="996">
        <f t="shared" si="4"/>
        <v>275.86</v>
      </c>
      <c r="AJ47" s="521">
        <v>0</v>
      </c>
      <c r="AK47" s="520">
        <f t="shared" si="5"/>
        <v>275.86</v>
      </c>
      <c r="AL47" s="672" t="s">
        <v>1513</v>
      </c>
      <c r="AM47" s="669">
        <f t="shared" si="6"/>
        <v>261.08000000000004</v>
      </c>
    </row>
    <row r="48" spans="1:39" s="518" customFormat="1">
      <c r="A48" s="542" t="s">
        <v>647</v>
      </c>
      <c r="B48" s="542" t="s">
        <v>1200</v>
      </c>
      <c r="C48" s="616"/>
      <c r="D48" s="525"/>
      <c r="E48" s="526"/>
      <c r="F48" s="731"/>
      <c r="G48" s="526"/>
      <c r="H48" s="526"/>
      <c r="I48" s="521"/>
      <c r="J48" s="527"/>
      <c r="K48" s="527"/>
      <c r="L48" s="514"/>
      <c r="M48" s="731"/>
      <c r="N48" s="514"/>
      <c r="O48" s="514"/>
      <c r="P48" s="514"/>
      <c r="Q48" s="522"/>
      <c r="R48" s="522"/>
      <c r="S48" s="514"/>
      <c r="T48" s="731"/>
      <c r="U48" s="514"/>
      <c r="V48" s="514"/>
      <c r="W48" s="514"/>
      <c r="X48" s="514"/>
      <c r="Y48" s="514"/>
      <c r="Z48" s="514"/>
      <c r="AA48" s="731"/>
      <c r="AB48" s="514"/>
      <c r="AC48" s="514"/>
      <c r="AD48" s="514"/>
      <c r="AE48" s="698"/>
      <c r="AF48" s="514"/>
      <c r="AG48" s="527"/>
      <c r="AH48" s="789"/>
      <c r="AI48" s="664">
        <f t="shared" ref="AI48:AI58" si="7">ROUND((SUM(D48:AH48)),2)</f>
        <v>0</v>
      </c>
      <c r="AJ48" s="521">
        <v>0</v>
      </c>
      <c r="AK48" s="520">
        <f t="shared" si="5"/>
        <v>0</v>
      </c>
      <c r="AL48" s="673"/>
      <c r="AM48" s="669">
        <f t="shared" si="6"/>
        <v>0</v>
      </c>
    </row>
    <row r="49" spans="1:39" s="518" customFormat="1">
      <c r="A49" s="539" t="s">
        <v>648</v>
      </c>
      <c r="B49" s="539" t="s">
        <v>1201</v>
      </c>
      <c r="C49" s="472" t="s">
        <v>38</v>
      </c>
      <c r="D49" s="525"/>
      <c r="E49" s="526"/>
      <c r="F49" s="731"/>
      <c r="G49" s="526"/>
      <c r="H49" s="526"/>
      <c r="I49" s="521"/>
      <c r="J49" s="527"/>
      <c r="K49" s="527"/>
      <c r="L49" s="514"/>
      <c r="M49" s="731"/>
      <c r="N49" s="514"/>
      <c r="O49" s="514"/>
      <c r="P49" s="514"/>
      <c r="Q49" s="522"/>
      <c r="R49" s="522"/>
      <c r="S49" s="514"/>
      <c r="T49" s="731"/>
      <c r="U49" s="514"/>
      <c r="V49" s="514"/>
      <c r="W49" s="514"/>
      <c r="X49" s="514"/>
      <c r="Y49" s="514"/>
      <c r="Z49" s="514"/>
      <c r="AA49" s="731"/>
      <c r="AB49" s="514"/>
      <c r="AC49" s="514"/>
      <c r="AD49" s="514"/>
      <c r="AE49" s="698"/>
      <c r="AF49" s="514"/>
      <c r="AG49" s="527"/>
      <c r="AH49" s="789"/>
      <c r="AI49" s="664">
        <f t="shared" si="7"/>
        <v>0</v>
      </c>
      <c r="AJ49" s="521">
        <v>0</v>
      </c>
      <c r="AK49" s="520">
        <f t="shared" si="5"/>
        <v>0</v>
      </c>
      <c r="AL49" s="673" t="s">
        <v>1524</v>
      </c>
      <c r="AM49" s="669">
        <f t="shared" si="6"/>
        <v>83.2</v>
      </c>
    </row>
    <row r="50" spans="1:39" s="500" customFormat="1">
      <c r="A50" s="539" t="s">
        <v>649</v>
      </c>
      <c r="B50" s="539" t="s">
        <v>225</v>
      </c>
      <c r="C50" s="472" t="s">
        <v>1450</v>
      </c>
      <c r="D50" s="519"/>
      <c r="E50" s="520"/>
      <c r="F50" s="726"/>
      <c r="G50" s="520"/>
      <c r="H50" s="520"/>
      <c r="I50" s="521"/>
      <c r="J50" s="521"/>
      <c r="K50" s="521"/>
      <c r="L50" s="514"/>
      <c r="M50" s="726"/>
      <c r="N50" s="514"/>
      <c r="O50" s="514"/>
      <c r="P50" s="514"/>
      <c r="Q50" s="522"/>
      <c r="R50" s="522"/>
      <c r="S50" s="514"/>
      <c r="T50" s="726"/>
      <c r="U50" s="514"/>
      <c r="V50" s="514"/>
      <c r="W50" s="514"/>
      <c r="X50" s="514"/>
      <c r="Y50" s="514"/>
      <c r="Z50" s="514"/>
      <c r="AA50" s="726"/>
      <c r="AB50" s="514"/>
      <c r="AC50" s="514"/>
      <c r="AD50" s="514"/>
      <c r="AE50" s="698"/>
      <c r="AF50" s="514"/>
      <c r="AG50" s="971">
        <v>2</v>
      </c>
      <c r="AH50" s="790"/>
      <c r="AI50" s="996">
        <f t="shared" si="7"/>
        <v>2</v>
      </c>
      <c r="AJ50" s="521">
        <v>0</v>
      </c>
      <c r="AK50" s="520">
        <f t="shared" si="5"/>
        <v>2</v>
      </c>
      <c r="AL50" s="672" t="s">
        <v>1493</v>
      </c>
      <c r="AM50" s="669">
        <f t="shared" si="6"/>
        <v>13</v>
      </c>
    </row>
    <row r="51" spans="1:39" s="730" customFormat="1">
      <c r="A51" s="814" t="s">
        <v>52</v>
      </c>
      <c r="B51" s="815" t="s">
        <v>1209</v>
      </c>
      <c r="C51" s="826"/>
      <c r="D51" s="519"/>
      <c r="E51" s="520"/>
      <c r="F51" s="726"/>
      <c r="G51" s="520"/>
      <c r="H51" s="520"/>
      <c r="I51" s="521"/>
      <c r="J51" s="521"/>
      <c r="K51" s="521"/>
      <c r="L51" s="514"/>
      <c r="M51" s="726"/>
      <c r="N51" s="514"/>
      <c r="O51" s="514"/>
      <c r="P51" s="514"/>
      <c r="Q51" s="522"/>
      <c r="R51" s="522"/>
      <c r="S51" s="514"/>
      <c r="T51" s="726"/>
      <c r="U51" s="514"/>
      <c r="V51" s="514"/>
      <c r="W51" s="514"/>
      <c r="X51" s="514"/>
      <c r="Y51" s="514"/>
      <c r="Z51" s="514"/>
      <c r="AA51" s="726"/>
      <c r="AB51" s="514"/>
      <c r="AC51" s="514"/>
      <c r="AD51" s="514"/>
      <c r="AE51" s="698"/>
      <c r="AF51" s="514"/>
      <c r="AG51" s="527"/>
      <c r="AH51" s="789"/>
      <c r="AI51" s="664">
        <f t="shared" si="7"/>
        <v>0</v>
      </c>
      <c r="AJ51" s="725">
        <v>0</v>
      </c>
      <c r="AK51" s="726">
        <f t="shared" si="5"/>
        <v>0</v>
      </c>
      <c r="AL51" s="728"/>
      <c r="AM51" s="729">
        <f t="shared" si="6"/>
        <v>0</v>
      </c>
    </row>
    <row r="52" spans="1:39" s="500" customFormat="1">
      <c r="A52" s="542" t="s">
        <v>56</v>
      </c>
      <c r="B52" s="542" t="s">
        <v>46</v>
      </c>
      <c r="C52" s="616"/>
      <c r="D52" s="519"/>
      <c r="E52" s="520"/>
      <c r="F52" s="726"/>
      <c r="G52" s="520"/>
      <c r="H52" s="520"/>
      <c r="I52" s="521"/>
      <c r="J52" s="521"/>
      <c r="K52" s="521"/>
      <c r="L52" s="522"/>
      <c r="M52" s="726"/>
      <c r="N52" s="522"/>
      <c r="O52" s="522"/>
      <c r="P52" s="522"/>
      <c r="Q52" s="522"/>
      <c r="R52" s="522"/>
      <c r="S52" s="522"/>
      <c r="T52" s="726"/>
      <c r="U52" s="522"/>
      <c r="V52" s="522"/>
      <c r="W52" s="522"/>
      <c r="X52" s="522"/>
      <c r="Y52" s="522"/>
      <c r="Z52" s="522"/>
      <c r="AA52" s="726"/>
      <c r="AB52" s="522"/>
      <c r="AC52" s="522"/>
      <c r="AD52" s="522"/>
      <c r="AE52" s="698"/>
      <c r="AF52" s="522"/>
      <c r="AG52" s="521"/>
      <c r="AH52" s="790"/>
      <c r="AI52" s="664">
        <f t="shared" si="7"/>
        <v>0</v>
      </c>
      <c r="AJ52" s="521">
        <v>0</v>
      </c>
      <c r="AK52" s="520">
        <f t="shared" si="5"/>
        <v>0</v>
      </c>
      <c r="AL52" s="672"/>
      <c r="AM52" s="669">
        <f t="shared" si="6"/>
        <v>0</v>
      </c>
    </row>
    <row r="53" spans="1:39" s="500" customFormat="1">
      <c r="A53" s="539" t="s">
        <v>654</v>
      </c>
      <c r="B53" s="539" t="s">
        <v>1160</v>
      </c>
      <c r="C53" s="548" t="s">
        <v>40</v>
      </c>
      <c r="D53" s="519"/>
      <c r="E53" s="520"/>
      <c r="F53" s="726"/>
      <c r="G53" s="520"/>
      <c r="H53" s="520"/>
      <c r="I53" s="521"/>
      <c r="J53" s="521"/>
      <c r="K53" s="521"/>
      <c r="L53" s="514"/>
      <c r="M53" s="726"/>
      <c r="N53" s="514"/>
      <c r="O53" s="976">
        <f>10-2.03</f>
        <v>7.9700000000000006</v>
      </c>
      <c r="P53" s="514"/>
      <c r="Q53" s="522"/>
      <c r="R53" s="522"/>
      <c r="S53" s="514"/>
      <c r="T53" s="726"/>
      <c r="U53" s="514"/>
      <c r="V53" s="514"/>
      <c r="W53" s="514"/>
      <c r="X53" s="514"/>
      <c r="Y53" s="514"/>
      <c r="Z53" s="514"/>
      <c r="AA53" s="726"/>
      <c r="AB53" s="514"/>
      <c r="AC53" s="514"/>
      <c r="AD53" s="514"/>
      <c r="AE53" s="698"/>
      <c r="AF53" s="514"/>
      <c r="AG53" s="971"/>
      <c r="AH53" s="789"/>
      <c r="AI53" s="996">
        <f t="shared" si="7"/>
        <v>7.97</v>
      </c>
      <c r="AJ53" s="521">
        <v>0</v>
      </c>
      <c r="AK53" s="520">
        <f t="shared" si="5"/>
        <v>7.97</v>
      </c>
      <c r="AL53" s="672" t="s">
        <v>1529</v>
      </c>
      <c r="AM53" s="669">
        <f t="shared" si="6"/>
        <v>9.2200000000000024</v>
      </c>
    </row>
    <row r="54" spans="1:39" s="518" customFormat="1">
      <c r="A54" s="542" t="s">
        <v>57</v>
      </c>
      <c r="B54" s="542" t="s">
        <v>1162</v>
      </c>
      <c r="C54" s="616"/>
      <c r="D54" s="525"/>
      <c r="E54" s="526"/>
      <c r="F54" s="731"/>
      <c r="G54" s="526"/>
      <c r="H54" s="526"/>
      <c r="I54" s="521"/>
      <c r="J54" s="527"/>
      <c r="K54" s="527"/>
      <c r="L54" s="514"/>
      <c r="M54" s="731"/>
      <c r="N54" s="514"/>
      <c r="O54" s="514"/>
      <c r="P54" s="514"/>
      <c r="Q54" s="522"/>
      <c r="R54" s="522"/>
      <c r="S54" s="514"/>
      <c r="T54" s="731"/>
      <c r="U54" s="514"/>
      <c r="V54" s="514"/>
      <c r="W54" s="514"/>
      <c r="X54" s="514"/>
      <c r="Y54" s="514"/>
      <c r="Z54" s="514"/>
      <c r="AA54" s="731"/>
      <c r="AB54" s="514"/>
      <c r="AC54" s="514"/>
      <c r="AD54" s="757"/>
      <c r="AE54" s="698"/>
      <c r="AF54" s="514"/>
      <c r="AG54" s="527"/>
      <c r="AH54" s="789"/>
      <c r="AI54" s="664">
        <f t="shared" si="7"/>
        <v>0</v>
      </c>
      <c r="AJ54" s="521">
        <v>0</v>
      </c>
      <c r="AK54" s="520">
        <f t="shared" si="5"/>
        <v>0</v>
      </c>
      <c r="AL54" s="673"/>
      <c r="AM54" s="669">
        <f t="shared" si="6"/>
        <v>0</v>
      </c>
    </row>
    <row r="55" spans="1:39" s="500" customFormat="1">
      <c r="A55" s="539" t="s">
        <v>657</v>
      </c>
      <c r="B55" s="539" t="s">
        <v>1204</v>
      </c>
      <c r="C55" s="548" t="s">
        <v>40</v>
      </c>
      <c r="D55" s="519"/>
      <c r="E55" s="520"/>
      <c r="F55" s="726"/>
      <c r="G55" s="520"/>
      <c r="H55" s="520"/>
      <c r="I55" s="521"/>
      <c r="J55" s="521"/>
      <c r="K55" s="521"/>
      <c r="L55" s="514"/>
      <c r="M55" s="726"/>
      <c r="N55" s="514"/>
      <c r="O55" s="514"/>
      <c r="P55" s="514"/>
      <c r="Q55" s="522"/>
      <c r="R55" s="522"/>
      <c r="S55" s="514"/>
      <c r="T55" s="726"/>
      <c r="U55" s="514"/>
      <c r="V55" s="514"/>
      <c r="W55" s="514"/>
      <c r="X55" s="514"/>
      <c r="Y55" s="514"/>
      <c r="Z55" s="514"/>
      <c r="AA55" s="726"/>
      <c r="AB55" s="514"/>
      <c r="AC55" s="514"/>
      <c r="AD55" s="514"/>
      <c r="AE55" s="976">
        <f>2.6*0.6*0.5</f>
        <v>0.78</v>
      </c>
      <c r="AF55" s="514"/>
      <c r="AG55" s="527"/>
      <c r="AH55" s="789"/>
      <c r="AI55" s="996">
        <f t="shared" si="7"/>
        <v>0.78</v>
      </c>
      <c r="AJ55" s="521">
        <v>0</v>
      </c>
      <c r="AK55" s="520">
        <f t="shared" ref="AK55:AK83" si="8">AI55+AJ55</f>
        <v>0.78</v>
      </c>
      <c r="AL55" s="672" t="s">
        <v>1531</v>
      </c>
      <c r="AM55" s="669">
        <f t="shared" ref="AM55:AM83" si="9">AL55-AK55</f>
        <v>9.620000000000001</v>
      </c>
    </row>
    <row r="56" spans="1:39" s="500" customFormat="1">
      <c r="A56" s="539" t="s">
        <v>658</v>
      </c>
      <c r="B56" s="539" t="s">
        <v>1205</v>
      </c>
      <c r="C56" s="548" t="s">
        <v>40</v>
      </c>
      <c r="D56" s="519"/>
      <c r="E56" s="520"/>
      <c r="F56" s="726"/>
      <c r="G56" s="520"/>
      <c r="H56" s="520"/>
      <c r="I56" s="521"/>
      <c r="J56" s="521"/>
      <c r="K56" s="521"/>
      <c r="L56" s="514"/>
      <c r="M56" s="726"/>
      <c r="N56" s="514"/>
      <c r="O56" s="514"/>
      <c r="P56" s="514"/>
      <c r="Q56" s="522"/>
      <c r="R56" s="522"/>
      <c r="S56" s="514"/>
      <c r="T56" s="726"/>
      <c r="U56" s="514"/>
      <c r="V56" s="514"/>
      <c r="W56" s="514"/>
      <c r="X56" s="514"/>
      <c r="Y56" s="514"/>
      <c r="Z56" s="514"/>
      <c r="AA56" s="726"/>
      <c r="AB56" s="514"/>
      <c r="AC56" s="514"/>
      <c r="AD56" s="514"/>
      <c r="AE56" s="698"/>
      <c r="AF56" s="972">
        <f>2.6*0.5*0.15</f>
        <v>0.19500000000000001</v>
      </c>
      <c r="AG56" s="527"/>
      <c r="AH56" s="789"/>
      <c r="AI56" s="996">
        <f t="shared" si="7"/>
        <v>0.2</v>
      </c>
      <c r="AJ56" s="521">
        <v>0</v>
      </c>
      <c r="AK56" s="520">
        <f t="shared" si="8"/>
        <v>0.2</v>
      </c>
      <c r="AL56" s="672" t="s">
        <v>1532</v>
      </c>
      <c r="AM56" s="669">
        <f t="shared" si="9"/>
        <v>1.9800000000000002</v>
      </c>
    </row>
    <row r="57" spans="1:39" s="500" customFormat="1">
      <c r="A57" s="539" t="s">
        <v>659</v>
      </c>
      <c r="B57" s="539" t="s">
        <v>1167</v>
      </c>
      <c r="C57" s="548" t="s">
        <v>37</v>
      </c>
      <c r="D57" s="519"/>
      <c r="E57" s="520"/>
      <c r="F57" s="726"/>
      <c r="G57" s="520"/>
      <c r="H57" s="520"/>
      <c r="I57" s="521"/>
      <c r="J57" s="521"/>
      <c r="K57" s="521"/>
      <c r="L57" s="514"/>
      <c r="M57" s="726"/>
      <c r="N57" s="514"/>
      <c r="O57" s="514"/>
      <c r="P57" s="514"/>
      <c r="Q57" s="522"/>
      <c r="R57" s="522"/>
      <c r="S57" s="514"/>
      <c r="T57" s="726"/>
      <c r="U57" s="514"/>
      <c r="V57" s="514"/>
      <c r="W57" s="514"/>
      <c r="X57" s="514"/>
      <c r="Y57" s="514"/>
      <c r="Z57" s="514"/>
      <c r="AA57" s="726"/>
      <c r="AB57" s="514"/>
      <c r="AC57" s="514"/>
      <c r="AD57" s="514"/>
      <c r="AE57" s="698"/>
      <c r="AF57" s="976">
        <f>2.6*0.5*2</f>
        <v>2.6</v>
      </c>
      <c r="AG57" s="527"/>
      <c r="AH57" s="789"/>
      <c r="AI57" s="996">
        <f t="shared" si="7"/>
        <v>2.6</v>
      </c>
      <c r="AJ57" s="521">
        <v>0</v>
      </c>
      <c r="AK57" s="520">
        <f t="shared" si="8"/>
        <v>2.6</v>
      </c>
      <c r="AL57" s="672" t="s">
        <v>1533</v>
      </c>
      <c r="AM57" s="669">
        <f t="shared" si="9"/>
        <v>26.43</v>
      </c>
    </row>
    <row r="58" spans="1:39" s="500" customFormat="1">
      <c r="A58" s="542" t="s">
        <v>661</v>
      </c>
      <c r="B58" s="542" t="s">
        <v>1169</v>
      </c>
      <c r="C58" s="616"/>
      <c r="D58" s="519"/>
      <c r="E58" s="520"/>
      <c r="F58" s="726"/>
      <c r="G58" s="520"/>
      <c r="H58" s="520"/>
      <c r="I58" s="521"/>
      <c r="J58" s="521"/>
      <c r="K58" s="521"/>
      <c r="L58" s="514"/>
      <c r="M58" s="726"/>
      <c r="N58" s="514"/>
      <c r="O58" s="514"/>
      <c r="P58" s="514"/>
      <c r="Q58" s="522"/>
      <c r="R58" s="522"/>
      <c r="S58" s="514"/>
      <c r="T58" s="726"/>
      <c r="U58" s="514"/>
      <c r="V58" s="514"/>
      <c r="W58" s="514"/>
      <c r="X58" s="514"/>
      <c r="Y58" s="514"/>
      <c r="Z58" s="514"/>
      <c r="AA58" s="726"/>
      <c r="AB58" s="514"/>
      <c r="AC58" s="514"/>
      <c r="AD58" s="514"/>
      <c r="AE58" s="698"/>
      <c r="AF58" s="514"/>
      <c r="AG58" s="527"/>
      <c r="AH58" s="789"/>
      <c r="AI58" s="664">
        <f t="shared" si="7"/>
        <v>0</v>
      </c>
      <c r="AJ58" s="521">
        <v>0</v>
      </c>
      <c r="AK58" s="520">
        <f t="shared" si="8"/>
        <v>0</v>
      </c>
      <c r="AL58" s="672"/>
      <c r="AM58" s="669">
        <f t="shared" si="9"/>
        <v>0</v>
      </c>
    </row>
    <row r="59" spans="1:39" s="500" customFormat="1">
      <c r="A59" s="539" t="s">
        <v>673</v>
      </c>
      <c r="B59" s="539" t="s">
        <v>1181</v>
      </c>
      <c r="C59" s="616"/>
      <c r="D59" s="519"/>
      <c r="E59" s="520"/>
      <c r="F59" s="726"/>
      <c r="G59" s="520"/>
      <c r="H59" s="520"/>
      <c r="I59" s="521"/>
      <c r="J59" s="521"/>
      <c r="K59" s="521"/>
      <c r="L59" s="514"/>
      <c r="M59" s="726"/>
      <c r="N59" s="514"/>
      <c r="P59" s="514"/>
      <c r="Q59" s="522"/>
      <c r="R59" s="522"/>
      <c r="S59" s="514"/>
      <c r="T59" s="726"/>
      <c r="U59" s="514"/>
      <c r="V59" s="514"/>
      <c r="W59" s="514"/>
      <c r="X59" s="514"/>
      <c r="Y59" s="514"/>
      <c r="Z59" s="514"/>
      <c r="AA59" s="726"/>
      <c r="AB59" s="514"/>
      <c r="AC59" s="514"/>
      <c r="AD59" s="514"/>
      <c r="AE59" s="698"/>
      <c r="AF59" s="514"/>
      <c r="AG59" s="527"/>
      <c r="AH59" s="789"/>
      <c r="AI59" s="664">
        <f t="shared" ref="AI59:AI69" si="10">ROUND((SUM(D59:AH59)),2)</f>
        <v>0</v>
      </c>
      <c r="AJ59" s="521">
        <v>0</v>
      </c>
      <c r="AK59" s="520">
        <f t="shared" si="8"/>
        <v>0</v>
      </c>
      <c r="AL59" s="672"/>
      <c r="AM59" s="669">
        <f t="shared" si="9"/>
        <v>0</v>
      </c>
    </row>
    <row r="60" spans="1:39" s="500" customFormat="1">
      <c r="A60" s="539" t="s">
        <v>674</v>
      </c>
      <c r="B60" s="539" t="s">
        <v>1182</v>
      </c>
      <c r="C60" s="548" t="s">
        <v>40</v>
      </c>
      <c r="D60" s="519"/>
      <c r="E60" s="520"/>
      <c r="F60" s="726"/>
      <c r="G60" s="520"/>
      <c r="H60" s="520"/>
      <c r="I60" s="521"/>
      <c r="J60" s="521"/>
      <c r="K60" s="521"/>
      <c r="L60" s="514"/>
      <c r="M60" s="726"/>
      <c r="N60" s="514"/>
      <c r="O60" s="514"/>
      <c r="P60" s="976">
        <v>0.25</v>
      </c>
      <c r="Q60" s="522"/>
      <c r="R60" s="522"/>
      <c r="S60" s="514"/>
      <c r="T60" s="726"/>
      <c r="U60" s="514"/>
      <c r="V60" s="514"/>
      <c r="W60" s="514"/>
      <c r="X60" s="514"/>
      <c r="Y60" s="514"/>
      <c r="Z60" s="514"/>
      <c r="AA60" s="726"/>
      <c r="AB60" s="514"/>
      <c r="AC60" s="514"/>
      <c r="AD60" s="514"/>
      <c r="AE60" s="698"/>
      <c r="AF60" s="972">
        <f>4*0.25*0.25*2.45</f>
        <v>0.61250000000000004</v>
      </c>
      <c r="AG60" s="527"/>
      <c r="AH60" s="789"/>
      <c r="AI60" s="996">
        <f t="shared" si="10"/>
        <v>0.86</v>
      </c>
      <c r="AJ60" s="521">
        <v>0</v>
      </c>
      <c r="AK60" s="520">
        <f t="shared" si="8"/>
        <v>0.86</v>
      </c>
      <c r="AL60" s="672" t="s">
        <v>1542</v>
      </c>
      <c r="AM60" s="669">
        <f t="shared" si="9"/>
        <v>2.58</v>
      </c>
    </row>
    <row r="61" spans="1:39" s="500" customFormat="1">
      <c r="A61" s="539" t="s">
        <v>675</v>
      </c>
      <c r="B61" s="539" t="s">
        <v>1183</v>
      </c>
      <c r="C61" s="548" t="s">
        <v>37</v>
      </c>
      <c r="D61" s="519"/>
      <c r="E61" s="520"/>
      <c r="F61" s="726"/>
      <c r="G61" s="520"/>
      <c r="H61" s="520"/>
      <c r="I61" s="521"/>
      <c r="J61" s="521"/>
      <c r="K61" s="521"/>
      <c r="L61" s="514"/>
      <c r="M61" s="726"/>
      <c r="N61" s="514"/>
      <c r="O61" s="514"/>
      <c r="P61" s="976">
        <v>3.2</v>
      </c>
      <c r="Q61" s="522"/>
      <c r="R61" s="522"/>
      <c r="S61" s="514"/>
      <c r="T61" s="726"/>
      <c r="U61" s="514"/>
      <c r="V61" s="514"/>
      <c r="W61" s="514"/>
      <c r="X61" s="514"/>
      <c r="Y61" s="514"/>
      <c r="Z61" s="514"/>
      <c r="AA61" s="726"/>
      <c r="AB61" s="514"/>
      <c r="AC61" s="514"/>
      <c r="AD61" s="514"/>
      <c r="AE61" s="976">
        <f>(0.25+0.2+0.2)*2.45</f>
        <v>1.5925000000000002</v>
      </c>
      <c r="AF61" s="976">
        <f>4*(0.25+0.2+0.2)*2.45</f>
        <v>6.370000000000001</v>
      </c>
      <c r="AG61" s="527"/>
      <c r="AH61" s="789"/>
      <c r="AI61" s="996">
        <f t="shared" si="10"/>
        <v>11.16</v>
      </c>
      <c r="AJ61" s="521">
        <v>0</v>
      </c>
      <c r="AK61" s="520">
        <f t="shared" si="8"/>
        <v>11.16</v>
      </c>
      <c r="AL61" s="672" t="s">
        <v>1543</v>
      </c>
      <c r="AM61" s="669">
        <f t="shared" si="9"/>
        <v>10.3</v>
      </c>
    </row>
    <row r="62" spans="1:39" s="500" customFormat="1">
      <c r="A62" s="539" t="s">
        <v>676</v>
      </c>
      <c r="B62" s="539" t="s">
        <v>1184</v>
      </c>
      <c r="C62" s="548" t="s">
        <v>48</v>
      </c>
      <c r="D62" s="519"/>
      <c r="E62" s="520"/>
      <c r="F62" s="726"/>
      <c r="G62" s="520"/>
      <c r="H62" s="520"/>
      <c r="I62" s="521"/>
      <c r="J62" s="521"/>
      <c r="K62" s="521"/>
      <c r="L62" s="514"/>
      <c r="M62" s="726"/>
      <c r="N62" s="514"/>
      <c r="O62" s="514"/>
      <c r="P62" s="976">
        <v>21.22</v>
      </c>
      <c r="Q62" s="522"/>
      <c r="R62" s="522"/>
      <c r="S62" s="976">
        <v>15.96</v>
      </c>
      <c r="T62" s="726"/>
      <c r="U62" s="514"/>
      <c r="V62" s="514"/>
      <c r="W62" s="514"/>
      <c r="X62" s="514"/>
      <c r="Y62" s="514"/>
      <c r="Z62" s="514"/>
      <c r="AA62" s="726"/>
      <c r="AB62" s="514"/>
      <c r="AC62" s="514"/>
      <c r="AD62" s="976">
        <f>4*2.6*0.599+24*0.84*0.25</f>
        <v>11.269600000000001</v>
      </c>
      <c r="AE62" s="698"/>
      <c r="AF62" s="514"/>
      <c r="AG62" s="527"/>
      <c r="AH62" s="789"/>
      <c r="AI62" s="996">
        <f t="shared" si="10"/>
        <v>48.45</v>
      </c>
      <c r="AJ62" s="521">
        <v>0</v>
      </c>
      <c r="AK62" s="520">
        <f t="shared" si="8"/>
        <v>48.45</v>
      </c>
      <c r="AL62" s="672" t="s">
        <v>1544</v>
      </c>
      <c r="AM62" s="669">
        <f t="shared" si="9"/>
        <v>254.45</v>
      </c>
    </row>
    <row r="63" spans="1:39" s="500" customFormat="1">
      <c r="A63" s="542" t="s">
        <v>692</v>
      </c>
      <c r="B63" s="542" t="s">
        <v>1200</v>
      </c>
      <c r="C63" s="548"/>
      <c r="D63" s="519"/>
      <c r="E63" s="520"/>
      <c r="F63" s="726"/>
      <c r="G63" s="520"/>
      <c r="H63" s="520"/>
      <c r="I63" s="521"/>
      <c r="J63" s="521"/>
      <c r="K63" s="521"/>
      <c r="L63" s="514"/>
      <c r="M63" s="726"/>
      <c r="N63" s="514"/>
      <c r="O63" s="514"/>
      <c r="P63" s="514"/>
      <c r="Q63" s="522"/>
      <c r="R63" s="522"/>
      <c r="S63" s="514"/>
      <c r="T63" s="726"/>
      <c r="U63" s="514"/>
      <c r="V63" s="514"/>
      <c r="W63" s="514"/>
      <c r="X63" s="514"/>
      <c r="Y63" s="514"/>
      <c r="Z63" s="514"/>
      <c r="AA63" s="726"/>
      <c r="AB63" s="514"/>
      <c r="AC63" s="514"/>
      <c r="AD63" s="514"/>
      <c r="AE63" s="698"/>
      <c r="AF63" s="514"/>
      <c r="AG63" s="527"/>
      <c r="AH63" s="789"/>
      <c r="AI63" s="664">
        <f t="shared" si="10"/>
        <v>0</v>
      </c>
      <c r="AJ63" s="521">
        <v>0</v>
      </c>
      <c r="AK63" s="520">
        <f t="shared" si="8"/>
        <v>0</v>
      </c>
      <c r="AL63" s="672"/>
      <c r="AM63" s="669">
        <f t="shared" si="9"/>
        <v>0</v>
      </c>
    </row>
    <row r="64" spans="1:39" s="500" customFormat="1">
      <c r="A64" s="539" t="s">
        <v>694</v>
      </c>
      <c r="B64" s="539" t="s">
        <v>225</v>
      </c>
      <c r="C64" s="548" t="s">
        <v>1450</v>
      </c>
      <c r="D64" s="519"/>
      <c r="E64" s="520"/>
      <c r="F64" s="726"/>
      <c r="G64" s="520"/>
      <c r="H64" s="520"/>
      <c r="I64" s="521"/>
      <c r="J64" s="521"/>
      <c r="K64" s="521"/>
      <c r="L64" s="514"/>
      <c r="M64" s="726"/>
      <c r="N64" s="514"/>
      <c r="O64" s="514"/>
      <c r="P64" s="514"/>
      <c r="Q64" s="522"/>
      <c r="R64" s="522"/>
      <c r="S64" s="514"/>
      <c r="T64" s="726"/>
      <c r="U64" s="514"/>
      <c r="V64" s="514"/>
      <c r="W64" s="514"/>
      <c r="X64" s="514"/>
      <c r="Y64" s="514"/>
      <c r="Z64" s="514"/>
      <c r="AA64" s="726"/>
      <c r="AB64" s="514"/>
      <c r="AC64" s="514"/>
      <c r="AD64" s="514"/>
      <c r="AE64" s="698"/>
      <c r="AF64" s="514"/>
      <c r="AG64" s="971">
        <v>4</v>
      </c>
      <c r="AH64" s="790"/>
      <c r="AI64" s="996">
        <f t="shared" si="10"/>
        <v>4</v>
      </c>
      <c r="AJ64" s="521">
        <v>0</v>
      </c>
      <c r="AK64" s="520">
        <f t="shared" si="8"/>
        <v>4</v>
      </c>
      <c r="AL64" s="672" t="s">
        <v>1493</v>
      </c>
      <c r="AM64" s="669">
        <f t="shared" si="9"/>
        <v>11</v>
      </c>
    </row>
    <row r="65" spans="1:39" s="500" customFormat="1">
      <c r="A65" s="814" t="s">
        <v>516</v>
      </c>
      <c r="B65" s="815" t="s">
        <v>1210</v>
      </c>
      <c r="C65" s="844"/>
      <c r="D65" s="519"/>
      <c r="E65" s="520"/>
      <c r="F65" s="726"/>
      <c r="G65" s="520"/>
      <c r="H65" s="520"/>
      <c r="I65" s="521"/>
      <c r="J65" s="521"/>
      <c r="K65" s="521"/>
      <c r="L65" s="514"/>
      <c r="M65" s="726"/>
      <c r="N65" s="514"/>
      <c r="O65" s="514"/>
      <c r="P65" s="514"/>
      <c r="Q65" s="522"/>
      <c r="R65" s="522"/>
      <c r="S65" s="514"/>
      <c r="T65" s="726"/>
      <c r="U65" s="514"/>
      <c r="V65" s="514"/>
      <c r="W65" s="514"/>
      <c r="X65" s="514"/>
      <c r="Y65" s="514"/>
      <c r="Z65" s="514"/>
      <c r="AA65" s="726"/>
      <c r="AB65" s="514"/>
      <c r="AC65" s="514"/>
      <c r="AD65" s="514"/>
      <c r="AE65" s="698"/>
      <c r="AF65" s="514"/>
      <c r="AG65" s="527"/>
      <c r="AH65" s="789"/>
      <c r="AI65" s="786">
        <f t="shared" si="10"/>
        <v>0</v>
      </c>
      <c r="AJ65" s="725">
        <v>0</v>
      </c>
      <c r="AK65" s="520">
        <f t="shared" si="8"/>
        <v>0</v>
      </c>
      <c r="AL65" s="672"/>
      <c r="AM65" s="669">
        <f t="shared" si="9"/>
        <v>0</v>
      </c>
    </row>
    <row r="66" spans="1:39" s="500" customFormat="1">
      <c r="A66" s="542" t="s">
        <v>517</v>
      </c>
      <c r="B66" s="542" t="s">
        <v>46</v>
      </c>
      <c r="C66" s="616"/>
      <c r="D66" s="519"/>
      <c r="E66" s="520"/>
      <c r="F66" s="726"/>
      <c r="G66" s="520"/>
      <c r="H66" s="520"/>
      <c r="I66" s="521"/>
      <c r="J66" s="521"/>
      <c r="K66" s="521"/>
      <c r="L66" s="514"/>
      <c r="M66" s="726"/>
      <c r="N66" s="514"/>
      <c r="O66" s="514"/>
      <c r="P66" s="514"/>
      <c r="Q66" s="522"/>
      <c r="R66" s="522"/>
      <c r="S66" s="514"/>
      <c r="T66" s="726"/>
      <c r="U66" s="514"/>
      <c r="V66" s="514"/>
      <c r="W66" s="514"/>
      <c r="X66" s="514"/>
      <c r="Y66" s="514"/>
      <c r="Z66" s="514"/>
      <c r="AA66" s="726"/>
      <c r="AB66" s="514"/>
      <c r="AC66" s="514"/>
      <c r="AD66" s="514"/>
      <c r="AE66" s="698"/>
      <c r="AF66" s="514"/>
      <c r="AG66" s="527"/>
      <c r="AH66" s="789"/>
      <c r="AI66" s="664">
        <f t="shared" si="10"/>
        <v>0</v>
      </c>
      <c r="AJ66" s="521">
        <v>0</v>
      </c>
      <c r="AK66" s="520">
        <f t="shared" si="8"/>
        <v>0</v>
      </c>
      <c r="AL66" s="672"/>
      <c r="AM66" s="669">
        <f t="shared" si="9"/>
        <v>0</v>
      </c>
    </row>
    <row r="67" spans="1:39" s="500" customFormat="1">
      <c r="A67" s="539" t="s">
        <v>695</v>
      </c>
      <c r="B67" s="539" t="s">
        <v>1156</v>
      </c>
      <c r="C67" s="548" t="s">
        <v>40</v>
      </c>
      <c r="D67" s="963">
        <f>8*1.35*1.35*1.8+3*1.35*1.35*1.25</f>
        <v>33.078375000000008</v>
      </c>
      <c r="E67" s="520"/>
      <c r="F67" s="726"/>
      <c r="G67" s="520"/>
      <c r="H67" s="520"/>
      <c r="I67" s="521"/>
      <c r="J67" s="521"/>
      <c r="K67" s="521"/>
      <c r="L67" s="514"/>
      <c r="M67" s="726"/>
      <c r="N67" s="514"/>
      <c r="O67" s="514"/>
      <c r="P67" s="514"/>
      <c r="Q67" s="522"/>
      <c r="R67" s="522"/>
      <c r="S67" s="514"/>
      <c r="T67" s="726"/>
      <c r="U67" s="514"/>
      <c r="V67" s="514"/>
      <c r="W67" s="514"/>
      <c r="X67" s="514"/>
      <c r="Y67" s="514"/>
      <c r="Z67" s="514"/>
      <c r="AA67" s="726"/>
      <c r="AB67" s="514"/>
      <c r="AC67" s="514"/>
      <c r="AD67" s="514"/>
      <c r="AE67" s="698"/>
      <c r="AF67" s="514"/>
      <c r="AG67" s="527"/>
      <c r="AH67" s="789"/>
      <c r="AI67" s="996">
        <f t="shared" si="10"/>
        <v>33.08</v>
      </c>
      <c r="AJ67" s="521">
        <v>0</v>
      </c>
      <c r="AK67" s="520">
        <f t="shared" si="8"/>
        <v>33.08</v>
      </c>
      <c r="AL67" s="672" t="s">
        <v>1556</v>
      </c>
      <c r="AM67" s="669">
        <f t="shared" si="9"/>
        <v>6.7800000000000011</v>
      </c>
    </row>
    <row r="68" spans="1:39" s="500" customFormat="1">
      <c r="A68" s="539" t="s">
        <v>696</v>
      </c>
      <c r="B68" s="539" t="s">
        <v>1157</v>
      </c>
      <c r="C68" s="548" t="s">
        <v>40</v>
      </c>
      <c r="D68" s="963">
        <f>13.8*1.7*0.8-9.67</f>
        <v>9.0980000000000008</v>
      </c>
      <c r="E68" s="520"/>
      <c r="F68" s="726"/>
      <c r="G68" s="520"/>
      <c r="H68" s="520"/>
      <c r="I68" s="521"/>
      <c r="J68" s="521"/>
      <c r="K68" s="521"/>
      <c r="L68" s="514"/>
      <c r="M68" s="726"/>
      <c r="N68" s="514"/>
      <c r="O68" s="514"/>
      <c r="P68" s="514"/>
      <c r="Q68" s="522"/>
      <c r="R68" s="522"/>
      <c r="S68" s="514"/>
      <c r="T68" s="726"/>
      <c r="U68" s="514"/>
      <c r="V68" s="514"/>
      <c r="W68" s="514"/>
      <c r="X68" s="514"/>
      <c r="Y68" s="514"/>
      <c r="Z68" s="514"/>
      <c r="AA68" s="726"/>
      <c r="AB68" s="514"/>
      <c r="AC68" s="514"/>
      <c r="AD68" s="514"/>
      <c r="AE68" s="698"/>
      <c r="AF68" s="514"/>
      <c r="AG68" s="527"/>
      <c r="AH68" s="789"/>
      <c r="AI68" s="996">
        <f t="shared" si="10"/>
        <v>9.1</v>
      </c>
      <c r="AJ68" s="521">
        <v>0</v>
      </c>
      <c r="AK68" s="520">
        <f t="shared" si="8"/>
        <v>9.1</v>
      </c>
      <c r="AL68" s="672" t="s">
        <v>1557</v>
      </c>
      <c r="AM68" s="669">
        <f t="shared" si="9"/>
        <v>0</v>
      </c>
    </row>
    <row r="69" spans="1:39" s="500" customFormat="1">
      <c r="A69" s="539" t="s">
        <v>697</v>
      </c>
      <c r="B69" s="539" t="s">
        <v>1158</v>
      </c>
      <c r="C69" s="548" t="s">
        <v>40</v>
      </c>
      <c r="D69" s="519"/>
      <c r="E69" s="520"/>
      <c r="F69" s="726"/>
      <c r="G69" s="520"/>
      <c r="H69" s="968">
        <f>4.75*3.5*0.7</f>
        <v>11.637499999999999</v>
      </c>
      <c r="I69" s="521"/>
      <c r="J69" s="521"/>
      <c r="K69" s="521"/>
      <c r="L69" s="514"/>
      <c r="M69" s="726"/>
      <c r="N69" s="514"/>
      <c r="O69" s="514"/>
      <c r="P69" s="514"/>
      <c r="Q69" s="522"/>
      <c r="R69" s="972">
        <f>4.2*2*0.5-0.12</f>
        <v>4.08</v>
      </c>
      <c r="S69" s="514"/>
      <c r="T69" s="726"/>
      <c r="U69" s="514"/>
      <c r="V69" s="514"/>
      <c r="W69" s="514"/>
      <c r="X69" s="522"/>
      <c r="Y69" s="514"/>
      <c r="Z69" s="514"/>
      <c r="AA69" s="726"/>
      <c r="AB69" s="514"/>
      <c r="AC69" s="514"/>
      <c r="AD69" s="514"/>
      <c r="AE69" s="698"/>
      <c r="AF69" s="514"/>
      <c r="AG69" s="527"/>
      <c r="AH69" s="789"/>
      <c r="AI69" s="996">
        <f t="shared" si="10"/>
        <v>15.72</v>
      </c>
      <c r="AJ69" s="521">
        <v>0</v>
      </c>
      <c r="AK69" s="520">
        <f t="shared" si="8"/>
        <v>15.72</v>
      </c>
      <c r="AL69" s="672" t="s">
        <v>1558</v>
      </c>
      <c r="AM69" s="669">
        <f t="shared" si="9"/>
        <v>0</v>
      </c>
    </row>
    <row r="70" spans="1:39" s="500" customFormat="1">
      <c r="A70" s="539" t="s">
        <v>699</v>
      </c>
      <c r="B70" s="539" t="s">
        <v>1160</v>
      </c>
      <c r="C70" s="548" t="s">
        <v>40</v>
      </c>
      <c r="D70" s="525"/>
      <c r="E70" s="526"/>
      <c r="F70" s="731"/>
      <c r="G70" s="526"/>
      <c r="H70" s="520"/>
      <c r="I70" s="521"/>
      <c r="J70" s="967">
        <f>10.5*1.3</f>
        <v>13.65</v>
      </c>
      <c r="K70" s="967">
        <f>9.24*1.3</f>
        <v>12.012</v>
      </c>
      <c r="L70" s="972">
        <f>6.125*1.3</f>
        <v>7.9625000000000004</v>
      </c>
      <c r="M70" s="726"/>
      <c r="N70" s="514"/>
      <c r="O70" s="514"/>
      <c r="P70" s="514"/>
      <c r="Q70" s="522"/>
      <c r="R70" s="522"/>
      <c r="S70" s="514"/>
      <c r="T70" s="726"/>
      <c r="U70" s="514"/>
      <c r="V70" s="514"/>
      <c r="W70" s="514"/>
      <c r="X70" s="514"/>
      <c r="Y70" s="514"/>
      <c r="Z70" s="514"/>
      <c r="AA70" s="726"/>
      <c r="AB70" s="514"/>
      <c r="AC70" s="514"/>
      <c r="AD70" s="514"/>
      <c r="AE70" s="698"/>
      <c r="AF70" s="514"/>
      <c r="AG70" s="527"/>
      <c r="AH70" s="789"/>
      <c r="AI70" s="996">
        <f t="shared" ref="AI70:AI78" si="11">ROUND((SUM(D70:AH70)),2)</f>
        <v>33.619999999999997</v>
      </c>
      <c r="AJ70" s="521">
        <v>0</v>
      </c>
      <c r="AK70" s="520">
        <f t="shared" si="8"/>
        <v>33.619999999999997</v>
      </c>
      <c r="AL70" s="672" t="s">
        <v>1560</v>
      </c>
      <c r="AM70" s="669">
        <f t="shared" si="9"/>
        <v>7.9400000000000048</v>
      </c>
    </row>
    <row r="71" spans="1:39" s="500" customFormat="1">
      <c r="A71" s="542" t="s">
        <v>701</v>
      </c>
      <c r="B71" s="542" t="s">
        <v>1162</v>
      </c>
      <c r="C71" s="616"/>
      <c r="D71" s="519"/>
      <c r="E71" s="520"/>
      <c r="F71" s="726"/>
      <c r="G71" s="520"/>
      <c r="H71" s="520"/>
      <c r="I71" s="521"/>
      <c r="J71" s="521"/>
      <c r="K71" s="521"/>
      <c r="L71" s="514"/>
      <c r="M71" s="726"/>
      <c r="N71" s="514"/>
      <c r="O71" s="514"/>
      <c r="P71" s="514"/>
      <c r="Q71" s="522"/>
      <c r="R71" s="522"/>
      <c r="S71" s="514"/>
      <c r="T71" s="726"/>
      <c r="U71" s="514"/>
      <c r="V71" s="514"/>
      <c r="W71" s="514"/>
      <c r="X71" s="514"/>
      <c r="Y71" s="514"/>
      <c r="Z71" s="514"/>
      <c r="AA71" s="726"/>
      <c r="AB71" s="514"/>
      <c r="AC71" s="514"/>
      <c r="AD71" s="514"/>
      <c r="AE71" s="698"/>
      <c r="AF71" s="514"/>
      <c r="AG71" s="527"/>
      <c r="AH71" s="789"/>
      <c r="AI71" s="664">
        <f t="shared" si="11"/>
        <v>0</v>
      </c>
      <c r="AJ71" s="521">
        <v>0</v>
      </c>
      <c r="AK71" s="520">
        <f t="shared" si="8"/>
        <v>0</v>
      </c>
      <c r="AL71" s="672"/>
      <c r="AM71" s="669">
        <f t="shared" si="9"/>
        <v>0</v>
      </c>
    </row>
    <row r="72" spans="1:39" s="500" customFormat="1">
      <c r="A72" s="539" t="s">
        <v>702</v>
      </c>
      <c r="B72" s="539" t="s">
        <v>1163</v>
      </c>
      <c r="C72" s="548" t="s">
        <v>40</v>
      </c>
      <c r="D72" s="963">
        <f>3*1.35*1.35*1.25</f>
        <v>6.8343750000000014</v>
      </c>
      <c r="E72" s="520"/>
      <c r="F72" s="726"/>
      <c r="G72" s="520"/>
      <c r="H72" s="520"/>
      <c r="I72" s="521"/>
      <c r="J72" s="521"/>
      <c r="K72" s="521"/>
      <c r="L72" s="514"/>
      <c r="M72" s="726"/>
      <c r="N72" s="514"/>
      <c r="O72" s="514"/>
      <c r="P72" s="514"/>
      <c r="Q72" s="522"/>
      <c r="R72" s="522"/>
      <c r="S72" s="514"/>
      <c r="T72" s="726"/>
      <c r="U72" s="514"/>
      <c r="V72" s="514"/>
      <c r="W72" s="514"/>
      <c r="X72" s="514"/>
      <c r="Y72" s="514"/>
      <c r="Z72" s="514"/>
      <c r="AA72" s="726"/>
      <c r="AB72" s="514"/>
      <c r="AC72" s="514"/>
      <c r="AD72" s="514"/>
      <c r="AE72" s="698"/>
      <c r="AF72" s="514"/>
      <c r="AG72" s="527"/>
      <c r="AH72" s="789"/>
      <c r="AI72" s="996">
        <f t="shared" si="11"/>
        <v>6.83</v>
      </c>
      <c r="AJ72" s="521">
        <v>0</v>
      </c>
      <c r="AK72" s="520">
        <f t="shared" si="8"/>
        <v>6.83</v>
      </c>
      <c r="AL72" s="672" t="s">
        <v>1561</v>
      </c>
      <c r="AM72" s="669">
        <f t="shared" si="9"/>
        <v>13.450000000000001</v>
      </c>
    </row>
    <row r="73" spans="1:39" s="500" customFormat="1">
      <c r="A73" s="539" t="s">
        <v>703</v>
      </c>
      <c r="B73" s="539" t="s">
        <v>1203</v>
      </c>
      <c r="C73" s="548" t="s">
        <v>37</v>
      </c>
      <c r="D73" s="963">
        <f>8*1.35*1.35</f>
        <v>14.580000000000002</v>
      </c>
      <c r="E73" s="520"/>
      <c r="F73" s="726"/>
      <c r="G73" s="520"/>
      <c r="H73" s="520"/>
      <c r="I73" s="521"/>
      <c r="J73" s="521"/>
      <c r="K73" s="521"/>
      <c r="L73" s="514"/>
      <c r="M73" s="726"/>
      <c r="N73" s="514"/>
      <c r="O73" s="514"/>
      <c r="P73" s="514"/>
      <c r="Q73" s="522"/>
      <c r="R73" s="522"/>
      <c r="S73" s="514"/>
      <c r="T73" s="726"/>
      <c r="U73" s="514"/>
      <c r="V73" s="514"/>
      <c r="W73" s="514"/>
      <c r="X73" s="514"/>
      <c r="Y73" s="514"/>
      <c r="Z73" s="514"/>
      <c r="AA73" s="726"/>
      <c r="AB73" s="514"/>
      <c r="AC73" s="514"/>
      <c r="AD73" s="514"/>
      <c r="AE73" s="698"/>
      <c r="AF73" s="514"/>
      <c r="AG73" s="527"/>
      <c r="AH73" s="789"/>
      <c r="AI73" s="996">
        <f t="shared" si="11"/>
        <v>14.58</v>
      </c>
      <c r="AJ73" s="521">
        <v>0</v>
      </c>
      <c r="AK73" s="520">
        <f t="shared" si="8"/>
        <v>14.58</v>
      </c>
      <c r="AL73" s="672" t="s">
        <v>1562</v>
      </c>
      <c r="AM73" s="669">
        <f t="shared" si="9"/>
        <v>0.20999999999999908</v>
      </c>
    </row>
    <row r="74" spans="1:39" s="500" customFormat="1">
      <c r="A74" s="542" t="s">
        <v>708</v>
      </c>
      <c r="B74" s="542" t="s">
        <v>1169</v>
      </c>
      <c r="C74" s="616"/>
      <c r="D74" s="519"/>
      <c r="E74" s="520"/>
      <c r="F74" s="726"/>
      <c r="G74" s="520"/>
      <c r="H74" s="520"/>
      <c r="I74" s="521"/>
      <c r="J74" s="521"/>
      <c r="K74" s="521"/>
      <c r="L74" s="514"/>
      <c r="M74" s="726"/>
      <c r="N74" s="514"/>
      <c r="O74" s="514"/>
      <c r="P74" s="514"/>
      <c r="Q74" s="522"/>
      <c r="R74" s="522"/>
      <c r="S74" s="514"/>
      <c r="T74" s="726"/>
      <c r="U74" s="514"/>
      <c r="V74" s="514"/>
      <c r="W74" s="514"/>
      <c r="X74" s="514"/>
      <c r="Y74" s="514"/>
      <c r="Z74" s="514"/>
      <c r="AA74" s="726"/>
      <c r="AB74" s="514"/>
      <c r="AC74" s="514"/>
      <c r="AD74" s="514"/>
      <c r="AE74" s="698"/>
      <c r="AF74" s="514"/>
      <c r="AG74" s="527"/>
      <c r="AH74" s="789"/>
      <c r="AI74" s="664">
        <f t="shared" si="11"/>
        <v>0</v>
      </c>
      <c r="AJ74" s="521">
        <v>0</v>
      </c>
      <c r="AK74" s="520">
        <f t="shared" si="8"/>
        <v>0</v>
      </c>
      <c r="AL74" s="672"/>
      <c r="AM74" s="669">
        <f t="shared" si="9"/>
        <v>0</v>
      </c>
    </row>
    <row r="75" spans="1:39" s="500" customFormat="1">
      <c r="A75" s="539" t="s">
        <v>709</v>
      </c>
      <c r="B75" s="539" t="s">
        <v>1170</v>
      </c>
      <c r="C75" s="616"/>
      <c r="D75" s="519"/>
      <c r="E75" s="520"/>
      <c r="F75" s="726"/>
      <c r="G75" s="520"/>
      <c r="H75" s="520"/>
      <c r="I75" s="521"/>
      <c r="J75" s="521"/>
      <c r="K75" s="521"/>
      <c r="L75" s="514"/>
      <c r="M75" s="726"/>
      <c r="N75" s="514"/>
      <c r="O75" s="514"/>
      <c r="P75" s="514"/>
      <c r="Q75" s="522"/>
      <c r="R75" s="522"/>
      <c r="S75" s="514"/>
      <c r="T75" s="726"/>
      <c r="U75" s="514"/>
      <c r="V75" s="514"/>
      <c r="W75" s="514"/>
      <c r="X75" s="514"/>
      <c r="Y75" s="514"/>
      <c r="Z75" s="514"/>
      <c r="AA75" s="726"/>
      <c r="AB75" s="514"/>
      <c r="AC75" s="514"/>
      <c r="AD75" s="514"/>
      <c r="AE75" s="698"/>
      <c r="AF75" s="514"/>
      <c r="AG75" s="527"/>
      <c r="AH75" s="789"/>
      <c r="AI75" s="664">
        <f t="shared" si="11"/>
        <v>0</v>
      </c>
      <c r="AJ75" s="521">
        <v>0</v>
      </c>
      <c r="AK75" s="520">
        <f t="shared" si="8"/>
        <v>0</v>
      </c>
      <c r="AL75" s="672"/>
      <c r="AM75" s="669">
        <f t="shared" si="9"/>
        <v>0</v>
      </c>
    </row>
    <row r="76" spans="1:39" s="500" customFormat="1">
      <c r="A76" s="539" t="s">
        <v>710</v>
      </c>
      <c r="B76" s="539" t="s">
        <v>1206</v>
      </c>
      <c r="C76" s="548" t="s">
        <v>40</v>
      </c>
      <c r="D76" s="519"/>
      <c r="E76" s="965">
        <f>8*1.35*1.35*0.4-1.22</f>
        <v>4.612000000000001</v>
      </c>
      <c r="F76" s="726"/>
      <c r="G76" s="520"/>
      <c r="H76" s="520"/>
      <c r="I76" s="521"/>
      <c r="J76" s="521"/>
      <c r="K76" s="521"/>
      <c r="L76" s="514"/>
      <c r="M76" s="726"/>
      <c r="N76" s="514"/>
      <c r="O76" s="514"/>
      <c r="P76" s="514"/>
      <c r="Q76" s="522"/>
      <c r="R76" s="522"/>
      <c r="S76" s="514"/>
      <c r="T76" s="726"/>
      <c r="U76" s="514"/>
      <c r="V76" s="514"/>
      <c r="W76" s="514"/>
      <c r="X76" s="514"/>
      <c r="Y76" s="514"/>
      <c r="Z76" s="514"/>
      <c r="AA76" s="726"/>
      <c r="AB76" s="514"/>
      <c r="AC76" s="514"/>
      <c r="AD76" s="514"/>
      <c r="AE76" s="698"/>
      <c r="AF76" s="514"/>
      <c r="AG76" s="527"/>
      <c r="AH76" s="789"/>
      <c r="AI76" s="996">
        <f t="shared" si="11"/>
        <v>4.6100000000000003</v>
      </c>
      <c r="AJ76" s="521">
        <v>0</v>
      </c>
      <c r="AK76" s="520">
        <f t="shared" si="8"/>
        <v>4.6100000000000003</v>
      </c>
      <c r="AL76" s="672" t="s">
        <v>1470</v>
      </c>
      <c r="AM76" s="669">
        <f t="shared" si="9"/>
        <v>0</v>
      </c>
    </row>
    <row r="77" spans="1:39" s="500" customFormat="1">
      <c r="A77" s="539" t="s">
        <v>711</v>
      </c>
      <c r="B77" s="539" t="s">
        <v>1172</v>
      </c>
      <c r="C77" s="548" t="s">
        <v>48</v>
      </c>
      <c r="D77" s="519"/>
      <c r="E77" s="965">
        <f>8*20.86</f>
        <v>166.88</v>
      </c>
      <c r="F77" s="726"/>
      <c r="G77" s="520"/>
      <c r="H77" s="520"/>
      <c r="I77" s="521"/>
      <c r="J77" s="521"/>
      <c r="K77" s="521"/>
      <c r="L77" s="514"/>
      <c r="M77" s="726"/>
      <c r="N77" s="514"/>
      <c r="O77" s="514"/>
      <c r="P77" s="514"/>
      <c r="Q77" s="522"/>
      <c r="R77" s="522"/>
      <c r="S77" s="514"/>
      <c r="T77" s="726"/>
      <c r="U77" s="514"/>
      <c r="V77" s="514"/>
      <c r="W77" s="514"/>
      <c r="X77" s="514"/>
      <c r="Y77" s="514"/>
      <c r="Z77" s="514"/>
      <c r="AA77" s="726"/>
      <c r="AB77" s="514"/>
      <c r="AC77" s="514"/>
      <c r="AD77" s="514"/>
      <c r="AE77" s="698"/>
      <c r="AF77" s="514"/>
      <c r="AG77" s="527"/>
      <c r="AH77" s="789"/>
      <c r="AI77" s="996">
        <f t="shared" si="11"/>
        <v>166.88</v>
      </c>
      <c r="AJ77" s="521">
        <v>0</v>
      </c>
      <c r="AK77" s="520">
        <f t="shared" si="8"/>
        <v>166.88</v>
      </c>
      <c r="AL77" s="672" t="s">
        <v>1471</v>
      </c>
      <c r="AM77" s="669">
        <f t="shared" si="9"/>
        <v>25.819999999999993</v>
      </c>
    </row>
    <row r="78" spans="1:39" s="500" customFormat="1">
      <c r="A78" s="539" t="s">
        <v>712</v>
      </c>
      <c r="B78" s="539" t="s">
        <v>1173</v>
      </c>
      <c r="C78" s="616"/>
      <c r="D78" s="519"/>
      <c r="E78" s="520"/>
      <c r="F78" s="726"/>
      <c r="G78" s="520"/>
      <c r="H78" s="520"/>
      <c r="I78" s="521"/>
      <c r="J78" s="521"/>
      <c r="K78" s="521"/>
      <c r="L78" s="514"/>
      <c r="M78" s="726"/>
      <c r="N78" s="514"/>
      <c r="O78" s="514"/>
      <c r="P78" s="514"/>
      <c r="Q78" s="522"/>
      <c r="R78" s="522"/>
      <c r="S78" s="514"/>
      <c r="T78" s="726"/>
      <c r="U78" s="514"/>
      <c r="V78" s="514"/>
      <c r="W78" s="514"/>
      <c r="X78" s="514"/>
      <c r="Y78" s="514"/>
      <c r="Z78" s="514"/>
      <c r="AA78" s="726"/>
      <c r="AB78" s="514"/>
      <c r="AC78" s="514"/>
      <c r="AD78" s="514"/>
      <c r="AE78" s="698"/>
      <c r="AF78" s="514"/>
      <c r="AG78" s="527"/>
      <c r="AH78" s="789"/>
      <c r="AI78" s="664">
        <f t="shared" si="11"/>
        <v>0</v>
      </c>
      <c r="AJ78" s="521">
        <v>0</v>
      </c>
      <c r="AK78" s="520">
        <f t="shared" si="8"/>
        <v>0</v>
      </c>
      <c r="AL78" s="672"/>
      <c r="AM78" s="669">
        <f t="shared" si="9"/>
        <v>0</v>
      </c>
    </row>
    <row r="79" spans="1:39" s="500" customFormat="1">
      <c r="A79" s="539" t="s">
        <v>713</v>
      </c>
      <c r="B79" s="539" t="s">
        <v>1207</v>
      </c>
      <c r="C79" s="548" t="s">
        <v>40</v>
      </c>
      <c r="E79" s="520"/>
      <c r="F79" s="726"/>
      <c r="G79" s="962">
        <f>6.18*0.4*0.25</f>
        <v>0.61799999999999999</v>
      </c>
      <c r="H79" s="520"/>
      <c r="I79" s="968">
        <f>5.24*0.4*0.25*2+6.18*0.4*0.25*2-6.18*0.4*0.25-0.09</f>
        <v>1.5759999999999998</v>
      </c>
      <c r="J79" s="521"/>
      <c r="K79" s="521"/>
      <c r="L79" s="514"/>
      <c r="M79" s="726"/>
      <c r="N79" s="514"/>
      <c r="O79" s="514"/>
      <c r="P79" s="514"/>
      <c r="Q79" s="522"/>
      <c r="R79" s="522"/>
      <c r="S79" s="514"/>
      <c r="T79" s="726"/>
      <c r="U79" s="514"/>
      <c r="V79" s="514"/>
      <c r="W79" s="514"/>
      <c r="X79" s="514"/>
      <c r="Y79" s="514"/>
      <c r="Z79" s="514"/>
      <c r="AA79" s="726"/>
      <c r="AB79" s="514"/>
      <c r="AC79" s="514"/>
      <c r="AD79" s="514"/>
      <c r="AE79" s="698"/>
      <c r="AF79" s="514"/>
      <c r="AG79" s="527"/>
      <c r="AH79" s="789"/>
      <c r="AI79" s="996">
        <f>ROUND((SUM(E79:AH79)),2)</f>
        <v>2.19</v>
      </c>
      <c r="AJ79" s="521">
        <v>0</v>
      </c>
      <c r="AK79" s="520">
        <f t="shared" si="8"/>
        <v>2.19</v>
      </c>
      <c r="AL79" s="672" t="s">
        <v>1566</v>
      </c>
      <c r="AM79" s="669">
        <f t="shared" si="9"/>
        <v>0</v>
      </c>
    </row>
    <row r="80" spans="1:39" s="500" customFormat="1">
      <c r="A80" s="539" t="s">
        <v>714</v>
      </c>
      <c r="B80" s="539" t="s">
        <v>1175</v>
      </c>
      <c r="C80" s="548" t="s">
        <v>37</v>
      </c>
      <c r="F80" s="726"/>
      <c r="G80" s="969">
        <f>6.18*0.4*2</f>
        <v>4.944</v>
      </c>
      <c r="H80" s="964">
        <f>(22.84-6.18+19.64-5.38)*0.4-6.18*0.4*2</f>
        <v>7.4240000000000004</v>
      </c>
      <c r="I80" s="967">
        <v>5.12</v>
      </c>
      <c r="J80" s="521"/>
      <c r="K80" s="521"/>
      <c r="L80" s="514"/>
      <c r="M80" s="726"/>
      <c r="N80" s="514"/>
      <c r="O80" s="514"/>
      <c r="P80" s="514"/>
      <c r="Q80" s="522"/>
      <c r="R80" s="522"/>
      <c r="S80" s="514"/>
      <c r="T80" s="726"/>
      <c r="U80" s="514"/>
      <c r="V80" s="514"/>
      <c r="W80" s="514"/>
      <c r="X80" s="514"/>
      <c r="Y80" s="514"/>
      <c r="Z80" s="514"/>
      <c r="AA80" s="726"/>
      <c r="AB80" s="514"/>
      <c r="AC80" s="514"/>
      <c r="AD80" s="514"/>
      <c r="AE80" s="698"/>
      <c r="AF80" s="514"/>
      <c r="AG80" s="527"/>
      <c r="AH80" s="789"/>
      <c r="AI80" s="996">
        <f>ROUND((SUM(E80:AH80)),2)</f>
        <v>17.489999999999998</v>
      </c>
      <c r="AJ80" s="521">
        <v>0</v>
      </c>
      <c r="AK80" s="520">
        <f t="shared" si="8"/>
        <v>17.489999999999998</v>
      </c>
      <c r="AL80" s="672" t="s">
        <v>1567</v>
      </c>
      <c r="AM80" s="669">
        <f t="shared" si="9"/>
        <v>0</v>
      </c>
    </row>
    <row r="81" spans="1:39" s="500" customFormat="1">
      <c r="A81" s="539" t="s">
        <v>715</v>
      </c>
      <c r="B81" s="539" t="s">
        <v>1176</v>
      </c>
      <c r="C81" s="548" t="s">
        <v>48</v>
      </c>
      <c r="D81" s="672"/>
      <c r="E81" s="518"/>
      <c r="F81" s="731"/>
      <c r="G81" s="964">
        <f>245.53-38.31-66.28+38.31</f>
        <v>179.25</v>
      </c>
      <c r="H81" s="520"/>
      <c r="I81" s="521"/>
      <c r="J81" s="521"/>
      <c r="K81" s="521"/>
      <c r="L81" s="514"/>
      <c r="M81" s="726"/>
      <c r="N81" s="514"/>
      <c r="O81" s="514"/>
      <c r="P81" s="514"/>
      <c r="Q81" s="522"/>
      <c r="R81" s="522"/>
      <c r="S81" s="514"/>
      <c r="T81" s="726"/>
      <c r="U81" s="514"/>
      <c r="V81" s="514"/>
      <c r="W81" s="514"/>
      <c r="X81" s="514"/>
      <c r="Y81" s="514"/>
      <c r="Z81" s="514"/>
      <c r="AA81" s="726"/>
      <c r="AB81" s="514"/>
      <c r="AC81" s="514"/>
      <c r="AD81" s="514"/>
      <c r="AE81" s="698"/>
      <c r="AF81" s="514"/>
      <c r="AG81" s="527"/>
      <c r="AH81" s="789"/>
      <c r="AI81" s="996">
        <f t="shared" ref="AI81:AI103" si="12">ROUND((SUM(D81:AH81)),2)</f>
        <v>179.25</v>
      </c>
      <c r="AJ81" s="521">
        <v>0</v>
      </c>
      <c r="AK81" s="520">
        <f t="shared" si="8"/>
        <v>179.25</v>
      </c>
      <c r="AL81" s="672" t="s">
        <v>1568</v>
      </c>
      <c r="AM81" s="669">
        <f t="shared" si="9"/>
        <v>0</v>
      </c>
    </row>
    <row r="82" spans="1:39" s="500" customFormat="1">
      <c r="A82" s="539" t="s">
        <v>716</v>
      </c>
      <c r="B82" s="539" t="s">
        <v>1177</v>
      </c>
      <c r="C82" s="616"/>
      <c r="D82" s="519"/>
      <c r="E82" s="520"/>
      <c r="F82" s="726"/>
      <c r="G82" s="520"/>
      <c r="H82" s="520"/>
      <c r="I82" s="521"/>
      <c r="J82" s="521"/>
      <c r="K82" s="521"/>
      <c r="L82" s="514"/>
      <c r="M82" s="726"/>
      <c r="N82" s="514"/>
      <c r="O82" s="514"/>
      <c r="P82" s="514"/>
      <c r="Q82" s="522"/>
      <c r="R82" s="522"/>
      <c r="S82" s="514"/>
      <c r="T82" s="726"/>
      <c r="U82" s="514"/>
      <c r="V82" s="514"/>
      <c r="W82" s="514"/>
      <c r="X82" s="514"/>
      <c r="Y82" s="514"/>
      <c r="Z82" s="514"/>
      <c r="AA82" s="726"/>
      <c r="AB82" s="514"/>
      <c r="AC82" s="514"/>
      <c r="AD82" s="514"/>
      <c r="AE82" s="698"/>
      <c r="AF82" s="514"/>
      <c r="AG82" s="527"/>
      <c r="AH82" s="789"/>
      <c r="AI82" s="664">
        <f t="shared" si="12"/>
        <v>0</v>
      </c>
      <c r="AJ82" s="521">
        <v>0</v>
      </c>
      <c r="AK82" s="520">
        <f t="shared" si="8"/>
        <v>0</v>
      </c>
      <c r="AL82" s="672"/>
      <c r="AM82" s="669">
        <f t="shared" si="9"/>
        <v>0</v>
      </c>
    </row>
    <row r="83" spans="1:39" s="500" customFormat="1">
      <c r="A83" s="539" t="s">
        <v>717</v>
      </c>
      <c r="B83" s="539" t="s">
        <v>1208</v>
      </c>
      <c r="C83" s="548" t="s">
        <v>40</v>
      </c>
      <c r="D83" s="519"/>
      <c r="E83" s="520"/>
      <c r="F83" s="726"/>
      <c r="G83" s="520"/>
      <c r="I83" s="521"/>
      <c r="J83" s="968">
        <f>8*0.25*0.25*3.5</f>
        <v>1.75</v>
      </c>
      <c r="K83" s="521"/>
      <c r="L83" s="514"/>
      <c r="M83" s="726"/>
      <c r="N83" s="514"/>
      <c r="O83" s="514"/>
      <c r="P83" s="514"/>
      <c r="Q83" s="522"/>
      <c r="R83" s="522"/>
      <c r="S83" s="514"/>
      <c r="T83" s="726"/>
      <c r="U83" s="514"/>
      <c r="V83" s="514"/>
      <c r="W83" s="514"/>
      <c r="X83" s="514"/>
      <c r="Y83" s="514"/>
      <c r="Z83" s="514"/>
      <c r="AA83" s="726"/>
      <c r="AB83" s="514"/>
      <c r="AC83" s="514"/>
      <c r="AD83" s="514"/>
      <c r="AE83" s="698"/>
      <c r="AF83" s="514"/>
      <c r="AG83" s="527"/>
      <c r="AH83" s="789"/>
      <c r="AI83" s="996">
        <f t="shared" si="12"/>
        <v>1.75</v>
      </c>
      <c r="AJ83" s="521">
        <v>0</v>
      </c>
      <c r="AK83" s="520">
        <f t="shared" si="8"/>
        <v>1.75</v>
      </c>
      <c r="AL83" s="672" t="s">
        <v>1532</v>
      </c>
      <c r="AM83" s="669">
        <f t="shared" si="9"/>
        <v>0.43000000000000016</v>
      </c>
    </row>
    <row r="84" spans="1:39" s="500" customFormat="1">
      <c r="A84" s="539" t="s">
        <v>718</v>
      </c>
      <c r="B84" s="539" t="s">
        <v>1179</v>
      </c>
      <c r="C84" s="548" t="s">
        <v>37</v>
      </c>
      <c r="D84" s="519"/>
      <c r="E84" s="520"/>
      <c r="F84" s="726"/>
      <c r="G84" s="520"/>
      <c r="H84" s="520"/>
      <c r="I84" s="521"/>
      <c r="J84" s="968">
        <f>8*3.5*1</f>
        <v>28</v>
      </c>
      <c r="K84" s="521"/>
      <c r="L84" s="514"/>
      <c r="M84" s="726"/>
      <c r="N84" s="514"/>
      <c r="O84" s="514"/>
      <c r="P84" s="514"/>
      <c r="Q84" s="522"/>
      <c r="R84" s="522"/>
      <c r="S84" s="514"/>
      <c r="T84" s="726"/>
      <c r="U84" s="514"/>
      <c r="V84" s="514"/>
      <c r="W84" s="514"/>
      <c r="X84" s="514"/>
      <c r="Y84" s="514"/>
      <c r="Z84" s="514"/>
      <c r="AA84" s="726"/>
      <c r="AB84" s="514"/>
      <c r="AC84" s="514"/>
      <c r="AD84" s="514"/>
      <c r="AE84" s="698"/>
      <c r="AF84" s="514"/>
      <c r="AG84" s="527"/>
      <c r="AH84" s="789"/>
      <c r="AI84" s="996">
        <f t="shared" si="12"/>
        <v>28</v>
      </c>
      <c r="AJ84" s="521">
        <v>0</v>
      </c>
      <c r="AK84" s="520">
        <f t="shared" ref="AK84:AK118" si="13">AI84+AJ84</f>
        <v>28</v>
      </c>
      <c r="AL84" s="672" t="s">
        <v>1569</v>
      </c>
      <c r="AM84" s="669">
        <f t="shared" ref="AM84:AM118" si="14">AL84-AK84</f>
        <v>6.7999999999999972</v>
      </c>
    </row>
    <row r="85" spans="1:39" s="500" customFormat="1">
      <c r="A85" s="539" t="s">
        <v>719</v>
      </c>
      <c r="B85" s="539" t="s">
        <v>1180</v>
      </c>
      <c r="C85" s="548" t="s">
        <v>48</v>
      </c>
      <c r="D85" s="519"/>
      <c r="E85" s="968">
        <f>8*58.57-153.9</f>
        <v>314.65999999999997</v>
      </c>
      <c r="F85" s="726"/>
      <c r="G85" s="520"/>
      <c r="H85" s="520"/>
      <c r="I85" s="521"/>
      <c r="J85" s="521"/>
      <c r="K85" s="521"/>
      <c r="L85" s="514"/>
      <c r="M85" s="726"/>
      <c r="N85" s="514"/>
      <c r="O85" s="514"/>
      <c r="P85" s="514"/>
      <c r="Q85" s="522"/>
      <c r="R85" s="522"/>
      <c r="S85" s="514"/>
      <c r="T85" s="726"/>
      <c r="U85" s="514"/>
      <c r="V85" s="514"/>
      <c r="W85" s="514"/>
      <c r="X85" s="514"/>
      <c r="Y85" s="514"/>
      <c r="Z85" s="514"/>
      <c r="AA85" s="726"/>
      <c r="AB85" s="514"/>
      <c r="AC85" s="514"/>
      <c r="AD85" s="514"/>
      <c r="AE85" s="698"/>
      <c r="AF85" s="514"/>
      <c r="AG85" s="527"/>
      <c r="AH85" s="789"/>
      <c r="AI85" s="996">
        <f t="shared" si="12"/>
        <v>314.66000000000003</v>
      </c>
      <c r="AJ85" s="521">
        <v>0</v>
      </c>
      <c r="AK85" s="520">
        <f t="shared" si="13"/>
        <v>314.66000000000003</v>
      </c>
      <c r="AL85" s="672" t="s">
        <v>1570</v>
      </c>
      <c r="AM85" s="669">
        <f t="shared" si="14"/>
        <v>0</v>
      </c>
    </row>
    <row r="86" spans="1:39" s="500" customFormat="1">
      <c r="A86" s="539" t="s">
        <v>724</v>
      </c>
      <c r="B86" s="539" t="s">
        <v>1185</v>
      </c>
      <c r="C86" s="616"/>
      <c r="D86" s="519"/>
      <c r="E86" s="520"/>
      <c r="F86" s="726"/>
      <c r="G86" s="520"/>
      <c r="H86" s="520"/>
      <c r="I86" s="521"/>
      <c r="J86" s="521"/>
      <c r="K86" s="521"/>
      <c r="L86" s="514"/>
      <c r="M86" s="726"/>
      <c r="N86" s="514"/>
      <c r="O86" s="514"/>
      <c r="P86" s="514"/>
      <c r="Q86" s="522"/>
      <c r="R86" s="522"/>
      <c r="S86" s="514"/>
      <c r="T86" s="726"/>
      <c r="U86" s="514"/>
      <c r="V86" s="514"/>
      <c r="W86" s="514"/>
      <c r="X86" s="514"/>
      <c r="Y86" s="514"/>
      <c r="Z86" s="514"/>
      <c r="AA86" s="726"/>
      <c r="AB86" s="514"/>
      <c r="AC86" s="514"/>
      <c r="AD86" s="514"/>
      <c r="AE86" s="698"/>
      <c r="AF86" s="514"/>
      <c r="AG86" s="527"/>
      <c r="AH86" s="789"/>
      <c r="AI86" s="664">
        <f t="shared" si="12"/>
        <v>0</v>
      </c>
      <c r="AJ86" s="521">
        <v>0</v>
      </c>
      <c r="AK86" s="520">
        <f t="shared" si="13"/>
        <v>0</v>
      </c>
      <c r="AL86" s="672"/>
      <c r="AM86" s="669">
        <f t="shared" si="14"/>
        <v>0</v>
      </c>
    </row>
    <row r="87" spans="1:39" s="500" customFormat="1">
      <c r="A87" s="539" t="s">
        <v>725</v>
      </c>
      <c r="B87" s="539" t="s">
        <v>1186</v>
      </c>
      <c r="C87" s="548" t="s">
        <v>40</v>
      </c>
      <c r="D87" s="519"/>
      <c r="E87" s="520"/>
      <c r="F87" s="726"/>
      <c r="G87" s="520"/>
      <c r="H87" s="520"/>
      <c r="I87" s="521"/>
      <c r="J87" s="521"/>
      <c r="K87" s="521"/>
      <c r="L87" s="514"/>
      <c r="M87" s="726"/>
      <c r="N87" s="514"/>
      <c r="O87" s="976">
        <f>5.24*0.4*0.25</f>
        <v>0.52400000000000002</v>
      </c>
      <c r="P87" s="514"/>
      <c r="Q87" s="976">
        <v>0.52</v>
      </c>
      <c r="R87" s="522"/>
      <c r="S87" s="514"/>
      <c r="T87" s="726"/>
      <c r="U87" s="514"/>
      <c r="V87" s="514"/>
      <c r="W87" s="514"/>
      <c r="X87" s="514"/>
      <c r="Y87" s="514"/>
      <c r="Z87" s="514"/>
      <c r="AA87" s="726"/>
      <c r="AB87" s="514"/>
      <c r="AC87" s="976">
        <f>(3.46*0.25*0.4*3+6.16*0.25*0.4*2+3*0.4*0.25+2+2.37*0.4*0.25*2)-0.49</f>
        <v>4.5540000000000003</v>
      </c>
      <c r="AD87" s="514"/>
      <c r="AE87" s="698"/>
      <c r="AF87" s="514"/>
      <c r="AG87" s="527"/>
      <c r="AH87" s="789"/>
      <c r="AI87" s="996">
        <f t="shared" si="12"/>
        <v>5.6</v>
      </c>
      <c r="AJ87" s="521">
        <v>0</v>
      </c>
      <c r="AK87" s="520">
        <f t="shared" si="13"/>
        <v>5.6</v>
      </c>
      <c r="AL87" s="672" t="s">
        <v>1571</v>
      </c>
      <c r="AM87" s="669">
        <f t="shared" si="14"/>
        <v>0</v>
      </c>
    </row>
    <row r="88" spans="1:39" s="500" customFormat="1">
      <c r="A88" s="539" t="s">
        <v>726</v>
      </c>
      <c r="B88" s="539" t="s">
        <v>1187</v>
      </c>
      <c r="C88" s="548" t="s">
        <v>37</v>
      </c>
      <c r="D88" s="519"/>
      <c r="E88" s="520"/>
      <c r="F88" s="726"/>
      <c r="G88" s="520"/>
      <c r="H88" s="520"/>
      <c r="I88" s="521"/>
      <c r="J88" s="521"/>
      <c r="K88" s="521"/>
      <c r="L88" s="514"/>
      <c r="M88" s="726"/>
      <c r="N88" s="514"/>
      <c r="O88" s="976">
        <f>5.24*0.25+5.24*0.4*2</f>
        <v>5.5020000000000007</v>
      </c>
      <c r="P88" s="514"/>
      <c r="Q88" s="976">
        <v>5.5</v>
      </c>
      <c r="R88" s="972">
        <f>10*0.25*3</f>
        <v>7.5</v>
      </c>
      <c r="S88" s="522"/>
      <c r="T88" s="726"/>
      <c r="U88" s="514"/>
      <c r="V88" s="514"/>
      <c r="W88" s="514"/>
      <c r="X88" s="976">
        <f>29*0.25</f>
        <v>7.25</v>
      </c>
      <c r="Y88" s="976">
        <f>29*0.4</f>
        <v>11.600000000000001</v>
      </c>
      <c r="Z88" s="976">
        <v>11.4</v>
      </c>
      <c r="AA88" s="726"/>
      <c r="AB88" s="514"/>
      <c r="AC88" s="514"/>
      <c r="AD88" s="514"/>
      <c r="AE88" s="698"/>
      <c r="AF88" s="514"/>
      <c r="AG88" s="527"/>
      <c r="AH88" s="789"/>
      <c r="AI88" s="996">
        <f t="shared" si="12"/>
        <v>48.75</v>
      </c>
      <c r="AJ88" s="521">
        <v>0</v>
      </c>
      <c r="AK88" s="520">
        <f t="shared" si="13"/>
        <v>48.75</v>
      </c>
      <c r="AL88" s="672" t="s">
        <v>1572</v>
      </c>
      <c r="AM88" s="669">
        <f t="shared" si="14"/>
        <v>0</v>
      </c>
    </row>
    <row r="89" spans="1:39" s="500" customFormat="1" ht="13.5">
      <c r="A89" s="539" t="s">
        <v>727</v>
      </c>
      <c r="B89" s="539" t="s">
        <v>1188</v>
      </c>
      <c r="C89" s="548" t="s">
        <v>48</v>
      </c>
      <c r="D89" s="519"/>
      <c r="E89" s="520"/>
      <c r="F89" s="726"/>
      <c r="G89" s="520"/>
      <c r="H89" s="520"/>
      <c r="I89" s="521"/>
      <c r="J89" s="521"/>
      <c r="K89" s="521"/>
      <c r="L89" s="514"/>
      <c r="M89" s="726"/>
      <c r="N89" s="514"/>
      <c r="O89" s="976">
        <v>86.76</v>
      </c>
      <c r="P89" s="514"/>
      <c r="Q89" s="976">
        <v>87.76</v>
      </c>
      <c r="R89" s="976">
        <v>85.56</v>
      </c>
      <c r="S89" s="522"/>
      <c r="T89" s="726"/>
      <c r="U89" s="514"/>
      <c r="V89" s="514"/>
      <c r="W89" s="514"/>
      <c r="X89" s="522"/>
      <c r="Y89" s="976">
        <v>100</v>
      </c>
      <c r="Z89" s="982">
        <v>282.01</v>
      </c>
      <c r="AA89" s="726"/>
      <c r="AB89" s="514"/>
      <c r="AC89" s="514"/>
      <c r="AD89" s="514"/>
      <c r="AE89" s="698"/>
      <c r="AF89" s="514"/>
      <c r="AG89" s="527"/>
      <c r="AH89" s="789"/>
      <c r="AI89" s="996">
        <f t="shared" si="12"/>
        <v>642.09</v>
      </c>
      <c r="AJ89" s="521">
        <v>0</v>
      </c>
      <c r="AK89" s="520">
        <f t="shared" si="13"/>
        <v>642.09</v>
      </c>
      <c r="AL89" s="672" t="s">
        <v>1573</v>
      </c>
      <c r="AM89" s="669">
        <f t="shared" si="14"/>
        <v>0</v>
      </c>
    </row>
    <row r="90" spans="1:39" s="500" customFormat="1">
      <c r="A90" s="539" t="s">
        <v>728</v>
      </c>
      <c r="B90" s="539" t="s">
        <v>1189</v>
      </c>
      <c r="C90" s="616"/>
      <c r="D90" s="519"/>
      <c r="E90" s="520"/>
      <c r="F90" s="726"/>
      <c r="G90" s="520"/>
      <c r="H90" s="520"/>
      <c r="I90" s="521"/>
      <c r="J90" s="521"/>
      <c r="K90" s="521"/>
      <c r="L90" s="514"/>
      <c r="M90" s="726"/>
      <c r="N90" s="514"/>
      <c r="O90" s="514"/>
      <c r="P90" s="514"/>
      <c r="Q90" s="522"/>
      <c r="S90" s="514"/>
      <c r="T90" s="726"/>
      <c r="U90" s="514"/>
      <c r="V90" s="514"/>
      <c r="W90" s="514"/>
      <c r="X90" s="522"/>
      <c r="Y90" s="514"/>
      <c r="Z90" s="514"/>
      <c r="AA90" s="726"/>
      <c r="AB90" s="514"/>
      <c r="AC90" s="514"/>
      <c r="AD90" s="514"/>
      <c r="AE90" s="698"/>
      <c r="AF90" s="514"/>
      <c r="AG90" s="527"/>
      <c r="AH90" s="789"/>
      <c r="AI90" s="664">
        <f t="shared" si="12"/>
        <v>0</v>
      </c>
      <c r="AJ90" s="521">
        <v>0</v>
      </c>
      <c r="AK90" s="520">
        <f t="shared" si="13"/>
        <v>0</v>
      </c>
      <c r="AL90" s="672"/>
      <c r="AM90" s="669">
        <f t="shared" si="14"/>
        <v>0</v>
      </c>
    </row>
    <row r="91" spans="1:39" s="500" customFormat="1">
      <c r="A91" s="539" t="s">
        <v>729</v>
      </c>
      <c r="B91" s="539" t="s">
        <v>1190</v>
      </c>
      <c r="C91" s="548" t="s">
        <v>40</v>
      </c>
      <c r="D91" s="519"/>
      <c r="E91" s="520"/>
      <c r="F91" s="726"/>
      <c r="G91" s="520"/>
      <c r="H91" s="520"/>
      <c r="I91" s="521"/>
      <c r="J91" s="521"/>
      <c r="K91" s="521"/>
      <c r="L91" s="514"/>
      <c r="M91" s="726"/>
      <c r="N91" s="514"/>
      <c r="O91" s="514"/>
      <c r="P91" s="514"/>
      <c r="Q91" s="522"/>
      <c r="R91" s="522"/>
      <c r="S91" s="514"/>
      <c r="T91" s="726"/>
      <c r="U91" s="514"/>
      <c r="V91" s="514"/>
      <c r="W91" s="514"/>
      <c r="X91" s="522"/>
      <c r="Y91" s="514"/>
      <c r="Z91" s="514"/>
      <c r="AA91" s="726"/>
      <c r="AB91" s="514"/>
      <c r="AC91" s="976">
        <f>(7.36*2*0.2*0.2+3.46*0.2*0.2*2+8*0.1*0.15*6.96+(3.46+0.7)*7.36*0.05+7*0.1*0.15*2.47+7*0.1*0.15*0.4+4.2*2.37*0.05)-0.67</f>
        <v>3.3607300000000002</v>
      </c>
      <c r="AD91" s="514"/>
      <c r="AE91" s="698"/>
      <c r="AF91" s="514"/>
      <c r="AG91" s="527"/>
      <c r="AH91" s="789"/>
      <c r="AI91" s="996">
        <f t="shared" si="12"/>
        <v>3.36</v>
      </c>
      <c r="AJ91" s="521">
        <v>0</v>
      </c>
      <c r="AK91" s="520">
        <f t="shared" si="13"/>
        <v>3.36</v>
      </c>
      <c r="AL91" s="672" t="s">
        <v>1574</v>
      </c>
      <c r="AM91" s="669">
        <f t="shared" si="14"/>
        <v>0</v>
      </c>
    </row>
    <row r="92" spans="1:39" s="500" customFormat="1">
      <c r="A92" s="539" t="s">
        <v>730</v>
      </c>
      <c r="B92" s="539" t="s">
        <v>1191</v>
      </c>
      <c r="C92" s="548" t="s">
        <v>37</v>
      </c>
      <c r="D92" s="519"/>
      <c r="E92" s="520"/>
      <c r="F92" s="726"/>
      <c r="G92" s="520"/>
      <c r="H92" s="520"/>
      <c r="I92" s="521"/>
      <c r="J92" s="521"/>
      <c r="K92" s="521"/>
      <c r="L92" s="514"/>
      <c r="M92" s="726"/>
      <c r="N92" s="514"/>
      <c r="O92" s="514"/>
      <c r="P92" s="514"/>
      <c r="Q92" s="522"/>
      <c r="R92" s="522"/>
      <c r="S92" s="514"/>
      <c r="T92" s="726"/>
      <c r="U92" s="514"/>
      <c r="V92" s="514"/>
      <c r="W92" s="514"/>
      <c r="X92" s="522"/>
      <c r="Y92" s="976">
        <v>15</v>
      </c>
      <c r="Z92" s="976">
        <v>15</v>
      </c>
      <c r="AA92" s="726"/>
      <c r="AB92" s="976">
        <f>7.4*0.6</f>
        <v>4.4400000000000004</v>
      </c>
      <c r="AC92" s="976">
        <f>(2*4.76*0.2+2*7.36*0.2+2*4.2*0.2+2*2.37*0.2)-3.57</f>
        <v>3.906000000000001</v>
      </c>
      <c r="AD92" s="514"/>
      <c r="AE92" s="698"/>
      <c r="AF92" s="514"/>
      <c r="AG92" s="527"/>
      <c r="AH92" s="789"/>
      <c r="AI92" s="996">
        <f t="shared" si="12"/>
        <v>38.35</v>
      </c>
      <c r="AJ92" s="521">
        <v>0</v>
      </c>
      <c r="AK92" s="520">
        <f t="shared" si="13"/>
        <v>38.35</v>
      </c>
      <c r="AL92" s="672" t="s">
        <v>1575</v>
      </c>
      <c r="AM92" s="669">
        <f t="shared" si="14"/>
        <v>0</v>
      </c>
    </row>
    <row r="93" spans="1:39" s="500" customFormat="1">
      <c r="A93" s="539" t="s">
        <v>731</v>
      </c>
      <c r="B93" s="539" t="s">
        <v>1192</v>
      </c>
      <c r="C93" s="548" t="s">
        <v>48</v>
      </c>
      <c r="D93" s="519"/>
      <c r="E93" s="520"/>
      <c r="F93" s="726"/>
      <c r="G93" s="520"/>
      <c r="H93" s="520"/>
      <c r="I93" s="521"/>
      <c r="J93" s="521"/>
      <c r="K93" s="521"/>
      <c r="L93" s="514"/>
      <c r="M93" s="726"/>
      <c r="N93" s="514"/>
      <c r="O93" s="514"/>
      <c r="P93" s="514"/>
      <c r="Q93" s="522"/>
      <c r="R93" s="522"/>
      <c r="S93" s="514"/>
      <c r="T93" s="726"/>
      <c r="U93" s="514"/>
      <c r="V93" s="514"/>
      <c r="W93" s="514"/>
      <c r="X93" s="522"/>
      <c r="Y93" s="976">
        <v>65.34</v>
      </c>
      <c r="Z93" s="976">
        <v>65.34</v>
      </c>
      <c r="AA93" s="726"/>
      <c r="AB93" s="976">
        <f>2*14*0.99+0.65*140*0.599+4*7.35*0.99+0.65*74*0.599</f>
        <v>140.14689999999999</v>
      </c>
      <c r="AC93" s="976">
        <f>(20.24+20.82)-34.93</f>
        <v>6.1300000000000026</v>
      </c>
      <c r="AD93" s="514"/>
      <c r="AE93" s="698"/>
      <c r="AF93" s="514"/>
      <c r="AG93" s="527"/>
      <c r="AH93" s="789"/>
      <c r="AI93" s="996">
        <f t="shared" si="12"/>
        <v>276.95999999999998</v>
      </c>
      <c r="AJ93" s="521">
        <v>0</v>
      </c>
      <c r="AK93" s="520">
        <f t="shared" si="13"/>
        <v>276.95999999999998</v>
      </c>
      <c r="AL93" s="672" t="s">
        <v>1576</v>
      </c>
      <c r="AM93" s="669">
        <f t="shared" si="14"/>
        <v>0</v>
      </c>
    </row>
    <row r="94" spans="1:39" s="500" customFormat="1">
      <c r="A94" s="539" t="s">
        <v>732</v>
      </c>
      <c r="B94" s="539" t="s">
        <v>1193</v>
      </c>
      <c r="C94" s="548" t="s">
        <v>1450</v>
      </c>
      <c r="D94" s="519"/>
      <c r="E94" s="520"/>
      <c r="F94" s="726"/>
      <c r="G94" s="520"/>
      <c r="H94" s="520"/>
      <c r="I94" s="521"/>
      <c r="J94" s="521"/>
      <c r="K94" s="521"/>
      <c r="L94" s="514"/>
      <c r="M94" s="726"/>
      <c r="N94" s="514"/>
      <c r="O94" s="514"/>
      <c r="P94" s="514"/>
      <c r="Q94" s="522"/>
      <c r="R94" s="522"/>
      <c r="S94" s="514"/>
      <c r="T94" s="726"/>
      <c r="U94" s="514"/>
      <c r="V94" s="514"/>
      <c r="W94" s="514"/>
      <c r="X94" s="522"/>
      <c r="Y94" s="514"/>
      <c r="Z94" s="514"/>
      <c r="AA94" s="726"/>
      <c r="AB94" s="522"/>
      <c r="AC94" s="976">
        <v>245</v>
      </c>
      <c r="AD94" s="514"/>
      <c r="AE94" s="698"/>
      <c r="AF94" s="514"/>
      <c r="AG94" s="527"/>
      <c r="AH94" s="789"/>
      <c r="AI94" s="996">
        <f t="shared" si="12"/>
        <v>245</v>
      </c>
      <c r="AJ94" s="521">
        <v>0</v>
      </c>
      <c r="AK94" s="520">
        <f t="shared" si="13"/>
        <v>245</v>
      </c>
      <c r="AL94" s="672" t="s">
        <v>1577</v>
      </c>
      <c r="AM94" s="669">
        <f t="shared" si="14"/>
        <v>74.480000000000018</v>
      </c>
    </row>
    <row r="95" spans="1:39" s="500" customFormat="1">
      <c r="A95" s="542" t="s">
        <v>739</v>
      </c>
      <c r="B95" s="542" t="s">
        <v>1200</v>
      </c>
      <c r="C95" s="548"/>
      <c r="D95" s="519"/>
      <c r="E95" s="520"/>
      <c r="F95" s="726"/>
      <c r="G95" s="520"/>
      <c r="H95" s="520"/>
      <c r="I95" s="521"/>
      <c r="J95" s="521"/>
      <c r="K95" s="521"/>
      <c r="L95" s="514"/>
      <c r="M95" s="726"/>
      <c r="N95" s="514"/>
      <c r="O95" s="514"/>
      <c r="P95" s="514"/>
      <c r="Q95" s="522"/>
      <c r="R95" s="522"/>
      <c r="S95" s="514"/>
      <c r="T95" s="726"/>
      <c r="U95" s="514"/>
      <c r="V95" s="514"/>
      <c r="W95" s="514"/>
      <c r="X95" s="514"/>
      <c r="Y95" s="514"/>
      <c r="Z95" s="514"/>
      <c r="AA95" s="726"/>
      <c r="AB95" s="514"/>
      <c r="AC95" s="514"/>
      <c r="AD95" s="514"/>
      <c r="AE95" s="698"/>
      <c r="AF95" s="514"/>
      <c r="AG95" s="527"/>
      <c r="AH95" s="789"/>
      <c r="AI95" s="664">
        <f t="shared" si="12"/>
        <v>0</v>
      </c>
      <c r="AJ95" s="521">
        <v>0</v>
      </c>
      <c r="AK95" s="520">
        <f t="shared" si="13"/>
        <v>0</v>
      </c>
      <c r="AL95" s="672"/>
      <c r="AM95" s="669">
        <f t="shared" si="14"/>
        <v>0</v>
      </c>
    </row>
    <row r="96" spans="1:39" s="500" customFormat="1">
      <c r="A96" s="539" t="s">
        <v>741</v>
      </c>
      <c r="B96" s="539" t="s">
        <v>225</v>
      </c>
      <c r="C96" s="548" t="s">
        <v>1450</v>
      </c>
      <c r="D96" s="519"/>
      <c r="E96" s="520"/>
      <c r="F96" s="726"/>
      <c r="G96" s="520"/>
      <c r="H96" s="520"/>
      <c r="I96" s="521"/>
      <c r="J96" s="521"/>
      <c r="K96" s="521"/>
      <c r="L96" s="514"/>
      <c r="M96" s="726"/>
      <c r="N96" s="514"/>
      <c r="O96" s="514"/>
      <c r="P96" s="514"/>
      <c r="Q96" s="522"/>
      <c r="R96" s="522"/>
      <c r="S96" s="514"/>
      <c r="T96" s="726"/>
      <c r="U96" s="514"/>
      <c r="V96" s="514"/>
      <c r="W96" s="514"/>
      <c r="X96" s="514"/>
      <c r="Y96" s="514"/>
      <c r="Z96" s="514"/>
      <c r="AA96" s="726"/>
      <c r="AB96" s="514"/>
      <c r="AC96" s="514"/>
      <c r="AD96" s="514"/>
      <c r="AE96" s="698"/>
      <c r="AF96" s="514"/>
      <c r="AG96" s="971">
        <v>2</v>
      </c>
      <c r="AH96" s="790"/>
      <c r="AI96" s="996">
        <f t="shared" si="12"/>
        <v>2</v>
      </c>
      <c r="AJ96" s="521">
        <v>0</v>
      </c>
      <c r="AK96" s="520">
        <f t="shared" si="13"/>
        <v>2</v>
      </c>
      <c r="AL96" s="672" t="s">
        <v>1493</v>
      </c>
      <c r="AM96" s="669">
        <f t="shared" si="14"/>
        <v>13</v>
      </c>
    </row>
    <row r="97" spans="1:39" s="730" customFormat="1">
      <c r="A97" s="814" t="s">
        <v>742</v>
      </c>
      <c r="B97" s="815" t="s">
        <v>1211</v>
      </c>
      <c r="C97" s="844"/>
      <c r="D97" s="519"/>
      <c r="E97" s="520"/>
      <c r="F97" s="726"/>
      <c r="G97" s="520"/>
      <c r="H97" s="520"/>
      <c r="I97" s="521"/>
      <c r="J97" s="521"/>
      <c r="K97" s="521"/>
      <c r="L97" s="514"/>
      <c r="M97" s="726"/>
      <c r="N97" s="514"/>
      <c r="O97" s="514"/>
      <c r="P97" s="514"/>
      <c r="Q97" s="522"/>
      <c r="R97" s="522"/>
      <c r="S97" s="514"/>
      <c r="T97" s="726"/>
      <c r="U97" s="514"/>
      <c r="V97" s="514"/>
      <c r="W97" s="514"/>
      <c r="X97" s="514"/>
      <c r="Y97" s="514"/>
      <c r="Z97" s="514"/>
      <c r="AA97" s="726"/>
      <c r="AB97" s="514"/>
      <c r="AC97" s="514"/>
      <c r="AD97" s="514"/>
      <c r="AE97" s="698"/>
      <c r="AF97" s="514"/>
      <c r="AG97" s="527"/>
      <c r="AH97" s="789"/>
      <c r="AI97" s="664">
        <f t="shared" si="12"/>
        <v>0</v>
      </c>
      <c r="AJ97" s="725">
        <v>0</v>
      </c>
      <c r="AK97" s="726">
        <f t="shared" si="13"/>
        <v>0</v>
      </c>
      <c r="AL97" s="728"/>
      <c r="AM97" s="729">
        <f t="shared" si="14"/>
        <v>0</v>
      </c>
    </row>
    <row r="98" spans="1:39" s="500" customFormat="1">
      <c r="A98" s="542" t="s">
        <v>743</v>
      </c>
      <c r="B98" s="542" t="s">
        <v>46</v>
      </c>
      <c r="C98" s="616"/>
      <c r="D98" s="519"/>
      <c r="E98" s="520"/>
      <c r="F98" s="726"/>
      <c r="G98" s="520"/>
      <c r="H98" s="520"/>
      <c r="I98" s="521"/>
      <c r="J98" s="521"/>
      <c r="K98" s="521"/>
      <c r="L98" s="514"/>
      <c r="M98" s="726"/>
      <c r="N98" s="514"/>
      <c r="O98" s="514"/>
      <c r="P98" s="514"/>
      <c r="Q98" s="522"/>
      <c r="R98" s="522"/>
      <c r="S98" s="514"/>
      <c r="T98" s="726"/>
      <c r="U98" s="514"/>
      <c r="V98" s="514"/>
      <c r="W98" s="514"/>
      <c r="X98" s="514"/>
      <c r="Y98" s="514"/>
      <c r="Z98" s="514"/>
      <c r="AA98" s="726"/>
      <c r="AB98" s="514"/>
      <c r="AC98" s="514"/>
      <c r="AD98" s="514"/>
      <c r="AE98" s="698"/>
      <c r="AF98" s="514"/>
      <c r="AG98" s="527"/>
      <c r="AH98" s="789"/>
      <c r="AI98" s="664">
        <f t="shared" si="12"/>
        <v>0</v>
      </c>
      <c r="AJ98" s="521">
        <v>0</v>
      </c>
      <c r="AK98" s="520">
        <f t="shared" si="13"/>
        <v>0</v>
      </c>
      <c r="AL98" s="672"/>
      <c r="AM98" s="669">
        <f t="shared" si="14"/>
        <v>0</v>
      </c>
    </row>
    <row r="99" spans="1:39" s="500" customFormat="1">
      <c r="A99" s="539" t="s">
        <v>744</v>
      </c>
      <c r="B99" s="539" t="s">
        <v>1212</v>
      </c>
      <c r="C99" s="548" t="s">
        <v>40</v>
      </c>
      <c r="D99" s="519"/>
      <c r="E99" s="968">
        <f>1.1*1.1*1</f>
        <v>1.2100000000000002</v>
      </c>
      <c r="F99" s="726"/>
      <c r="G99" s="520"/>
      <c r="H99" s="520"/>
      <c r="I99" s="521"/>
      <c r="J99" s="521"/>
      <c r="K99" s="521"/>
      <c r="L99" s="514"/>
      <c r="M99" s="726"/>
      <c r="N99" s="514"/>
      <c r="O99" s="514"/>
      <c r="P99" s="514"/>
      <c r="Q99" s="522"/>
      <c r="R99" s="522"/>
      <c r="S99" s="514"/>
      <c r="T99" s="726"/>
      <c r="U99" s="514"/>
      <c r="V99" s="522"/>
      <c r="W99" s="514"/>
      <c r="X99" s="976">
        <f>3.5*3*1.3</f>
        <v>13.65</v>
      </c>
      <c r="Y99" s="514"/>
      <c r="Z99" s="514"/>
      <c r="AA99" s="726"/>
      <c r="AB99" s="522"/>
      <c r="AC99" s="514"/>
      <c r="AD99" s="514"/>
      <c r="AE99" s="698"/>
      <c r="AF99" s="514"/>
      <c r="AG99" s="527"/>
      <c r="AH99" s="789"/>
      <c r="AI99" s="996">
        <f t="shared" si="12"/>
        <v>14.86</v>
      </c>
      <c r="AJ99" s="521">
        <v>0</v>
      </c>
      <c r="AK99" s="520">
        <f t="shared" si="13"/>
        <v>14.86</v>
      </c>
      <c r="AL99" s="695" t="s">
        <v>1583</v>
      </c>
      <c r="AM99" s="669">
        <f t="shared" si="14"/>
        <v>452.53</v>
      </c>
    </row>
    <row r="100" spans="1:39" s="500" customFormat="1">
      <c r="A100" s="542" t="s">
        <v>748</v>
      </c>
      <c r="B100" s="542" t="s">
        <v>1169</v>
      </c>
      <c r="C100" s="616"/>
      <c r="D100" s="519"/>
      <c r="E100" s="520"/>
      <c r="F100" s="726"/>
      <c r="G100" s="520"/>
      <c r="H100" s="520"/>
      <c r="I100" s="521"/>
      <c r="J100" s="521"/>
      <c r="K100" s="521"/>
      <c r="L100" s="514"/>
      <c r="M100" s="726"/>
      <c r="N100" s="522"/>
      <c r="O100" s="522"/>
      <c r="P100" s="514"/>
      <c r="Q100" s="522"/>
      <c r="R100" s="522"/>
      <c r="S100" s="514"/>
      <c r="T100" s="726"/>
      <c r="U100" s="514"/>
      <c r="V100" s="514"/>
      <c r="W100" s="514"/>
      <c r="X100" s="514"/>
      <c r="Y100" s="514"/>
      <c r="Z100" s="514"/>
      <c r="AA100" s="726"/>
      <c r="AB100" s="514"/>
      <c r="AC100" s="514"/>
      <c r="AD100" s="514"/>
      <c r="AE100" s="698"/>
      <c r="AF100" s="514"/>
      <c r="AG100" s="527"/>
      <c r="AH100" s="789"/>
      <c r="AI100" s="664">
        <f t="shared" si="12"/>
        <v>0</v>
      </c>
      <c r="AJ100" s="521">
        <v>0</v>
      </c>
      <c r="AK100" s="520">
        <f t="shared" si="13"/>
        <v>0</v>
      </c>
      <c r="AL100" s="695"/>
      <c r="AM100" s="669">
        <f t="shared" si="14"/>
        <v>0</v>
      </c>
    </row>
    <row r="101" spans="1:39" s="500" customFormat="1">
      <c r="A101" s="539" t="s">
        <v>749</v>
      </c>
      <c r="B101" s="539" t="s">
        <v>1177</v>
      </c>
      <c r="C101" s="616"/>
      <c r="D101" s="519"/>
      <c r="E101" s="520"/>
      <c r="F101" s="726"/>
      <c r="G101" s="520"/>
      <c r="H101" s="520"/>
      <c r="I101" s="521"/>
      <c r="J101" s="521"/>
      <c r="K101" s="521"/>
      <c r="L101" s="514"/>
      <c r="M101" s="726"/>
      <c r="N101" s="522"/>
      <c r="O101" s="522"/>
      <c r="P101" s="514"/>
      <c r="Q101" s="522"/>
      <c r="R101" s="522"/>
      <c r="S101" s="514"/>
      <c r="T101" s="726"/>
      <c r="U101" s="514"/>
      <c r="V101" s="514"/>
      <c r="W101" s="514"/>
      <c r="X101" s="514"/>
      <c r="Y101" s="514"/>
      <c r="Z101" s="514"/>
      <c r="AA101" s="726"/>
      <c r="AB101" s="514"/>
      <c r="AC101" s="514"/>
      <c r="AD101" s="514"/>
      <c r="AE101" s="698"/>
      <c r="AF101" s="514"/>
      <c r="AG101" s="527"/>
      <c r="AH101" s="789"/>
      <c r="AI101" s="664">
        <f t="shared" si="12"/>
        <v>0</v>
      </c>
      <c r="AJ101" s="521">
        <v>0</v>
      </c>
      <c r="AK101" s="520">
        <f t="shared" si="13"/>
        <v>0</v>
      </c>
      <c r="AL101" s="695"/>
      <c r="AM101" s="669">
        <f t="shared" si="14"/>
        <v>0</v>
      </c>
    </row>
    <row r="102" spans="1:39" s="500" customFormat="1">
      <c r="A102" s="539" t="s">
        <v>750</v>
      </c>
      <c r="B102" s="539" t="s">
        <v>1208</v>
      </c>
      <c r="C102" s="548" t="s">
        <v>40</v>
      </c>
      <c r="D102" s="519"/>
      <c r="E102" s="520"/>
      <c r="F102" s="726"/>
      <c r="G102" s="520"/>
      <c r="H102" s="520"/>
      <c r="I102" s="521"/>
      <c r="J102" s="521"/>
      <c r="K102" s="967">
        <f>0.25*0.3*3.8</f>
        <v>0.28499999999999998</v>
      </c>
      <c r="L102" s="522"/>
      <c r="M102" s="726"/>
      <c r="N102" s="521"/>
      <c r="P102" s="667"/>
      <c r="Q102" s="667"/>
      <c r="R102" s="667"/>
      <c r="S102" s="522"/>
      <c r="T102" s="726"/>
      <c r="U102" s="522"/>
      <c r="V102" s="522"/>
      <c r="W102" s="667"/>
      <c r="X102" s="667"/>
      <c r="Y102" s="522"/>
      <c r="Z102" s="667"/>
      <c r="AA102" s="726"/>
      <c r="AB102" s="667"/>
      <c r="AC102" s="667"/>
      <c r="AD102" s="667"/>
      <c r="AE102" s="521"/>
      <c r="AF102" s="521"/>
      <c r="AG102" s="521"/>
      <c r="AH102" s="790"/>
      <c r="AI102" s="996">
        <f t="shared" si="12"/>
        <v>0.28999999999999998</v>
      </c>
      <c r="AJ102" s="521">
        <v>0</v>
      </c>
      <c r="AK102" s="520">
        <f t="shared" si="13"/>
        <v>0.28999999999999998</v>
      </c>
      <c r="AL102" s="695" t="s">
        <v>1586</v>
      </c>
      <c r="AM102" s="669">
        <f t="shared" si="14"/>
        <v>4.5999999999999996</v>
      </c>
    </row>
    <row r="103" spans="1:39" s="500" customFormat="1">
      <c r="A103" s="539" t="s">
        <v>751</v>
      </c>
      <c r="B103" s="539" t="s">
        <v>1179</v>
      </c>
      <c r="C103" s="548" t="s">
        <v>37</v>
      </c>
      <c r="D103" s="519"/>
      <c r="E103" s="520"/>
      <c r="F103" s="726"/>
      <c r="G103" s="520"/>
      <c r="H103" s="520"/>
      <c r="I103" s="521"/>
      <c r="J103" s="521"/>
      <c r="K103" s="967">
        <f>8*3.8*0.39</f>
        <v>11.856</v>
      </c>
      <c r="L103" s="514"/>
      <c r="M103" s="726"/>
      <c r="N103" s="522"/>
      <c r="O103" s="521"/>
      <c r="P103" s="527"/>
      <c r="Q103" s="521"/>
      <c r="R103" s="521"/>
      <c r="S103" s="521"/>
      <c r="T103" s="726"/>
      <c r="U103" s="521"/>
      <c r="V103" s="521"/>
      <c r="W103" s="527"/>
      <c r="X103" s="521"/>
      <c r="Y103" s="527"/>
      <c r="Z103" s="527"/>
      <c r="AA103" s="726"/>
      <c r="AB103" s="527"/>
      <c r="AC103" s="521"/>
      <c r="AD103" s="527"/>
      <c r="AE103" s="868"/>
      <c r="AF103" s="527"/>
      <c r="AG103" s="527"/>
      <c r="AH103" s="789"/>
      <c r="AI103" s="996">
        <f t="shared" si="12"/>
        <v>11.86</v>
      </c>
      <c r="AJ103" s="521">
        <v>0</v>
      </c>
      <c r="AK103" s="520">
        <f t="shared" si="13"/>
        <v>11.86</v>
      </c>
      <c r="AL103" s="695" t="s">
        <v>1587</v>
      </c>
      <c r="AM103" s="669">
        <f t="shared" si="14"/>
        <v>64.83</v>
      </c>
    </row>
    <row r="104" spans="1:39" s="730" customFormat="1">
      <c r="A104" s="814" t="s">
        <v>763</v>
      </c>
      <c r="B104" s="815" t="s">
        <v>1217</v>
      </c>
      <c r="C104" s="844"/>
      <c r="D104" s="519"/>
      <c r="E104" s="520"/>
      <c r="F104" s="726"/>
      <c r="G104" s="520"/>
      <c r="H104" s="520"/>
      <c r="I104" s="521"/>
      <c r="J104" s="521"/>
      <c r="K104" s="521"/>
      <c r="L104" s="514"/>
      <c r="M104" s="726"/>
      <c r="N104" s="514"/>
      <c r="O104" s="514"/>
      <c r="P104" s="514"/>
      <c r="Q104" s="522"/>
      <c r="R104" s="522"/>
      <c r="S104" s="514"/>
      <c r="T104" s="726"/>
      <c r="U104" s="514"/>
      <c r="V104" s="514"/>
      <c r="W104" s="514"/>
      <c r="X104" s="514"/>
      <c r="Y104" s="514"/>
      <c r="Z104" s="514"/>
      <c r="AA104" s="726"/>
      <c r="AB104" s="514"/>
      <c r="AC104" s="514"/>
      <c r="AD104" s="514"/>
      <c r="AE104" s="698"/>
      <c r="AF104" s="514"/>
      <c r="AG104" s="527"/>
      <c r="AH104" s="789"/>
      <c r="AI104" s="664">
        <f t="shared" ref="AI104:AI126" si="15">ROUND((SUM(D104:AH104)),2)</f>
        <v>0</v>
      </c>
      <c r="AJ104" s="725">
        <v>0</v>
      </c>
      <c r="AK104" s="726">
        <f t="shared" si="13"/>
        <v>0</v>
      </c>
      <c r="AL104" s="847"/>
      <c r="AM104" s="729">
        <f t="shared" si="14"/>
        <v>0</v>
      </c>
    </row>
    <row r="105" spans="1:39" s="500" customFormat="1">
      <c r="A105" s="542" t="s">
        <v>764</v>
      </c>
      <c r="B105" s="542" t="s">
        <v>46</v>
      </c>
      <c r="C105" s="616"/>
      <c r="D105" s="519"/>
      <c r="E105" s="520"/>
      <c r="F105" s="726"/>
      <c r="G105" s="520"/>
      <c r="H105" s="520"/>
      <c r="I105" s="521"/>
      <c r="J105" s="521"/>
      <c r="K105" s="521"/>
      <c r="L105" s="514"/>
      <c r="M105" s="726"/>
      <c r="N105" s="514"/>
      <c r="O105" s="514"/>
      <c r="P105" s="514"/>
      <c r="Q105" s="522"/>
      <c r="R105" s="522"/>
      <c r="S105" s="514"/>
      <c r="T105" s="726"/>
      <c r="U105" s="514"/>
      <c r="V105" s="514"/>
      <c r="W105" s="514"/>
      <c r="X105" s="514"/>
      <c r="Y105" s="514"/>
      <c r="Z105" s="514"/>
      <c r="AA105" s="726"/>
      <c r="AB105" s="514"/>
      <c r="AC105" s="514"/>
      <c r="AD105" s="514"/>
      <c r="AE105" s="698"/>
      <c r="AF105" s="514"/>
      <c r="AG105" s="527"/>
      <c r="AH105" s="789"/>
      <c r="AI105" s="664">
        <f t="shared" si="15"/>
        <v>0</v>
      </c>
      <c r="AJ105" s="521">
        <v>0</v>
      </c>
      <c r="AK105" s="520">
        <f t="shared" si="13"/>
        <v>0</v>
      </c>
      <c r="AL105" s="695"/>
      <c r="AM105" s="669">
        <f t="shared" si="14"/>
        <v>0</v>
      </c>
    </row>
    <row r="106" spans="1:39" s="500" customFormat="1">
      <c r="A106" s="539" t="s">
        <v>765</v>
      </c>
      <c r="B106" s="539" t="s">
        <v>1212</v>
      </c>
      <c r="C106" s="548" t="s">
        <v>40</v>
      </c>
      <c r="D106" s="963">
        <f>5*2.75*1.4</f>
        <v>19.25</v>
      </c>
      <c r="E106" s="520"/>
      <c r="F106" s="726"/>
      <c r="G106" s="520"/>
      <c r="H106" s="520"/>
      <c r="I106" s="521"/>
      <c r="J106" s="521"/>
      <c r="K106" s="521"/>
      <c r="L106" s="514"/>
      <c r="M106" s="726"/>
      <c r="N106" s="514"/>
      <c r="O106" s="514"/>
      <c r="P106" s="514"/>
      <c r="Q106" s="522"/>
      <c r="R106" s="522"/>
      <c r="S106" s="522"/>
      <c r="T106" s="726"/>
      <c r="U106" s="514"/>
      <c r="V106" s="514"/>
      <c r="W106" s="514"/>
      <c r="X106" s="514"/>
      <c r="Y106" s="976">
        <f>2.5*3*1</f>
        <v>7.5</v>
      </c>
      <c r="Z106" s="976">
        <f>1*3*1.8</f>
        <v>5.4</v>
      </c>
      <c r="AA106" s="726"/>
      <c r="AB106" s="514"/>
      <c r="AC106" s="514"/>
      <c r="AD106" s="514"/>
      <c r="AE106" s="698"/>
      <c r="AF106" s="514"/>
      <c r="AG106" s="971">
        <f>3*1.5*2</f>
        <v>9</v>
      </c>
      <c r="AH106" s="956"/>
      <c r="AI106" s="996">
        <f t="shared" si="15"/>
        <v>41.15</v>
      </c>
      <c r="AJ106" s="521">
        <v>0</v>
      </c>
      <c r="AK106" s="520">
        <f t="shared" si="13"/>
        <v>41.15</v>
      </c>
      <c r="AL106" s="695" t="s">
        <v>1596</v>
      </c>
      <c r="AM106" s="669">
        <f t="shared" si="14"/>
        <v>400.49</v>
      </c>
    </row>
    <row r="107" spans="1:39" s="500" customFormat="1">
      <c r="A107" s="542" t="s">
        <v>767</v>
      </c>
      <c r="B107" s="542" t="s">
        <v>1218</v>
      </c>
      <c r="C107" s="616"/>
      <c r="D107" s="519"/>
      <c r="E107" s="520"/>
      <c r="F107" s="726"/>
      <c r="G107" s="520"/>
      <c r="H107" s="520"/>
      <c r="I107" s="521"/>
      <c r="J107" s="521"/>
      <c r="K107" s="521"/>
      <c r="L107" s="514"/>
      <c r="M107" s="726"/>
      <c r="N107" s="514"/>
      <c r="O107" s="514"/>
      <c r="P107" s="514"/>
      <c r="Q107" s="522"/>
      <c r="R107" s="522"/>
      <c r="S107" s="514"/>
      <c r="T107" s="726"/>
      <c r="U107" s="514"/>
      <c r="V107" s="514"/>
      <c r="W107" s="514"/>
      <c r="X107" s="514"/>
      <c r="Y107" s="514"/>
      <c r="Z107" s="514"/>
      <c r="AA107" s="726"/>
      <c r="AB107" s="514"/>
      <c r="AC107" s="514"/>
      <c r="AD107" s="514"/>
      <c r="AE107" s="698"/>
      <c r="AF107" s="514"/>
      <c r="AG107" s="527"/>
      <c r="AH107" s="789"/>
      <c r="AI107" s="664">
        <f t="shared" si="15"/>
        <v>0</v>
      </c>
      <c r="AJ107" s="521">
        <v>0</v>
      </c>
      <c r="AK107" s="520">
        <f t="shared" si="13"/>
        <v>0</v>
      </c>
      <c r="AL107" s="695"/>
      <c r="AM107" s="669">
        <f t="shared" si="14"/>
        <v>0</v>
      </c>
    </row>
    <row r="108" spans="1:39" s="500" customFormat="1">
      <c r="A108" s="539" t="s">
        <v>768</v>
      </c>
      <c r="B108" s="539" t="s">
        <v>1219</v>
      </c>
      <c r="C108" s="548" t="s">
        <v>40</v>
      </c>
      <c r="D108" s="519"/>
      <c r="E108" s="520"/>
      <c r="F108" s="726"/>
      <c r="G108" s="520"/>
      <c r="H108" s="968">
        <f>6.75*1.5*0.5</f>
        <v>5.0625</v>
      </c>
      <c r="I108" s="521"/>
      <c r="J108" s="967">
        <f>6.75*1.8*0.25</f>
        <v>3.0375000000000001</v>
      </c>
      <c r="K108" s="521"/>
      <c r="L108" s="514"/>
      <c r="M108" s="726"/>
      <c r="N108" s="514"/>
      <c r="O108" s="514"/>
      <c r="P108" s="514"/>
      <c r="Q108" s="522"/>
      <c r="R108" s="522"/>
      <c r="S108" s="514"/>
      <c r="T108" s="726"/>
      <c r="U108" s="514"/>
      <c r="V108" s="514"/>
      <c r="W108" s="514"/>
      <c r="X108" s="522"/>
      <c r="Y108" s="514"/>
      <c r="Z108" s="522"/>
      <c r="AA108" s="726"/>
      <c r="AB108" s="522"/>
      <c r="AC108" s="514"/>
      <c r="AD108" s="522"/>
      <c r="AE108" s="976">
        <f>6.7*1.6*0.25</f>
        <v>2.68</v>
      </c>
      <c r="AF108" s="514"/>
      <c r="AG108" s="527"/>
      <c r="AH108" s="789"/>
      <c r="AI108" s="996">
        <f t="shared" si="15"/>
        <v>10.78</v>
      </c>
      <c r="AJ108" s="521">
        <v>0</v>
      </c>
      <c r="AK108" s="520">
        <f t="shared" si="13"/>
        <v>10.78</v>
      </c>
      <c r="AL108" s="695" t="s">
        <v>1598</v>
      </c>
      <c r="AM108" s="669">
        <f t="shared" si="14"/>
        <v>193.23</v>
      </c>
    </row>
    <row r="109" spans="1:39" s="500" customFormat="1">
      <c r="A109" s="539" t="s">
        <v>769</v>
      </c>
      <c r="B109" s="539" t="s">
        <v>1220</v>
      </c>
      <c r="C109" s="548" t="s">
        <v>37</v>
      </c>
      <c r="D109" s="519"/>
      <c r="E109" s="520"/>
      <c r="F109" s="726"/>
      <c r="G109" s="520"/>
      <c r="I109" s="967">
        <f>6.75*1.8*2</f>
        <v>24.3</v>
      </c>
      <c r="J109" s="521"/>
      <c r="K109" s="521"/>
      <c r="L109" s="514"/>
      <c r="M109" s="726"/>
      <c r="N109" s="514"/>
      <c r="O109" s="514"/>
      <c r="P109" s="514"/>
      <c r="Q109" s="522"/>
      <c r="R109" s="522"/>
      <c r="S109" s="514"/>
      <c r="T109" s="726"/>
      <c r="U109" s="514"/>
      <c r="V109" s="514"/>
      <c r="W109" s="514"/>
      <c r="X109" s="522"/>
      <c r="Y109" s="522"/>
      <c r="Z109" s="522"/>
      <c r="AA109" s="726"/>
      <c r="AB109" s="514"/>
      <c r="AC109" s="522"/>
      <c r="AD109" s="976">
        <f>6.75*1.57*2</f>
        <v>21.195</v>
      </c>
      <c r="AE109" s="698"/>
      <c r="AF109" s="514"/>
      <c r="AG109" s="527"/>
      <c r="AH109" s="789"/>
      <c r="AI109" s="996">
        <f t="shared" si="15"/>
        <v>45.5</v>
      </c>
      <c r="AJ109" s="521">
        <v>0</v>
      </c>
      <c r="AK109" s="520">
        <f t="shared" si="13"/>
        <v>45.5</v>
      </c>
      <c r="AL109" s="695" t="s">
        <v>1599</v>
      </c>
      <c r="AM109" s="669">
        <f t="shared" si="14"/>
        <v>504.94000000000005</v>
      </c>
    </row>
    <row r="110" spans="1:39" s="500" customFormat="1">
      <c r="A110" s="539" t="s">
        <v>770</v>
      </c>
      <c r="B110" s="539" t="s">
        <v>1221</v>
      </c>
      <c r="C110" s="548" t="s">
        <v>48</v>
      </c>
      <c r="D110" s="519"/>
      <c r="E110" s="520"/>
      <c r="F110" s="726"/>
      <c r="G110" s="968">
        <v>157.81</v>
      </c>
      <c r="H110" s="968">
        <v>133.41</v>
      </c>
      <c r="I110" s="521"/>
      <c r="J110" s="521"/>
      <c r="K110" s="521"/>
      <c r="L110" s="522"/>
      <c r="M110" s="726"/>
      <c r="N110" s="522"/>
      <c r="O110" s="522"/>
      <c r="P110" s="522"/>
      <c r="Q110" s="522"/>
      <c r="R110" s="522"/>
      <c r="S110" s="522"/>
      <c r="T110" s="726"/>
      <c r="U110" s="522"/>
      <c r="V110" s="522"/>
      <c r="W110" s="522"/>
      <c r="X110" s="522"/>
      <c r="Y110" s="522"/>
      <c r="Z110" s="976">
        <f>12*9*0.99</f>
        <v>106.92</v>
      </c>
      <c r="AA110" s="726"/>
      <c r="AB110" s="522"/>
      <c r="AC110" s="522"/>
      <c r="AD110" s="522"/>
      <c r="AE110" s="522"/>
      <c r="AF110" s="522"/>
      <c r="AG110" s="521"/>
      <c r="AH110" s="790"/>
      <c r="AI110" s="996">
        <f t="shared" si="15"/>
        <v>398.14</v>
      </c>
      <c r="AJ110" s="521">
        <v>0</v>
      </c>
      <c r="AK110" s="520">
        <f t="shared" si="13"/>
        <v>398.14</v>
      </c>
      <c r="AL110" s="695" t="s">
        <v>1600</v>
      </c>
      <c r="AM110" s="669">
        <f t="shared" si="14"/>
        <v>15050.6</v>
      </c>
    </row>
    <row r="111" spans="1:39" s="500" customFormat="1">
      <c r="A111" s="542" t="s">
        <v>771</v>
      </c>
      <c r="B111" s="542" t="s">
        <v>1200</v>
      </c>
      <c r="C111" s="616"/>
      <c r="D111" s="519"/>
      <c r="E111" s="520"/>
      <c r="F111" s="726"/>
      <c r="G111" s="520"/>
      <c r="H111" s="520"/>
      <c r="I111" s="521"/>
      <c r="J111" s="521"/>
      <c r="K111" s="521"/>
      <c r="L111" s="514"/>
      <c r="M111" s="726"/>
      <c r="N111" s="514"/>
      <c r="O111" s="514"/>
      <c r="P111" s="514"/>
      <c r="Q111" s="522"/>
      <c r="R111" s="522"/>
      <c r="S111" s="514"/>
      <c r="T111" s="726"/>
      <c r="U111" s="514"/>
      <c r="V111" s="514"/>
      <c r="W111" s="514"/>
      <c r="X111" s="514"/>
      <c r="Y111" s="514"/>
      <c r="Z111" s="514"/>
      <c r="AA111" s="726"/>
      <c r="AB111" s="514"/>
      <c r="AC111" s="514"/>
      <c r="AD111" s="514"/>
      <c r="AE111" s="698"/>
      <c r="AF111" s="514"/>
      <c r="AG111" s="527"/>
      <c r="AH111" s="789"/>
      <c r="AI111" s="664">
        <f t="shared" si="15"/>
        <v>0</v>
      </c>
      <c r="AJ111" s="521">
        <v>0</v>
      </c>
      <c r="AK111" s="520">
        <f t="shared" si="13"/>
        <v>0</v>
      </c>
      <c r="AL111" s="695"/>
      <c r="AM111" s="669">
        <f t="shared" si="14"/>
        <v>0</v>
      </c>
    </row>
    <row r="112" spans="1:39" s="500" customFormat="1">
      <c r="A112" s="539" t="s">
        <v>773</v>
      </c>
      <c r="B112" s="539" t="s">
        <v>225</v>
      </c>
      <c r="C112" s="548" t="s">
        <v>1450</v>
      </c>
      <c r="D112" s="519"/>
      <c r="E112" s="520"/>
      <c r="F112" s="726"/>
      <c r="G112" s="520"/>
      <c r="H112" s="520"/>
      <c r="I112" s="521"/>
      <c r="J112" s="521"/>
      <c r="K112" s="521"/>
      <c r="L112" s="514"/>
      <c r="M112" s="726"/>
      <c r="N112" s="514"/>
      <c r="O112" s="514"/>
      <c r="P112" s="514"/>
      <c r="Q112" s="522"/>
      <c r="R112" s="522"/>
      <c r="S112" s="514"/>
      <c r="T112" s="726"/>
      <c r="U112" s="514"/>
      <c r="V112" s="514"/>
      <c r="W112" s="514"/>
      <c r="X112" s="514"/>
      <c r="Y112" s="514"/>
      <c r="Z112" s="514"/>
      <c r="AA112" s="726"/>
      <c r="AB112" s="514"/>
      <c r="AC112" s="514"/>
      <c r="AD112" s="514"/>
      <c r="AE112" s="698"/>
      <c r="AF112" s="514"/>
      <c r="AG112" s="971">
        <v>7</v>
      </c>
      <c r="AH112" s="790"/>
      <c r="AI112" s="996">
        <f t="shared" si="15"/>
        <v>7</v>
      </c>
      <c r="AJ112" s="521">
        <v>0</v>
      </c>
      <c r="AK112" s="520">
        <f t="shared" si="13"/>
        <v>7</v>
      </c>
      <c r="AL112" s="695" t="s">
        <v>1602</v>
      </c>
      <c r="AM112" s="669">
        <f t="shared" si="14"/>
        <v>17</v>
      </c>
    </row>
    <row r="113" spans="1:39" s="500" customFormat="1">
      <c r="A113" s="814" t="s">
        <v>774</v>
      </c>
      <c r="B113" s="815" t="s">
        <v>1223</v>
      </c>
      <c r="C113" s="844"/>
      <c r="D113" s="519"/>
      <c r="E113" s="520"/>
      <c r="F113" s="726"/>
      <c r="G113" s="520"/>
      <c r="H113" s="520"/>
      <c r="I113" s="521"/>
      <c r="J113" s="521"/>
      <c r="K113" s="521"/>
      <c r="L113" s="514"/>
      <c r="M113" s="726"/>
      <c r="N113" s="514"/>
      <c r="O113" s="514"/>
      <c r="P113" s="514"/>
      <c r="Q113" s="522"/>
      <c r="R113" s="522"/>
      <c r="S113" s="514"/>
      <c r="T113" s="726"/>
      <c r="U113" s="514"/>
      <c r="V113" s="514"/>
      <c r="W113" s="514"/>
      <c r="X113" s="514"/>
      <c r="Y113" s="514"/>
      <c r="Z113" s="514"/>
      <c r="AA113" s="726"/>
      <c r="AB113" s="514"/>
      <c r="AC113" s="514"/>
      <c r="AD113" s="514"/>
      <c r="AE113" s="698"/>
      <c r="AF113" s="514"/>
      <c r="AG113" s="527"/>
      <c r="AH113" s="789"/>
      <c r="AI113" s="664">
        <f t="shared" si="15"/>
        <v>0</v>
      </c>
      <c r="AJ113" s="521">
        <v>0</v>
      </c>
      <c r="AK113" s="520">
        <f t="shared" si="13"/>
        <v>0</v>
      </c>
      <c r="AL113" s="695"/>
      <c r="AM113" s="669">
        <f t="shared" si="14"/>
        <v>0</v>
      </c>
    </row>
    <row r="114" spans="1:39" s="500" customFormat="1">
      <c r="A114" s="542" t="s">
        <v>775</v>
      </c>
      <c r="B114" s="542" t="s">
        <v>46</v>
      </c>
      <c r="C114" s="616"/>
      <c r="D114" s="519"/>
      <c r="E114" s="520"/>
      <c r="F114" s="726"/>
      <c r="G114" s="520"/>
      <c r="H114" s="520"/>
      <c r="I114" s="521"/>
      <c r="J114" s="521"/>
      <c r="K114" s="521"/>
      <c r="L114" s="514"/>
      <c r="M114" s="726"/>
      <c r="N114" s="514"/>
      <c r="O114" s="514"/>
      <c r="P114" s="514"/>
      <c r="Q114" s="522"/>
      <c r="R114" s="522"/>
      <c r="S114" s="514"/>
      <c r="T114" s="726"/>
      <c r="U114" s="514"/>
      <c r="V114" s="514"/>
      <c r="W114" s="514"/>
      <c r="X114" s="514"/>
      <c r="Y114" s="514"/>
      <c r="Z114" s="514"/>
      <c r="AA114" s="726"/>
      <c r="AB114" s="514"/>
      <c r="AC114" s="514"/>
      <c r="AD114" s="514"/>
      <c r="AE114" s="698"/>
      <c r="AF114" s="514"/>
      <c r="AG114" s="527"/>
      <c r="AH114" s="789"/>
      <c r="AI114" s="664">
        <f t="shared" si="15"/>
        <v>0</v>
      </c>
      <c r="AJ114" s="521">
        <v>0</v>
      </c>
      <c r="AK114" s="520">
        <f t="shared" si="13"/>
        <v>0</v>
      </c>
      <c r="AL114" s="695"/>
      <c r="AM114" s="669">
        <f t="shared" si="14"/>
        <v>0</v>
      </c>
    </row>
    <row r="115" spans="1:39" s="500" customFormat="1">
      <c r="A115" s="539" t="s">
        <v>776</v>
      </c>
      <c r="B115" s="539" t="s">
        <v>1212</v>
      </c>
      <c r="C115" s="548" t="s">
        <v>40</v>
      </c>
      <c r="D115" s="519"/>
      <c r="E115" s="520"/>
      <c r="F115" s="726"/>
      <c r="G115" s="520"/>
      <c r="H115" s="520"/>
      <c r="I115" s="521"/>
      <c r="J115" s="521"/>
      <c r="K115" s="521"/>
      <c r="L115" s="514"/>
      <c r="M115" s="726"/>
      <c r="N115" s="514"/>
      <c r="O115" s="514"/>
      <c r="P115" s="514"/>
      <c r="Q115" s="522"/>
      <c r="R115" s="522"/>
      <c r="S115" s="976">
        <f>14.8*0.6*0.5</f>
        <v>4.4400000000000004</v>
      </c>
      <c r="T115" s="726"/>
      <c r="U115" s="514"/>
      <c r="V115" s="514"/>
      <c r="W115" s="514"/>
      <c r="X115" s="514"/>
      <c r="Y115" s="514"/>
      <c r="Z115" s="514"/>
      <c r="AA115" s="726"/>
      <c r="AB115" s="514"/>
      <c r="AC115" s="514"/>
      <c r="AD115" s="976">
        <f>9.8*1.1*0.4</f>
        <v>4.3120000000000003</v>
      </c>
      <c r="AE115" s="698"/>
      <c r="AF115" s="514"/>
      <c r="AG115" s="527"/>
      <c r="AH115" s="789"/>
      <c r="AI115" s="996">
        <f t="shared" si="15"/>
        <v>8.75</v>
      </c>
      <c r="AJ115" s="521">
        <v>0</v>
      </c>
      <c r="AK115" s="520">
        <f t="shared" si="13"/>
        <v>8.75</v>
      </c>
      <c r="AL115" s="695" t="s">
        <v>1603</v>
      </c>
      <c r="AM115" s="669">
        <f t="shared" si="14"/>
        <v>87.13</v>
      </c>
    </row>
    <row r="116" spans="1:39" s="500" customFormat="1">
      <c r="A116" s="542" t="s">
        <v>778</v>
      </c>
      <c r="B116" s="542" t="s">
        <v>1162</v>
      </c>
      <c r="C116" s="616"/>
      <c r="D116" s="519"/>
      <c r="E116" s="520"/>
      <c r="F116" s="726"/>
      <c r="G116" s="520"/>
      <c r="H116" s="520"/>
      <c r="I116" s="521"/>
      <c r="J116" s="521"/>
      <c r="K116" s="521"/>
      <c r="L116" s="514"/>
      <c r="M116" s="726"/>
      <c r="N116" s="667"/>
      <c r="O116" s="667"/>
      <c r="P116" s="667"/>
      <c r="Q116" s="667"/>
      <c r="R116" s="667"/>
      <c r="S116" s="667"/>
      <c r="T116" s="726"/>
      <c r="U116" s="514"/>
      <c r="V116" s="514"/>
      <c r="W116" s="514"/>
      <c r="X116" s="514"/>
      <c r="Y116" s="514"/>
      <c r="Z116" s="514"/>
      <c r="AA116" s="726"/>
      <c r="AB116" s="514"/>
      <c r="AC116" s="514"/>
      <c r="AD116" s="514"/>
      <c r="AE116" s="698"/>
      <c r="AF116" s="514"/>
      <c r="AG116" s="527"/>
      <c r="AH116" s="789"/>
      <c r="AI116" s="664">
        <f t="shared" si="15"/>
        <v>0</v>
      </c>
      <c r="AJ116" s="521">
        <v>0</v>
      </c>
      <c r="AK116" s="520">
        <f t="shared" si="13"/>
        <v>0</v>
      </c>
      <c r="AL116" s="695"/>
      <c r="AM116" s="669">
        <f t="shared" si="14"/>
        <v>0</v>
      </c>
    </row>
    <row r="117" spans="1:39" s="500" customFormat="1">
      <c r="A117" s="539" t="s">
        <v>779</v>
      </c>
      <c r="B117" s="539" t="s">
        <v>1204</v>
      </c>
      <c r="C117" s="548" t="s">
        <v>40</v>
      </c>
      <c r="D117" s="519"/>
      <c r="E117" s="520"/>
      <c r="F117" s="726"/>
      <c r="G117" s="520"/>
      <c r="H117" s="520"/>
      <c r="I117" s="521"/>
      <c r="J117" s="521"/>
      <c r="K117" s="521"/>
      <c r="L117" s="514"/>
      <c r="M117" s="726"/>
      <c r="N117" s="514"/>
      <c r="O117" s="522"/>
      <c r="P117" s="522"/>
      <c r="Q117" s="522"/>
      <c r="R117" s="522"/>
      <c r="S117" s="976">
        <f>14.8*0.6*0.5</f>
        <v>4.4400000000000004</v>
      </c>
      <c r="T117" s="726"/>
      <c r="U117" s="522"/>
      <c r="V117" s="514"/>
      <c r="X117" s="522"/>
      <c r="Y117" s="514"/>
      <c r="Z117" s="514"/>
      <c r="AA117" s="726"/>
      <c r="AB117" s="514"/>
      <c r="AC117" s="514"/>
      <c r="AD117" s="514"/>
      <c r="AE117" s="698"/>
      <c r="AF117" s="976">
        <f>14.5*1.2*0.15</f>
        <v>2.61</v>
      </c>
      <c r="AG117" s="527"/>
      <c r="AH117" s="789"/>
      <c r="AI117" s="996">
        <f t="shared" si="15"/>
        <v>7.05</v>
      </c>
      <c r="AJ117" s="521">
        <v>0</v>
      </c>
      <c r="AK117" s="520">
        <f t="shared" si="13"/>
        <v>7.05</v>
      </c>
      <c r="AL117" s="695" t="s">
        <v>1605</v>
      </c>
      <c r="AM117" s="669">
        <f t="shared" si="14"/>
        <v>74.62</v>
      </c>
    </row>
    <row r="118" spans="1:39" s="500" customFormat="1" ht="13.5" thickBot="1">
      <c r="A118" s="539" t="s">
        <v>780</v>
      </c>
      <c r="B118" s="539" t="s">
        <v>1224</v>
      </c>
      <c r="C118" s="548" t="s">
        <v>37</v>
      </c>
      <c r="D118" s="519"/>
      <c r="E118" s="520"/>
      <c r="F118" s="726"/>
      <c r="G118" s="520"/>
      <c r="H118" s="520"/>
      <c r="I118" s="521"/>
      <c r="J118" s="521"/>
      <c r="K118" s="521"/>
      <c r="L118" s="514"/>
      <c r="M118" s="726"/>
      <c r="O118" s="750"/>
      <c r="P118" s="750"/>
      <c r="Q118" s="939"/>
      <c r="R118" s="521"/>
      <c r="S118" s="750"/>
      <c r="T118" s="726"/>
      <c r="U118" s="750"/>
      <c r="V118" s="750"/>
      <c r="W118" s="750"/>
      <c r="X118" s="514"/>
      <c r="Y118" s="514"/>
      <c r="Z118" s="514"/>
      <c r="AA118" s="726"/>
      <c r="AB118" s="514"/>
      <c r="AC118" s="514"/>
      <c r="AD118" s="514"/>
      <c r="AE118" s="976">
        <f>14.5*1.2*2</f>
        <v>34.799999999999997</v>
      </c>
      <c r="AF118" s="514"/>
      <c r="AG118" s="527"/>
      <c r="AH118" s="789"/>
      <c r="AI118" s="996">
        <f t="shared" si="15"/>
        <v>34.799999999999997</v>
      </c>
      <c r="AJ118" s="521">
        <v>0</v>
      </c>
      <c r="AK118" s="520">
        <f t="shared" si="13"/>
        <v>34.799999999999997</v>
      </c>
      <c r="AL118" s="695" t="s">
        <v>1606</v>
      </c>
      <c r="AM118" s="669">
        <f t="shared" si="14"/>
        <v>186.57</v>
      </c>
    </row>
    <row r="119" spans="1:39" s="843" customFormat="1">
      <c r="A119" s="949" t="s">
        <v>45</v>
      </c>
      <c r="B119" s="949" t="s">
        <v>1234</v>
      </c>
      <c r="C119" s="951"/>
      <c r="D119" s="519"/>
      <c r="E119" s="520"/>
      <c r="F119" s="726"/>
      <c r="G119" s="520"/>
      <c r="H119" s="520"/>
      <c r="I119" s="521"/>
      <c r="J119" s="521"/>
      <c r="K119" s="521"/>
      <c r="L119" s="514"/>
      <c r="M119" s="726"/>
      <c r="N119" s="514"/>
      <c r="O119" s="514"/>
      <c r="P119" s="514"/>
      <c r="Q119" s="522"/>
      <c r="R119" s="522"/>
      <c r="S119" s="514"/>
      <c r="T119" s="726"/>
      <c r="U119" s="514"/>
      <c r="V119" s="514"/>
      <c r="W119" s="514"/>
      <c r="X119" s="514"/>
      <c r="Y119" s="514"/>
      <c r="Z119" s="514"/>
      <c r="AA119" s="726"/>
      <c r="AB119" s="514"/>
      <c r="AC119" s="514"/>
      <c r="AD119" s="514"/>
      <c r="AE119" s="698"/>
      <c r="AF119" s="514"/>
      <c r="AG119" s="527"/>
      <c r="AH119" s="789"/>
      <c r="AI119" s="664">
        <f t="shared" si="15"/>
        <v>0</v>
      </c>
      <c r="AJ119" s="836">
        <v>0</v>
      </c>
      <c r="AK119" s="835">
        <f t="shared" ref="AK119:AK126" si="16">AI119+AJ119</f>
        <v>0</v>
      </c>
      <c r="AL119" s="848"/>
      <c r="AM119" s="842">
        <f t="shared" ref="AM119:AM126" si="17">AL119-AK119</f>
        <v>0</v>
      </c>
    </row>
    <row r="120" spans="1:39" s="500" customFormat="1">
      <c r="A120" s="440" t="s">
        <v>47</v>
      </c>
      <c r="B120" s="543" t="s">
        <v>1235</v>
      </c>
      <c r="C120" s="616"/>
      <c r="D120" s="519"/>
      <c r="E120" s="520"/>
      <c r="F120" s="726"/>
      <c r="G120" s="520"/>
      <c r="H120" s="520"/>
      <c r="I120" s="521"/>
      <c r="J120" s="521"/>
      <c r="K120" s="521"/>
      <c r="L120" s="514"/>
      <c r="M120" s="726"/>
      <c r="N120" s="514"/>
      <c r="O120" s="514"/>
      <c r="P120" s="514"/>
      <c r="Q120" s="522"/>
      <c r="R120" s="522"/>
      <c r="S120" s="514"/>
      <c r="T120" s="726"/>
      <c r="U120" s="514"/>
      <c r="V120" s="514"/>
      <c r="W120" s="514"/>
      <c r="X120" s="514"/>
      <c r="Y120" s="514"/>
      <c r="Z120" s="514"/>
      <c r="AA120" s="726"/>
      <c r="AB120" s="514"/>
      <c r="AC120" s="514"/>
      <c r="AD120" s="514"/>
      <c r="AE120" s="698"/>
      <c r="AF120" s="514"/>
      <c r="AG120" s="527"/>
      <c r="AH120" s="789"/>
      <c r="AI120" s="664">
        <f t="shared" si="15"/>
        <v>0</v>
      </c>
      <c r="AJ120" s="521">
        <v>0</v>
      </c>
      <c r="AK120" s="520">
        <f t="shared" si="16"/>
        <v>0</v>
      </c>
      <c r="AL120" s="695"/>
      <c r="AM120" s="669">
        <f t="shared" si="17"/>
        <v>0</v>
      </c>
    </row>
    <row r="121" spans="1:39" s="500" customFormat="1">
      <c r="A121" s="542" t="s">
        <v>49</v>
      </c>
      <c r="B121" s="542" t="s">
        <v>1236</v>
      </c>
      <c r="C121" s="616"/>
      <c r="D121" s="519"/>
      <c r="E121" s="520"/>
      <c r="F121" s="726"/>
      <c r="G121" s="520"/>
      <c r="H121" s="520"/>
      <c r="I121" s="521"/>
      <c r="J121" s="521"/>
      <c r="K121" s="521"/>
      <c r="L121" s="514"/>
      <c r="M121" s="726"/>
      <c r="N121" s="514"/>
      <c r="O121" s="514"/>
      <c r="P121" s="514"/>
      <c r="Q121" s="522"/>
      <c r="R121" s="522"/>
      <c r="S121" s="514"/>
      <c r="T121" s="726"/>
      <c r="U121" s="514"/>
      <c r="V121" s="514"/>
      <c r="W121" s="514"/>
      <c r="X121" s="514"/>
      <c r="Y121" s="514"/>
      <c r="Z121" s="514"/>
      <c r="AA121" s="726"/>
      <c r="AB121" s="514"/>
      <c r="AC121" s="514"/>
      <c r="AD121" s="514"/>
      <c r="AE121" s="698"/>
      <c r="AF121" s="514"/>
      <c r="AG121" s="527"/>
      <c r="AH121" s="789"/>
      <c r="AI121" s="664">
        <f t="shared" si="15"/>
        <v>0</v>
      </c>
      <c r="AJ121" s="521">
        <v>0</v>
      </c>
      <c r="AK121" s="520">
        <f t="shared" si="16"/>
        <v>0</v>
      </c>
      <c r="AL121" s="695"/>
      <c r="AM121" s="669">
        <f t="shared" si="17"/>
        <v>0</v>
      </c>
    </row>
    <row r="122" spans="1:39" s="500" customFormat="1">
      <c r="A122" s="539" t="s">
        <v>801</v>
      </c>
      <c r="B122" s="539" t="s">
        <v>1237</v>
      </c>
      <c r="C122" s="548" t="s">
        <v>37</v>
      </c>
      <c r="D122" s="519"/>
      <c r="E122" s="520"/>
      <c r="F122" s="726"/>
      <c r="G122" s="520"/>
      <c r="H122" s="520"/>
      <c r="I122" s="521"/>
      <c r="J122" s="521"/>
      <c r="K122" s="521"/>
      <c r="L122" s="514"/>
      <c r="M122" s="726"/>
      <c r="N122" s="514"/>
      <c r="O122" s="976">
        <f>1.08*0.6+4.92*1.2</f>
        <v>6.5519999999999996</v>
      </c>
      <c r="P122" s="976">
        <v>6.46</v>
      </c>
      <c r="Q122" s="976">
        <v>5</v>
      </c>
      <c r="R122" s="522"/>
      <c r="S122" s="514"/>
      <c r="T122" s="726"/>
      <c r="U122" s="514"/>
      <c r="V122" s="514"/>
      <c r="W122" s="514"/>
      <c r="X122" s="522"/>
      <c r="Y122" s="514"/>
      <c r="Z122" s="514"/>
      <c r="AA122" s="726"/>
      <c r="AB122" s="514"/>
      <c r="AC122" s="514"/>
      <c r="AD122" s="514"/>
      <c r="AE122" s="698"/>
      <c r="AF122" s="514"/>
      <c r="AG122" s="527"/>
      <c r="AH122" s="789"/>
      <c r="AI122" s="996">
        <f t="shared" si="15"/>
        <v>18.010000000000002</v>
      </c>
      <c r="AJ122" s="521">
        <v>0</v>
      </c>
      <c r="AK122" s="520">
        <f t="shared" si="16"/>
        <v>18.010000000000002</v>
      </c>
      <c r="AL122" s="695" t="s">
        <v>1619</v>
      </c>
      <c r="AM122" s="669">
        <f t="shared" si="17"/>
        <v>54.259999999999991</v>
      </c>
    </row>
    <row r="123" spans="1:39" s="500" customFormat="1">
      <c r="A123" s="542" t="s">
        <v>50</v>
      </c>
      <c r="B123" s="542" t="s">
        <v>1239</v>
      </c>
      <c r="C123" s="616"/>
      <c r="D123" s="519"/>
      <c r="E123" s="520"/>
      <c r="F123" s="726"/>
      <c r="G123" s="520"/>
      <c r="H123" s="520"/>
      <c r="I123" s="521"/>
      <c r="J123" s="521"/>
      <c r="K123" s="521"/>
      <c r="L123" s="514"/>
      <c r="M123" s="726"/>
      <c r="N123" s="514"/>
      <c r="O123" s="514"/>
      <c r="P123" s="514"/>
      <c r="Q123" s="522"/>
      <c r="R123" s="522"/>
      <c r="S123" s="514"/>
      <c r="T123" s="726"/>
      <c r="U123" s="514"/>
      <c r="V123" s="514"/>
      <c r="W123" s="514"/>
      <c r="X123" s="514"/>
      <c r="Y123" s="514"/>
      <c r="Z123" s="514"/>
      <c r="AA123" s="726"/>
      <c r="AB123" s="514"/>
      <c r="AC123" s="514"/>
      <c r="AD123" s="514"/>
      <c r="AE123" s="698"/>
      <c r="AF123" s="514"/>
      <c r="AG123" s="527"/>
      <c r="AH123" s="789"/>
      <c r="AI123" s="664">
        <f t="shared" si="15"/>
        <v>0</v>
      </c>
      <c r="AJ123" s="521">
        <v>0</v>
      </c>
      <c r="AK123" s="520">
        <f t="shared" si="16"/>
        <v>0</v>
      </c>
      <c r="AL123" s="695"/>
      <c r="AM123" s="669">
        <f t="shared" si="17"/>
        <v>0</v>
      </c>
    </row>
    <row r="124" spans="1:39" s="500" customFormat="1">
      <c r="A124" s="539" t="s">
        <v>808</v>
      </c>
      <c r="B124" s="539" t="s">
        <v>1245</v>
      </c>
      <c r="C124" s="548" t="s">
        <v>38</v>
      </c>
      <c r="D124" s="519"/>
      <c r="E124" s="520"/>
      <c r="F124" s="726"/>
      <c r="G124" s="520"/>
      <c r="H124" s="520"/>
      <c r="I124" s="521"/>
      <c r="J124" s="521"/>
      <c r="K124" s="521"/>
      <c r="L124" s="514"/>
      <c r="M124" s="726"/>
      <c r="N124" s="514"/>
      <c r="O124" s="514"/>
      <c r="P124" s="514"/>
      <c r="Q124" s="522"/>
      <c r="R124" s="972">
        <f>5.7*3.6</f>
        <v>20.52</v>
      </c>
      <c r="S124" s="514"/>
      <c r="T124" s="726"/>
      <c r="U124" s="980">
        <f>5.7*3.6+3.6*0.46</f>
        <v>22.175999999999998</v>
      </c>
      <c r="V124" s="514"/>
      <c r="W124" s="514"/>
      <c r="X124" s="976">
        <f>7.2*0.2</f>
        <v>1.4400000000000002</v>
      </c>
      <c r="Y124" s="514"/>
      <c r="Z124" s="514"/>
      <c r="AA124" s="726"/>
      <c r="AB124" s="514"/>
      <c r="AC124" s="514"/>
      <c r="AD124" s="514"/>
      <c r="AE124" s="698"/>
      <c r="AF124" s="514"/>
      <c r="AG124" s="527"/>
      <c r="AH124" s="789"/>
      <c r="AI124" s="996">
        <f t="shared" si="15"/>
        <v>44.14</v>
      </c>
      <c r="AJ124" s="521">
        <v>0</v>
      </c>
      <c r="AK124" s="520">
        <f t="shared" si="16"/>
        <v>44.14</v>
      </c>
      <c r="AL124" s="695" t="s">
        <v>1626</v>
      </c>
      <c r="AM124" s="669">
        <f t="shared" si="17"/>
        <v>24.239999999999995</v>
      </c>
    </row>
    <row r="125" spans="1:39" s="500" customFormat="1">
      <c r="A125" s="542" t="s">
        <v>51</v>
      </c>
      <c r="B125" s="542" t="s">
        <v>1247</v>
      </c>
      <c r="C125" s="616"/>
      <c r="D125" s="519"/>
      <c r="E125" s="520"/>
      <c r="F125" s="726"/>
      <c r="G125" s="520"/>
      <c r="H125" s="520"/>
      <c r="I125" s="521"/>
      <c r="J125" s="521"/>
      <c r="K125" s="521"/>
      <c r="L125" s="514"/>
      <c r="M125" s="726"/>
      <c r="N125" s="514"/>
      <c r="O125" s="514"/>
      <c r="P125" s="514"/>
      <c r="Q125" s="522"/>
      <c r="R125" s="522"/>
      <c r="S125" s="514"/>
      <c r="T125" s="726"/>
      <c r="U125" s="514"/>
      <c r="V125" s="514"/>
      <c r="W125" s="514"/>
      <c r="X125" s="514"/>
      <c r="Y125" s="514"/>
      <c r="Z125" s="514"/>
      <c r="AA125" s="726"/>
      <c r="AB125" s="514"/>
      <c r="AC125" s="514"/>
      <c r="AD125" s="514"/>
      <c r="AE125" s="698"/>
      <c r="AF125" s="514"/>
      <c r="AG125" s="527"/>
      <c r="AH125" s="789"/>
      <c r="AI125" s="664">
        <f t="shared" si="15"/>
        <v>0</v>
      </c>
      <c r="AJ125" s="521">
        <v>0</v>
      </c>
      <c r="AK125" s="520">
        <f t="shared" si="16"/>
        <v>0</v>
      </c>
      <c r="AL125" s="695"/>
      <c r="AM125" s="669">
        <f t="shared" si="17"/>
        <v>0</v>
      </c>
    </row>
    <row r="126" spans="1:39" s="500" customFormat="1">
      <c r="A126" s="539" t="s">
        <v>810</v>
      </c>
      <c r="B126" s="539" t="s">
        <v>1248</v>
      </c>
      <c r="C126" s="548" t="s">
        <v>37</v>
      </c>
      <c r="D126" s="519"/>
      <c r="E126" s="520"/>
      <c r="F126" s="726"/>
      <c r="G126" s="520"/>
      <c r="H126" s="520"/>
      <c r="I126" s="521"/>
      <c r="J126" s="521"/>
      <c r="K126" s="521"/>
      <c r="L126" s="514"/>
      <c r="M126" s="726"/>
      <c r="N126" s="976">
        <f>2.9*3.4</f>
        <v>9.86</v>
      </c>
      <c r="O126" s="976">
        <f>1.9*3.7+2.5*3.7</f>
        <v>16.28</v>
      </c>
      <c r="P126" s="976">
        <v>23.56</v>
      </c>
      <c r="Q126" s="976">
        <v>20.81</v>
      </c>
      <c r="R126" s="522"/>
      <c r="S126" s="976">
        <f>3*3.6</f>
        <v>10.8</v>
      </c>
      <c r="T126" s="726"/>
      <c r="U126" s="980">
        <f>2.7*3.6-0.41</f>
        <v>9.31</v>
      </c>
      <c r="V126" s="522"/>
      <c r="W126" s="514"/>
      <c r="X126" s="514"/>
      <c r="Y126" s="514"/>
      <c r="Z126" s="514"/>
      <c r="AA126" s="726"/>
      <c r="AB126" s="514"/>
      <c r="AC126" s="514"/>
      <c r="AD126" s="514"/>
      <c r="AE126" s="698"/>
      <c r="AF126" s="514"/>
      <c r="AG126" s="527"/>
      <c r="AH126" s="789"/>
      <c r="AI126" s="996">
        <f t="shared" si="15"/>
        <v>90.62</v>
      </c>
      <c r="AJ126" s="521">
        <v>0</v>
      </c>
      <c r="AK126" s="520">
        <f t="shared" si="16"/>
        <v>90.62</v>
      </c>
      <c r="AL126" s="695" t="s">
        <v>1628</v>
      </c>
      <c r="AM126" s="669">
        <f t="shared" si="17"/>
        <v>0</v>
      </c>
    </row>
    <row r="127" spans="1:39" s="500" customFormat="1">
      <c r="A127" s="440" t="s">
        <v>475</v>
      </c>
      <c r="B127" s="543" t="s">
        <v>1284</v>
      </c>
      <c r="C127" s="616"/>
      <c r="D127" s="519"/>
      <c r="E127" s="520"/>
      <c r="F127" s="726"/>
      <c r="G127" s="520"/>
      <c r="H127" s="520"/>
      <c r="I127" s="521"/>
      <c r="J127" s="521"/>
      <c r="K127" s="521"/>
      <c r="L127" s="514"/>
      <c r="M127" s="726"/>
      <c r="N127" s="514"/>
      <c r="O127" s="514"/>
      <c r="P127" s="514"/>
      <c r="Q127" s="522"/>
      <c r="R127" s="522"/>
      <c r="S127" s="514"/>
      <c r="T127" s="726"/>
      <c r="U127" s="514"/>
      <c r="V127" s="514"/>
      <c r="W127" s="514"/>
      <c r="X127" s="514"/>
      <c r="Y127" s="514"/>
      <c r="Z127" s="514"/>
      <c r="AA127" s="726"/>
      <c r="AB127" s="514"/>
      <c r="AC127" s="514"/>
      <c r="AD127" s="514"/>
      <c r="AE127" s="698"/>
      <c r="AF127" s="514"/>
      <c r="AG127" s="527"/>
      <c r="AH127" s="789"/>
      <c r="AI127" s="664">
        <f t="shared" ref="AI127:AI133" si="18">ROUND((SUM(D127:AH127)),2)</f>
        <v>0</v>
      </c>
      <c r="AJ127" s="521">
        <v>0</v>
      </c>
      <c r="AK127" s="520">
        <f t="shared" ref="AK127:AK133" si="19">AI127+AJ127</f>
        <v>0</v>
      </c>
      <c r="AL127" s="695"/>
      <c r="AM127" s="669">
        <f t="shared" ref="AM127:AM133" si="20">AL127-AK127</f>
        <v>0</v>
      </c>
    </row>
    <row r="128" spans="1:39" s="500" customFormat="1">
      <c r="A128" s="542" t="s">
        <v>476</v>
      </c>
      <c r="B128" s="542" t="s">
        <v>1236</v>
      </c>
      <c r="C128" s="616"/>
      <c r="D128" s="519"/>
      <c r="E128" s="520"/>
      <c r="F128" s="726"/>
      <c r="G128" s="520"/>
      <c r="H128" s="520"/>
      <c r="I128" s="521"/>
      <c r="J128" s="521"/>
      <c r="K128" s="521"/>
      <c r="L128" s="514"/>
      <c r="M128" s="726"/>
      <c r="N128" s="514"/>
      <c r="O128" s="514"/>
      <c r="P128" s="514"/>
      <c r="Q128" s="522"/>
      <c r="R128" s="522"/>
      <c r="S128" s="514"/>
      <c r="T128" s="726"/>
      <c r="U128" s="514"/>
      <c r="V128" s="514"/>
      <c r="W128" s="514"/>
      <c r="X128" s="514"/>
      <c r="Y128" s="514"/>
      <c r="Z128" s="514"/>
      <c r="AA128" s="726"/>
      <c r="AB128" s="514"/>
      <c r="AC128" s="514"/>
      <c r="AD128" s="514"/>
      <c r="AE128" s="698"/>
      <c r="AF128" s="514"/>
      <c r="AG128" s="527"/>
      <c r="AH128" s="789"/>
      <c r="AI128" s="664">
        <f t="shared" si="18"/>
        <v>0</v>
      </c>
      <c r="AJ128" s="521">
        <v>0</v>
      </c>
      <c r="AK128" s="520">
        <f t="shared" si="19"/>
        <v>0</v>
      </c>
      <c r="AL128" s="695"/>
      <c r="AM128" s="669">
        <f t="shared" si="20"/>
        <v>0</v>
      </c>
    </row>
    <row r="129" spans="1:39" s="500" customFormat="1">
      <c r="A129" s="539" t="s">
        <v>842</v>
      </c>
      <c r="B129" s="539" t="s">
        <v>1237</v>
      </c>
      <c r="C129" s="548" t="s">
        <v>37</v>
      </c>
      <c r="D129" s="519"/>
      <c r="E129" s="520"/>
      <c r="F129" s="726"/>
      <c r="G129" s="520"/>
      <c r="H129" s="968">
        <f>2.2*2.4+1.2*1.35</f>
        <v>6.9</v>
      </c>
      <c r="I129" s="521"/>
      <c r="J129" s="968">
        <f>2.42*1.15+2.2*0.7+2.2*0.7+1.3*1.36</f>
        <v>7.6310000000000002</v>
      </c>
      <c r="K129" s="967">
        <f>2.25*0.85+2.25*0.85+1.9*0.6</f>
        <v>4.9649999999999999</v>
      </c>
      <c r="L129" s="972">
        <f>2*1.9*0.83+1.92*0.83+1.93*0.52</f>
        <v>5.7512000000000008</v>
      </c>
      <c r="M129" s="726"/>
      <c r="N129" s="972">
        <f>1.9*1.9+1.95*0.85</f>
        <v>5.2675000000000001</v>
      </c>
      <c r="O129" s="976">
        <f>1.7*1.05+1.95*1.3</f>
        <v>4.32</v>
      </c>
      <c r="P129" s="514"/>
      <c r="Q129" s="522"/>
      <c r="R129" s="522"/>
      <c r="S129" s="514"/>
      <c r="T129" s="726"/>
      <c r="U129" s="514"/>
      <c r="V129" s="514"/>
      <c r="W129" s="514"/>
      <c r="X129" s="514"/>
      <c r="Y129" s="514"/>
      <c r="Z129" s="514"/>
      <c r="AA129" s="726"/>
      <c r="AB129" s="514"/>
      <c r="AC129" s="514"/>
      <c r="AD129" s="514"/>
      <c r="AE129" s="698"/>
      <c r="AF129" s="514"/>
      <c r="AG129" s="527"/>
      <c r="AH129" s="789"/>
      <c r="AI129" s="996">
        <f t="shared" si="18"/>
        <v>34.83</v>
      </c>
      <c r="AJ129" s="521">
        <v>0</v>
      </c>
      <c r="AK129" s="520">
        <f t="shared" si="19"/>
        <v>34.83</v>
      </c>
      <c r="AL129" s="695" t="s">
        <v>1646</v>
      </c>
      <c r="AM129" s="669">
        <f t="shared" si="20"/>
        <v>38.760000000000005</v>
      </c>
    </row>
    <row r="130" spans="1:39" s="500" customFormat="1">
      <c r="A130" s="542" t="s">
        <v>477</v>
      </c>
      <c r="B130" s="542" t="s">
        <v>1239</v>
      </c>
      <c r="C130" s="616"/>
      <c r="D130" s="519"/>
      <c r="E130" s="520"/>
      <c r="F130" s="726"/>
      <c r="G130" s="520"/>
      <c r="H130" s="520"/>
      <c r="I130" s="521"/>
      <c r="J130" s="521"/>
      <c r="K130" s="521"/>
      <c r="L130" s="514"/>
      <c r="M130" s="726"/>
      <c r="N130" s="514"/>
      <c r="O130" s="514"/>
      <c r="P130" s="514"/>
      <c r="Q130" s="522"/>
      <c r="R130" s="522"/>
      <c r="S130" s="514"/>
      <c r="T130" s="726"/>
      <c r="U130" s="514"/>
      <c r="V130" s="514"/>
      <c r="W130" s="514"/>
      <c r="X130" s="514"/>
      <c r="Y130" s="514"/>
      <c r="Z130" s="514"/>
      <c r="AA130" s="726"/>
      <c r="AB130" s="514"/>
      <c r="AC130" s="514"/>
      <c r="AD130" s="514"/>
      <c r="AE130" s="698"/>
      <c r="AF130" s="514"/>
      <c r="AG130" s="527"/>
      <c r="AH130" s="789"/>
      <c r="AI130" s="664">
        <f t="shared" si="18"/>
        <v>0</v>
      </c>
      <c r="AJ130" s="521">
        <v>0</v>
      </c>
      <c r="AK130" s="520">
        <f t="shared" si="19"/>
        <v>0</v>
      </c>
      <c r="AL130" s="695"/>
      <c r="AM130" s="669">
        <f t="shared" si="20"/>
        <v>0</v>
      </c>
    </row>
    <row r="131" spans="1:39" s="500" customFormat="1">
      <c r="A131" s="539" t="s">
        <v>849</v>
      </c>
      <c r="B131" s="539" t="s">
        <v>1245</v>
      </c>
      <c r="C131" s="548" t="s">
        <v>38</v>
      </c>
      <c r="D131" s="519"/>
      <c r="E131" s="520"/>
      <c r="F131" s="726"/>
      <c r="G131" s="520"/>
      <c r="H131" s="520"/>
      <c r="I131" s="521"/>
      <c r="J131" s="521"/>
      <c r="K131" s="521"/>
      <c r="L131" s="514"/>
      <c r="M131" s="726"/>
      <c r="N131" s="514"/>
      <c r="O131" s="514"/>
      <c r="P131" s="514"/>
      <c r="Q131" s="522"/>
      <c r="R131" s="522"/>
      <c r="S131" s="514"/>
      <c r="T131" s="726"/>
      <c r="U131" s="514"/>
      <c r="V131" s="514"/>
      <c r="W131" s="514"/>
      <c r="X131" s="514"/>
      <c r="Y131" s="514"/>
      <c r="Z131" s="514"/>
      <c r="AA131" s="726"/>
      <c r="AB131" s="981">
        <f>3.8*2+3.8*2+3.8*1+3.8*3</f>
        <v>30.4</v>
      </c>
      <c r="AC131" s="976">
        <f>3.8*2</f>
        <v>7.6</v>
      </c>
      <c r="AD131" s="976">
        <f>3.8*2</f>
        <v>7.6</v>
      </c>
      <c r="AE131" s="984">
        <f>3.8*9</f>
        <v>34.199999999999996</v>
      </c>
      <c r="AF131" s="514"/>
      <c r="AG131" s="527"/>
      <c r="AH131" s="789"/>
      <c r="AI131" s="996">
        <f t="shared" si="18"/>
        <v>79.8</v>
      </c>
      <c r="AJ131" s="521">
        <v>0</v>
      </c>
      <c r="AK131" s="520">
        <f t="shared" si="19"/>
        <v>79.8</v>
      </c>
      <c r="AL131" s="695" t="s">
        <v>1653</v>
      </c>
      <c r="AM131" s="669">
        <f t="shared" si="20"/>
        <v>0.21999999999999886</v>
      </c>
    </row>
    <row r="132" spans="1:39" s="500" customFormat="1">
      <c r="A132" s="542" t="s">
        <v>478</v>
      </c>
      <c r="B132" s="542" t="s">
        <v>1247</v>
      </c>
      <c r="C132" s="616"/>
      <c r="D132" s="519"/>
      <c r="E132" s="520"/>
      <c r="F132" s="726"/>
      <c r="G132" s="520"/>
      <c r="H132" s="520"/>
      <c r="I132" s="521"/>
      <c r="J132" s="521"/>
      <c r="K132" s="521"/>
      <c r="L132" s="514"/>
      <c r="M132" s="726"/>
      <c r="N132" s="514"/>
      <c r="O132" s="514"/>
      <c r="P132" s="514"/>
      <c r="Q132" s="522"/>
      <c r="R132" s="522"/>
      <c r="S132" s="514"/>
      <c r="T132" s="726"/>
      <c r="U132" s="514"/>
      <c r="V132" s="514"/>
      <c r="W132" s="514"/>
      <c r="X132" s="514"/>
      <c r="Y132" s="514"/>
      <c r="Z132" s="514"/>
      <c r="AA132" s="726"/>
      <c r="AB132" s="514"/>
      <c r="AC132" s="514"/>
      <c r="AD132" s="514"/>
      <c r="AE132" s="698"/>
      <c r="AF132" s="514"/>
      <c r="AG132" s="527"/>
      <c r="AH132" s="789"/>
      <c r="AI132" s="664">
        <f t="shared" si="18"/>
        <v>0</v>
      </c>
      <c r="AJ132" s="521">
        <v>0</v>
      </c>
      <c r="AK132" s="520">
        <f t="shared" si="19"/>
        <v>0</v>
      </c>
      <c r="AL132" s="695"/>
      <c r="AM132" s="669">
        <f t="shared" si="20"/>
        <v>0</v>
      </c>
    </row>
    <row r="133" spans="1:39" s="500" customFormat="1">
      <c r="A133" s="539" t="s">
        <v>851</v>
      </c>
      <c r="B133" s="539" t="s">
        <v>1248</v>
      </c>
      <c r="C133" s="548" t="s">
        <v>37</v>
      </c>
      <c r="D133" s="519"/>
      <c r="E133" s="520"/>
      <c r="F133" s="726"/>
      <c r="G133" s="520"/>
      <c r="H133" s="520"/>
      <c r="I133" s="521"/>
      <c r="J133" s="521"/>
      <c r="K133" s="521"/>
      <c r="L133" s="514"/>
      <c r="M133" s="726"/>
      <c r="N133" s="514"/>
      <c r="O133" s="514"/>
      <c r="P133" s="514"/>
      <c r="Q133" s="522"/>
      <c r="R133" s="522"/>
      <c r="S133" s="514"/>
      <c r="T133" s="726"/>
      <c r="U133" s="514"/>
      <c r="V133" s="514"/>
      <c r="W133" s="514"/>
      <c r="X133" s="514"/>
      <c r="Y133" s="976">
        <f>3.65*2.6+3.65*0.2*6</f>
        <v>13.870000000000001</v>
      </c>
      <c r="Z133" s="514"/>
      <c r="AA133" s="726"/>
      <c r="AB133" s="976">
        <f>(3.65*2.6/2)</f>
        <v>4.7450000000000001</v>
      </c>
      <c r="AC133" s="976">
        <f>4.68</f>
        <v>4.68</v>
      </c>
      <c r="AD133" s="976">
        <f>(3.6*2.6/2)+(3.6*1.3/2)</f>
        <v>7.0200000000000014</v>
      </c>
      <c r="AE133" s="698"/>
      <c r="AF133" s="976">
        <f>2.24*2.59+2.24*2.59</f>
        <v>11.603200000000001</v>
      </c>
      <c r="AG133" s="971">
        <f>2.59*2.2</f>
        <v>5.6980000000000004</v>
      </c>
      <c r="AH133" s="789"/>
      <c r="AI133" s="996">
        <f t="shared" si="18"/>
        <v>47.62</v>
      </c>
      <c r="AJ133" s="521">
        <v>0</v>
      </c>
      <c r="AK133" s="520">
        <f t="shared" si="19"/>
        <v>47.62</v>
      </c>
      <c r="AL133" s="695" t="s">
        <v>1655</v>
      </c>
      <c r="AM133" s="669">
        <f t="shared" si="20"/>
        <v>18.300000000000004</v>
      </c>
    </row>
    <row r="134" spans="1:39" s="500" customFormat="1">
      <c r="A134" s="440" t="s">
        <v>518</v>
      </c>
      <c r="B134" s="543" t="s">
        <v>1297</v>
      </c>
      <c r="C134" s="616"/>
      <c r="D134" s="519"/>
      <c r="E134" s="520"/>
      <c r="F134" s="726"/>
      <c r="G134" s="520"/>
      <c r="H134" s="520"/>
      <c r="I134" s="521"/>
      <c r="J134" s="521"/>
      <c r="K134" s="521"/>
      <c r="L134" s="514"/>
      <c r="M134" s="726"/>
      <c r="N134" s="514"/>
      <c r="O134" s="514"/>
      <c r="P134" s="514"/>
      <c r="Q134" s="522"/>
      <c r="R134" s="522"/>
      <c r="S134" s="514"/>
      <c r="T134" s="726"/>
      <c r="U134" s="514"/>
      <c r="V134" s="514"/>
      <c r="W134" s="514"/>
      <c r="X134" s="514"/>
      <c r="Y134" s="514"/>
      <c r="Z134" s="514"/>
      <c r="AA134" s="726"/>
      <c r="AB134" s="514"/>
      <c r="AC134" s="514"/>
      <c r="AD134" s="514"/>
      <c r="AE134" s="698"/>
      <c r="AF134" s="514"/>
      <c r="AG134" s="527"/>
      <c r="AH134" s="789"/>
      <c r="AI134" s="664">
        <f t="shared" ref="AI134:AI141" si="21">ROUND((SUM(D134:AH134)),2)</f>
        <v>0</v>
      </c>
      <c r="AJ134" s="521">
        <v>0</v>
      </c>
      <c r="AK134" s="520">
        <f t="shared" ref="AK134:AK136" si="22">AI134+AJ134</f>
        <v>0</v>
      </c>
      <c r="AL134" s="695"/>
      <c r="AM134" s="669">
        <f t="shared" ref="AM134:AM136" si="23">AL134-AK134</f>
        <v>0</v>
      </c>
    </row>
    <row r="135" spans="1:39" s="500" customFormat="1">
      <c r="A135" s="542" t="s">
        <v>519</v>
      </c>
      <c r="B135" s="542" t="s">
        <v>1236</v>
      </c>
      <c r="C135" s="616"/>
      <c r="D135" s="519"/>
      <c r="E135" s="520"/>
      <c r="F135" s="726"/>
      <c r="G135" s="520"/>
      <c r="H135" s="520"/>
      <c r="I135" s="521"/>
      <c r="J135" s="521"/>
      <c r="K135" s="521"/>
      <c r="L135" s="514"/>
      <c r="M135" s="726"/>
      <c r="N135" s="514"/>
      <c r="O135" s="514"/>
      <c r="P135" s="514"/>
      <c r="Q135" s="522"/>
      <c r="R135" s="522"/>
      <c r="S135" s="514"/>
      <c r="T135" s="726"/>
      <c r="U135" s="514"/>
      <c r="V135" s="514"/>
      <c r="W135" s="514"/>
      <c r="X135" s="514"/>
      <c r="Y135" s="514"/>
      <c r="Z135" s="514"/>
      <c r="AA135" s="726"/>
      <c r="AB135" s="514"/>
      <c r="AC135" s="514"/>
      <c r="AD135" s="514"/>
      <c r="AE135" s="698"/>
      <c r="AF135" s="514"/>
      <c r="AG135" s="527"/>
      <c r="AH135" s="789"/>
      <c r="AI135" s="664">
        <f t="shared" si="21"/>
        <v>0</v>
      </c>
      <c r="AJ135" s="521">
        <v>0</v>
      </c>
      <c r="AK135" s="520">
        <f t="shared" si="22"/>
        <v>0</v>
      </c>
      <c r="AL135" s="695"/>
      <c r="AM135" s="669">
        <f t="shared" si="23"/>
        <v>0</v>
      </c>
    </row>
    <row r="136" spans="1:39" s="500" customFormat="1">
      <c r="A136" s="539" t="s">
        <v>520</v>
      </c>
      <c r="B136" s="539" t="s">
        <v>1237</v>
      </c>
      <c r="C136" s="548" t="s">
        <v>37</v>
      </c>
      <c r="D136" s="519"/>
      <c r="E136" s="520"/>
      <c r="F136" s="726"/>
      <c r="G136" s="520"/>
      <c r="H136" s="520"/>
      <c r="I136" s="521"/>
      <c r="J136" s="521"/>
      <c r="K136" s="521"/>
      <c r="L136" s="514"/>
      <c r="M136" s="726"/>
      <c r="N136" s="514"/>
      <c r="O136" s="514"/>
      <c r="P136" s="514"/>
      <c r="Q136" s="522"/>
      <c r="R136" s="972">
        <v>1</v>
      </c>
      <c r="S136" s="514"/>
      <c r="T136" s="726"/>
      <c r="U136" s="514"/>
      <c r="V136" s="514"/>
      <c r="W136" s="514"/>
      <c r="X136" s="514"/>
      <c r="Y136" s="514"/>
      <c r="Z136" s="514"/>
      <c r="AA136" s="726"/>
      <c r="AB136" s="514"/>
      <c r="AC136" s="514"/>
      <c r="AD136" s="514"/>
      <c r="AE136" s="698"/>
      <c r="AF136" s="514"/>
      <c r="AG136" s="527"/>
      <c r="AH136" s="789"/>
      <c r="AI136" s="996">
        <f t="shared" si="21"/>
        <v>1</v>
      </c>
      <c r="AJ136" s="521">
        <v>0</v>
      </c>
      <c r="AK136" s="520">
        <f t="shared" si="22"/>
        <v>1</v>
      </c>
      <c r="AL136" s="695" t="s">
        <v>1703</v>
      </c>
      <c r="AM136" s="669">
        <f t="shared" si="23"/>
        <v>55.66</v>
      </c>
    </row>
    <row r="137" spans="1:39" s="730" customFormat="1">
      <c r="A137" s="814" t="s">
        <v>526</v>
      </c>
      <c r="B137" s="815" t="s">
        <v>1298</v>
      </c>
      <c r="C137" s="844"/>
      <c r="D137" s="743"/>
      <c r="E137" s="726"/>
      <c r="F137" s="726"/>
      <c r="G137" s="726"/>
      <c r="H137" s="726"/>
      <c r="I137" s="725"/>
      <c r="J137" s="725"/>
      <c r="K137" s="725"/>
      <c r="L137" s="756"/>
      <c r="M137" s="726"/>
      <c r="N137" s="756"/>
      <c r="O137" s="756"/>
      <c r="P137" s="756"/>
      <c r="Q137" s="745"/>
      <c r="R137" s="745"/>
      <c r="S137" s="756"/>
      <c r="T137" s="726"/>
      <c r="U137" s="756"/>
      <c r="V137" s="756"/>
      <c r="W137" s="756"/>
      <c r="X137" s="756"/>
      <c r="Y137" s="756"/>
      <c r="Z137" s="756"/>
      <c r="AA137" s="726"/>
      <c r="AB137" s="756"/>
      <c r="AC137" s="756"/>
      <c r="AD137" s="756"/>
      <c r="AE137" s="948"/>
      <c r="AF137" s="756"/>
      <c r="AG137" s="727"/>
      <c r="AH137" s="819"/>
      <c r="AI137" s="786">
        <f t="shared" si="21"/>
        <v>0</v>
      </c>
      <c r="AJ137" s="725">
        <v>0</v>
      </c>
      <c r="AK137" s="726">
        <f t="shared" ref="AK137:AK141" si="24">AI137+AJ137</f>
        <v>0</v>
      </c>
      <c r="AL137" s="847"/>
      <c r="AM137" s="729">
        <f t="shared" ref="AM137:AM141" si="25">AL137-AK137</f>
        <v>0</v>
      </c>
    </row>
    <row r="138" spans="1:39" s="500" customFormat="1">
      <c r="A138" s="542" t="s">
        <v>977</v>
      </c>
      <c r="B138" s="542" t="s">
        <v>1239</v>
      </c>
      <c r="C138" s="616"/>
      <c r="D138" s="519"/>
      <c r="E138" s="520"/>
      <c r="F138" s="726"/>
      <c r="G138" s="520"/>
      <c r="H138" s="520"/>
      <c r="I138" s="521"/>
      <c r="J138" s="521"/>
      <c r="K138" s="521"/>
      <c r="L138" s="514"/>
      <c r="M138" s="726"/>
      <c r="N138" s="514"/>
      <c r="O138" s="514"/>
      <c r="P138" s="514"/>
      <c r="Q138" s="522"/>
      <c r="R138" s="522"/>
      <c r="S138" s="514"/>
      <c r="T138" s="726"/>
      <c r="U138" s="514"/>
      <c r="V138" s="514"/>
      <c r="W138" s="514"/>
      <c r="X138" s="514"/>
      <c r="Y138" s="514"/>
      <c r="Z138" s="514"/>
      <c r="AA138" s="726"/>
      <c r="AB138" s="514"/>
      <c r="AC138" s="514"/>
      <c r="AD138" s="514"/>
      <c r="AE138" s="698"/>
      <c r="AF138" s="514"/>
      <c r="AG138" s="527"/>
      <c r="AH138" s="789"/>
      <c r="AI138" s="664">
        <f t="shared" si="21"/>
        <v>0</v>
      </c>
      <c r="AJ138" s="521">
        <v>0</v>
      </c>
      <c r="AK138" s="520">
        <f t="shared" si="24"/>
        <v>0</v>
      </c>
      <c r="AL138" s="695"/>
      <c r="AM138" s="669">
        <f t="shared" si="25"/>
        <v>0</v>
      </c>
    </row>
    <row r="139" spans="1:39" s="500" customFormat="1">
      <c r="A139" s="539" t="s">
        <v>978</v>
      </c>
      <c r="B139" s="539" t="s">
        <v>1300</v>
      </c>
      <c r="C139" s="548" t="s">
        <v>37</v>
      </c>
      <c r="D139" s="963">
        <f>3.2*3.2+4.4*3.25+7.7*3.25</f>
        <v>49.565000000000005</v>
      </c>
      <c r="E139" s="968">
        <f>3*3.6</f>
        <v>10.8</v>
      </c>
      <c r="F139" s="726"/>
      <c r="G139" s="520"/>
      <c r="H139" s="520"/>
      <c r="I139" s="967">
        <f>3.5*2.5-1.05</f>
        <v>7.7</v>
      </c>
      <c r="L139" s="971"/>
      <c r="M139" s="726"/>
      <c r="N139" s="514"/>
      <c r="O139" s="514"/>
      <c r="P139" s="514"/>
      <c r="Q139" s="522"/>
      <c r="R139" s="522"/>
      <c r="S139" s="514"/>
      <c r="T139" s="726"/>
      <c r="U139" s="514"/>
      <c r="V139" s="514"/>
      <c r="W139" s="514"/>
      <c r="X139" s="514"/>
      <c r="Y139" s="514"/>
      <c r="Z139" s="514"/>
      <c r="AA139" s="726"/>
      <c r="AB139" s="698"/>
      <c r="AC139" s="698"/>
      <c r="AD139" s="514"/>
      <c r="AE139" s="698"/>
      <c r="AF139" s="698"/>
      <c r="AG139" s="527"/>
      <c r="AH139" s="698"/>
      <c r="AI139" s="996">
        <f t="shared" si="21"/>
        <v>68.069999999999993</v>
      </c>
      <c r="AJ139" s="521">
        <v>0</v>
      </c>
      <c r="AK139" s="520">
        <f t="shared" si="24"/>
        <v>68.069999999999993</v>
      </c>
      <c r="AL139" s="695" t="s">
        <v>1729</v>
      </c>
      <c r="AM139" s="669">
        <f t="shared" si="25"/>
        <v>49.78</v>
      </c>
    </row>
    <row r="140" spans="1:39" s="500" customFormat="1">
      <c r="A140" s="539" t="s">
        <v>979</v>
      </c>
      <c r="B140" s="539" t="s">
        <v>1301</v>
      </c>
      <c r="C140" s="548" t="s">
        <v>37</v>
      </c>
      <c r="D140" s="962">
        <f>0.25*2.45*1.5*2+0.25*2.45*2</f>
        <v>3.0625</v>
      </c>
      <c r="E140" s="968">
        <f>0.25*2.45*2</f>
        <v>1.2250000000000001</v>
      </c>
      <c r="F140" s="726"/>
      <c r="G140" s="520"/>
      <c r="H140" s="520"/>
      <c r="I140" s="521"/>
      <c r="J140" s="968">
        <f>0.25*2.45*7.5</f>
        <v>4.59375</v>
      </c>
      <c r="K140" s="968">
        <f>0.25*2.45*2</f>
        <v>1.2250000000000001</v>
      </c>
      <c r="L140" s="965"/>
      <c r="M140" s="726"/>
      <c r="N140" s="514"/>
      <c r="O140" s="514"/>
      <c r="P140" s="514"/>
      <c r="Q140" s="522"/>
      <c r="R140" s="522"/>
      <c r="S140" s="514"/>
      <c r="T140" s="726"/>
      <c r="U140" s="514"/>
      <c r="V140" s="514"/>
      <c r="W140" s="514"/>
      <c r="X140" s="514"/>
      <c r="Y140" s="514"/>
      <c r="Z140" s="514"/>
      <c r="AA140" s="726"/>
      <c r="AB140" s="698"/>
      <c r="AC140" s="698"/>
      <c r="AD140" s="514"/>
      <c r="AE140" s="698"/>
      <c r="AF140" s="698"/>
      <c r="AG140" s="527"/>
      <c r="AH140" s="698"/>
      <c r="AI140" s="996">
        <f t="shared" si="21"/>
        <v>10.11</v>
      </c>
      <c r="AJ140" s="521">
        <v>0</v>
      </c>
      <c r="AK140" s="520">
        <f t="shared" si="24"/>
        <v>10.11</v>
      </c>
      <c r="AL140" s="695" t="s">
        <v>1730</v>
      </c>
      <c r="AM140" s="669">
        <f t="shared" si="25"/>
        <v>55.83</v>
      </c>
    </row>
    <row r="141" spans="1:39" s="500" customFormat="1" ht="13.5" thickBot="1">
      <c r="A141" s="539" t="s">
        <v>980</v>
      </c>
      <c r="B141" s="539" t="s">
        <v>1302</v>
      </c>
      <c r="C141" s="548" t="s">
        <v>37</v>
      </c>
      <c r="D141" s="962">
        <f>3*3.25*0.79</f>
        <v>7.7025000000000006</v>
      </c>
      <c r="E141" s="968">
        <f>3.25*0.79</f>
        <v>2.5674999999999999</v>
      </c>
      <c r="F141" s="726"/>
      <c r="G141" s="520"/>
      <c r="H141" s="968">
        <f>8*0.79</f>
        <v>6.32</v>
      </c>
      <c r="I141" s="968">
        <f>3.5*0.79-0.96</f>
        <v>1.8050000000000002</v>
      </c>
      <c r="J141" s="520"/>
      <c r="L141" s="971"/>
      <c r="M141" s="726"/>
      <c r="N141" s="514"/>
      <c r="O141" s="514"/>
      <c r="P141" s="514"/>
      <c r="Q141" s="522"/>
      <c r="R141" s="522"/>
      <c r="S141" s="514"/>
      <c r="T141" s="726"/>
      <c r="U141" s="514"/>
      <c r="V141" s="514"/>
      <c r="W141" s="514"/>
      <c r="X141" s="514"/>
      <c r="Y141" s="514"/>
      <c r="Z141" s="514"/>
      <c r="AA141" s="726"/>
      <c r="AB141" s="698"/>
      <c r="AC141" s="698"/>
      <c r="AD141" s="514"/>
      <c r="AE141" s="698"/>
      <c r="AF141" s="698"/>
      <c r="AG141" s="527"/>
      <c r="AH141" s="698"/>
      <c r="AI141" s="996">
        <f t="shared" si="21"/>
        <v>18.399999999999999</v>
      </c>
      <c r="AJ141" s="521">
        <v>0</v>
      </c>
      <c r="AK141" s="520">
        <f t="shared" si="24"/>
        <v>18.399999999999999</v>
      </c>
      <c r="AL141" s="695" t="s">
        <v>1590</v>
      </c>
      <c r="AM141" s="669">
        <f t="shared" si="25"/>
        <v>31.259999999999998</v>
      </c>
    </row>
    <row r="142" spans="1:39" s="843" customFormat="1">
      <c r="A142" s="949" t="s">
        <v>511</v>
      </c>
      <c r="B142" s="949" t="s">
        <v>1383</v>
      </c>
      <c r="C142" s="951"/>
      <c r="D142" s="519"/>
      <c r="E142" s="520"/>
      <c r="F142" s="726"/>
      <c r="G142" s="520"/>
      <c r="H142" s="520"/>
      <c r="I142" s="521"/>
      <c r="J142" s="521"/>
      <c r="K142" s="521"/>
      <c r="L142" s="514"/>
      <c r="M142" s="726"/>
      <c r="N142" s="514"/>
      <c r="O142" s="514"/>
      <c r="P142" s="514"/>
      <c r="Q142" s="522"/>
      <c r="R142" s="522"/>
      <c r="S142" s="514"/>
      <c r="T142" s="726"/>
      <c r="U142" s="514"/>
      <c r="V142" s="514"/>
      <c r="W142" s="514"/>
      <c r="X142" s="514"/>
      <c r="Y142" s="514"/>
      <c r="Z142" s="514"/>
      <c r="AA142" s="726"/>
      <c r="AB142" s="514"/>
      <c r="AC142" s="514"/>
      <c r="AD142" s="514"/>
      <c r="AE142" s="698"/>
      <c r="AF142" s="514"/>
      <c r="AG142" s="527"/>
      <c r="AH142" s="789"/>
      <c r="AI142" s="664">
        <f t="shared" ref="AI142:AI145" si="26">ROUND((SUM(D142:AH142)),2)</f>
        <v>0</v>
      </c>
      <c r="AJ142" s="836">
        <v>0</v>
      </c>
      <c r="AK142" s="835">
        <f t="shared" ref="AK142:AK145" si="27">AI142+AJ142</f>
        <v>0</v>
      </c>
      <c r="AL142" s="848"/>
      <c r="AM142" s="842">
        <f t="shared" ref="AM142:AM145" si="28">AL142-AK142</f>
        <v>0</v>
      </c>
    </row>
    <row r="143" spans="1:39" s="500" customFormat="1">
      <c r="A143" s="440" t="s">
        <v>512</v>
      </c>
      <c r="B143" s="543" t="s">
        <v>1384</v>
      </c>
      <c r="C143" s="616"/>
      <c r="D143" s="519"/>
      <c r="E143" s="520"/>
      <c r="F143" s="726"/>
      <c r="G143" s="520"/>
      <c r="H143" s="520"/>
      <c r="I143" s="521"/>
      <c r="J143" s="521"/>
      <c r="K143" s="521"/>
      <c r="L143" s="514"/>
      <c r="M143" s="726"/>
      <c r="N143" s="514"/>
      <c r="O143" s="514"/>
      <c r="P143" s="514"/>
      <c r="Q143" s="522"/>
      <c r="R143" s="522"/>
      <c r="S143" s="514"/>
      <c r="T143" s="726"/>
      <c r="U143" s="514"/>
      <c r="V143" s="514"/>
      <c r="W143" s="514"/>
      <c r="X143" s="514"/>
      <c r="Y143" s="514"/>
      <c r="Z143" s="514"/>
      <c r="AA143" s="726"/>
      <c r="AB143" s="514"/>
      <c r="AC143" s="514"/>
      <c r="AD143" s="514"/>
      <c r="AE143" s="698"/>
      <c r="AF143" s="514"/>
      <c r="AG143" s="527"/>
      <c r="AH143" s="789"/>
      <c r="AI143" s="664">
        <f t="shared" si="26"/>
        <v>0</v>
      </c>
      <c r="AJ143" s="521">
        <v>0</v>
      </c>
      <c r="AK143" s="520">
        <f t="shared" si="27"/>
        <v>0</v>
      </c>
      <c r="AL143" s="695"/>
      <c r="AM143" s="669">
        <f t="shared" si="28"/>
        <v>0</v>
      </c>
    </row>
    <row r="144" spans="1:39" s="500" customFormat="1">
      <c r="A144" s="542" t="s">
        <v>1058</v>
      </c>
      <c r="B144" s="542" t="s">
        <v>1390</v>
      </c>
      <c r="C144" s="616"/>
      <c r="D144" s="519"/>
      <c r="E144" s="520"/>
      <c r="F144" s="726"/>
      <c r="G144" s="520"/>
      <c r="H144" s="520"/>
      <c r="I144" s="521"/>
      <c r="J144" s="521"/>
      <c r="K144" s="521"/>
      <c r="L144" s="514"/>
      <c r="M144" s="726"/>
      <c r="N144" s="514"/>
      <c r="O144" s="514"/>
      <c r="P144" s="514"/>
      <c r="Q144" s="522"/>
      <c r="R144" s="522"/>
      <c r="S144" s="514"/>
      <c r="T144" s="726"/>
      <c r="U144" s="514"/>
      <c r="V144" s="514"/>
      <c r="W144" s="514"/>
      <c r="X144" s="514"/>
      <c r="Y144" s="514"/>
      <c r="Z144" s="514"/>
      <c r="AA144" s="726"/>
      <c r="AB144" s="514"/>
      <c r="AC144" s="514"/>
      <c r="AD144" s="514"/>
      <c r="AE144" s="698"/>
      <c r="AF144" s="514"/>
      <c r="AG144" s="527"/>
      <c r="AH144" s="789"/>
      <c r="AI144" s="664">
        <f t="shared" si="26"/>
        <v>0</v>
      </c>
      <c r="AJ144" s="521">
        <v>0</v>
      </c>
      <c r="AK144" s="520">
        <f t="shared" si="27"/>
        <v>0</v>
      </c>
      <c r="AL144" s="695"/>
      <c r="AM144" s="669">
        <f t="shared" si="28"/>
        <v>0</v>
      </c>
    </row>
    <row r="145" spans="1:39" s="500" customFormat="1" ht="13.5" thickBot="1">
      <c r="A145" s="539" t="s">
        <v>1059</v>
      </c>
      <c r="B145" s="539" t="s">
        <v>1390</v>
      </c>
      <c r="C145" s="548" t="s">
        <v>1452</v>
      </c>
      <c r="D145" s="519"/>
      <c r="E145" s="520"/>
      <c r="F145" s="726"/>
      <c r="G145" s="520"/>
      <c r="H145" s="520"/>
      <c r="I145" s="521"/>
      <c r="J145" s="521"/>
      <c r="K145" s="521"/>
      <c r="L145" s="514"/>
      <c r="M145" s="726"/>
      <c r="N145" s="522"/>
      <c r="O145" s="514"/>
      <c r="P145" s="514"/>
      <c r="Q145" s="522"/>
      <c r="R145" s="522"/>
      <c r="S145" s="514"/>
      <c r="T145" s="726"/>
      <c r="U145" s="514"/>
      <c r="V145" s="514"/>
      <c r="W145" s="514"/>
      <c r="X145" s="514"/>
      <c r="Y145" s="514"/>
      <c r="Z145" s="514"/>
      <c r="AA145" s="726"/>
      <c r="AB145" s="972">
        <v>10</v>
      </c>
      <c r="AC145" s="972">
        <v>3</v>
      </c>
      <c r="AD145" s="514"/>
      <c r="AE145" s="698"/>
      <c r="AF145" s="514"/>
      <c r="AG145" s="527"/>
      <c r="AH145" s="789"/>
      <c r="AI145" s="996">
        <f t="shared" si="26"/>
        <v>13</v>
      </c>
      <c r="AJ145" s="521">
        <v>0</v>
      </c>
      <c r="AK145" s="520">
        <f t="shared" si="27"/>
        <v>13</v>
      </c>
      <c r="AL145" s="695" t="s">
        <v>1763</v>
      </c>
      <c r="AM145" s="669">
        <f t="shared" si="28"/>
        <v>30</v>
      </c>
    </row>
    <row r="146" spans="1:39" ht="13.5" thickBot="1">
      <c r="A146" s="556"/>
      <c r="B146" s="557" t="s">
        <v>2</v>
      </c>
      <c r="C146" s="531"/>
      <c r="D146" s="794"/>
      <c r="E146" s="794"/>
      <c r="F146" s="796"/>
      <c r="G146" s="795"/>
      <c r="H146" s="795"/>
      <c r="I146" s="794"/>
      <c r="J146" s="795"/>
      <c r="K146" s="795"/>
      <c r="L146" s="791"/>
      <c r="M146" s="796"/>
      <c r="N146" s="791"/>
      <c r="O146" s="791"/>
      <c r="P146" s="791"/>
      <c r="Q146" s="983"/>
      <c r="R146" s="983"/>
      <c r="S146" s="791"/>
      <c r="T146" s="796"/>
      <c r="U146" s="791"/>
      <c r="V146" s="791"/>
      <c r="W146" s="791"/>
      <c r="X146" s="791"/>
      <c r="Y146" s="791"/>
      <c r="Z146" s="791"/>
      <c r="AA146" s="796"/>
      <c r="AB146" s="791"/>
      <c r="AC146" s="791"/>
      <c r="AD146" s="791"/>
      <c r="AE146" s="941"/>
      <c r="AF146" s="791"/>
      <c r="AG146" s="791"/>
      <c r="AH146" s="791"/>
      <c r="AI146" s="664">
        <f t="shared" ref="AI146" si="29">ROUND((SUM(D146:AH146)),2)</f>
        <v>0</v>
      </c>
      <c r="AJ146" s="671"/>
      <c r="AK146" s="671"/>
      <c r="AL146" s="696">
        <f>AK146/10</f>
        <v>0</v>
      </c>
      <c r="AM146" s="669">
        <f t="shared" ref="AM146" si="30">AL146-AK146</f>
        <v>0</v>
      </c>
    </row>
    <row r="147" spans="1:39">
      <c r="A147" s="552" t="s">
        <v>288</v>
      </c>
    </row>
    <row r="149" spans="1:39">
      <c r="B149" s="550" t="s">
        <v>1801</v>
      </c>
    </row>
    <row r="150" spans="1:39">
      <c r="B150" s="550" t="s">
        <v>289</v>
      </c>
    </row>
    <row r="151" spans="1:39">
      <c r="L151" s="699"/>
      <c r="M151" s="699"/>
      <c r="N151" s="699"/>
      <c r="O151" s="699"/>
      <c r="P151" s="799"/>
      <c r="Q151" s="671"/>
      <c r="R151" s="671"/>
      <c r="S151" s="699"/>
      <c r="T151" s="699"/>
      <c r="U151" s="699"/>
      <c r="V151" s="699"/>
      <c r="W151" s="799"/>
      <c r="X151" s="699"/>
      <c r="Y151" s="699"/>
      <c r="Z151" s="699"/>
      <c r="AA151" s="699"/>
      <c r="AB151" s="699"/>
      <c r="AC151" s="699"/>
      <c r="AD151" s="799"/>
      <c r="AE151" s="942"/>
      <c r="AF151" s="699"/>
      <c r="AG151" s="811"/>
      <c r="AH151" s="699"/>
      <c r="AI151" s="671"/>
      <c r="AJ151" s="671">
        <v>416.4</v>
      </c>
    </row>
    <row r="152" spans="1:39">
      <c r="L152" s="527" t="e">
        <f>#REF!-#REF!</f>
        <v>#REF!</v>
      </c>
      <c r="M152" s="527"/>
      <c r="N152" s="527"/>
      <c r="O152" s="527"/>
      <c r="P152" s="727"/>
      <c r="Q152" s="521"/>
      <c r="R152" s="521"/>
      <c r="S152" s="527"/>
      <c r="T152" s="527"/>
      <c r="U152" s="527"/>
      <c r="V152" s="527"/>
      <c r="W152" s="727"/>
      <c r="X152" s="527"/>
      <c r="Y152" s="527"/>
      <c r="Z152" s="527"/>
      <c r="AA152" s="527"/>
      <c r="AB152" s="527"/>
      <c r="AC152" s="527"/>
      <c r="AD152" s="727"/>
      <c r="AE152" s="868"/>
      <c r="AF152" s="527"/>
      <c r="AG152" s="812"/>
      <c r="AH152" s="527"/>
      <c r="AI152" s="521" t="e">
        <f>SUM(L152:L152)</f>
        <v>#REF!</v>
      </c>
      <c r="AJ152" s="521" t="e">
        <f>AJ151-AI152</f>
        <v>#REF!</v>
      </c>
      <c r="AK152" s="498" t="s">
        <v>1925</v>
      </c>
    </row>
    <row r="167" spans="2:2">
      <c r="B167" s="552"/>
    </row>
  </sheetData>
  <mergeCells count="6">
    <mergeCell ref="A1:K1"/>
    <mergeCell ref="A2:K2"/>
    <mergeCell ref="B4:K4"/>
    <mergeCell ref="B5:K5"/>
    <mergeCell ref="A9:A10"/>
    <mergeCell ref="B9:B10"/>
  </mergeCells>
  <conditionalFormatting sqref="Z89">
    <cfRule type="cellIs" dxfId="29" priority="1" operator="lessThan">
      <formula>0</formula>
    </cfRule>
    <cfRule type="cellIs" dxfId="28" priority="2" operator="lessThan">
      <formula>0</formula>
    </cfRule>
  </conditionalFormatting>
  <pageMargins left="0.7" right="0.7" top="0.75" bottom="0.75" header="0.3" footer="0.3"/>
  <pageSetup scale="22" orientation="portrait" r:id="rId1"/>
  <colBreaks count="1" manualBreakCount="1">
    <brk id="39" max="1048575" man="1"/>
  </colBreaks>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2060"/>
  </sheetPr>
  <dimension ref="A1:AS146"/>
  <sheetViews>
    <sheetView workbookViewId="0">
      <selection sqref="A1:X1"/>
    </sheetView>
  </sheetViews>
  <sheetFormatPr baseColWidth="10" defaultColWidth="11.42578125" defaultRowHeight="12.75"/>
  <cols>
    <col min="1" max="1" width="10.42578125" style="552" customWidth="1"/>
    <col min="2" max="2" width="99.42578125" style="550" customWidth="1"/>
    <col min="3" max="3" width="5" style="498" customWidth="1"/>
    <col min="4" max="5" width="9.42578125" style="498" customWidth="1"/>
    <col min="6" max="29" width="7" style="498" customWidth="1"/>
    <col min="30" max="33" width="7" style="499" customWidth="1"/>
    <col min="34" max="34" width="7" style="499" hidden="1" customWidth="1"/>
    <col min="35" max="35" width="9.42578125" style="500" customWidth="1"/>
    <col min="36" max="36" width="9.42578125" style="498" customWidth="1"/>
    <col min="37" max="37" width="11.42578125" style="498"/>
    <col min="38" max="38" width="14.42578125" style="498" customWidth="1"/>
    <col min="39" max="256" width="11.42578125" style="498"/>
    <col min="257" max="257" width="6.42578125" style="498" customWidth="1"/>
    <col min="258" max="258" width="47.5703125" style="498" customWidth="1"/>
    <col min="259" max="260" width="5" style="498" customWidth="1"/>
    <col min="261" max="261" width="5.42578125" style="498" customWidth="1"/>
    <col min="262" max="262" width="4.5703125" style="498" customWidth="1"/>
    <col min="263" max="264" width="4.42578125" style="498" customWidth="1"/>
    <col min="265" max="265" width="3.5703125" style="498" customWidth="1"/>
    <col min="266" max="266" width="5" style="498" customWidth="1"/>
    <col min="267" max="267" width="4" style="498" customWidth="1"/>
    <col min="268" max="269" width="4.5703125" style="498" customWidth="1"/>
    <col min="270" max="270" width="4.42578125" style="498" customWidth="1"/>
    <col min="271" max="271" width="4" style="498" customWidth="1"/>
    <col min="272" max="272" width="3.5703125" style="498" customWidth="1"/>
    <col min="273" max="274" width="4.5703125" style="498" customWidth="1"/>
    <col min="275" max="275" width="4" style="498" customWidth="1"/>
    <col min="276" max="277" width="4.42578125" style="498" customWidth="1"/>
    <col min="278" max="278" width="3.5703125" style="498" customWidth="1"/>
    <col min="279" max="279" width="4.42578125" style="498" customWidth="1"/>
    <col min="280" max="280" width="5.5703125" style="498" customWidth="1"/>
    <col min="281" max="281" width="3.5703125" style="498" customWidth="1"/>
    <col min="282" max="282" width="4" style="498" customWidth="1"/>
    <col min="283" max="283" width="4.5703125" style="498" customWidth="1"/>
    <col min="284" max="286" width="4.42578125" style="498" customWidth="1"/>
    <col min="287" max="288" width="4.5703125" style="498" customWidth="1"/>
    <col min="289" max="289" width="4" style="498" customWidth="1"/>
    <col min="290" max="290" width="4.5703125" style="498" customWidth="1"/>
    <col min="291" max="291" width="6" style="498" customWidth="1"/>
    <col min="292" max="292" width="8.5703125" style="498" customWidth="1"/>
    <col min="293" max="512" width="11.42578125" style="498"/>
    <col min="513" max="513" width="6.42578125" style="498" customWidth="1"/>
    <col min="514" max="514" width="47.5703125" style="498" customWidth="1"/>
    <col min="515" max="516" width="5" style="498" customWidth="1"/>
    <col min="517" max="517" width="5.42578125" style="498" customWidth="1"/>
    <col min="518" max="518" width="4.5703125" style="498" customWidth="1"/>
    <col min="519" max="520" width="4.42578125" style="498" customWidth="1"/>
    <col min="521" max="521" width="3.5703125" style="498" customWidth="1"/>
    <col min="522" max="522" width="5" style="498" customWidth="1"/>
    <col min="523" max="523" width="4" style="498" customWidth="1"/>
    <col min="524" max="525" width="4.5703125" style="498" customWidth="1"/>
    <col min="526" max="526" width="4.42578125" style="498" customWidth="1"/>
    <col min="527" max="527" width="4" style="498" customWidth="1"/>
    <col min="528" max="528" width="3.5703125" style="498" customWidth="1"/>
    <col min="529" max="530" width="4.5703125" style="498" customWidth="1"/>
    <col min="531" max="531" width="4" style="498" customWidth="1"/>
    <col min="532" max="533" width="4.42578125" style="498" customWidth="1"/>
    <col min="534" max="534" width="3.5703125" style="498" customWidth="1"/>
    <col min="535" max="535" width="4.42578125" style="498" customWidth="1"/>
    <col min="536" max="536" width="5.5703125" style="498" customWidth="1"/>
    <col min="537" max="537" width="3.5703125" style="498" customWidth="1"/>
    <col min="538" max="538" width="4" style="498" customWidth="1"/>
    <col min="539" max="539" width="4.5703125" style="498" customWidth="1"/>
    <col min="540" max="542" width="4.42578125" style="498" customWidth="1"/>
    <col min="543" max="544" width="4.5703125" style="498" customWidth="1"/>
    <col min="545" max="545" width="4" style="498" customWidth="1"/>
    <col min="546" max="546" width="4.5703125" style="498" customWidth="1"/>
    <col min="547" max="547" width="6" style="498" customWidth="1"/>
    <col min="548" max="548" width="8.5703125" style="498" customWidth="1"/>
    <col min="549" max="768" width="11.42578125" style="498"/>
    <col min="769" max="769" width="6.42578125" style="498" customWidth="1"/>
    <col min="770" max="770" width="47.5703125" style="498" customWidth="1"/>
    <col min="771" max="772" width="5" style="498" customWidth="1"/>
    <col min="773" max="773" width="5.42578125" style="498" customWidth="1"/>
    <col min="774" max="774" width="4.5703125" style="498" customWidth="1"/>
    <col min="775" max="776" width="4.42578125" style="498" customWidth="1"/>
    <col min="777" max="777" width="3.5703125" style="498" customWidth="1"/>
    <col min="778" max="778" width="5" style="498" customWidth="1"/>
    <col min="779" max="779" width="4" style="498" customWidth="1"/>
    <col min="780" max="781" width="4.5703125" style="498" customWidth="1"/>
    <col min="782" max="782" width="4.42578125" style="498" customWidth="1"/>
    <col min="783" max="783" width="4" style="498" customWidth="1"/>
    <col min="784" max="784" width="3.5703125" style="498" customWidth="1"/>
    <col min="785" max="786" width="4.5703125" style="498" customWidth="1"/>
    <col min="787" max="787" width="4" style="498" customWidth="1"/>
    <col min="788" max="789" width="4.42578125" style="498" customWidth="1"/>
    <col min="790" max="790" width="3.5703125" style="498" customWidth="1"/>
    <col min="791" max="791" width="4.42578125" style="498" customWidth="1"/>
    <col min="792" max="792" width="5.5703125" style="498" customWidth="1"/>
    <col min="793" max="793" width="3.5703125" style="498" customWidth="1"/>
    <col min="794" max="794" width="4" style="498" customWidth="1"/>
    <col min="795" max="795" width="4.5703125" style="498" customWidth="1"/>
    <col min="796" max="798" width="4.42578125" style="498" customWidth="1"/>
    <col min="799" max="800" width="4.5703125" style="498" customWidth="1"/>
    <col min="801" max="801" width="4" style="498" customWidth="1"/>
    <col min="802" max="802" width="4.5703125" style="498" customWidth="1"/>
    <col min="803" max="803" width="6" style="498" customWidth="1"/>
    <col min="804" max="804" width="8.5703125" style="498" customWidth="1"/>
    <col min="805" max="1024" width="11.42578125" style="498"/>
    <col min="1025" max="1025" width="6.42578125" style="498" customWidth="1"/>
    <col min="1026" max="1026" width="47.5703125" style="498" customWidth="1"/>
    <col min="1027" max="1028" width="5" style="498" customWidth="1"/>
    <col min="1029" max="1029" width="5.42578125" style="498" customWidth="1"/>
    <col min="1030" max="1030" width="4.5703125" style="498" customWidth="1"/>
    <col min="1031" max="1032" width="4.42578125" style="498" customWidth="1"/>
    <col min="1033" max="1033" width="3.5703125" style="498" customWidth="1"/>
    <col min="1034" max="1034" width="5" style="498" customWidth="1"/>
    <col min="1035" max="1035" width="4" style="498" customWidth="1"/>
    <col min="1036" max="1037" width="4.5703125" style="498" customWidth="1"/>
    <col min="1038" max="1038" width="4.42578125" style="498" customWidth="1"/>
    <col min="1039" max="1039" width="4" style="498" customWidth="1"/>
    <col min="1040" max="1040" width="3.5703125" style="498" customWidth="1"/>
    <col min="1041" max="1042" width="4.5703125" style="498" customWidth="1"/>
    <col min="1043" max="1043" width="4" style="498" customWidth="1"/>
    <col min="1044" max="1045" width="4.42578125" style="498" customWidth="1"/>
    <col min="1046" max="1046" width="3.5703125" style="498" customWidth="1"/>
    <col min="1047" max="1047" width="4.42578125" style="498" customWidth="1"/>
    <col min="1048" max="1048" width="5.5703125" style="498" customWidth="1"/>
    <col min="1049" max="1049" width="3.5703125" style="498" customWidth="1"/>
    <col min="1050" max="1050" width="4" style="498" customWidth="1"/>
    <col min="1051" max="1051" width="4.5703125" style="498" customWidth="1"/>
    <col min="1052" max="1054" width="4.42578125" style="498" customWidth="1"/>
    <col min="1055" max="1056" width="4.5703125" style="498" customWidth="1"/>
    <col min="1057" max="1057" width="4" style="498" customWidth="1"/>
    <col min="1058" max="1058" width="4.5703125" style="498" customWidth="1"/>
    <col min="1059" max="1059" width="6" style="498" customWidth="1"/>
    <col min="1060" max="1060" width="8.5703125" style="498" customWidth="1"/>
    <col min="1061" max="1280" width="11.42578125" style="498"/>
    <col min="1281" max="1281" width="6.42578125" style="498" customWidth="1"/>
    <col min="1282" max="1282" width="47.5703125" style="498" customWidth="1"/>
    <col min="1283" max="1284" width="5" style="498" customWidth="1"/>
    <col min="1285" max="1285" width="5.42578125" style="498" customWidth="1"/>
    <col min="1286" max="1286" width="4.5703125" style="498" customWidth="1"/>
    <col min="1287" max="1288" width="4.42578125" style="498" customWidth="1"/>
    <col min="1289" max="1289" width="3.5703125" style="498" customWidth="1"/>
    <col min="1290" max="1290" width="5" style="498" customWidth="1"/>
    <col min="1291" max="1291" width="4" style="498" customWidth="1"/>
    <col min="1292" max="1293" width="4.5703125" style="498" customWidth="1"/>
    <col min="1294" max="1294" width="4.42578125" style="498" customWidth="1"/>
    <col min="1295" max="1295" width="4" style="498" customWidth="1"/>
    <col min="1296" max="1296" width="3.5703125" style="498" customWidth="1"/>
    <col min="1297" max="1298" width="4.5703125" style="498" customWidth="1"/>
    <col min="1299" max="1299" width="4" style="498" customWidth="1"/>
    <col min="1300" max="1301" width="4.42578125" style="498" customWidth="1"/>
    <col min="1302" max="1302" width="3.5703125" style="498" customWidth="1"/>
    <col min="1303" max="1303" width="4.42578125" style="498" customWidth="1"/>
    <col min="1304" max="1304" width="5.5703125" style="498" customWidth="1"/>
    <col min="1305" max="1305" width="3.5703125" style="498" customWidth="1"/>
    <col min="1306" max="1306" width="4" style="498" customWidth="1"/>
    <col min="1307" max="1307" width="4.5703125" style="498" customWidth="1"/>
    <col min="1308" max="1310" width="4.42578125" style="498" customWidth="1"/>
    <col min="1311" max="1312" width="4.5703125" style="498" customWidth="1"/>
    <col min="1313" max="1313" width="4" style="498" customWidth="1"/>
    <col min="1314" max="1314" width="4.5703125" style="498" customWidth="1"/>
    <col min="1315" max="1315" width="6" style="498" customWidth="1"/>
    <col min="1316" max="1316" width="8.5703125" style="498" customWidth="1"/>
    <col min="1317" max="1536" width="11.42578125" style="498"/>
    <col min="1537" max="1537" width="6.42578125" style="498" customWidth="1"/>
    <col min="1538" max="1538" width="47.5703125" style="498" customWidth="1"/>
    <col min="1539" max="1540" width="5" style="498" customWidth="1"/>
    <col min="1541" max="1541" width="5.42578125" style="498" customWidth="1"/>
    <col min="1542" max="1542" width="4.5703125" style="498" customWidth="1"/>
    <col min="1543" max="1544" width="4.42578125" style="498" customWidth="1"/>
    <col min="1545" max="1545" width="3.5703125" style="498" customWidth="1"/>
    <col min="1546" max="1546" width="5" style="498" customWidth="1"/>
    <col min="1547" max="1547" width="4" style="498" customWidth="1"/>
    <col min="1548" max="1549" width="4.5703125" style="498" customWidth="1"/>
    <col min="1550" max="1550" width="4.42578125" style="498" customWidth="1"/>
    <col min="1551" max="1551" width="4" style="498" customWidth="1"/>
    <col min="1552" max="1552" width="3.5703125" style="498" customWidth="1"/>
    <col min="1553" max="1554" width="4.5703125" style="498" customWidth="1"/>
    <col min="1555" max="1555" width="4" style="498" customWidth="1"/>
    <col min="1556" max="1557" width="4.42578125" style="498" customWidth="1"/>
    <col min="1558" max="1558" width="3.5703125" style="498" customWidth="1"/>
    <col min="1559" max="1559" width="4.42578125" style="498" customWidth="1"/>
    <col min="1560" max="1560" width="5.5703125" style="498" customWidth="1"/>
    <col min="1561" max="1561" width="3.5703125" style="498" customWidth="1"/>
    <col min="1562" max="1562" width="4" style="498" customWidth="1"/>
    <col min="1563" max="1563" width="4.5703125" style="498" customWidth="1"/>
    <col min="1564" max="1566" width="4.42578125" style="498" customWidth="1"/>
    <col min="1567" max="1568" width="4.5703125" style="498" customWidth="1"/>
    <col min="1569" max="1569" width="4" style="498" customWidth="1"/>
    <col min="1570" max="1570" width="4.5703125" style="498" customWidth="1"/>
    <col min="1571" max="1571" width="6" style="498" customWidth="1"/>
    <col min="1572" max="1572" width="8.5703125" style="498" customWidth="1"/>
    <col min="1573" max="1792" width="11.42578125" style="498"/>
    <col min="1793" max="1793" width="6.42578125" style="498" customWidth="1"/>
    <col min="1794" max="1794" width="47.5703125" style="498" customWidth="1"/>
    <col min="1795" max="1796" width="5" style="498" customWidth="1"/>
    <col min="1797" max="1797" width="5.42578125" style="498" customWidth="1"/>
    <col min="1798" max="1798" width="4.5703125" style="498" customWidth="1"/>
    <col min="1799" max="1800" width="4.42578125" style="498" customWidth="1"/>
    <col min="1801" max="1801" width="3.5703125" style="498" customWidth="1"/>
    <col min="1802" max="1802" width="5" style="498" customWidth="1"/>
    <col min="1803" max="1803" width="4" style="498" customWidth="1"/>
    <col min="1804" max="1805" width="4.5703125" style="498" customWidth="1"/>
    <col min="1806" max="1806" width="4.42578125" style="498" customWidth="1"/>
    <col min="1807" max="1807" width="4" style="498" customWidth="1"/>
    <col min="1808" max="1808" width="3.5703125" style="498" customWidth="1"/>
    <col min="1809" max="1810" width="4.5703125" style="498" customWidth="1"/>
    <col min="1811" max="1811" width="4" style="498" customWidth="1"/>
    <col min="1812" max="1813" width="4.42578125" style="498" customWidth="1"/>
    <col min="1814" max="1814" width="3.5703125" style="498" customWidth="1"/>
    <col min="1815" max="1815" width="4.42578125" style="498" customWidth="1"/>
    <col min="1816" max="1816" width="5.5703125" style="498" customWidth="1"/>
    <col min="1817" max="1817" width="3.5703125" style="498" customWidth="1"/>
    <col min="1818" max="1818" width="4" style="498" customWidth="1"/>
    <col min="1819" max="1819" width="4.5703125" style="498" customWidth="1"/>
    <col min="1820" max="1822" width="4.42578125" style="498" customWidth="1"/>
    <col min="1823" max="1824" width="4.5703125" style="498" customWidth="1"/>
    <col min="1825" max="1825" width="4" style="498" customWidth="1"/>
    <col min="1826" max="1826" width="4.5703125" style="498" customWidth="1"/>
    <col min="1827" max="1827" width="6" style="498" customWidth="1"/>
    <col min="1828" max="1828" width="8.5703125" style="498" customWidth="1"/>
    <col min="1829" max="2048" width="11.42578125" style="498"/>
    <col min="2049" max="2049" width="6.42578125" style="498" customWidth="1"/>
    <col min="2050" max="2050" width="47.5703125" style="498" customWidth="1"/>
    <col min="2051" max="2052" width="5" style="498" customWidth="1"/>
    <col min="2053" max="2053" width="5.42578125" style="498" customWidth="1"/>
    <col min="2054" max="2054" width="4.5703125" style="498" customWidth="1"/>
    <col min="2055" max="2056" width="4.42578125" style="498" customWidth="1"/>
    <col min="2057" max="2057" width="3.5703125" style="498" customWidth="1"/>
    <col min="2058" max="2058" width="5" style="498" customWidth="1"/>
    <col min="2059" max="2059" width="4" style="498" customWidth="1"/>
    <col min="2060" max="2061" width="4.5703125" style="498" customWidth="1"/>
    <col min="2062" max="2062" width="4.42578125" style="498" customWidth="1"/>
    <col min="2063" max="2063" width="4" style="498" customWidth="1"/>
    <col min="2064" max="2064" width="3.5703125" style="498" customWidth="1"/>
    <col min="2065" max="2066" width="4.5703125" style="498" customWidth="1"/>
    <col min="2067" max="2067" width="4" style="498" customWidth="1"/>
    <col min="2068" max="2069" width="4.42578125" style="498" customWidth="1"/>
    <col min="2070" max="2070" width="3.5703125" style="498" customWidth="1"/>
    <col min="2071" max="2071" width="4.42578125" style="498" customWidth="1"/>
    <col min="2072" max="2072" width="5.5703125" style="498" customWidth="1"/>
    <col min="2073" max="2073" width="3.5703125" style="498" customWidth="1"/>
    <col min="2074" max="2074" width="4" style="498" customWidth="1"/>
    <col min="2075" max="2075" width="4.5703125" style="498" customWidth="1"/>
    <col min="2076" max="2078" width="4.42578125" style="498" customWidth="1"/>
    <col min="2079" max="2080" width="4.5703125" style="498" customWidth="1"/>
    <col min="2081" max="2081" width="4" style="498" customWidth="1"/>
    <col min="2082" max="2082" width="4.5703125" style="498" customWidth="1"/>
    <col min="2083" max="2083" width="6" style="498" customWidth="1"/>
    <col min="2084" max="2084" width="8.5703125" style="498" customWidth="1"/>
    <col min="2085" max="2304" width="11.42578125" style="498"/>
    <col min="2305" max="2305" width="6.42578125" style="498" customWidth="1"/>
    <col min="2306" max="2306" width="47.5703125" style="498" customWidth="1"/>
    <col min="2307" max="2308" width="5" style="498" customWidth="1"/>
    <col min="2309" max="2309" width="5.42578125" style="498" customWidth="1"/>
    <col min="2310" max="2310" width="4.5703125" style="498" customWidth="1"/>
    <col min="2311" max="2312" width="4.42578125" style="498" customWidth="1"/>
    <col min="2313" max="2313" width="3.5703125" style="498" customWidth="1"/>
    <col min="2314" max="2314" width="5" style="498" customWidth="1"/>
    <col min="2315" max="2315" width="4" style="498" customWidth="1"/>
    <col min="2316" max="2317" width="4.5703125" style="498" customWidth="1"/>
    <col min="2318" max="2318" width="4.42578125" style="498" customWidth="1"/>
    <col min="2319" max="2319" width="4" style="498" customWidth="1"/>
    <col min="2320" max="2320" width="3.5703125" style="498" customWidth="1"/>
    <col min="2321" max="2322" width="4.5703125" style="498" customWidth="1"/>
    <col min="2323" max="2323" width="4" style="498" customWidth="1"/>
    <col min="2324" max="2325" width="4.42578125" style="498" customWidth="1"/>
    <col min="2326" max="2326" width="3.5703125" style="498" customWidth="1"/>
    <col min="2327" max="2327" width="4.42578125" style="498" customWidth="1"/>
    <col min="2328" max="2328" width="5.5703125" style="498" customWidth="1"/>
    <col min="2329" max="2329" width="3.5703125" style="498" customWidth="1"/>
    <col min="2330" max="2330" width="4" style="498" customWidth="1"/>
    <col min="2331" max="2331" width="4.5703125" style="498" customWidth="1"/>
    <col min="2332" max="2334" width="4.42578125" style="498" customWidth="1"/>
    <col min="2335" max="2336" width="4.5703125" style="498" customWidth="1"/>
    <col min="2337" max="2337" width="4" style="498" customWidth="1"/>
    <col min="2338" max="2338" width="4.5703125" style="498" customWidth="1"/>
    <col min="2339" max="2339" width="6" style="498" customWidth="1"/>
    <col min="2340" max="2340" width="8.5703125" style="498" customWidth="1"/>
    <col min="2341" max="2560" width="11.42578125" style="498"/>
    <col min="2561" max="2561" width="6.42578125" style="498" customWidth="1"/>
    <col min="2562" max="2562" width="47.5703125" style="498" customWidth="1"/>
    <col min="2563" max="2564" width="5" style="498" customWidth="1"/>
    <col min="2565" max="2565" width="5.42578125" style="498" customWidth="1"/>
    <col min="2566" max="2566" width="4.5703125" style="498" customWidth="1"/>
    <col min="2567" max="2568" width="4.42578125" style="498" customWidth="1"/>
    <col min="2569" max="2569" width="3.5703125" style="498" customWidth="1"/>
    <col min="2570" max="2570" width="5" style="498" customWidth="1"/>
    <col min="2571" max="2571" width="4" style="498" customWidth="1"/>
    <col min="2572" max="2573" width="4.5703125" style="498" customWidth="1"/>
    <col min="2574" max="2574" width="4.42578125" style="498" customWidth="1"/>
    <col min="2575" max="2575" width="4" style="498" customWidth="1"/>
    <col min="2576" max="2576" width="3.5703125" style="498" customWidth="1"/>
    <col min="2577" max="2578" width="4.5703125" style="498" customWidth="1"/>
    <col min="2579" max="2579" width="4" style="498" customWidth="1"/>
    <col min="2580" max="2581" width="4.42578125" style="498" customWidth="1"/>
    <col min="2582" max="2582" width="3.5703125" style="498" customWidth="1"/>
    <col min="2583" max="2583" width="4.42578125" style="498" customWidth="1"/>
    <col min="2584" max="2584" width="5.5703125" style="498" customWidth="1"/>
    <col min="2585" max="2585" width="3.5703125" style="498" customWidth="1"/>
    <col min="2586" max="2586" width="4" style="498" customWidth="1"/>
    <col min="2587" max="2587" width="4.5703125" style="498" customWidth="1"/>
    <col min="2588" max="2590" width="4.42578125" style="498" customWidth="1"/>
    <col min="2591" max="2592" width="4.5703125" style="498" customWidth="1"/>
    <col min="2593" max="2593" width="4" style="498" customWidth="1"/>
    <col min="2594" max="2594" width="4.5703125" style="498" customWidth="1"/>
    <col min="2595" max="2595" width="6" style="498" customWidth="1"/>
    <col min="2596" max="2596" width="8.5703125" style="498" customWidth="1"/>
    <col min="2597" max="2816" width="11.42578125" style="498"/>
    <col min="2817" max="2817" width="6.42578125" style="498" customWidth="1"/>
    <col min="2818" max="2818" width="47.5703125" style="498" customWidth="1"/>
    <col min="2819" max="2820" width="5" style="498" customWidth="1"/>
    <col min="2821" max="2821" width="5.42578125" style="498" customWidth="1"/>
    <col min="2822" max="2822" width="4.5703125" style="498" customWidth="1"/>
    <col min="2823" max="2824" width="4.42578125" style="498" customWidth="1"/>
    <col min="2825" max="2825" width="3.5703125" style="498" customWidth="1"/>
    <col min="2826" max="2826" width="5" style="498" customWidth="1"/>
    <col min="2827" max="2827" width="4" style="498" customWidth="1"/>
    <col min="2828" max="2829" width="4.5703125" style="498" customWidth="1"/>
    <col min="2830" max="2830" width="4.42578125" style="498" customWidth="1"/>
    <col min="2831" max="2831" width="4" style="498" customWidth="1"/>
    <col min="2832" max="2832" width="3.5703125" style="498" customWidth="1"/>
    <col min="2833" max="2834" width="4.5703125" style="498" customWidth="1"/>
    <col min="2835" max="2835" width="4" style="498" customWidth="1"/>
    <col min="2836" max="2837" width="4.42578125" style="498" customWidth="1"/>
    <col min="2838" max="2838" width="3.5703125" style="498" customWidth="1"/>
    <col min="2839" max="2839" width="4.42578125" style="498" customWidth="1"/>
    <col min="2840" max="2840" width="5.5703125" style="498" customWidth="1"/>
    <col min="2841" max="2841" width="3.5703125" style="498" customWidth="1"/>
    <col min="2842" max="2842" width="4" style="498" customWidth="1"/>
    <col min="2843" max="2843" width="4.5703125" style="498" customWidth="1"/>
    <col min="2844" max="2846" width="4.42578125" style="498" customWidth="1"/>
    <col min="2847" max="2848" width="4.5703125" style="498" customWidth="1"/>
    <col min="2849" max="2849" width="4" style="498" customWidth="1"/>
    <col min="2850" max="2850" width="4.5703125" style="498" customWidth="1"/>
    <col min="2851" max="2851" width="6" style="498" customWidth="1"/>
    <col min="2852" max="2852" width="8.5703125" style="498" customWidth="1"/>
    <col min="2853" max="3072" width="11.42578125" style="498"/>
    <col min="3073" max="3073" width="6.42578125" style="498" customWidth="1"/>
    <col min="3074" max="3074" width="47.5703125" style="498" customWidth="1"/>
    <col min="3075" max="3076" width="5" style="498" customWidth="1"/>
    <col min="3077" max="3077" width="5.42578125" style="498" customWidth="1"/>
    <col min="3078" max="3078" width="4.5703125" style="498" customWidth="1"/>
    <col min="3079" max="3080" width="4.42578125" style="498" customWidth="1"/>
    <col min="3081" max="3081" width="3.5703125" style="498" customWidth="1"/>
    <col min="3082" max="3082" width="5" style="498" customWidth="1"/>
    <col min="3083" max="3083" width="4" style="498" customWidth="1"/>
    <col min="3084" max="3085" width="4.5703125" style="498" customWidth="1"/>
    <col min="3086" max="3086" width="4.42578125" style="498" customWidth="1"/>
    <col min="3087" max="3087" width="4" style="498" customWidth="1"/>
    <col min="3088" max="3088" width="3.5703125" style="498" customWidth="1"/>
    <col min="3089" max="3090" width="4.5703125" style="498" customWidth="1"/>
    <col min="3091" max="3091" width="4" style="498" customWidth="1"/>
    <col min="3092" max="3093" width="4.42578125" style="498" customWidth="1"/>
    <col min="3094" max="3094" width="3.5703125" style="498" customWidth="1"/>
    <col min="3095" max="3095" width="4.42578125" style="498" customWidth="1"/>
    <col min="3096" max="3096" width="5.5703125" style="498" customWidth="1"/>
    <col min="3097" max="3097" width="3.5703125" style="498" customWidth="1"/>
    <col min="3098" max="3098" width="4" style="498" customWidth="1"/>
    <col min="3099" max="3099" width="4.5703125" style="498" customWidth="1"/>
    <col min="3100" max="3102" width="4.42578125" style="498" customWidth="1"/>
    <col min="3103" max="3104" width="4.5703125" style="498" customWidth="1"/>
    <col min="3105" max="3105" width="4" style="498" customWidth="1"/>
    <col min="3106" max="3106" width="4.5703125" style="498" customWidth="1"/>
    <col min="3107" max="3107" width="6" style="498" customWidth="1"/>
    <col min="3108" max="3108" width="8.5703125" style="498" customWidth="1"/>
    <col min="3109" max="3328" width="11.42578125" style="498"/>
    <col min="3329" max="3329" width="6.42578125" style="498" customWidth="1"/>
    <col min="3330" max="3330" width="47.5703125" style="498" customWidth="1"/>
    <col min="3331" max="3332" width="5" style="498" customWidth="1"/>
    <col min="3333" max="3333" width="5.42578125" style="498" customWidth="1"/>
    <col min="3334" max="3334" width="4.5703125" style="498" customWidth="1"/>
    <col min="3335" max="3336" width="4.42578125" style="498" customWidth="1"/>
    <col min="3337" max="3337" width="3.5703125" style="498" customWidth="1"/>
    <col min="3338" max="3338" width="5" style="498" customWidth="1"/>
    <col min="3339" max="3339" width="4" style="498" customWidth="1"/>
    <col min="3340" max="3341" width="4.5703125" style="498" customWidth="1"/>
    <col min="3342" max="3342" width="4.42578125" style="498" customWidth="1"/>
    <col min="3343" max="3343" width="4" style="498" customWidth="1"/>
    <col min="3344" max="3344" width="3.5703125" style="498" customWidth="1"/>
    <col min="3345" max="3346" width="4.5703125" style="498" customWidth="1"/>
    <col min="3347" max="3347" width="4" style="498" customWidth="1"/>
    <col min="3348" max="3349" width="4.42578125" style="498" customWidth="1"/>
    <col min="3350" max="3350" width="3.5703125" style="498" customWidth="1"/>
    <col min="3351" max="3351" width="4.42578125" style="498" customWidth="1"/>
    <col min="3352" max="3352" width="5.5703125" style="498" customWidth="1"/>
    <col min="3353" max="3353" width="3.5703125" style="498" customWidth="1"/>
    <col min="3354" max="3354" width="4" style="498" customWidth="1"/>
    <col min="3355" max="3355" width="4.5703125" style="498" customWidth="1"/>
    <col min="3356" max="3358" width="4.42578125" style="498" customWidth="1"/>
    <col min="3359" max="3360" width="4.5703125" style="498" customWidth="1"/>
    <col min="3361" max="3361" width="4" style="498" customWidth="1"/>
    <col min="3362" max="3362" width="4.5703125" style="498" customWidth="1"/>
    <col min="3363" max="3363" width="6" style="498" customWidth="1"/>
    <col min="3364" max="3364" width="8.5703125" style="498" customWidth="1"/>
    <col min="3365" max="3584" width="11.42578125" style="498"/>
    <col min="3585" max="3585" width="6.42578125" style="498" customWidth="1"/>
    <col min="3586" max="3586" width="47.5703125" style="498" customWidth="1"/>
    <col min="3587" max="3588" width="5" style="498" customWidth="1"/>
    <col min="3589" max="3589" width="5.42578125" style="498" customWidth="1"/>
    <col min="3590" max="3590" width="4.5703125" style="498" customWidth="1"/>
    <col min="3591" max="3592" width="4.42578125" style="498" customWidth="1"/>
    <col min="3593" max="3593" width="3.5703125" style="498" customWidth="1"/>
    <col min="3594" max="3594" width="5" style="498" customWidth="1"/>
    <col min="3595" max="3595" width="4" style="498" customWidth="1"/>
    <col min="3596" max="3597" width="4.5703125" style="498" customWidth="1"/>
    <col min="3598" max="3598" width="4.42578125" style="498" customWidth="1"/>
    <col min="3599" max="3599" width="4" style="498" customWidth="1"/>
    <col min="3600" max="3600" width="3.5703125" style="498" customWidth="1"/>
    <col min="3601" max="3602" width="4.5703125" style="498" customWidth="1"/>
    <col min="3603" max="3603" width="4" style="498" customWidth="1"/>
    <col min="3604" max="3605" width="4.42578125" style="498" customWidth="1"/>
    <col min="3606" max="3606" width="3.5703125" style="498" customWidth="1"/>
    <col min="3607" max="3607" width="4.42578125" style="498" customWidth="1"/>
    <col min="3608" max="3608" width="5.5703125" style="498" customWidth="1"/>
    <col min="3609" max="3609" width="3.5703125" style="498" customWidth="1"/>
    <col min="3610" max="3610" width="4" style="498" customWidth="1"/>
    <col min="3611" max="3611" width="4.5703125" style="498" customWidth="1"/>
    <col min="3612" max="3614" width="4.42578125" style="498" customWidth="1"/>
    <col min="3615" max="3616" width="4.5703125" style="498" customWidth="1"/>
    <col min="3617" max="3617" width="4" style="498" customWidth="1"/>
    <col min="3618" max="3618" width="4.5703125" style="498" customWidth="1"/>
    <col min="3619" max="3619" width="6" style="498" customWidth="1"/>
    <col min="3620" max="3620" width="8.5703125" style="498" customWidth="1"/>
    <col min="3621" max="3840" width="11.42578125" style="498"/>
    <col min="3841" max="3841" width="6.42578125" style="498" customWidth="1"/>
    <col min="3842" max="3842" width="47.5703125" style="498" customWidth="1"/>
    <col min="3843" max="3844" width="5" style="498" customWidth="1"/>
    <col min="3845" max="3845" width="5.42578125" style="498" customWidth="1"/>
    <col min="3846" max="3846" width="4.5703125" style="498" customWidth="1"/>
    <col min="3847" max="3848" width="4.42578125" style="498" customWidth="1"/>
    <col min="3849" max="3849" width="3.5703125" style="498" customWidth="1"/>
    <col min="3850" max="3850" width="5" style="498" customWidth="1"/>
    <col min="3851" max="3851" width="4" style="498" customWidth="1"/>
    <col min="3852" max="3853" width="4.5703125" style="498" customWidth="1"/>
    <col min="3854" max="3854" width="4.42578125" style="498" customWidth="1"/>
    <col min="3855" max="3855" width="4" style="498" customWidth="1"/>
    <col min="3856" max="3856" width="3.5703125" style="498" customWidth="1"/>
    <col min="3857" max="3858" width="4.5703125" style="498" customWidth="1"/>
    <col min="3859" max="3859" width="4" style="498" customWidth="1"/>
    <col min="3860" max="3861" width="4.42578125" style="498" customWidth="1"/>
    <col min="3862" max="3862" width="3.5703125" style="498" customWidth="1"/>
    <col min="3863" max="3863" width="4.42578125" style="498" customWidth="1"/>
    <col min="3864" max="3864" width="5.5703125" style="498" customWidth="1"/>
    <col min="3865" max="3865" width="3.5703125" style="498" customWidth="1"/>
    <col min="3866" max="3866" width="4" style="498" customWidth="1"/>
    <col min="3867" max="3867" width="4.5703125" style="498" customWidth="1"/>
    <col min="3868" max="3870" width="4.42578125" style="498" customWidth="1"/>
    <col min="3871" max="3872" width="4.5703125" style="498" customWidth="1"/>
    <col min="3873" max="3873" width="4" style="498" customWidth="1"/>
    <col min="3874" max="3874" width="4.5703125" style="498" customWidth="1"/>
    <col min="3875" max="3875" width="6" style="498" customWidth="1"/>
    <col min="3876" max="3876" width="8.5703125" style="498" customWidth="1"/>
    <col min="3877" max="4096" width="11.42578125" style="498"/>
    <col min="4097" max="4097" width="6.42578125" style="498" customWidth="1"/>
    <col min="4098" max="4098" width="47.5703125" style="498" customWidth="1"/>
    <col min="4099" max="4100" width="5" style="498" customWidth="1"/>
    <col min="4101" max="4101" width="5.42578125" style="498" customWidth="1"/>
    <col min="4102" max="4102" width="4.5703125" style="498" customWidth="1"/>
    <col min="4103" max="4104" width="4.42578125" style="498" customWidth="1"/>
    <col min="4105" max="4105" width="3.5703125" style="498" customWidth="1"/>
    <col min="4106" max="4106" width="5" style="498" customWidth="1"/>
    <col min="4107" max="4107" width="4" style="498" customWidth="1"/>
    <col min="4108" max="4109" width="4.5703125" style="498" customWidth="1"/>
    <col min="4110" max="4110" width="4.42578125" style="498" customWidth="1"/>
    <col min="4111" max="4111" width="4" style="498" customWidth="1"/>
    <col min="4112" max="4112" width="3.5703125" style="498" customWidth="1"/>
    <col min="4113" max="4114" width="4.5703125" style="498" customWidth="1"/>
    <col min="4115" max="4115" width="4" style="498" customWidth="1"/>
    <col min="4116" max="4117" width="4.42578125" style="498" customWidth="1"/>
    <col min="4118" max="4118" width="3.5703125" style="498" customWidth="1"/>
    <col min="4119" max="4119" width="4.42578125" style="498" customWidth="1"/>
    <col min="4120" max="4120" width="5.5703125" style="498" customWidth="1"/>
    <col min="4121" max="4121" width="3.5703125" style="498" customWidth="1"/>
    <col min="4122" max="4122" width="4" style="498" customWidth="1"/>
    <col min="4123" max="4123" width="4.5703125" style="498" customWidth="1"/>
    <col min="4124" max="4126" width="4.42578125" style="498" customWidth="1"/>
    <col min="4127" max="4128" width="4.5703125" style="498" customWidth="1"/>
    <col min="4129" max="4129" width="4" style="498" customWidth="1"/>
    <col min="4130" max="4130" width="4.5703125" style="498" customWidth="1"/>
    <col min="4131" max="4131" width="6" style="498" customWidth="1"/>
    <col min="4132" max="4132" width="8.5703125" style="498" customWidth="1"/>
    <col min="4133" max="4352" width="11.42578125" style="498"/>
    <col min="4353" max="4353" width="6.42578125" style="498" customWidth="1"/>
    <col min="4354" max="4354" width="47.5703125" style="498" customWidth="1"/>
    <col min="4355" max="4356" width="5" style="498" customWidth="1"/>
    <col min="4357" max="4357" width="5.42578125" style="498" customWidth="1"/>
    <col min="4358" max="4358" width="4.5703125" style="498" customWidth="1"/>
    <col min="4359" max="4360" width="4.42578125" style="498" customWidth="1"/>
    <col min="4361" max="4361" width="3.5703125" style="498" customWidth="1"/>
    <col min="4362" max="4362" width="5" style="498" customWidth="1"/>
    <col min="4363" max="4363" width="4" style="498" customWidth="1"/>
    <col min="4364" max="4365" width="4.5703125" style="498" customWidth="1"/>
    <col min="4366" max="4366" width="4.42578125" style="498" customWidth="1"/>
    <col min="4367" max="4367" width="4" style="498" customWidth="1"/>
    <col min="4368" max="4368" width="3.5703125" style="498" customWidth="1"/>
    <col min="4369" max="4370" width="4.5703125" style="498" customWidth="1"/>
    <col min="4371" max="4371" width="4" style="498" customWidth="1"/>
    <col min="4372" max="4373" width="4.42578125" style="498" customWidth="1"/>
    <col min="4374" max="4374" width="3.5703125" style="498" customWidth="1"/>
    <col min="4375" max="4375" width="4.42578125" style="498" customWidth="1"/>
    <col min="4376" max="4376" width="5.5703125" style="498" customWidth="1"/>
    <col min="4377" max="4377" width="3.5703125" style="498" customWidth="1"/>
    <col min="4378" max="4378" width="4" style="498" customWidth="1"/>
    <col min="4379" max="4379" width="4.5703125" style="498" customWidth="1"/>
    <col min="4380" max="4382" width="4.42578125" style="498" customWidth="1"/>
    <col min="4383" max="4384" width="4.5703125" style="498" customWidth="1"/>
    <col min="4385" max="4385" width="4" style="498" customWidth="1"/>
    <col min="4386" max="4386" width="4.5703125" style="498" customWidth="1"/>
    <col min="4387" max="4387" width="6" style="498" customWidth="1"/>
    <col min="4388" max="4388" width="8.5703125" style="498" customWidth="1"/>
    <col min="4389" max="4608" width="11.42578125" style="498"/>
    <col min="4609" max="4609" width="6.42578125" style="498" customWidth="1"/>
    <col min="4610" max="4610" width="47.5703125" style="498" customWidth="1"/>
    <col min="4611" max="4612" width="5" style="498" customWidth="1"/>
    <col min="4613" max="4613" width="5.42578125" style="498" customWidth="1"/>
    <col min="4614" max="4614" width="4.5703125" style="498" customWidth="1"/>
    <col min="4615" max="4616" width="4.42578125" style="498" customWidth="1"/>
    <col min="4617" max="4617" width="3.5703125" style="498" customWidth="1"/>
    <col min="4618" max="4618" width="5" style="498" customWidth="1"/>
    <col min="4619" max="4619" width="4" style="498" customWidth="1"/>
    <col min="4620" max="4621" width="4.5703125" style="498" customWidth="1"/>
    <col min="4622" max="4622" width="4.42578125" style="498" customWidth="1"/>
    <col min="4623" max="4623" width="4" style="498" customWidth="1"/>
    <col min="4624" max="4624" width="3.5703125" style="498" customWidth="1"/>
    <col min="4625" max="4626" width="4.5703125" style="498" customWidth="1"/>
    <col min="4627" max="4627" width="4" style="498" customWidth="1"/>
    <col min="4628" max="4629" width="4.42578125" style="498" customWidth="1"/>
    <col min="4630" max="4630" width="3.5703125" style="498" customWidth="1"/>
    <col min="4631" max="4631" width="4.42578125" style="498" customWidth="1"/>
    <col min="4632" max="4632" width="5.5703125" style="498" customWidth="1"/>
    <col min="4633" max="4633" width="3.5703125" style="498" customWidth="1"/>
    <col min="4634" max="4634" width="4" style="498" customWidth="1"/>
    <col min="4635" max="4635" width="4.5703125" style="498" customWidth="1"/>
    <col min="4636" max="4638" width="4.42578125" style="498" customWidth="1"/>
    <col min="4639" max="4640" width="4.5703125" style="498" customWidth="1"/>
    <col min="4641" max="4641" width="4" style="498" customWidth="1"/>
    <col min="4642" max="4642" width="4.5703125" style="498" customWidth="1"/>
    <col min="4643" max="4643" width="6" style="498" customWidth="1"/>
    <col min="4644" max="4644" width="8.5703125" style="498" customWidth="1"/>
    <col min="4645" max="4864" width="11.42578125" style="498"/>
    <col min="4865" max="4865" width="6.42578125" style="498" customWidth="1"/>
    <col min="4866" max="4866" width="47.5703125" style="498" customWidth="1"/>
    <col min="4867" max="4868" width="5" style="498" customWidth="1"/>
    <col min="4869" max="4869" width="5.42578125" style="498" customWidth="1"/>
    <col min="4870" max="4870" width="4.5703125" style="498" customWidth="1"/>
    <col min="4871" max="4872" width="4.42578125" style="498" customWidth="1"/>
    <col min="4873" max="4873" width="3.5703125" style="498" customWidth="1"/>
    <col min="4874" max="4874" width="5" style="498" customWidth="1"/>
    <col min="4875" max="4875" width="4" style="498" customWidth="1"/>
    <col min="4876" max="4877" width="4.5703125" style="498" customWidth="1"/>
    <col min="4878" max="4878" width="4.42578125" style="498" customWidth="1"/>
    <col min="4879" max="4879" width="4" style="498" customWidth="1"/>
    <col min="4880" max="4880" width="3.5703125" style="498" customWidth="1"/>
    <col min="4881" max="4882" width="4.5703125" style="498" customWidth="1"/>
    <col min="4883" max="4883" width="4" style="498" customWidth="1"/>
    <col min="4884" max="4885" width="4.42578125" style="498" customWidth="1"/>
    <col min="4886" max="4886" width="3.5703125" style="498" customWidth="1"/>
    <col min="4887" max="4887" width="4.42578125" style="498" customWidth="1"/>
    <col min="4888" max="4888" width="5.5703125" style="498" customWidth="1"/>
    <col min="4889" max="4889" width="3.5703125" style="498" customWidth="1"/>
    <col min="4890" max="4890" width="4" style="498" customWidth="1"/>
    <col min="4891" max="4891" width="4.5703125" style="498" customWidth="1"/>
    <col min="4892" max="4894" width="4.42578125" style="498" customWidth="1"/>
    <col min="4895" max="4896" width="4.5703125" style="498" customWidth="1"/>
    <col min="4897" max="4897" width="4" style="498" customWidth="1"/>
    <col min="4898" max="4898" width="4.5703125" style="498" customWidth="1"/>
    <col min="4899" max="4899" width="6" style="498" customWidth="1"/>
    <col min="4900" max="4900" width="8.5703125" style="498" customWidth="1"/>
    <col min="4901" max="5120" width="11.42578125" style="498"/>
    <col min="5121" max="5121" width="6.42578125" style="498" customWidth="1"/>
    <col min="5122" max="5122" width="47.5703125" style="498" customWidth="1"/>
    <col min="5123" max="5124" width="5" style="498" customWidth="1"/>
    <col min="5125" max="5125" width="5.42578125" style="498" customWidth="1"/>
    <col min="5126" max="5126" width="4.5703125" style="498" customWidth="1"/>
    <col min="5127" max="5128" width="4.42578125" style="498" customWidth="1"/>
    <col min="5129" max="5129" width="3.5703125" style="498" customWidth="1"/>
    <col min="5130" max="5130" width="5" style="498" customWidth="1"/>
    <col min="5131" max="5131" width="4" style="498" customWidth="1"/>
    <col min="5132" max="5133" width="4.5703125" style="498" customWidth="1"/>
    <col min="5134" max="5134" width="4.42578125" style="498" customWidth="1"/>
    <col min="5135" max="5135" width="4" style="498" customWidth="1"/>
    <col min="5136" max="5136" width="3.5703125" style="498" customWidth="1"/>
    <col min="5137" max="5138" width="4.5703125" style="498" customWidth="1"/>
    <col min="5139" max="5139" width="4" style="498" customWidth="1"/>
    <col min="5140" max="5141" width="4.42578125" style="498" customWidth="1"/>
    <col min="5142" max="5142" width="3.5703125" style="498" customWidth="1"/>
    <col min="5143" max="5143" width="4.42578125" style="498" customWidth="1"/>
    <col min="5144" max="5144" width="5.5703125" style="498" customWidth="1"/>
    <col min="5145" max="5145" width="3.5703125" style="498" customWidth="1"/>
    <col min="5146" max="5146" width="4" style="498" customWidth="1"/>
    <col min="5147" max="5147" width="4.5703125" style="498" customWidth="1"/>
    <col min="5148" max="5150" width="4.42578125" style="498" customWidth="1"/>
    <col min="5151" max="5152" width="4.5703125" style="498" customWidth="1"/>
    <col min="5153" max="5153" width="4" style="498" customWidth="1"/>
    <col min="5154" max="5154" width="4.5703125" style="498" customWidth="1"/>
    <col min="5155" max="5155" width="6" style="498" customWidth="1"/>
    <col min="5156" max="5156" width="8.5703125" style="498" customWidth="1"/>
    <col min="5157" max="5376" width="11.42578125" style="498"/>
    <col min="5377" max="5377" width="6.42578125" style="498" customWidth="1"/>
    <col min="5378" max="5378" width="47.5703125" style="498" customWidth="1"/>
    <col min="5379" max="5380" width="5" style="498" customWidth="1"/>
    <col min="5381" max="5381" width="5.42578125" style="498" customWidth="1"/>
    <col min="5382" max="5382" width="4.5703125" style="498" customWidth="1"/>
    <col min="5383" max="5384" width="4.42578125" style="498" customWidth="1"/>
    <col min="5385" max="5385" width="3.5703125" style="498" customWidth="1"/>
    <col min="5386" max="5386" width="5" style="498" customWidth="1"/>
    <col min="5387" max="5387" width="4" style="498" customWidth="1"/>
    <col min="5388" max="5389" width="4.5703125" style="498" customWidth="1"/>
    <col min="5390" max="5390" width="4.42578125" style="498" customWidth="1"/>
    <col min="5391" max="5391" width="4" style="498" customWidth="1"/>
    <col min="5392" max="5392" width="3.5703125" style="498" customWidth="1"/>
    <col min="5393" max="5394" width="4.5703125" style="498" customWidth="1"/>
    <col min="5395" max="5395" width="4" style="498" customWidth="1"/>
    <col min="5396" max="5397" width="4.42578125" style="498" customWidth="1"/>
    <col min="5398" max="5398" width="3.5703125" style="498" customWidth="1"/>
    <col min="5399" max="5399" width="4.42578125" style="498" customWidth="1"/>
    <col min="5400" max="5400" width="5.5703125" style="498" customWidth="1"/>
    <col min="5401" max="5401" width="3.5703125" style="498" customWidth="1"/>
    <col min="5402" max="5402" width="4" style="498" customWidth="1"/>
    <col min="5403" max="5403" width="4.5703125" style="498" customWidth="1"/>
    <col min="5404" max="5406" width="4.42578125" style="498" customWidth="1"/>
    <col min="5407" max="5408" width="4.5703125" style="498" customWidth="1"/>
    <col min="5409" max="5409" width="4" style="498" customWidth="1"/>
    <col min="5410" max="5410" width="4.5703125" style="498" customWidth="1"/>
    <col min="5411" max="5411" width="6" style="498" customWidth="1"/>
    <col min="5412" max="5412" width="8.5703125" style="498" customWidth="1"/>
    <col min="5413" max="5632" width="11.42578125" style="498"/>
    <col min="5633" max="5633" width="6.42578125" style="498" customWidth="1"/>
    <col min="5634" max="5634" width="47.5703125" style="498" customWidth="1"/>
    <col min="5635" max="5636" width="5" style="498" customWidth="1"/>
    <col min="5637" max="5637" width="5.42578125" style="498" customWidth="1"/>
    <col min="5638" max="5638" width="4.5703125" style="498" customWidth="1"/>
    <col min="5639" max="5640" width="4.42578125" style="498" customWidth="1"/>
    <col min="5641" max="5641" width="3.5703125" style="498" customWidth="1"/>
    <col min="5642" max="5642" width="5" style="498" customWidth="1"/>
    <col min="5643" max="5643" width="4" style="498" customWidth="1"/>
    <col min="5644" max="5645" width="4.5703125" style="498" customWidth="1"/>
    <col min="5646" max="5646" width="4.42578125" style="498" customWidth="1"/>
    <col min="5647" max="5647" width="4" style="498" customWidth="1"/>
    <col min="5648" max="5648" width="3.5703125" style="498" customWidth="1"/>
    <col min="5649" max="5650" width="4.5703125" style="498" customWidth="1"/>
    <col min="5651" max="5651" width="4" style="498" customWidth="1"/>
    <col min="5652" max="5653" width="4.42578125" style="498" customWidth="1"/>
    <col min="5654" max="5654" width="3.5703125" style="498" customWidth="1"/>
    <col min="5655" max="5655" width="4.42578125" style="498" customWidth="1"/>
    <col min="5656" max="5656" width="5.5703125" style="498" customWidth="1"/>
    <col min="5657" max="5657" width="3.5703125" style="498" customWidth="1"/>
    <col min="5658" max="5658" width="4" style="498" customWidth="1"/>
    <col min="5659" max="5659" width="4.5703125" style="498" customWidth="1"/>
    <col min="5660" max="5662" width="4.42578125" style="498" customWidth="1"/>
    <col min="5663" max="5664" width="4.5703125" style="498" customWidth="1"/>
    <col min="5665" max="5665" width="4" style="498" customWidth="1"/>
    <col min="5666" max="5666" width="4.5703125" style="498" customWidth="1"/>
    <col min="5667" max="5667" width="6" style="498" customWidth="1"/>
    <col min="5668" max="5668" width="8.5703125" style="498" customWidth="1"/>
    <col min="5669" max="5888" width="11.42578125" style="498"/>
    <col min="5889" max="5889" width="6.42578125" style="498" customWidth="1"/>
    <col min="5890" max="5890" width="47.5703125" style="498" customWidth="1"/>
    <col min="5891" max="5892" width="5" style="498" customWidth="1"/>
    <col min="5893" max="5893" width="5.42578125" style="498" customWidth="1"/>
    <col min="5894" max="5894" width="4.5703125" style="498" customWidth="1"/>
    <col min="5895" max="5896" width="4.42578125" style="498" customWidth="1"/>
    <col min="5897" max="5897" width="3.5703125" style="498" customWidth="1"/>
    <col min="5898" max="5898" width="5" style="498" customWidth="1"/>
    <col min="5899" max="5899" width="4" style="498" customWidth="1"/>
    <col min="5900" max="5901" width="4.5703125" style="498" customWidth="1"/>
    <col min="5902" max="5902" width="4.42578125" style="498" customWidth="1"/>
    <col min="5903" max="5903" width="4" style="498" customWidth="1"/>
    <col min="5904" max="5904" width="3.5703125" style="498" customWidth="1"/>
    <col min="5905" max="5906" width="4.5703125" style="498" customWidth="1"/>
    <col min="5907" max="5907" width="4" style="498" customWidth="1"/>
    <col min="5908" max="5909" width="4.42578125" style="498" customWidth="1"/>
    <col min="5910" max="5910" width="3.5703125" style="498" customWidth="1"/>
    <col min="5911" max="5911" width="4.42578125" style="498" customWidth="1"/>
    <col min="5912" max="5912" width="5.5703125" style="498" customWidth="1"/>
    <col min="5913" max="5913" width="3.5703125" style="498" customWidth="1"/>
    <col min="5914" max="5914" width="4" style="498" customWidth="1"/>
    <col min="5915" max="5915" width="4.5703125" style="498" customWidth="1"/>
    <col min="5916" max="5918" width="4.42578125" style="498" customWidth="1"/>
    <col min="5919" max="5920" width="4.5703125" style="498" customWidth="1"/>
    <col min="5921" max="5921" width="4" style="498" customWidth="1"/>
    <col min="5922" max="5922" width="4.5703125" style="498" customWidth="1"/>
    <col min="5923" max="5923" width="6" style="498" customWidth="1"/>
    <col min="5924" max="5924" width="8.5703125" style="498" customWidth="1"/>
    <col min="5925" max="6144" width="11.42578125" style="498"/>
    <col min="6145" max="6145" width="6.42578125" style="498" customWidth="1"/>
    <col min="6146" max="6146" width="47.5703125" style="498" customWidth="1"/>
    <col min="6147" max="6148" width="5" style="498" customWidth="1"/>
    <col min="6149" max="6149" width="5.42578125" style="498" customWidth="1"/>
    <col min="6150" max="6150" width="4.5703125" style="498" customWidth="1"/>
    <col min="6151" max="6152" width="4.42578125" style="498" customWidth="1"/>
    <col min="6153" max="6153" width="3.5703125" style="498" customWidth="1"/>
    <col min="6154" max="6154" width="5" style="498" customWidth="1"/>
    <col min="6155" max="6155" width="4" style="498" customWidth="1"/>
    <col min="6156" max="6157" width="4.5703125" style="498" customWidth="1"/>
    <col min="6158" max="6158" width="4.42578125" style="498" customWidth="1"/>
    <col min="6159" max="6159" width="4" style="498" customWidth="1"/>
    <col min="6160" max="6160" width="3.5703125" style="498" customWidth="1"/>
    <col min="6161" max="6162" width="4.5703125" style="498" customWidth="1"/>
    <col min="6163" max="6163" width="4" style="498" customWidth="1"/>
    <col min="6164" max="6165" width="4.42578125" style="498" customWidth="1"/>
    <col min="6166" max="6166" width="3.5703125" style="498" customWidth="1"/>
    <col min="6167" max="6167" width="4.42578125" style="498" customWidth="1"/>
    <col min="6168" max="6168" width="5.5703125" style="498" customWidth="1"/>
    <col min="6169" max="6169" width="3.5703125" style="498" customWidth="1"/>
    <col min="6170" max="6170" width="4" style="498" customWidth="1"/>
    <col min="6171" max="6171" width="4.5703125" style="498" customWidth="1"/>
    <col min="6172" max="6174" width="4.42578125" style="498" customWidth="1"/>
    <col min="6175" max="6176" width="4.5703125" style="498" customWidth="1"/>
    <col min="6177" max="6177" width="4" style="498" customWidth="1"/>
    <col min="6178" max="6178" width="4.5703125" style="498" customWidth="1"/>
    <col min="6179" max="6179" width="6" style="498" customWidth="1"/>
    <col min="6180" max="6180" width="8.5703125" style="498" customWidth="1"/>
    <col min="6181" max="6400" width="11.42578125" style="498"/>
    <col min="6401" max="6401" width="6.42578125" style="498" customWidth="1"/>
    <col min="6402" max="6402" width="47.5703125" style="498" customWidth="1"/>
    <col min="6403" max="6404" width="5" style="498" customWidth="1"/>
    <col min="6405" max="6405" width="5.42578125" style="498" customWidth="1"/>
    <col min="6406" max="6406" width="4.5703125" style="498" customWidth="1"/>
    <col min="6407" max="6408" width="4.42578125" style="498" customWidth="1"/>
    <col min="6409" max="6409" width="3.5703125" style="498" customWidth="1"/>
    <col min="6410" max="6410" width="5" style="498" customWidth="1"/>
    <col min="6411" max="6411" width="4" style="498" customWidth="1"/>
    <col min="6412" max="6413" width="4.5703125" style="498" customWidth="1"/>
    <col min="6414" max="6414" width="4.42578125" style="498" customWidth="1"/>
    <col min="6415" max="6415" width="4" style="498" customWidth="1"/>
    <col min="6416" max="6416" width="3.5703125" style="498" customWidth="1"/>
    <col min="6417" max="6418" width="4.5703125" style="498" customWidth="1"/>
    <col min="6419" max="6419" width="4" style="498" customWidth="1"/>
    <col min="6420" max="6421" width="4.42578125" style="498" customWidth="1"/>
    <col min="6422" max="6422" width="3.5703125" style="498" customWidth="1"/>
    <col min="6423" max="6423" width="4.42578125" style="498" customWidth="1"/>
    <col min="6424" max="6424" width="5.5703125" style="498" customWidth="1"/>
    <col min="6425" max="6425" width="3.5703125" style="498" customWidth="1"/>
    <col min="6426" max="6426" width="4" style="498" customWidth="1"/>
    <col min="6427" max="6427" width="4.5703125" style="498" customWidth="1"/>
    <col min="6428" max="6430" width="4.42578125" style="498" customWidth="1"/>
    <col min="6431" max="6432" width="4.5703125" style="498" customWidth="1"/>
    <col min="6433" max="6433" width="4" style="498" customWidth="1"/>
    <col min="6434" max="6434" width="4.5703125" style="498" customWidth="1"/>
    <col min="6435" max="6435" width="6" style="498" customWidth="1"/>
    <col min="6436" max="6436" width="8.5703125" style="498" customWidth="1"/>
    <col min="6437" max="6656" width="11.42578125" style="498"/>
    <col min="6657" max="6657" width="6.42578125" style="498" customWidth="1"/>
    <col min="6658" max="6658" width="47.5703125" style="498" customWidth="1"/>
    <col min="6659" max="6660" width="5" style="498" customWidth="1"/>
    <col min="6661" max="6661" width="5.42578125" style="498" customWidth="1"/>
    <col min="6662" max="6662" width="4.5703125" style="498" customWidth="1"/>
    <col min="6663" max="6664" width="4.42578125" style="498" customWidth="1"/>
    <col min="6665" max="6665" width="3.5703125" style="498" customWidth="1"/>
    <col min="6666" max="6666" width="5" style="498" customWidth="1"/>
    <col min="6667" max="6667" width="4" style="498" customWidth="1"/>
    <col min="6668" max="6669" width="4.5703125" style="498" customWidth="1"/>
    <col min="6670" max="6670" width="4.42578125" style="498" customWidth="1"/>
    <col min="6671" max="6671" width="4" style="498" customWidth="1"/>
    <col min="6672" max="6672" width="3.5703125" style="498" customWidth="1"/>
    <col min="6673" max="6674" width="4.5703125" style="498" customWidth="1"/>
    <col min="6675" max="6675" width="4" style="498" customWidth="1"/>
    <col min="6676" max="6677" width="4.42578125" style="498" customWidth="1"/>
    <col min="6678" max="6678" width="3.5703125" style="498" customWidth="1"/>
    <col min="6679" max="6679" width="4.42578125" style="498" customWidth="1"/>
    <col min="6680" max="6680" width="5.5703125" style="498" customWidth="1"/>
    <col min="6681" max="6681" width="3.5703125" style="498" customWidth="1"/>
    <col min="6682" max="6682" width="4" style="498" customWidth="1"/>
    <col min="6683" max="6683" width="4.5703125" style="498" customWidth="1"/>
    <col min="6684" max="6686" width="4.42578125" style="498" customWidth="1"/>
    <col min="6687" max="6688" width="4.5703125" style="498" customWidth="1"/>
    <col min="6689" max="6689" width="4" style="498" customWidth="1"/>
    <col min="6690" max="6690" width="4.5703125" style="498" customWidth="1"/>
    <col min="6691" max="6691" width="6" style="498" customWidth="1"/>
    <col min="6692" max="6692" width="8.5703125" style="498" customWidth="1"/>
    <col min="6693" max="6912" width="11.42578125" style="498"/>
    <col min="6913" max="6913" width="6.42578125" style="498" customWidth="1"/>
    <col min="6914" max="6914" width="47.5703125" style="498" customWidth="1"/>
    <col min="6915" max="6916" width="5" style="498" customWidth="1"/>
    <col min="6917" max="6917" width="5.42578125" style="498" customWidth="1"/>
    <col min="6918" max="6918" width="4.5703125" style="498" customWidth="1"/>
    <col min="6919" max="6920" width="4.42578125" style="498" customWidth="1"/>
    <col min="6921" max="6921" width="3.5703125" style="498" customWidth="1"/>
    <col min="6922" max="6922" width="5" style="498" customWidth="1"/>
    <col min="6923" max="6923" width="4" style="498" customWidth="1"/>
    <col min="6924" max="6925" width="4.5703125" style="498" customWidth="1"/>
    <col min="6926" max="6926" width="4.42578125" style="498" customWidth="1"/>
    <col min="6927" max="6927" width="4" style="498" customWidth="1"/>
    <col min="6928" max="6928" width="3.5703125" style="498" customWidth="1"/>
    <col min="6929" max="6930" width="4.5703125" style="498" customWidth="1"/>
    <col min="6931" max="6931" width="4" style="498" customWidth="1"/>
    <col min="6932" max="6933" width="4.42578125" style="498" customWidth="1"/>
    <col min="6934" max="6934" width="3.5703125" style="498" customWidth="1"/>
    <col min="6935" max="6935" width="4.42578125" style="498" customWidth="1"/>
    <col min="6936" max="6936" width="5.5703125" style="498" customWidth="1"/>
    <col min="6937" max="6937" width="3.5703125" style="498" customWidth="1"/>
    <col min="6938" max="6938" width="4" style="498" customWidth="1"/>
    <col min="6939" max="6939" width="4.5703125" style="498" customWidth="1"/>
    <col min="6940" max="6942" width="4.42578125" style="498" customWidth="1"/>
    <col min="6943" max="6944" width="4.5703125" style="498" customWidth="1"/>
    <col min="6945" max="6945" width="4" style="498" customWidth="1"/>
    <col min="6946" max="6946" width="4.5703125" style="498" customWidth="1"/>
    <col min="6947" max="6947" width="6" style="498" customWidth="1"/>
    <col min="6948" max="6948" width="8.5703125" style="498" customWidth="1"/>
    <col min="6949" max="7168" width="11.42578125" style="498"/>
    <col min="7169" max="7169" width="6.42578125" style="498" customWidth="1"/>
    <col min="7170" max="7170" width="47.5703125" style="498" customWidth="1"/>
    <col min="7171" max="7172" width="5" style="498" customWidth="1"/>
    <col min="7173" max="7173" width="5.42578125" style="498" customWidth="1"/>
    <col min="7174" max="7174" width="4.5703125" style="498" customWidth="1"/>
    <col min="7175" max="7176" width="4.42578125" style="498" customWidth="1"/>
    <col min="7177" max="7177" width="3.5703125" style="498" customWidth="1"/>
    <col min="7178" max="7178" width="5" style="498" customWidth="1"/>
    <col min="7179" max="7179" width="4" style="498" customWidth="1"/>
    <col min="7180" max="7181" width="4.5703125" style="498" customWidth="1"/>
    <col min="7182" max="7182" width="4.42578125" style="498" customWidth="1"/>
    <col min="7183" max="7183" width="4" style="498" customWidth="1"/>
    <col min="7184" max="7184" width="3.5703125" style="498" customWidth="1"/>
    <col min="7185" max="7186" width="4.5703125" style="498" customWidth="1"/>
    <col min="7187" max="7187" width="4" style="498" customWidth="1"/>
    <col min="7188" max="7189" width="4.42578125" style="498" customWidth="1"/>
    <col min="7190" max="7190" width="3.5703125" style="498" customWidth="1"/>
    <col min="7191" max="7191" width="4.42578125" style="498" customWidth="1"/>
    <col min="7192" max="7192" width="5.5703125" style="498" customWidth="1"/>
    <col min="7193" max="7193" width="3.5703125" style="498" customWidth="1"/>
    <col min="7194" max="7194" width="4" style="498" customWidth="1"/>
    <col min="7195" max="7195" width="4.5703125" style="498" customWidth="1"/>
    <col min="7196" max="7198" width="4.42578125" style="498" customWidth="1"/>
    <col min="7199" max="7200" width="4.5703125" style="498" customWidth="1"/>
    <col min="7201" max="7201" width="4" style="498" customWidth="1"/>
    <col min="7202" max="7202" width="4.5703125" style="498" customWidth="1"/>
    <col min="7203" max="7203" width="6" style="498" customWidth="1"/>
    <col min="7204" max="7204" width="8.5703125" style="498" customWidth="1"/>
    <col min="7205" max="7424" width="11.42578125" style="498"/>
    <col min="7425" max="7425" width="6.42578125" style="498" customWidth="1"/>
    <col min="7426" max="7426" width="47.5703125" style="498" customWidth="1"/>
    <col min="7427" max="7428" width="5" style="498" customWidth="1"/>
    <col min="7429" max="7429" width="5.42578125" style="498" customWidth="1"/>
    <col min="7430" max="7430" width="4.5703125" style="498" customWidth="1"/>
    <col min="7431" max="7432" width="4.42578125" style="498" customWidth="1"/>
    <col min="7433" max="7433" width="3.5703125" style="498" customWidth="1"/>
    <col min="7434" max="7434" width="5" style="498" customWidth="1"/>
    <col min="7435" max="7435" width="4" style="498" customWidth="1"/>
    <col min="7436" max="7437" width="4.5703125" style="498" customWidth="1"/>
    <col min="7438" max="7438" width="4.42578125" style="498" customWidth="1"/>
    <col min="7439" max="7439" width="4" style="498" customWidth="1"/>
    <col min="7440" max="7440" width="3.5703125" style="498" customWidth="1"/>
    <col min="7441" max="7442" width="4.5703125" style="498" customWidth="1"/>
    <col min="7443" max="7443" width="4" style="498" customWidth="1"/>
    <col min="7444" max="7445" width="4.42578125" style="498" customWidth="1"/>
    <col min="7446" max="7446" width="3.5703125" style="498" customWidth="1"/>
    <col min="7447" max="7447" width="4.42578125" style="498" customWidth="1"/>
    <col min="7448" max="7448" width="5.5703125" style="498" customWidth="1"/>
    <col min="7449" max="7449" width="3.5703125" style="498" customWidth="1"/>
    <col min="7450" max="7450" width="4" style="498" customWidth="1"/>
    <col min="7451" max="7451" width="4.5703125" style="498" customWidth="1"/>
    <col min="7452" max="7454" width="4.42578125" style="498" customWidth="1"/>
    <col min="7455" max="7456" width="4.5703125" style="498" customWidth="1"/>
    <col min="7457" max="7457" width="4" style="498" customWidth="1"/>
    <col min="7458" max="7458" width="4.5703125" style="498" customWidth="1"/>
    <col min="7459" max="7459" width="6" style="498" customWidth="1"/>
    <col min="7460" max="7460" width="8.5703125" style="498" customWidth="1"/>
    <col min="7461" max="7680" width="11.42578125" style="498"/>
    <col min="7681" max="7681" width="6.42578125" style="498" customWidth="1"/>
    <col min="7682" max="7682" width="47.5703125" style="498" customWidth="1"/>
    <col min="7683" max="7684" width="5" style="498" customWidth="1"/>
    <col min="7685" max="7685" width="5.42578125" style="498" customWidth="1"/>
    <col min="7686" max="7686" width="4.5703125" style="498" customWidth="1"/>
    <col min="7687" max="7688" width="4.42578125" style="498" customWidth="1"/>
    <col min="7689" max="7689" width="3.5703125" style="498" customWidth="1"/>
    <col min="7690" max="7690" width="5" style="498" customWidth="1"/>
    <col min="7691" max="7691" width="4" style="498" customWidth="1"/>
    <col min="7692" max="7693" width="4.5703125" style="498" customWidth="1"/>
    <col min="7694" max="7694" width="4.42578125" style="498" customWidth="1"/>
    <col min="7695" max="7695" width="4" style="498" customWidth="1"/>
    <col min="7696" max="7696" width="3.5703125" style="498" customWidth="1"/>
    <col min="7697" max="7698" width="4.5703125" style="498" customWidth="1"/>
    <col min="7699" max="7699" width="4" style="498" customWidth="1"/>
    <col min="7700" max="7701" width="4.42578125" style="498" customWidth="1"/>
    <col min="7702" max="7702" width="3.5703125" style="498" customWidth="1"/>
    <col min="7703" max="7703" width="4.42578125" style="498" customWidth="1"/>
    <col min="7704" max="7704" width="5.5703125" style="498" customWidth="1"/>
    <col min="7705" max="7705" width="3.5703125" style="498" customWidth="1"/>
    <col min="7706" max="7706" width="4" style="498" customWidth="1"/>
    <col min="7707" max="7707" width="4.5703125" style="498" customWidth="1"/>
    <col min="7708" max="7710" width="4.42578125" style="498" customWidth="1"/>
    <col min="7711" max="7712" width="4.5703125" style="498" customWidth="1"/>
    <col min="7713" max="7713" width="4" style="498" customWidth="1"/>
    <col min="7714" max="7714" width="4.5703125" style="498" customWidth="1"/>
    <col min="7715" max="7715" width="6" style="498" customWidth="1"/>
    <col min="7716" max="7716" width="8.5703125" style="498" customWidth="1"/>
    <col min="7717" max="7936" width="11.42578125" style="498"/>
    <col min="7937" max="7937" width="6.42578125" style="498" customWidth="1"/>
    <col min="7938" max="7938" width="47.5703125" style="498" customWidth="1"/>
    <col min="7939" max="7940" width="5" style="498" customWidth="1"/>
    <col min="7941" max="7941" width="5.42578125" style="498" customWidth="1"/>
    <col min="7942" max="7942" width="4.5703125" style="498" customWidth="1"/>
    <col min="7943" max="7944" width="4.42578125" style="498" customWidth="1"/>
    <col min="7945" max="7945" width="3.5703125" style="498" customWidth="1"/>
    <col min="7946" max="7946" width="5" style="498" customWidth="1"/>
    <col min="7947" max="7947" width="4" style="498" customWidth="1"/>
    <col min="7948" max="7949" width="4.5703125" style="498" customWidth="1"/>
    <col min="7950" max="7950" width="4.42578125" style="498" customWidth="1"/>
    <col min="7951" max="7951" width="4" style="498" customWidth="1"/>
    <col min="7952" max="7952" width="3.5703125" style="498" customWidth="1"/>
    <col min="7953" max="7954" width="4.5703125" style="498" customWidth="1"/>
    <col min="7955" max="7955" width="4" style="498" customWidth="1"/>
    <col min="7956" max="7957" width="4.42578125" style="498" customWidth="1"/>
    <col min="7958" max="7958" width="3.5703125" style="498" customWidth="1"/>
    <col min="7959" max="7959" width="4.42578125" style="498" customWidth="1"/>
    <col min="7960" max="7960" width="5.5703125" style="498" customWidth="1"/>
    <col min="7961" max="7961" width="3.5703125" style="498" customWidth="1"/>
    <col min="7962" max="7962" width="4" style="498" customWidth="1"/>
    <col min="7963" max="7963" width="4.5703125" style="498" customWidth="1"/>
    <col min="7964" max="7966" width="4.42578125" style="498" customWidth="1"/>
    <col min="7967" max="7968" width="4.5703125" style="498" customWidth="1"/>
    <col min="7969" max="7969" width="4" style="498" customWidth="1"/>
    <col min="7970" max="7970" width="4.5703125" style="498" customWidth="1"/>
    <col min="7971" max="7971" width="6" style="498" customWidth="1"/>
    <col min="7972" max="7972" width="8.5703125" style="498" customWidth="1"/>
    <col min="7973" max="8192" width="11.42578125" style="498"/>
    <col min="8193" max="8193" width="6.42578125" style="498" customWidth="1"/>
    <col min="8194" max="8194" width="47.5703125" style="498" customWidth="1"/>
    <col min="8195" max="8196" width="5" style="498" customWidth="1"/>
    <col min="8197" max="8197" width="5.42578125" style="498" customWidth="1"/>
    <col min="8198" max="8198" width="4.5703125" style="498" customWidth="1"/>
    <col min="8199" max="8200" width="4.42578125" style="498" customWidth="1"/>
    <col min="8201" max="8201" width="3.5703125" style="498" customWidth="1"/>
    <col min="8202" max="8202" width="5" style="498" customWidth="1"/>
    <col min="8203" max="8203" width="4" style="498" customWidth="1"/>
    <col min="8204" max="8205" width="4.5703125" style="498" customWidth="1"/>
    <col min="8206" max="8206" width="4.42578125" style="498" customWidth="1"/>
    <col min="8207" max="8207" width="4" style="498" customWidth="1"/>
    <col min="8208" max="8208" width="3.5703125" style="498" customWidth="1"/>
    <col min="8209" max="8210" width="4.5703125" style="498" customWidth="1"/>
    <col min="8211" max="8211" width="4" style="498" customWidth="1"/>
    <col min="8212" max="8213" width="4.42578125" style="498" customWidth="1"/>
    <col min="8214" max="8214" width="3.5703125" style="498" customWidth="1"/>
    <col min="8215" max="8215" width="4.42578125" style="498" customWidth="1"/>
    <col min="8216" max="8216" width="5.5703125" style="498" customWidth="1"/>
    <col min="8217" max="8217" width="3.5703125" style="498" customWidth="1"/>
    <col min="8218" max="8218" width="4" style="498" customWidth="1"/>
    <col min="8219" max="8219" width="4.5703125" style="498" customWidth="1"/>
    <col min="8220" max="8222" width="4.42578125" style="498" customWidth="1"/>
    <col min="8223" max="8224" width="4.5703125" style="498" customWidth="1"/>
    <col min="8225" max="8225" width="4" style="498" customWidth="1"/>
    <col min="8226" max="8226" width="4.5703125" style="498" customWidth="1"/>
    <col min="8227" max="8227" width="6" style="498" customWidth="1"/>
    <col min="8228" max="8228" width="8.5703125" style="498" customWidth="1"/>
    <col min="8229" max="8448" width="11.42578125" style="498"/>
    <col min="8449" max="8449" width="6.42578125" style="498" customWidth="1"/>
    <col min="8450" max="8450" width="47.5703125" style="498" customWidth="1"/>
    <col min="8451" max="8452" width="5" style="498" customWidth="1"/>
    <col min="8453" max="8453" width="5.42578125" style="498" customWidth="1"/>
    <col min="8454" max="8454" width="4.5703125" style="498" customWidth="1"/>
    <col min="8455" max="8456" width="4.42578125" style="498" customWidth="1"/>
    <col min="8457" max="8457" width="3.5703125" style="498" customWidth="1"/>
    <col min="8458" max="8458" width="5" style="498" customWidth="1"/>
    <col min="8459" max="8459" width="4" style="498" customWidth="1"/>
    <col min="8460" max="8461" width="4.5703125" style="498" customWidth="1"/>
    <col min="8462" max="8462" width="4.42578125" style="498" customWidth="1"/>
    <col min="8463" max="8463" width="4" style="498" customWidth="1"/>
    <col min="8464" max="8464" width="3.5703125" style="498" customWidth="1"/>
    <col min="8465" max="8466" width="4.5703125" style="498" customWidth="1"/>
    <col min="8467" max="8467" width="4" style="498" customWidth="1"/>
    <col min="8468" max="8469" width="4.42578125" style="498" customWidth="1"/>
    <col min="8470" max="8470" width="3.5703125" style="498" customWidth="1"/>
    <col min="8471" max="8471" width="4.42578125" style="498" customWidth="1"/>
    <col min="8472" max="8472" width="5.5703125" style="498" customWidth="1"/>
    <col min="8473" max="8473" width="3.5703125" style="498" customWidth="1"/>
    <col min="8474" max="8474" width="4" style="498" customWidth="1"/>
    <col min="8475" max="8475" width="4.5703125" style="498" customWidth="1"/>
    <col min="8476" max="8478" width="4.42578125" style="498" customWidth="1"/>
    <col min="8479" max="8480" width="4.5703125" style="498" customWidth="1"/>
    <col min="8481" max="8481" width="4" style="498" customWidth="1"/>
    <col min="8482" max="8482" width="4.5703125" style="498" customWidth="1"/>
    <col min="8483" max="8483" width="6" style="498" customWidth="1"/>
    <col min="8484" max="8484" width="8.5703125" style="498" customWidth="1"/>
    <col min="8485" max="8704" width="11.42578125" style="498"/>
    <col min="8705" max="8705" width="6.42578125" style="498" customWidth="1"/>
    <col min="8706" max="8706" width="47.5703125" style="498" customWidth="1"/>
    <col min="8707" max="8708" width="5" style="498" customWidth="1"/>
    <col min="8709" max="8709" width="5.42578125" style="498" customWidth="1"/>
    <col min="8710" max="8710" width="4.5703125" style="498" customWidth="1"/>
    <col min="8711" max="8712" width="4.42578125" style="498" customWidth="1"/>
    <col min="8713" max="8713" width="3.5703125" style="498" customWidth="1"/>
    <col min="8714" max="8714" width="5" style="498" customWidth="1"/>
    <col min="8715" max="8715" width="4" style="498" customWidth="1"/>
    <col min="8716" max="8717" width="4.5703125" style="498" customWidth="1"/>
    <col min="8718" max="8718" width="4.42578125" style="498" customWidth="1"/>
    <col min="8719" max="8719" width="4" style="498" customWidth="1"/>
    <col min="8720" max="8720" width="3.5703125" style="498" customWidth="1"/>
    <col min="8721" max="8722" width="4.5703125" style="498" customWidth="1"/>
    <col min="8723" max="8723" width="4" style="498" customWidth="1"/>
    <col min="8724" max="8725" width="4.42578125" style="498" customWidth="1"/>
    <col min="8726" max="8726" width="3.5703125" style="498" customWidth="1"/>
    <col min="8727" max="8727" width="4.42578125" style="498" customWidth="1"/>
    <col min="8728" max="8728" width="5.5703125" style="498" customWidth="1"/>
    <col min="8729" max="8729" width="3.5703125" style="498" customWidth="1"/>
    <col min="8730" max="8730" width="4" style="498" customWidth="1"/>
    <col min="8731" max="8731" width="4.5703125" style="498" customWidth="1"/>
    <col min="8732" max="8734" width="4.42578125" style="498" customWidth="1"/>
    <col min="8735" max="8736" width="4.5703125" style="498" customWidth="1"/>
    <col min="8737" max="8737" width="4" style="498" customWidth="1"/>
    <col min="8738" max="8738" width="4.5703125" style="498" customWidth="1"/>
    <col min="8739" max="8739" width="6" style="498" customWidth="1"/>
    <col min="8740" max="8740" width="8.5703125" style="498" customWidth="1"/>
    <col min="8741" max="8960" width="11.42578125" style="498"/>
    <col min="8961" max="8961" width="6.42578125" style="498" customWidth="1"/>
    <col min="8962" max="8962" width="47.5703125" style="498" customWidth="1"/>
    <col min="8963" max="8964" width="5" style="498" customWidth="1"/>
    <col min="8965" max="8965" width="5.42578125" style="498" customWidth="1"/>
    <col min="8966" max="8966" width="4.5703125" style="498" customWidth="1"/>
    <col min="8967" max="8968" width="4.42578125" style="498" customWidth="1"/>
    <col min="8969" max="8969" width="3.5703125" style="498" customWidth="1"/>
    <col min="8970" max="8970" width="5" style="498" customWidth="1"/>
    <col min="8971" max="8971" width="4" style="498" customWidth="1"/>
    <col min="8972" max="8973" width="4.5703125" style="498" customWidth="1"/>
    <col min="8974" max="8974" width="4.42578125" style="498" customWidth="1"/>
    <col min="8975" max="8975" width="4" style="498" customWidth="1"/>
    <col min="8976" max="8976" width="3.5703125" style="498" customWidth="1"/>
    <col min="8977" max="8978" width="4.5703125" style="498" customWidth="1"/>
    <col min="8979" max="8979" width="4" style="498" customWidth="1"/>
    <col min="8980" max="8981" width="4.42578125" style="498" customWidth="1"/>
    <col min="8982" max="8982" width="3.5703125" style="498" customWidth="1"/>
    <col min="8983" max="8983" width="4.42578125" style="498" customWidth="1"/>
    <col min="8984" max="8984" width="5.5703125" style="498" customWidth="1"/>
    <col min="8985" max="8985" width="3.5703125" style="498" customWidth="1"/>
    <col min="8986" max="8986" width="4" style="498" customWidth="1"/>
    <col min="8987" max="8987" width="4.5703125" style="498" customWidth="1"/>
    <col min="8988" max="8990" width="4.42578125" style="498" customWidth="1"/>
    <col min="8991" max="8992" width="4.5703125" style="498" customWidth="1"/>
    <col min="8993" max="8993" width="4" style="498" customWidth="1"/>
    <col min="8994" max="8994" width="4.5703125" style="498" customWidth="1"/>
    <col min="8995" max="8995" width="6" style="498" customWidth="1"/>
    <col min="8996" max="8996" width="8.5703125" style="498" customWidth="1"/>
    <col min="8997" max="9216" width="11.42578125" style="498"/>
    <col min="9217" max="9217" width="6.42578125" style="498" customWidth="1"/>
    <col min="9218" max="9218" width="47.5703125" style="498" customWidth="1"/>
    <col min="9219" max="9220" width="5" style="498" customWidth="1"/>
    <col min="9221" max="9221" width="5.42578125" style="498" customWidth="1"/>
    <col min="9222" max="9222" width="4.5703125" style="498" customWidth="1"/>
    <col min="9223" max="9224" width="4.42578125" style="498" customWidth="1"/>
    <col min="9225" max="9225" width="3.5703125" style="498" customWidth="1"/>
    <col min="9226" max="9226" width="5" style="498" customWidth="1"/>
    <col min="9227" max="9227" width="4" style="498" customWidth="1"/>
    <col min="9228" max="9229" width="4.5703125" style="498" customWidth="1"/>
    <col min="9230" max="9230" width="4.42578125" style="498" customWidth="1"/>
    <col min="9231" max="9231" width="4" style="498" customWidth="1"/>
    <col min="9232" max="9232" width="3.5703125" style="498" customWidth="1"/>
    <col min="9233" max="9234" width="4.5703125" style="498" customWidth="1"/>
    <col min="9235" max="9235" width="4" style="498" customWidth="1"/>
    <col min="9236" max="9237" width="4.42578125" style="498" customWidth="1"/>
    <col min="9238" max="9238" width="3.5703125" style="498" customWidth="1"/>
    <col min="9239" max="9239" width="4.42578125" style="498" customWidth="1"/>
    <col min="9240" max="9240" width="5.5703125" style="498" customWidth="1"/>
    <col min="9241" max="9241" width="3.5703125" style="498" customWidth="1"/>
    <col min="9242" max="9242" width="4" style="498" customWidth="1"/>
    <col min="9243" max="9243" width="4.5703125" style="498" customWidth="1"/>
    <col min="9244" max="9246" width="4.42578125" style="498" customWidth="1"/>
    <col min="9247" max="9248" width="4.5703125" style="498" customWidth="1"/>
    <col min="9249" max="9249" width="4" style="498" customWidth="1"/>
    <col min="9250" max="9250" width="4.5703125" style="498" customWidth="1"/>
    <col min="9251" max="9251" width="6" style="498" customWidth="1"/>
    <col min="9252" max="9252" width="8.5703125" style="498" customWidth="1"/>
    <col min="9253" max="9472" width="11.42578125" style="498"/>
    <col min="9473" max="9473" width="6.42578125" style="498" customWidth="1"/>
    <col min="9474" max="9474" width="47.5703125" style="498" customWidth="1"/>
    <col min="9475" max="9476" width="5" style="498" customWidth="1"/>
    <col min="9477" max="9477" width="5.42578125" style="498" customWidth="1"/>
    <col min="9478" max="9478" width="4.5703125" style="498" customWidth="1"/>
    <col min="9479" max="9480" width="4.42578125" style="498" customWidth="1"/>
    <col min="9481" max="9481" width="3.5703125" style="498" customWidth="1"/>
    <col min="9482" max="9482" width="5" style="498" customWidth="1"/>
    <col min="9483" max="9483" width="4" style="498" customWidth="1"/>
    <col min="9484" max="9485" width="4.5703125" style="498" customWidth="1"/>
    <col min="9486" max="9486" width="4.42578125" style="498" customWidth="1"/>
    <col min="9487" max="9487" width="4" style="498" customWidth="1"/>
    <col min="9488" max="9488" width="3.5703125" style="498" customWidth="1"/>
    <col min="9489" max="9490" width="4.5703125" style="498" customWidth="1"/>
    <col min="9491" max="9491" width="4" style="498" customWidth="1"/>
    <col min="9492" max="9493" width="4.42578125" style="498" customWidth="1"/>
    <col min="9494" max="9494" width="3.5703125" style="498" customWidth="1"/>
    <col min="9495" max="9495" width="4.42578125" style="498" customWidth="1"/>
    <col min="9496" max="9496" width="5.5703125" style="498" customWidth="1"/>
    <col min="9497" max="9497" width="3.5703125" style="498" customWidth="1"/>
    <col min="9498" max="9498" width="4" style="498" customWidth="1"/>
    <col min="9499" max="9499" width="4.5703125" style="498" customWidth="1"/>
    <col min="9500" max="9502" width="4.42578125" style="498" customWidth="1"/>
    <col min="9503" max="9504" width="4.5703125" style="498" customWidth="1"/>
    <col min="9505" max="9505" width="4" style="498" customWidth="1"/>
    <col min="9506" max="9506" width="4.5703125" style="498" customWidth="1"/>
    <col min="9507" max="9507" width="6" style="498" customWidth="1"/>
    <col min="9508" max="9508" width="8.5703125" style="498" customWidth="1"/>
    <col min="9509" max="9728" width="11.42578125" style="498"/>
    <col min="9729" max="9729" width="6.42578125" style="498" customWidth="1"/>
    <col min="9730" max="9730" width="47.5703125" style="498" customWidth="1"/>
    <col min="9731" max="9732" width="5" style="498" customWidth="1"/>
    <col min="9733" max="9733" width="5.42578125" style="498" customWidth="1"/>
    <col min="9734" max="9734" width="4.5703125" style="498" customWidth="1"/>
    <col min="9735" max="9736" width="4.42578125" style="498" customWidth="1"/>
    <col min="9737" max="9737" width="3.5703125" style="498" customWidth="1"/>
    <col min="9738" max="9738" width="5" style="498" customWidth="1"/>
    <col min="9739" max="9739" width="4" style="498" customWidth="1"/>
    <col min="9740" max="9741" width="4.5703125" style="498" customWidth="1"/>
    <col min="9742" max="9742" width="4.42578125" style="498" customWidth="1"/>
    <col min="9743" max="9743" width="4" style="498" customWidth="1"/>
    <col min="9744" max="9744" width="3.5703125" style="498" customWidth="1"/>
    <col min="9745" max="9746" width="4.5703125" style="498" customWidth="1"/>
    <col min="9747" max="9747" width="4" style="498" customWidth="1"/>
    <col min="9748" max="9749" width="4.42578125" style="498" customWidth="1"/>
    <col min="9750" max="9750" width="3.5703125" style="498" customWidth="1"/>
    <col min="9751" max="9751" width="4.42578125" style="498" customWidth="1"/>
    <col min="9752" max="9752" width="5.5703125" style="498" customWidth="1"/>
    <col min="9753" max="9753" width="3.5703125" style="498" customWidth="1"/>
    <col min="9754" max="9754" width="4" style="498" customWidth="1"/>
    <col min="9755" max="9755" width="4.5703125" style="498" customWidth="1"/>
    <col min="9756" max="9758" width="4.42578125" style="498" customWidth="1"/>
    <col min="9759" max="9760" width="4.5703125" style="498" customWidth="1"/>
    <col min="9761" max="9761" width="4" style="498" customWidth="1"/>
    <col min="9762" max="9762" width="4.5703125" style="498" customWidth="1"/>
    <col min="9763" max="9763" width="6" style="498" customWidth="1"/>
    <col min="9764" max="9764" width="8.5703125" style="498" customWidth="1"/>
    <col min="9765" max="9984" width="11.42578125" style="498"/>
    <col min="9985" max="9985" width="6.42578125" style="498" customWidth="1"/>
    <col min="9986" max="9986" width="47.5703125" style="498" customWidth="1"/>
    <col min="9987" max="9988" width="5" style="498" customWidth="1"/>
    <col min="9989" max="9989" width="5.42578125" style="498" customWidth="1"/>
    <col min="9990" max="9990" width="4.5703125" style="498" customWidth="1"/>
    <col min="9991" max="9992" width="4.42578125" style="498" customWidth="1"/>
    <col min="9993" max="9993" width="3.5703125" style="498" customWidth="1"/>
    <col min="9994" max="9994" width="5" style="498" customWidth="1"/>
    <col min="9995" max="9995" width="4" style="498" customWidth="1"/>
    <col min="9996" max="9997" width="4.5703125" style="498" customWidth="1"/>
    <col min="9998" max="9998" width="4.42578125" style="498" customWidth="1"/>
    <col min="9999" max="9999" width="4" style="498" customWidth="1"/>
    <col min="10000" max="10000" width="3.5703125" style="498" customWidth="1"/>
    <col min="10001" max="10002" width="4.5703125" style="498" customWidth="1"/>
    <col min="10003" max="10003" width="4" style="498" customWidth="1"/>
    <col min="10004" max="10005" width="4.42578125" style="498" customWidth="1"/>
    <col min="10006" max="10006" width="3.5703125" style="498" customWidth="1"/>
    <col min="10007" max="10007" width="4.42578125" style="498" customWidth="1"/>
    <col min="10008" max="10008" width="5.5703125" style="498" customWidth="1"/>
    <col min="10009" max="10009" width="3.5703125" style="498" customWidth="1"/>
    <col min="10010" max="10010" width="4" style="498" customWidth="1"/>
    <col min="10011" max="10011" width="4.5703125" style="498" customWidth="1"/>
    <col min="10012" max="10014" width="4.42578125" style="498" customWidth="1"/>
    <col min="10015" max="10016" width="4.5703125" style="498" customWidth="1"/>
    <col min="10017" max="10017" width="4" style="498" customWidth="1"/>
    <col min="10018" max="10018" width="4.5703125" style="498" customWidth="1"/>
    <col min="10019" max="10019" width="6" style="498" customWidth="1"/>
    <col min="10020" max="10020" width="8.5703125" style="498" customWidth="1"/>
    <col min="10021" max="10240" width="11.42578125" style="498"/>
    <col min="10241" max="10241" width="6.42578125" style="498" customWidth="1"/>
    <col min="10242" max="10242" width="47.5703125" style="498" customWidth="1"/>
    <col min="10243" max="10244" width="5" style="498" customWidth="1"/>
    <col min="10245" max="10245" width="5.42578125" style="498" customWidth="1"/>
    <col min="10246" max="10246" width="4.5703125" style="498" customWidth="1"/>
    <col min="10247" max="10248" width="4.42578125" style="498" customWidth="1"/>
    <col min="10249" max="10249" width="3.5703125" style="498" customWidth="1"/>
    <col min="10250" max="10250" width="5" style="498" customWidth="1"/>
    <col min="10251" max="10251" width="4" style="498" customWidth="1"/>
    <col min="10252" max="10253" width="4.5703125" style="498" customWidth="1"/>
    <col min="10254" max="10254" width="4.42578125" style="498" customWidth="1"/>
    <col min="10255" max="10255" width="4" style="498" customWidth="1"/>
    <col min="10256" max="10256" width="3.5703125" style="498" customWidth="1"/>
    <col min="10257" max="10258" width="4.5703125" style="498" customWidth="1"/>
    <col min="10259" max="10259" width="4" style="498" customWidth="1"/>
    <col min="10260" max="10261" width="4.42578125" style="498" customWidth="1"/>
    <col min="10262" max="10262" width="3.5703125" style="498" customWidth="1"/>
    <col min="10263" max="10263" width="4.42578125" style="498" customWidth="1"/>
    <col min="10264" max="10264" width="5.5703125" style="498" customWidth="1"/>
    <col min="10265" max="10265" width="3.5703125" style="498" customWidth="1"/>
    <col min="10266" max="10266" width="4" style="498" customWidth="1"/>
    <col min="10267" max="10267" width="4.5703125" style="498" customWidth="1"/>
    <col min="10268" max="10270" width="4.42578125" style="498" customWidth="1"/>
    <col min="10271" max="10272" width="4.5703125" style="498" customWidth="1"/>
    <col min="10273" max="10273" width="4" style="498" customWidth="1"/>
    <col min="10274" max="10274" width="4.5703125" style="498" customWidth="1"/>
    <col min="10275" max="10275" width="6" style="498" customWidth="1"/>
    <col min="10276" max="10276" width="8.5703125" style="498" customWidth="1"/>
    <col min="10277" max="10496" width="11.42578125" style="498"/>
    <col min="10497" max="10497" width="6.42578125" style="498" customWidth="1"/>
    <col min="10498" max="10498" width="47.5703125" style="498" customWidth="1"/>
    <col min="10499" max="10500" width="5" style="498" customWidth="1"/>
    <col min="10501" max="10501" width="5.42578125" style="498" customWidth="1"/>
    <col min="10502" max="10502" width="4.5703125" style="498" customWidth="1"/>
    <col min="10503" max="10504" width="4.42578125" style="498" customWidth="1"/>
    <col min="10505" max="10505" width="3.5703125" style="498" customWidth="1"/>
    <col min="10506" max="10506" width="5" style="498" customWidth="1"/>
    <col min="10507" max="10507" width="4" style="498" customWidth="1"/>
    <col min="10508" max="10509" width="4.5703125" style="498" customWidth="1"/>
    <col min="10510" max="10510" width="4.42578125" style="498" customWidth="1"/>
    <col min="10511" max="10511" width="4" style="498" customWidth="1"/>
    <col min="10512" max="10512" width="3.5703125" style="498" customWidth="1"/>
    <col min="10513" max="10514" width="4.5703125" style="498" customWidth="1"/>
    <col min="10515" max="10515" width="4" style="498" customWidth="1"/>
    <col min="10516" max="10517" width="4.42578125" style="498" customWidth="1"/>
    <col min="10518" max="10518" width="3.5703125" style="498" customWidth="1"/>
    <col min="10519" max="10519" width="4.42578125" style="498" customWidth="1"/>
    <col min="10520" max="10520" width="5.5703125" style="498" customWidth="1"/>
    <col min="10521" max="10521" width="3.5703125" style="498" customWidth="1"/>
    <col min="10522" max="10522" width="4" style="498" customWidth="1"/>
    <col min="10523" max="10523" width="4.5703125" style="498" customWidth="1"/>
    <col min="10524" max="10526" width="4.42578125" style="498" customWidth="1"/>
    <col min="10527" max="10528" width="4.5703125" style="498" customWidth="1"/>
    <col min="10529" max="10529" width="4" style="498" customWidth="1"/>
    <col min="10530" max="10530" width="4.5703125" style="498" customWidth="1"/>
    <col min="10531" max="10531" width="6" style="498" customWidth="1"/>
    <col min="10532" max="10532" width="8.5703125" style="498" customWidth="1"/>
    <col min="10533" max="10752" width="11.42578125" style="498"/>
    <col min="10753" max="10753" width="6.42578125" style="498" customWidth="1"/>
    <col min="10754" max="10754" width="47.5703125" style="498" customWidth="1"/>
    <col min="10755" max="10756" width="5" style="498" customWidth="1"/>
    <col min="10757" max="10757" width="5.42578125" style="498" customWidth="1"/>
    <col min="10758" max="10758" width="4.5703125" style="498" customWidth="1"/>
    <col min="10759" max="10760" width="4.42578125" style="498" customWidth="1"/>
    <col min="10761" max="10761" width="3.5703125" style="498" customWidth="1"/>
    <col min="10762" max="10762" width="5" style="498" customWidth="1"/>
    <col min="10763" max="10763" width="4" style="498" customWidth="1"/>
    <col min="10764" max="10765" width="4.5703125" style="498" customWidth="1"/>
    <col min="10766" max="10766" width="4.42578125" style="498" customWidth="1"/>
    <col min="10767" max="10767" width="4" style="498" customWidth="1"/>
    <col min="10768" max="10768" width="3.5703125" style="498" customWidth="1"/>
    <col min="10769" max="10770" width="4.5703125" style="498" customWidth="1"/>
    <col min="10771" max="10771" width="4" style="498" customWidth="1"/>
    <col min="10772" max="10773" width="4.42578125" style="498" customWidth="1"/>
    <col min="10774" max="10774" width="3.5703125" style="498" customWidth="1"/>
    <col min="10775" max="10775" width="4.42578125" style="498" customWidth="1"/>
    <col min="10776" max="10776" width="5.5703125" style="498" customWidth="1"/>
    <col min="10777" max="10777" width="3.5703125" style="498" customWidth="1"/>
    <col min="10778" max="10778" width="4" style="498" customWidth="1"/>
    <col min="10779" max="10779" width="4.5703125" style="498" customWidth="1"/>
    <col min="10780" max="10782" width="4.42578125" style="498" customWidth="1"/>
    <col min="10783" max="10784" width="4.5703125" style="498" customWidth="1"/>
    <col min="10785" max="10785" width="4" style="498" customWidth="1"/>
    <col min="10786" max="10786" width="4.5703125" style="498" customWidth="1"/>
    <col min="10787" max="10787" width="6" style="498" customWidth="1"/>
    <col min="10788" max="10788" width="8.5703125" style="498" customWidth="1"/>
    <col min="10789" max="11008" width="11.42578125" style="498"/>
    <col min="11009" max="11009" width="6.42578125" style="498" customWidth="1"/>
    <col min="11010" max="11010" width="47.5703125" style="498" customWidth="1"/>
    <col min="11011" max="11012" width="5" style="498" customWidth="1"/>
    <col min="11013" max="11013" width="5.42578125" style="498" customWidth="1"/>
    <col min="11014" max="11014" width="4.5703125" style="498" customWidth="1"/>
    <col min="11015" max="11016" width="4.42578125" style="498" customWidth="1"/>
    <col min="11017" max="11017" width="3.5703125" style="498" customWidth="1"/>
    <col min="11018" max="11018" width="5" style="498" customWidth="1"/>
    <col min="11019" max="11019" width="4" style="498" customWidth="1"/>
    <col min="11020" max="11021" width="4.5703125" style="498" customWidth="1"/>
    <col min="11022" max="11022" width="4.42578125" style="498" customWidth="1"/>
    <col min="11023" max="11023" width="4" style="498" customWidth="1"/>
    <col min="11024" max="11024" width="3.5703125" style="498" customWidth="1"/>
    <col min="11025" max="11026" width="4.5703125" style="498" customWidth="1"/>
    <col min="11027" max="11027" width="4" style="498" customWidth="1"/>
    <col min="11028" max="11029" width="4.42578125" style="498" customWidth="1"/>
    <col min="11030" max="11030" width="3.5703125" style="498" customWidth="1"/>
    <col min="11031" max="11031" width="4.42578125" style="498" customWidth="1"/>
    <col min="11032" max="11032" width="5.5703125" style="498" customWidth="1"/>
    <col min="11033" max="11033" width="3.5703125" style="498" customWidth="1"/>
    <col min="11034" max="11034" width="4" style="498" customWidth="1"/>
    <col min="11035" max="11035" width="4.5703125" style="498" customWidth="1"/>
    <col min="11036" max="11038" width="4.42578125" style="498" customWidth="1"/>
    <col min="11039" max="11040" width="4.5703125" style="498" customWidth="1"/>
    <col min="11041" max="11041" width="4" style="498" customWidth="1"/>
    <col min="11042" max="11042" width="4.5703125" style="498" customWidth="1"/>
    <col min="11043" max="11043" width="6" style="498" customWidth="1"/>
    <col min="11044" max="11044" width="8.5703125" style="498" customWidth="1"/>
    <col min="11045" max="11264" width="11.42578125" style="498"/>
    <col min="11265" max="11265" width="6.42578125" style="498" customWidth="1"/>
    <col min="11266" max="11266" width="47.5703125" style="498" customWidth="1"/>
    <col min="11267" max="11268" width="5" style="498" customWidth="1"/>
    <col min="11269" max="11269" width="5.42578125" style="498" customWidth="1"/>
    <col min="11270" max="11270" width="4.5703125" style="498" customWidth="1"/>
    <col min="11271" max="11272" width="4.42578125" style="498" customWidth="1"/>
    <col min="11273" max="11273" width="3.5703125" style="498" customWidth="1"/>
    <col min="11274" max="11274" width="5" style="498" customWidth="1"/>
    <col min="11275" max="11275" width="4" style="498" customWidth="1"/>
    <col min="11276" max="11277" width="4.5703125" style="498" customWidth="1"/>
    <col min="11278" max="11278" width="4.42578125" style="498" customWidth="1"/>
    <col min="11279" max="11279" width="4" style="498" customWidth="1"/>
    <col min="11280" max="11280" width="3.5703125" style="498" customWidth="1"/>
    <col min="11281" max="11282" width="4.5703125" style="498" customWidth="1"/>
    <col min="11283" max="11283" width="4" style="498" customWidth="1"/>
    <col min="11284" max="11285" width="4.42578125" style="498" customWidth="1"/>
    <col min="11286" max="11286" width="3.5703125" style="498" customWidth="1"/>
    <col min="11287" max="11287" width="4.42578125" style="498" customWidth="1"/>
    <col min="11288" max="11288" width="5.5703125" style="498" customWidth="1"/>
    <col min="11289" max="11289" width="3.5703125" style="498" customWidth="1"/>
    <col min="11290" max="11290" width="4" style="498" customWidth="1"/>
    <col min="11291" max="11291" width="4.5703125" style="498" customWidth="1"/>
    <col min="11292" max="11294" width="4.42578125" style="498" customWidth="1"/>
    <col min="11295" max="11296" width="4.5703125" style="498" customWidth="1"/>
    <col min="11297" max="11297" width="4" style="498" customWidth="1"/>
    <col min="11298" max="11298" width="4.5703125" style="498" customWidth="1"/>
    <col min="11299" max="11299" width="6" style="498" customWidth="1"/>
    <col min="11300" max="11300" width="8.5703125" style="498" customWidth="1"/>
    <col min="11301" max="11520" width="11.42578125" style="498"/>
    <col min="11521" max="11521" width="6.42578125" style="498" customWidth="1"/>
    <col min="11522" max="11522" width="47.5703125" style="498" customWidth="1"/>
    <col min="11523" max="11524" width="5" style="498" customWidth="1"/>
    <col min="11525" max="11525" width="5.42578125" style="498" customWidth="1"/>
    <col min="11526" max="11526" width="4.5703125" style="498" customWidth="1"/>
    <col min="11527" max="11528" width="4.42578125" style="498" customWidth="1"/>
    <col min="11529" max="11529" width="3.5703125" style="498" customWidth="1"/>
    <col min="11530" max="11530" width="5" style="498" customWidth="1"/>
    <col min="11531" max="11531" width="4" style="498" customWidth="1"/>
    <col min="11532" max="11533" width="4.5703125" style="498" customWidth="1"/>
    <col min="11534" max="11534" width="4.42578125" style="498" customWidth="1"/>
    <col min="11535" max="11535" width="4" style="498" customWidth="1"/>
    <col min="11536" max="11536" width="3.5703125" style="498" customWidth="1"/>
    <col min="11537" max="11538" width="4.5703125" style="498" customWidth="1"/>
    <col min="11539" max="11539" width="4" style="498" customWidth="1"/>
    <col min="11540" max="11541" width="4.42578125" style="498" customWidth="1"/>
    <col min="11542" max="11542" width="3.5703125" style="498" customWidth="1"/>
    <col min="11543" max="11543" width="4.42578125" style="498" customWidth="1"/>
    <col min="11544" max="11544" width="5.5703125" style="498" customWidth="1"/>
    <col min="11545" max="11545" width="3.5703125" style="498" customWidth="1"/>
    <col min="11546" max="11546" width="4" style="498" customWidth="1"/>
    <col min="11547" max="11547" width="4.5703125" style="498" customWidth="1"/>
    <col min="11548" max="11550" width="4.42578125" style="498" customWidth="1"/>
    <col min="11551" max="11552" width="4.5703125" style="498" customWidth="1"/>
    <col min="11553" max="11553" width="4" style="498" customWidth="1"/>
    <col min="11554" max="11554" width="4.5703125" style="498" customWidth="1"/>
    <col min="11555" max="11555" width="6" style="498" customWidth="1"/>
    <col min="11556" max="11556" width="8.5703125" style="498" customWidth="1"/>
    <col min="11557" max="11776" width="11.42578125" style="498"/>
    <col min="11777" max="11777" width="6.42578125" style="498" customWidth="1"/>
    <col min="11778" max="11778" width="47.5703125" style="498" customWidth="1"/>
    <col min="11779" max="11780" width="5" style="498" customWidth="1"/>
    <col min="11781" max="11781" width="5.42578125" style="498" customWidth="1"/>
    <col min="11782" max="11782" width="4.5703125" style="498" customWidth="1"/>
    <col min="11783" max="11784" width="4.42578125" style="498" customWidth="1"/>
    <col min="11785" max="11785" width="3.5703125" style="498" customWidth="1"/>
    <col min="11786" max="11786" width="5" style="498" customWidth="1"/>
    <col min="11787" max="11787" width="4" style="498" customWidth="1"/>
    <col min="11788" max="11789" width="4.5703125" style="498" customWidth="1"/>
    <col min="11790" max="11790" width="4.42578125" style="498" customWidth="1"/>
    <col min="11791" max="11791" width="4" style="498" customWidth="1"/>
    <col min="11792" max="11792" width="3.5703125" style="498" customWidth="1"/>
    <col min="11793" max="11794" width="4.5703125" style="498" customWidth="1"/>
    <col min="11795" max="11795" width="4" style="498" customWidth="1"/>
    <col min="11796" max="11797" width="4.42578125" style="498" customWidth="1"/>
    <col min="11798" max="11798" width="3.5703125" style="498" customWidth="1"/>
    <col min="11799" max="11799" width="4.42578125" style="498" customWidth="1"/>
    <col min="11800" max="11800" width="5.5703125" style="498" customWidth="1"/>
    <col min="11801" max="11801" width="3.5703125" style="498" customWidth="1"/>
    <col min="11802" max="11802" width="4" style="498" customWidth="1"/>
    <col min="11803" max="11803" width="4.5703125" style="498" customWidth="1"/>
    <col min="11804" max="11806" width="4.42578125" style="498" customWidth="1"/>
    <col min="11807" max="11808" width="4.5703125" style="498" customWidth="1"/>
    <col min="11809" max="11809" width="4" style="498" customWidth="1"/>
    <col min="11810" max="11810" width="4.5703125" style="498" customWidth="1"/>
    <col min="11811" max="11811" width="6" style="498" customWidth="1"/>
    <col min="11812" max="11812" width="8.5703125" style="498" customWidth="1"/>
    <col min="11813" max="12032" width="11.42578125" style="498"/>
    <col min="12033" max="12033" width="6.42578125" style="498" customWidth="1"/>
    <col min="12034" max="12034" width="47.5703125" style="498" customWidth="1"/>
    <col min="12035" max="12036" width="5" style="498" customWidth="1"/>
    <col min="12037" max="12037" width="5.42578125" style="498" customWidth="1"/>
    <col min="12038" max="12038" width="4.5703125" style="498" customWidth="1"/>
    <col min="12039" max="12040" width="4.42578125" style="498" customWidth="1"/>
    <col min="12041" max="12041" width="3.5703125" style="498" customWidth="1"/>
    <col min="12042" max="12042" width="5" style="498" customWidth="1"/>
    <col min="12043" max="12043" width="4" style="498" customWidth="1"/>
    <col min="12044" max="12045" width="4.5703125" style="498" customWidth="1"/>
    <col min="12046" max="12046" width="4.42578125" style="498" customWidth="1"/>
    <col min="12047" max="12047" width="4" style="498" customWidth="1"/>
    <col min="12048" max="12048" width="3.5703125" style="498" customWidth="1"/>
    <col min="12049" max="12050" width="4.5703125" style="498" customWidth="1"/>
    <col min="12051" max="12051" width="4" style="498" customWidth="1"/>
    <col min="12052" max="12053" width="4.42578125" style="498" customWidth="1"/>
    <col min="12054" max="12054" width="3.5703125" style="498" customWidth="1"/>
    <col min="12055" max="12055" width="4.42578125" style="498" customWidth="1"/>
    <col min="12056" max="12056" width="5.5703125" style="498" customWidth="1"/>
    <col min="12057" max="12057" width="3.5703125" style="498" customWidth="1"/>
    <col min="12058" max="12058" width="4" style="498" customWidth="1"/>
    <col min="12059" max="12059" width="4.5703125" style="498" customWidth="1"/>
    <col min="12060" max="12062" width="4.42578125" style="498" customWidth="1"/>
    <col min="12063" max="12064" width="4.5703125" style="498" customWidth="1"/>
    <col min="12065" max="12065" width="4" style="498" customWidth="1"/>
    <col min="12066" max="12066" width="4.5703125" style="498" customWidth="1"/>
    <col min="12067" max="12067" width="6" style="498" customWidth="1"/>
    <col min="12068" max="12068" width="8.5703125" style="498" customWidth="1"/>
    <col min="12069" max="12288" width="11.42578125" style="498"/>
    <col min="12289" max="12289" width="6.42578125" style="498" customWidth="1"/>
    <col min="12290" max="12290" width="47.5703125" style="498" customWidth="1"/>
    <col min="12291" max="12292" width="5" style="498" customWidth="1"/>
    <col min="12293" max="12293" width="5.42578125" style="498" customWidth="1"/>
    <col min="12294" max="12294" width="4.5703125" style="498" customWidth="1"/>
    <col min="12295" max="12296" width="4.42578125" style="498" customWidth="1"/>
    <col min="12297" max="12297" width="3.5703125" style="498" customWidth="1"/>
    <col min="12298" max="12298" width="5" style="498" customWidth="1"/>
    <col min="12299" max="12299" width="4" style="498" customWidth="1"/>
    <col min="12300" max="12301" width="4.5703125" style="498" customWidth="1"/>
    <col min="12302" max="12302" width="4.42578125" style="498" customWidth="1"/>
    <col min="12303" max="12303" width="4" style="498" customWidth="1"/>
    <col min="12304" max="12304" width="3.5703125" style="498" customWidth="1"/>
    <col min="12305" max="12306" width="4.5703125" style="498" customWidth="1"/>
    <col min="12307" max="12307" width="4" style="498" customWidth="1"/>
    <col min="12308" max="12309" width="4.42578125" style="498" customWidth="1"/>
    <col min="12310" max="12310" width="3.5703125" style="498" customWidth="1"/>
    <col min="12311" max="12311" width="4.42578125" style="498" customWidth="1"/>
    <col min="12312" max="12312" width="5.5703125" style="498" customWidth="1"/>
    <col min="12313" max="12313" width="3.5703125" style="498" customWidth="1"/>
    <col min="12314" max="12314" width="4" style="498" customWidth="1"/>
    <col min="12315" max="12315" width="4.5703125" style="498" customWidth="1"/>
    <col min="12316" max="12318" width="4.42578125" style="498" customWidth="1"/>
    <col min="12319" max="12320" width="4.5703125" style="498" customWidth="1"/>
    <col min="12321" max="12321" width="4" style="498" customWidth="1"/>
    <col min="12322" max="12322" width="4.5703125" style="498" customWidth="1"/>
    <col min="12323" max="12323" width="6" style="498" customWidth="1"/>
    <col min="12324" max="12324" width="8.5703125" style="498" customWidth="1"/>
    <col min="12325" max="12544" width="11.42578125" style="498"/>
    <col min="12545" max="12545" width="6.42578125" style="498" customWidth="1"/>
    <col min="12546" max="12546" width="47.5703125" style="498" customWidth="1"/>
    <col min="12547" max="12548" width="5" style="498" customWidth="1"/>
    <col min="12549" max="12549" width="5.42578125" style="498" customWidth="1"/>
    <col min="12550" max="12550" width="4.5703125" style="498" customWidth="1"/>
    <col min="12551" max="12552" width="4.42578125" style="498" customWidth="1"/>
    <col min="12553" max="12553" width="3.5703125" style="498" customWidth="1"/>
    <col min="12554" max="12554" width="5" style="498" customWidth="1"/>
    <col min="12555" max="12555" width="4" style="498" customWidth="1"/>
    <col min="12556" max="12557" width="4.5703125" style="498" customWidth="1"/>
    <col min="12558" max="12558" width="4.42578125" style="498" customWidth="1"/>
    <col min="12559" max="12559" width="4" style="498" customWidth="1"/>
    <col min="12560" max="12560" width="3.5703125" style="498" customWidth="1"/>
    <col min="12561" max="12562" width="4.5703125" style="498" customWidth="1"/>
    <col min="12563" max="12563" width="4" style="498" customWidth="1"/>
    <col min="12564" max="12565" width="4.42578125" style="498" customWidth="1"/>
    <col min="12566" max="12566" width="3.5703125" style="498" customWidth="1"/>
    <col min="12567" max="12567" width="4.42578125" style="498" customWidth="1"/>
    <col min="12568" max="12568" width="5.5703125" style="498" customWidth="1"/>
    <col min="12569" max="12569" width="3.5703125" style="498" customWidth="1"/>
    <col min="12570" max="12570" width="4" style="498" customWidth="1"/>
    <col min="12571" max="12571" width="4.5703125" style="498" customWidth="1"/>
    <col min="12572" max="12574" width="4.42578125" style="498" customWidth="1"/>
    <col min="12575" max="12576" width="4.5703125" style="498" customWidth="1"/>
    <col min="12577" max="12577" width="4" style="498" customWidth="1"/>
    <col min="12578" max="12578" width="4.5703125" style="498" customWidth="1"/>
    <col min="12579" max="12579" width="6" style="498" customWidth="1"/>
    <col min="12580" max="12580" width="8.5703125" style="498" customWidth="1"/>
    <col min="12581" max="12800" width="11.42578125" style="498"/>
    <col min="12801" max="12801" width="6.42578125" style="498" customWidth="1"/>
    <col min="12802" max="12802" width="47.5703125" style="498" customWidth="1"/>
    <col min="12803" max="12804" width="5" style="498" customWidth="1"/>
    <col min="12805" max="12805" width="5.42578125" style="498" customWidth="1"/>
    <col min="12806" max="12806" width="4.5703125" style="498" customWidth="1"/>
    <col min="12807" max="12808" width="4.42578125" style="498" customWidth="1"/>
    <col min="12809" max="12809" width="3.5703125" style="498" customWidth="1"/>
    <col min="12810" max="12810" width="5" style="498" customWidth="1"/>
    <col min="12811" max="12811" width="4" style="498" customWidth="1"/>
    <col min="12812" max="12813" width="4.5703125" style="498" customWidth="1"/>
    <col min="12814" max="12814" width="4.42578125" style="498" customWidth="1"/>
    <col min="12815" max="12815" width="4" style="498" customWidth="1"/>
    <col min="12816" max="12816" width="3.5703125" style="498" customWidth="1"/>
    <col min="12817" max="12818" width="4.5703125" style="498" customWidth="1"/>
    <col min="12819" max="12819" width="4" style="498" customWidth="1"/>
    <col min="12820" max="12821" width="4.42578125" style="498" customWidth="1"/>
    <col min="12822" max="12822" width="3.5703125" style="498" customWidth="1"/>
    <col min="12823" max="12823" width="4.42578125" style="498" customWidth="1"/>
    <col min="12824" max="12824" width="5.5703125" style="498" customWidth="1"/>
    <col min="12825" max="12825" width="3.5703125" style="498" customWidth="1"/>
    <col min="12826" max="12826" width="4" style="498" customWidth="1"/>
    <col min="12827" max="12827" width="4.5703125" style="498" customWidth="1"/>
    <col min="12828" max="12830" width="4.42578125" style="498" customWidth="1"/>
    <col min="12831" max="12832" width="4.5703125" style="498" customWidth="1"/>
    <col min="12833" max="12833" width="4" style="498" customWidth="1"/>
    <col min="12834" max="12834" width="4.5703125" style="498" customWidth="1"/>
    <col min="12835" max="12835" width="6" style="498" customWidth="1"/>
    <col min="12836" max="12836" width="8.5703125" style="498" customWidth="1"/>
    <col min="12837" max="13056" width="11.42578125" style="498"/>
    <col min="13057" max="13057" width="6.42578125" style="498" customWidth="1"/>
    <col min="13058" max="13058" width="47.5703125" style="498" customWidth="1"/>
    <col min="13059" max="13060" width="5" style="498" customWidth="1"/>
    <col min="13061" max="13061" width="5.42578125" style="498" customWidth="1"/>
    <col min="13062" max="13062" width="4.5703125" style="498" customWidth="1"/>
    <col min="13063" max="13064" width="4.42578125" style="498" customWidth="1"/>
    <col min="13065" max="13065" width="3.5703125" style="498" customWidth="1"/>
    <col min="13066" max="13066" width="5" style="498" customWidth="1"/>
    <col min="13067" max="13067" width="4" style="498" customWidth="1"/>
    <col min="13068" max="13069" width="4.5703125" style="498" customWidth="1"/>
    <col min="13070" max="13070" width="4.42578125" style="498" customWidth="1"/>
    <col min="13071" max="13071" width="4" style="498" customWidth="1"/>
    <col min="13072" max="13072" width="3.5703125" style="498" customWidth="1"/>
    <col min="13073" max="13074" width="4.5703125" style="498" customWidth="1"/>
    <col min="13075" max="13075" width="4" style="498" customWidth="1"/>
    <col min="13076" max="13077" width="4.42578125" style="498" customWidth="1"/>
    <col min="13078" max="13078" width="3.5703125" style="498" customWidth="1"/>
    <col min="13079" max="13079" width="4.42578125" style="498" customWidth="1"/>
    <col min="13080" max="13080" width="5.5703125" style="498" customWidth="1"/>
    <col min="13081" max="13081" width="3.5703125" style="498" customWidth="1"/>
    <col min="13082" max="13082" width="4" style="498" customWidth="1"/>
    <col min="13083" max="13083" width="4.5703125" style="498" customWidth="1"/>
    <col min="13084" max="13086" width="4.42578125" style="498" customWidth="1"/>
    <col min="13087" max="13088" width="4.5703125" style="498" customWidth="1"/>
    <col min="13089" max="13089" width="4" style="498" customWidth="1"/>
    <col min="13090" max="13090" width="4.5703125" style="498" customWidth="1"/>
    <col min="13091" max="13091" width="6" style="498" customWidth="1"/>
    <col min="13092" max="13092" width="8.5703125" style="498" customWidth="1"/>
    <col min="13093" max="13312" width="11.42578125" style="498"/>
    <col min="13313" max="13313" width="6.42578125" style="498" customWidth="1"/>
    <col min="13314" max="13314" width="47.5703125" style="498" customWidth="1"/>
    <col min="13315" max="13316" width="5" style="498" customWidth="1"/>
    <col min="13317" max="13317" width="5.42578125" style="498" customWidth="1"/>
    <col min="13318" max="13318" width="4.5703125" style="498" customWidth="1"/>
    <col min="13319" max="13320" width="4.42578125" style="498" customWidth="1"/>
    <col min="13321" max="13321" width="3.5703125" style="498" customWidth="1"/>
    <col min="13322" max="13322" width="5" style="498" customWidth="1"/>
    <col min="13323" max="13323" width="4" style="498" customWidth="1"/>
    <col min="13324" max="13325" width="4.5703125" style="498" customWidth="1"/>
    <col min="13326" max="13326" width="4.42578125" style="498" customWidth="1"/>
    <col min="13327" max="13327" width="4" style="498" customWidth="1"/>
    <col min="13328" max="13328" width="3.5703125" style="498" customWidth="1"/>
    <col min="13329" max="13330" width="4.5703125" style="498" customWidth="1"/>
    <col min="13331" max="13331" width="4" style="498" customWidth="1"/>
    <col min="13332" max="13333" width="4.42578125" style="498" customWidth="1"/>
    <col min="13334" max="13334" width="3.5703125" style="498" customWidth="1"/>
    <col min="13335" max="13335" width="4.42578125" style="498" customWidth="1"/>
    <col min="13336" max="13336" width="5.5703125" style="498" customWidth="1"/>
    <col min="13337" max="13337" width="3.5703125" style="498" customWidth="1"/>
    <col min="13338" max="13338" width="4" style="498" customWidth="1"/>
    <col min="13339" max="13339" width="4.5703125" style="498" customWidth="1"/>
    <col min="13340" max="13342" width="4.42578125" style="498" customWidth="1"/>
    <col min="13343" max="13344" width="4.5703125" style="498" customWidth="1"/>
    <col min="13345" max="13345" width="4" style="498" customWidth="1"/>
    <col min="13346" max="13346" width="4.5703125" style="498" customWidth="1"/>
    <col min="13347" max="13347" width="6" style="498" customWidth="1"/>
    <col min="13348" max="13348" width="8.5703125" style="498" customWidth="1"/>
    <col min="13349" max="13568" width="11.42578125" style="498"/>
    <col min="13569" max="13569" width="6.42578125" style="498" customWidth="1"/>
    <col min="13570" max="13570" width="47.5703125" style="498" customWidth="1"/>
    <col min="13571" max="13572" width="5" style="498" customWidth="1"/>
    <col min="13573" max="13573" width="5.42578125" style="498" customWidth="1"/>
    <col min="13574" max="13574" width="4.5703125" style="498" customWidth="1"/>
    <col min="13575" max="13576" width="4.42578125" style="498" customWidth="1"/>
    <col min="13577" max="13577" width="3.5703125" style="498" customWidth="1"/>
    <col min="13578" max="13578" width="5" style="498" customWidth="1"/>
    <col min="13579" max="13579" width="4" style="498" customWidth="1"/>
    <col min="13580" max="13581" width="4.5703125" style="498" customWidth="1"/>
    <col min="13582" max="13582" width="4.42578125" style="498" customWidth="1"/>
    <col min="13583" max="13583" width="4" style="498" customWidth="1"/>
    <col min="13584" max="13584" width="3.5703125" style="498" customWidth="1"/>
    <col min="13585" max="13586" width="4.5703125" style="498" customWidth="1"/>
    <col min="13587" max="13587" width="4" style="498" customWidth="1"/>
    <col min="13588" max="13589" width="4.42578125" style="498" customWidth="1"/>
    <col min="13590" max="13590" width="3.5703125" style="498" customWidth="1"/>
    <col min="13591" max="13591" width="4.42578125" style="498" customWidth="1"/>
    <col min="13592" max="13592" width="5.5703125" style="498" customWidth="1"/>
    <col min="13593" max="13593" width="3.5703125" style="498" customWidth="1"/>
    <col min="13594" max="13594" width="4" style="498" customWidth="1"/>
    <col min="13595" max="13595" width="4.5703125" style="498" customWidth="1"/>
    <col min="13596" max="13598" width="4.42578125" style="498" customWidth="1"/>
    <col min="13599" max="13600" width="4.5703125" style="498" customWidth="1"/>
    <col min="13601" max="13601" width="4" style="498" customWidth="1"/>
    <col min="13602" max="13602" width="4.5703125" style="498" customWidth="1"/>
    <col min="13603" max="13603" width="6" style="498" customWidth="1"/>
    <col min="13604" max="13604" width="8.5703125" style="498" customWidth="1"/>
    <col min="13605" max="13824" width="11.42578125" style="498"/>
    <col min="13825" max="13825" width="6.42578125" style="498" customWidth="1"/>
    <col min="13826" max="13826" width="47.5703125" style="498" customWidth="1"/>
    <col min="13827" max="13828" width="5" style="498" customWidth="1"/>
    <col min="13829" max="13829" width="5.42578125" style="498" customWidth="1"/>
    <col min="13830" max="13830" width="4.5703125" style="498" customWidth="1"/>
    <col min="13831" max="13832" width="4.42578125" style="498" customWidth="1"/>
    <col min="13833" max="13833" width="3.5703125" style="498" customWidth="1"/>
    <col min="13834" max="13834" width="5" style="498" customWidth="1"/>
    <col min="13835" max="13835" width="4" style="498" customWidth="1"/>
    <col min="13836" max="13837" width="4.5703125" style="498" customWidth="1"/>
    <col min="13838" max="13838" width="4.42578125" style="498" customWidth="1"/>
    <col min="13839" max="13839" width="4" style="498" customWidth="1"/>
    <col min="13840" max="13840" width="3.5703125" style="498" customWidth="1"/>
    <col min="13841" max="13842" width="4.5703125" style="498" customWidth="1"/>
    <col min="13843" max="13843" width="4" style="498" customWidth="1"/>
    <col min="13844" max="13845" width="4.42578125" style="498" customWidth="1"/>
    <col min="13846" max="13846" width="3.5703125" style="498" customWidth="1"/>
    <col min="13847" max="13847" width="4.42578125" style="498" customWidth="1"/>
    <col min="13848" max="13848" width="5.5703125" style="498" customWidth="1"/>
    <col min="13849" max="13849" width="3.5703125" style="498" customWidth="1"/>
    <col min="13850" max="13850" width="4" style="498" customWidth="1"/>
    <col min="13851" max="13851" width="4.5703125" style="498" customWidth="1"/>
    <col min="13852" max="13854" width="4.42578125" style="498" customWidth="1"/>
    <col min="13855" max="13856" width="4.5703125" style="498" customWidth="1"/>
    <col min="13857" max="13857" width="4" style="498" customWidth="1"/>
    <col min="13858" max="13858" width="4.5703125" style="498" customWidth="1"/>
    <col min="13859" max="13859" width="6" style="498" customWidth="1"/>
    <col min="13860" max="13860" width="8.5703125" style="498" customWidth="1"/>
    <col min="13861" max="14080" width="11.42578125" style="498"/>
    <col min="14081" max="14081" width="6.42578125" style="498" customWidth="1"/>
    <col min="14082" max="14082" width="47.5703125" style="498" customWidth="1"/>
    <col min="14083" max="14084" width="5" style="498" customWidth="1"/>
    <col min="14085" max="14085" width="5.42578125" style="498" customWidth="1"/>
    <col min="14086" max="14086" width="4.5703125" style="498" customWidth="1"/>
    <col min="14087" max="14088" width="4.42578125" style="498" customWidth="1"/>
    <col min="14089" max="14089" width="3.5703125" style="498" customWidth="1"/>
    <col min="14090" max="14090" width="5" style="498" customWidth="1"/>
    <col min="14091" max="14091" width="4" style="498" customWidth="1"/>
    <col min="14092" max="14093" width="4.5703125" style="498" customWidth="1"/>
    <col min="14094" max="14094" width="4.42578125" style="498" customWidth="1"/>
    <col min="14095" max="14095" width="4" style="498" customWidth="1"/>
    <col min="14096" max="14096" width="3.5703125" style="498" customWidth="1"/>
    <col min="14097" max="14098" width="4.5703125" style="498" customWidth="1"/>
    <col min="14099" max="14099" width="4" style="498" customWidth="1"/>
    <col min="14100" max="14101" width="4.42578125" style="498" customWidth="1"/>
    <col min="14102" max="14102" width="3.5703125" style="498" customWidth="1"/>
    <col min="14103" max="14103" width="4.42578125" style="498" customWidth="1"/>
    <col min="14104" max="14104" width="5.5703125" style="498" customWidth="1"/>
    <col min="14105" max="14105" width="3.5703125" style="498" customWidth="1"/>
    <col min="14106" max="14106" width="4" style="498" customWidth="1"/>
    <col min="14107" max="14107" width="4.5703125" style="498" customWidth="1"/>
    <col min="14108" max="14110" width="4.42578125" style="498" customWidth="1"/>
    <col min="14111" max="14112" width="4.5703125" style="498" customWidth="1"/>
    <col min="14113" max="14113" width="4" style="498" customWidth="1"/>
    <col min="14114" max="14114" width="4.5703125" style="498" customWidth="1"/>
    <col min="14115" max="14115" width="6" style="498" customWidth="1"/>
    <col min="14116" max="14116" width="8.5703125" style="498" customWidth="1"/>
    <col min="14117" max="14336" width="11.42578125" style="498"/>
    <col min="14337" max="14337" width="6.42578125" style="498" customWidth="1"/>
    <col min="14338" max="14338" width="47.5703125" style="498" customWidth="1"/>
    <col min="14339" max="14340" width="5" style="498" customWidth="1"/>
    <col min="14341" max="14341" width="5.42578125" style="498" customWidth="1"/>
    <col min="14342" max="14342" width="4.5703125" style="498" customWidth="1"/>
    <col min="14343" max="14344" width="4.42578125" style="498" customWidth="1"/>
    <col min="14345" max="14345" width="3.5703125" style="498" customWidth="1"/>
    <col min="14346" max="14346" width="5" style="498" customWidth="1"/>
    <col min="14347" max="14347" width="4" style="498" customWidth="1"/>
    <col min="14348" max="14349" width="4.5703125" style="498" customWidth="1"/>
    <col min="14350" max="14350" width="4.42578125" style="498" customWidth="1"/>
    <col min="14351" max="14351" width="4" style="498" customWidth="1"/>
    <col min="14352" max="14352" width="3.5703125" style="498" customWidth="1"/>
    <col min="14353" max="14354" width="4.5703125" style="498" customWidth="1"/>
    <col min="14355" max="14355" width="4" style="498" customWidth="1"/>
    <col min="14356" max="14357" width="4.42578125" style="498" customWidth="1"/>
    <col min="14358" max="14358" width="3.5703125" style="498" customWidth="1"/>
    <col min="14359" max="14359" width="4.42578125" style="498" customWidth="1"/>
    <col min="14360" max="14360" width="5.5703125" style="498" customWidth="1"/>
    <col min="14361" max="14361" width="3.5703125" style="498" customWidth="1"/>
    <col min="14362" max="14362" width="4" style="498" customWidth="1"/>
    <col min="14363" max="14363" width="4.5703125" style="498" customWidth="1"/>
    <col min="14364" max="14366" width="4.42578125" style="498" customWidth="1"/>
    <col min="14367" max="14368" width="4.5703125" style="498" customWidth="1"/>
    <col min="14369" max="14369" width="4" style="498" customWidth="1"/>
    <col min="14370" max="14370" width="4.5703125" style="498" customWidth="1"/>
    <col min="14371" max="14371" width="6" style="498" customWidth="1"/>
    <col min="14372" max="14372" width="8.5703125" style="498" customWidth="1"/>
    <col min="14373" max="14592" width="11.42578125" style="498"/>
    <col min="14593" max="14593" width="6.42578125" style="498" customWidth="1"/>
    <col min="14594" max="14594" width="47.5703125" style="498" customWidth="1"/>
    <col min="14595" max="14596" width="5" style="498" customWidth="1"/>
    <col min="14597" max="14597" width="5.42578125" style="498" customWidth="1"/>
    <col min="14598" max="14598" width="4.5703125" style="498" customWidth="1"/>
    <col min="14599" max="14600" width="4.42578125" style="498" customWidth="1"/>
    <col min="14601" max="14601" width="3.5703125" style="498" customWidth="1"/>
    <col min="14602" max="14602" width="5" style="498" customWidth="1"/>
    <col min="14603" max="14603" width="4" style="498" customWidth="1"/>
    <col min="14604" max="14605" width="4.5703125" style="498" customWidth="1"/>
    <col min="14606" max="14606" width="4.42578125" style="498" customWidth="1"/>
    <col min="14607" max="14607" width="4" style="498" customWidth="1"/>
    <col min="14608" max="14608" width="3.5703125" style="498" customWidth="1"/>
    <col min="14609" max="14610" width="4.5703125" style="498" customWidth="1"/>
    <col min="14611" max="14611" width="4" style="498" customWidth="1"/>
    <col min="14612" max="14613" width="4.42578125" style="498" customWidth="1"/>
    <col min="14614" max="14614" width="3.5703125" style="498" customWidth="1"/>
    <col min="14615" max="14615" width="4.42578125" style="498" customWidth="1"/>
    <col min="14616" max="14616" width="5.5703125" style="498" customWidth="1"/>
    <col min="14617" max="14617" width="3.5703125" style="498" customWidth="1"/>
    <col min="14618" max="14618" width="4" style="498" customWidth="1"/>
    <col min="14619" max="14619" width="4.5703125" style="498" customWidth="1"/>
    <col min="14620" max="14622" width="4.42578125" style="498" customWidth="1"/>
    <col min="14623" max="14624" width="4.5703125" style="498" customWidth="1"/>
    <col min="14625" max="14625" width="4" style="498" customWidth="1"/>
    <col min="14626" max="14626" width="4.5703125" style="498" customWidth="1"/>
    <col min="14627" max="14627" width="6" style="498" customWidth="1"/>
    <col min="14628" max="14628" width="8.5703125" style="498" customWidth="1"/>
    <col min="14629" max="14848" width="11.42578125" style="498"/>
    <col min="14849" max="14849" width="6.42578125" style="498" customWidth="1"/>
    <col min="14850" max="14850" width="47.5703125" style="498" customWidth="1"/>
    <col min="14851" max="14852" width="5" style="498" customWidth="1"/>
    <col min="14853" max="14853" width="5.42578125" style="498" customWidth="1"/>
    <col min="14854" max="14854" width="4.5703125" style="498" customWidth="1"/>
    <col min="14855" max="14856" width="4.42578125" style="498" customWidth="1"/>
    <col min="14857" max="14857" width="3.5703125" style="498" customWidth="1"/>
    <col min="14858" max="14858" width="5" style="498" customWidth="1"/>
    <col min="14859" max="14859" width="4" style="498" customWidth="1"/>
    <col min="14860" max="14861" width="4.5703125" style="498" customWidth="1"/>
    <col min="14862" max="14862" width="4.42578125" style="498" customWidth="1"/>
    <col min="14863" max="14863" width="4" style="498" customWidth="1"/>
    <col min="14864" max="14864" width="3.5703125" style="498" customWidth="1"/>
    <col min="14865" max="14866" width="4.5703125" style="498" customWidth="1"/>
    <col min="14867" max="14867" width="4" style="498" customWidth="1"/>
    <col min="14868" max="14869" width="4.42578125" style="498" customWidth="1"/>
    <col min="14870" max="14870" width="3.5703125" style="498" customWidth="1"/>
    <col min="14871" max="14871" width="4.42578125" style="498" customWidth="1"/>
    <col min="14872" max="14872" width="5.5703125" style="498" customWidth="1"/>
    <col min="14873" max="14873" width="3.5703125" style="498" customWidth="1"/>
    <col min="14874" max="14874" width="4" style="498" customWidth="1"/>
    <col min="14875" max="14875" width="4.5703125" style="498" customWidth="1"/>
    <col min="14876" max="14878" width="4.42578125" style="498" customWidth="1"/>
    <col min="14879" max="14880" width="4.5703125" style="498" customWidth="1"/>
    <col min="14881" max="14881" width="4" style="498" customWidth="1"/>
    <col min="14882" max="14882" width="4.5703125" style="498" customWidth="1"/>
    <col min="14883" max="14883" width="6" style="498" customWidth="1"/>
    <col min="14884" max="14884" width="8.5703125" style="498" customWidth="1"/>
    <col min="14885" max="15104" width="11.42578125" style="498"/>
    <col min="15105" max="15105" width="6.42578125" style="498" customWidth="1"/>
    <col min="15106" max="15106" width="47.5703125" style="498" customWidth="1"/>
    <col min="15107" max="15108" width="5" style="498" customWidth="1"/>
    <col min="15109" max="15109" width="5.42578125" style="498" customWidth="1"/>
    <col min="15110" max="15110" width="4.5703125" style="498" customWidth="1"/>
    <col min="15111" max="15112" width="4.42578125" style="498" customWidth="1"/>
    <col min="15113" max="15113" width="3.5703125" style="498" customWidth="1"/>
    <col min="15114" max="15114" width="5" style="498" customWidth="1"/>
    <col min="15115" max="15115" width="4" style="498" customWidth="1"/>
    <col min="15116" max="15117" width="4.5703125" style="498" customWidth="1"/>
    <col min="15118" max="15118" width="4.42578125" style="498" customWidth="1"/>
    <col min="15119" max="15119" width="4" style="498" customWidth="1"/>
    <col min="15120" max="15120" width="3.5703125" style="498" customWidth="1"/>
    <col min="15121" max="15122" width="4.5703125" style="498" customWidth="1"/>
    <col min="15123" max="15123" width="4" style="498" customWidth="1"/>
    <col min="15124" max="15125" width="4.42578125" style="498" customWidth="1"/>
    <col min="15126" max="15126" width="3.5703125" style="498" customWidth="1"/>
    <col min="15127" max="15127" width="4.42578125" style="498" customWidth="1"/>
    <col min="15128" max="15128" width="5.5703125" style="498" customWidth="1"/>
    <col min="15129" max="15129" width="3.5703125" style="498" customWidth="1"/>
    <col min="15130" max="15130" width="4" style="498" customWidth="1"/>
    <col min="15131" max="15131" width="4.5703125" style="498" customWidth="1"/>
    <col min="15132" max="15134" width="4.42578125" style="498" customWidth="1"/>
    <col min="15135" max="15136" width="4.5703125" style="498" customWidth="1"/>
    <col min="15137" max="15137" width="4" style="498" customWidth="1"/>
    <col min="15138" max="15138" width="4.5703125" style="498" customWidth="1"/>
    <col min="15139" max="15139" width="6" style="498" customWidth="1"/>
    <col min="15140" max="15140" width="8.5703125" style="498" customWidth="1"/>
    <col min="15141" max="15360" width="11.42578125" style="498"/>
    <col min="15361" max="15361" width="6.42578125" style="498" customWidth="1"/>
    <col min="15362" max="15362" width="47.5703125" style="498" customWidth="1"/>
    <col min="15363" max="15364" width="5" style="498" customWidth="1"/>
    <col min="15365" max="15365" width="5.42578125" style="498" customWidth="1"/>
    <col min="15366" max="15366" width="4.5703125" style="498" customWidth="1"/>
    <col min="15367" max="15368" width="4.42578125" style="498" customWidth="1"/>
    <col min="15369" max="15369" width="3.5703125" style="498" customWidth="1"/>
    <col min="15370" max="15370" width="5" style="498" customWidth="1"/>
    <col min="15371" max="15371" width="4" style="498" customWidth="1"/>
    <col min="15372" max="15373" width="4.5703125" style="498" customWidth="1"/>
    <col min="15374" max="15374" width="4.42578125" style="498" customWidth="1"/>
    <col min="15375" max="15375" width="4" style="498" customWidth="1"/>
    <col min="15376" max="15376" width="3.5703125" style="498" customWidth="1"/>
    <col min="15377" max="15378" width="4.5703125" style="498" customWidth="1"/>
    <col min="15379" max="15379" width="4" style="498" customWidth="1"/>
    <col min="15380" max="15381" width="4.42578125" style="498" customWidth="1"/>
    <col min="15382" max="15382" width="3.5703125" style="498" customWidth="1"/>
    <col min="15383" max="15383" width="4.42578125" style="498" customWidth="1"/>
    <col min="15384" max="15384" width="5.5703125" style="498" customWidth="1"/>
    <col min="15385" max="15385" width="3.5703125" style="498" customWidth="1"/>
    <col min="15386" max="15386" width="4" style="498" customWidth="1"/>
    <col min="15387" max="15387" width="4.5703125" style="498" customWidth="1"/>
    <col min="15388" max="15390" width="4.42578125" style="498" customWidth="1"/>
    <col min="15391" max="15392" width="4.5703125" style="498" customWidth="1"/>
    <col min="15393" max="15393" width="4" style="498" customWidth="1"/>
    <col min="15394" max="15394" width="4.5703125" style="498" customWidth="1"/>
    <col min="15395" max="15395" width="6" style="498" customWidth="1"/>
    <col min="15396" max="15396" width="8.5703125" style="498" customWidth="1"/>
    <col min="15397" max="15616" width="11.42578125" style="498"/>
    <col min="15617" max="15617" width="6.42578125" style="498" customWidth="1"/>
    <col min="15618" max="15618" width="47.5703125" style="498" customWidth="1"/>
    <col min="15619" max="15620" width="5" style="498" customWidth="1"/>
    <col min="15621" max="15621" width="5.42578125" style="498" customWidth="1"/>
    <col min="15622" max="15622" width="4.5703125" style="498" customWidth="1"/>
    <col min="15623" max="15624" width="4.42578125" style="498" customWidth="1"/>
    <col min="15625" max="15625" width="3.5703125" style="498" customWidth="1"/>
    <col min="15626" max="15626" width="5" style="498" customWidth="1"/>
    <col min="15627" max="15627" width="4" style="498" customWidth="1"/>
    <col min="15628" max="15629" width="4.5703125" style="498" customWidth="1"/>
    <col min="15630" max="15630" width="4.42578125" style="498" customWidth="1"/>
    <col min="15631" max="15631" width="4" style="498" customWidth="1"/>
    <col min="15632" max="15632" width="3.5703125" style="498" customWidth="1"/>
    <col min="15633" max="15634" width="4.5703125" style="498" customWidth="1"/>
    <col min="15635" max="15635" width="4" style="498" customWidth="1"/>
    <col min="15636" max="15637" width="4.42578125" style="498" customWidth="1"/>
    <col min="15638" max="15638" width="3.5703125" style="498" customWidth="1"/>
    <col min="15639" max="15639" width="4.42578125" style="498" customWidth="1"/>
    <col min="15640" max="15640" width="5.5703125" style="498" customWidth="1"/>
    <col min="15641" max="15641" width="3.5703125" style="498" customWidth="1"/>
    <col min="15642" max="15642" width="4" style="498" customWidth="1"/>
    <col min="15643" max="15643" width="4.5703125" style="498" customWidth="1"/>
    <col min="15644" max="15646" width="4.42578125" style="498" customWidth="1"/>
    <col min="15647" max="15648" width="4.5703125" style="498" customWidth="1"/>
    <col min="15649" max="15649" width="4" style="498" customWidth="1"/>
    <col min="15650" max="15650" width="4.5703125" style="498" customWidth="1"/>
    <col min="15651" max="15651" width="6" style="498" customWidth="1"/>
    <col min="15652" max="15652" width="8.5703125" style="498" customWidth="1"/>
    <col min="15653" max="15872" width="11.42578125" style="498"/>
    <col min="15873" max="15873" width="6.42578125" style="498" customWidth="1"/>
    <col min="15874" max="15874" width="47.5703125" style="498" customWidth="1"/>
    <col min="15875" max="15876" width="5" style="498" customWidth="1"/>
    <col min="15877" max="15877" width="5.42578125" style="498" customWidth="1"/>
    <col min="15878" max="15878" width="4.5703125" style="498" customWidth="1"/>
    <col min="15879" max="15880" width="4.42578125" style="498" customWidth="1"/>
    <col min="15881" max="15881" width="3.5703125" style="498" customWidth="1"/>
    <col min="15882" max="15882" width="5" style="498" customWidth="1"/>
    <col min="15883" max="15883" width="4" style="498" customWidth="1"/>
    <col min="15884" max="15885" width="4.5703125" style="498" customWidth="1"/>
    <col min="15886" max="15886" width="4.42578125" style="498" customWidth="1"/>
    <col min="15887" max="15887" width="4" style="498" customWidth="1"/>
    <col min="15888" max="15888" width="3.5703125" style="498" customWidth="1"/>
    <col min="15889" max="15890" width="4.5703125" style="498" customWidth="1"/>
    <col min="15891" max="15891" width="4" style="498" customWidth="1"/>
    <col min="15892" max="15893" width="4.42578125" style="498" customWidth="1"/>
    <col min="15894" max="15894" width="3.5703125" style="498" customWidth="1"/>
    <col min="15895" max="15895" width="4.42578125" style="498" customWidth="1"/>
    <col min="15896" max="15896" width="5.5703125" style="498" customWidth="1"/>
    <col min="15897" max="15897" width="3.5703125" style="498" customWidth="1"/>
    <col min="15898" max="15898" width="4" style="498" customWidth="1"/>
    <col min="15899" max="15899" width="4.5703125" style="498" customWidth="1"/>
    <col min="15900" max="15902" width="4.42578125" style="498" customWidth="1"/>
    <col min="15903" max="15904" width="4.5703125" style="498" customWidth="1"/>
    <col min="15905" max="15905" width="4" style="498" customWidth="1"/>
    <col min="15906" max="15906" width="4.5703125" style="498" customWidth="1"/>
    <col min="15907" max="15907" width="6" style="498" customWidth="1"/>
    <col min="15908" max="15908" width="8.5703125" style="498" customWidth="1"/>
    <col min="15909" max="16128" width="11.42578125" style="498"/>
    <col min="16129" max="16129" width="6.42578125" style="498" customWidth="1"/>
    <col min="16130" max="16130" width="47.5703125" style="498" customWidth="1"/>
    <col min="16131" max="16132" width="5" style="498" customWidth="1"/>
    <col min="16133" max="16133" width="5.42578125" style="498" customWidth="1"/>
    <col min="16134" max="16134" width="4.5703125" style="498" customWidth="1"/>
    <col min="16135" max="16136" width="4.42578125" style="498" customWidth="1"/>
    <col min="16137" max="16137" width="3.5703125" style="498" customWidth="1"/>
    <col min="16138" max="16138" width="5" style="498" customWidth="1"/>
    <col min="16139" max="16139" width="4" style="498" customWidth="1"/>
    <col min="16140" max="16141" width="4.5703125" style="498" customWidth="1"/>
    <col min="16142" max="16142" width="4.42578125" style="498" customWidth="1"/>
    <col min="16143" max="16143" width="4" style="498" customWidth="1"/>
    <col min="16144" max="16144" width="3.5703125" style="498" customWidth="1"/>
    <col min="16145" max="16146" width="4.5703125" style="498" customWidth="1"/>
    <col min="16147" max="16147" width="4" style="498" customWidth="1"/>
    <col min="16148" max="16149" width="4.42578125" style="498" customWidth="1"/>
    <col min="16150" max="16150" width="3.5703125" style="498" customWidth="1"/>
    <col min="16151" max="16151" width="4.42578125" style="498" customWidth="1"/>
    <col min="16152" max="16152" width="5.5703125" style="498" customWidth="1"/>
    <col min="16153" max="16153" width="3.5703125" style="498" customWidth="1"/>
    <col min="16154" max="16154" width="4" style="498" customWidth="1"/>
    <col min="16155" max="16155" width="4.5703125" style="498" customWidth="1"/>
    <col min="16156" max="16158" width="4.42578125" style="498" customWidth="1"/>
    <col min="16159" max="16160" width="4.5703125" style="498" customWidth="1"/>
    <col min="16161" max="16161" width="4" style="498" customWidth="1"/>
    <col min="16162" max="16162" width="4.5703125" style="498" customWidth="1"/>
    <col min="16163" max="16163" width="6" style="498" customWidth="1"/>
    <col min="16164" max="16164" width="8.5703125" style="498" customWidth="1"/>
    <col min="16165" max="16384" width="11.42578125" style="498"/>
  </cols>
  <sheetData>
    <row r="1" spans="1:45">
      <c r="A1" s="2213" t="s">
        <v>283</v>
      </c>
      <c r="B1" s="2213"/>
      <c r="C1" s="2213"/>
      <c r="D1" s="2213"/>
      <c r="E1" s="2213"/>
      <c r="F1" s="2213"/>
      <c r="G1" s="2213"/>
      <c r="H1" s="2213"/>
      <c r="I1" s="2213"/>
      <c r="J1" s="2213"/>
      <c r="K1" s="2213"/>
      <c r="L1" s="2213"/>
      <c r="M1" s="2213"/>
      <c r="N1" s="2213"/>
      <c r="O1" s="2213"/>
      <c r="P1" s="2213"/>
      <c r="Q1" s="2213"/>
      <c r="R1" s="2213"/>
      <c r="S1" s="2213"/>
      <c r="T1" s="2213"/>
      <c r="U1" s="2213"/>
      <c r="V1" s="2213"/>
      <c r="W1" s="2213"/>
      <c r="X1" s="2213"/>
    </row>
    <row r="2" spans="1:45">
      <c r="A2" s="2214" t="s">
        <v>1802</v>
      </c>
      <c r="B2" s="2214"/>
      <c r="C2" s="2214"/>
      <c r="D2" s="2214"/>
      <c r="E2" s="2214"/>
      <c r="F2" s="2214"/>
      <c r="G2" s="2214"/>
      <c r="H2" s="2214"/>
      <c r="I2" s="2214"/>
      <c r="J2" s="2214"/>
      <c r="K2" s="2214"/>
      <c r="L2" s="2214"/>
      <c r="M2" s="2214"/>
      <c r="N2" s="2214"/>
      <c r="O2" s="2214"/>
      <c r="P2" s="2214"/>
      <c r="Q2" s="2214"/>
      <c r="R2" s="2214"/>
      <c r="S2" s="2214"/>
      <c r="T2" s="2214"/>
      <c r="U2" s="2214"/>
      <c r="V2" s="2214"/>
      <c r="W2" s="2214"/>
      <c r="X2" s="2214"/>
    </row>
    <row r="3" spans="1:45">
      <c r="A3" s="549"/>
    </row>
    <row r="4" spans="1:45">
      <c r="A4" s="551"/>
      <c r="B4" s="2215" t="s">
        <v>1800</v>
      </c>
      <c r="C4" s="2215"/>
      <c r="D4" s="2215"/>
      <c r="E4" s="2215"/>
      <c r="F4" s="2215"/>
      <c r="G4" s="2215"/>
      <c r="H4" s="2215"/>
      <c r="I4" s="2215"/>
      <c r="J4" s="2215"/>
      <c r="K4" s="2215"/>
      <c r="L4" s="2215"/>
    </row>
    <row r="5" spans="1:45" ht="12.75" customHeight="1">
      <c r="A5" s="551"/>
      <c r="B5" s="2216" t="e">
        <f>#REF!</f>
        <v>#REF!</v>
      </c>
      <c r="C5" s="2217"/>
      <c r="D5" s="2217"/>
      <c r="E5" s="2217"/>
      <c r="F5" s="2217"/>
      <c r="G5" s="2217"/>
      <c r="H5" s="2217"/>
      <c r="I5" s="2217"/>
      <c r="J5" s="2217"/>
      <c r="K5" s="2217"/>
      <c r="L5" s="2217"/>
      <c r="M5" s="2217"/>
      <c r="N5" s="2217"/>
      <c r="O5" s="2217"/>
      <c r="P5" s="2217"/>
      <c r="Q5" s="2217"/>
      <c r="R5" s="2217"/>
      <c r="S5" s="2217"/>
      <c r="T5" s="2217"/>
      <c r="U5" s="2217"/>
      <c r="V5" s="2217"/>
      <c r="W5" s="2217"/>
      <c r="X5" s="2217"/>
      <c r="Y5" s="2217"/>
      <c r="Z5" s="2217"/>
      <c r="AA5" s="2217"/>
    </row>
    <row r="6" spans="1:45" ht="13.5" customHeight="1">
      <c r="B6" s="553"/>
      <c r="C6" s="500"/>
    </row>
    <row r="7" spans="1:45" ht="13.5" customHeight="1">
      <c r="B7" s="553"/>
      <c r="C7" s="500"/>
      <c r="Q7" s="2220" t="s">
        <v>284</v>
      </c>
      <c r="R7" s="2220"/>
      <c r="S7" s="2220"/>
      <c r="T7" s="2220"/>
      <c r="U7" s="2220"/>
      <c r="V7" s="2220"/>
      <c r="W7" s="2221">
        <v>42888</v>
      </c>
      <c r="X7" s="2221"/>
      <c r="Y7" s="2221"/>
      <c r="Z7" s="2221"/>
    </row>
    <row r="8" spans="1:45" ht="13.5" customHeight="1" thickBot="1">
      <c r="B8" s="553"/>
      <c r="C8" s="500"/>
      <c r="D8" s="871" t="s">
        <v>2109</v>
      </c>
      <c r="E8" s="871" t="s">
        <v>1991</v>
      </c>
      <c r="F8" s="871" t="s">
        <v>1990</v>
      </c>
      <c r="G8" s="871" t="s">
        <v>1984</v>
      </c>
      <c r="H8" s="871" t="s">
        <v>1985</v>
      </c>
      <c r="I8" s="871" t="s">
        <v>1986</v>
      </c>
      <c r="J8" s="871" t="s">
        <v>1987</v>
      </c>
      <c r="K8" s="871" t="s">
        <v>1988</v>
      </c>
      <c r="L8" s="871" t="s">
        <v>1989</v>
      </c>
      <c r="M8" s="871" t="s">
        <v>1990</v>
      </c>
      <c r="N8" s="871" t="s">
        <v>1984</v>
      </c>
      <c r="O8" s="871" t="s">
        <v>1985</v>
      </c>
      <c r="P8" s="871" t="s">
        <v>1986</v>
      </c>
      <c r="Q8" s="871" t="s">
        <v>1987</v>
      </c>
      <c r="R8" s="871" t="s">
        <v>1988</v>
      </c>
      <c r="S8" s="871" t="s">
        <v>1989</v>
      </c>
      <c r="T8" s="871" t="s">
        <v>1990</v>
      </c>
      <c r="U8" s="871" t="s">
        <v>1984</v>
      </c>
      <c r="V8" s="871" t="s">
        <v>1985</v>
      </c>
      <c r="W8" s="871" t="s">
        <v>1986</v>
      </c>
      <c r="X8" s="871" t="s">
        <v>1987</v>
      </c>
      <c r="Y8" s="871" t="s">
        <v>1988</v>
      </c>
      <c r="Z8" s="871" t="s">
        <v>1989</v>
      </c>
      <c r="AA8" s="871" t="s">
        <v>1990</v>
      </c>
      <c r="AB8" s="871" t="s">
        <v>1984</v>
      </c>
      <c r="AC8" s="871" t="s">
        <v>1985</v>
      </c>
      <c r="AD8" s="871" t="s">
        <v>1986</v>
      </c>
      <c r="AE8" s="871" t="s">
        <v>1987</v>
      </c>
      <c r="AF8" s="871" t="s">
        <v>1988</v>
      </c>
      <c r="AG8" s="871" t="s">
        <v>1989</v>
      </c>
      <c r="AH8" s="871" t="s">
        <v>1990</v>
      </c>
      <c r="AI8" s="952"/>
    </row>
    <row r="9" spans="1:45" ht="13.5" thickBot="1">
      <c r="A9" s="2218" t="s">
        <v>285</v>
      </c>
      <c r="B9" s="2218" t="s">
        <v>20</v>
      </c>
      <c r="C9" s="501"/>
      <c r="D9" s="502">
        <v>1</v>
      </c>
      <c r="E9" s="502">
        <f>+D9+1</f>
        <v>2</v>
      </c>
      <c r="F9" s="736">
        <f t="shared" ref="F9:AH9" si="0">+E9+1</f>
        <v>3</v>
      </c>
      <c r="G9" s="502">
        <f t="shared" si="0"/>
        <v>4</v>
      </c>
      <c r="H9" s="502">
        <f t="shared" si="0"/>
        <v>5</v>
      </c>
      <c r="I9" s="502">
        <f t="shared" si="0"/>
        <v>6</v>
      </c>
      <c r="J9" s="502">
        <f t="shared" si="0"/>
        <v>7</v>
      </c>
      <c r="K9" s="502">
        <f t="shared" si="0"/>
        <v>8</v>
      </c>
      <c r="L9" s="502">
        <f t="shared" si="0"/>
        <v>9</v>
      </c>
      <c r="M9" s="736">
        <f t="shared" si="0"/>
        <v>10</v>
      </c>
      <c r="N9" s="502">
        <f t="shared" si="0"/>
        <v>11</v>
      </c>
      <c r="O9" s="502">
        <f t="shared" si="0"/>
        <v>12</v>
      </c>
      <c r="P9" s="502">
        <f t="shared" si="0"/>
        <v>13</v>
      </c>
      <c r="Q9" s="502">
        <f t="shared" si="0"/>
        <v>14</v>
      </c>
      <c r="R9" s="502">
        <f t="shared" si="0"/>
        <v>15</v>
      </c>
      <c r="S9" s="502">
        <f t="shared" si="0"/>
        <v>16</v>
      </c>
      <c r="T9" s="736">
        <f t="shared" si="0"/>
        <v>17</v>
      </c>
      <c r="U9" s="502">
        <f>+T9+1</f>
        <v>18</v>
      </c>
      <c r="V9" s="502">
        <f>+U9+1</f>
        <v>19</v>
      </c>
      <c r="W9" s="502">
        <f t="shared" si="0"/>
        <v>20</v>
      </c>
      <c r="X9" s="502">
        <f t="shared" si="0"/>
        <v>21</v>
      </c>
      <c r="Y9" s="502">
        <f t="shared" si="0"/>
        <v>22</v>
      </c>
      <c r="Z9" s="502">
        <f t="shared" si="0"/>
        <v>23</v>
      </c>
      <c r="AA9" s="736">
        <f t="shared" si="0"/>
        <v>24</v>
      </c>
      <c r="AB9" s="502">
        <f t="shared" si="0"/>
        <v>25</v>
      </c>
      <c r="AC9" s="502">
        <f t="shared" si="0"/>
        <v>26</v>
      </c>
      <c r="AD9" s="503">
        <f t="shared" si="0"/>
        <v>27</v>
      </c>
      <c r="AE9" s="502">
        <f t="shared" si="0"/>
        <v>28</v>
      </c>
      <c r="AF9" s="503">
        <f t="shared" si="0"/>
        <v>29</v>
      </c>
      <c r="AG9" s="502">
        <f>+AF9+1</f>
        <v>30</v>
      </c>
      <c r="AH9" s="503">
        <f t="shared" si="0"/>
        <v>31</v>
      </c>
      <c r="AI9" s="504" t="s">
        <v>359</v>
      </c>
      <c r="AJ9" s="672" t="s">
        <v>26</v>
      </c>
      <c r="AK9" s="671" t="s">
        <v>1822</v>
      </c>
      <c r="AL9" s="671" t="s">
        <v>1821</v>
      </c>
      <c r="AM9" s="505" t="s">
        <v>25</v>
      </c>
      <c r="AN9" s="498" t="s">
        <v>2</v>
      </c>
    </row>
    <row r="10" spans="1:45" ht="13.5" thickBot="1">
      <c r="A10" s="2219"/>
      <c r="B10" s="2219"/>
      <c r="C10" s="506" t="s">
        <v>286</v>
      </c>
      <c r="D10" s="507" t="s">
        <v>305</v>
      </c>
      <c r="E10" s="507" t="s">
        <v>305</v>
      </c>
      <c r="F10" s="737" t="s">
        <v>305</v>
      </c>
      <c r="G10" s="507" t="s">
        <v>305</v>
      </c>
      <c r="H10" s="507" t="s">
        <v>305</v>
      </c>
      <c r="I10" s="507" t="s">
        <v>305</v>
      </c>
      <c r="J10" s="507" t="s">
        <v>305</v>
      </c>
      <c r="K10" s="507" t="s">
        <v>305</v>
      </c>
      <c r="L10" s="507" t="s">
        <v>305</v>
      </c>
      <c r="M10" s="737" t="s">
        <v>305</v>
      </c>
      <c r="N10" s="507" t="s">
        <v>305</v>
      </c>
      <c r="O10" s="507" t="s">
        <v>305</v>
      </c>
      <c r="P10" s="507" t="s">
        <v>305</v>
      </c>
      <c r="Q10" s="507" t="s">
        <v>305</v>
      </c>
      <c r="R10" s="507" t="s">
        <v>305</v>
      </c>
      <c r="S10" s="507" t="s">
        <v>305</v>
      </c>
      <c r="T10" s="737" t="s">
        <v>305</v>
      </c>
      <c r="U10" s="507" t="s">
        <v>305</v>
      </c>
      <c r="V10" s="507" t="s">
        <v>305</v>
      </c>
      <c r="W10" s="507" t="s">
        <v>305</v>
      </c>
      <c r="X10" s="507" t="s">
        <v>305</v>
      </c>
      <c r="Y10" s="507" t="s">
        <v>305</v>
      </c>
      <c r="Z10" s="507" t="s">
        <v>305</v>
      </c>
      <c r="AA10" s="737" t="s">
        <v>305</v>
      </c>
      <c r="AB10" s="507" t="s">
        <v>305</v>
      </c>
      <c r="AC10" s="507" t="s">
        <v>305</v>
      </c>
      <c r="AD10" s="508" t="s">
        <v>305</v>
      </c>
      <c r="AE10" s="507" t="s">
        <v>305</v>
      </c>
      <c r="AF10" s="508" t="s">
        <v>305</v>
      </c>
      <c r="AG10" s="508" t="s">
        <v>305</v>
      </c>
      <c r="AH10" s="507" t="s">
        <v>305</v>
      </c>
      <c r="AI10" s="953" t="s">
        <v>287</v>
      </c>
      <c r="AJ10" s="668" t="s">
        <v>287</v>
      </c>
      <c r="AK10" s="671"/>
      <c r="AL10" s="671"/>
      <c r="AM10" s="505"/>
    </row>
    <row r="11" spans="1:45" s="518" customFormat="1">
      <c r="A11" s="716" t="s">
        <v>33</v>
      </c>
      <c r="B11" s="717" t="s">
        <v>1132</v>
      </c>
      <c r="C11" s="558"/>
      <c r="D11" s="510"/>
      <c r="E11" s="511"/>
      <c r="F11" s="738"/>
      <c r="G11" s="511"/>
      <c r="H11" s="511"/>
      <c r="I11" s="512"/>
      <c r="J11" s="512"/>
      <c r="K11" s="512"/>
      <c r="L11" s="512"/>
      <c r="M11" s="738"/>
      <c r="N11" s="512"/>
      <c r="O11" s="512"/>
      <c r="P11" s="512"/>
      <c r="Q11" s="512"/>
      <c r="R11" s="512"/>
      <c r="S11" s="512"/>
      <c r="T11" s="738"/>
      <c r="U11" s="512"/>
      <c r="V11" s="512"/>
      <c r="W11" s="512"/>
      <c r="X11" s="512"/>
      <c r="Y11" s="512"/>
      <c r="Z11" s="512"/>
      <c r="AA11" s="738"/>
      <c r="AB11" s="513"/>
      <c r="AC11" s="513"/>
      <c r="AD11" s="513"/>
      <c r="AE11" s="513"/>
      <c r="AF11" s="514"/>
      <c r="AG11" s="514"/>
      <c r="AH11" s="514"/>
      <c r="AI11" s="946">
        <f t="shared" ref="AI11:AI27" si="1">ROUND((SUM(D11:AH11)),2)</f>
        <v>0</v>
      </c>
      <c r="AJ11" s="521"/>
      <c r="AK11" s="520"/>
      <c r="AL11" s="673"/>
      <c r="AM11" s="670"/>
    </row>
    <row r="12" spans="1:45" s="496" customFormat="1" ht="11.25" customHeight="1">
      <c r="A12" s="440" t="s">
        <v>39</v>
      </c>
      <c r="B12" s="543" t="s">
        <v>34</v>
      </c>
      <c r="C12" s="605"/>
      <c r="D12" s="606"/>
      <c r="E12" s="607"/>
      <c r="F12" s="961"/>
      <c r="G12" s="609"/>
      <c r="H12" s="610"/>
      <c r="I12" s="566"/>
      <c r="J12" s="610"/>
      <c r="K12" s="609"/>
      <c r="L12" s="611"/>
      <c r="M12" s="961"/>
      <c r="N12" s="613"/>
      <c r="O12" s="614"/>
      <c r="P12" s="615"/>
      <c r="Q12" s="166"/>
      <c r="T12" s="961"/>
      <c r="AA12" s="961"/>
      <c r="AI12" s="946">
        <f t="shared" si="1"/>
        <v>0</v>
      </c>
    </row>
    <row r="13" spans="1:45" s="730" customFormat="1" ht="15.75">
      <c r="A13" s="720" t="s">
        <v>543</v>
      </c>
      <c r="B13" s="659" t="s">
        <v>1140</v>
      </c>
      <c r="C13" s="660" t="s">
        <v>40</v>
      </c>
      <c r="D13" s="742"/>
      <c r="E13" s="661"/>
      <c r="F13" s="739"/>
      <c r="G13" s="661"/>
      <c r="H13" s="661"/>
      <c r="I13" s="977">
        <f>3.5*6*0.5</f>
        <v>10.5</v>
      </c>
      <c r="J13" s="977">
        <f>5.6*3.3*0.5</f>
        <v>9.2399999999999984</v>
      </c>
      <c r="K13" s="977">
        <f>3.5*3.5*0.5</f>
        <v>6.125</v>
      </c>
      <c r="L13" s="663"/>
      <c r="M13" s="739"/>
      <c r="N13" s="663"/>
      <c r="O13" s="663"/>
      <c r="P13" s="663"/>
      <c r="Q13" s="663"/>
      <c r="R13" s="663"/>
      <c r="S13" s="663"/>
      <c r="T13" s="739"/>
      <c r="U13" s="663"/>
      <c r="V13" s="663"/>
      <c r="W13" s="663"/>
      <c r="X13" s="663"/>
      <c r="Y13" s="663"/>
      <c r="Z13" s="663"/>
      <c r="AA13" s="739"/>
      <c r="AB13" s="663"/>
      <c r="AC13" s="663"/>
      <c r="AD13" s="663"/>
      <c r="AE13" s="663"/>
      <c r="AF13" s="663"/>
      <c r="AG13" s="663"/>
      <c r="AH13" s="663"/>
      <c r="AI13" s="990">
        <f t="shared" si="1"/>
        <v>25.87</v>
      </c>
      <c r="AJ13" s="725">
        <v>963.6</v>
      </c>
      <c r="AK13" s="726">
        <f>AI13+AJ13</f>
        <v>989.47</v>
      </c>
      <c r="AL13" s="741" t="s">
        <v>1457</v>
      </c>
      <c r="AM13" s="729">
        <f>AN13-AK13</f>
        <v>34.529999999999973</v>
      </c>
      <c r="AN13" s="825">
        <v>1024</v>
      </c>
      <c r="AO13" s="741">
        <f>AL13-AN13</f>
        <v>-416.4</v>
      </c>
      <c r="AP13" s="741"/>
      <c r="AQ13" s="741"/>
      <c r="AR13" s="741"/>
      <c r="AS13" s="741"/>
    </row>
    <row r="14" spans="1:45" s="500" customFormat="1">
      <c r="A14" s="440" t="s">
        <v>548</v>
      </c>
      <c r="B14" s="543" t="s">
        <v>1145</v>
      </c>
      <c r="C14" s="605"/>
      <c r="D14" s="519"/>
      <c r="E14" s="520"/>
      <c r="F14" s="726"/>
      <c r="G14" s="520"/>
      <c r="H14" s="520"/>
      <c r="I14" s="521"/>
      <c r="J14" s="521"/>
      <c r="K14" s="521"/>
      <c r="L14" s="514"/>
      <c r="M14" s="726"/>
      <c r="N14" s="514"/>
      <c r="O14" s="514"/>
      <c r="P14" s="514"/>
      <c r="Q14" s="514"/>
      <c r="R14" s="514"/>
      <c r="S14" s="514"/>
      <c r="T14" s="726"/>
      <c r="U14" s="514"/>
      <c r="V14" s="514"/>
      <c r="W14" s="514"/>
      <c r="X14" s="514"/>
      <c r="Y14" s="514"/>
      <c r="Z14" s="514"/>
      <c r="AA14" s="726"/>
      <c r="AB14" s="514"/>
      <c r="AC14" s="514"/>
      <c r="AD14" s="514"/>
      <c r="AE14" s="698"/>
      <c r="AF14" s="514"/>
      <c r="AG14" s="514"/>
      <c r="AH14" s="789"/>
      <c r="AI14" s="946">
        <f t="shared" si="1"/>
        <v>0</v>
      </c>
      <c r="AJ14" s="521">
        <v>0</v>
      </c>
      <c r="AK14" s="520">
        <f t="shared" ref="AK14:AK27" si="2">AI14+AJ14</f>
        <v>0</v>
      </c>
      <c r="AL14" s="672"/>
      <c r="AM14" s="669">
        <f t="shared" ref="AM14:AM27" si="3">AL14-AK14</f>
        <v>0</v>
      </c>
    </row>
    <row r="15" spans="1:45" s="500" customFormat="1" ht="13.5" thickBot="1">
      <c r="A15" s="539" t="s">
        <v>550</v>
      </c>
      <c r="B15" s="539" t="s">
        <v>1819</v>
      </c>
      <c r="C15" s="472" t="s">
        <v>37</v>
      </c>
      <c r="D15" s="519"/>
      <c r="E15" s="520"/>
      <c r="F15" s="726"/>
      <c r="G15" s="520"/>
      <c r="H15" s="520"/>
      <c r="I15" s="521"/>
      <c r="J15" s="521"/>
      <c r="K15" s="521"/>
      <c r="L15" s="976">
        <v>12.89</v>
      </c>
      <c r="M15" s="726"/>
      <c r="N15" s="514"/>
      <c r="O15" s="514"/>
      <c r="P15" s="514"/>
      <c r="Q15" s="514"/>
      <c r="R15" s="514"/>
      <c r="S15" s="514"/>
      <c r="T15" s="726"/>
      <c r="U15" s="514"/>
      <c r="V15" s="514"/>
      <c r="W15" s="514"/>
      <c r="X15" s="757"/>
      <c r="Y15" s="514"/>
      <c r="Z15" s="514"/>
      <c r="AA15" s="726"/>
      <c r="AB15" s="514"/>
      <c r="AC15" s="514"/>
      <c r="AD15" s="514"/>
      <c r="AE15" s="698"/>
      <c r="AF15" s="514"/>
      <c r="AG15" s="514"/>
      <c r="AH15" s="789"/>
      <c r="AI15" s="990">
        <f t="shared" si="1"/>
        <v>12.89</v>
      </c>
      <c r="AJ15" s="521">
        <v>154.35</v>
      </c>
      <c r="AK15" s="520">
        <f>AI15+AJ15</f>
        <v>167.24</v>
      </c>
      <c r="AL15" s="672" t="s">
        <v>1456</v>
      </c>
      <c r="AM15" s="669">
        <f>AL15-AK15</f>
        <v>489.55999999999995</v>
      </c>
      <c r="AO15" s="500">
        <f>AM13/15</f>
        <v>2.3019999999999983</v>
      </c>
    </row>
    <row r="16" spans="1:45" s="500" customFormat="1">
      <c r="A16" s="541" t="s">
        <v>42</v>
      </c>
      <c r="B16" s="541" t="s">
        <v>1154</v>
      </c>
      <c r="C16" s="605"/>
      <c r="D16" s="519"/>
      <c r="E16" s="520"/>
      <c r="F16" s="726"/>
      <c r="G16" s="520"/>
      <c r="H16" s="520"/>
      <c r="I16" s="521"/>
      <c r="J16" s="521"/>
      <c r="K16" s="521"/>
      <c r="L16" s="514"/>
      <c r="M16" s="726"/>
      <c r="N16" s="514"/>
      <c r="O16" s="514"/>
      <c r="P16" s="514"/>
      <c r="Q16" s="514"/>
      <c r="R16" s="514"/>
      <c r="S16" s="514"/>
      <c r="T16" s="726"/>
      <c r="U16" s="514"/>
      <c r="V16" s="514"/>
      <c r="W16" s="514"/>
      <c r="X16" s="514"/>
      <c r="Y16" s="514"/>
      <c r="Z16" s="514"/>
      <c r="AA16" s="726"/>
      <c r="AB16" s="514"/>
      <c r="AC16" s="514"/>
      <c r="AD16" s="514"/>
      <c r="AE16" s="698"/>
      <c r="AF16" s="514"/>
      <c r="AG16" s="514"/>
      <c r="AH16" s="789"/>
      <c r="AI16" s="946">
        <f t="shared" si="1"/>
        <v>0</v>
      </c>
      <c r="AJ16" s="521">
        <v>0</v>
      </c>
      <c r="AK16" s="520">
        <f t="shared" si="2"/>
        <v>0</v>
      </c>
      <c r="AL16" s="672"/>
      <c r="AM16" s="669">
        <f t="shared" si="3"/>
        <v>0</v>
      </c>
    </row>
    <row r="17" spans="1:39" s="518" customFormat="1">
      <c r="A17" s="440" t="s">
        <v>43</v>
      </c>
      <c r="B17" s="543" t="s">
        <v>1155</v>
      </c>
      <c r="C17" s="605"/>
      <c r="D17" s="519"/>
      <c r="E17" s="520"/>
      <c r="F17" s="726"/>
      <c r="G17" s="520"/>
      <c r="H17" s="520"/>
      <c r="I17" s="521"/>
      <c r="J17" s="521"/>
      <c r="K17" s="521"/>
      <c r="L17" s="514"/>
      <c r="M17" s="726"/>
      <c r="N17" s="514"/>
      <c r="O17" s="514"/>
      <c r="P17" s="514"/>
      <c r="Q17" s="514"/>
      <c r="R17" s="514"/>
      <c r="S17" s="514"/>
      <c r="T17" s="726"/>
      <c r="U17" s="514"/>
      <c r="V17" s="514"/>
      <c r="W17" s="514"/>
      <c r="X17" s="514"/>
      <c r="Y17" s="514"/>
      <c r="Z17" s="514"/>
      <c r="AA17" s="726"/>
      <c r="AB17" s="514"/>
      <c r="AC17" s="514"/>
      <c r="AD17" s="514"/>
      <c r="AE17" s="698"/>
      <c r="AF17" s="514"/>
      <c r="AG17" s="514"/>
      <c r="AH17" s="789"/>
      <c r="AI17" s="946">
        <f t="shared" si="1"/>
        <v>0</v>
      </c>
      <c r="AJ17" s="521">
        <v>0</v>
      </c>
      <c r="AK17" s="520">
        <f t="shared" si="2"/>
        <v>0</v>
      </c>
      <c r="AL17" s="672"/>
      <c r="AM17" s="669">
        <f t="shared" si="3"/>
        <v>0</v>
      </c>
    </row>
    <row r="18" spans="1:39" s="500" customFormat="1">
      <c r="A18" s="542" t="s">
        <v>571</v>
      </c>
      <c r="B18" s="542" t="s">
        <v>1169</v>
      </c>
      <c r="C18" s="605"/>
      <c r="D18" s="519"/>
      <c r="E18" s="520"/>
      <c r="F18" s="726"/>
      <c r="G18" s="520"/>
      <c r="H18" s="520"/>
      <c r="I18" s="521"/>
      <c r="J18" s="521"/>
      <c r="K18" s="521"/>
      <c r="L18" s="514"/>
      <c r="M18" s="726"/>
      <c r="N18" s="514"/>
      <c r="O18" s="514"/>
      <c r="P18" s="514"/>
      <c r="Q18" s="514"/>
      <c r="R18" s="514"/>
      <c r="S18" s="514"/>
      <c r="T18" s="726"/>
      <c r="U18" s="514"/>
      <c r="V18" s="514"/>
      <c r="W18" s="514"/>
      <c r="X18" s="514"/>
      <c r="Y18" s="514"/>
      <c r="Z18" s="514"/>
      <c r="AA18" s="726"/>
      <c r="AB18" s="514"/>
      <c r="AC18" s="514"/>
      <c r="AD18" s="514"/>
      <c r="AE18" s="698"/>
      <c r="AF18" s="514"/>
      <c r="AG18" s="514"/>
      <c r="AH18" s="789"/>
      <c r="AI18" s="946">
        <f t="shared" si="1"/>
        <v>0</v>
      </c>
      <c r="AJ18" s="521">
        <v>0</v>
      </c>
      <c r="AK18" s="520">
        <f t="shared" si="2"/>
        <v>0</v>
      </c>
      <c r="AL18" s="672"/>
      <c r="AM18" s="669">
        <f t="shared" si="3"/>
        <v>0</v>
      </c>
    </row>
    <row r="19" spans="1:39" s="500" customFormat="1">
      <c r="A19" s="539" t="s">
        <v>575</v>
      </c>
      <c r="B19" s="539" t="s">
        <v>1173</v>
      </c>
      <c r="C19" s="605"/>
      <c r="D19" s="519"/>
      <c r="E19" s="520"/>
      <c r="F19" s="726"/>
      <c r="G19" s="520"/>
      <c r="H19" s="520"/>
      <c r="I19" s="521"/>
      <c r="J19" s="521"/>
      <c r="K19" s="521"/>
      <c r="L19" s="514"/>
      <c r="M19" s="726"/>
      <c r="N19" s="514"/>
      <c r="O19" s="514"/>
      <c r="P19" s="514"/>
      <c r="Q19" s="514"/>
      <c r="R19" s="514"/>
      <c r="S19" s="514"/>
      <c r="T19" s="726"/>
      <c r="U19" s="514"/>
      <c r="V19" s="514"/>
      <c r="W19" s="514"/>
      <c r="X19" s="514"/>
      <c r="Y19" s="514"/>
      <c r="Z19" s="514"/>
      <c r="AA19" s="726"/>
      <c r="AB19" s="514"/>
      <c r="AC19" s="514"/>
      <c r="AD19" s="514"/>
      <c r="AE19" s="698"/>
      <c r="AF19" s="514"/>
      <c r="AG19" s="514"/>
      <c r="AH19" s="789"/>
      <c r="AI19" s="946">
        <f t="shared" si="1"/>
        <v>0</v>
      </c>
      <c r="AJ19" s="521">
        <v>0</v>
      </c>
      <c r="AK19" s="520">
        <f t="shared" si="2"/>
        <v>0</v>
      </c>
      <c r="AL19" s="672"/>
      <c r="AM19" s="669">
        <f t="shared" si="3"/>
        <v>0</v>
      </c>
    </row>
    <row r="20" spans="1:39" s="500" customFormat="1">
      <c r="A20" s="539" t="s">
        <v>576</v>
      </c>
      <c r="B20" s="539" t="s">
        <v>1174</v>
      </c>
      <c r="C20" s="472" t="s">
        <v>40</v>
      </c>
      <c r="D20" s="519"/>
      <c r="E20" s="520"/>
      <c r="F20" s="726"/>
      <c r="G20" s="520"/>
      <c r="H20" s="520"/>
      <c r="I20" s="521"/>
      <c r="J20" s="521"/>
      <c r="K20" s="521"/>
      <c r="L20" s="514"/>
      <c r="M20" s="726"/>
      <c r="N20" s="514"/>
      <c r="O20" s="514"/>
      <c r="P20" s="514"/>
      <c r="Q20" s="514"/>
      <c r="R20" s="514"/>
      <c r="S20" s="972">
        <v>0.25</v>
      </c>
      <c r="T20" s="726"/>
      <c r="U20" s="514"/>
      <c r="V20" s="514"/>
      <c r="W20" s="514"/>
      <c r="X20" s="514"/>
      <c r="Y20" s="514"/>
      <c r="Z20" s="514"/>
      <c r="AA20" s="726"/>
      <c r="AB20" s="514"/>
      <c r="AC20" s="514"/>
      <c r="AD20" s="514"/>
      <c r="AE20" s="698"/>
      <c r="AF20" s="514"/>
      <c r="AG20" s="514"/>
      <c r="AH20" s="789"/>
      <c r="AI20" s="990">
        <f t="shared" si="1"/>
        <v>0.25</v>
      </c>
      <c r="AJ20" s="521">
        <v>0</v>
      </c>
      <c r="AK20" s="520">
        <f t="shared" si="2"/>
        <v>0.25</v>
      </c>
      <c r="AL20" s="672" t="s">
        <v>1472</v>
      </c>
      <c r="AM20" s="669">
        <f t="shared" si="3"/>
        <v>1.68</v>
      </c>
    </row>
    <row r="21" spans="1:39" s="500" customFormat="1">
      <c r="A21" s="539" t="s">
        <v>577</v>
      </c>
      <c r="B21" s="539" t="s">
        <v>1175</v>
      </c>
      <c r="C21" s="472" t="s">
        <v>37</v>
      </c>
      <c r="D21" s="519"/>
      <c r="E21" s="520"/>
      <c r="F21" s="726"/>
      <c r="G21" s="520"/>
      <c r="H21" s="520"/>
      <c r="I21" s="521"/>
      <c r="J21" s="521"/>
      <c r="K21" s="521"/>
      <c r="L21" s="514"/>
      <c r="M21" s="726"/>
      <c r="N21" s="514"/>
      <c r="O21" s="514"/>
      <c r="P21" s="514"/>
      <c r="Q21" s="514"/>
      <c r="R21" s="514"/>
      <c r="S21" s="972">
        <v>1.54</v>
      </c>
      <c r="T21" s="726"/>
      <c r="U21" s="514"/>
      <c r="V21" s="514"/>
      <c r="W21" s="514"/>
      <c r="X21" s="514"/>
      <c r="Y21" s="514"/>
      <c r="Z21" s="514"/>
      <c r="AA21" s="726"/>
      <c r="AB21" s="514"/>
      <c r="AC21" s="514"/>
      <c r="AD21" s="514"/>
      <c r="AE21" s="698"/>
      <c r="AF21" s="514"/>
      <c r="AG21" s="514"/>
      <c r="AH21" s="789"/>
      <c r="AI21" s="990">
        <f t="shared" si="1"/>
        <v>1.54</v>
      </c>
      <c r="AJ21" s="521">
        <v>0</v>
      </c>
      <c r="AK21" s="520">
        <f t="shared" si="2"/>
        <v>1.54</v>
      </c>
      <c r="AL21" s="672" t="s">
        <v>1473</v>
      </c>
      <c r="AM21" s="669">
        <f t="shared" si="3"/>
        <v>13.879999999999999</v>
      </c>
    </row>
    <row r="22" spans="1:39" s="500" customFormat="1">
      <c r="A22" s="539" t="s">
        <v>578</v>
      </c>
      <c r="B22" s="539" t="s">
        <v>1176</v>
      </c>
      <c r="C22" s="472" t="s">
        <v>48</v>
      </c>
      <c r="D22" s="525"/>
      <c r="E22" s="526"/>
      <c r="F22" s="731"/>
      <c r="G22" s="526"/>
      <c r="H22" s="526"/>
      <c r="I22" s="527"/>
      <c r="J22" s="527"/>
      <c r="K22" s="971">
        <v>17.86</v>
      </c>
      <c r="L22" s="514"/>
      <c r="M22" s="731"/>
      <c r="N22" s="514"/>
      <c r="O22" s="514"/>
      <c r="P22" s="514"/>
      <c r="Q22" s="514"/>
      <c r="R22" s="514"/>
      <c r="S22" s="514"/>
      <c r="T22" s="731"/>
      <c r="U22" s="514"/>
      <c r="V22" s="514"/>
      <c r="W22" s="514"/>
      <c r="X22" s="514"/>
      <c r="Y22" s="514"/>
      <c r="Z22" s="514"/>
      <c r="AA22" s="731"/>
      <c r="AB22" s="514"/>
      <c r="AC22" s="514"/>
      <c r="AD22" s="514"/>
      <c r="AE22" s="698"/>
      <c r="AF22" s="514"/>
      <c r="AG22" s="514"/>
      <c r="AH22" s="789"/>
      <c r="AI22" s="990">
        <f t="shared" si="1"/>
        <v>17.86</v>
      </c>
      <c r="AJ22" s="521">
        <v>0</v>
      </c>
      <c r="AK22" s="520">
        <f t="shared" si="2"/>
        <v>17.86</v>
      </c>
      <c r="AL22" s="673" t="s">
        <v>1474</v>
      </c>
      <c r="AM22" s="669">
        <f t="shared" si="3"/>
        <v>257.69</v>
      </c>
    </row>
    <row r="23" spans="1:39" s="500" customFormat="1">
      <c r="A23" s="539" t="s">
        <v>579</v>
      </c>
      <c r="B23" s="539" t="s">
        <v>1177</v>
      </c>
      <c r="C23" s="605"/>
      <c r="D23" s="525"/>
      <c r="E23" s="526"/>
      <c r="F23" s="731"/>
      <c r="G23" s="526"/>
      <c r="H23" s="526"/>
      <c r="I23" s="527"/>
      <c r="J23" s="527"/>
      <c r="K23" s="527"/>
      <c r="L23" s="514"/>
      <c r="M23" s="731"/>
      <c r="N23" s="514"/>
      <c r="O23" s="514"/>
      <c r="P23" s="514"/>
      <c r="Q23" s="514"/>
      <c r="R23" s="514"/>
      <c r="S23" s="514"/>
      <c r="T23" s="731"/>
      <c r="U23" s="514"/>
      <c r="V23" s="514"/>
      <c r="W23" s="514"/>
      <c r="X23" s="514"/>
      <c r="Y23" s="514"/>
      <c r="Z23" s="514"/>
      <c r="AA23" s="731"/>
      <c r="AB23" s="514"/>
      <c r="AC23" s="514"/>
      <c r="AD23" s="514"/>
      <c r="AE23" s="698"/>
      <c r="AF23" s="514"/>
      <c r="AG23" s="514"/>
      <c r="AH23" s="789"/>
      <c r="AI23" s="946">
        <f t="shared" si="1"/>
        <v>0</v>
      </c>
      <c r="AJ23" s="521">
        <v>0</v>
      </c>
      <c r="AK23" s="520">
        <f t="shared" si="2"/>
        <v>0</v>
      </c>
      <c r="AL23" s="673"/>
      <c r="AM23" s="669">
        <f t="shared" si="3"/>
        <v>0</v>
      </c>
    </row>
    <row r="24" spans="1:39" s="500" customFormat="1">
      <c r="A24" s="539" t="s">
        <v>582</v>
      </c>
      <c r="B24" s="539" t="s">
        <v>1180</v>
      </c>
      <c r="C24" s="472" t="s">
        <v>48</v>
      </c>
      <c r="D24" s="519"/>
      <c r="E24" s="520"/>
      <c r="F24" s="726"/>
      <c r="G24" s="520"/>
      <c r="H24" s="520"/>
      <c r="I24" s="521"/>
      <c r="J24" s="521"/>
      <c r="K24" s="521"/>
      <c r="L24" s="514"/>
      <c r="M24" s="726"/>
      <c r="N24" s="514"/>
      <c r="O24" s="514"/>
      <c r="P24" s="514"/>
      <c r="Q24" s="514"/>
      <c r="R24" s="514"/>
      <c r="S24" s="514"/>
      <c r="T24" s="726"/>
      <c r="U24" s="514"/>
      <c r="V24" s="514"/>
      <c r="W24" s="514"/>
      <c r="X24" s="514"/>
      <c r="Y24" s="514"/>
      <c r="Z24" s="514"/>
      <c r="AA24" s="726"/>
      <c r="AB24" s="976">
        <v>11.83</v>
      </c>
      <c r="AC24" s="514"/>
      <c r="AD24" s="514"/>
      <c r="AE24" s="698"/>
      <c r="AF24" s="514"/>
      <c r="AG24" s="514"/>
      <c r="AH24" s="789"/>
      <c r="AI24" s="990">
        <f t="shared" si="1"/>
        <v>11.83</v>
      </c>
      <c r="AJ24" s="521">
        <v>0</v>
      </c>
      <c r="AK24" s="520">
        <f t="shared" si="2"/>
        <v>11.83</v>
      </c>
      <c r="AL24" s="672" t="s">
        <v>1477</v>
      </c>
      <c r="AM24" s="669">
        <f t="shared" si="3"/>
        <v>432.65000000000003</v>
      </c>
    </row>
    <row r="25" spans="1:39" s="500" customFormat="1">
      <c r="A25" s="539" t="s">
        <v>591</v>
      </c>
      <c r="B25" s="539" t="s">
        <v>1189</v>
      </c>
      <c r="C25" s="605"/>
      <c r="D25" s="525"/>
      <c r="E25" s="526"/>
      <c r="F25" s="731"/>
      <c r="G25" s="526"/>
      <c r="H25" s="526"/>
      <c r="I25" s="527"/>
      <c r="J25" s="527"/>
      <c r="K25" s="527"/>
      <c r="L25" s="514"/>
      <c r="M25" s="731"/>
      <c r="N25" s="514"/>
      <c r="O25" s="514"/>
      <c r="P25" s="514"/>
      <c r="Q25" s="514"/>
      <c r="R25" s="514"/>
      <c r="S25" s="514"/>
      <c r="T25" s="731"/>
      <c r="U25" s="514"/>
      <c r="V25" s="514"/>
      <c r="W25" s="514"/>
      <c r="X25" s="514"/>
      <c r="Y25" s="514"/>
      <c r="Z25" s="514"/>
      <c r="AA25" s="731"/>
      <c r="AB25" s="514"/>
      <c r="AC25" s="514"/>
      <c r="AD25" s="514"/>
      <c r="AE25" s="698"/>
      <c r="AF25" s="514"/>
      <c r="AG25" s="514"/>
      <c r="AH25" s="789"/>
      <c r="AI25" s="946">
        <f t="shared" si="1"/>
        <v>0</v>
      </c>
      <c r="AJ25" s="521">
        <v>0</v>
      </c>
      <c r="AK25" s="520">
        <f t="shared" si="2"/>
        <v>0</v>
      </c>
      <c r="AL25" s="673"/>
      <c r="AM25" s="669">
        <f t="shared" si="3"/>
        <v>0</v>
      </c>
    </row>
    <row r="26" spans="1:39" s="500" customFormat="1">
      <c r="A26" s="539" t="s">
        <v>592</v>
      </c>
      <c r="B26" s="539" t="s">
        <v>1190</v>
      </c>
      <c r="C26" s="472" t="s">
        <v>40</v>
      </c>
      <c r="D26" s="519"/>
      <c r="E26" s="520"/>
      <c r="F26" s="726"/>
      <c r="G26" s="520"/>
      <c r="H26" s="520"/>
      <c r="I26" s="521"/>
      <c r="J26" s="521"/>
      <c r="K26" s="521"/>
      <c r="L26" s="514"/>
      <c r="M26" s="726"/>
      <c r="N26" s="514"/>
      <c r="O26" s="514"/>
      <c r="P26" s="514"/>
      <c r="Q26" s="514"/>
      <c r="R26" s="514"/>
      <c r="S26" s="514"/>
      <c r="T26" s="726"/>
      <c r="U26" s="514"/>
      <c r="V26" s="514"/>
      <c r="W26" s="514"/>
      <c r="X26" s="514"/>
      <c r="Y26" s="514"/>
      <c r="Z26" s="514"/>
      <c r="AA26" s="726"/>
      <c r="AB26" s="976">
        <v>1.97</v>
      </c>
      <c r="AC26" s="514"/>
      <c r="AD26" s="514"/>
      <c r="AE26" s="698"/>
      <c r="AF26" s="514"/>
      <c r="AG26" s="514"/>
      <c r="AH26" s="789"/>
      <c r="AI26" s="990">
        <f t="shared" si="1"/>
        <v>1.97</v>
      </c>
      <c r="AJ26" s="521">
        <v>0</v>
      </c>
      <c r="AK26" s="520">
        <f t="shared" si="2"/>
        <v>1.97</v>
      </c>
      <c r="AL26" s="672" t="s">
        <v>1484</v>
      </c>
      <c r="AM26" s="669">
        <f t="shared" si="3"/>
        <v>1.68</v>
      </c>
    </row>
    <row r="27" spans="1:39" s="500" customFormat="1">
      <c r="A27" s="539" t="s">
        <v>594</v>
      </c>
      <c r="B27" s="539" t="s">
        <v>1192</v>
      </c>
      <c r="C27" s="472" t="s">
        <v>48</v>
      </c>
      <c r="D27" s="519"/>
      <c r="E27" s="520"/>
      <c r="F27" s="726"/>
      <c r="G27" s="520"/>
      <c r="H27" s="520"/>
      <c r="I27" s="521"/>
      <c r="J27" s="521"/>
      <c r="K27" s="521"/>
      <c r="L27" s="514"/>
      <c r="M27" s="726"/>
      <c r="N27" s="514"/>
      <c r="O27" s="514"/>
      <c r="P27" s="514"/>
      <c r="Q27" s="514"/>
      <c r="R27" s="514"/>
      <c r="S27" s="514"/>
      <c r="T27" s="726"/>
      <c r="U27" s="514"/>
      <c r="V27" s="514"/>
      <c r="W27" s="514"/>
      <c r="X27" s="976">
        <f>0.15+75.35+26*9*0.99+28*9*0.25</f>
        <v>370.15999999999997</v>
      </c>
      <c r="Y27" s="514"/>
      <c r="Z27" s="514"/>
      <c r="AA27" s="726"/>
      <c r="AB27" s="514"/>
      <c r="AC27" s="514"/>
      <c r="AD27" s="514"/>
      <c r="AE27" s="698"/>
      <c r="AF27" s="514"/>
      <c r="AG27" s="514"/>
      <c r="AH27" s="789"/>
      <c r="AI27" s="990">
        <f t="shared" si="1"/>
        <v>370.16</v>
      </c>
      <c r="AJ27" s="521">
        <v>0</v>
      </c>
      <c r="AK27" s="520">
        <f t="shared" si="2"/>
        <v>370.16</v>
      </c>
      <c r="AL27" s="672" t="s">
        <v>1486</v>
      </c>
      <c r="AM27" s="669">
        <f t="shared" si="3"/>
        <v>-71.920000000000016</v>
      </c>
    </row>
    <row r="28" spans="1:39" s="500" customFormat="1">
      <c r="A28" s="440" t="s">
        <v>44</v>
      </c>
      <c r="B28" s="543" t="s">
        <v>1202</v>
      </c>
      <c r="C28" s="605"/>
      <c r="D28" s="519"/>
      <c r="E28" s="520"/>
      <c r="F28" s="726"/>
      <c r="G28" s="520"/>
      <c r="H28" s="520"/>
      <c r="I28" s="521"/>
      <c r="J28" s="521"/>
      <c r="K28" s="521"/>
      <c r="L28" s="514"/>
      <c r="M28" s="726"/>
      <c r="N28" s="514"/>
      <c r="O28" s="514"/>
      <c r="P28" s="514"/>
      <c r="Q28" s="514"/>
      <c r="R28" s="514"/>
      <c r="S28" s="514"/>
      <c r="T28" s="726"/>
      <c r="U28" s="514"/>
      <c r="V28" s="514"/>
      <c r="W28" s="514"/>
      <c r="X28" s="514"/>
      <c r="Y28" s="514"/>
      <c r="Z28" s="514"/>
      <c r="AA28" s="726"/>
      <c r="AB28" s="514"/>
      <c r="AC28" s="514"/>
      <c r="AD28" s="514"/>
      <c r="AE28" s="698"/>
      <c r="AF28" s="514"/>
      <c r="AG28" s="514"/>
      <c r="AH28" s="789"/>
      <c r="AI28" s="946">
        <f t="shared" ref="AI28:AI37" si="4">ROUND((SUM(D28:AH28)),2)</f>
        <v>0</v>
      </c>
      <c r="AJ28" s="521">
        <v>0</v>
      </c>
      <c r="AK28" s="520">
        <f t="shared" ref="AK28:AK37" si="5">AI28+AJ28</f>
        <v>0</v>
      </c>
      <c r="AL28" s="672"/>
      <c r="AM28" s="669">
        <f t="shared" ref="AM28:AM37" si="6">AL28-AK28</f>
        <v>0</v>
      </c>
    </row>
    <row r="29" spans="1:39" s="500" customFormat="1">
      <c r="A29" s="542" t="s">
        <v>616</v>
      </c>
      <c r="B29" s="542" t="s">
        <v>1169</v>
      </c>
      <c r="C29" s="605"/>
      <c r="D29" s="519"/>
      <c r="E29" s="520"/>
      <c r="F29" s="726"/>
      <c r="G29" s="520"/>
      <c r="H29" s="520"/>
      <c r="I29" s="521"/>
      <c r="J29" s="521"/>
      <c r="K29" s="521"/>
      <c r="L29" s="514"/>
      <c r="M29" s="726"/>
      <c r="N29" s="514"/>
      <c r="O29" s="514"/>
      <c r="P29" s="514"/>
      <c r="Q29" s="514"/>
      <c r="R29" s="514"/>
      <c r="S29" s="514"/>
      <c r="T29" s="726"/>
      <c r="U29" s="514"/>
      <c r="V29" s="514"/>
      <c r="W29" s="514"/>
      <c r="X29" s="514"/>
      <c r="Y29" s="514"/>
      <c r="Z29" s="514"/>
      <c r="AA29" s="726"/>
      <c r="AB29" s="514"/>
      <c r="AC29" s="514"/>
      <c r="AD29" s="514"/>
      <c r="AE29" s="698"/>
      <c r="AF29" s="514"/>
      <c r="AG29" s="514"/>
      <c r="AH29" s="789"/>
      <c r="AI29" s="946">
        <f t="shared" si="4"/>
        <v>0</v>
      </c>
      <c r="AJ29" s="521">
        <v>0</v>
      </c>
      <c r="AK29" s="520">
        <f t="shared" si="5"/>
        <v>0</v>
      </c>
      <c r="AL29" s="672"/>
      <c r="AM29" s="669">
        <f t="shared" si="6"/>
        <v>0</v>
      </c>
    </row>
    <row r="30" spans="1:39" s="500" customFormat="1">
      <c r="A30" s="539" t="s">
        <v>628</v>
      </c>
      <c r="B30" s="539" t="s">
        <v>1181</v>
      </c>
      <c r="C30" s="605"/>
      <c r="D30" s="519"/>
      <c r="E30" s="520"/>
      <c r="F30" s="726"/>
      <c r="G30" s="520"/>
      <c r="H30" s="520"/>
      <c r="I30" s="521"/>
      <c r="J30" s="521"/>
      <c r="K30" s="521"/>
      <c r="L30" s="514"/>
      <c r="M30" s="726"/>
      <c r="N30" s="514"/>
      <c r="O30" s="514"/>
      <c r="P30" s="514"/>
      <c r="Q30" s="514"/>
      <c r="R30" s="514"/>
      <c r="S30" s="514"/>
      <c r="T30" s="726"/>
      <c r="U30" s="514"/>
      <c r="V30" s="514"/>
      <c r="W30" s="514"/>
      <c r="X30" s="514"/>
      <c r="Y30" s="514"/>
      <c r="Z30" s="514"/>
      <c r="AA30" s="726"/>
      <c r="AB30" s="514"/>
      <c r="AC30" s="514"/>
      <c r="AD30" s="514"/>
      <c r="AE30" s="698"/>
      <c r="AF30" s="514"/>
      <c r="AG30" s="514"/>
      <c r="AH30" s="789"/>
      <c r="AI30" s="946">
        <f t="shared" si="4"/>
        <v>0</v>
      </c>
      <c r="AJ30" s="521">
        <v>0</v>
      </c>
      <c r="AK30" s="520">
        <f t="shared" si="5"/>
        <v>0</v>
      </c>
      <c r="AL30" s="672"/>
      <c r="AM30" s="669">
        <f t="shared" si="6"/>
        <v>0</v>
      </c>
    </row>
    <row r="31" spans="1:39" s="500" customFormat="1">
      <c r="A31" s="539" t="s">
        <v>629</v>
      </c>
      <c r="B31" s="539" t="s">
        <v>1182</v>
      </c>
      <c r="C31" s="472" t="s">
        <v>40</v>
      </c>
      <c r="D31" s="519"/>
      <c r="E31" s="520"/>
      <c r="F31" s="726"/>
      <c r="G31" s="520"/>
      <c r="H31" s="520"/>
      <c r="I31" s="521"/>
      <c r="J31" s="521"/>
      <c r="K31" s="521"/>
      <c r="L31" s="514"/>
      <c r="M31" s="726"/>
      <c r="N31" s="514"/>
      <c r="O31" s="514"/>
      <c r="P31" s="514"/>
      <c r="Q31" s="514"/>
      <c r="R31" s="514"/>
      <c r="S31" s="514"/>
      <c r="T31" s="726"/>
      <c r="U31" s="514"/>
      <c r="V31" s="514"/>
      <c r="W31" s="514"/>
      <c r="X31" s="514"/>
      <c r="Y31" s="514"/>
      <c r="Z31" s="514"/>
      <c r="AA31" s="726"/>
      <c r="AC31" s="514"/>
      <c r="AD31" s="976">
        <v>0.31</v>
      </c>
      <c r="AE31" s="698"/>
      <c r="AF31" s="514"/>
      <c r="AG31" s="514"/>
      <c r="AH31" s="789"/>
      <c r="AI31" s="990">
        <f t="shared" si="4"/>
        <v>0.31</v>
      </c>
      <c r="AJ31" s="521">
        <v>0</v>
      </c>
      <c r="AK31" s="520">
        <f t="shared" si="5"/>
        <v>0.31</v>
      </c>
      <c r="AL31" s="672" t="s">
        <v>1511</v>
      </c>
      <c r="AM31" s="669">
        <f t="shared" si="6"/>
        <v>2.5099999999999998</v>
      </c>
    </row>
    <row r="32" spans="1:39" s="500" customFormat="1">
      <c r="A32" s="440" t="s">
        <v>52</v>
      </c>
      <c r="B32" s="543" t="s">
        <v>1209</v>
      </c>
      <c r="C32" s="605"/>
      <c r="D32" s="519"/>
      <c r="E32" s="520"/>
      <c r="F32" s="726"/>
      <c r="G32" s="520"/>
      <c r="H32" s="520"/>
      <c r="I32" s="521"/>
      <c r="J32" s="521"/>
      <c r="K32" s="521"/>
      <c r="L32" s="514"/>
      <c r="M32" s="726"/>
      <c r="N32" s="514"/>
      <c r="O32" s="514"/>
      <c r="P32" s="514"/>
      <c r="Q32" s="514"/>
      <c r="R32" s="514"/>
      <c r="S32" s="514"/>
      <c r="T32" s="726"/>
      <c r="U32" s="514"/>
      <c r="V32" s="514"/>
      <c r="W32" s="514"/>
      <c r="X32" s="514"/>
      <c r="Y32" s="514"/>
      <c r="Z32" s="514"/>
      <c r="AA32" s="726"/>
      <c r="AB32" s="514"/>
      <c r="AC32" s="514"/>
      <c r="AD32" s="514"/>
      <c r="AE32" s="698"/>
      <c r="AF32" s="514"/>
      <c r="AG32" s="514"/>
      <c r="AH32" s="789"/>
      <c r="AI32" s="946">
        <f t="shared" si="4"/>
        <v>0</v>
      </c>
      <c r="AJ32" s="521">
        <v>0</v>
      </c>
      <c r="AK32" s="520">
        <f t="shared" si="5"/>
        <v>0</v>
      </c>
      <c r="AL32" s="672"/>
      <c r="AM32" s="669">
        <f t="shared" si="6"/>
        <v>0</v>
      </c>
    </row>
    <row r="33" spans="1:39" s="500" customFormat="1">
      <c r="A33" s="542" t="s">
        <v>56</v>
      </c>
      <c r="B33" s="542" t="s">
        <v>46</v>
      </c>
      <c r="C33" s="616"/>
      <c r="D33" s="519"/>
      <c r="E33" s="520"/>
      <c r="F33" s="726"/>
      <c r="G33" s="520"/>
      <c r="H33" s="520"/>
      <c r="I33" s="521"/>
      <c r="J33" s="521"/>
      <c r="K33" s="521"/>
      <c r="L33" s="522"/>
      <c r="M33" s="726"/>
      <c r="N33" s="522"/>
      <c r="O33" s="522"/>
      <c r="P33" s="522"/>
      <c r="Q33" s="522"/>
      <c r="R33" s="522"/>
      <c r="S33" s="522"/>
      <c r="T33" s="726"/>
      <c r="U33" s="522"/>
      <c r="V33" s="522"/>
      <c r="W33" s="522"/>
      <c r="X33" s="522"/>
      <c r="Y33" s="522"/>
      <c r="Z33" s="522"/>
      <c r="AA33" s="726"/>
      <c r="AB33" s="522"/>
      <c r="AC33" s="522"/>
      <c r="AD33" s="522"/>
      <c r="AE33" s="698"/>
      <c r="AF33" s="522"/>
      <c r="AG33" s="522"/>
      <c r="AH33" s="790"/>
      <c r="AI33" s="946">
        <f t="shared" si="4"/>
        <v>0</v>
      </c>
      <c r="AJ33" s="521">
        <v>0</v>
      </c>
      <c r="AK33" s="520">
        <f t="shared" si="5"/>
        <v>0</v>
      </c>
      <c r="AL33" s="672" t="s">
        <v>1525</v>
      </c>
      <c r="AM33" s="669">
        <f t="shared" si="6"/>
        <v>28.51</v>
      </c>
    </row>
    <row r="34" spans="1:39" s="500" customFormat="1">
      <c r="A34" s="539" t="s">
        <v>652</v>
      </c>
      <c r="B34" s="539" t="s">
        <v>1158</v>
      </c>
      <c r="C34" s="548" t="s">
        <v>40</v>
      </c>
      <c r="D34" s="519"/>
      <c r="E34" s="520"/>
      <c r="F34" s="726"/>
      <c r="G34" s="520"/>
      <c r="H34" s="520"/>
      <c r="I34" s="521"/>
      <c r="J34" s="521"/>
      <c r="K34" s="967">
        <f>6*6*0.45</f>
        <v>16.2</v>
      </c>
      <c r="L34" s="522"/>
      <c r="M34" s="726"/>
      <c r="N34" s="522"/>
      <c r="O34" s="976">
        <f>8.3*6.8*0.4</f>
        <v>22.576000000000004</v>
      </c>
      <c r="P34" s="522"/>
      <c r="Q34" s="522"/>
      <c r="R34" s="522"/>
      <c r="S34" s="522"/>
      <c r="T34" s="726"/>
      <c r="U34" s="522"/>
      <c r="V34" s="522"/>
      <c r="W34" s="522"/>
      <c r="X34" s="522"/>
      <c r="Y34" s="976">
        <f>2.5*3*1</f>
        <v>7.5</v>
      </c>
      <c r="Z34" s="976">
        <f>6.6*5.3*0.5</f>
        <v>17.489999999999998</v>
      </c>
      <c r="AA34" s="726"/>
      <c r="AB34" s="522"/>
      <c r="AC34" s="522"/>
      <c r="AD34" s="522"/>
      <c r="AE34" s="698"/>
      <c r="AF34" s="522"/>
      <c r="AG34" s="971">
        <f>7*8*0.3</f>
        <v>16.8</v>
      </c>
      <c r="AH34" s="790"/>
      <c r="AI34" s="990">
        <f t="shared" si="4"/>
        <v>80.569999999999993</v>
      </c>
      <c r="AJ34" s="521">
        <v>0</v>
      </c>
      <c r="AK34" s="520">
        <f t="shared" si="5"/>
        <v>80.569999999999993</v>
      </c>
      <c r="AL34" s="672" t="s">
        <v>1528</v>
      </c>
      <c r="AM34" s="669">
        <f t="shared" si="6"/>
        <v>-8.2399999999999949</v>
      </c>
    </row>
    <row r="35" spans="1:39" s="500" customFormat="1">
      <c r="A35" s="539" t="s">
        <v>654</v>
      </c>
      <c r="B35" s="539" t="s">
        <v>1160</v>
      </c>
      <c r="C35" s="548" t="s">
        <v>40</v>
      </c>
      <c r="D35" s="519"/>
      <c r="E35" s="520"/>
      <c r="F35" s="726"/>
      <c r="G35" s="520"/>
      <c r="H35" s="520"/>
      <c r="I35" s="521"/>
      <c r="J35" s="521"/>
      <c r="K35" s="521"/>
      <c r="L35" s="514"/>
      <c r="M35" s="726"/>
      <c r="N35" s="514"/>
      <c r="O35" s="976">
        <v>2.0299999999999998</v>
      </c>
      <c r="P35" s="514"/>
      <c r="Q35" s="514"/>
      <c r="R35" s="514"/>
      <c r="S35" s="514"/>
      <c r="T35" s="726"/>
      <c r="U35" s="514"/>
      <c r="V35" s="514"/>
      <c r="W35" s="514"/>
      <c r="X35" s="514"/>
      <c r="Y35" s="514"/>
      <c r="Z35" s="514"/>
      <c r="AA35" s="726"/>
      <c r="AB35" s="514"/>
      <c r="AC35" s="514"/>
      <c r="AD35" s="514"/>
      <c r="AE35" s="698"/>
      <c r="AF35" s="514"/>
      <c r="AG35" s="514"/>
      <c r="AH35" s="789"/>
      <c r="AI35" s="990">
        <f t="shared" si="4"/>
        <v>2.0299999999999998</v>
      </c>
      <c r="AJ35" s="521">
        <v>0</v>
      </c>
      <c r="AK35" s="520">
        <f t="shared" si="5"/>
        <v>2.0299999999999998</v>
      </c>
      <c r="AL35" s="672" t="s">
        <v>1529</v>
      </c>
      <c r="AM35" s="669">
        <f t="shared" si="6"/>
        <v>15.160000000000002</v>
      </c>
    </row>
    <row r="36" spans="1:39" s="500" customFormat="1">
      <c r="A36" s="542" t="s">
        <v>57</v>
      </c>
      <c r="B36" s="542" t="s">
        <v>1162</v>
      </c>
      <c r="C36" s="616"/>
      <c r="D36" s="525"/>
      <c r="E36" s="526"/>
      <c r="F36" s="731"/>
      <c r="G36" s="526"/>
      <c r="H36" s="526"/>
      <c r="I36" s="527"/>
      <c r="J36" s="527"/>
      <c r="K36" s="527"/>
      <c r="L36" s="514"/>
      <c r="M36" s="731"/>
      <c r="N36" s="514"/>
      <c r="O36" s="514"/>
      <c r="P36" s="514"/>
      <c r="Q36" s="514"/>
      <c r="R36" s="514"/>
      <c r="S36" s="514"/>
      <c r="T36" s="731"/>
      <c r="U36" s="514"/>
      <c r="V36" s="514"/>
      <c r="W36" s="514"/>
      <c r="X36" s="514"/>
      <c r="Y36" s="514"/>
      <c r="Z36" s="514"/>
      <c r="AA36" s="731"/>
      <c r="AB36" s="514"/>
      <c r="AC36" s="514"/>
      <c r="AD36" s="757"/>
      <c r="AE36" s="698"/>
      <c r="AF36" s="514"/>
      <c r="AG36" s="514"/>
      <c r="AH36" s="789"/>
      <c r="AI36" s="946">
        <f t="shared" si="4"/>
        <v>0</v>
      </c>
      <c r="AJ36" s="521">
        <v>0</v>
      </c>
      <c r="AK36" s="520">
        <f t="shared" si="5"/>
        <v>0</v>
      </c>
      <c r="AL36" s="673" t="s">
        <v>1530</v>
      </c>
      <c r="AM36" s="669">
        <f t="shared" si="6"/>
        <v>23.07</v>
      </c>
    </row>
    <row r="37" spans="1:39" s="500" customFormat="1">
      <c r="A37" s="539" t="s">
        <v>656</v>
      </c>
      <c r="B37" s="539" t="s">
        <v>1203</v>
      </c>
      <c r="C37" s="548" t="s">
        <v>37</v>
      </c>
      <c r="D37" s="519"/>
      <c r="E37" s="520"/>
      <c r="F37" s="726"/>
      <c r="G37" s="520"/>
      <c r="H37" s="520"/>
      <c r="I37" s="521"/>
      <c r="J37" s="521"/>
      <c r="K37" s="521"/>
      <c r="L37" s="514"/>
      <c r="M37" s="726"/>
      <c r="N37" s="514"/>
      <c r="O37" s="514"/>
      <c r="P37" s="514"/>
      <c r="Q37" s="514"/>
      <c r="R37" s="514"/>
      <c r="S37" s="514"/>
      <c r="T37" s="726"/>
      <c r="U37" s="514"/>
      <c r="V37" s="514"/>
      <c r="W37" s="514"/>
      <c r="X37" s="514"/>
      <c r="Y37" s="514"/>
      <c r="Z37" s="514"/>
      <c r="AA37" s="726"/>
      <c r="AB37" s="514"/>
      <c r="AC37" s="514"/>
      <c r="AD37" s="976">
        <v>1.56</v>
      </c>
      <c r="AE37" s="698"/>
      <c r="AF37" s="514"/>
      <c r="AG37" s="514"/>
      <c r="AH37" s="789"/>
      <c r="AI37" s="990">
        <f t="shared" si="4"/>
        <v>1.56</v>
      </c>
      <c r="AJ37" s="521">
        <v>0</v>
      </c>
      <c r="AK37" s="520">
        <f t="shared" si="5"/>
        <v>1.56</v>
      </c>
      <c r="AL37" s="672" t="s">
        <v>1531</v>
      </c>
      <c r="AM37" s="669">
        <f t="shared" si="6"/>
        <v>8.84</v>
      </c>
    </row>
    <row r="38" spans="1:39" s="500" customFormat="1" ht="13.35" customHeight="1">
      <c r="A38" s="440" t="s">
        <v>516</v>
      </c>
      <c r="B38" s="543" t="s">
        <v>1210</v>
      </c>
      <c r="C38" s="616"/>
      <c r="D38" s="519"/>
      <c r="E38" s="520"/>
      <c r="F38" s="726"/>
      <c r="G38" s="520"/>
      <c r="H38" s="520"/>
      <c r="I38" s="521"/>
      <c r="J38" s="521"/>
      <c r="K38" s="521"/>
      <c r="L38" s="514"/>
      <c r="M38" s="726"/>
      <c r="N38" s="514"/>
      <c r="O38" s="514"/>
      <c r="P38" s="514"/>
      <c r="Q38" s="514"/>
      <c r="R38" s="514"/>
      <c r="S38" s="514"/>
      <c r="T38" s="726"/>
      <c r="U38" s="514"/>
      <c r="V38" s="514"/>
      <c r="W38" s="514"/>
      <c r="X38" s="514"/>
      <c r="Y38" s="514"/>
      <c r="Z38" s="514"/>
      <c r="AA38" s="726"/>
      <c r="AB38" s="514"/>
      <c r="AC38" s="514"/>
      <c r="AD38" s="514"/>
      <c r="AE38" s="698"/>
      <c r="AF38" s="514"/>
      <c r="AG38" s="514"/>
      <c r="AH38" s="789"/>
      <c r="AI38" s="946">
        <f t="shared" ref="AI38:AI50" si="7">ROUND((SUM(D38:AH38)),2)</f>
        <v>0</v>
      </c>
      <c r="AJ38" s="521">
        <v>0</v>
      </c>
      <c r="AK38" s="520">
        <f t="shared" ref="AK38:AK51" si="8">AI38+AJ38</f>
        <v>0</v>
      </c>
      <c r="AL38" s="672"/>
      <c r="AM38" s="669">
        <f t="shared" ref="AM38:AM51" si="9">AL38-AK38</f>
        <v>0</v>
      </c>
    </row>
    <row r="39" spans="1:39" s="500" customFormat="1" ht="13.35" customHeight="1">
      <c r="A39" s="542" t="s">
        <v>517</v>
      </c>
      <c r="B39" s="542" t="s">
        <v>46</v>
      </c>
      <c r="C39" s="616"/>
      <c r="D39" s="519"/>
      <c r="E39" s="520"/>
      <c r="F39" s="726"/>
      <c r="G39" s="520"/>
      <c r="H39" s="520"/>
      <c r="I39" s="521"/>
      <c r="J39" s="521"/>
      <c r="K39" s="521"/>
      <c r="L39" s="514"/>
      <c r="M39" s="726"/>
      <c r="N39" s="514"/>
      <c r="O39" s="514"/>
      <c r="P39" s="514"/>
      <c r="Q39" s="514"/>
      <c r="R39" s="514"/>
      <c r="S39" s="514"/>
      <c r="T39" s="726"/>
      <c r="U39" s="514"/>
      <c r="V39" s="514"/>
      <c r="W39" s="514"/>
      <c r="X39" s="514"/>
      <c r="Y39" s="514"/>
      <c r="Z39" s="514"/>
      <c r="AA39" s="726"/>
      <c r="AB39" s="514"/>
      <c r="AC39" s="514"/>
      <c r="AD39" s="514"/>
      <c r="AE39" s="698"/>
      <c r="AF39" s="514"/>
      <c r="AG39" s="514"/>
      <c r="AH39" s="789"/>
      <c r="AI39" s="946">
        <f t="shared" si="7"/>
        <v>0</v>
      </c>
      <c r="AJ39" s="521">
        <v>0</v>
      </c>
      <c r="AK39" s="520">
        <f t="shared" si="8"/>
        <v>0</v>
      </c>
      <c r="AL39" s="672" t="s">
        <v>1556</v>
      </c>
      <c r="AM39" s="669">
        <f t="shared" si="9"/>
        <v>39.86</v>
      </c>
    </row>
    <row r="40" spans="1:39" s="500" customFormat="1" ht="13.35" customHeight="1">
      <c r="A40" s="539" t="s">
        <v>696</v>
      </c>
      <c r="B40" s="539" t="s">
        <v>1157</v>
      </c>
      <c r="C40" s="548" t="s">
        <v>40</v>
      </c>
      <c r="D40" s="963">
        <v>9.67</v>
      </c>
      <c r="E40" s="520"/>
      <c r="F40" s="726"/>
      <c r="G40" s="520"/>
      <c r="H40" s="520"/>
      <c r="I40" s="521"/>
      <c r="J40" s="521"/>
      <c r="K40" s="521"/>
      <c r="L40" s="514"/>
      <c r="M40" s="726"/>
      <c r="N40" s="514"/>
      <c r="O40" s="514"/>
      <c r="P40" s="514"/>
      <c r="Q40" s="514"/>
      <c r="R40" s="514"/>
      <c r="S40" s="514"/>
      <c r="T40" s="726"/>
      <c r="U40" s="514"/>
      <c r="V40" s="514"/>
      <c r="W40" s="514"/>
      <c r="X40" s="514"/>
      <c r="Y40" s="514"/>
      <c r="Z40" s="514"/>
      <c r="AA40" s="726"/>
      <c r="AB40" s="514"/>
      <c r="AC40" s="514"/>
      <c r="AD40" s="514"/>
      <c r="AE40" s="698"/>
      <c r="AF40" s="514"/>
      <c r="AG40" s="514"/>
      <c r="AH40" s="789"/>
      <c r="AI40" s="990">
        <f t="shared" si="7"/>
        <v>9.67</v>
      </c>
      <c r="AJ40" s="521">
        <v>0</v>
      </c>
      <c r="AK40" s="520">
        <f t="shared" si="8"/>
        <v>9.67</v>
      </c>
      <c r="AL40" s="672" t="s">
        <v>1558</v>
      </c>
      <c r="AM40" s="669">
        <f t="shared" si="9"/>
        <v>6.0500000000000007</v>
      </c>
    </row>
    <row r="41" spans="1:39" s="500" customFormat="1" ht="13.35" customHeight="1">
      <c r="A41" s="539" t="s">
        <v>697</v>
      </c>
      <c r="B41" s="539" t="s">
        <v>1158</v>
      </c>
      <c r="C41" s="548" t="s">
        <v>40</v>
      </c>
      <c r="D41" s="519"/>
      <c r="E41" s="520"/>
      <c r="F41" s="726"/>
      <c r="G41" s="520"/>
      <c r="H41" s="520"/>
      <c r="I41" s="521"/>
      <c r="J41" s="521"/>
      <c r="K41" s="521"/>
      <c r="L41" s="514"/>
      <c r="M41" s="726"/>
      <c r="N41" s="514"/>
      <c r="O41" s="514"/>
      <c r="P41" s="514"/>
      <c r="Q41" s="514"/>
      <c r="R41" s="514"/>
      <c r="S41" s="514"/>
      <c r="T41" s="726"/>
      <c r="U41" s="514"/>
      <c r="V41" s="514"/>
      <c r="W41" s="514"/>
      <c r="X41" s="976">
        <f>2.7*5.9*0.5</f>
        <v>7.9650000000000007</v>
      </c>
      <c r="Y41" s="514"/>
      <c r="Z41" s="514"/>
      <c r="AA41" s="726"/>
      <c r="AB41" s="514"/>
      <c r="AC41" s="514"/>
      <c r="AD41" s="514"/>
      <c r="AE41" s="698"/>
      <c r="AF41" s="514"/>
      <c r="AG41" s="514"/>
      <c r="AH41" s="789"/>
      <c r="AI41" s="989">
        <f t="shared" si="7"/>
        <v>7.97</v>
      </c>
      <c r="AJ41" s="521">
        <v>0</v>
      </c>
      <c r="AK41" s="520">
        <f t="shared" si="8"/>
        <v>7.97</v>
      </c>
      <c r="AL41" s="672" t="s">
        <v>1559</v>
      </c>
      <c r="AM41" s="669">
        <f t="shared" si="9"/>
        <v>14.060000000000002</v>
      </c>
    </row>
    <row r="42" spans="1:39" s="500" customFormat="1" ht="13.35" customHeight="1">
      <c r="A42" s="542" t="s">
        <v>708</v>
      </c>
      <c r="B42" s="542" t="s">
        <v>1169</v>
      </c>
      <c r="C42" s="616"/>
      <c r="D42" s="519"/>
      <c r="E42" s="520"/>
      <c r="F42" s="726"/>
      <c r="G42" s="520"/>
      <c r="H42" s="520"/>
      <c r="I42" s="521"/>
      <c r="J42" s="521"/>
      <c r="K42" s="521"/>
      <c r="L42" s="514"/>
      <c r="M42" s="726"/>
      <c r="N42" s="514"/>
      <c r="O42" s="514"/>
      <c r="P42" s="514"/>
      <c r="Q42" s="514"/>
      <c r="R42" s="514"/>
      <c r="S42" s="514"/>
      <c r="T42" s="726"/>
      <c r="U42" s="514"/>
      <c r="V42" s="514"/>
      <c r="W42" s="514"/>
      <c r="X42" s="514"/>
      <c r="Y42" s="514"/>
      <c r="Z42" s="514"/>
      <c r="AA42" s="726"/>
      <c r="AB42" s="514"/>
      <c r="AC42" s="514"/>
      <c r="AD42" s="514"/>
      <c r="AE42" s="698"/>
      <c r="AF42" s="514"/>
      <c r="AG42" s="514"/>
      <c r="AH42" s="789"/>
      <c r="AI42" s="946">
        <f t="shared" si="7"/>
        <v>0</v>
      </c>
      <c r="AJ42" s="521">
        <v>0</v>
      </c>
      <c r="AK42" s="520">
        <f t="shared" si="8"/>
        <v>0</v>
      </c>
      <c r="AL42" s="672"/>
      <c r="AM42" s="669">
        <f t="shared" si="9"/>
        <v>0</v>
      </c>
    </row>
    <row r="43" spans="1:39" s="500" customFormat="1" ht="13.35" customHeight="1">
      <c r="A43" s="539" t="s">
        <v>709</v>
      </c>
      <c r="B43" s="539" t="s">
        <v>1170</v>
      </c>
      <c r="C43" s="616"/>
      <c r="D43" s="519"/>
      <c r="E43" s="520"/>
      <c r="F43" s="726"/>
      <c r="G43" s="520"/>
      <c r="H43" s="520"/>
      <c r="I43" s="521"/>
      <c r="J43" s="521"/>
      <c r="K43" s="521"/>
      <c r="L43" s="514"/>
      <c r="M43" s="726"/>
      <c r="N43" s="514"/>
      <c r="O43" s="514"/>
      <c r="P43" s="514"/>
      <c r="Q43" s="514"/>
      <c r="R43" s="514"/>
      <c r="S43" s="514"/>
      <c r="T43" s="726"/>
      <c r="U43" s="514"/>
      <c r="V43" s="514"/>
      <c r="W43" s="514"/>
      <c r="X43" s="514"/>
      <c r="Y43" s="514"/>
      <c r="Z43" s="514"/>
      <c r="AA43" s="726"/>
      <c r="AB43" s="514"/>
      <c r="AC43" s="514"/>
      <c r="AD43" s="514"/>
      <c r="AE43" s="698"/>
      <c r="AF43" s="514"/>
      <c r="AG43" s="514"/>
      <c r="AH43" s="789"/>
      <c r="AI43" s="946">
        <f t="shared" si="7"/>
        <v>0</v>
      </c>
      <c r="AJ43" s="521">
        <v>0</v>
      </c>
      <c r="AK43" s="520">
        <f t="shared" si="8"/>
        <v>0</v>
      </c>
      <c r="AL43" s="672" t="s">
        <v>1470</v>
      </c>
      <c r="AM43" s="669">
        <f t="shared" si="9"/>
        <v>4.6100000000000003</v>
      </c>
    </row>
    <row r="44" spans="1:39" s="500" customFormat="1" ht="13.35" customHeight="1">
      <c r="A44" s="539" t="s">
        <v>710</v>
      </c>
      <c r="B44" s="539" t="s">
        <v>1206</v>
      </c>
      <c r="C44" s="548" t="s">
        <v>40</v>
      </c>
      <c r="D44" s="519"/>
      <c r="E44" s="965">
        <v>1.22</v>
      </c>
      <c r="F44" s="726"/>
      <c r="G44" s="520"/>
      <c r="H44" s="520"/>
      <c r="I44" s="521"/>
      <c r="J44" s="521"/>
      <c r="K44" s="521"/>
      <c r="L44" s="514"/>
      <c r="M44" s="726"/>
      <c r="N44" s="514"/>
      <c r="O44" s="514"/>
      <c r="P44" s="514"/>
      <c r="Q44" s="514"/>
      <c r="R44" s="514"/>
      <c r="S44" s="514"/>
      <c r="T44" s="726"/>
      <c r="U44" s="514"/>
      <c r="V44" s="514"/>
      <c r="W44" s="514"/>
      <c r="X44" s="514"/>
      <c r="Y44" s="514"/>
      <c r="Z44" s="514"/>
      <c r="AA44" s="726"/>
      <c r="AB44" s="514"/>
      <c r="AC44" s="514"/>
      <c r="AD44" s="514"/>
      <c r="AE44" s="698"/>
      <c r="AF44" s="514"/>
      <c r="AG44" s="514"/>
      <c r="AH44" s="789"/>
      <c r="AI44" s="990">
        <f t="shared" si="7"/>
        <v>1.22</v>
      </c>
      <c r="AJ44" s="521">
        <v>0</v>
      </c>
      <c r="AK44" s="520">
        <f t="shared" si="8"/>
        <v>1.22</v>
      </c>
      <c r="AL44" s="672" t="s">
        <v>1471</v>
      </c>
      <c r="AM44" s="669">
        <f t="shared" si="9"/>
        <v>191.48</v>
      </c>
    </row>
    <row r="45" spans="1:39" s="500" customFormat="1" ht="13.35" customHeight="1">
      <c r="A45" s="539" t="s">
        <v>712</v>
      </c>
      <c r="B45" s="539" t="s">
        <v>1173</v>
      </c>
      <c r="C45" s="616"/>
      <c r="D45" s="519"/>
      <c r="E45" s="520"/>
      <c r="F45" s="726"/>
      <c r="G45" s="520"/>
      <c r="H45" s="520"/>
      <c r="I45" s="521"/>
      <c r="J45" s="521"/>
      <c r="K45" s="521"/>
      <c r="L45" s="514"/>
      <c r="M45" s="726"/>
      <c r="N45" s="514"/>
      <c r="O45" s="514"/>
      <c r="P45" s="514"/>
      <c r="Q45" s="514"/>
      <c r="R45" s="514"/>
      <c r="S45" s="514"/>
      <c r="T45" s="726"/>
      <c r="U45" s="514"/>
      <c r="V45" s="514"/>
      <c r="W45" s="514"/>
      <c r="X45" s="514"/>
      <c r="Y45" s="514"/>
      <c r="Z45" s="514"/>
      <c r="AA45" s="726"/>
      <c r="AB45" s="514"/>
      <c r="AC45" s="514"/>
      <c r="AD45" s="514"/>
      <c r="AE45" s="698"/>
      <c r="AF45" s="514"/>
      <c r="AG45" s="514"/>
      <c r="AH45" s="789"/>
      <c r="AI45" s="946">
        <f t="shared" si="7"/>
        <v>0</v>
      </c>
      <c r="AJ45" s="521">
        <v>0</v>
      </c>
      <c r="AK45" s="520">
        <f t="shared" si="8"/>
        <v>0</v>
      </c>
      <c r="AL45" s="672" t="s">
        <v>1566</v>
      </c>
      <c r="AM45" s="669">
        <f t="shared" si="9"/>
        <v>2.19</v>
      </c>
    </row>
    <row r="46" spans="1:39" s="500" customFormat="1" ht="13.35" customHeight="1">
      <c r="A46" s="539" t="s">
        <v>713</v>
      </c>
      <c r="B46" s="539" t="s">
        <v>1207</v>
      </c>
      <c r="C46" s="548" t="s">
        <v>40</v>
      </c>
      <c r="D46" s="519"/>
      <c r="E46" s="520"/>
      <c r="F46" s="726"/>
      <c r="G46" s="520"/>
      <c r="H46" s="520"/>
      <c r="I46" s="521"/>
      <c r="J46" s="521"/>
      <c r="K46" s="521"/>
      <c r="L46" s="514"/>
      <c r="M46" s="726"/>
      <c r="N46" s="514"/>
      <c r="O46" s="514"/>
      <c r="P46" s="514"/>
      <c r="Q46" s="514"/>
      <c r="R46" s="514"/>
      <c r="S46" s="514"/>
      <c r="T46" s="726"/>
      <c r="U46" s="514"/>
      <c r="V46" s="514"/>
      <c r="W46" s="514"/>
      <c r="X46" s="514"/>
      <c r="Y46" s="514"/>
      <c r="Z46" s="514"/>
      <c r="AA46" s="726"/>
      <c r="AB46" s="514"/>
      <c r="AC46" s="514"/>
      <c r="AD46" s="514"/>
      <c r="AE46" s="698"/>
      <c r="AF46" s="514"/>
      <c r="AG46" s="514"/>
      <c r="AH46" s="789"/>
      <c r="AI46" s="946">
        <f t="shared" si="7"/>
        <v>0</v>
      </c>
      <c r="AJ46" s="521">
        <v>0</v>
      </c>
      <c r="AK46" s="520">
        <f t="shared" si="8"/>
        <v>0</v>
      </c>
      <c r="AL46" s="672" t="s">
        <v>1567</v>
      </c>
      <c r="AM46" s="669">
        <f t="shared" si="9"/>
        <v>17.489999999999998</v>
      </c>
    </row>
    <row r="47" spans="1:39" s="500" customFormat="1" ht="13.35" customHeight="1">
      <c r="A47" s="539" t="s">
        <v>714</v>
      </c>
      <c r="B47" s="539" t="s">
        <v>1175</v>
      </c>
      <c r="C47" s="548" t="s">
        <v>37</v>
      </c>
      <c r="D47" s="519"/>
      <c r="E47" s="520"/>
      <c r="F47" s="726"/>
      <c r="G47" s="520"/>
      <c r="H47" s="520"/>
      <c r="I47" s="968">
        <v>3.51</v>
      </c>
      <c r="J47" s="521"/>
      <c r="K47" s="521"/>
      <c r="L47" s="514"/>
      <c r="M47" s="726"/>
      <c r="N47" s="514"/>
      <c r="O47" s="514"/>
      <c r="P47" s="514"/>
      <c r="Q47" s="514"/>
      <c r="R47" s="514"/>
      <c r="S47" s="514"/>
      <c r="T47" s="726"/>
      <c r="U47" s="514"/>
      <c r="V47" s="514"/>
      <c r="W47" s="514"/>
      <c r="X47" s="514"/>
      <c r="Y47" s="514"/>
      <c r="Z47" s="514"/>
      <c r="AA47" s="726"/>
      <c r="AB47" s="514"/>
      <c r="AC47" s="514"/>
      <c r="AD47" s="514"/>
      <c r="AE47" s="698"/>
      <c r="AF47" s="514"/>
      <c r="AG47" s="514"/>
      <c r="AH47" s="789"/>
      <c r="AI47" s="990">
        <f t="shared" si="7"/>
        <v>3.51</v>
      </c>
      <c r="AJ47" s="521">
        <v>0</v>
      </c>
      <c r="AK47" s="520">
        <f t="shared" si="8"/>
        <v>3.51</v>
      </c>
      <c r="AL47" s="672" t="s">
        <v>1568</v>
      </c>
      <c r="AM47" s="669">
        <f t="shared" si="9"/>
        <v>175.74</v>
      </c>
    </row>
    <row r="48" spans="1:39" s="500" customFormat="1" ht="13.35" customHeight="1">
      <c r="A48" s="539" t="s">
        <v>715</v>
      </c>
      <c r="B48" s="539" t="s">
        <v>1176</v>
      </c>
      <c r="C48" s="548" t="s">
        <v>48</v>
      </c>
      <c r="D48" s="519"/>
      <c r="E48" s="520"/>
      <c r="F48" s="726"/>
      <c r="G48" s="965">
        <v>66.28</v>
      </c>
      <c r="H48" s="520"/>
      <c r="I48" s="521"/>
      <c r="J48" s="521"/>
      <c r="K48" s="521"/>
      <c r="L48" s="514"/>
      <c r="M48" s="726"/>
      <c r="N48" s="514"/>
      <c r="O48" s="514"/>
      <c r="P48" s="514"/>
      <c r="Q48" s="514"/>
      <c r="R48" s="514"/>
      <c r="S48" s="514"/>
      <c r="T48" s="726"/>
      <c r="U48" s="514"/>
      <c r="V48" s="514"/>
      <c r="W48" s="514"/>
      <c r="X48" s="514"/>
      <c r="Y48" s="514"/>
      <c r="Z48" s="514"/>
      <c r="AA48" s="726"/>
      <c r="AB48" s="514"/>
      <c r="AC48" s="514"/>
      <c r="AD48" s="514"/>
      <c r="AE48" s="698"/>
      <c r="AF48" s="514"/>
      <c r="AG48" s="514"/>
      <c r="AH48" s="789"/>
      <c r="AI48" s="990">
        <f t="shared" si="7"/>
        <v>66.28</v>
      </c>
      <c r="AJ48" s="521">
        <v>0</v>
      </c>
      <c r="AK48" s="520">
        <f t="shared" si="8"/>
        <v>66.28</v>
      </c>
      <c r="AL48" s="672"/>
      <c r="AM48" s="669">
        <f t="shared" si="9"/>
        <v>-66.28</v>
      </c>
    </row>
    <row r="49" spans="1:39" s="500" customFormat="1" ht="13.35" customHeight="1">
      <c r="A49" s="539" t="s">
        <v>716</v>
      </c>
      <c r="B49" s="539" t="s">
        <v>1177</v>
      </c>
      <c r="C49" s="616"/>
      <c r="D49" s="519"/>
      <c r="E49" s="520"/>
      <c r="F49" s="726"/>
      <c r="G49" s="520"/>
      <c r="H49" s="520"/>
      <c r="I49" s="521"/>
      <c r="J49" s="521"/>
      <c r="K49" s="521"/>
      <c r="L49" s="514"/>
      <c r="M49" s="726"/>
      <c r="N49" s="514"/>
      <c r="O49" s="514"/>
      <c r="P49" s="514"/>
      <c r="Q49" s="514"/>
      <c r="R49" s="514"/>
      <c r="S49" s="514"/>
      <c r="T49" s="726"/>
      <c r="U49" s="514"/>
      <c r="V49" s="514"/>
      <c r="W49" s="514"/>
      <c r="X49" s="514"/>
      <c r="Y49" s="514"/>
      <c r="Z49" s="514"/>
      <c r="AA49" s="726"/>
      <c r="AB49" s="514"/>
      <c r="AC49" s="514"/>
      <c r="AD49" s="514"/>
      <c r="AE49" s="698"/>
      <c r="AF49" s="514"/>
      <c r="AG49" s="514"/>
      <c r="AH49" s="789"/>
      <c r="AI49" s="946">
        <f t="shared" si="7"/>
        <v>0</v>
      </c>
      <c r="AJ49" s="521">
        <v>0</v>
      </c>
      <c r="AK49" s="520">
        <f t="shared" si="8"/>
        <v>0</v>
      </c>
      <c r="AL49" s="672" t="s">
        <v>1532</v>
      </c>
      <c r="AM49" s="669">
        <f t="shared" si="9"/>
        <v>2.1800000000000002</v>
      </c>
    </row>
    <row r="50" spans="1:39" s="500" customFormat="1" ht="13.35" customHeight="1">
      <c r="A50" s="539" t="s">
        <v>719</v>
      </c>
      <c r="B50" s="539" t="s">
        <v>1180</v>
      </c>
      <c r="C50" s="548" t="s">
        <v>48</v>
      </c>
      <c r="D50" s="519"/>
      <c r="E50" s="968">
        <v>153.9</v>
      </c>
      <c r="F50" s="726"/>
      <c r="G50" s="520"/>
      <c r="H50" s="520"/>
      <c r="I50" s="521"/>
      <c r="J50" s="521"/>
      <c r="K50" s="521"/>
      <c r="L50" s="514"/>
      <c r="M50" s="726"/>
      <c r="N50" s="514"/>
      <c r="O50" s="514"/>
      <c r="P50" s="514"/>
      <c r="Q50" s="514"/>
      <c r="R50" s="514"/>
      <c r="S50" s="514"/>
      <c r="T50" s="726"/>
      <c r="U50" s="514"/>
      <c r="V50" s="514"/>
      <c r="W50" s="514"/>
      <c r="X50" s="514"/>
      <c r="Y50" s="514"/>
      <c r="Z50" s="514"/>
      <c r="AA50" s="726"/>
      <c r="AB50" s="514"/>
      <c r="AC50" s="514"/>
      <c r="AD50" s="514"/>
      <c r="AE50" s="698"/>
      <c r="AF50" s="514"/>
      <c r="AG50" s="514"/>
      <c r="AH50" s="789"/>
      <c r="AI50" s="990">
        <f t="shared" si="7"/>
        <v>153.9</v>
      </c>
      <c r="AJ50" s="521">
        <v>0</v>
      </c>
      <c r="AK50" s="520">
        <f t="shared" si="8"/>
        <v>153.9</v>
      </c>
      <c r="AL50" s="672"/>
      <c r="AM50" s="669">
        <f t="shared" si="9"/>
        <v>-153.9</v>
      </c>
    </row>
    <row r="51" spans="1:39" s="500" customFormat="1" ht="13.35" customHeight="1">
      <c r="A51" s="539" t="s">
        <v>724</v>
      </c>
      <c r="B51" s="539" t="s">
        <v>1185</v>
      </c>
      <c r="C51" s="616"/>
      <c r="D51" s="519"/>
      <c r="E51" s="520"/>
      <c r="F51" s="726"/>
      <c r="G51" s="520"/>
      <c r="H51" s="520"/>
      <c r="I51" s="521"/>
      <c r="J51" s="521"/>
      <c r="K51" s="521"/>
      <c r="L51" s="514"/>
      <c r="M51" s="726"/>
      <c r="N51" s="514"/>
      <c r="O51" s="514"/>
      <c r="P51" s="514"/>
      <c r="Q51" s="514"/>
      <c r="R51" s="514"/>
      <c r="S51" s="514"/>
      <c r="T51" s="726"/>
      <c r="U51" s="514"/>
      <c r="V51" s="514"/>
      <c r="W51" s="514"/>
      <c r="X51" s="514"/>
      <c r="Y51" s="514"/>
      <c r="Z51" s="514"/>
      <c r="AA51" s="726"/>
      <c r="AB51" s="514"/>
      <c r="AC51" s="514"/>
      <c r="AD51" s="514"/>
      <c r="AE51" s="698"/>
      <c r="AF51" s="514"/>
      <c r="AG51" s="514"/>
      <c r="AH51" s="789"/>
      <c r="AI51" s="946">
        <f t="shared" ref="AI51:AI60" si="10">ROUND((SUM(D51:AH51)),2)</f>
        <v>0</v>
      </c>
      <c r="AJ51" s="521">
        <v>0</v>
      </c>
      <c r="AK51" s="520">
        <f t="shared" si="8"/>
        <v>0</v>
      </c>
      <c r="AL51" s="672" t="s">
        <v>1571</v>
      </c>
      <c r="AM51" s="669">
        <f t="shared" si="9"/>
        <v>5.6</v>
      </c>
    </row>
    <row r="52" spans="1:39" s="500" customFormat="1" ht="13.35" customHeight="1">
      <c r="A52" s="539" t="s">
        <v>725</v>
      </c>
      <c r="B52" s="539" t="s">
        <v>1186</v>
      </c>
      <c r="C52" s="548" t="s">
        <v>40</v>
      </c>
      <c r="D52" s="519"/>
      <c r="E52" s="520"/>
      <c r="F52" s="726"/>
      <c r="G52" s="520"/>
      <c r="H52" s="520"/>
      <c r="I52" s="521"/>
      <c r="J52" s="521"/>
      <c r="K52" s="521"/>
      <c r="L52" s="514"/>
      <c r="M52" s="726"/>
      <c r="N52" s="514"/>
      <c r="O52" s="514"/>
      <c r="P52" s="514"/>
      <c r="Q52" s="514"/>
      <c r="R52" s="514"/>
      <c r="S52" s="514"/>
      <c r="T52" s="726"/>
      <c r="U52" s="514"/>
      <c r="V52" s="514"/>
      <c r="W52" s="514"/>
      <c r="X52" s="514"/>
      <c r="Y52" s="514"/>
      <c r="Z52" s="514"/>
      <c r="AA52" s="726"/>
      <c r="AB52" s="514"/>
      <c r="AC52" s="972">
        <v>0.49</v>
      </c>
      <c r="AD52" s="514"/>
      <c r="AE52" s="698"/>
      <c r="AF52" s="514"/>
      <c r="AG52" s="514"/>
      <c r="AH52" s="789"/>
      <c r="AI52" s="990">
        <f t="shared" si="10"/>
        <v>0.49</v>
      </c>
      <c r="AJ52" s="521">
        <v>0</v>
      </c>
      <c r="AK52" s="520">
        <f t="shared" ref="AK52:AK60" si="11">AI52+AJ52</f>
        <v>0.49</v>
      </c>
      <c r="AL52" s="672" t="s">
        <v>1572</v>
      </c>
      <c r="AM52" s="669">
        <f t="shared" ref="AM52:AM60" si="12">AL52-AK52</f>
        <v>48.26</v>
      </c>
    </row>
    <row r="53" spans="1:39" s="500" customFormat="1" ht="13.35" customHeight="1">
      <c r="A53" s="539" t="s">
        <v>728</v>
      </c>
      <c r="B53" s="539" t="s">
        <v>1189</v>
      </c>
      <c r="C53" s="616"/>
      <c r="D53" s="519"/>
      <c r="E53" s="520"/>
      <c r="F53" s="726"/>
      <c r="G53" s="520"/>
      <c r="H53" s="520"/>
      <c r="I53" s="521"/>
      <c r="J53" s="521"/>
      <c r="K53" s="521"/>
      <c r="L53" s="514"/>
      <c r="M53" s="726"/>
      <c r="N53" s="514"/>
      <c r="O53" s="514"/>
      <c r="P53" s="514"/>
      <c r="Q53" s="514"/>
      <c r="R53" s="514"/>
      <c r="S53" s="514"/>
      <c r="T53" s="726"/>
      <c r="U53" s="514"/>
      <c r="V53" s="514"/>
      <c r="W53" s="514"/>
      <c r="X53" s="514"/>
      <c r="Y53" s="514"/>
      <c r="Z53" s="514"/>
      <c r="AA53" s="726"/>
      <c r="AB53" s="514"/>
      <c r="AC53" s="514"/>
      <c r="AD53" s="514"/>
      <c r="AE53" s="698"/>
      <c r="AF53" s="514"/>
      <c r="AG53" s="514"/>
      <c r="AH53" s="789"/>
      <c r="AI53" s="946">
        <f t="shared" si="10"/>
        <v>0</v>
      </c>
      <c r="AJ53" s="521">
        <v>0</v>
      </c>
      <c r="AK53" s="520">
        <f t="shared" si="11"/>
        <v>0</v>
      </c>
      <c r="AL53" s="672" t="s">
        <v>1574</v>
      </c>
      <c r="AM53" s="669">
        <f t="shared" si="12"/>
        <v>3.36</v>
      </c>
    </row>
    <row r="54" spans="1:39" s="500" customFormat="1" ht="13.35" customHeight="1">
      <c r="A54" s="539" t="s">
        <v>729</v>
      </c>
      <c r="B54" s="539" t="s">
        <v>1190</v>
      </c>
      <c r="C54" s="548" t="s">
        <v>40</v>
      </c>
      <c r="D54" s="519"/>
      <c r="E54" s="520"/>
      <c r="F54" s="726"/>
      <c r="G54" s="520"/>
      <c r="H54" s="520"/>
      <c r="I54" s="521"/>
      <c r="J54" s="521"/>
      <c r="K54" s="521"/>
      <c r="L54" s="514"/>
      <c r="M54" s="726"/>
      <c r="N54" s="514"/>
      <c r="O54" s="514"/>
      <c r="P54" s="514"/>
      <c r="Q54" s="514"/>
      <c r="R54" s="514"/>
      <c r="S54" s="514"/>
      <c r="T54" s="726"/>
      <c r="U54" s="514"/>
      <c r="V54" s="514"/>
      <c r="W54" s="514"/>
      <c r="X54" s="514"/>
      <c r="Y54" s="514"/>
      <c r="Z54" s="514"/>
      <c r="AA54" s="726"/>
      <c r="AB54" s="514"/>
      <c r="AC54" s="972">
        <v>0.67</v>
      </c>
      <c r="AD54" s="514"/>
      <c r="AE54" s="698"/>
      <c r="AF54" s="514"/>
      <c r="AG54" s="514"/>
      <c r="AH54" s="789"/>
      <c r="AI54" s="990">
        <f t="shared" si="10"/>
        <v>0.67</v>
      </c>
      <c r="AJ54" s="521">
        <v>0</v>
      </c>
      <c r="AK54" s="520">
        <f t="shared" si="11"/>
        <v>0.67</v>
      </c>
      <c r="AL54" s="672" t="s">
        <v>1575</v>
      </c>
      <c r="AM54" s="669">
        <f t="shared" si="12"/>
        <v>37.68</v>
      </c>
    </row>
    <row r="55" spans="1:39" s="500" customFormat="1" ht="13.35" customHeight="1">
      <c r="A55" s="539" t="s">
        <v>730</v>
      </c>
      <c r="B55" s="539" t="s">
        <v>1191</v>
      </c>
      <c r="C55" s="548" t="s">
        <v>37</v>
      </c>
      <c r="D55" s="519"/>
      <c r="E55" s="520"/>
      <c r="F55" s="726"/>
      <c r="G55" s="520"/>
      <c r="H55" s="520"/>
      <c r="I55" s="521"/>
      <c r="J55" s="521"/>
      <c r="K55" s="521"/>
      <c r="L55" s="514"/>
      <c r="M55" s="726"/>
      <c r="N55" s="514"/>
      <c r="O55" s="514"/>
      <c r="P55" s="514"/>
      <c r="Q55" s="514"/>
      <c r="R55" s="514"/>
      <c r="S55" s="514"/>
      <c r="T55" s="726"/>
      <c r="U55" s="514"/>
      <c r="V55" s="514"/>
      <c r="W55" s="514"/>
      <c r="X55" s="514"/>
      <c r="Y55" s="514"/>
      <c r="Z55" s="514"/>
      <c r="AA55" s="726"/>
      <c r="AB55" s="514"/>
      <c r="AC55" s="972">
        <v>3.57</v>
      </c>
      <c r="AD55" s="514"/>
      <c r="AE55" s="698"/>
      <c r="AF55" s="514"/>
      <c r="AG55" s="514"/>
      <c r="AH55" s="789"/>
      <c r="AI55" s="990">
        <f t="shared" si="10"/>
        <v>3.57</v>
      </c>
      <c r="AJ55" s="521">
        <v>0</v>
      </c>
      <c r="AK55" s="520">
        <f t="shared" si="11"/>
        <v>3.57</v>
      </c>
      <c r="AL55" s="672" t="s">
        <v>1576</v>
      </c>
      <c r="AM55" s="669">
        <f t="shared" si="12"/>
        <v>273.39</v>
      </c>
    </row>
    <row r="56" spans="1:39" s="500" customFormat="1" ht="13.35" customHeight="1">
      <c r="A56" s="539" t="s">
        <v>731</v>
      </c>
      <c r="B56" s="539" t="s">
        <v>1192</v>
      </c>
      <c r="C56" s="548" t="s">
        <v>48</v>
      </c>
      <c r="D56" s="519"/>
      <c r="E56" s="520"/>
      <c r="F56" s="726"/>
      <c r="G56" s="520"/>
      <c r="H56" s="520"/>
      <c r="I56" s="521"/>
      <c r="J56" s="521"/>
      <c r="K56" s="521"/>
      <c r="L56" s="514"/>
      <c r="M56" s="726"/>
      <c r="N56" s="514"/>
      <c r="O56" s="514"/>
      <c r="P56" s="514"/>
      <c r="Q56" s="514"/>
      <c r="R56" s="514"/>
      <c r="S56" s="514"/>
      <c r="T56" s="726"/>
      <c r="U56" s="514"/>
      <c r="V56" s="514"/>
      <c r="W56" s="514"/>
      <c r="X56" s="514"/>
      <c r="Y56" s="514"/>
      <c r="Z56" s="514"/>
      <c r="AA56" s="726"/>
      <c r="AB56" s="514"/>
      <c r="AC56" s="972">
        <v>34.93</v>
      </c>
      <c r="AD56" s="514"/>
      <c r="AE56" s="698"/>
      <c r="AF56" s="514"/>
      <c r="AG56" s="514"/>
      <c r="AH56" s="789"/>
      <c r="AI56" s="990">
        <f t="shared" si="10"/>
        <v>34.93</v>
      </c>
      <c r="AJ56" s="521">
        <v>0</v>
      </c>
      <c r="AK56" s="520">
        <f t="shared" si="11"/>
        <v>34.93</v>
      </c>
      <c r="AL56" s="672" t="s">
        <v>1577</v>
      </c>
      <c r="AM56" s="669">
        <f t="shared" si="12"/>
        <v>284.55</v>
      </c>
    </row>
    <row r="57" spans="1:39" s="500" customFormat="1" ht="13.35" customHeight="1">
      <c r="A57" s="440" t="s">
        <v>742</v>
      </c>
      <c r="B57" s="543" t="s">
        <v>1211</v>
      </c>
      <c r="C57" s="616"/>
      <c r="D57" s="519"/>
      <c r="E57" s="520"/>
      <c r="F57" s="726"/>
      <c r="G57" s="520"/>
      <c r="H57" s="520"/>
      <c r="I57" s="521"/>
      <c r="J57" s="521"/>
      <c r="K57" s="521"/>
      <c r="L57" s="514"/>
      <c r="M57" s="726"/>
      <c r="N57" s="514"/>
      <c r="O57" s="514"/>
      <c r="P57" s="514"/>
      <c r="Q57" s="514"/>
      <c r="R57" s="514"/>
      <c r="S57" s="514"/>
      <c r="T57" s="726"/>
      <c r="U57" s="514"/>
      <c r="V57" s="514"/>
      <c r="W57" s="514"/>
      <c r="X57" s="514"/>
      <c r="Y57" s="514"/>
      <c r="Z57" s="514"/>
      <c r="AA57" s="726"/>
      <c r="AB57" s="514"/>
      <c r="AC57" s="514"/>
      <c r="AD57" s="514"/>
      <c r="AE57" s="698"/>
      <c r="AF57" s="514"/>
      <c r="AG57" s="514"/>
      <c r="AH57" s="789"/>
      <c r="AI57" s="946">
        <f t="shared" si="10"/>
        <v>0</v>
      </c>
      <c r="AJ57" s="521">
        <v>0</v>
      </c>
      <c r="AK57" s="520">
        <f t="shared" si="11"/>
        <v>0</v>
      </c>
      <c r="AL57" s="672"/>
      <c r="AM57" s="669">
        <f t="shared" si="12"/>
        <v>0</v>
      </c>
    </row>
    <row r="58" spans="1:39" s="500" customFormat="1" ht="13.35" customHeight="1">
      <c r="A58" s="542" t="s">
        <v>748</v>
      </c>
      <c r="B58" s="542" t="s">
        <v>1169</v>
      </c>
      <c r="C58" s="616"/>
      <c r="D58" s="519"/>
      <c r="E58" s="520"/>
      <c r="F58" s="726"/>
      <c r="G58" s="520"/>
      <c r="H58" s="520"/>
      <c r="I58" s="521"/>
      <c r="J58" s="521"/>
      <c r="K58" s="521"/>
      <c r="L58" s="514"/>
      <c r="M58" s="726"/>
      <c r="N58" s="514"/>
      <c r="O58" s="514"/>
      <c r="P58" s="514"/>
      <c r="Q58" s="514"/>
      <c r="R58" s="514"/>
      <c r="S58" s="514"/>
      <c r="T58" s="726"/>
      <c r="U58" s="514"/>
      <c r="V58" s="514"/>
      <c r="W58" s="514"/>
      <c r="X58" s="514"/>
      <c r="Y58" s="514"/>
      <c r="Z58" s="514"/>
      <c r="AA58" s="726"/>
      <c r="AB58" s="514"/>
      <c r="AC58" s="514"/>
      <c r="AD58" s="514"/>
      <c r="AE58" s="698"/>
      <c r="AF58" s="514"/>
      <c r="AG58" s="514"/>
      <c r="AH58" s="789"/>
      <c r="AI58" s="946">
        <f t="shared" si="10"/>
        <v>0</v>
      </c>
      <c r="AJ58" s="521">
        <v>0</v>
      </c>
      <c r="AK58" s="520">
        <f t="shared" si="11"/>
        <v>0</v>
      </c>
      <c r="AL58" s="695"/>
      <c r="AM58" s="669">
        <f t="shared" si="12"/>
        <v>0</v>
      </c>
    </row>
    <row r="59" spans="1:39" s="500" customFormat="1" ht="13.35" customHeight="1">
      <c r="A59" s="539" t="s">
        <v>749</v>
      </c>
      <c r="B59" s="539" t="s">
        <v>1177</v>
      </c>
      <c r="C59" s="616"/>
      <c r="D59" s="519"/>
      <c r="E59" s="520"/>
      <c r="F59" s="726"/>
      <c r="G59" s="520"/>
      <c r="H59" s="520"/>
      <c r="I59" s="521"/>
      <c r="J59" s="521"/>
      <c r="K59" s="521"/>
      <c r="L59" s="514"/>
      <c r="M59" s="726"/>
      <c r="N59" s="514"/>
      <c r="O59" s="514"/>
      <c r="P59" s="514"/>
      <c r="Q59" s="514"/>
      <c r="R59" s="514"/>
      <c r="S59" s="514"/>
      <c r="T59" s="726"/>
      <c r="U59" s="514"/>
      <c r="V59" s="514"/>
      <c r="W59" s="514"/>
      <c r="X59" s="514"/>
      <c r="Y59" s="514"/>
      <c r="Z59" s="514"/>
      <c r="AA59" s="726"/>
      <c r="AB59" s="514"/>
      <c r="AC59" s="514"/>
      <c r="AD59" s="514"/>
      <c r="AE59" s="698"/>
      <c r="AF59" s="514"/>
      <c r="AG59" s="514"/>
      <c r="AH59" s="789"/>
      <c r="AI59" s="946">
        <f t="shared" si="10"/>
        <v>0</v>
      </c>
      <c r="AJ59" s="521">
        <v>0</v>
      </c>
      <c r="AK59" s="520">
        <f t="shared" si="11"/>
        <v>0</v>
      </c>
      <c r="AL59" s="695" t="s">
        <v>1586</v>
      </c>
      <c r="AM59" s="669">
        <f t="shared" si="12"/>
        <v>4.8899999999999997</v>
      </c>
    </row>
    <row r="60" spans="1:39" s="500" customFormat="1" ht="13.35" customHeight="1" thickBot="1">
      <c r="A60" s="539" t="s">
        <v>752</v>
      </c>
      <c r="B60" s="539" t="s">
        <v>1180</v>
      </c>
      <c r="C60" s="548" t="s">
        <v>48</v>
      </c>
      <c r="D60" s="519"/>
      <c r="E60" s="968">
        <f>2*22.97</f>
        <v>45.94</v>
      </c>
      <c r="F60" s="726"/>
      <c r="G60" s="520"/>
      <c r="H60" s="520"/>
      <c r="I60" s="521"/>
      <c r="J60" s="521"/>
      <c r="K60" s="521"/>
      <c r="L60" s="514"/>
      <c r="M60" s="726"/>
      <c r="N60" s="514"/>
      <c r="O60" s="514"/>
      <c r="P60" s="514"/>
      <c r="Q60" s="514"/>
      <c r="R60" s="514"/>
      <c r="S60" s="514"/>
      <c r="T60" s="726"/>
      <c r="U60" s="522"/>
      <c r="V60" s="522"/>
      <c r="W60" s="522"/>
      <c r="X60" s="522"/>
      <c r="Y60" s="514"/>
      <c r="Z60" s="514"/>
      <c r="AA60" s="726"/>
      <c r="AB60" s="514"/>
      <c r="AC60" s="514"/>
      <c r="AD60" s="514"/>
      <c r="AE60" s="698"/>
      <c r="AF60" s="514"/>
      <c r="AG60" s="514"/>
      <c r="AH60" s="789"/>
      <c r="AI60" s="990">
        <f t="shared" si="10"/>
        <v>45.94</v>
      </c>
      <c r="AJ60" s="521">
        <v>0</v>
      </c>
      <c r="AK60" s="520">
        <f t="shared" si="11"/>
        <v>45.94</v>
      </c>
      <c r="AL60" s="695"/>
      <c r="AM60" s="669">
        <f t="shared" si="12"/>
        <v>-45.94</v>
      </c>
    </row>
    <row r="61" spans="1:39" s="500" customFormat="1" ht="13.35" customHeight="1">
      <c r="A61" s="541" t="s">
        <v>45</v>
      </c>
      <c r="B61" s="541" t="s">
        <v>1234</v>
      </c>
      <c r="C61" s="616"/>
      <c r="D61" s="519"/>
      <c r="E61" s="520"/>
      <c r="F61" s="520"/>
      <c r="G61" s="520"/>
      <c r="H61" s="520"/>
      <c r="I61" s="521"/>
      <c r="J61" s="521"/>
      <c r="K61" s="521"/>
      <c r="L61" s="514"/>
      <c r="M61" s="514"/>
      <c r="N61" s="514"/>
      <c r="O61" s="514"/>
      <c r="P61" s="514"/>
      <c r="Q61" s="514"/>
      <c r="R61" s="514"/>
      <c r="S61" s="514"/>
      <c r="T61" s="514"/>
      <c r="U61" s="514"/>
      <c r="V61" s="514"/>
      <c r="W61" s="514"/>
      <c r="X61" s="514"/>
      <c r="Y61" s="514"/>
      <c r="Z61" s="514"/>
      <c r="AA61" s="514"/>
      <c r="AB61" s="514"/>
      <c r="AC61" s="514"/>
      <c r="AD61" s="514"/>
      <c r="AE61" s="698"/>
      <c r="AF61" s="514"/>
      <c r="AG61" s="514"/>
      <c r="AH61" s="789"/>
      <c r="AI61" s="946">
        <f t="shared" ref="AI61:AI64" si="13">ROUND((SUM(D61:AH61)),2)</f>
        <v>0</v>
      </c>
      <c r="AJ61" s="521">
        <v>0</v>
      </c>
      <c r="AK61" s="520">
        <f t="shared" ref="AK61:AK64" si="14">AI61+AJ61</f>
        <v>0</v>
      </c>
      <c r="AL61" s="695"/>
      <c r="AM61" s="669">
        <f t="shared" ref="AM61:AM64" si="15">AL61-AK61</f>
        <v>0</v>
      </c>
    </row>
    <row r="62" spans="1:39" s="500" customFormat="1" ht="13.35" customHeight="1">
      <c r="A62" s="440" t="s">
        <v>47</v>
      </c>
      <c r="B62" s="543" t="s">
        <v>1235</v>
      </c>
      <c r="C62" s="616"/>
      <c r="D62" s="519"/>
      <c r="E62" s="520"/>
      <c r="F62" s="520"/>
      <c r="G62" s="520"/>
      <c r="H62" s="520"/>
      <c r="I62" s="521"/>
      <c r="J62" s="521"/>
      <c r="K62" s="521"/>
      <c r="L62" s="514"/>
      <c r="M62" s="514"/>
      <c r="N62" s="514"/>
      <c r="O62" s="514"/>
      <c r="P62" s="514"/>
      <c r="Q62" s="514"/>
      <c r="R62" s="514"/>
      <c r="S62" s="514"/>
      <c r="T62" s="514"/>
      <c r="U62" s="514"/>
      <c r="V62" s="514"/>
      <c r="W62" s="514"/>
      <c r="X62" s="514"/>
      <c r="Y62" s="514"/>
      <c r="Z62" s="514"/>
      <c r="AA62" s="514"/>
      <c r="AB62" s="514"/>
      <c r="AC62" s="514"/>
      <c r="AD62" s="514"/>
      <c r="AE62" s="698"/>
      <c r="AF62" s="514"/>
      <c r="AG62" s="514"/>
      <c r="AH62" s="789"/>
      <c r="AI62" s="946">
        <f t="shared" si="13"/>
        <v>0</v>
      </c>
      <c r="AJ62" s="521">
        <v>0</v>
      </c>
      <c r="AK62" s="520">
        <f t="shared" si="14"/>
        <v>0</v>
      </c>
      <c r="AL62" s="695"/>
      <c r="AM62" s="669">
        <f t="shared" si="15"/>
        <v>0</v>
      </c>
    </row>
    <row r="63" spans="1:39" s="500" customFormat="1" ht="13.35" customHeight="1">
      <c r="A63" s="542" t="s">
        <v>51</v>
      </c>
      <c r="B63" s="542" t="s">
        <v>1247</v>
      </c>
      <c r="C63" s="616"/>
      <c r="D63" s="519"/>
      <c r="E63" s="520"/>
      <c r="F63" s="520"/>
      <c r="G63" s="520"/>
      <c r="H63" s="520"/>
      <c r="I63" s="521"/>
      <c r="J63" s="521"/>
      <c r="K63" s="521"/>
      <c r="L63" s="514"/>
      <c r="M63" s="514"/>
      <c r="N63" s="514"/>
      <c r="O63" s="514"/>
      <c r="P63" s="514"/>
      <c r="Q63" s="514"/>
      <c r="R63" s="514"/>
      <c r="S63" s="514"/>
      <c r="T63" s="514"/>
      <c r="U63" s="514"/>
      <c r="V63" s="514"/>
      <c r="W63" s="514"/>
      <c r="X63" s="514"/>
      <c r="Y63" s="514"/>
      <c r="Z63" s="514"/>
      <c r="AA63" s="514"/>
      <c r="AB63" s="514"/>
      <c r="AC63" s="514"/>
      <c r="AD63" s="514"/>
      <c r="AE63" s="698"/>
      <c r="AF63" s="514"/>
      <c r="AG63" s="514"/>
      <c r="AH63" s="789"/>
      <c r="AI63" s="946">
        <f t="shared" si="13"/>
        <v>0</v>
      </c>
      <c r="AJ63" s="521">
        <v>0</v>
      </c>
      <c r="AK63" s="520">
        <f t="shared" si="14"/>
        <v>0</v>
      </c>
      <c r="AL63" s="695" t="s">
        <v>1628</v>
      </c>
      <c r="AM63" s="669">
        <f t="shared" si="15"/>
        <v>90.62</v>
      </c>
    </row>
    <row r="64" spans="1:39" s="500" customFormat="1" ht="13.35" customHeight="1">
      <c r="A64" s="539" t="s">
        <v>810</v>
      </c>
      <c r="B64" s="539" t="s">
        <v>1248</v>
      </c>
      <c r="C64" s="548" t="s">
        <v>37</v>
      </c>
      <c r="D64" s="519"/>
      <c r="E64" s="520"/>
      <c r="F64" s="520"/>
      <c r="G64" s="520"/>
      <c r="H64" s="520"/>
      <c r="I64" s="521"/>
      <c r="J64" s="521"/>
      <c r="K64" s="521"/>
      <c r="L64" s="514"/>
      <c r="M64" s="514"/>
      <c r="N64" s="514"/>
      <c r="O64" s="514"/>
      <c r="P64" s="514"/>
      <c r="Q64" s="514"/>
      <c r="R64" s="514"/>
      <c r="S64" s="514"/>
      <c r="T64" s="514"/>
      <c r="U64" s="514"/>
      <c r="V64" s="976">
        <f>3.4*2.2</f>
        <v>7.48</v>
      </c>
      <c r="W64" s="976">
        <f>2.5*3.7+2.95*3.45</f>
        <v>19.427500000000002</v>
      </c>
      <c r="X64" s="514"/>
      <c r="Y64" s="514"/>
      <c r="Z64" s="514"/>
      <c r="AA64" s="514"/>
      <c r="AB64" s="514"/>
      <c r="AC64" s="514"/>
      <c r="AD64" s="514"/>
      <c r="AE64" s="698"/>
      <c r="AF64" s="514"/>
      <c r="AG64" s="514"/>
      <c r="AH64" s="789"/>
      <c r="AI64" s="990">
        <f t="shared" si="13"/>
        <v>26.91</v>
      </c>
      <c r="AJ64" s="521">
        <v>0</v>
      </c>
      <c r="AK64" s="520">
        <f t="shared" si="14"/>
        <v>26.91</v>
      </c>
      <c r="AL64" s="695"/>
      <c r="AM64" s="669">
        <f t="shared" si="15"/>
        <v>-26.91</v>
      </c>
    </row>
    <row r="65" spans="1:39" s="500" customFormat="1" ht="13.35" customHeight="1">
      <c r="A65" s="440" t="s">
        <v>526</v>
      </c>
      <c r="B65" s="543" t="s">
        <v>1298</v>
      </c>
      <c r="C65" s="616"/>
      <c r="D65" s="519"/>
      <c r="E65" s="520"/>
      <c r="F65" s="520"/>
      <c r="G65" s="520"/>
      <c r="H65" s="520"/>
      <c r="I65" s="521"/>
      <c r="J65" s="521"/>
      <c r="K65" s="521"/>
      <c r="L65" s="514"/>
      <c r="M65" s="514"/>
      <c r="N65" s="514"/>
      <c r="O65" s="514"/>
      <c r="P65" s="514"/>
      <c r="Q65" s="514"/>
      <c r="R65" s="514"/>
      <c r="S65" s="514"/>
      <c r="T65" s="514"/>
      <c r="U65" s="514"/>
      <c r="V65" s="514"/>
      <c r="W65" s="514"/>
      <c r="X65" s="514"/>
      <c r="Y65" s="514"/>
      <c r="Z65" s="514"/>
      <c r="AA65" s="514"/>
      <c r="AB65" s="514"/>
      <c r="AC65" s="514"/>
      <c r="AD65" s="514"/>
      <c r="AE65" s="698"/>
      <c r="AF65" s="514"/>
      <c r="AG65" s="514"/>
      <c r="AH65" s="789"/>
      <c r="AI65" s="946">
        <f t="shared" ref="AI65:AI68" si="16">ROUND((SUM(D65:AH65)),2)</f>
        <v>0</v>
      </c>
      <c r="AJ65" s="521">
        <v>0</v>
      </c>
      <c r="AK65" s="520">
        <f t="shared" ref="AK65:AK68" si="17">AI65+AJ65</f>
        <v>0</v>
      </c>
      <c r="AL65" s="695"/>
      <c r="AM65" s="669">
        <f t="shared" ref="AM65:AM68" si="18">AL65-AK65</f>
        <v>0</v>
      </c>
    </row>
    <row r="66" spans="1:39" s="500" customFormat="1" ht="13.35" customHeight="1">
      <c r="A66" s="542" t="s">
        <v>977</v>
      </c>
      <c r="B66" s="542" t="s">
        <v>1239</v>
      </c>
      <c r="C66" s="616"/>
      <c r="D66" s="519"/>
      <c r="E66" s="520"/>
      <c r="F66" s="520"/>
      <c r="G66" s="520"/>
      <c r="H66" s="520"/>
      <c r="I66" s="521"/>
      <c r="J66" s="521"/>
      <c r="K66" s="521"/>
      <c r="L66" s="514"/>
      <c r="M66" s="514"/>
      <c r="N66" s="514"/>
      <c r="O66" s="514"/>
      <c r="P66" s="514"/>
      <c r="Q66" s="514"/>
      <c r="R66" s="514"/>
      <c r="S66" s="514"/>
      <c r="T66" s="514"/>
      <c r="U66" s="514"/>
      <c r="V66" s="514"/>
      <c r="W66" s="514"/>
      <c r="X66" s="514"/>
      <c r="Y66" s="514"/>
      <c r="Z66" s="514"/>
      <c r="AA66" s="514"/>
      <c r="AB66" s="514"/>
      <c r="AC66" s="514"/>
      <c r="AD66" s="514"/>
      <c r="AE66" s="698"/>
      <c r="AF66" s="514"/>
      <c r="AG66" s="514"/>
      <c r="AH66" s="789"/>
      <c r="AI66" s="946">
        <f t="shared" si="16"/>
        <v>0</v>
      </c>
      <c r="AJ66" s="521">
        <v>0</v>
      </c>
      <c r="AK66" s="520">
        <f t="shared" si="17"/>
        <v>0</v>
      </c>
      <c r="AL66" s="695" t="s">
        <v>1729</v>
      </c>
      <c r="AM66" s="669">
        <f t="shared" si="18"/>
        <v>117.85</v>
      </c>
    </row>
    <row r="67" spans="1:39" s="500" customFormat="1" ht="13.35" customHeight="1">
      <c r="A67" s="539" t="s">
        <v>978</v>
      </c>
      <c r="B67" s="539" t="s">
        <v>1300</v>
      </c>
      <c r="C67" s="548" t="s">
        <v>37</v>
      </c>
      <c r="D67" s="519"/>
      <c r="E67" s="520"/>
      <c r="F67" s="520"/>
      <c r="G67" s="520"/>
      <c r="H67" s="520"/>
      <c r="I67" s="521"/>
      <c r="J67" s="967">
        <f>4.1*2.45+3.8*2.45+2.6*2.45</f>
        <v>25.725000000000001</v>
      </c>
      <c r="K67" s="967">
        <f>3.15*2.6+1.05</f>
        <v>9.24</v>
      </c>
      <c r="L67" s="514"/>
      <c r="M67" s="514"/>
      <c r="N67" s="514"/>
      <c r="O67" s="514"/>
      <c r="P67" s="514"/>
      <c r="Q67" s="514"/>
      <c r="R67" s="514"/>
      <c r="S67" s="514"/>
      <c r="T67" s="514"/>
      <c r="U67" s="514"/>
      <c r="V67" s="514"/>
      <c r="W67" s="514"/>
      <c r="X67" s="514"/>
      <c r="Y67" s="514"/>
      <c r="Z67" s="514"/>
      <c r="AA67" s="514"/>
      <c r="AB67" s="514"/>
      <c r="AC67" s="514"/>
      <c r="AD67" s="514"/>
      <c r="AE67" s="698"/>
      <c r="AF67" s="514"/>
      <c r="AG67" s="514"/>
      <c r="AH67" s="789"/>
      <c r="AI67" s="990">
        <f t="shared" si="16"/>
        <v>34.97</v>
      </c>
      <c r="AJ67" s="521">
        <v>0</v>
      </c>
      <c r="AK67" s="520">
        <f t="shared" si="17"/>
        <v>34.97</v>
      </c>
      <c r="AL67" s="695" t="s">
        <v>1730</v>
      </c>
      <c r="AM67" s="669">
        <f t="shared" si="18"/>
        <v>30.97</v>
      </c>
    </row>
    <row r="68" spans="1:39" s="500" customFormat="1" ht="13.35" customHeight="1" thickBot="1">
      <c r="A68" s="539" t="s">
        <v>980</v>
      </c>
      <c r="B68" s="539" t="s">
        <v>1302</v>
      </c>
      <c r="C68" s="548" t="s">
        <v>37</v>
      </c>
      <c r="D68" s="519"/>
      <c r="E68" s="520"/>
      <c r="F68" s="520"/>
      <c r="G68" s="520"/>
      <c r="H68" s="520"/>
      <c r="I68" s="521"/>
      <c r="J68" s="521"/>
      <c r="K68" s="967">
        <f>3.48*0.79+0.96</f>
        <v>3.7092000000000001</v>
      </c>
      <c r="L68" s="514"/>
      <c r="M68" s="514"/>
      <c r="N68" s="514"/>
      <c r="O68" s="514"/>
      <c r="P68" s="514"/>
      <c r="Q68" s="514"/>
      <c r="R68" s="514"/>
      <c r="S68" s="514"/>
      <c r="T68" s="514"/>
      <c r="U68" s="514"/>
      <c r="V68" s="514"/>
      <c r="W68" s="514"/>
      <c r="X68" s="514"/>
      <c r="Y68" s="514"/>
      <c r="Z68" s="514"/>
      <c r="AA68" s="514"/>
      <c r="AB68" s="514"/>
      <c r="AC68" s="514"/>
      <c r="AD68" s="514"/>
      <c r="AE68" s="698"/>
      <c r="AF68" s="514"/>
      <c r="AG68" s="514"/>
      <c r="AH68" s="789"/>
      <c r="AI68" s="990">
        <f t="shared" si="16"/>
        <v>3.71</v>
      </c>
      <c r="AJ68" s="521">
        <v>0</v>
      </c>
      <c r="AK68" s="520">
        <f t="shared" si="17"/>
        <v>3.71</v>
      </c>
      <c r="AL68" s="695"/>
      <c r="AM68" s="669">
        <f t="shared" si="18"/>
        <v>-3.71</v>
      </c>
    </row>
    <row r="69" spans="1:39" s="978" customFormat="1" ht="13.35" customHeight="1">
      <c r="A69" s="949" t="s">
        <v>511</v>
      </c>
      <c r="B69" s="949" t="s">
        <v>1383</v>
      </c>
      <c r="C69" s="951"/>
      <c r="D69" s="834"/>
      <c r="E69" s="835"/>
      <c r="F69" s="835"/>
      <c r="G69" s="835"/>
      <c r="H69" s="835"/>
      <c r="I69" s="836"/>
      <c r="J69" s="836"/>
      <c r="K69" s="836"/>
      <c r="L69" s="837"/>
      <c r="M69" s="837"/>
      <c r="N69" s="837"/>
      <c r="O69" s="837"/>
      <c r="P69" s="837"/>
      <c r="Q69" s="837"/>
      <c r="R69" s="837"/>
      <c r="S69" s="837"/>
      <c r="T69" s="837"/>
      <c r="U69" s="837"/>
      <c r="V69" s="837"/>
      <c r="W69" s="837"/>
      <c r="X69" s="837"/>
      <c r="Y69" s="837"/>
      <c r="Z69" s="837"/>
      <c r="AA69" s="837"/>
      <c r="AB69" s="837"/>
      <c r="AC69" s="837"/>
      <c r="AD69" s="837"/>
      <c r="AE69" s="838"/>
      <c r="AF69" s="837"/>
      <c r="AG69" s="837"/>
      <c r="AH69" s="839"/>
      <c r="AI69" s="946">
        <f t="shared" ref="AI69:AI121" si="19">ROUND((SUM(D69:AH69)),2)</f>
        <v>0</v>
      </c>
      <c r="AJ69" s="836">
        <v>0</v>
      </c>
      <c r="AK69" s="835">
        <f t="shared" ref="AK69:AK126" si="20">AI69+AJ69</f>
        <v>0</v>
      </c>
      <c r="AL69" s="848"/>
      <c r="AM69" s="842">
        <f t="shared" ref="AM69:AM126" si="21">AL69-AK69</f>
        <v>0</v>
      </c>
    </row>
    <row r="70" spans="1:39" ht="13.35" customHeight="1">
      <c r="A70" s="440" t="s">
        <v>512</v>
      </c>
      <c r="B70" s="543" t="s">
        <v>1384</v>
      </c>
      <c r="C70" s="616"/>
      <c r="D70" s="519"/>
      <c r="E70" s="520"/>
      <c r="F70" s="520"/>
      <c r="G70" s="520"/>
      <c r="H70" s="520"/>
      <c r="I70" s="521"/>
      <c r="J70" s="521"/>
      <c r="K70" s="521"/>
      <c r="L70" s="514"/>
      <c r="M70" s="514"/>
      <c r="N70" s="514"/>
      <c r="O70" s="514"/>
      <c r="P70" s="514"/>
      <c r="Q70" s="514"/>
      <c r="R70" s="514"/>
      <c r="S70" s="514"/>
      <c r="T70" s="514"/>
      <c r="U70" s="514"/>
      <c r="V70" s="514"/>
      <c r="W70" s="514"/>
      <c r="X70" s="514"/>
      <c r="Y70" s="514"/>
      <c r="Z70" s="514"/>
      <c r="AA70" s="514"/>
      <c r="AB70" s="514"/>
      <c r="AC70" s="514"/>
      <c r="AD70" s="514"/>
      <c r="AE70" s="698"/>
      <c r="AF70" s="514"/>
      <c r="AG70" s="514"/>
      <c r="AH70" s="789"/>
      <c r="AI70" s="946">
        <f t="shared" si="19"/>
        <v>0</v>
      </c>
      <c r="AJ70" s="521">
        <v>0</v>
      </c>
      <c r="AK70" s="520">
        <f t="shared" si="20"/>
        <v>0</v>
      </c>
      <c r="AL70" s="695"/>
      <c r="AM70" s="669">
        <f t="shared" si="21"/>
        <v>0</v>
      </c>
    </row>
    <row r="71" spans="1:39" ht="13.35" customHeight="1">
      <c r="A71" s="542" t="s">
        <v>1058</v>
      </c>
      <c r="B71" s="542" t="s">
        <v>1390</v>
      </c>
      <c r="C71" s="616"/>
      <c r="D71" s="519"/>
      <c r="E71" s="520"/>
      <c r="F71" s="520"/>
      <c r="G71" s="520"/>
      <c r="H71" s="520"/>
      <c r="I71" s="521"/>
      <c r="J71" s="521"/>
      <c r="K71" s="521"/>
      <c r="L71" s="514"/>
      <c r="M71" s="514"/>
      <c r="N71" s="514"/>
      <c r="O71" s="514"/>
      <c r="P71" s="514"/>
      <c r="Q71" s="514"/>
      <c r="R71" s="514"/>
      <c r="S71" s="514"/>
      <c r="T71" s="514"/>
      <c r="U71" s="514"/>
      <c r="V71" s="514"/>
      <c r="W71" s="514"/>
      <c r="X71" s="514"/>
      <c r="Y71" s="514"/>
      <c r="Z71" s="514"/>
      <c r="AA71" s="514"/>
      <c r="AB71" s="514"/>
      <c r="AC71" s="514"/>
      <c r="AD71" s="514"/>
      <c r="AE71" s="698"/>
      <c r="AF71" s="514"/>
      <c r="AG71" s="514"/>
      <c r="AH71" s="789"/>
      <c r="AI71" s="946">
        <f t="shared" si="19"/>
        <v>0</v>
      </c>
      <c r="AJ71" s="521">
        <v>0</v>
      </c>
      <c r="AK71" s="520">
        <f t="shared" si="20"/>
        <v>0</v>
      </c>
      <c r="AL71" s="695" t="s">
        <v>1763</v>
      </c>
      <c r="AM71" s="669">
        <f t="shared" si="21"/>
        <v>43</v>
      </c>
    </row>
    <row r="72" spans="1:39" ht="13.35" customHeight="1" thickBot="1">
      <c r="A72" s="539" t="s">
        <v>1059</v>
      </c>
      <c r="B72" s="539" t="s">
        <v>1390</v>
      </c>
      <c r="C72" s="548" t="s">
        <v>1452</v>
      </c>
      <c r="D72" s="519"/>
      <c r="E72" s="520"/>
      <c r="F72" s="520"/>
      <c r="G72" s="520"/>
      <c r="H72" s="520"/>
      <c r="I72" s="521"/>
      <c r="J72" s="521"/>
      <c r="K72" s="521"/>
      <c r="L72" s="514"/>
      <c r="M72" s="514"/>
      <c r="N72" s="514"/>
      <c r="O72" s="514"/>
      <c r="P72" s="514"/>
      <c r="Q72" s="514"/>
      <c r="R72" s="514"/>
      <c r="S72" s="514"/>
      <c r="T72" s="514"/>
      <c r="U72" s="514"/>
      <c r="V72" s="514"/>
      <c r="W72" s="514"/>
      <c r="X72" s="514"/>
      <c r="Y72" s="514"/>
      <c r="Z72" s="514"/>
      <c r="AA72" s="514"/>
      <c r="AB72" s="514"/>
      <c r="AC72" s="972">
        <v>5</v>
      </c>
      <c r="AD72" s="514"/>
      <c r="AE72" s="698"/>
      <c r="AF72" s="514"/>
      <c r="AG72" s="514"/>
      <c r="AH72" s="789"/>
      <c r="AI72" s="990">
        <f t="shared" si="19"/>
        <v>5</v>
      </c>
      <c r="AJ72" s="521">
        <v>0</v>
      </c>
      <c r="AK72" s="520">
        <f t="shared" si="20"/>
        <v>5</v>
      </c>
      <c r="AL72" s="695" t="s">
        <v>1764</v>
      </c>
      <c r="AM72" s="669">
        <f t="shared" si="21"/>
        <v>2</v>
      </c>
    </row>
    <row r="73" spans="1:39" ht="13.35" hidden="1" customHeight="1">
      <c r="A73" s="539" t="s">
        <v>1060</v>
      </c>
      <c r="B73" s="539" t="s">
        <v>1391</v>
      </c>
      <c r="C73" s="548" t="s">
        <v>1452</v>
      </c>
      <c r="D73" s="519"/>
      <c r="E73" s="520"/>
      <c r="F73" s="520"/>
      <c r="G73" s="520"/>
      <c r="H73" s="520"/>
      <c r="I73" s="521"/>
      <c r="J73" s="521"/>
      <c r="K73" s="521"/>
      <c r="L73" s="514"/>
      <c r="M73" s="514"/>
      <c r="N73" s="514"/>
      <c r="O73" s="514"/>
      <c r="P73" s="514"/>
      <c r="Q73" s="514"/>
      <c r="R73" s="514"/>
      <c r="S73" s="514"/>
      <c r="T73" s="514"/>
      <c r="U73" s="514"/>
      <c r="V73" s="514"/>
      <c r="W73" s="514"/>
      <c r="X73" s="514"/>
      <c r="Y73" s="514"/>
      <c r="Z73" s="514"/>
      <c r="AA73" s="514"/>
      <c r="AB73" s="514"/>
      <c r="AC73" s="514"/>
      <c r="AD73" s="514"/>
      <c r="AE73" s="698"/>
      <c r="AF73" s="514"/>
      <c r="AG73" s="514"/>
      <c r="AH73" s="789"/>
      <c r="AI73" s="946">
        <f t="shared" si="19"/>
        <v>0</v>
      </c>
      <c r="AJ73" s="521">
        <v>0</v>
      </c>
      <c r="AK73" s="520">
        <f t="shared" si="20"/>
        <v>0</v>
      </c>
      <c r="AL73" s="695"/>
      <c r="AM73" s="669">
        <f t="shared" si="21"/>
        <v>0</v>
      </c>
    </row>
    <row r="74" spans="1:39" ht="13.35" hidden="1" customHeight="1">
      <c r="A74" s="542" t="s">
        <v>1061</v>
      </c>
      <c r="B74" s="542" t="s">
        <v>1392</v>
      </c>
      <c r="C74" s="616"/>
      <c r="D74" s="519"/>
      <c r="E74" s="520"/>
      <c r="F74" s="520"/>
      <c r="G74" s="520"/>
      <c r="H74" s="520"/>
      <c r="I74" s="521"/>
      <c r="J74" s="521"/>
      <c r="K74" s="521"/>
      <c r="L74" s="514"/>
      <c r="M74" s="514"/>
      <c r="N74" s="514"/>
      <c r="O74" s="514"/>
      <c r="P74" s="514"/>
      <c r="Q74" s="514"/>
      <c r="R74" s="514"/>
      <c r="S74" s="514"/>
      <c r="T74" s="514"/>
      <c r="U74" s="514"/>
      <c r="V74" s="514"/>
      <c r="W74" s="514"/>
      <c r="X74" s="514"/>
      <c r="Y74" s="514"/>
      <c r="Z74" s="514"/>
      <c r="AA74" s="514"/>
      <c r="AB74" s="514"/>
      <c r="AC74" s="514"/>
      <c r="AD74" s="514"/>
      <c r="AE74" s="698"/>
      <c r="AF74" s="514"/>
      <c r="AG74" s="514"/>
      <c r="AH74" s="789"/>
      <c r="AI74" s="946">
        <f t="shared" si="19"/>
        <v>0</v>
      </c>
      <c r="AJ74" s="521">
        <v>0</v>
      </c>
      <c r="AK74" s="520">
        <f t="shared" si="20"/>
        <v>0</v>
      </c>
      <c r="AL74" s="695" t="s">
        <v>1765</v>
      </c>
      <c r="AM74" s="669">
        <f t="shared" si="21"/>
        <v>17</v>
      </c>
    </row>
    <row r="75" spans="1:39" ht="13.35" hidden="1" customHeight="1">
      <c r="A75" s="539" t="s">
        <v>1062</v>
      </c>
      <c r="B75" s="539" t="s">
        <v>1393</v>
      </c>
      <c r="C75" s="548" t="s">
        <v>36</v>
      </c>
      <c r="D75" s="519"/>
      <c r="E75" s="520"/>
      <c r="F75" s="520"/>
      <c r="G75" s="520"/>
      <c r="H75" s="520"/>
      <c r="I75" s="521"/>
      <c r="J75" s="521"/>
      <c r="K75" s="521"/>
      <c r="L75" s="514"/>
      <c r="M75" s="514"/>
      <c r="N75" s="514"/>
      <c r="O75" s="514"/>
      <c r="P75" s="514"/>
      <c r="Q75" s="514"/>
      <c r="R75" s="514"/>
      <c r="S75" s="514"/>
      <c r="T75" s="514"/>
      <c r="U75" s="514"/>
      <c r="V75" s="514"/>
      <c r="W75" s="514"/>
      <c r="X75" s="514"/>
      <c r="Y75" s="514"/>
      <c r="Z75" s="514"/>
      <c r="AA75" s="514"/>
      <c r="AB75" s="514"/>
      <c r="AC75" s="514"/>
      <c r="AD75" s="514"/>
      <c r="AE75" s="698"/>
      <c r="AF75" s="514"/>
      <c r="AG75" s="514"/>
      <c r="AH75" s="789"/>
      <c r="AI75" s="946">
        <f t="shared" si="19"/>
        <v>0</v>
      </c>
      <c r="AJ75" s="521">
        <v>0</v>
      </c>
      <c r="AK75" s="520">
        <f t="shared" si="20"/>
        <v>0</v>
      </c>
      <c r="AL75" s="695" t="s">
        <v>1766</v>
      </c>
      <c r="AM75" s="669">
        <f t="shared" si="21"/>
        <v>23</v>
      </c>
    </row>
    <row r="76" spans="1:39" ht="13.35" hidden="1" customHeight="1">
      <c r="A76" s="539" t="s">
        <v>1063</v>
      </c>
      <c r="B76" s="539" t="s">
        <v>1394</v>
      </c>
      <c r="C76" s="548" t="s">
        <v>36</v>
      </c>
      <c r="D76" s="519"/>
      <c r="E76" s="520"/>
      <c r="F76" s="520"/>
      <c r="G76" s="520"/>
      <c r="H76" s="520"/>
      <c r="I76" s="521"/>
      <c r="J76" s="521"/>
      <c r="K76" s="521"/>
      <c r="L76" s="514"/>
      <c r="M76" s="514"/>
      <c r="N76" s="514"/>
      <c r="O76" s="514"/>
      <c r="P76" s="514"/>
      <c r="Q76" s="514"/>
      <c r="R76" s="514"/>
      <c r="S76" s="514"/>
      <c r="T76" s="514"/>
      <c r="U76" s="514"/>
      <c r="V76" s="514"/>
      <c r="W76" s="514"/>
      <c r="X76" s="514"/>
      <c r="Y76" s="514"/>
      <c r="Z76" s="514"/>
      <c r="AA76" s="514"/>
      <c r="AB76" s="514"/>
      <c r="AC76" s="514"/>
      <c r="AD76" s="514"/>
      <c r="AE76" s="698"/>
      <c r="AF76" s="514"/>
      <c r="AG76" s="514"/>
      <c r="AH76" s="789"/>
      <c r="AI76" s="946">
        <f t="shared" si="19"/>
        <v>0</v>
      </c>
      <c r="AJ76" s="521">
        <v>0</v>
      </c>
      <c r="AK76" s="520">
        <f t="shared" si="20"/>
        <v>0</v>
      </c>
      <c r="AL76" s="695" t="s">
        <v>1698</v>
      </c>
      <c r="AM76" s="669">
        <f t="shared" si="21"/>
        <v>2</v>
      </c>
    </row>
    <row r="77" spans="1:39" ht="13.35" hidden="1" customHeight="1">
      <c r="A77" s="539" t="s">
        <v>1064</v>
      </c>
      <c r="B77" s="539" t="s">
        <v>1395</v>
      </c>
      <c r="C77" s="548" t="s">
        <v>36</v>
      </c>
      <c r="D77" s="519"/>
      <c r="E77" s="520"/>
      <c r="F77" s="520"/>
      <c r="G77" s="520"/>
      <c r="H77" s="520"/>
      <c r="I77" s="521"/>
      <c r="J77" s="521"/>
      <c r="K77" s="521"/>
      <c r="L77" s="514"/>
      <c r="M77" s="514"/>
      <c r="N77" s="514"/>
      <c r="O77" s="514"/>
      <c r="P77" s="514"/>
      <c r="Q77" s="514"/>
      <c r="R77" s="514"/>
      <c r="S77" s="514"/>
      <c r="T77" s="514"/>
      <c r="U77" s="514"/>
      <c r="V77" s="514"/>
      <c r="W77" s="514"/>
      <c r="X77" s="514"/>
      <c r="Y77" s="514"/>
      <c r="Z77" s="514"/>
      <c r="AA77" s="514"/>
      <c r="AB77" s="514"/>
      <c r="AC77" s="514"/>
      <c r="AD77" s="514"/>
      <c r="AE77" s="698"/>
      <c r="AF77" s="514"/>
      <c r="AG77" s="514"/>
      <c r="AH77" s="789"/>
      <c r="AI77" s="946">
        <f t="shared" si="19"/>
        <v>0</v>
      </c>
      <c r="AJ77" s="521">
        <v>0</v>
      </c>
      <c r="AK77" s="520">
        <f t="shared" si="20"/>
        <v>0</v>
      </c>
      <c r="AL77" s="695" t="s">
        <v>1455</v>
      </c>
      <c r="AM77" s="669">
        <f t="shared" si="21"/>
        <v>1</v>
      </c>
    </row>
    <row r="78" spans="1:39" ht="13.35" hidden="1" customHeight="1">
      <c r="A78" s="539" t="s">
        <v>1065</v>
      </c>
      <c r="B78" s="539" t="s">
        <v>1396</v>
      </c>
      <c r="C78" s="548" t="s">
        <v>36</v>
      </c>
      <c r="D78" s="519"/>
      <c r="E78" s="520"/>
      <c r="F78" s="520"/>
      <c r="G78" s="520"/>
      <c r="H78" s="520"/>
      <c r="I78" s="521"/>
      <c r="J78" s="521"/>
      <c r="K78" s="521"/>
      <c r="L78" s="514"/>
      <c r="M78" s="514"/>
      <c r="N78" s="514"/>
      <c r="O78" s="514"/>
      <c r="P78" s="514"/>
      <c r="Q78" s="514"/>
      <c r="R78" s="514"/>
      <c r="S78" s="514"/>
      <c r="T78" s="514"/>
      <c r="U78" s="514"/>
      <c r="V78" s="514"/>
      <c r="W78" s="514"/>
      <c r="X78" s="514"/>
      <c r="Y78" s="514"/>
      <c r="Z78" s="514"/>
      <c r="AA78" s="514"/>
      <c r="AB78" s="514"/>
      <c r="AC78" s="514"/>
      <c r="AD78" s="514"/>
      <c r="AE78" s="698"/>
      <c r="AF78" s="514"/>
      <c r="AG78" s="514"/>
      <c r="AH78" s="789"/>
      <c r="AI78" s="946">
        <f t="shared" si="19"/>
        <v>0</v>
      </c>
      <c r="AJ78" s="521">
        <v>0</v>
      </c>
      <c r="AK78" s="520">
        <f t="shared" si="20"/>
        <v>0</v>
      </c>
      <c r="AL78" s="695" t="s">
        <v>1764</v>
      </c>
      <c r="AM78" s="669">
        <f t="shared" si="21"/>
        <v>7</v>
      </c>
    </row>
    <row r="79" spans="1:39" ht="13.35" hidden="1" customHeight="1">
      <c r="A79" s="539" t="s">
        <v>1066</v>
      </c>
      <c r="B79" s="539" t="s">
        <v>1397</v>
      </c>
      <c r="C79" s="548" t="s">
        <v>36</v>
      </c>
      <c r="D79" s="519"/>
      <c r="E79" s="520"/>
      <c r="F79" s="520"/>
      <c r="G79" s="520"/>
      <c r="H79" s="520"/>
      <c r="I79" s="521"/>
      <c r="J79" s="521"/>
      <c r="K79" s="521"/>
      <c r="L79" s="514"/>
      <c r="M79" s="514"/>
      <c r="N79" s="514"/>
      <c r="O79" s="514"/>
      <c r="P79" s="514"/>
      <c r="Q79" s="514"/>
      <c r="R79" s="514"/>
      <c r="S79" s="514"/>
      <c r="T79" s="514"/>
      <c r="U79" s="514"/>
      <c r="V79" s="514"/>
      <c r="W79" s="514"/>
      <c r="X79" s="514"/>
      <c r="Y79" s="514"/>
      <c r="Z79" s="514"/>
      <c r="AA79" s="514"/>
      <c r="AB79" s="514"/>
      <c r="AC79" s="514"/>
      <c r="AD79" s="514"/>
      <c r="AE79" s="698"/>
      <c r="AF79" s="514"/>
      <c r="AG79" s="514"/>
      <c r="AH79" s="789"/>
      <c r="AI79" s="946">
        <f t="shared" si="19"/>
        <v>0</v>
      </c>
      <c r="AJ79" s="521">
        <v>0</v>
      </c>
      <c r="AK79" s="520">
        <f t="shared" si="20"/>
        <v>0</v>
      </c>
      <c r="AL79" s="695"/>
      <c r="AM79" s="669">
        <f t="shared" si="21"/>
        <v>0</v>
      </c>
    </row>
    <row r="80" spans="1:39" ht="13.35" hidden="1" customHeight="1">
      <c r="A80" s="542" t="s">
        <v>1067</v>
      </c>
      <c r="B80" s="542" t="s">
        <v>1398</v>
      </c>
      <c r="C80" s="616"/>
      <c r="D80" s="519"/>
      <c r="E80" s="520"/>
      <c r="F80" s="520"/>
      <c r="G80" s="520"/>
      <c r="H80" s="520"/>
      <c r="I80" s="521"/>
      <c r="J80" s="521"/>
      <c r="K80" s="521"/>
      <c r="L80" s="514"/>
      <c r="M80" s="514"/>
      <c r="N80" s="514"/>
      <c r="O80" s="514"/>
      <c r="P80" s="514"/>
      <c r="Q80" s="514"/>
      <c r="R80" s="514"/>
      <c r="S80" s="514"/>
      <c r="T80" s="514"/>
      <c r="U80" s="514"/>
      <c r="V80" s="514"/>
      <c r="W80" s="514"/>
      <c r="X80" s="514"/>
      <c r="Y80" s="514"/>
      <c r="Z80" s="514"/>
      <c r="AA80" s="514"/>
      <c r="AB80" s="514"/>
      <c r="AC80" s="514"/>
      <c r="AD80" s="514"/>
      <c r="AE80" s="698"/>
      <c r="AF80" s="514"/>
      <c r="AG80" s="514"/>
      <c r="AH80" s="789"/>
      <c r="AI80" s="946">
        <f t="shared" si="19"/>
        <v>0</v>
      </c>
      <c r="AJ80" s="521">
        <v>0</v>
      </c>
      <c r="AK80" s="520">
        <f t="shared" si="20"/>
        <v>0</v>
      </c>
      <c r="AL80" s="695" t="s">
        <v>1489</v>
      </c>
      <c r="AM80" s="669">
        <f t="shared" si="21"/>
        <v>16</v>
      </c>
    </row>
    <row r="81" spans="1:39" ht="13.35" hidden="1" customHeight="1">
      <c r="A81" s="539" t="s">
        <v>1068</v>
      </c>
      <c r="B81" s="539" t="s">
        <v>1399</v>
      </c>
      <c r="C81" s="548" t="s">
        <v>1452</v>
      </c>
      <c r="D81" s="519"/>
      <c r="E81" s="520"/>
      <c r="F81" s="520"/>
      <c r="G81" s="520"/>
      <c r="H81" s="520"/>
      <c r="I81" s="521"/>
      <c r="J81" s="521"/>
      <c r="K81" s="521"/>
      <c r="L81" s="514"/>
      <c r="M81" s="514"/>
      <c r="N81" s="514"/>
      <c r="O81" s="514"/>
      <c r="P81" s="514"/>
      <c r="Q81" s="514"/>
      <c r="R81" s="514"/>
      <c r="S81" s="514"/>
      <c r="T81" s="514"/>
      <c r="U81" s="514"/>
      <c r="V81" s="514"/>
      <c r="W81" s="514"/>
      <c r="X81" s="514"/>
      <c r="Y81" s="514"/>
      <c r="Z81" s="514"/>
      <c r="AA81" s="514"/>
      <c r="AB81" s="514"/>
      <c r="AC81" s="514"/>
      <c r="AD81" s="514"/>
      <c r="AE81" s="698"/>
      <c r="AF81" s="514"/>
      <c r="AG81" s="514"/>
      <c r="AH81" s="789"/>
      <c r="AI81" s="946">
        <f t="shared" si="19"/>
        <v>0</v>
      </c>
      <c r="AJ81" s="521">
        <v>0</v>
      </c>
      <c r="AK81" s="520">
        <f t="shared" si="20"/>
        <v>0</v>
      </c>
      <c r="AL81" s="695" t="s">
        <v>1698</v>
      </c>
      <c r="AM81" s="669">
        <f t="shared" si="21"/>
        <v>2</v>
      </c>
    </row>
    <row r="82" spans="1:39" ht="13.35" hidden="1" customHeight="1">
      <c r="A82" s="539" t="s">
        <v>1069</v>
      </c>
      <c r="B82" s="539" t="s">
        <v>1400</v>
      </c>
      <c r="C82" s="548" t="s">
        <v>1452</v>
      </c>
      <c r="D82" s="519"/>
      <c r="E82" s="520"/>
      <c r="F82" s="520"/>
      <c r="G82" s="520"/>
      <c r="H82" s="520"/>
      <c r="I82" s="521"/>
      <c r="J82" s="521"/>
      <c r="K82" s="521"/>
      <c r="L82" s="514"/>
      <c r="M82" s="514"/>
      <c r="N82" s="514"/>
      <c r="O82" s="514"/>
      <c r="P82" s="514"/>
      <c r="Q82" s="514"/>
      <c r="R82" s="514"/>
      <c r="S82" s="514"/>
      <c r="T82" s="514"/>
      <c r="U82" s="514"/>
      <c r="V82" s="514"/>
      <c r="W82" s="514"/>
      <c r="X82" s="514"/>
      <c r="Y82" s="514"/>
      <c r="Z82" s="514"/>
      <c r="AA82" s="514"/>
      <c r="AB82" s="514"/>
      <c r="AC82" s="514"/>
      <c r="AD82" s="514"/>
      <c r="AE82" s="698"/>
      <c r="AF82" s="514"/>
      <c r="AG82" s="514"/>
      <c r="AH82" s="789"/>
      <c r="AI82" s="946">
        <f t="shared" si="19"/>
        <v>0</v>
      </c>
      <c r="AJ82" s="521">
        <v>0</v>
      </c>
      <c r="AK82" s="520">
        <f t="shared" si="20"/>
        <v>0</v>
      </c>
      <c r="AL82" s="695" t="s">
        <v>1698</v>
      </c>
      <c r="AM82" s="669">
        <f t="shared" si="21"/>
        <v>2</v>
      </c>
    </row>
    <row r="83" spans="1:39" ht="13.35" hidden="1" customHeight="1">
      <c r="A83" s="539" t="s">
        <v>1070</v>
      </c>
      <c r="B83" s="539" t="s">
        <v>1401</v>
      </c>
      <c r="C83" s="548" t="s">
        <v>1452</v>
      </c>
      <c r="D83" s="519"/>
      <c r="E83" s="520"/>
      <c r="F83" s="520"/>
      <c r="G83" s="520"/>
      <c r="H83" s="520"/>
      <c r="I83" s="521"/>
      <c r="J83" s="521"/>
      <c r="K83" s="521"/>
      <c r="L83" s="514"/>
      <c r="M83" s="514"/>
      <c r="N83" s="514"/>
      <c r="O83" s="514"/>
      <c r="P83" s="514"/>
      <c r="Q83" s="514"/>
      <c r="R83" s="514"/>
      <c r="S83" s="514"/>
      <c r="T83" s="514"/>
      <c r="U83" s="514"/>
      <c r="V83" s="514"/>
      <c r="W83" s="514"/>
      <c r="X83" s="514"/>
      <c r="Y83" s="514"/>
      <c r="Z83" s="514"/>
      <c r="AA83" s="514"/>
      <c r="AB83" s="514"/>
      <c r="AC83" s="514"/>
      <c r="AD83" s="514"/>
      <c r="AE83" s="698"/>
      <c r="AF83" s="514"/>
      <c r="AG83" s="514"/>
      <c r="AH83" s="789"/>
      <c r="AI83" s="946">
        <f t="shared" si="19"/>
        <v>0</v>
      </c>
      <c r="AJ83" s="521">
        <v>0</v>
      </c>
      <c r="AK83" s="520">
        <f t="shared" si="20"/>
        <v>0</v>
      </c>
      <c r="AL83" s="695"/>
      <c r="AM83" s="669">
        <f t="shared" si="21"/>
        <v>0</v>
      </c>
    </row>
    <row r="84" spans="1:39" ht="13.35" hidden="1" customHeight="1">
      <c r="A84" s="542" t="s">
        <v>1071</v>
      </c>
      <c r="B84" s="542" t="s">
        <v>1402</v>
      </c>
      <c r="C84" s="616"/>
      <c r="D84" s="519"/>
      <c r="E84" s="520"/>
      <c r="F84" s="520"/>
      <c r="G84" s="520"/>
      <c r="H84" s="520"/>
      <c r="I84" s="521"/>
      <c r="J84" s="521"/>
      <c r="K84" s="521"/>
      <c r="L84" s="514"/>
      <c r="M84" s="514"/>
      <c r="N84" s="514"/>
      <c r="O84" s="514"/>
      <c r="P84" s="514"/>
      <c r="Q84" s="514"/>
      <c r="R84" s="514"/>
      <c r="S84" s="514"/>
      <c r="T84" s="514"/>
      <c r="U84" s="514"/>
      <c r="V84" s="514"/>
      <c r="W84" s="514"/>
      <c r="X84" s="514"/>
      <c r="Y84" s="514"/>
      <c r="Z84" s="514"/>
      <c r="AA84" s="514"/>
      <c r="AB84" s="514"/>
      <c r="AC84" s="514"/>
      <c r="AD84" s="514"/>
      <c r="AE84" s="698"/>
      <c r="AF84" s="514"/>
      <c r="AG84" s="514"/>
      <c r="AH84" s="789"/>
      <c r="AI84" s="946">
        <f t="shared" si="19"/>
        <v>0</v>
      </c>
      <c r="AJ84" s="521">
        <v>0</v>
      </c>
      <c r="AK84" s="520">
        <f t="shared" si="20"/>
        <v>0</v>
      </c>
      <c r="AL84" s="695" t="s">
        <v>1767</v>
      </c>
      <c r="AM84" s="669">
        <f t="shared" si="21"/>
        <v>14</v>
      </c>
    </row>
    <row r="85" spans="1:39" ht="13.35" hidden="1" customHeight="1">
      <c r="A85" s="539" t="s">
        <v>1072</v>
      </c>
      <c r="B85" s="539" t="s">
        <v>1403</v>
      </c>
      <c r="C85" s="548" t="s">
        <v>1452</v>
      </c>
      <c r="D85" s="519"/>
      <c r="E85" s="520"/>
      <c r="F85" s="520"/>
      <c r="G85" s="520"/>
      <c r="H85" s="520"/>
      <c r="I85" s="521"/>
      <c r="J85" s="521"/>
      <c r="K85" s="521"/>
      <c r="L85" s="514"/>
      <c r="M85" s="514"/>
      <c r="N85" s="514"/>
      <c r="O85" s="514"/>
      <c r="P85" s="514"/>
      <c r="Q85" s="514"/>
      <c r="R85" s="514"/>
      <c r="S85" s="514"/>
      <c r="T85" s="514"/>
      <c r="U85" s="514"/>
      <c r="V85" s="514"/>
      <c r="W85" s="514"/>
      <c r="X85" s="514"/>
      <c r="Y85" s="514"/>
      <c r="Z85" s="514"/>
      <c r="AA85" s="514"/>
      <c r="AB85" s="514"/>
      <c r="AC85" s="514"/>
      <c r="AD85" s="514"/>
      <c r="AE85" s="698"/>
      <c r="AF85" s="514"/>
      <c r="AG85" s="514"/>
      <c r="AH85" s="789"/>
      <c r="AI85" s="946">
        <f t="shared" si="19"/>
        <v>0</v>
      </c>
      <c r="AJ85" s="521">
        <v>0</v>
      </c>
      <c r="AK85" s="520">
        <f t="shared" si="20"/>
        <v>0</v>
      </c>
      <c r="AL85" s="695" t="s">
        <v>1455</v>
      </c>
      <c r="AM85" s="669">
        <f t="shared" si="21"/>
        <v>1</v>
      </c>
    </row>
    <row r="86" spans="1:39" ht="13.35" hidden="1" customHeight="1">
      <c r="A86" s="539" t="s">
        <v>1073</v>
      </c>
      <c r="B86" s="539" t="s">
        <v>1404</v>
      </c>
      <c r="C86" s="548" t="s">
        <v>1452</v>
      </c>
      <c r="D86" s="519"/>
      <c r="E86" s="520"/>
      <c r="F86" s="520"/>
      <c r="G86" s="520"/>
      <c r="H86" s="520"/>
      <c r="I86" s="521"/>
      <c r="J86" s="521"/>
      <c r="K86" s="521"/>
      <c r="L86" s="514"/>
      <c r="M86" s="514"/>
      <c r="N86" s="514"/>
      <c r="O86" s="514"/>
      <c r="P86" s="514"/>
      <c r="Q86" s="514"/>
      <c r="R86" s="514"/>
      <c r="S86" s="514"/>
      <c r="T86" s="514"/>
      <c r="U86" s="514"/>
      <c r="V86" s="514"/>
      <c r="W86" s="514"/>
      <c r="X86" s="514"/>
      <c r="Y86" s="514"/>
      <c r="Z86" s="514"/>
      <c r="AA86" s="514"/>
      <c r="AB86" s="514"/>
      <c r="AC86" s="514"/>
      <c r="AD86" s="514"/>
      <c r="AE86" s="698"/>
      <c r="AF86" s="514"/>
      <c r="AG86" s="527"/>
      <c r="AH86" s="527"/>
      <c r="AI86" s="946">
        <f t="shared" si="19"/>
        <v>0</v>
      </c>
      <c r="AJ86" s="521">
        <v>0</v>
      </c>
      <c r="AK86" s="520">
        <f t="shared" si="20"/>
        <v>0</v>
      </c>
      <c r="AL86" s="695" t="s">
        <v>1618</v>
      </c>
      <c r="AM86" s="669">
        <f t="shared" si="21"/>
        <v>3</v>
      </c>
    </row>
    <row r="87" spans="1:39" ht="13.35" hidden="1" customHeight="1">
      <c r="A87" s="539" t="s">
        <v>1074</v>
      </c>
      <c r="B87" s="539" t="s">
        <v>1405</v>
      </c>
      <c r="C87" s="548" t="s">
        <v>1452</v>
      </c>
      <c r="D87" s="519"/>
      <c r="E87" s="520"/>
      <c r="F87" s="520"/>
      <c r="G87" s="520"/>
      <c r="H87" s="520"/>
      <c r="I87" s="521"/>
      <c r="J87" s="521"/>
      <c r="K87" s="521"/>
      <c r="L87" s="514"/>
      <c r="M87" s="514"/>
      <c r="N87" s="514"/>
      <c r="O87" s="514"/>
      <c r="P87" s="514"/>
      <c r="Q87" s="514"/>
      <c r="R87" s="514"/>
      <c r="S87" s="514"/>
      <c r="T87" s="514"/>
      <c r="U87" s="514"/>
      <c r="V87" s="514"/>
      <c r="W87" s="514"/>
      <c r="X87" s="514"/>
      <c r="Y87" s="514"/>
      <c r="Z87" s="514"/>
      <c r="AA87" s="514"/>
      <c r="AB87" s="514"/>
      <c r="AC87" s="514"/>
      <c r="AD87" s="514"/>
      <c r="AE87" s="698"/>
      <c r="AF87" s="514"/>
      <c r="AG87" s="527"/>
      <c r="AH87" s="527"/>
      <c r="AI87" s="946">
        <f t="shared" si="19"/>
        <v>0</v>
      </c>
      <c r="AJ87" s="521">
        <v>0</v>
      </c>
      <c r="AK87" s="520">
        <f t="shared" si="20"/>
        <v>0</v>
      </c>
      <c r="AL87" s="695" t="s">
        <v>1641</v>
      </c>
      <c r="AM87" s="669">
        <f t="shared" si="21"/>
        <v>9</v>
      </c>
    </row>
    <row r="88" spans="1:39" ht="13.35" hidden="1" customHeight="1">
      <c r="A88" s="539" t="s">
        <v>1075</v>
      </c>
      <c r="B88" s="539" t="s">
        <v>1406</v>
      </c>
      <c r="C88" s="548" t="s">
        <v>1452</v>
      </c>
      <c r="D88" s="519"/>
      <c r="E88" s="520"/>
      <c r="F88" s="520"/>
      <c r="G88" s="520"/>
      <c r="H88" s="520"/>
      <c r="I88" s="521"/>
      <c r="J88" s="521"/>
      <c r="K88" s="521"/>
      <c r="L88" s="514"/>
      <c r="M88" s="514"/>
      <c r="N88" s="514"/>
      <c r="O88" s="514"/>
      <c r="P88" s="514"/>
      <c r="Q88" s="514"/>
      <c r="R88" s="514"/>
      <c r="S88" s="514"/>
      <c r="T88" s="514"/>
      <c r="U88" s="514"/>
      <c r="V88" s="514"/>
      <c r="W88" s="514"/>
      <c r="X88" s="514"/>
      <c r="Y88" s="514"/>
      <c r="Z88" s="514"/>
      <c r="AA88" s="514"/>
      <c r="AB88" s="514"/>
      <c r="AC88" s="514"/>
      <c r="AD88" s="514"/>
      <c r="AE88" s="698"/>
      <c r="AF88" s="514"/>
      <c r="AG88" s="527"/>
      <c r="AH88" s="527"/>
      <c r="AI88" s="946">
        <f t="shared" si="19"/>
        <v>0</v>
      </c>
      <c r="AJ88" s="521">
        <v>0</v>
      </c>
      <c r="AK88" s="520">
        <f t="shared" si="20"/>
        <v>0</v>
      </c>
      <c r="AL88" s="695" t="s">
        <v>1455</v>
      </c>
      <c r="AM88" s="669">
        <f t="shared" si="21"/>
        <v>1</v>
      </c>
    </row>
    <row r="89" spans="1:39" ht="13.35" hidden="1" customHeight="1">
      <c r="A89" s="539" t="s">
        <v>1076</v>
      </c>
      <c r="B89" s="539" t="s">
        <v>1407</v>
      </c>
      <c r="C89" s="548" t="s">
        <v>1452</v>
      </c>
      <c r="D89" s="519"/>
      <c r="E89" s="520"/>
      <c r="F89" s="520"/>
      <c r="G89" s="520"/>
      <c r="H89" s="520"/>
      <c r="I89" s="521"/>
      <c r="J89" s="521"/>
      <c r="K89" s="521"/>
      <c r="L89" s="514"/>
      <c r="M89" s="514"/>
      <c r="N89" s="514"/>
      <c r="O89" s="514"/>
      <c r="P89" s="514"/>
      <c r="Q89" s="514"/>
      <c r="R89" s="514"/>
      <c r="S89" s="514"/>
      <c r="T89" s="514"/>
      <c r="U89" s="514"/>
      <c r="V89" s="514"/>
      <c r="W89" s="514"/>
      <c r="X89" s="514"/>
      <c r="Y89" s="514"/>
      <c r="Z89" s="514"/>
      <c r="AA89" s="514"/>
      <c r="AB89" s="514"/>
      <c r="AC89" s="514"/>
      <c r="AD89" s="514"/>
      <c r="AE89" s="698"/>
      <c r="AF89" s="514"/>
      <c r="AG89" s="527"/>
      <c r="AH89" s="527"/>
      <c r="AI89" s="946">
        <f t="shared" si="19"/>
        <v>0</v>
      </c>
      <c r="AJ89" s="521">
        <v>0</v>
      </c>
      <c r="AK89" s="520">
        <f t="shared" si="20"/>
        <v>0</v>
      </c>
      <c r="AL89" s="695"/>
      <c r="AM89" s="669">
        <f t="shared" si="21"/>
        <v>0</v>
      </c>
    </row>
    <row r="90" spans="1:39" ht="13.35" hidden="1" customHeight="1">
      <c r="A90" s="542" t="s">
        <v>1077</v>
      </c>
      <c r="B90" s="542" t="s">
        <v>1408</v>
      </c>
      <c r="C90" s="616"/>
      <c r="D90" s="519"/>
      <c r="E90" s="520"/>
      <c r="F90" s="520"/>
      <c r="G90" s="520"/>
      <c r="H90" s="520"/>
      <c r="I90" s="521"/>
      <c r="J90" s="521"/>
      <c r="K90" s="521"/>
      <c r="L90" s="514"/>
      <c r="M90" s="514"/>
      <c r="N90" s="514"/>
      <c r="O90" s="514"/>
      <c r="P90" s="514"/>
      <c r="Q90" s="514"/>
      <c r="R90" s="514"/>
      <c r="S90" s="514"/>
      <c r="T90" s="514"/>
      <c r="U90" s="514"/>
      <c r="V90" s="514"/>
      <c r="W90" s="514"/>
      <c r="X90" s="514"/>
      <c r="Y90" s="514"/>
      <c r="Z90" s="514"/>
      <c r="AA90" s="514"/>
      <c r="AB90" s="514"/>
      <c r="AC90" s="514"/>
      <c r="AD90" s="514"/>
      <c r="AE90" s="698"/>
      <c r="AF90" s="514"/>
      <c r="AG90" s="527"/>
      <c r="AH90" s="527"/>
      <c r="AI90" s="946">
        <f t="shared" si="19"/>
        <v>0</v>
      </c>
      <c r="AJ90" s="521">
        <v>0</v>
      </c>
      <c r="AK90" s="520">
        <f t="shared" si="20"/>
        <v>0</v>
      </c>
      <c r="AL90" s="695" t="s">
        <v>1455</v>
      </c>
      <c r="AM90" s="669">
        <f t="shared" si="21"/>
        <v>1</v>
      </c>
    </row>
    <row r="91" spans="1:39" ht="13.35" hidden="1" customHeight="1">
      <c r="A91" s="539" t="s">
        <v>1078</v>
      </c>
      <c r="B91" s="539" t="s">
        <v>1409</v>
      </c>
      <c r="C91" s="548" t="s">
        <v>1452</v>
      </c>
      <c r="D91" s="519"/>
      <c r="E91" s="520"/>
      <c r="F91" s="520"/>
      <c r="G91" s="520"/>
      <c r="H91" s="520"/>
      <c r="I91" s="521"/>
      <c r="J91" s="521"/>
      <c r="K91" s="521"/>
      <c r="L91" s="514"/>
      <c r="M91" s="514"/>
      <c r="N91" s="514"/>
      <c r="O91" s="514"/>
      <c r="P91" s="514"/>
      <c r="Q91" s="514"/>
      <c r="R91" s="514"/>
      <c r="S91" s="514"/>
      <c r="T91" s="514"/>
      <c r="U91" s="514"/>
      <c r="V91" s="514"/>
      <c r="W91" s="514"/>
      <c r="X91" s="514"/>
      <c r="Y91" s="514"/>
      <c r="Z91" s="514"/>
      <c r="AA91" s="514"/>
      <c r="AB91" s="514"/>
      <c r="AC91" s="514"/>
      <c r="AD91" s="514"/>
      <c r="AE91" s="698"/>
      <c r="AF91" s="514"/>
      <c r="AG91" s="527"/>
      <c r="AH91" s="527"/>
      <c r="AI91" s="946">
        <f t="shared" si="19"/>
        <v>0</v>
      </c>
      <c r="AJ91" s="521">
        <v>0</v>
      </c>
      <c r="AK91" s="520">
        <f t="shared" si="20"/>
        <v>0</v>
      </c>
      <c r="AL91" s="695" t="s">
        <v>1455</v>
      </c>
      <c r="AM91" s="669">
        <f t="shared" si="21"/>
        <v>1</v>
      </c>
    </row>
    <row r="92" spans="1:39" ht="13.35" hidden="1" customHeight="1">
      <c r="A92" s="539" t="s">
        <v>1079</v>
      </c>
      <c r="B92" s="539" t="s">
        <v>1410</v>
      </c>
      <c r="C92" s="548" t="s">
        <v>1452</v>
      </c>
      <c r="D92" s="519"/>
      <c r="E92" s="520"/>
      <c r="F92" s="520"/>
      <c r="G92" s="520"/>
      <c r="H92" s="520"/>
      <c r="I92" s="521"/>
      <c r="J92" s="521"/>
      <c r="K92" s="521"/>
      <c r="L92" s="514"/>
      <c r="M92" s="514"/>
      <c r="N92" s="514"/>
      <c r="O92" s="514"/>
      <c r="P92" s="514"/>
      <c r="Q92" s="514"/>
      <c r="R92" s="514"/>
      <c r="S92" s="514"/>
      <c r="T92" s="514"/>
      <c r="U92" s="514"/>
      <c r="V92" s="514"/>
      <c r="W92" s="514"/>
      <c r="X92" s="514"/>
      <c r="Y92" s="514"/>
      <c r="Z92" s="514"/>
      <c r="AA92" s="514"/>
      <c r="AB92" s="514"/>
      <c r="AC92" s="514"/>
      <c r="AD92" s="514"/>
      <c r="AE92" s="698"/>
      <c r="AF92" s="514"/>
      <c r="AG92" s="527"/>
      <c r="AH92" s="527"/>
      <c r="AI92" s="946">
        <f t="shared" si="19"/>
        <v>0</v>
      </c>
      <c r="AJ92" s="521">
        <v>0</v>
      </c>
      <c r="AK92" s="520">
        <f t="shared" si="20"/>
        <v>0</v>
      </c>
      <c r="AL92" s="695" t="s">
        <v>1726</v>
      </c>
      <c r="AM92" s="669">
        <f t="shared" si="21"/>
        <v>11</v>
      </c>
    </row>
    <row r="93" spans="1:39" ht="13.35" hidden="1" customHeight="1">
      <c r="A93" s="539" t="s">
        <v>1080</v>
      </c>
      <c r="B93" s="539" t="s">
        <v>1411</v>
      </c>
      <c r="C93" s="548" t="s">
        <v>1452</v>
      </c>
      <c r="D93" s="519"/>
      <c r="E93" s="520"/>
      <c r="F93" s="520"/>
      <c r="G93" s="520"/>
      <c r="H93" s="520"/>
      <c r="I93" s="521"/>
      <c r="J93" s="521"/>
      <c r="K93" s="521"/>
      <c r="L93" s="514"/>
      <c r="M93" s="514"/>
      <c r="N93" s="514"/>
      <c r="O93" s="514"/>
      <c r="P93" s="514"/>
      <c r="Q93" s="514"/>
      <c r="R93" s="514"/>
      <c r="S93" s="514"/>
      <c r="T93" s="514"/>
      <c r="U93" s="514"/>
      <c r="V93" s="514"/>
      <c r="W93" s="514"/>
      <c r="X93" s="514"/>
      <c r="Y93" s="514"/>
      <c r="Z93" s="514"/>
      <c r="AA93" s="514"/>
      <c r="AB93" s="514"/>
      <c r="AC93" s="514"/>
      <c r="AD93" s="514"/>
      <c r="AE93" s="698"/>
      <c r="AF93" s="514"/>
      <c r="AG93" s="527"/>
      <c r="AH93" s="527"/>
      <c r="AI93" s="946">
        <f t="shared" si="19"/>
        <v>0</v>
      </c>
      <c r="AJ93" s="521">
        <v>0</v>
      </c>
      <c r="AK93" s="520">
        <f t="shared" si="20"/>
        <v>0</v>
      </c>
      <c r="AL93" s="695" t="s">
        <v>1698</v>
      </c>
      <c r="AM93" s="669">
        <f t="shared" si="21"/>
        <v>2</v>
      </c>
    </row>
    <row r="94" spans="1:39" ht="13.35" hidden="1" customHeight="1">
      <c r="A94" s="539" t="s">
        <v>1081</v>
      </c>
      <c r="B94" s="539" t="s">
        <v>1412</v>
      </c>
      <c r="C94" s="548" t="s">
        <v>1452</v>
      </c>
      <c r="D94" s="519"/>
      <c r="E94" s="520"/>
      <c r="F94" s="520"/>
      <c r="G94" s="520"/>
      <c r="H94" s="520"/>
      <c r="I94" s="521"/>
      <c r="J94" s="521"/>
      <c r="K94" s="521"/>
      <c r="L94" s="514"/>
      <c r="M94" s="514"/>
      <c r="N94" s="514"/>
      <c r="O94" s="514"/>
      <c r="P94" s="514"/>
      <c r="Q94" s="514"/>
      <c r="R94" s="514"/>
      <c r="S94" s="514"/>
      <c r="T94" s="514"/>
      <c r="U94" s="514"/>
      <c r="V94" s="514"/>
      <c r="W94" s="514"/>
      <c r="X94" s="514"/>
      <c r="Y94" s="514"/>
      <c r="Z94" s="514"/>
      <c r="AA94" s="514"/>
      <c r="AB94" s="514"/>
      <c r="AC94" s="514"/>
      <c r="AD94" s="514"/>
      <c r="AE94" s="698"/>
      <c r="AF94" s="514"/>
      <c r="AG94" s="527"/>
      <c r="AH94" s="527"/>
      <c r="AI94" s="946">
        <f t="shared" si="19"/>
        <v>0</v>
      </c>
      <c r="AJ94" s="521">
        <v>0</v>
      </c>
      <c r="AK94" s="520">
        <f t="shared" si="20"/>
        <v>0</v>
      </c>
      <c r="AL94" s="695" t="s">
        <v>1698</v>
      </c>
      <c r="AM94" s="669">
        <f t="shared" si="21"/>
        <v>2</v>
      </c>
    </row>
    <row r="95" spans="1:39" ht="13.35" hidden="1" customHeight="1">
      <c r="A95" s="539" t="s">
        <v>1082</v>
      </c>
      <c r="B95" s="539" t="s">
        <v>1413</v>
      </c>
      <c r="C95" s="548" t="s">
        <v>1452</v>
      </c>
      <c r="D95" s="519"/>
      <c r="E95" s="520"/>
      <c r="F95" s="520"/>
      <c r="G95" s="520"/>
      <c r="H95" s="520"/>
      <c r="I95" s="521"/>
      <c r="J95" s="521"/>
      <c r="K95" s="521"/>
      <c r="L95" s="514"/>
      <c r="M95" s="514"/>
      <c r="N95" s="514"/>
      <c r="O95" s="514"/>
      <c r="P95" s="514"/>
      <c r="Q95" s="514"/>
      <c r="R95" s="514"/>
      <c r="S95" s="514"/>
      <c r="T95" s="514"/>
      <c r="U95" s="514"/>
      <c r="V95" s="514"/>
      <c r="W95" s="514"/>
      <c r="X95" s="514"/>
      <c r="Y95" s="514"/>
      <c r="Z95" s="514"/>
      <c r="AA95" s="514"/>
      <c r="AB95" s="514"/>
      <c r="AC95" s="514"/>
      <c r="AD95" s="514"/>
      <c r="AE95" s="698"/>
      <c r="AF95" s="514"/>
      <c r="AG95" s="527"/>
      <c r="AH95" s="527"/>
      <c r="AI95" s="946">
        <f t="shared" si="19"/>
        <v>0</v>
      </c>
      <c r="AJ95" s="521">
        <v>0</v>
      </c>
      <c r="AK95" s="520">
        <f t="shared" si="20"/>
        <v>0</v>
      </c>
      <c r="AL95" s="695"/>
      <c r="AM95" s="669">
        <f t="shared" si="21"/>
        <v>0</v>
      </c>
    </row>
    <row r="96" spans="1:39" ht="13.35" hidden="1" customHeight="1">
      <c r="A96" s="542" t="s">
        <v>1083</v>
      </c>
      <c r="B96" s="542" t="s">
        <v>1414</v>
      </c>
      <c r="C96" s="616"/>
      <c r="D96" s="519"/>
      <c r="E96" s="520"/>
      <c r="F96" s="520"/>
      <c r="G96" s="520"/>
      <c r="H96" s="520"/>
      <c r="I96" s="521"/>
      <c r="J96" s="521"/>
      <c r="K96" s="521"/>
      <c r="L96" s="514"/>
      <c r="M96" s="514"/>
      <c r="N96" s="514"/>
      <c r="O96" s="514"/>
      <c r="P96" s="514"/>
      <c r="Q96" s="514"/>
      <c r="R96" s="514"/>
      <c r="S96" s="514"/>
      <c r="T96" s="514"/>
      <c r="U96" s="514"/>
      <c r="V96" s="514"/>
      <c r="W96" s="514"/>
      <c r="X96" s="514"/>
      <c r="Y96" s="514"/>
      <c r="Z96" s="514"/>
      <c r="AA96" s="514"/>
      <c r="AB96" s="514"/>
      <c r="AC96" s="514"/>
      <c r="AD96" s="514"/>
      <c r="AE96" s="698"/>
      <c r="AF96" s="514"/>
      <c r="AG96" s="527"/>
      <c r="AH96" s="527"/>
      <c r="AI96" s="946">
        <f t="shared" si="19"/>
        <v>0</v>
      </c>
      <c r="AJ96" s="521">
        <v>0</v>
      </c>
      <c r="AK96" s="520">
        <f t="shared" si="20"/>
        <v>0</v>
      </c>
      <c r="AL96" s="695" t="s">
        <v>1455</v>
      </c>
      <c r="AM96" s="669">
        <f t="shared" si="21"/>
        <v>1</v>
      </c>
    </row>
    <row r="97" spans="1:39" ht="13.35" hidden="1" customHeight="1">
      <c r="A97" s="539" t="s">
        <v>1084</v>
      </c>
      <c r="B97" s="539" t="s">
        <v>1415</v>
      </c>
      <c r="C97" s="548" t="s">
        <v>36</v>
      </c>
      <c r="D97" s="519"/>
      <c r="E97" s="520"/>
      <c r="F97" s="520"/>
      <c r="G97" s="520"/>
      <c r="H97" s="520"/>
      <c r="I97" s="521"/>
      <c r="J97" s="521"/>
      <c r="K97" s="521"/>
      <c r="L97" s="514"/>
      <c r="M97" s="514"/>
      <c r="N97" s="514"/>
      <c r="O97" s="514"/>
      <c r="P97" s="514"/>
      <c r="Q97" s="514"/>
      <c r="R97" s="514"/>
      <c r="S97" s="514"/>
      <c r="T97" s="514"/>
      <c r="U97" s="514"/>
      <c r="V97" s="514"/>
      <c r="W97" s="514"/>
      <c r="X97" s="514"/>
      <c r="Y97" s="514"/>
      <c r="Z97" s="514"/>
      <c r="AA97" s="514"/>
      <c r="AB97" s="514"/>
      <c r="AC97" s="514"/>
      <c r="AD97" s="514"/>
      <c r="AE97" s="698"/>
      <c r="AF97" s="514"/>
      <c r="AG97" s="527"/>
      <c r="AH97" s="527"/>
      <c r="AI97" s="946">
        <f t="shared" si="19"/>
        <v>0</v>
      </c>
      <c r="AJ97" s="521">
        <v>0</v>
      </c>
      <c r="AK97" s="520">
        <f t="shared" si="20"/>
        <v>0</v>
      </c>
      <c r="AL97" s="695"/>
      <c r="AM97" s="669">
        <f t="shared" si="21"/>
        <v>0</v>
      </c>
    </row>
    <row r="98" spans="1:39" ht="13.35" hidden="1" customHeight="1">
      <c r="A98" s="542" t="s">
        <v>1085</v>
      </c>
      <c r="B98" s="542" t="s">
        <v>1416</v>
      </c>
      <c r="C98" s="616"/>
      <c r="D98" s="519"/>
      <c r="E98" s="520"/>
      <c r="F98" s="520"/>
      <c r="G98" s="520"/>
      <c r="H98" s="520"/>
      <c r="I98" s="521"/>
      <c r="J98" s="521"/>
      <c r="K98" s="521"/>
      <c r="L98" s="514"/>
      <c r="M98" s="514"/>
      <c r="N98" s="514"/>
      <c r="O98" s="514"/>
      <c r="P98" s="514"/>
      <c r="Q98" s="514"/>
      <c r="R98" s="514"/>
      <c r="S98" s="514"/>
      <c r="T98" s="514"/>
      <c r="U98" s="514"/>
      <c r="V98" s="514"/>
      <c r="W98" s="514"/>
      <c r="X98" s="514"/>
      <c r="Y98" s="514"/>
      <c r="Z98" s="514"/>
      <c r="AA98" s="514"/>
      <c r="AB98" s="514"/>
      <c r="AC98" s="514"/>
      <c r="AD98" s="514"/>
      <c r="AE98" s="698"/>
      <c r="AF98" s="514"/>
      <c r="AG98" s="527"/>
      <c r="AH98" s="527"/>
      <c r="AI98" s="946">
        <f t="shared" si="19"/>
        <v>0</v>
      </c>
      <c r="AJ98" s="521">
        <v>0</v>
      </c>
      <c r="AK98" s="520">
        <f t="shared" si="20"/>
        <v>0</v>
      </c>
      <c r="AL98" s="695" t="s">
        <v>1455</v>
      </c>
      <c r="AM98" s="669">
        <f t="shared" si="21"/>
        <v>1</v>
      </c>
    </row>
    <row r="99" spans="1:39" ht="13.35" hidden="1" customHeight="1">
      <c r="A99" s="539" t="s">
        <v>1086</v>
      </c>
      <c r="B99" s="539" t="s">
        <v>1417</v>
      </c>
      <c r="C99" s="548" t="s">
        <v>36</v>
      </c>
      <c r="D99" s="519"/>
      <c r="E99" s="520"/>
      <c r="F99" s="520"/>
      <c r="G99" s="520"/>
      <c r="H99" s="520"/>
      <c r="I99" s="521"/>
      <c r="J99" s="521"/>
      <c r="K99" s="521"/>
      <c r="L99" s="514"/>
      <c r="M99" s="514"/>
      <c r="N99" s="514"/>
      <c r="O99" s="514"/>
      <c r="P99" s="514"/>
      <c r="Q99" s="514"/>
      <c r="R99" s="514"/>
      <c r="S99" s="514"/>
      <c r="T99" s="514"/>
      <c r="U99" s="514"/>
      <c r="V99" s="514"/>
      <c r="W99" s="514"/>
      <c r="X99" s="514"/>
      <c r="Y99" s="514"/>
      <c r="Z99" s="514"/>
      <c r="AA99" s="514"/>
      <c r="AB99" s="514"/>
      <c r="AC99" s="514"/>
      <c r="AD99" s="514"/>
      <c r="AE99" s="698"/>
      <c r="AF99" s="514"/>
      <c r="AG99" s="527"/>
      <c r="AH99" s="527"/>
      <c r="AI99" s="946">
        <f t="shared" si="19"/>
        <v>0</v>
      </c>
      <c r="AJ99" s="521">
        <v>0</v>
      </c>
      <c r="AK99" s="520">
        <f t="shared" si="20"/>
        <v>0</v>
      </c>
      <c r="AL99" s="695"/>
      <c r="AM99" s="669">
        <f t="shared" si="21"/>
        <v>0</v>
      </c>
    </row>
    <row r="100" spans="1:39" ht="13.35" hidden="1" customHeight="1">
      <c r="A100" s="440" t="s">
        <v>513</v>
      </c>
      <c r="B100" s="543" t="s">
        <v>1418</v>
      </c>
      <c r="C100" s="616"/>
      <c r="D100" s="519"/>
      <c r="E100" s="520"/>
      <c r="F100" s="520"/>
      <c r="G100" s="520"/>
      <c r="H100" s="520"/>
      <c r="I100" s="521"/>
      <c r="J100" s="521"/>
      <c r="K100" s="521"/>
      <c r="L100" s="514"/>
      <c r="M100" s="514"/>
      <c r="N100" s="514"/>
      <c r="O100" s="514"/>
      <c r="P100" s="514"/>
      <c r="Q100" s="514"/>
      <c r="R100" s="514"/>
      <c r="S100" s="514"/>
      <c r="T100" s="514"/>
      <c r="U100" s="514"/>
      <c r="V100" s="514"/>
      <c r="W100" s="514"/>
      <c r="X100" s="514"/>
      <c r="Y100" s="514"/>
      <c r="Z100" s="514"/>
      <c r="AA100" s="514"/>
      <c r="AB100" s="514"/>
      <c r="AC100" s="514"/>
      <c r="AD100" s="514"/>
      <c r="AE100" s="698"/>
      <c r="AF100" s="514"/>
      <c r="AG100" s="527"/>
      <c r="AH100" s="527"/>
      <c r="AI100" s="946">
        <f t="shared" si="19"/>
        <v>0</v>
      </c>
      <c r="AJ100" s="521">
        <v>0</v>
      </c>
      <c r="AK100" s="520">
        <f t="shared" si="20"/>
        <v>0</v>
      </c>
      <c r="AL100" s="695"/>
      <c r="AM100" s="669">
        <f t="shared" si="21"/>
        <v>0</v>
      </c>
    </row>
    <row r="101" spans="1:39" ht="13.35" hidden="1" customHeight="1">
      <c r="A101" s="542" t="s">
        <v>1087</v>
      </c>
      <c r="B101" s="542" t="s">
        <v>1419</v>
      </c>
      <c r="C101" s="616"/>
      <c r="D101" s="519"/>
      <c r="E101" s="520"/>
      <c r="F101" s="520"/>
      <c r="G101" s="520"/>
      <c r="H101" s="520"/>
      <c r="I101" s="521"/>
      <c r="J101" s="521"/>
      <c r="K101" s="521"/>
      <c r="L101" s="514"/>
      <c r="M101" s="514"/>
      <c r="N101" s="514"/>
      <c r="O101" s="514"/>
      <c r="P101" s="514"/>
      <c r="Q101" s="514"/>
      <c r="R101" s="514"/>
      <c r="S101" s="514"/>
      <c r="T101" s="514"/>
      <c r="U101" s="514"/>
      <c r="V101" s="514"/>
      <c r="W101" s="514"/>
      <c r="X101" s="514"/>
      <c r="Y101" s="514"/>
      <c r="Z101" s="514"/>
      <c r="AA101" s="514"/>
      <c r="AB101" s="514"/>
      <c r="AC101" s="514"/>
      <c r="AD101" s="514"/>
      <c r="AE101" s="698"/>
      <c r="AF101" s="514"/>
      <c r="AG101" s="527"/>
      <c r="AH101" s="527"/>
      <c r="AI101" s="946">
        <f t="shared" si="19"/>
        <v>0</v>
      </c>
      <c r="AJ101" s="521">
        <v>0</v>
      </c>
      <c r="AK101" s="520">
        <f t="shared" si="20"/>
        <v>0</v>
      </c>
      <c r="AL101" s="695" t="s">
        <v>1768</v>
      </c>
      <c r="AM101" s="669">
        <f t="shared" si="21"/>
        <v>29</v>
      </c>
    </row>
    <row r="102" spans="1:39" ht="13.35" hidden="1" customHeight="1">
      <c r="A102" s="539" t="s">
        <v>1088</v>
      </c>
      <c r="B102" s="539" t="s">
        <v>1420</v>
      </c>
      <c r="C102" s="548" t="s">
        <v>38</v>
      </c>
      <c r="D102" s="519"/>
      <c r="E102" s="520"/>
      <c r="F102" s="520"/>
      <c r="G102" s="520"/>
      <c r="H102" s="520"/>
      <c r="I102" s="521"/>
      <c r="J102" s="521"/>
      <c r="K102" s="521"/>
      <c r="L102" s="514"/>
      <c r="M102" s="514"/>
      <c r="N102" s="514"/>
      <c r="O102" s="514"/>
      <c r="P102" s="514"/>
      <c r="Q102" s="514"/>
      <c r="R102" s="514"/>
      <c r="S102" s="514"/>
      <c r="T102" s="514"/>
      <c r="U102" s="514"/>
      <c r="V102" s="514"/>
      <c r="W102" s="514"/>
      <c r="X102" s="514"/>
      <c r="Y102" s="514"/>
      <c r="Z102" s="514"/>
      <c r="AA102" s="514"/>
      <c r="AB102" s="514"/>
      <c r="AC102" s="514"/>
      <c r="AD102" s="514"/>
      <c r="AE102" s="698"/>
      <c r="AF102" s="514"/>
      <c r="AG102" s="527"/>
      <c r="AH102" s="527"/>
      <c r="AI102" s="946">
        <f t="shared" si="19"/>
        <v>0</v>
      </c>
      <c r="AJ102" s="521">
        <v>0</v>
      </c>
      <c r="AK102" s="520">
        <f t="shared" si="20"/>
        <v>0</v>
      </c>
      <c r="AL102" s="695"/>
      <c r="AM102" s="669">
        <f t="shared" si="21"/>
        <v>0</v>
      </c>
    </row>
    <row r="103" spans="1:39" ht="13.35" hidden="1" customHeight="1">
      <c r="A103" s="542" t="s">
        <v>1089</v>
      </c>
      <c r="B103" s="542" t="s">
        <v>1421</v>
      </c>
      <c r="C103" s="616"/>
      <c r="D103" s="519"/>
      <c r="E103" s="520"/>
      <c r="F103" s="520"/>
      <c r="G103" s="520"/>
      <c r="H103" s="520"/>
      <c r="I103" s="521"/>
      <c r="J103" s="521"/>
      <c r="K103" s="521"/>
      <c r="L103" s="514"/>
      <c r="M103" s="514"/>
      <c r="N103" s="514"/>
      <c r="O103" s="514"/>
      <c r="P103" s="514"/>
      <c r="Q103" s="514"/>
      <c r="R103" s="514"/>
      <c r="S103" s="514"/>
      <c r="T103" s="514"/>
      <c r="U103" s="514"/>
      <c r="V103" s="514"/>
      <c r="W103" s="514"/>
      <c r="X103" s="514"/>
      <c r="Y103" s="514"/>
      <c r="Z103" s="514"/>
      <c r="AA103" s="514"/>
      <c r="AB103" s="514"/>
      <c r="AC103" s="514"/>
      <c r="AD103" s="514"/>
      <c r="AE103" s="698"/>
      <c r="AF103" s="514"/>
      <c r="AG103" s="527"/>
      <c r="AH103" s="527"/>
      <c r="AI103" s="946">
        <f t="shared" si="19"/>
        <v>0</v>
      </c>
      <c r="AJ103" s="521">
        <v>0</v>
      </c>
      <c r="AK103" s="520">
        <f t="shared" si="20"/>
        <v>0</v>
      </c>
      <c r="AL103" s="695" t="s">
        <v>1736</v>
      </c>
      <c r="AM103" s="669">
        <f t="shared" si="21"/>
        <v>64</v>
      </c>
    </row>
    <row r="104" spans="1:39" ht="13.35" hidden="1" customHeight="1">
      <c r="A104" s="539" t="s">
        <v>1090</v>
      </c>
      <c r="B104" s="539" t="s">
        <v>1422</v>
      </c>
      <c r="C104" s="548" t="s">
        <v>38</v>
      </c>
      <c r="D104" s="519"/>
      <c r="E104" s="520"/>
      <c r="F104" s="520"/>
      <c r="G104" s="520"/>
      <c r="H104" s="520"/>
      <c r="I104" s="521"/>
      <c r="J104" s="521"/>
      <c r="K104" s="521"/>
      <c r="L104" s="514"/>
      <c r="M104" s="514"/>
      <c r="N104" s="514"/>
      <c r="O104" s="514"/>
      <c r="P104" s="514"/>
      <c r="Q104" s="514"/>
      <c r="R104" s="514"/>
      <c r="S104" s="514"/>
      <c r="T104" s="514"/>
      <c r="U104" s="514"/>
      <c r="V104" s="514"/>
      <c r="W104" s="514"/>
      <c r="X104" s="514"/>
      <c r="Y104" s="514"/>
      <c r="Z104" s="514"/>
      <c r="AA104" s="514"/>
      <c r="AB104" s="514"/>
      <c r="AC104" s="514"/>
      <c r="AD104" s="514"/>
      <c r="AE104" s="698"/>
      <c r="AF104" s="514"/>
      <c r="AG104" s="527"/>
      <c r="AH104" s="527"/>
      <c r="AI104" s="946">
        <f t="shared" si="19"/>
        <v>0</v>
      </c>
      <c r="AJ104" s="521">
        <v>0</v>
      </c>
      <c r="AK104" s="520">
        <f t="shared" si="20"/>
        <v>0</v>
      </c>
      <c r="AL104" s="695"/>
      <c r="AM104" s="669">
        <f t="shared" si="21"/>
        <v>0</v>
      </c>
    </row>
    <row r="105" spans="1:39" ht="13.35" hidden="1" customHeight="1">
      <c r="A105" s="542" t="s">
        <v>1091</v>
      </c>
      <c r="B105" s="542" t="s">
        <v>1423</v>
      </c>
      <c r="C105" s="616"/>
      <c r="D105" s="519"/>
      <c r="E105" s="520"/>
      <c r="F105" s="520"/>
      <c r="G105" s="520"/>
      <c r="H105" s="520"/>
      <c r="I105" s="521"/>
      <c r="J105" s="521"/>
      <c r="K105" s="521"/>
      <c r="L105" s="514"/>
      <c r="M105" s="514"/>
      <c r="N105" s="514"/>
      <c r="O105" s="514"/>
      <c r="P105" s="514"/>
      <c r="Q105" s="514"/>
      <c r="R105" s="514"/>
      <c r="S105" s="514"/>
      <c r="T105" s="514"/>
      <c r="U105" s="514"/>
      <c r="V105" s="514"/>
      <c r="W105" s="514"/>
      <c r="X105" s="514"/>
      <c r="Y105" s="514"/>
      <c r="Z105" s="514"/>
      <c r="AA105" s="514"/>
      <c r="AB105" s="514"/>
      <c r="AC105" s="514"/>
      <c r="AD105" s="514"/>
      <c r="AE105" s="698"/>
      <c r="AF105" s="514"/>
      <c r="AG105" s="527"/>
      <c r="AH105" s="527"/>
      <c r="AI105" s="946">
        <f t="shared" si="19"/>
        <v>0</v>
      </c>
      <c r="AJ105" s="521">
        <v>0</v>
      </c>
      <c r="AK105" s="520">
        <f t="shared" si="20"/>
        <v>0</v>
      </c>
      <c r="AL105" s="695" t="s">
        <v>1736</v>
      </c>
      <c r="AM105" s="669">
        <f t="shared" si="21"/>
        <v>64</v>
      </c>
    </row>
    <row r="106" spans="1:39" ht="13.35" hidden="1" customHeight="1">
      <c r="A106" s="539" t="s">
        <v>1092</v>
      </c>
      <c r="B106" s="539" t="s">
        <v>1424</v>
      </c>
      <c r="C106" s="548" t="s">
        <v>38</v>
      </c>
      <c r="D106" s="519"/>
      <c r="E106" s="520"/>
      <c r="F106" s="520"/>
      <c r="G106" s="520"/>
      <c r="H106" s="520"/>
      <c r="I106" s="521"/>
      <c r="J106" s="521"/>
      <c r="K106" s="521"/>
      <c r="L106" s="514"/>
      <c r="M106" s="514"/>
      <c r="N106" s="514"/>
      <c r="O106" s="514"/>
      <c r="P106" s="514"/>
      <c r="Q106" s="514"/>
      <c r="R106" s="514"/>
      <c r="S106" s="514"/>
      <c r="T106" s="514"/>
      <c r="U106" s="514"/>
      <c r="V106" s="514"/>
      <c r="W106" s="514"/>
      <c r="X106" s="514"/>
      <c r="Y106" s="514"/>
      <c r="Z106" s="514"/>
      <c r="AA106" s="514"/>
      <c r="AB106" s="514"/>
      <c r="AC106" s="514"/>
      <c r="AD106" s="514"/>
      <c r="AE106" s="698"/>
      <c r="AF106" s="514"/>
      <c r="AG106" s="527"/>
      <c r="AH106" s="527"/>
      <c r="AI106" s="946">
        <f t="shared" si="19"/>
        <v>0</v>
      </c>
      <c r="AJ106" s="521">
        <v>0</v>
      </c>
      <c r="AK106" s="520">
        <f t="shared" si="20"/>
        <v>0</v>
      </c>
      <c r="AL106" s="695"/>
      <c r="AM106" s="669">
        <f t="shared" si="21"/>
        <v>0</v>
      </c>
    </row>
    <row r="107" spans="1:39" ht="13.35" hidden="1" customHeight="1">
      <c r="A107" s="542" t="s">
        <v>1093</v>
      </c>
      <c r="B107" s="542" t="s">
        <v>1425</v>
      </c>
      <c r="C107" s="616"/>
      <c r="D107" s="519"/>
      <c r="E107" s="520"/>
      <c r="F107" s="520"/>
      <c r="G107" s="520"/>
      <c r="H107" s="520"/>
      <c r="I107" s="521"/>
      <c r="J107" s="521"/>
      <c r="K107" s="521"/>
      <c r="L107" s="514"/>
      <c r="M107" s="514"/>
      <c r="N107" s="514"/>
      <c r="O107" s="514"/>
      <c r="P107" s="514"/>
      <c r="Q107" s="514"/>
      <c r="R107" s="514"/>
      <c r="S107" s="514"/>
      <c r="T107" s="514"/>
      <c r="U107" s="514"/>
      <c r="V107" s="514"/>
      <c r="W107" s="514"/>
      <c r="X107" s="514"/>
      <c r="Y107" s="514"/>
      <c r="Z107" s="514"/>
      <c r="AA107" s="514"/>
      <c r="AB107" s="514"/>
      <c r="AC107" s="514"/>
      <c r="AD107" s="514"/>
      <c r="AE107" s="698"/>
      <c r="AF107" s="514"/>
      <c r="AG107" s="527"/>
      <c r="AH107" s="527"/>
      <c r="AI107" s="946">
        <f t="shared" si="19"/>
        <v>0</v>
      </c>
      <c r="AJ107" s="521">
        <v>0</v>
      </c>
      <c r="AK107" s="520">
        <f t="shared" si="20"/>
        <v>0</v>
      </c>
      <c r="AL107" s="695" t="s">
        <v>1617</v>
      </c>
      <c r="AM107" s="669">
        <f t="shared" si="21"/>
        <v>6</v>
      </c>
    </row>
    <row r="108" spans="1:39" ht="13.35" hidden="1" customHeight="1">
      <c r="A108" s="539" t="s">
        <v>1094</v>
      </c>
      <c r="B108" s="539" t="s">
        <v>1426</v>
      </c>
      <c r="C108" s="548" t="s">
        <v>1452</v>
      </c>
      <c r="D108" s="519"/>
      <c r="E108" s="520"/>
      <c r="F108" s="520"/>
      <c r="G108" s="520"/>
      <c r="H108" s="520"/>
      <c r="I108" s="521"/>
      <c r="J108" s="521"/>
      <c r="K108" s="521"/>
      <c r="L108" s="514"/>
      <c r="M108" s="514"/>
      <c r="N108" s="514"/>
      <c r="O108" s="514"/>
      <c r="P108" s="514"/>
      <c r="Q108" s="514"/>
      <c r="R108" s="514"/>
      <c r="S108" s="514"/>
      <c r="T108" s="514"/>
      <c r="U108" s="514"/>
      <c r="V108" s="514"/>
      <c r="W108" s="514"/>
      <c r="X108" s="514"/>
      <c r="Y108" s="514"/>
      <c r="Z108" s="514"/>
      <c r="AA108" s="514"/>
      <c r="AB108" s="514"/>
      <c r="AC108" s="514"/>
      <c r="AD108" s="514"/>
      <c r="AE108" s="698"/>
      <c r="AF108" s="514"/>
      <c r="AG108" s="527"/>
      <c r="AH108" s="527"/>
      <c r="AI108" s="946">
        <f t="shared" si="19"/>
        <v>0</v>
      </c>
      <c r="AJ108" s="521">
        <v>0</v>
      </c>
      <c r="AK108" s="520">
        <f t="shared" si="20"/>
        <v>0</v>
      </c>
      <c r="AL108" s="695"/>
      <c r="AM108" s="669">
        <f t="shared" si="21"/>
        <v>0</v>
      </c>
    </row>
    <row r="109" spans="1:39" ht="13.35" hidden="1" customHeight="1">
      <c r="A109" s="542" t="s">
        <v>1095</v>
      </c>
      <c r="B109" s="542" t="s">
        <v>1392</v>
      </c>
      <c r="C109" s="616"/>
      <c r="D109" s="519"/>
      <c r="E109" s="520"/>
      <c r="F109" s="520"/>
      <c r="G109" s="520"/>
      <c r="H109" s="520"/>
      <c r="I109" s="521"/>
      <c r="J109" s="521"/>
      <c r="K109" s="521"/>
      <c r="L109" s="514"/>
      <c r="M109" s="514"/>
      <c r="N109" s="514"/>
      <c r="O109" s="514"/>
      <c r="P109" s="514"/>
      <c r="Q109" s="514"/>
      <c r="R109" s="514"/>
      <c r="S109" s="514"/>
      <c r="T109" s="514"/>
      <c r="U109" s="514"/>
      <c r="V109" s="514"/>
      <c r="W109" s="514"/>
      <c r="X109" s="514"/>
      <c r="Y109" s="514"/>
      <c r="Z109" s="514"/>
      <c r="AA109" s="514"/>
      <c r="AB109" s="514"/>
      <c r="AC109" s="514"/>
      <c r="AD109" s="514"/>
      <c r="AE109" s="698"/>
      <c r="AF109" s="514"/>
      <c r="AG109" s="527"/>
      <c r="AH109" s="527"/>
      <c r="AI109" s="946">
        <f t="shared" si="19"/>
        <v>0</v>
      </c>
      <c r="AJ109" s="521">
        <v>0</v>
      </c>
      <c r="AK109" s="520">
        <f t="shared" si="20"/>
        <v>0</v>
      </c>
      <c r="AL109" s="695" t="s">
        <v>1617</v>
      </c>
      <c r="AM109" s="669">
        <f t="shared" si="21"/>
        <v>6</v>
      </c>
    </row>
    <row r="110" spans="1:39" ht="13.35" hidden="1" customHeight="1">
      <c r="A110" s="539" t="s">
        <v>1096</v>
      </c>
      <c r="B110" s="539" t="s">
        <v>1427</v>
      </c>
      <c r="C110" s="548" t="s">
        <v>36</v>
      </c>
      <c r="D110" s="519"/>
      <c r="E110" s="520"/>
      <c r="F110" s="520"/>
      <c r="G110" s="520"/>
      <c r="H110" s="520"/>
      <c r="I110" s="521"/>
      <c r="J110" s="521"/>
      <c r="K110" s="521"/>
      <c r="L110" s="514"/>
      <c r="M110" s="514"/>
      <c r="N110" s="514"/>
      <c r="O110" s="514"/>
      <c r="P110" s="514"/>
      <c r="Q110" s="514"/>
      <c r="R110" s="514"/>
      <c r="S110" s="514"/>
      <c r="T110" s="514"/>
      <c r="U110" s="514"/>
      <c r="V110" s="514"/>
      <c r="W110" s="514"/>
      <c r="X110" s="514"/>
      <c r="Y110" s="514"/>
      <c r="Z110" s="514"/>
      <c r="AA110" s="514"/>
      <c r="AB110" s="514"/>
      <c r="AC110" s="514"/>
      <c r="AD110" s="514"/>
      <c r="AE110" s="698"/>
      <c r="AF110" s="514"/>
      <c r="AG110" s="527"/>
      <c r="AH110" s="527"/>
      <c r="AI110" s="946">
        <f t="shared" si="19"/>
        <v>0</v>
      </c>
      <c r="AJ110" s="521">
        <v>0</v>
      </c>
      <c r="AK110" s="520">
        <f t="shared" si="20"/>
        <v>0</v>
      </c>
      <c r="AL110" s="695"/>
      <c r="AM110" s="669">
        <f t="shared" si="21"/>
        <v>0</v>
      </c>
    </row>
    <row r="111" spans="1:39" ht="13.35" hidden="1" customHeight="1">
      <c r="A111" s="440" t="s">
        <v>1097</v>
      </c>
      <c r="B111" s="543" t="s">
        <v>1428</v>
      </c>
      <c r="C111" s="616"/>
      <c r="D111" s="519"/>
      <c r="E111" s="520"/>
      <c r="F111" s="520"/>
      <c r="G111" s="520"/>
      <c r="H111" s="520"/>
      <c r="I111" s="521"/>
      <c r="J111" s="521"/>
      <c r="K111" s="521"/>
      <c r="L111" s="514"/>
      <c r="M111" s="514"/>
      <c r="N111" s="514"/>
      <c r="O111" s="514"/>
      <c r="P111" s="514"/>
      <c r="Q111" s="514"/>
      <c r="R111" s="514"/>
      <c r="S111" s="514"/>
      <c r="T111" s="514"/>
      <c r="U111" s="514"/>
      <c r="V111" s="514"/>
      <c r="W111" s="514"/>
      <c r="X111" s="514"/>
      <c r="Y111" s="514"/>
      <c r="Z111" s="514"/>
      <c r="AA111" s="514"/>
      <c r="AB111" s="514"/>
      <c r="AC111" s="514"/>
      <c r="AD111" s="514"/>
      <c r="AE111" s="698"/>
      <c r="AF111" s="514"/>
      <c r="AG111" s="527"/>
      <c r="AH111" s="527"/>
      <c r="AI111" s="946">
        <f t="shared" si="19"/>
        <v>0</v>
      </c>
      <c r="AJ111" s="521">
        <v>0</v>
      </c>
      <c r="AK111" s="520">
        <f t="shared" si="20"/>
        <v>0</v>
      </c>
      <c r="AL111" s="695"/>
      <c r="AM111" s="669">
        <f t="shared" si="21"/>
        <v>0</v>
      </c>
    </row>
    <row r="112" spans="1:39" ht="13.35" hidden="1" customHeight="1">
      <c r="A112" s="542" t="s">
        <v>1098</v>
      </c>
      <c r="B112" s="542" t="s">
        <v>1419</v>
      </c>
      <c r="C112" s="616"/>
      <c r="D112" s="519"/>
      <c r="E112" s="520"/>
      <c r="F112" s="520"/>
      <c r="G112" s="520"/>
      <c r="H112" s="520"/>
      <c r="I112" s="521"/>
      <c r="J112" s="521"/>
      <c r="K112" s="521"/>
      <c r="L112" s="514"/>
      <c r="M112" s="514"/>
      <c r="N112" s="514"/>
      <c r="O112" s="514"/>
      <c r="P112" s="514"/>
      <c r="Q112" s="514"/>
      <c r="R112" s="514"/>
      <c r="S112" s="514"/>
      <c r="T112" s="514"/>
      <c r="U112" s="514"/>
      <c r="V112" s="514"/>
      <c r="W112" s="514"/>
      <c r="X112" s="514"/>
      <c r="Y112" s="514"/>
      <c r="Z112" s="514"/>
      <c r="AA112" s="514"/>
      <c r="AB112" s="514"/>
      <c r="AC112" s="514"/>
      <c r="AD112" s="514"/>
      <c r="AE112" s="698"/>
      <c r="AF112" s="514"/>
      <c r="AG112" s="527"/>
      <c r="AH112" s="527"/>
      <c r="AI112" s="946">
        <f t="shared" si="19"/>
        <v>0</v>
      </c>
      <c r="AJ112" s="521">
        <v>0</v>
      </c>
      <c r="AK112" s="520">
        <f t="shared" si="20"/>
        <v>0</v>
      </c>
      <c r="AL112" s="695" t="s">
        <v>1769</v>
      </c>
      <c r="AM112" s="669">
        <f t="shared" si="21"/>
        <v>56</v>
      </c>
    </row>
    <row r="113" spans="1:39" ht="13.35" hidden="1" customHeight="1">
      <c r="A113" s="539" t="s">
        <v>1099</v>
      </c>
      <c r="B113" s="539" t="s">
        <v>1420</v>
      </c>
      <c r="C113" s="548" t="s">
        <v>38</v>
      </c>
      <c r="D113" s="519"/>
      <c r="E113" s="520"/>
      <c r="F113" s="520"/>
      <c r="G113" s="520"/>
      <c r="H113" s="520"/>
      <c r="I113" s="521"/>
      <c r="J113" s="521"/>
      <c r="K113" s="521"/>
      <c r="L113" s="514"/>
      <c r="M113" s="514"/>
      <c r="N113" s="514"/>
      <c r="O113" s="514"/>
      <c r="P113" s="514"/>
      <c r="Q113" s="514"/>
      <c r="R113" s="514"/>
      <c r="S113" s="514"/>
      <c r="T113" s="514"/>
      <c r="U113" s="514"/>
      <c r="V113" s="514"/>
      <c r="W113" s="514"/>
      <c r="X113" s="514"/>
      <c r="Y113" s="514"/>
      <c r="Z113" s="514"/>
      <c r="AA113" s="514"/>
      <c r="AB113" s="514"/>
      <c r="AC113" s="514"/>
      <c r="AD113" s="514"/>
      <c r="AE113" s="698"/>
      <c r="AF113" s="514"/>
      <c r="AG113" s="527"/>
      <c r="AH113" s="527"/>
      <c r="AI113" s="946">
        <f t="shared" si="19"/>
        <v>0</v>
      </c>
      <c r="AJ113" s="521">
        <v>0</v>
      </c>
      <c r="AK113" s="520">
        <f t="shared" si="20"/>
        <v>0</v>
      </c>
      <c r="AL113" s="695"/>
      <c r="AM113" s="669">
        <f t="shared" si="21"/>
        <v>0</v>
      </c>
    </row>
    <row r="114" spans="1:39" ht="13.35" hidden="1" customHeight="1">
      <c r="A114" s="542" t="s">
        <v>1100</v>
      </c>
      <c r="B114" s="542" t="s">
        <v>1421</v>
      </c>
      <c r="C114" s="616"/>
      <c r="D114" s="519"/>
      <c r="E114" s="520"/>
      <c r="F114" s="520"/>
      <c r="G114" s="520"/>
      <c r="H114" s="520"/>
      <c r="I114" s="521"/>
      <c r="J114" s="521"/>
      <c r="K114" s="521"/>
      <c r="L114" s="514"/>
      <c r="M114" s="514"/>
      <c r="N114" s="514"/>
      <c r="O114" s="514"/>
      <c r="P114" s="514"/>
      <c r="Q114" s="514"/>
      <c r="R114" s="514"/>
      <c r="S114" s="514"/>
      <c r="T114" s="514"/>
      <c r="U114" s="514"/>
      <c r="V114" s="514"/>
      <c r="W114" s="514"/>
      <c r="X114" s="514"/>
      <c r="Y114" s="514"/>
      <c r="Z114" s="514"/>
      <c r="AA114" s="514"/>
      <c r="AB114" s="514"/>
      <c r="AC114" s="514"/>
      <c r="AD114" s="514"/>
      <c r="AE114" s="698"/>
      <c r="AF114" s="514"/>
      <c r="AG114" s="527"/>
      <c r="AH114" s="527"/>
      <c r="AI114" s="946">
        <f t="shared" si="19"/>
        <v>0</v>
      </c>
      <c r="AJ114" s="521">
        <v>0</v>
      </c>
      <c r="AK114" s="520">
        <f t="shared" si="20"/>
        <v>0</v>
      </c>
      <c r="AL114" s="695" t="s">
        <v>1770</v>
      </c>
      <c r="AM114" s="669">
        <f t="shared" si="21"/>
        <v>80</v>
      </c>
    </row>
    <row r="115" spans="1:39" ht="13.35" hidden="1" customHeight="1">
      <c r="A115" s="539" t="s">
        <v>1101</v>
      </c>
      <c r="B115" s="539" t="s">
        <v>1429</v>
      </c>
      <c r="C115" s="548" t="s">
        <v>38</v>
      </c>
      <c r="D115" s="519"/>
      <c r="E115" s="520"/>
      <c r="F115" s="520"/>
      <c r="G115" s="520"/>
      <c r="H115" s="520"/>
      <c r="I115" s="521"/>
      <c r="J115" s="521"/>
      <c r="K115" s="521"/>
      <c r="L115" s="514"/>
      <c r="M115" s="514"/>
      <c r="N115" s="514"/>
      <c r="O115" s="514"/>
      <c r="P115" s="514"/>
      <c r="Q115" s="514"/>
      <c r="R115" s="514"/>
      <c r="S115" s="514"/>
      <c r="T115" s="514"/>
      <c r="U115" s="514"/>
      <c r="V115" s="514"/>
      <c r="W115" s="514"/>
      <c r="X115" s="514"/>
      <c r="Y115" s="514"/>
      <c r="Z115" s="514"/>
      <c r="AA115" s="514"/>
      <c r="AB115" s="514"/>
      <c r="AC115" s="514"/>
      <c r="AD115" s="514"/>
      <c r="AE115" s="698"/>
      <c r="AF115" s="514"/>
      <c r="AG115" s="527"/>
      <c r="AH115" s="527"/>
      <c r="AI115" s="946">
        <f t="shared" si="19"/>
        <v>0</v>
      </c>
      <c r="AJ115" s="521">
        <v>0</v>
      </c>
      <c r="AK115" s="520">
        <f t="shared" si="20"/>
        <v>0</v>
      </c>
      <c r="AL115" s="695"/>
      <c r="AM115" s="669">
        <f t="shared" si="21"/>
        <v>0</v>
      </c>
    </row>
    <row r="116" spans="1:39" ht="13.35" hidden="1" customHeight="1">
      <c r="A116" s="542" t="s">
        <v>1102</v>
      </c>
      <c r="B116" s="542" t="s">
        <v>1423</v>
      </c>
      <c r="C116" s="616"/>
      <c r="D116" s="519"/>
      <c r="E116" s="520"/>
      <c r="F116" s="520"/>
      <c r="G116" s="520"/>
      <c r="H116" s="520"/>
      <c r="I116" s="521"/>
      <c r="J116" s="521"/>
      <c r="K116" s="521"/>
      <c r="L116" s="514"/>
      <c r="M116" s="514"/>
      <c r="N116" s="514"/>
      <c r="O116" s="514"/>
      <c r="P116" s="514"/>
      <c r="Q116" s="514"/>
      <c r="R116" s="514"/>
      <c r="S116" s="514"/>
      <c r="T116" s="514"/>
      <c r="U116" s="514"/>
      <c r="V116" s="514"/>
      <c r="W116" s="514"/>
      <c r="X116" s="514"/>
      <c r="Y116" s="514"/>
      <c r="Z116" s="514"/>
      <c r="AA116" s="514"/>
      <c r="AB116" s="514"/>
      <c r="AC116" s="514"/>
      <c r="AD116" s="514"/>
      <c r="AE116" s="698"/>
      <c r="AF116" s="514"/>
      <c r="AG116" s="527"/>
      <c r="AH116" s="527"/>
      <c r="AI116" s="946">
        <f t="shared" si="19"/>
        <v>0</v>
      </c>
      <c r="AJ116" s="521">
        <v>0</v>
      </c>
      <c r="AK116" s="520">
        <f t="shared" si="20"/>
        <v>0</v>
      </c>
      <c r="AL116" s="695" t="s">
        <v>1769</v>
      </c>
      <c r="AM116" s="669">
        <f t="shared" si="21"/>
        <v>56</v>
      </c>
    </row>
    <row r="117" spans="1:39" ht="13.35" hidden="1" customHeight="1">
      <c r="A117" s="539" t="s">
        <v>1103</v>
      </c>
      <c r="B117" s="539" t="s">
        <v>1430</v>
      </c>
      <c r="C117" s="548" t="s">
        <v>38</v>
      </c>
      <c r="D117" s="519"/>
      <c r="E117" s="520"/>
      <c r="F117" s="520"/>
      <c r="G117" s="520"/>
      <c r="H117" s="520"/>
      <c r="I117" s="521"/>
      <c r="J117" s="521"/>
      <c r="K117" s="521"/>
      <c r="L117" s="514"/>
      <c r="M117" s="514"/>
      <c r="N117" s="514"/>
      <c r="O117" s="514"/>
      <c r="P117" s="514"/>
      <c r="Q117" s="514"/>
      <c r="R117" s="514"/>
      <c r="S117" s="514"/>
      <c r="T117" s="514"/>
      <c r="U117" s="514"/>
      <c r="V117" s="514"/>
      <c r="W117" s="514"/>
      <c r="X117" s="514"/>
      <c r="Y117" s="514"/>
      <c r="Z117" s="514"/>
      <c r="AA117" s="514"/>
      <c r="AB117" s="514"/>
      <c r="AC117" s="514"/>
      <c r="AD117" s="514"/>
      <c r="AE117" s="698"/>
      <c r="AF117" s="514"/>
      <c r="AG117" s="527"/>
      <c r="AH117" s="527"/>
      <c r="AI117" s="946">
        <f t="shared" si="19"/>
        <v>0</v>
      </c>
      <c r="AJ117" s="521">
        <v>0</v>
      </c>
      <c r="AK117" s="520">
        <f t="shared" si="20"/>
        <v>0</v>
      </c>
      <c r="AL117" s="695"/>
      <c r="AM117" s="669">
        <f t="shared" si="21"/>
        <v>0</v>
      </c>
    </row>
    <row r="118" spans="1:39" ht="13.35" hidden="1" customHeight="1">
      <c r="A118" s="542" t="s">
        <v>1104</v>
      </c>
      <c r="B118" s="542" t="s">
        <v>1431</v>
      </c>
      <c r="C118" s="616"/>
      <c r="D118" s="519"/>
      <c r="E118" s="520"/>
      <c r="F118" s="520"/>
      <c r="G118" s="520"/>
      <c r="H118" s="520"/>
      <c r="I118" s="521"/>
      <c r="J118" s="521"/>
      <c r="K118" s="521"/>
      <c r="L118" s="514"/>
      <c r="M118" s="514"/>
      <c r="N118" s="514"/>
      <c r="O118" s="514"/>
      <c r="P118" s="514"/>
      <c r="Q118" s="514"/>
      <c r="R118" s="514"/>
      <c r="S118" s="514"/>
      <c r="T118" s="514"/>
      <c r="U118" s="514"/>
      <c r="V118" s="514"/>
      <c r="W118" s="514"/>
      <c r="X118" s="514"/>
      <c r="Y118" s="514"/>
      <c r="Z118" s="514"/>
      <c r="AA118" s="514"/>
      <c r="AB118" s="514"/>
      <c r="AC118" s="514"/>
      <c r="AD118" s="514"/>
      <c r="AE118" s="698"/>
      <c r="AF118" s="514"/>
      <c r="AG118" s="527"/>
      <c r="AH118" s="527"/>
      <c r="AI118" s="946">
        <f t="shared" si="19"/>
        <v>0</v>
      </c>
      <c r="AJ118" s="521">
        <v>0</v>
      </c>
      <c r="AK118" s="520">
        <f t="shared" si="20"/>
        <v>0</v>
      </c>
      <c r="AL118" s="695" t="s">
        <v>1617</v>
      </c>
      <c r="AM118" s="669">
        <f t="shared" si="21"/>
        <v>6</v>
      </c>
    </row>
    <row r="119" spans="1:39" ht="13.35" hidden="1" customHeight="1">
      <c r="A119" s="539" t="s">
        <v>1105</v>
      </c>
      <c r="B119" s="539" t="s">
        <v>1432</v>
      </c>
      <c r="C119" s="548" t="s">
        <v>36</v>
      </c>
      <c r="D119" s="519"/>
      <c r="E119" s="520"/>
      <c r="F119" s="520"/>
      <c r="G119" s="520"/>
      <c r="H119" s="520"/>
      <c r="I119" s="521"/>
      <c r="J119" s="521"/>
      <c r="K119" s="521"/>
      <c r="L119" s="514"/>
      <c r="M119" s="514"/>
      <c r="N119" s="514"/>
      <c r="O119" s="514"/>
      <c r="P119" s="514"/>
      <c r="Q119" s="514"/>
      <c r="R119" s="514"/>
      <c r="S119" s="514"/>
      <c r="T119" s="514"/>
      <c r="U119" s="514"/>
      <c r="V119" s="514"/>
      <c r="W119" s="514"/>
      <c r="X119" s="514"/>
      <c r="Y119" s="514"/>
      <c r="Z119" s="514"/>
      <c r="AA119" s="514"/>
      <c r="AB119" s="514"/>
      <c r="AC119" s="514"/>
      <c r="AD119" s="514"/>
      <c r="AE119" s="698"/>
      <c r="AF119" s="514"/>
      <c r="AG119" s="527"/>
      <c r="AH119" s="527"/>
      <c r="AI119" s="946">
        <f t="shared" si="19"/>
        <v>0</v>
      </c>
      <c r="AJ119" s="521">
        <v>0</v>
      </c>
      <c r="AK119" s="520">
        <f t="shared" si="20"/>
        <v>0</v>
      </c>
      <c r="AL119" s="695"/>
      <c r="AM119" s="669">
        <f t="shared" si="21"/>
        <v>0</v>
      </c>
    </row>
    <row r="120" spans="1:39" ht="13.35" hidden="1" customHeight="1">
      <c r="A120" s="542" t="s">
        <v>1106</v>
      </c>
      <c r="B120" s="542" t="s">
        <v>1433</v>
      </c>
      <c r="C120" s="616"/>
      <c r="D120" s="519"/>
      <c r="E120" s="520"/>
      <c r="F120" s="520"/>
      <c r="G120" s="520"/>
      <c r="H120" s="520"/>
      <c r="I120" s="521"/>
      <c r="J120" s="521"/>
      <c r="K120" s="521"/>
      <c r="L120" s="514"/>
      <c r="M120" s="514"/>
      <c r="N120" s="514"/>
      <c r="O120" s="514"/>
      <c r="P120" s="514"/>
      <c r="Q120" s="514"/>
      <c r="R120" s="514"/>
      <c r="S120" s="514"/>
      <c r="T120" s="514"/>
      <c r="U120" s="514"/>
      <c r="V120" s="514"/>
      <c r="W120" s="514"/>
      <c r="X120" s="514"/>
      <c r="Y120" s="514"/>
      <c r="Z120" s="514"/>
      <c r="AA120" s="514"/>
      <c r="AB120" s="514"/>
      <c r="AC120" s="514"/>
      <c r="AD120" s="514"/>
      <c r="AE120" s="698"/>
      <c r="AF120" s="514"/>
      <c r="AG120" s="527"/>
      <c r="AH120" s="527"/>
      <c r="AI120" s="946">
        <f t="shared" si="19"/>
        <v>0</v>
      </c>
      <c r="AJ120" s="521">
        <v>0</v>
      </c>
      <c r="AK120" s="520">
        <f t="shared" si="20"/>
        <v>0</v>
      </c>
      <c r="AL120" s="695" t="s">
        <v>1617</v>
      </c>
      <c r="AM120" s="669">
        <f t="shared" si="21"/>
        <v>6</v>
      </c>
    </row>
    <row r="121" spans="1:39" ht="13.35" hidden="1" customHeight="1">
      <c r="A121" s="539" t="s">
        <v>1107</v>
      </c>
      <c r="B121" s="539" t="s">
        <v>1434</v>
      </c>
      <c r="C121" s="548" t="s">
        <v>1452</v>
      </c>
      <c r="D121" s="519"/>
      <c r="E121" s="520"/>
      <c r="F121" s="520"/>
      <c r="G121" s="520"/>
      <c r="H121" s="520"/>
      <c r="I121" s="521"/>
      <c r="J121" s="521"/>
      <c r="K121" s="521"/>
      <c r="L121" s="514"/>
      <c r="M121" s="514"/>
      <c r="N121" s="514"/>
      <c r="O121" s="514"/>
      <c r="P121" s="514"/>
      <c r="Q121" s="514"/>
      <c r="R121" s="514"/>
      <c r="S121" s="514"/>
      <c r="T121" s="514"/>
      <c r="U121" s="514"/>
      <c r="V121" s="514"/>
      <c r="W121" s="514"/>
      <c r="X121" s="514"/>
      <c r="Y121" s="514"/>
      <c r="Z121" s="514"/>
      <c r="AA121" s="514"/>
      <c r="AB121" s="514"/>
      <c r="AC121" s="514"/>
      <c r="AD121" s="514"/>
      <c r="AE121" s="698"/>
      <c r="AF121" s="514"/>
      <c r="AG121" s="527"/>
      <c r="AH121" s="527"/>
      <c r="AI121" s="946">
        <f t="shared" si="19"/>
        <v>0</v>
      </c>
      <c r="AJ121" s="521">
        <v>0</v>
      </c>
      <c r="AK121" s="520">
        <f t="shared" si="20"/>
        <v>0</v>
      </c>
      <c r="AL121" s="695"/>
      <c r="AM121" s="669">
        <f t="shared" si="21"/>
        <v>0</v>
      </c>
    </row>
    <row r="122" spans="1:39" ht="13.35" hidden="1" customHeight="1">
      <c r="A122" s="542" t="s">
        <v>1108</v>
      </c>
      <c r="B122" s="542" t="s">
        <v>1416</v>
      </c>
      <c r="C122" s="616"/>
      <c r="D122" s="519"/>
      <c r="E122" s="520"/>
      <c r="F122" s="520"/>
      <c r="G122" s="520"/>
      <c r="H122" s="520"/>
      <c r="I122" s="521"/>
      <c r="J122" s="521"/>
      <c r="K122" s="521"/>
      <c r="L122" s="514"/>
      <c r="M122" s="514"/>
      <c r="N122" s="514"/>
      <c r="O122" s="514"/>
      <c r="P122" s="514"/>
      <c r="Q122" s="514"/>
      <c r="R122" s="514"/>
      <c r="S122" s="514"/>
      <c r="T122" s="514"/>
      <c r="U122" s="514"/>
      <c r="V122" s="514"/>
      <c r="W122" s="514"/>
      <c r="X122" s="514"/>
      <c r="Y122" s="514"/>
      <c r="Z122" s="514"/>
      <c r="AA122" s="514"/>
      <c r="AB122" s="514"/>
      <c r="AC122" s="514"/>
      <c r="AD122" s="514"/>
      <c r="AE122" s="698"/>
      <c r="AF122" s="514"/>
      <c r="AG122" s="527"/>
      <c r="AH122" s="527"/>
      <c r="AI122" s="946">
        <f t="shared" ref="AI122:AI145" si="22">ROUND((SUM(D122:AH122)),2)</f>
        <v>0</v>
      </c>
      <c r="AJ122" s="521">
        <v>0</v>
      </c>
      <c r="AK122" s="520">
        <f t="shared" si="20"/>
        <v>0</v>
      </c>
      <c r="AL122" s="695" t="s">
        <v>1617</v>
      </c>
      <c r="AM122" s="669">
        <f t="shared" si="21"/>
        <v>6</v>
      </c>
    </row>
    <row r="123" spans="1:39" ht="13.35" hidden="1" customHeight="1">
      <c r="A123" s="539" t="s">
        <v>1109</v>
      </c>
      <c r="B123" s="539" t="s">
        <v>1435</v>
      </c>
      <c r="C123" s="548" t="s">
        <v>36</v>
      </c>
      <c r="D123" s="519"/>
      <c r="E123" s="520"/>
      <c r="F123" s="520"/>
      <c r="G123" s="520"/>
      <c r="H123" s="520"/>
      <c r="I123" s="521"/>
      <c r="J123" s="521"/>
      <c r="K123" s="521"/>
      <c r="L123" s="514"/>
      <c r="M123" s="514"/>
      <c r="N123" s="514"/>
      <c r="O123" s="514"/>
      <c r="P123" s="514"/>
      <c r="Q123" s="514"/>
      <c r="R123" s="514"/>
      <c r="S123" s="514"/>
      <c r="T123" s="514"/>
      <c r="U123" s="514"/>
      <c r="V123" s="514"/>
      <c r="W123" s="514"/>
      <c r="X123" s="514"/>
      <c r="Y123" s="514"/>
      <c r="Z123" s="514"/>
      <c r="AA123" s="514"/>
      <c r="AB123" s="514"/>
      <c r="AC123" s="514"/>
      <c r="AD123" s="514"/>
      <c r="AE123" s="698"/>
      <c r="AF123" s="514"/>
      <c r="AG123" s="527"/>
      <c r="AH123" s="527"/>
      <c r="AI123" s="946">
        <f t="shared" si="22"/>
        <v>0</v>
      </c>
      <c r="AJ123" s="521">
        <v>0</v>
      </c>
      <c r="AK123" s="520">
        <f t="shared" si="20"/>
        <v>0</v>
      </c>
      <c r="AL123" s="695"/>
      <c r="AM123" s="669">
        <f t="shared" si="21"/>
        <v>0</v>
      </c>
    </row>
    <row r="124" spans="1:39" ht="13.35" hidden="1" customHeight="1">
      <c r="A124" s="542" t="s">
        <v>1110</v>
      </c>
      <c r="B124" s="542" t="s">
        <v>1425</v>
      </c>
      <c r="C124" s="616"/>
      <c r="D124" s="519"/>
      <c r="E124" s="520"/>
      <c r="F124" s="520"/>
      <c r="G124" s="520"/>
      <c r="H124" s="520"/>
      <c r="I124" s="521"/>
      <c r="J124" s="521"/>
      <c r="K124" s="521"/>
      <c r="L124" s="514"/>
      <c r="M124" s="514"/>
      <c r="N124" s="514"/>
      <c r="O124" s="514"/>
      <c r="P124" s="514"/>
      <c r="Q124" s="514"/>
      <c r="R124" s="514"/>
      <c r="S124" s="514"/>
      <c r="T124" s="514"/>
      <c r="U124" s="514"/>
      <c r="V124" s="514"/>
      <c r="W124" s="514"/>
      <c r="X124" s="514"/>
      <c r="Y124" s="514"/>
      <c r="Z124" s="514"/>
      <c r="AA124" s="514"/>
      <c r="AB124" s="514"/>
      <c r="AC124" s="514"/>
      <c r="AD124" s="514"/>
      <c r="AE124" s="698"/>
      <c r="AF124" s="514"/>
      <c r="AG124" s="527"/>
      <c r="AH124" s="527"/>
      <c r="AI124" s="946">
        <f t="shared" si="22"/>
        <v>0</v>
      </c>
      <c r="AJ124" s="521">
        <v>0</v>
      </c>
      <c r="AK124" s="520">
        <f t="shared" si="20"/>
        <v>0</v>
      </c>
      <c r="AL124" s="695" t="s">
        <v>1617</v>
      </c>
      <c r="AM124" s="669">
        <f t="shared" si="21"/>
        <v>6</v>
      </c>
    </row>
    <row r="125" spans="1:39" ht="13.35" hidden="1" customHeight="1">
      <c r="A125" s="539" t="s">
        <v>1111</v>
      </c>
      <c r="B125" s="539" t="s">
        <v>1436</v>
      </c>
      <c r="C125" s="548" t="s">
        <v>1452</v>
      </c>
      <c r="D125" s="519"/>
      <c r="E125" s="520"/>
      <c r="F125" s="520"/>
      <c r="G125" s="520"/>
      <c r="H125" s="520"/>
      <c r="I125" s="521"/>
      <c r="J125" s="521"/>
      <c r="K125" s="521"/>
      <c r="L125" s="514"/>
      <c r="M125" s="514"/>
      <c r="N125" s="514"/>
      <c r="O125" s="514"/>
      <c r="P125" s="514"/>
      <c r="Q125" s="514"/>
      <c r="R125" s="514"/>
      <c r="S125" s="514"/>
      <c r="T125" s="514"/>
      <c r="U125" s="514"/>
      <c r="V125" s="514"/>
      <c r="W125" s="514"/>
      <c r="X125" s="514"/>
      <c r="Y125" s="514"/>
      <c r="Z125" s="514"/>
      <c r="AA125" s="514"/>
      <c r="AB125" s="514"/>
      <c r="AC125" s="514"/>
      <c r="AD125" s="514"/>
      <c r="AE125" s="698"/>
      <c r="AF125" s="514"/>
      <c r="AG125" s="527"/>
      <c r="AH125" s="527"/>
      <c r="AI125" s="946">
        <f t="shared" si="22"/>
        <v>0</v>
      </c>
      <c r="AJ125" s="521">
        <v>0</v>
      </c>
      <c r="AK125" s="520">
        <f t="shared" si="20"/>
        <v>0</v>
      </c>
      <c r="AL125" s="695"/>
      <c r="AM125" s="669">
        <f t="shared" si="21"/>
        <v>0</v>
      </c>
    </row>
    <row r="126" spans="1:39" ht="13.35" hidden="1" customHeight="1">
      <c r="A126" s="542" t="s">
        <v>1112</v>
      </c>
      <c r="B126" s="542" t="s">
        <v>1392</v>
      </c>
      <c r="C126" s="616"/>
      <c r="D126" s="519"/>
      <c r="E126" s="520"/>
      <c r="F126" s="520"/>
      <c r="G126" s="520"/>
      <c r="H126" s="520"/>
      <c r="I126" s="521"/>
      <c r="J126" s="521"/>
      <c r="K126" s="521"/>
      <c r="L126" s="514"/>
      <c r="M126" s="514"/>
      <c r="N126" s="514"/>
      <c r="O126" s="514"/>
      <c r="P126" s="514"/>
      <c r="Q126" s="514"/>
      <c r="R126" s="514"/>
      <c r="S126" s="514"/>
      <c r="T126" s="514"/>
      <c r="U126" s="514"/>
      <c r="V126" s="514"/>
      <c r="W126" s="514"/>
      <c r="X126" s="514"/>
      <c r="Y126" s="514"/>
      <c r="Z126" s="514"/>
      <c r="AA126" s="514"/>
      <c r="AB126" s="514"/>
      <c r="AC126" s="514"/>
      <c r="AD126" s="514"/>
      <c r="AE126" s="698"/>
      <c r="AF126" s="514"/>
      <c r="AG126" s="527"/>
      <c r="AH126" s="527"/>
      <c r="AI126" s="946">
        <f t="shared" si="22"/>
        <v>0</v>
      </c>
      <c r="AJ126" s="521">
        <v>0</v>
      </c>
      <c r="AK126" s="520">
        <f t="shared" si="20"/>
        <v>0</v>
      </c>
      <c r="AL126" s="695" t="s">
        <v>1617</v>
      </c>
      <c r="AM126" s="669">
        <f t="shared" si="21"/>
        <v>6</v>
      </c>
    </row>
    <row r="127" spans="1:39" ht="13.35" hidden="1" customHeight="1">
      <c r="A127" s="539" t="s">
        <v>1113</v>
      </c>
      <c r="B127" s="539" t="s">
        <v>1437</v>
      </c>
      <c r="C127" s="548" t="s">
        <v>36</v>
      </c>
      <c r="D127" s="519"/>
      <c r="E127" s="520"/>
      <c r="F127" s="520"/>
      <c r="G127" s="520"/>
      <c r="H127" s="520"/>
      <c r="I127" s="521"/>
      <c r="J127" s="521"/>
      <c r="K127" s="521"/>
      <c r="L127" s="514"/>
      <c r="M127" s="514"/>
      <c r="N127" s="514"/>
      <c r="O127" s="514"/>
      <c r="P127" s="514"/>
      <c r="Q127" s="514"/>
      <c r="R127" s="514"/>
      <c r="S127" s="514"/>
      <c r="T127" s="514"/>
      <c r="U127" s="514"/>
      <c r="V127" s="514"/>
      <c r="W127" s="514"/>
      <c r="X127" s="514"/>
      <c r="Y127" s="514"/>
      <c r="Z127" s="514"/>
      <c r="AA127" s="514"/>
      <c r="AB127" s="514"/>
      <c r="AC127" s="514"/>
      <c r="AD127" s="514"/>
      <c r="AE127" s="698"/>
      <c r="AF127" s="514"/>
      <c r="AG127" s="527"/>
      <c r="AH127" s="527"/>
      <c r="AI127" s="946">
        <f t="shared" si="22"/>
        <v>0</v>
      </c>
      <c r="AJ127" s="521">
        <v>0</v>
      </c>
      <c r="AK127" s="520">
        <f t="shared" ref="AK127:AK145" si="23">AI127+AJ127</f>
        <v>0</v>
      </c>
      <c r="AL127" s="695"/>
      <c r="AM127" s="669">
        <f t="shared" ref="AM127:AM146" si="24">AL127-AK127</f>
        <v>0</v>
      </c>
    </row>
    <row r="128" spans="1:39" ht="13.35" hidden="1" customHeight="1">
      <c r="A128" s="440" t="s">
        <v>1114</v>
      </c>
      <c r="B128" s="543" t="s">
        <v>1438</v>
      </c>
      <c r="C128" s="616"/>
      <c r="D128" s="519"/>
      <c r="E128" s="520"/>
      <c r="F128" s="520"/>
      <c r="G128" s="520"/>
      <c r="H128" s="520"/>
      <c r="I128" s="521"/>
      <c r="J128" s="521"/>
      <c r="K128" s="521"/>
      <c r="L128" s="514"/>
      <c r="M128" s="514"/>
      <c r="N128" s="514"/>
      <c r="O128" s="514"/>
      <c r="P128" s="514"/>
      <c r="Q128" s="514"/>
      <c r="R128" s="514"/>
      <c r="S128" s="514"/>
      <c r="T128" s="514"/>
      <c r="U128" s="514"/>
      <c r="V128" s="514"/>
      <c r="W128" s="514"/>
      <c r="X128" s="514"/>
      <c r="Y128" s="514"/>
      <c r="Z128" s="514"/>
      <c r="AA128" s="514"/>
      <c r="AB128" s="514"/>
      <c r="AC128" s="514"/>
      <c r="AD128" s="514"/>
      <c r="AE128" s="698"/>
      <c r="AF128" s="514"/>
      <c r="AG128" s="527"/>
      <c r="AH128" s="527"/>
      <c r="AI128" s="946">
        <f t="shared" si="22"/>
        <v>0</v>
      </c>
      <c r="AJ128" s="521">
        <v>0</v>
      </c>
      <c r="AK128" s="520">
        <f t="shared" si="23"/>
        <v>0</v>
      </c>
      <c r="AL128" s="695"/>
      <c r="AM128" s="669">
        <f t="shared" si="24"/>
        <v>0</v>
      </c>
    </row>
    <row r="129" spans="1:39" ht="13.35" hidden="1" customHeight="1">
      <c r="A129" s="542" t="s">
        <v>1115</v>
      </c>
      <c r="B129" s="542" t="s">
        <v>1439</v>
      </c>
      <c r="C129" s="616"/>
      <c r="D129" s="519"/>
      <c r="E129" s="520"/>
      <c r="F129" s="520"/>
      <c r="G129" s="520"/>
      <c r="H129" s="520"/>
      <c r="I129" s="521"/>
      <c r="J129" s="521"/>
      <c r="K129" s="521"/>
      <c r="L129" s="514"/>
      <c r="M129" s="514"/>
      <c r="N129" s="514"/>
      <c r="O129" s="514"/>
      <c r="P129" s="514"/>
      <c r="Q129" s="514"/>
      <c r="R129" s="514"/>
      <c r="S129" s="514"/>
      <c r="T129" s="514"/>
      <c r="U129" s="514"/>
      <c r="V129" s="514"/>
      <c r="W129" s="514"/>
      <c r="X129" s="514"/>
      <c r="Y129" s="514"/>
      <c r="Z129" s="514"/>
      <c r="AA129" s="514"/>
      <c r="AB129" s="514"/>
      <c r="AC129" s="514"/>
      <c r="AD129" s="514"/>
      <c r="AE129" s="698"/>
      <c r="AF129" s="514"/>
      <c r="AG129" s="527"/>
      <c r="AH129" s="527"/>
      <c r="AI129" s="946">
        <f t="shared" si="22"/>
        <v>0</v>
      </c>
      <c r="AJ129" s="521">
        <v>0</v>
      </c>
      <c r="AK129" s="520">
        <f t="shared" si="23"/>
        <v>0</v>
      </c>
      <c r="AL129" s="695" t="s">
        <v>1455</v>
      </c>
      <c r="AM129" s="669">
        <f t="shared" si="24"/>
        <v>1</v>
      </c>
    </row>
    <row r="130" spans="1:39" ht="13.35" hidden="1" customHeight="1">
      <c r="A130" s="539" t="s">
        <v>1116</v>
      </c>
      <c r="B130" s="539" t="s">
        <v>1440</v>
      </c>
      <c r="C130" s="548" t="s">
        <v>1453</v>
      </c>
      <c r="D130" s="519"/>
      <c r="E130" s="520"/>
      <c r="F130" s="520"/>
      <c r="G130" s="520"/>
      <c r="H130" s="520"/>
      <c r="I130" s="521"/>
      <c r="J130" s="521"/>
      <c r="K130" s="521"/>
      <c r="L130" s="514"/>
      <c r="M130" s="514"/>
      <c r="N130" s="514"/>
      <c r="O130" s="514"/>
      <c r="P130" s="514"/>
      <c r="Q130" s="514"/>
      <c r="R130" s="514"/>
      <c r="S130" s="514"/>
      <c r="T130" s="514"/>
      <c r="U130" s="514"/>
      <c r="V130" s="514"/>
      <c r="W130" s="514"/>
      <c r="X130" s="514"/>
      <c r="Y130" s="514"/>
      <c r="Z130" s="514"/>
      <c r="AA130" s="514"/>
      <c r="AB130" s="514"/>
      <c r="AC130" s="514"/>
      <c r="AD130" s="514"/>
      <c r="AE130" s="698"/>
      <c r="AF130" s="514"/>
      <c r="AG130" s="527"/>
      <c r="AH130" s="527"/>
      <c r="AI130" s="946">
        <f t="shared" si="22"/>
        <v>0</v>
      </c>
      <c r="AJ130" s="521">
        <v>0</v>
      </c>
      <c r="AK130" s="520">
        <f t="shared" si="23"/>
        <v>0</v>
      </c>
      <c r="AL130" s="695"/>
      <c r="AM130" s="669">
        <f t="shared" si="24"/>
        <v>0</v>
      </c>
    </row>
    <row r="131" spans="1:39" ht="13.35" hidden="1" customHeight="1">
      <c r="A131" s="542" t="s">
        <v>1117</v>
      </c>
      <c r="B131" s="542" t="s">
        <v>1441</v>
      </c>
      <c r="C131" s="616"/>
      <c r="D131" s="519"/>
      <c r="E131" s="520"/>
      <c r="F131" s="520"/>
      <c r="G131" s="520"/>
      <c r="H131" s="520"/>
      <c r="I131" s="521"/>
      <c r="J131" s="521"/>
      <c r="K131" s="521"/>
      <c r="L131" s="514"/>
      <c r="M131" s="514"/>
      <c r="N131" s="514"/>
      <c r="O131" s="514"/>
      <c r="P131" s="514"/>
      <c r="Q131" s="514"/>
      <c r="R131" s="514"/>
      <c r="S131" s="514"/>
      <c r="T131" s="514"/>
      <c r="U131" s="514"/>
      <c r="V131" s="514"/>
      <c r="W131" s="514"/>
      <c r="X131" s="514"/>
      <c r="Y131" s="514"/>
      <c r="Z131" s="514"/>
      <c r="AA131" s="514"/>
      <c r="AB131" s="514"/>
      <c r="AC131" s="514"/>
      <c r="AD131" s="514"/>
      <c r="AE131" s="698"/>
      <c r="AF131" s="514"/>
      <c r="AG131" s="527"/>
      <c r="AH131" s="527"/>
      <c r="AI131" s="946">
        <f t="shared" si="22"/>
        <v>0</v>
      </c>
      <c r="AJ131" s="521">
        <v>0</v>
      </c>
      <c r="AK131" s="520">
        <f t="shared" si="23"/>
        <v>0</v>
      </c>
      <c r="AL131" s="695" t="s">
        <v>1698</v>
      </c>
      <c r="AM131" s="669">
        <f t="shared" si="24"/>
        <v>2</v>
      </c>
    </row>
    <row r="132" spans="1:39" ht="13.35" hidden="1" customHeight="1">
      <c r="A132" s="539" t="s">
        <v>1118</v>
      </c>
      <c r="B132" s="539" t="s">
        <v>1442</v>
      </c>
      <c r="C132" s="548" t="s">
        <v>1454</v>
      </c>
      <c r="D132" s="519"/>
      <c r="E132" s="520"/>
      <c r="F132" s="520"/>
      <c r="G132" s="520"/>
      <c r="H132" s="520"/>
      <c r="I132" s="521"/>
      <c r="J132" s="521"/>
      <c r="K132" s="521"/>
      <c r="L132" s="514"/>
      <c r="M132" s="514"/>
      <c r="N132" s="514"/>
      <c r="O132" s="514"/>
      <c r="P132" s="514"/>
      <c r="Q132" s="514"/>
      <c r="R132" s="514"/>
      <c r="S132" s="514"/>
      <c r="T132" s="514"/>
      <c r="U132" s="514"/>
      <c r="V132" s="514"/>
      <c r="W132" s="514"/>
      <c r="X132" s="514"/>
      <c r="Y132" s="514"/>
      <c r="Z132" s="514"/>
      <c r="AA132" s="514"/>
      <c r="AB132" s="514"/>
      <c r="AC132" s="514"/>
      <c r="AD132" s="514"/>
      <c r="AE132" s="698"/>
      <c r="AF132" s="514"/>
      <c r="AG132" s="527"/>
      <c r="AH132" s="527"/>
      <c r="AI132" s="946">
        <f t="shared" si="22"/>
        <v>0</v>
      </c>
      <c r="AJ132" s="521">
        <v>0</v>
      </c>
      <c r="AK132" s="520">
        <f t="shared" si="23"/>
        <v>0</v>
      </c>
      <c r="AL132" s="695"/>
      <c r="AM132" s="669">
        <f t="shared" si="24"/>
        <v>0</v>
      </c>
    </row>
    <row r="133" spans="1:39" ht="13.35" hidden="1" customHeight="1">
      <c r="A133" s="542" t="s">
        <v>1119</v>
      </c>
      <c r="B133" s="542" t="s">
        <v>1419</v>
      </c>
      <c r="C133" s="616"/>
      <c r="D133" s="519"/>
      <c r="E133" s="520"/>
      <c r="F133" s="520"/>
      <c r="G133" s="520"/>
      <c r="H133" s="520"/>
      <c r="I133" s="521"/>
      <c r="J133" s="521"/>
      <c r="K133" s="521"/>
      <c r="L133" s="514"/>
      <c r="M133" s="514"/>
      <c r="N133" s="514"/>
      <c r="O133" s="514"/>
      <c r="P133" s="514"/>
      <c r="Q133" s="514"/>
      <c r="R133" s="514"/>
      <c r="S133" s="514"/>
      <c r="T133" s="514"/>
      <c r="U133" s="514"/>
      <c r="V133" s="514"/>
      <c r="W133" s="514"/>
      <c r="X133" s="514"/>
      <c r="Y133" s="514"/>
      <c r="Z133" s="514"/>
      <c r="AA133" s="514"/>
      <c r="AB133" s="514"/>
      <c r="AC133" s="514"/>
      <c r="AD133" s="514"/>
      <c r="AE133" s="698"/>
      <c r="AF133" s="514"/>
      <c r="AG133" s="527"/>
      <c r="AH133" s="527"/>
      <c r="AI133" s="946">
        <f t="shared" si="22"/>
        <v>0</v>
      </c>
      <c r="AJ133" s="521">
        <v>0</v>
      </c>
      <c r="AK133" s="520">
        <f t="shared" si="23"/>
        <v>0</v>
      </c>
      <c r="AL133" s="695" t="s">
        <v>1771</v>
      </c>
      <c r="AM133" s="669">
        <f t="shared" si="24"/>
        <v>90</v>
      </c>
    </row>
    <row r="134" spans="1:39" ht="13.35" hidden="1" customHeight="1">
      <c r="A134" s="539" t="s">
        <v>1120</v>
      </c>
      <c r="B134" s="539" t="s">
        <v>1420</v>
      </c>
      <c r="C134" s="548" t="s">
        <v>38</v>
      </c>
      <c r="D134" s="519"/>
      <c r="E134" s="520"/>
      <c r="F134" s="520"/>
      <c r="G134" s="520"/>
      <c r="H134" s="520"/>
      <c r="I134" s="521"/>
      <c r="J134" s="521"/>
      <c r="K134" s="521"/>
      <c r="L134" s="514"/>
      <c r="M134" s="514"/>
      <c r="N134" s="514"/>
      <c r="O134" s="514"/>
      <c r="P134" s="514"/>
      <c r="Q134" s="514"/>
      <c r="R134" s="514"/>
      <c r="S134" s="514"/>
      <c r="T134" s="514"/>
      <c r="U134" s="514"/>
      <c r="V134" s="514"/>
      <c r="W134" s="514"/>
      <c r="X134" s="514"/>
      <c r="Y134" s="514"/>
      <c r="Z134" s="514"/>
      <c r="AA134" s="514"/>
      <c r="AB134" s="514"/>
      <c r="AC134" s="514"/>
      <c r="AD134" s="514"/>
      <c r="AE134" s="698"/>
      <c r="AF134" s="514"/>
      <c r="AG134" s="527"/>
      <c r="AH134" s="527"/>
      <c r="AI134" s="946">
        <f t="shared" si="22"/>
        <v>0</v>
      </c>
      <c r="AJ134" s="521">
        <v>0</v>
      </c>
      <c r="AK134" s="520">
        <f t="shared" si="23"/>
        <v>0</v>
      </c>
      <c r="AL134" s="695"/>
      <c r="AM134" s="669">
        <f t="shared" si="24"/>
        <v>0</v>
      </c>
    </row>
    <row r="135" spans="1:39" ht="13.35" hidden="1" customHeight="1">
      <c r="A135" s="542" t="s">
        <v>1121</v>
      </c>
      <c r="B135" s="542" t="s">
        <v>1421</v>
      </c>
      <c r="C135" s="616"/>
      <c r="D135" s="519"/>
      <c r="E135" s="520"/>
      <c r="F135" s="520"/>
      <c r="G135" s="520"/>
      <c r="H135" s="520"/>
      <c r="I135" s="521"/>
      <c r="J135" s="521"/>
      <c r="K135" s="521"/>
      <c r="L135" s="514"/>
      <c r="M135" s="514"/>
      <c r="N135" s="514"/>
      <c r="O135" s="514"/>
      <c r="P135" s="514"/>
      <c r="Q135" s="514"/>
      <c r="R135" s="514"/>
      <c r="S135" s="514"/>
      <c r="T135" s="514"/>
      <c r="U135" s="514"/>
      <c r="V135" s="514"/>
      <c r="W135" s="514"/>
      <c r="X135" s="514"/>
      <c r="Y135" s="514"/>
      <c r="Z135" s="514"/>
      <c r="AA135" s="514"/>
      <c r="AB135" s="514"/>
      <c r="AC135" s="514"/>
      <c r="AD135" s="514"/>
      <c r="AE135" s="698"/>
      <c r="AF135" s="514"/>
      <c r="AG135" s="527"/>
      <c r="AH135" s="527"/>
      <c r="AI135" s="946">
        <f t="shared" si="22"/>
        <v>0</v>
      </c>
      <c r="AJ135" s="521">
        <v>0</v>
      </c>
      <c r="AK135" s="520">
        <f t="shared" si="23"/>
        <v>0</v>
      </c>
      <c r="AL135" s="695">
        <v>12</v>
      </c>
      <c r="AM135" s="669">
        <f t="shared" si="24"/>
        <v>12</v>
      </c>
    </row>
    <row r="136" spans="1:39" ht="13.35" hidden="1" customHeight="1">
      <c r="A136" s="539" t="s">
        <v>1122</v>
      </c>
      <c r="B136" s="539" t="s">
        <v>1443</v>
      </c>
      <c r="C136" s="548" t="s">
        <v>38</v>
      </c>
      <c r="D136" s="519"/>
      <c r="E136" s="520"/>
      <c r="F136" s="520"/>
      <c r="G136" s="520"/>
      <c r="H136" s="520"/>
      <c r="I136" s="521"/>
      <c r="J136" s="521"/>
      <c r="K136" s="521"/>
      <c r="L136" s="514"/>
      <c r="M136" s="514"/>
      <c r="N136" s="514"/>
      <c r="O136" s="514"/>
      <c r="P136" s="514"/>
      <c r="Q136" s="514"/>
      <c r="R136" s="514"/>
      <c r="S136" s="514"/>
      <c r="T136" s="514"/>
      <c r="U136" s="514"/>
      <c r="V136" s="514"/>
      <c r="W136" s="514"/>
      <c r="X136" s="514"/>
      <c r="Y136" s="514"/>
      <c r="Z136" s="514"/>
      <c r="AA136" s="514"/>
      <c r="AB136" s="514"/>
      <c r="AC136" s="514"/>
      <c r="AD136" s="514"/>
      <c r="AE136" s="698"/>
      <c r="AF136" s="514"/>
      <c r="AG136" s="527"/>
      <c r="AH136" s="527"/>
      <c r="AI136" s="946">
        <f t="shared" si="22"/>
        <v>0</v>
      </c>
      <c r="AJ136" s="521">
        <v>0</v>
      </c>
      <c r="AK136" s="520">
        <f t="shared" si="23"/>
        <v>0</v>
      </c>
      <c r="AL136" s="695">
        <v>106</v>
      </c>
      <c r="AM136" s="669">
        <f t="shared" si="24"/>
        <v>106</v>
      </c>
    </row>
    <row r="137" spans="1:39" ht="13.35" hidden="1" customHeight="1">
      <c r="A137" s="539" t="s">
        <v>1123</v>
      </c>
      <c r="B137" s="539" t="s">
        <v>1444</v>
      </c>
      <c r="C137" s="548" t="s">
        <v>38</v>
      </c>
      <c r="D137" s="519"/>
      <c r="E137" s="520"/>
      <c r="F137" s="520"/>
      <c r="G137" s="520"/>
      <c r="H137" s="520"/>
      <c r="I137" s="521"/>
      <c r="J137" s="521"/>
      <c r="K137" s="521"/>
      <c r="L137" s="514"/>
      <c r="M137" s="514"/>
      <c r="N137" s="514"/>
      <c r="O137" s="514"/>
      <c r="P137" s="514"/>
      <c r="Q137" s="514"/>
      <c r="R137" s="514"/>
      <c r="S137" s="514"/>
      <c r="T137" s="514"/>
      <c r="U137" s="514"/>
      <c r="V137" s="514"/>
      <c r="W137" s="514"/>
      <c r="X137" s="514"/>
      <c r="Y137" s="514"/>
      <c r="Z137" s="514"/>
      <c r="AA137" s="514"/>
      <c r="AB137" s="514"/>
      <c r="AC137" s="514"/>
      <c r="AD137" s="514"/>
      <c r="AE137" s="698"/>
      <c r="AF137" s="514"/>
      <c r="AG137" s="527"/>
      <c r="AH137" s="527"/>
      <c r="AI137" s="946">
        <f t="shared" si="22"/>
        <v>0</v>
      </c>
      <c r="AJ137" s="521">
        <v>0</v>
      </c>
      <c r="AK137" s="520">
        <f t="shared" si="23"/>
        <v>0</v>
      </c>
      <c r="AL137" s="695"/>
      <c r="AM137" s="669">
        <f t="shared" si="24"/>
        <v>0</v>
      </c>
    </row>
    <row r="138" spans="1:39" ht="13.35" hidden="1" customHeight="1">
      <c r="A138" s="542" t="s">
        <v>1124</v>
      </c>
      <c r="B138" s="542" t="s">
        <v>1423</v>
      </c>
      <c r="C138" s="616"/>
      <c r="D138" s="519"/>
      <c r="E138" s="520"/>
      <c r="F138" s="520"/>
      <c r="G138" s="520"/>
      <c r="H138" s="520"/>
      <c r="I138" s="521"/>
      <c r="J138" s="521"/>
      <c r="K138" s="521"/>
      <c r="L138" s="514"/>
      <c r="M138" s="514"/>
      <c r="N138" s="514"/>
      <c r="O138" s="514"/>
      <c r="P138" s="514"/>
      <c r="Q138" s="514"/>
      <c r="R138" s="514"/>
      <c r="S138" s="514"/>
      <c r="T138" s="514"/>
      <c r="U138" s="514"/>
      <c r="V138" s="514"/>
      <c r="W138" s="514"/>
      <c r="X138" s="514"/>
      <c r="Y138" s="514"/>
      <c r="Z138" s="514"/>
      <c r="AA138" s="514"/>
      <c r="AB138" s="514"/>
      <c r="AC138" s="514"/>
      <c r="AD138" s="514"/>
      <c r="AE138" s="698"/>
      <c r="AF138" s="514"/>
      <c r="AG138" s="527"/>
      <c r="AH138" s="527"/>
      <c r="AI138" s="946">
        <f t="shared" si="22"/>
        <v>0</v>
      </c>
      <c r="AJ138" s="521">
        <v>0</v>
      </c>
      <c r="AK138" s="520">
        <f t="shared" si="23"/>
        <v>0</v>
      </c>
      <c r="AL138" s="695">
        <v>106</v>
      </c>
      <c r="AM138" s="669">
        <f t="shared" si="24"/>
        <v>106</v>
      </c>
    </row>
    <row r="139" spans="1:39" ht="13.35" hidden="1" customHeight="1">
      <c r="A139" s="539" t="s">
        <v>1125</v>
      </c>
      <c r="B139" s="539" t="s">
        <v>1445</v>
      </c>
      <c r="C139" s="548" t="s">
        <v>38</v>
      </c>
      <c r="D139" s="519"/>
      <c r="E139" s="520"/>
      <c r="F139" s="520"/>
      <c r="G139" s="520"/>
      <c r="H139" s="520"/>
      <c r="I139" s="521"/>
      <c r="J139" s="521"/>
      <c r="K139" s="521"/>
      <c r="L139" s="514"/>
      <c r="M139" s="514"/>
      <c r="N139" s="514"/>
      <c r="O139" s="514"/>
      <c r="P139" s="514"/>
      <c r="Q139" s="514"/>
      <c r="R139" s="514"/>
      <c r="S139" s="514"/>
      <c r="T139" s="514"/>
      <c r="U139" s="514"/>
      <c r="V139" s="514"/>
      <c r="W139" s="514"/>
      <c r="X139" s="514"/>
      <c r="Y139" s="514"/>
      <c r="Z139" s="514"/>
      <c r="AA139" s="514"/>
      <c r="AB139" s="514"/>
      <c r="AC139" s="514"/>
      <c r="AD139" s="514"/>
      <c r="AE139" s="698"/>
      <c r="AF139" s="514"/>
      <c r="AG139" s="527"/>
      <c r="AH139" s="527"/>
      <c r="AI139" s="946">
        <f t="shared" si="22"/>
        <v>0</v>
      </c>
      <c r="AJ139" s="521">
        <v>0</v>
      </c>
      <c r="AK139" s="520">
        <f t="shared" si="23"/>
        <v>0</v>
      </c>
      <c r="AL139" s="695"/>
      <c r="AM139" s="669">
        <f t="shared" si="24"/>
        <v>0</v>
      </c>
    </row>
    <row r="140" spans="1:39" ht="13.35" hidden="1" customHeight="1">
      <c r="A140" s="542" t="s">
        <v>1126</v>
      </c>
      <c r="B140" s="542" t="s">
        <v>1416</v>
      </c>
      <c r="C140" s="616"/>
      <c r="D140" s="519"/>
      <c r="E140" s="520"/>
      <c r="F140" s="520"/>
      <c r="G140" s="520"/>
      <c r="H140" s="520"/>
      <c r="I140" s="521"/>
      <c r="J140" s="521"/>
      <c r="K140" s="521"/>
      <c r="L140" s="514"/>
      <c r="M140" s="514"/>
      <c r="N140" s="514"/>
      <c r="O140" s="514"/>
      <c r="P140" s="514"/>
      <c r="Q140" s="514"/>
      <c r="R140" s="514"/>
      <c r="S140" s="514"/>
      <c r="T140" s="514"/>
      <c r="U140" s="514"/>
      <c r="V140" s="514"/>
      <c r="W140" s="514"/>
      <c r="X140" s="514"/>
      <c r="Y140" s="514"/>
      <c r="Z140" s="514"/>
      <c r="AA140" s="514"/>
      <c r="AB140" s="514"/>
      <c r="AC140" s="514"/>
      <c r="AD140" s="514"/>
      <c r="AE140" s="698"/>
      <c r="AF140" s="514"/>
      <c r="AG140" s="527"/>
      <c r="AH140" s="527"/>
      <c r="AI140" s="946">
        <f t="shared" si="22"/>
        <v>0</v>
      </c>
      <c r="AJ140" s="521">
        <v>0</v>
      </c>
      <c r="AK140" s="520">
        <f t="shared" si="23"/>
        <v>0</v>
      </c>
      <c r="AL140" s="695">
        <v>5</v>
      </c>
      <c r="AM140" s="669">
        <f t="shared" si="24"/>
        <v>5</v>
      </c>
    </row>
    <row r="141" spans="1:39" ht="13.35" hidden="1" customHeight="1">
      <c r="A141" s="539" t="s">
        <v>1127</v>
      </c>
      <c r="B141" s="539" t="s">
        <v>1417</v>
      </c>
      <c r="C141" s="548" t="s">
        <v>36</v>
      </c>
      <c r="D141" s="519"/>
      <c r="E141" s="520"/>
      <c r="F141" s="520"/>
      <c r="G141" s="520"/>
      <c r="H141" s="520"/>
      <c r="I141" s="521"/>
      <c r="J141" s="521"/>
      <c r="K141" s="521"/>
      <c r="L141" s="514"/>
      <c r="M141" s="514"/>
      <c r="N141" s="514"/>
      <c r="O141" s="514"/>
      <c r="P141" s="514"/>
      <c r="Q141" s="514"/>
      <c r="R141" s="514"/>
      <c r="S141" s="514"/>
      <c r="T141" s="514"/>
      <c r="U141" s="514"/>
      <c r="V141" s="514"/>
      <c r="W141" s="514"/>
      <c r="X141" s="514"/>
      <c r="Y141" s="514"/>
      <c r="Z141" s="514"/>
      <c r="AA141" s="514"/>
      <c r="AB141" s="514"/>
      <c r="AC141" s="514"/>
      <c r="AD141" s="514"/>
      <c r="AE141" s="698"/>
      <c r="AF141" s="514"/>
      <c r="AG141" s="527"/>
      <c r="AH141" s="527"/>
      <c r="AI141" s="946">
        <f t="shared" si="22"/>
        <v>0</v>
      </c>
      <c r="AJ141" s="521">
        <v>0</v>
      </c>
      <c r="AK141" s="520">
        <f t="shared" si="23"/>
        <v>0</v>
      </c>
      <c r="AL141" s="695"/>
      <c r="AM141" s="669">
        <f t="shared" si="24"/>
        <v>0</v>
      </c>
    </row>
    <row r="142" spans="1:39" ht="13.35" hidden="1" customHeight="1">
      <c r="A142" s="542" t="s">
        <v>1128</v>
      </c>
      <c r="B142" s="542" t="s">
        <v>1446</v>
      </c>
      <c r="C142" s="616"/>
      <c r="D142" s="519"/>
      <c r="E142" s="520"/>
      <c r="F142" s="520"/>
      <c r="G142" s="520"/>
      <c r="H142" s="520"/>
      <c r="I142" s="521"/>
      <c r="J142" s="521"/>
      <c r="K142" s="521"/>
      <c r="L142" s="514"/>
      <c r="M142" s="514"/>
      <c r="N142" s="514"/>
      <c r="O142" s="514"/>
      <c r="P142" s="514"/>
      <c r="Q142" s="514"/>
      <c r="R142" s="514"/>
      <c r="S142" s="514"/>
      <c r="T142" s="514"/>
      <c r="U142" s="514"/>
      <c r="V142" s="514"/>
      <c r="W142" s="514"/>
      <c r="X142" s="514"/>
      <c r="Y142" s="514"/>
      <c r="Z142" s="514"/>
      <c r="AA142" s="514"/>
      <c r="AB142" s="514"/>
      <c r="AC142" s="514"/>
      <c r="AD142" s="514"/>
      <c r="AE142" s="698"/>
      <c r="AF142" s="514"/>
      <c r="AG142" s="527"/>
      <c r="AH142" s="527"/>
      <c r="AI142" s="946">
        <f t="shared" si="22"/>
        <v>0</v>
      </c>
      <c r="AJ142" s="521">
        <v>0</v>
      </c>
      <c r="AK142" s="520">
        <f t="shared" si="23"/>
        <v>0</v>
      </c>
      <c r="AL142" s="695">
        <v>1</v>
      </c>
      <c r="AM142" s="669">
        <f t="shared" si="24"/>
        <v>1</v>
      </c>
    </row>
    <row r="143" spans="1:39" ht="13.35" hidden="1" customHeight="1">
      <c r="A143" s="539" t="s">
        <v>1129</v>
      </c>
      <c r="B143" s="539" t="s">
        <v>1447</v>
      </c>
      <c r="C143" s="548" t="s">
        <v>64</v>
      </c>
      <c r="D143" s="519"/>
      <c r="E143" s="520"/>
      <c r="F143" s="520"/>
      <c r="G143" s="520"/>
      <c r="H143" s="520"/>
      <c r="I143" s="521"/>
      <c r="J143" s="521"/>
      <c r="K143" s="521"/>
      <c r="L143" s="514"/>
      <c r="M143" s="514"/>
      <c r="N143" s="514"/>
      <c r="O143" s="514"/>
      <c r="P143" s="514"/>
      <c r="Q143" s="514"/>
      <c r="R143" s="514"/>
      <c r="S143" s="514"/>
      <c r="T143" s="514"/>
      <c r="U143" s="514"/>
      <c r="V143" s="514"/>
      <c r="W143" s="514"/>
      <c r="X143" s="514"/>
      <c r="Y143" s="514"/>
      <c r="Z143" s="514"/>
      <c r="AA143" s="514"/>
      <c r="AB143" s="514"/>
      <c r="AC143" s="514"/>
      <c r="AD143" s="514"/>
      <c r="AE143" s="698"/>
      <c r="AF143" s="514"/>
      <c r="AG143" s="527"/>
      <c r="AH143" s="527"/>
      <c r="AI143" s="946">
        <f t="shared" si="22"/>
        <v>0</v>
      </c>
      <c r="AJ143" s="521">
        <v>0</v>
      </c>
      <c r="AK143" s="520">
        <f t="shared" si="23"/>
        <v>0</v>
      </c>
      <c r="AL143" s="695"/>
      <c r="AM143" s="669">
        <f t="shared" si="24"/>
        <v>0</v>
      </c>
    </row>
    <row r="144" spans="1:39" ht="13.35" hidden="1" customHeight="1">
      <c r="A144" s="542" t="s">
        <v>1130</v>
      </c>
      <c r="B144" s="542" t="s">
        <v>1448</v>
      </c>
      <c r="C144" s="792"/>
      <c r="D144" s="520"/>
      <c r="E144" s="520"/>
      <c r="F144" s="520"/>
      <c r="G144" s="520"/>
      <c r="H144" s="520"/>
      <c r="I144" s="521"/>
      <c r="J144" s="521"/>
      <c r="K144" s="521"/>
      <c r="L144" s="527"/>
      <c r="M144" s="527"/>
      <c r="N144" s="527"/>
      <c r="O144" s="527"/>
      <c r="P144" s="527"/>
      <c r="Q144" s="527"/>
      <c r="R144" s="527"/>
      <c r="S144" s="527"/>
      <c r="T144" s="527"/>
      <c r="U144" s="527"/>
      <c r="V144" s="527"/>
      <c r="W144" s="527"/>
      <c r="X144" s="527"/>
      <c r="Y144" s="527"/>
      <c r="Z144" s="527"/>
      <c r="AA144" s="527"/>
      <c r="AB144" s="527"/>
      <c r="AC144" s="527"/>
      <c r="AD144" s="527"/>
      <c r="AE144" s="868"/>
      <c r="AF144" s="527"/>
      <c r="AG144" s="527"/>
      <c r="AH144" s="527"/>
      <c r="AI144" s="946">
        <f t="shared" si="22"/>
        <v>0</v>
      </c>
      <c r="AJ144" s="521">
        <v>1</v>
      </c>
      <c r="AK144" s="520">
        <f t="shared" si="23"/>
        <v>1</v>
      </c>
      <c r="AL144" s="695"/>
      <c r="AM144" s="669">
        <f t="shared" si="24"/>
        <v>-1</v>
      </c>
    </row>
    <row r="145" spans="1:39" ht="14.1" hidden="1" customHeight="1">
      <c r="A145" s="554" t="s">
        <v>1131</v>
      </c>
      <c r="B145" s="554" t="s">
        <v>1449</v>
      </c>
      <c r="C145" s="793" t="s">
        <v>64</v>
      </c>
      <c r="D145" s="520"/>
      <c r="E145" s="520"/>
      <c r="F145" s="520"/>
      <c r="G145" s="520"/>
      <c r="H145" s="520"/>
      <c r="I145" s="521"/>
      <c r="J145" s="521"/>
      <c r="K145" s="521"/>
      <c r="L145" s="527"/>
      <c r="M145" s="527"/>
      <c r="N145" s="527"/>
      <c r="O145" s="527"/>
      <c r="P145" s="527"/>
      <c r="Q145" s="527"/>
      <c r="R145" s="527"/>
      <c r="S145" s="527"/>
      <c r="T145" s="527"/>
      <c r="U145" s="527"/>
      <c r="V145" s="527"/>
      <c r="W145" s="527"/>
      <c r="X145" s="527"/>
      <c r="Y145" s="527"/>
      <c r="Z145" s="527"/>
      <c r="AA145" s="527"/>
      <c r="AB145" s="527"/>
      <c r="AC145" s="527"/>
      <c r="AD145" s="527"/>
      <c r="AE145" s="868"/>
      <c r="AF145" s="527"/>
      <c r="AG145" s="527"/>
      <c r="AH145" s="527"/>
      <c r="AI145" s="946">
        <f t="shared" si="22"/>
        <v>0</v>
      </c>
      <c r="AJ145" s="521">
        <v>2</v>
      </c>
      <c r="AK145" s="520">
        <f t="shared" si="23"/>
        <v>2</v>
      </c>
      <c r="AL145" s="695"/>
      <c r="AM145" s="669">
        <f t="shared" si="24"/>
        <v>-2</v>
      </c>
    </row>
    <row r="146" spans="1:39" ht="14.1" customHeight="1" thickBot="1">
      <c r="A146" s="556"/>
      <c r="B146" s="557" t="s">
        <v>2</v>
      </c>
      <c r="C146" s="531"/>
      <c r="D146" s="794"/>
      <c r="E146" s="794"/>
      <c r="F146" s="794"/>
      <c r="G146" s="795"/>
      <c r="H146" s="795"/>
      <c r="I146" s="794"/>
      <c r="J146" s="795"/>
      <c r="K146" s="795"/>
      <c r="L146" s="791"/>
      <c r="M146" s="791"/>
      <c r="N146" s="791"/>
      <c r="O146" s="791"/>
      <c r="P146" s="791"/>
      <c r="Q146" s="791"/>
      <c r="R146" s="791"/>
      <c r="S146" s="791"/>
      <c r="T146" s="791"/>
      <c r="U146" s="791"/>
      <c r="V146" s="791"/>
      <c r="W146" s="791"/>
      <c r="X146" s="791"/>
      <c r="Y146" s="791"/>
      <c r="Z146" s="791"/>
      <c r="AA146" s="791"/>
      <c r="AB146" s="791"/>
      <c r="AC146" s="791"/>
      <c r="AD146" s="791"/>
      <c r="AE146" s="941"/>
      <c r="AF146" s="791"/>
      <c r="AG146" s="791"/>
      <c r="AH146" s="791"/>
      <c r="AI146" s="954"/>
      <c r="AJ146" s="671"/>
      <c r="AK146" s="671"/>
      <c r="AL146" s="696">
        <f>AK146/10</f>
        <v>0</v>
      </c>
      <c r="AM146" s="669">
        <f t="shared" si="24"/>
        <v>0</v>
      </c>
    </row>
  </sheetData>
  <mergeCells count="8">
    <mergeCell ref="A9:A10"/>
    <mergeCell ref="B9:B10"/>
    <mergeCell ref="A1:X1"/>
    <mergeCell ref="A2:X2"/>
    <mergeCell ref="B4:L4"/>
    <mergeCell ref="B5:AA5"/>
    <mergeCell ref="Q7:V7"/>
    <mergeCell ref="W7:Z7"/>
  </mergeCells>
  <pageMargins left="0.7" right="0.7" top="0.75" bottom="0.75" header="0.3" footer="0.3"/>
  <pageSetup scale="27" orientation="portrait" r:id="rId1"/>
  <colBreaks count="1" manualBreakCount="1">
    <brk id="35" max="1048575" man="1"/>
  </colBreaks>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2060"/>
  </sheetPr>
  <dimension ref="A1:AQ78"/>
  <sheetViews>
    <sheetView workbookViewId="0">
      <selection sqref="A1:X1"/>
    </sheetView>
  </sheetViews>
  <sheetFormatPr baseColWidth="10" defaultColWidth="11.42578125" defaultRowHeight="12.75"/>
  <cols>
    <col min="1" max="1" width="11.5703125" style="552" customWidth="1"/>
    <col min="2" max="2" width="99.42578125" style="550" customWidth="1"/>
    <col min="3" max="3" width="5" style="498" customWidth="1"/>
    <col min="4" max="29" width="7" style="498" customWidth="1"/>
    <col min="30" max="30" width="7" style="499" customWidth="1"/>
    <col min="31" max="31" width="10.42578125" style="499" customWidth="1"/>
    <col min="32" max="33" width="7" style="499" customWidth="1"/>
    <col min="34" max="34" width="7" style="499" hidden="1" customWidth="1"/>
    <col min="35" max="36" width="9.42578125" style="498" customWidth="1"/>
    <col min="37" max="37" width="8.42578125" style="498" customWidth="1"/>
    <col min="38" max="38" width="11.42578125" style="498" customWidth="1"/>
    <col min="39" max="256" width="11.42578125" style="498"/>
    <col min="257" max="257" width="6.42578125" style="498" customWidth="1"/>
    <col min="258" max="258" width="47.5703125" style="498" customWidth="1"/>
    <col min="259" max="260" width="5" style="498" customWidth="1"/>
    <col min="261" max="261" width="5.42578125" style="498" customWidth="1"/>
    <col min="262" max="262" width="4.5703125" style="498" customWidth="1"/>
    <col min="263" max="264" width="4.42578125" style="498" customWidth="1"/>
    <col min="265" max="265" width="3.5703125" style="498" customWidth="1"/>
    <col min="266" max="266" width="5" style="498" customWidth="1"/>
    <col min="267" max="267" width="4" style="498" customWidth="1"/>
    <col min="268" max="269" width="4.5703125" style="498" customWidth="1"/>
    <col min="270" max="270" width="4.42578125" style="498" customWidth="1"/>
    <col min="271" max="271" width="4" style="498" customWidth="1"/>
    <col min="272" max="272" width="3.5703125" style="498" customWidth="1"/>
    <col min="273" max="274" width="4.5703125" style="498" customWidth="1"/>
    <col min="275" max="275" width="4" style="498" customWidth="1"/>
    <col min="276" max="277" width="4.42578125" style="498" customWidth="1"/>
    <col min="278" max="278" width="3.5703125" style="498" customWidth="1"/>
    <col min="279" max="279" width="4.42578125" style="498" customWidth="1"/>
    <col min="280" max="280" width="5.5703125" style="498" customWidth="1"/>
    <col min="281" max="281" width="3.5703125" style="498" customWidth="1"/>
    <col min="282" max="282" width="4" style="498" customWidth="1"/>
    <col min="283" max="283" width="4.5703125" style="498" customWidth="1"/>
    <col min="284" max="286" width="4.42578125" style="498" customWidth="1"/>
    <col min="287" max="288" width="4.5703125" style="498" customWidth="1"/>
    <col min="289" max="289" width="4" style="498" customWidth="1"/>
    <col min="290" max="290" width="4.5703125" style="498" customWidth="1"/>
    <col min="291" max="291" width="6" style="498" customWidth="1"/>
    <col min="292" max="292" width="8.5703125" style="498" customWidth="1"/>
    <col min="293" max="512" width="11.42578125" style="498"/>
    <col min="513" max="513" width="6.42578125" style="498" customWidth="1"/>
    <col min="514" max="514" width="47.5703125" style="498" customWidth="1"/>
    <col min="515" max="516" width="5" style="498" customWidth="1"/>
    <col min="517" max="517" width="5.42578125" style="498" customWidth="1"/>
    <col min="518" max="518" width="4.5703125" style="498" customWidth="1"/>
    <col min="519" max="520" width="4.42578125" style="498" customWidth="1"/>
    <col min="521" max="521" width="3.5703125" style="498" customWidth="1"/>
    <col min="522" max="522" width="5" style="498" customWidth="1"/>
    <col min="523" max="523" width="4" style="498" customWidth="1"/>
    <col min="524" max="525" width="4.5703125" style="498" customWidth="1"/>
    <col min="526" max="526" width="4.42578125" style="498" customWidth="1"/>
    <col min="527" max="527" width="4" style="498" customWidth="1"/>
    <col min="528" max="528" width="3.5703125" style="498" customWidth="1"/>
    <col min="529" max="530" width="4.5703125" style="498" customWidth="1"/>
    <col min="531" max="531" width="4" style="498" customWidth="1"/>
    <col min="532" max="533" width="4.42578125" style="498" customWidth="1"/>
    <col min="534" max="534" width="3.5703125" style="498" customWidth="1"/>
    <col min="535" max="535" width="4.42578125" style="498" customWidth="1"/>
    <col min="536" max="536" width="5.5703125" style="498" customWidth="1"/>
    <col min="537" max="537" width="3.5703125" style="498" customWidth="1"/>
    <col min="538" max="538" width="4" style="498" customWidth="1"/>
    <col min="539" max="539" width="4.5703125" style="498" customWidth="1"/>
    <col min="540" max="542" width="4.42578125" style="498" customWidth="1"/>
    <col min="543" max="544" width="4.5703125" style="498" customWidth="1"/>
    <col min="545" max="545" width="4" style="498" customWidth="1"/>
    <col min="546" max="546" width="4.5703125" style="498" customWidth="1"/>
    <col min="547" max="547" width="6" style="498" customWidth="1"/>
    <col min="548" max="548" width="8.5703125" style="498" customWidth="1"/>
    <col min="549" max="768" width="11.42578125" style="498"/>
    <col min="769" max="769" width="6.42578125" style="498" customWidth="1"/>
    <col min="770" max="770" width="47.5703125" style="498" customWidth="1"/>
    <col min="771" max="772" width="5" style="498" customWidth="1"/>
    <col min="773" max="773" width="5.42578125" style="498" customWidth="1"/>
    <col min="774" max="774" width="4.5703125" style="498" customWidth="1"/>
    <col min="775" max="776" width="4.42578125" style="498" customWidth="1"/>
    <col min="777" max="777" width="3.5703125" style="498" customWidth="1"/>
    <col min="778" max="778" width="5" style="498" customWidth="1"/>
    <col min="779" max="779" width="4" style="498" customWidth="1"/>
    <col min="780" max="781" width="4.5703125" style="498" customWidth="1"/>
    <col min="782" max="782" width="4.42578125" style="498" customWidth="1"/>
    <col min="783" max="783" width="4" style="498" customWidth="1"/>
    <col min="784" max="784" width="3.5703125" style="498" customWidth="1"/>
    <col min="785" max="786" width="4.5703125" style="498" customWidth="1"/>
    <col min="787" max="787" width="4" style="498" customWidth="1"/>
    <col min="788" max="789" width="4.42578125" style="498" customWidth="1"/>
    <col min="790" max="790" width="3.5703125" style="498" customWidth="1"/>
    <col min="791" max="791" width="4.42578125" style="498" customWidth="1"/>
    <col min="792" max="792" width="5.5703125" style="498" customWidth="1"/>
    <col min="793" max="793" width="3.5703125" style="498" customWidth="1"/>
    <col min="794" max="794" width="4" style="498" customWidth="1"/>
    <col min="795" max="795" width="4.5703125" style="498" customWidth="1"/>
    <col min="796" max="798" width="4.42578125" style="498" customWidth="1"/>
    <col min="799" max="800" width="4.5703125" style="498" customWidth="1"/>
    <col min="801" max="801" width="4" style="498" customWidth="1"/>
    <col min="802" max="802" width="4.5703125" style="498" customWidth="1"/>
    <col min="803" max="803" width="6" style="498" customWidth="1"/>
    <col min="804" max="804" width="8.5703125" style="498" customWidth="1"/>
    <col min="805" max="1024" width="11.42578125" style="498"/>
    <col min="1025" max="1025" width="6.42578125" style="498" customWidth="1"/>
    <col min="1026" max="1026" width="47.5703125" style="498" customWidth="1"/>
    <col min="1027" max="1028" width="5" style="498" customWidth="1"/>
    <col min="1029" max="1029" width="5.42578125" style="498" customWidth="1"/>
    <col min="1030" max="1030" width="4.5703125" style="498" customWidth="1"/>
    <col min="1031" max="1032" width="4.42578125" style="498" customWidth="1"/>
    <col min="1033" max="1033" width="3.5703125" style="498" customWidth="1"/>
    <col min="1034" max="1034" width="5" style="498" customWidth="1"/>
    <col min="1035" max="1035" width="4" style="498" customWidth="1"/>
    <col min="1036" max="1037" width="4.5703125" style="498" customWidth="1"/>
    <col min="1038" max="1038" width="4.42578125" style="498" customWidth="1"/>
    <col min="1039" max="1039" width="4" style="498" customWidth="1"/>
    <col min="1040" max="1040" width="3.5703125" style="498" customWidth="1"/>
    <col min="1041" max="1042" width="4.5703125" style="498" customWidth="1"/>
    <col min="1043" max="1043" width="4" style="498" customWidth="1"/>
    <col min="1044" max="1045" width="4.42578125" style="498" customWidth="1"/>
    <col min="1046" max="1046" width="3.5703125" style="498" customWidth="1"/>
    <col min="1047" max="1047" width="4.42578125" style="498" customWidth="1"/>
    <col min="1048" max="1048" width="5.5703125" style="498" customWidth="1"/>
    <col min="1049" max="1049" width="3.5703125" style="498" customWidth="1"/>
    <col min="1050" max="1050" width="4" style="498" customWidth="1"/>
    <col min="1051" max="1051" width="4.5703125" style="498" customWidth="1"/>
    <col min="1052" max="1054" width="4.42578125" style="498" customWidth="1"/>
    <col min="1055" max="1056" width="4.5703125" style="498" customWidth="1"/>
    <col min="1057" max="1057" width="4" style="498" customWidth="1"/>
    <col min="1058" max="1058" width="4.5703125" style="498" customWidth="1"/>
    <col min="1059" max="1059" width="6" style="498" customWidth="1"/>
    <col min="1060" max="1060" width="8.5703125" style="498" customWidth="1"/>
    <col min="1061" max="1280" width="11.42578125" style="498"/>
    <col min="1281" max="1281" width="6.42578125" style="498" customWidth="1"/>
    <col min="1282" max="1282" width="47.5703125" style="498" customWidth="1"/>
    <col min="1283" max="1284" width="5" style="498" customWidth="1"/>
    <col min="1285" max="1285" width="5.42578125" style="498" customWidth="1"/>
    <col min="1286" max="1286" width="4.5703125" style="498" customWidth="1"/>
    <col min="1287" max="1288" width="4.42578125" style="498" customWidth="1"/>
    <col min="1289" max="1289" width="3.5703125" style="498" customWidth="1"/>
    <col min="1290" max="1290" width="5" style="498" customWidth="1"/>
    <col min="1291" max="1291" width="4" style="498" customWidth="1"/>
    <col min="1292" max="1293" width="4.5703125" style="498" customWidth="1"/>
    <col min="1294" max="1294" width="4.42578125" style="498" customWidth="1"/>
    <col min="1295" max="1295" width="4" style="498" customWidth="1"/>
    <col min="1296" max="1296" width="3.5703125" style="498" customWidth="1"/>
    <col min="1297" max="1298" width="4.5703125" style="498" customWidth="1"/>
    <col min="1299" max="1299" width="4" style="498" customWidth="1"/>
    <col min="1300" max="1301" width="4.42578125" style="498" customWidth="1"/>
    <col min="1302" max="1302" width="3.5703125" style="498" customWidth="1"/>
    <col min="1303" max="1303" width="4.42578125" style="498" customWidth="1"/>
    <col min="1304" max="1304" width="5.5703125" style="498" customWidth="1"/>
    <col min="1305" max="1305" width="3.5703125" style="498" customWidth="1"/>
    <col min="1306" max="1306" width="4" style="498" customWidth="1"/>
    <col min="1307" max="1307" width="4.5703125" style="498" customWidth="1"/>
    <col min="1308" max="1310" width="4.42578125" style="498" customWidth="1"/>
    <col min="1311" max="1312" width="4.5703125" style="498" customWidth="1"/>
    <col min="1313" max="1313" width="4" style="498" customWidth="1"/>
    <col min="1314" max="1314" width="4.5703125" style="498" customWidth="1"/>
    <col min="1315" max="1315" width="6" style="498" customWidth="1"/>
    <col min="1316" max="1316" width="8.5703125" style="498" customWidth="1"/>
    <col min="1317" max="1536" width="11.42578125" style="498"/>
    <col min="1537" max="1537" width="6.42578125" style="498" customWidth="1"/>
    <col min="1538" max="1538" width="47.5703125" style="498" customWidth="1"/>
    <col min="1539" max="1540" width="5" style="498" customWidth="1"/>
    <col min="1541" max="1541" width="5.42578125" style="498" customWidth="1"/>
    <col min="1542" max="1542" width="4.5703125" style="498" customWidth="1"/>
    <col min="1543" max="1544" width="4.42578125" style="498" customWidth="1"/>
    <col min="1545" max="1545" width="3.5703125" style="498" customWidth="1"/>
    <col min="1546" max="1546" width="5" style="498" customWidth="1"/>
    <col min="1547" max="1547" width="4" style="498" customWidth="1"/>
    <col min="1548" max="1549" width="4.5703125" style="498" customWidth="1"/>
    <col min="1550" max="1550" width="4.42578125" style="498" customWidth="1"/>
    <col min="1551" max="1551" width="4" style="498" customWidth="1"/>
    <col min="1552" max="1552" width="3.5703125" style="498" customWidth="1"/>
    <col min="1553" max="1554" width="4.5703125" style="498" customWidth="1"/>
    <col min="1555" max="1555" width="4" style="498" customWidth="1"/>
    <col min="1556" max="1557" width="4.42578125" style="498" customWidth="1"/>
    <col min="1558" max="1558" width="3.5703125" style="498" customWidth="1"/>
    <col min="1559" max="1559" width="4.42578125" style="498" customWidth="1"/>
    <col min="1560" max="1560" width="5.5703125" style="498" customWidth="1"/>
    <col min="1561" max="1561" width="3.5703125" style="498" customWidth="1"/>
    <col min="1562" max="1562" width="4" style="498" customWidth="1"/>
    <col min="1563" max="1563" width="4.5703125" style="498" customWidth="1"/>
    <col min="1564" max="1566" width="4.42578125" style="498" customWidth="1"/>
    <col min="1567" max="1568" width="4.5703125" style="498" customWidth="1"/>
    <col min="1569" max="1569" width="4" style="498" customWidth="1"/>
    <col min="1570" max="1570" width="4.5703125" style="498" customWidth="1"/>
    <col min="1571" max="1571" width="6" style="498" customWidth="1"/>
    <col min="1572" max="1572" width="8.5703125" style="498" customWidth="1"/>
    <col min="1573" max="1792" width="11.42578125" style="498"/>
    <col min="1793" max="1793" width="6.42578125" style="498" customWidth="1"/>
    <col min="1794" max="1794" width="47.5703125" style="498" customWidth="1"/>
    <col min="1795" max="1796" width="5" style="498" customWidth="1"/>
    <col min="1797" max="1797" width="5.42578125" style="498" customWidth="1"/>
    <col min="1798" max="1798" width="4.5703125" style="498" customWidth="1"/>
    <col min="1799" max="1800" width="4.42578125" style="498" customWidth="1"/>
    <col min="1801" max="1801" width="3.5703125" style="498" customWidth="1"/>
    <col min="1802" max="1802" width="5" style="498" customWidth="1"/>
    <col min="1803" max="1803" width="4" style="498" customWidth="1"/>
    <col min="1804" max="1805" width="4.5703125" style="498" customWidth="1"/>
    <col min="1806" max="1806" width="4.42578125" style="498" customWidth="1"/>
    <col min="1807" max="1807" width="4" style="498" customWidth="1"/>
    <col min="1808" max="1808" width="3.5703125" style="498" customWidth="1"/>
    <col min="1809" max="1810" width="4.5703125" style="498" customWidth="1"/>
    <col min="1811" max="1811" width="4" style="498" customWidth="1"/>
    <col min="1812" max="1813" width="4.42578125" style="498" customWidth="1"/>
    <col min="1814" max="1814" width="3.5703125" style="498" customWidth="1"/>
    <col min="1815" max="1815" width="4.42578125" style="498" customWidth="1"/>
    <col min="1816" max="1816" width="5.5703125" style="498" customWidth="1"/>
    <col min="1817" max="1817" width="3.5703125" style="498" customWidth="1"/>
    <col min="1818" max="1818" width="4" style="498" customWidth="1"/>
    <col min="1819" max="1819" width="4.5703125" style="498" customWidth="1"/>
    <col min="1820" max="1822" width="4.42578125" style="498" customWidth="1"/>
    <col min="1823" max="1824" width="4.5703125" style="498" customWidth="1"/>
    <col min="1825" max="1825" width="4" style="498" customWidth="1"/>
    <col min="1826" max="1826" width="4.5703125" style="498" customWidth="1"/>
    <col min="1827" max="1827" width="6" style="498" customWidth="1"/>
    <col min="1828" max="1828" width="8.5703125" style="498" customWidth="1"/>
    <col min="1829" max="2048" width="11.42578125" style="498"/>
    <col min="2049" max="2049" width="6.42578125" style="498" customWidth="1"/>
    <col min="2050" max="2050" width="47.5703125" style="498" customWidth="1"/>
    <col min="2051" max="2052" width="5" style="498" customWidth="1"/>
    <col min="2053" max="2053" width="5.42578125" style="498" customWidth="1"/>
    <col min="2054" max="2054" width="4.5703125" style="498" customWidth="1"/>
    <col min="2055" max="2056" width="4.42578125" style="498" customWidth="1"/>
    <col min="2057" max="2057" width="3.5703125" style="498" customWidth="1"/>
    <col min="2058" max="2058" width="5" style="498" customWidth="1"/>
    <col min="2059" max="2059" width="4" style="498" customWidth="1"/>
    <col min="2060" max="2061" width="4.5703125" style="498" customWidth="1"/>
    <col min="2062" max="2062" width="4.42578125" style="498" customWidth="1"/>
    <col min="2063" max="2063" width="4" style="498" customWidth="1"/>
    <col min="2064" max="2064" width="3.5703125" style="498" customWidth="1"/>
    <col min="2065" max="2066" width="4.5703125" style="498" customWidth="1"/>
    <col min="2067" max="2067" width="4" style="498" customWidth="1"/>
    <col min="2068" max="2069" width="4.42578125" style="498" customWidth="1"/>
    <col min="2070" max="2070" width="3.5703125" style="498" customWidth="1"/>
    <col min="2071" max="2071" width="4.42578125" style="498" customWidth="1"/>
    <col min="2072" max="2072" width="5.5703125" style="498" customWidth="1"/>
    <col min="2073" max="2073" width="3.5703125" style="498" customWidth="1"/>
    <col min="2074" max="2074" width="4" style="498" customWidth="1"/>
    <col min="2075" max="2075" width="4.5703125" style="498" customWidth="1"/>
    <col min="2076" max="2078" width="4.42578125" style="498" customWidth="1"/>
    <col min="2079" max="2080" width="4.5703125" style="498" customWidth="1"/>
    <col min="2081" max="2081" width="4" style="498" customWidth="1"/>
    <col min="2082" max="2082" width="4.5703125" style="498" customWidth="1"/>
    <col min="2083" max="2083" width="6" style="498" customWidth="1"/>
    <col min="2084" max="2084" width="8.5703125" style="498" customWidth="1"/>
    <col min="2085" max="2304" width="11.42578125" style="498"/>
    <col min="2305" max="2305" width="6.42578125" style="498" customWidth="1"/>
    <col min="2306" max="2306" width="47.5703125" style="498" customWidth="1"/>
    <col min="2307" max="2308" width="5" style="498" customWidth="1"/>
    <col min="2309" max="2309" width="5.42578125" style="498" customWidth="1"/>
    <col min="2310" max="2310" width="4.5703125" style="498" customWidth="1"/>
    <col min="2311" max="2312" width="4.42578125" style="498" customWidth="1"/>
    <col min="2313" max="2313" width="3.5703125" style="498" customWidth="1"/>
    <col min="2314" max="2314" width="5" style="498" customWidth="1"/>
    <col min="2315" max="2315" width="4" style="498" customWidth="1"/>
    <col min="2316" max="2317" width="4.5703125" style="498" customWidth="1"/>
    <col min="2318" max="2318" width="4.42578125" style="498" customWidth="1"/>
    <col min="2319" max="2319" width="4" style="498" customWidth="1"/>
    <col min="2320" max="2320" width="3.5703125" style="498" customWidth="1"/>
    <col min="2321" max="2322" width="4.5703125" style="498" customWidth="1"/>
    <col min="2323" max="2323" width="4" style="498" customWidth="1"/>
    <col min="2324" max="2325" width="4.42578125" style="498" customWidth="1"/>
    <col min="2326" max="2326" width="3.5703125" style="498" customWidth="1"/>
    <col min="2327" max="2327" width="4.42578125" style="498" customWidth="1"/>
    <col min="2328" max="2328" width="5.5703125" style="498" customWidth="1"/>
    <col min="2329" max="2329" width="3.5703125" style="498" customWidth="1"/>
    <col min="2330" max="2330" width="4" style="498" customWidth="1"/>
    <col min="2331" max="2331" width="4.5703125" style="498" customWidth="1"/>
    <col min="2332" max="2334" width="4.42578125" style="498" customWidth="1"/>
    <col min="2335" max="2336" width="4.5703125" style="498" customWidth="1"/>
    <col min="2337" max="2337" width="4" style="498" customWidth="1"/>
    <col min="2338" max="2338" width="4.5703125" style="498" customWidth="1"/>
    <col min="2339" max="2339" width="6" style="498" customWidth="1"/>
    <col min="2340" max="2340" width="8.5703125" style="498" customWidth="1"/>
    <col min="2341" max="2560" width="11.42578125" style="498"/>
    <col min="2561" max="2561" width="6.42578125" style="498" customWidth="1"/>
    <col min="2562" max="2562" width="47.5703125" style="498" customWidth="1"/>
    <col min="2563" max="2564" width="5" style="498" customWidth="1"/>
    <col min="2565" max="2565" width="5.42578125" style="498" customWidth="1"/>
    <col min="2566" max="2566" width="4.5703125" style="498" customWidth="1"/>
    <col min="2567" max="2568" width="4.42578125" style="498" customWidth="1"/>
    <col min="2569" max="2569" width="3.5703125" style="498" customWidth="1"/>
    <col min="2570" max="2570" width="5" style="498" customWidth="1"/>
    <col min="2571" max="2571" width="4" style="498" customWidth="1"/>
    <col min="2572" max="2573" width="4.5703125" style="498" customWidth="1"/>
    <col min="2574" max="2574" width="4.42578125" style="498" customWidth="1"/>
    <col min="2575" max="2575" width="4" style="498" customWidth="1"/>
    <col min="2576" max="2576" width="3.5703125" style="498" customWidth="1"/>
    <col min="2577" max="2578" width="4.5703125" style="498" customWidth="1"/>
    <col min="2579" max="2579" width="4" style="498" customWidth="1"/>
    <col min="2580" max="2581" width="4.42578125" style="498" customWidth="1"/>
    <col min="2582" max="2582" width="3.5703125" style="498" customWidth="1"/>
    <col min="2583" max="2583" width="4.42578125" style="498" customWidth="1"/>
    <col min="2584" max="2584" width="5.5703125" style="498" customWidth="1"/>
    <col min="2585" max="2585" width="3.5703125" style="498" customWidth="1"/>
    <col min="2586" max="2586" width="4" style="498" customWidth="1"/>
    <col min="2587" max="2587" width="4.5703125" style="498" customWidth="1"/>
    <col min="2588" max="2590" width="4.42578125" style="498" customWidth="1"/>
    <col min="2591" max="2592" width="4.5703125" style="498" customWidth="1"/>
    <col min="2593" max="2593" width="4" style="498" customWidth="1"/>
    <col min="2594" max="2594" width="4.5703125" style="498" customWidth="1"/>
    <col min="2595" max="2595" width="6" style="498" customWidth="1"/>
    <col min="2596" max="2596" width="8.5703125" style="498" customWidth="1"/>
    <col min="2597" max="2816" width="11.42578125" style="498"/>
    <col min="2817" max="2817" width="6.42578125" style="498" customWidth="1"/>
    <col min="2818" max="2818" width="47.5703125" style="498" customWidth="1"/>
    <col min="2819" max="2820" width="5" style="498" customWidth="1"/>
    <col min="2821" max="2821" width="5.42578125" style="498" customWidth="1"/>
    <col min="2822" max="2822" width="4.5703125" style="498" customWidth="1"/>
    <col min="2823" max="2824" width="4.42578125" style="498" customWidth="1"/>
    <col min="2825" max="2825" width="3.5703125" style="498" customWidth="1"/>
    <col min="2826" max="2826" width="5" style="498" customWidth="1"/>
    <col min="2827" max="2827" width="4" style="498" customWidth="1"/>
    <col min="2828" max="2829" width="4.5703125" style="498" customWidth="1"/>
    <col min="2830" max="2830" width="4.42578125" style="498" customWidth="1"/>
    <col min="2831" max="2831" width="4" style="498" customWidth="1"/>
    <col min="2832" max="2832" width="3.5703125" style="498" customWidth="1"/>
    <col min="2833" max="2834" width="4.5703125" style="498" customWidth="1"/>
    <col min="2835" max="2835" width="4" style="498" customWidth="1"/>
    <col min="2836" max="2837" width="4.42578125" style="498" customWidth="1"/>
    <col min="2838" max="2838" width="3.5703125" style="498" customWidth="1"/>
    <col min="2839" max="2839" width="4.42578125" style="498" customWidth="1"/>
    <col min="2840" max="2840" width="5.5703125" style="498" customWidth="1"/>
    <col min="2841" max="2841" width="3.5703125" style="498" customWidth="1"/>
    <col min="2842" max="2842" width="4" style="498" customWidth="1"/>
    <col min="2843" max="2843" width="4.5703125" style="498" customWidth="1"/>
    <col min="2844" max="2846" width="4.42578125" style="498" customWidth="1"/>
    <col min="2847" max="2848" width="4.5703125" style="498" customWidth="1"/>
    <col min="2849" max="2849" width="4" style="498" customWidth="1"/>
    <col min="2850" max="2850" width="4.5703125" style="498" customWidth="1"/>
    <col min="2851" max="2851" width="6" style="498" customWidth="1"/>
    <col min="2852" max="2852" width="8.5703125" style="498" customWidth="1"/>
    <col min="2853" max="3072" width="11.42578125" style="498"/>
    <col min="3073" max="3073" width="6.42578125" style="498" customWidth="1"/>
    <col min="3074" max="3074" width="47.5703125" style="498" customWidth="1"/>
    <col min="3075" max="3076" width="5" style="498" customWidth="1"/>
    <col min="3077" max="3077" width="5.42578125" style="498" customWidth="1"/>
    <col min="3078" max="3078" width="4.5703125" style="498" customWidth="1"/>
    <col min="3079" max="3080" width="4.42578125" style="498" customWidth="1"/>
    <col min="3081" max="3081" width="3.5703125" style="498" customWidth="1"/>
    <col min="3082" max="3082" width="5" style="498" customWidth="1"/>
    <col min="3083" max="3083" width="4" style="498" customWidth="1"/>
    <col min="3084" max="3085" width="4.5703125" style="498" customWidth="1"/>
    <col min="3086" max="3086" width="4.42578125" style="498" customWidth="1"/>
    <col min="3087" max="3087" width="4" style="498" customWidth="1"/>
    <col min="3088" max="3088" width="3.5703125" style="498" customWidth="1"/>
    <col min="3089" max="3090" width="4.5703125" style="498" customWidth="1"/>
    <col min="3091" max="3091" width="4" style="498" customWidth="1"/>
    <col min="3092" max="3093" width="4.42578125" style="498" customWidth="1"/>
    <col min="3094" max="3094" width="3.5703125" style="498" customWidth="1"/>
    <col min="3095" max="3095" width="4.42578125" style="498" customWidth="1"/>
    <col min="3096" max="3096" width="5.5703125" style="498" customWidth="1"/>
    <col min="3097" max="3097" width="3.5703125" style="498" customWidth="1"/>
    <col min="3098" max="3098" width="4" style="498" customWidth="1"/>
    <col min="3099" max="3099" width="4.5703125" style="498" customWidth="1"/>
    <col min="3100" max="3102" width="4.42578125" style="498" customWidth="1"/>
    <col min="3103" max="3104" width="4.5703125" style="498" customWidth="1"/>
    <col min="3105" max="3105" width="4" style="498" customWidth="1"/>
    <col min="3106" max="3106" width="4.5703125" style="498" customWidth="1"/>
    <col min="3107" max="3107" width="6" style="498" customWidth="1"/>
    <col min="3108" max="3108" width="8.5703125" style="498" customWidth="1"/>
    <col min="3109" max="3328" width="11.42578125" style="498"/>
    <col min="3329" max="3329" width="6.42578125" style="498" customWidth="1"/>
    <col min="3330" max="3330" width="47.5703125" style="498" customWidth="1"/>
    <col min="3331" max="3332" width="5" style="498" customWidth="1"/>
    <col min="3333" max="3333" width="5.42578125" style="498" customWidth="1"/>
    <col min="3334" max="3334" width="4.5703125" style="498" customWidth="1"/>
    <col min="3335" max="3336" width="4.42578125" style="498" customWidth="1"/>
    <col min="3337" max="3337" width="3.5703125" style="498" customWidth="1"/>
    <col min="3338" max="3338" width="5" style="498" customWidth="1"/>
    <col min="3339" max="3339" width="4" style="498" customWidth="1"/>
    <col min="3340" max="3341" width="4.5703125" style="498" customWidth="1"/>
    <col min="3342" max="3342" width="4.42578125" style="498" customWidth="1"/>
    <col min="3343" max="3343" width="4" style="498" customWidth="1"/>
    <col min="3344" max="3344" width="3.5703125" style="498" customWidth="1"/>
    <col min="3345" max="3346" width="4.5703125" style="498" customWidth="1"/>
    <col min="3347" max="3347" width="4" style="498" customWidth="1"/>
    <col min="3348" max="3349" width="4.42578125" style="498" customWidth="1"/>
    <col min="3350" max="3350" width="3.5703125" style="498" customWidth="1"/>
    <col min="3351" max="3351" width="4.42578125" style="498" customWidth="1"/>
    <col min="3352" max="3352" width="5.5703125" style="498" customWidth="1"/>
    <col min="3353" max="3353" width="3.5703125" style="498" customWidth="1"/>
    <col min="3354" max="3354" width="4" style="498" customWidth="1"/>
    <col min="3355" max="3355" width="4.5703125" style="498" customWidth="1"/>
    <col min="3356" max="3358" width="4.42578125" style="498" customWidth="1"/>
    <col min="3359" max="3360" width="4.5703125" style="498" customWidth="1"/>
    <col min="3361" max="3361" width="4" style="498" customWidth="1"/>
    <col min="3362" max="3362" width="4.5703125" style="498" customWidth="1"/>
    <col min="3363" max="3363" width="6" style="498" customWidth="1"/>
    <col min="3364" max="3364" width="8.5703125" style="498" customWidth="1"/>
    <col min="3365" max="3584" width="11.42578125" style="498"/>
    <col min="3585" max="3585" width="6.42578125" style="498" customWidth="1"/>
    <col min="3586" max="3586" width="47.5703125" style="498" customWidth="1"/>
    <col min="3587" max="3588" width="5" style="498" customWidth="1"/>
    <col min="3589" max="3589" width="5.42578125" style="498" customWidth="1"/>
    <col min="3590" max="3590" width="4.5703125" style="498" customWidth="1"/>
    <col min="3591" max="3592" width="4.42578125" style="498" customWidth="1"/>
    <col min="3593" max="3593" width="3.5703125" style="498" customWidth="1"/>
    <col min="3594" max="3594" width="5" style="498" customWidth="1"/>
    <col min="3595" max="3595" width="4" style="498" customWidth="1"/>
    <col min="3596" max="3597" width="4.5703125" style="498" customWidth="1"/>
    <col min="3598" max="3598" width="4.42578125" style="498" customWidth="1"/>
    <col min="3599" max="3599" width="4" style="498" customWidth="1"/>
    <col min="3600" max="3600" width="3.5703125" style="498" customWidth="1"/>
    <col min="3601" max="3602" width="4.5703125" style="498" customWidth="1"/>
    <col min="3603" max="3603" width="4" style="498" customWidth="1"/>
    <col min="3604" max="3605" width="4.42578125" style="498" customWidth="1"/>
    <col min="3606" max="3606" width="3.5703125" style="498" customWidth="1"/>
    <col min="3607" max="3607" width="4.42578125" style="498" customWidth="1"/>
    <col min="3608" max="3608" width="5.5703125" style="498" customWidth="1"/>
    <col min="3609" max="3609" width="3.5703125" style="498" customWidth="1"/>
    <col min="3610" max="3610" width="4" style="498" customWidth="1"/>
    <col min="3611" max="3611" width="4.5703125" style="498" customWidth="1"/>
    <col min="3612" max="3614" width="4.42578125" style="498" customWidth="1"/>
    <col min="3615" max="3616" width="4.5703125" style="498" customWidth="1"/>
    <col min="3617" max="3617" width="4" style="498" customWidth="1"/>
    <col min="3618" max="3618" width="4.5703125" style="498" customWidth="1"/>
    <col min="3619" max="3619" width="6" style="498" customWidth="1"/>
    <col min="3620" max="3620" width="8.5703125" style="498" customWidth="1"/>
    <col min="3621" max="3840" width="11.42578125" style="498"/>
    <col min="3841" max="3841" width="6.42578125" style="498" customWidth="1"/>
    <col min="3842" max="3842" width="47.5703125" style="498" customWidth="1"/>
    <col min="3843" max="3844" width="5" style="498" customWidth="1"/>
    <col min="3845" max="3845" width="5.42578125" style="498" customWidth="1"/>
    <col min="3846" max="3846" width="4.5703125" style="498" customWidth="1"/>
    <col min="3847" max="3848" width="4.42578125" style="498" customWidth="1"/>
    <col min="3849" max="3849" width="3.5703125" style="498" customWidth="1"/>
    <col min="3850" max="3850" width="5" style="498" customWidth="1"/>
    <col min="3851" max="3851" width="4" style="498" customWidth="1"/>
    <col min="3852" max="3853" width="4.5703125" style="498" customWidth="1"/>
    <col min="3854" max="3854" width="4.42578125" style="498" customWidth="1"/>
    <col min="3855" max="3855" width="4" style="498" customWidth="1"/>
    <col min="3856" max="3856" width="3.5703125" style="498" customWidth="1"/>
    <col min="3857" max="3858" width="4.5703125" style="498" customWidth="1"/>
    <col min="3859" max="3859" width="4" style="498" customWidth="1"/>
    <col min="3860" max="3861" width="4.42578125" style="498" customWidth="1"/>
    <col min="3862" max="3862" width="3.5703125" style="498" customWidth="1"/>
    <col min="3863" max="3863" width="4.42578125" style="498" customWidth="1"/>
    <col min="3864" max="3864" width="5.5703125" style="498" customWidth="1"/>
    <col min="3865" max="3865" width="3.5703125" style="498" customWidth="1"/>
    <col min="3866" max="3866" width="4" style="498" customWidth="1"/>
    <col min="3867" max="3867" width="4.5703125" style="498" customWidth="1"/>
    <col min="3868" max="3870" width="4.42578125" style="498" customWidth="1"/>
    <col min="3871" max="3872" width="4.5703125" style="498" customWidth="1"/>
    <col min="3873" max="3873" width="4" style="498" customWidth="1"/>
    <col min="3874" max="3874" width="4.5703125" style="498" customWidth="1"/>
    <col min="3875" max="3875" width="6" style="498" customWidth="1"/>
    <col min="3876" max="3876" width="8.5703125" style="498" customWidth="1"/>
    <col min="3877" max="4096" width="11.42578125" style="498"/>
    <col min="4097" max="4097" width="6.42578125" style="498" customWidth="1"/>
    <col min="4098" max="4098" width="47.5703125" style="498" customWidth="1"/>
    <col min="4099" max="4100" width="5" style="498" customWidth="1"/>
    <col min="4101" max="4101" width="5.42578125" style="498" customWidth="1"/>
    <col min="4102" max="4102" width="4.5703125" style="498" customWidth="1"/>
    <col min="4103" max="4104" width="4.42578125" style="498" customWidth="1"/>
    <col min="4105" max="4105" width="3.5703125" style="498" customWidth="1"/>
    <col min="4106" max="4106" width="5" style="498" customWidth="1"/>
    <col min="4107" max="4107" width="4" style="498" customWidth="1"/>
    <col min="4108" max="4109" width="4.5703125" style="498" customWidth="1"/>
    <col min="4110" max="4110" width="4.42578125" style="498" customWidth="1"/>
    <col min="4111" max="4111" width="4" style="498" customWidth="1"/>
    <col min="4112" max="4112" width="3.5703125" style="498" customWidth="1"/>
    <col min="4113" max="4114" width="4.5703125" style="498" customWidth="1"/>
    <col min="4115" max="4115" width="4" style="498" customWidth="1"/>
    <col min="4116" max="4117" width="4.42578125" style="498" customWidth="1"/>
    <col min="4118" max="4118" width="3.5703125" style="498" customWidth="1"/>
    <col min="4119" max="4119" width="4.42578125" style="498" customWidth="1"/>
    <col min="4120" max="4120" width="5.5703125" style="498" customWidth="1"/>
    <col min="4121" max="4121" width="3.5703125" style="498" customWidth="1"/>
    <col min="4122" max="4122" width="4" style="498" customWidth="1"/>
    <col min="4123" max="4123" width="4.5703125" style="498" customWidth="1"/>
    <col min="4124" max="4126" width="4.42578125" style="498" customWidth="1"/>
    <col min="4127" max="4128" width="4.5703125" style="498" customWidth="1"/>
    <col min="4129" max="4129" width="4" style="498" customWidth="1"/>
    <col min="4130" max="4130" width="4.5703125" style="498" customWidth="1"/>
    <col min="4131" max="4131" width="6" style="498" customWidth="1"/>
    <col min="4132" max="4132" width="8.5703125" style="498" customWidth="1"/>
    <col min="4133" max="4352" width="11.42578125" style="498"/>
    <col min="4353" max="4353" width="6.42578125" style="498" customWidth="1"/>
    <col min="4354" max="4354" width="47.5703125" style="498" customWidth="1"/>
    <col min="4355" max="4356" width="5" style="498" customWidth="1"/>
    <col min="4357" max="4357" width="5.42578125" style="498" customWidth="1"/>
    <col min="4358" max="4358" width="4.5703125" style="498" customWidth="1"/>
    <col min="4359" max="4360" width="4.42578125" style="498" customWidth="1"/>
    <col min="4361" max="4361" width="3.5703125" style="498" customWidth="1"/>
    <col min="4362" max="4362" width="5" style="498" customWidth="1"/>
    <col min="4363" max="4363" width="4" style="498" customWidth="1"/>
    <col min="4364" max="4365" width="4.5703125" style="498" customWidth="1"/>
    <col min="4366" max="4366" width="4.42578125" style="498" customWidth="1"/>
    <col min="4367" max="4367" width="4" style="498" customWidth="1"/>
    <col min="4368" max="4368" width="3.5703125" style="498" customWidth="1"/>
    <col min="4369" max="4370" width="4.5703125" style="498" customWidth="1"/>
    <col min="4371" max="4371" width="4" style="498" customWidth="1"/>
    <col min="4372" max="4373" width="4.42578125" style="498" customWidth="1"/>
    <col min="4374" max="4374" width="3.5703125" style="498" customWidth="1"/>
    <col min="4375" max="4375" width="4.42578125" style="498" customWidth="1"/>
    <col min="4376" max="4376" width="5.5703125" style="498" customWidth="1"/>
    <col min="4377" max="4377" width="3.5703125" style="498" customWidth="1"/>
    <col min="4378" max="4378" width="4" style="498" customWidth="1"/>
    <col min="4379" max="4379" width="4.5703125" style="498" customWidth="1"/>
    <col min="4380" max="4382" width="4.42578125" style="498" customWidth="1"/>
    <col min="4383" max="4384" width="4.5703125" style="498" customWidth="1"/>
    <col min="4385" max="4385" width="4" style="498" customWidth="1"/>
    <col min="4386" max="4386" width="4.5703125" style="498" customWidth="1"/>
    <col min="4387" max="4387" width="6" style="498" customWidth="1"/>
    <col min="4388" max="4388" width="8.5703125" style="498" customWidth="1"/>
    <col min="4389" max="4608" width="11.42578125" style="498"/>
    <col min="4609" max="4609" width="6.42578125" style="498" customWidth="1"/>
    <col min="4610" max="4610" width="47.5703125" style="498" customWidth="1"/>
    <col min="4611" max="4612" width="5" style="498" customWidth="1"/>
    <col min="4613" max="4613" width="5.42578125" style="498" customWidth="1"/>
    <col min="4614" max="4614" width="4.5703125" style="498" customWidth="1"/>
    <col min="4615" max="4616" width="4.42578125" style="498" customWidth="1"/>
    <col min="4617" max="4617" width="3.5703125" style="498" customWidth="1"/>
    <col min="4618" max="4618" width="5" style="498" customWidth="1"/>
    <col min="4619" max="4619" width="4" style="498" customWidth="1"/>
    <col min="4620" max="4621" width="4.5703125" style="498" customWidth="1"/>
    <col min="4622" max="4622" width="4.42578125" style="498" customWidth="1"/>
    <col min="4623" max="4623" width="4" style="498" customWidth="1"/>
    <col min="4624" max="4624" width="3.5703125" style="498" customWidth="1"/>
    <col min="4625" max="4626" width="4.5703125" style="498" customWidth="1"/>
    <col min="4627" max="4627" width="4" style="498" customWidth="1"/>
    <col min="4628" max="4629" width="4.42578125" style="498" customWidth="1"/>
    <col min="4630" max="4630" width="3.5703125" style="498" customWidth="1"/>
    <col min="4631" max="4631" width="4.42578125" style="498" customWidth="1"/>
    <col min="4632" max="4632" width="5.5703125" style="498" customWidth="1"/>
    <col min="4633" max="4633" width="3.5703125" style="498" customWidth="1"/>
    <col min="4634" max="4634" width="4" style="498" customWidth="1"/>
    <col min="4635" max="4635" width="4.5703125" style="498" customWidth="1"/>
    <col min="4636" max="4638" width="4.42578125" style="498" customWidth="1"/>
    <col min="4639" max="4640" width="4.5703125" style="498" customWidth="1"/>
    <col min="4641" max="4641" width="4" style="498" customWidth="1"/>
    <col min="4642" max="4642" width="4.5703125" style="498" customWidth="1"/>
    <col min="4643" max="4643" width="6" style="498" customWidth="1"/>
    <col min="4644" max="4644" width="8.5703125" style="498" customWidth="1"/>
    <col min="4645" max="4864" width="11.42578125" style="498"/>
    <col min="4865" max="4865" width="6.42578125" style="498" customWidth="1"/>
    <col min="4866" max="4866" width="47.5703125" style="498" customWidth="1"/>
    <col min="4867" max="4868" width="5" style="498" customWidth="1"/>
    <col min="4869" max="4869" width="5.42578125" style="498" customWidth="1"/>
    <col min="4870" max="4870" width="4.5703125" style="498" customWidth="1"/>
    <col min="4871" max="4872" width="4.42578125" style="498" customWidth="1"/>
    <col min="4873" max="4873" width="3.5703125" style="498" customWidth="1"/>
    <col min="4874" max="4874" width="5" style="498" customWidth="1"/>
    <col min="4875" max="4875" width="4" style="498" customWidth="1"/>
    <col min="4876" max="4877" width="4.5703125" style="498" customWidth="1"/>
    <col min="4878" max="4878" width="4.42578125" style="498" customWidth="1"/>
    <col min="4879" max="4879" width="4" style="498" customWidth="1"/>
    <col min="4880" max="4880" width="3.5703125" style="498" customWidth="1"/>
    <col min="4881" max="4882" width="4.5703125" style="498" customWidth="1"/>
    <col min="4883" max="4883" width="4" style="498" customWidth="1"/>
    <col min="4884" max="4885" width="4.42578125" style="498" customWidth="1"/>
    <col min="4886" max="4886" width="3.5703125" style="498" customWidth="1"/>
    <col min="4887" max="4887" width="4.42578125" style="498" customWidth="1"/>
    <col min="4888" max="4888" width="5.5703125" style="498" customWidth="1"/>
    <col min="4889" max="4889" width="3.5703125" style="498" customWidth="1"/>
    <col min="4890" max="4890" width="4" style="498" customWidth="1"/>
    <col min="4891" max="4891" width="4.5703125" style="498" customWidth="1"/>
    <col min="4892" max="4894" width="4.42578125" style="498" customWidth="1"/>
    <col min="4895" max="4896" width="4.5703125" style="498" customWidth="1"/>
    <col min="4897" max="4897" width="4" style="498" customWidth="1"/>
    <col min="4898" max="4898" width="4.5703125" style="498" customWidth="1"/>
    <col min="4899" max="4899" width="6" style="498" customWidth="1"/>
    <col min="4900" max="4900" width="8.5703125" style="498" customWidth="1"/>
    <col min="4901" max="5120" width="11.42578125" style="498"/>
    <col min="5121" max="5121" width="6.42578125" style="498" customWidth="1"/>
    <col min="5122" max="5122" width="47.5703125" style="498" customWidth="1"/>
    <col min="5123" max="5124" width="5" style="498" customWidth="1"/>
    <col min="5125" max="5125" width="5.42578125" style="498" customWidth="1"/>
    <col min="5126" max="5126" width="4.5703125" style="498" customWidth="1"/>
    <col min="5127" max="5128" width="4.42578125" style="498" customWidth="1"/>
    <col min="5129" max="5129" width="3.5703125" style="498" customWidth="1"/>
    <col min="5130" max="5130" width="5" style="498" customWidth="1"/>
    <col min="5131" max="5131" width="4" style="498" customWidth="1"/>
    <col min="5132" max="5133" width="4.5703125" style="498" customWidth="1"/>
    <col min="5134" max="5134" width="4.42578125" style="498" customWidth="1"/>
    <col min="5135" max="5135" width="4" style="498" customWidth="1"/>
    <col min="5136" max="5136" width="3.5703125" style="498" customWidth="1"/>
    <col min="5137" max="5138" width="4.5703125" style="498" customWidth="1"/>
    <col min="5139" max="5139" width="4" style="498" customWidth="1"/>
    <col min="5140" max="5141" width="4.42578125" style="498" customWidth="1"/>
    <col min="5142" max="5142" width="3.5703125" style="498" customWidth="1"/>
    <col min="5143" max="5143" width="4.42578125" style="498" customWidth="1"/>
    <col min="5144" max="5144" width="5.5703125" style="498" customWidth="1"/>
    <col min="5145" max="5145" width="3.5703125" style="498" customWidth="1"/>
    <col min="5146" max="5146" width="4" style="498" customWidth="1"/>
    <col min="5147" max="5147" width="4.5703125" style="498" customWidth="1"/>
    <col min="5148" max="5150" width="4.42578125" style="498" customWidth="1"/>
    <col min="5151" max="5152" width="4.5703125" style="498" customWidth="1"/>
    <col min="5153" max="5153" width="4" style="498" customWidth="1"/>
    <col min="5154" max="5154" width="4.5703125" style="498" customWidth="1"/>
    <col min="5155" max="5155" width="6" style="498" customWidth="1"/>
    <col min="5156" max="5156" width="8.5703125" style="498" customWidth="1"/>
    <col min="5157" max="5376" width="11.42578125" style="498"/>
    <col min="5377" max="5377" width="6.42578125" style="498" customWidth="1"/>
    <col min="5378" max="5378" width="47.5703125" style="498" customWidth="1"/>
    <col min="5379" max="5380" width="5" style="498" customWidth="1"/>
    <col min="5381" max="5381" width="5.42578125" style="498" customWidth="1"/>
    <col min="5382" max="5382" width="4.5703125" style="498" customWidth="1"/>
    <col min="5383" max="5384" width="4.42578125" style="498" customWidth="1"/>
    <col min="5385" max="5385" width="3.5703125" style="498" customWidth="1"/>
    <col min="5386" max="5386" width="5" style="498" customWidth="1"/>
    <col min="5387" max="5387" width="4" style="498" customWidth="1"/>
    <col min="5388" max="5389" width="4.5703125" style="498" customWidth="1"/>
    <col min="5390" max="5390" width="4.42578125" style="498" customWidth="1"/>
    <col min="5391" max="5391" width="4" style="498" customWidth="1"/>
    <col min="5392" max="5392" width="3.5703125" style="498" customWidth="1"/>
    <col min="5393" max="5394" width="4.5703125" style="498" customWidth="1"/>
    <col min="5395" max="5395" width="4" style="498" customWidth="1"/>
    <col min="5396" max="5397" width="4.42578125" style="498" customWidth="1"/>
    <col min="5398" max="5398" width="3.5703125" style="498" customWidth="1"/>
    <col min="5399" max="5399" width="4.42578125" style="498" customWidth="1"/>
    <col min="5400" max="5400" width="5.5703125" style="498" customWidth="1"/>
    <col min="5401" max="5401" width="3.5703125" style="498" customWidth="1"/>
    <col min="5402" max="5402" width="4" style="498" customWidth="1"/>
    <col min="5403" max="5403" width="4.5703125" style="498" customWidth="1"/>
    <col min="5404" max="5406" width="4.42578125" style="498" customWidth="1"/>
    <col min="5407" max="5408" width="4.5703125" style="498" customWidth="1"/>
    <col min="5409" max="5409" width="4" style="498" customWidth="1"/>
    <col min="5410" max="5410" width="4.5703125" style="498" customWidth="1"/>
    <col min="5411" max="5411" width="6" style="498" customWidth="1"/>
    <col min="5412" max="5412" width="8.5703125" style="498" customWidth="1"/>
    <col min="5413" max="5632" width="11.42578125" style="498"/>
    <col min="5633" max="5633" width="6.42578125" style="498" customWidth="1"/>
    <col min="5634" max="5634" width="47.5703125" style="498" customWidth="1"/>
    <col min="5635" max="5636" width="5" style="498" customWidth="1"/>
    <col min="5637" max="5637" width="5.42578125" style="498" customWidth="1"/>
    <col min="5638" max="5638" width="4.5703125" style="498" customWidth="1"/>
    <col min="5639" max="5640" width="4.42578125" style="498" customWidth="1"/>
    <col min="5641" max="5641" width="3.5703125" style="498" customWidth="1"/>
    <col min="5642" max="5642" width="5" style="498" customWidth="1"/>
    <col min="5643" max="5643" width="4" style="498" customWidth="1"/>
    <col min="5644" max="5645" width="4.5703125" style="498" customWidth="1"/>
    <col min="5646" max="5646" width="4.42578125" style="498" customWidth="1"/>
    <col min="5647" max="5647" width="4" style="498" customWidth="1"/>
    <col min="5648" max="5648" width="3.5703125" style="498" customWidth="1"/>
    <col min="5649" max="5650" width="4.5703125" style="498" customWidth="1"/>
    <col min="5651" max="5651" width="4" style="498" customWidth="1"/>
    <col min="5652" max="5653" width="4.42578125" style="498" customWidth="1"/>
    <col min="5654" max="5654" width="3.5703125" style="498" customWidth="1"/>
    <col min="5655" max="5655" width="4.42578125" style="498" customWidth="1"/>
    <col min="5656" max="5656" width="5.5703125" style="498" customWidth="1"/>
    <col min="5657" max="5657" width="3.5703125" style="498" customWidth="1"/>
    <col min="5658" max="5658" width="4" style="498" customWidth="1"/>
    <col min="5659" max="5659" width="4.5703125" style="498" customWidth="1"/>
    <col min="5660" max="5662" width="4.42578125" style="498" customWidth="1"/>
    <col min="5663" max="5664" width="4.5703125" style="498" customWidth="1"/>
    <col min="5665" max="5665" width="4" style="498" customWidth="1"/>
    <col min="5666" max="5666" width="4.5703125" style="498" customWidth="1"/>
    <col min="5667" max="5667" width="6" style="498" customWidth="1"/>
    <col min="5668" max="5668" width="8.5703125" style="498" customWidth="1"/>
    <col min="5669" max="5888" width="11.42578125" style="498"/>
    <col min="5889" max="5889" width="6.42578125" style="498" customWidth="1"/>
    <col min="5890" max="5890" width="47.5703125" style="498" customWidth="1"/>
    <col min="5891" max="5892" width="5" style="498" customWidth="1"/>
    <col min="5893" max="5893" width="5.42578125" style="498" customWidth="1"/>
    <col min="5894" max="5894" width="4.5703125" style="498" customWidth="1"/>
    <col min="5895" max="5896" width="4.42578125" style="498" customWidth="1"/>
    <col min="5897" max="5897" width="3.5703125" style="498" customWidth="1"/>
    <col min="5898" max="5898" width="5" style="498" customWidth="1"/>
    <col min="5899" max="5899" width="4" style="498" customWidth="1"/>
    <col min="5900" max="5901" width="4.5703125" style="498" customWidth="1"/>
    <col min="5902" max="5902" width="4.42578125" style="498" customWidth="1"/>
    <col min="5903" max="5903" width="4" style="498" customWidth="1"/>
    <col min="5904" max="5904" width="3.5703125" style="498" customWidth="1"/>
    <col min="5905" max="5906" width="4.5703125" style="498" customWidth="1"/>
    <col min="5907" max="5907" width="4" style="498" customWidth="1"/>
    <col min="5908" max="5909" width="4.42578125" style="498" customWidth="1"/>
    <col min="5910" max="5910" width="3.5703125" style="498" customWidth="1"/>
    <col min="5911" max="5911" width="4.42578125" style="498" customWidth="1"/>
    <col min="5912" max="5912" width="5.5703125" style="498" customWidth="1"/>
    <col min="5913" max="5913" width="3.5703125" style="498" customWidth="1"/>
    <col min="5914" max="5914" width="4" style="498" customWidth="1"/>
    <col min="5915" max="5915" width="4.5703125" style="498" customWidth="1"/>
    <col min="5916" max="5918" width="4.42578125" style="498" customWidth="1"/>
    <col min="5919" max="5920" width="4.5703125" style="498" customWidth="1"/>
    <col min="5921" max="5921" width="4" style="498" customWidth="1"/>
    <col min="5922" max="5922" width="4.5703125" style="498" customWidth="1"/>
    <col min="5923" max="5923" width="6" style="498" customWidth="1"/>
    <col min="5924" max="5924" width="8.5703125" style="498" customWidth="1"/>
    <col min="5925" max="6144" width="11.42578125" style="498"/>
    <col min="6145" max="6145" width="6.42578125" style="498" customWidth="1"/>
    <col min="6146" max="6146" width="47.5703125" style="498" customWidth="1"/>
    <col min="6147" max="6148" width="5" style="498" customWidth="1"/>
    <col min="6149" max="6149" width="5.42578125" style="498" customWidth="1"/>
    <col min="6150" max="6150" width="4.5703125" style="498" customWidth="1"/>
    <col min="6151" max="6152" width="4.42578125" style="498" customWidth="1"/>
    <col min="6153" max="6153" width="3.5703125" style="498" customWidth="1"/>
    <col min="6154" max="6154" width="5" style="498" customWidth="1"/>
    <col min="6155" max="6155" width="4" style="498" customWidth="1"/>
    <col min="6156" max="6157" width="4.5703125" style="498" customWidth="1"/>
    <col min="6158" max="6158" width="4.42578125" style="498" customWidth="1"/>
    <col min="6159" max="6159" width="4" style="498" customWidth="1"/>
    <col min="6160" max="6160" width="3.5703125" style="498" customWidth="1"/>
    <col min="6161" max="6162" width="4.5703125" style="498" customWidth="1"/>
    <col min="6163" max="6163" width="4" style="498" customWidth="1"/>
    <col min="6164" max="6165" width="4.42578125" style="498" customWidth="1"/>
    <col min="6166" max="6166" width="3.5703125" style="498" customWidth="1"/>
    <col min="6167" max="6167" width="4.42578125" style="498" customWidth="1"/>
    <col min="6168" max="6168" width="5.5703125" style="498" customWidth="1"/>
    <col min="6169" max="6169" width="3.5703125" style="498" customWidth="1"/>
    <col min="6170" max="6170" width="4" style="498" customWidth="1"/>
    <col min="6171" max="6171" width="4.5703125" style="498" customWidth="1"/>
    <col min="6172" max="6174" width="4.42578125" style="498" customWidth="1"/>
    <col min="6175" max="6176" width="4.5703125" style="498" customWidth="1"/>
    <col min="6177" max="6177" width="4" style="498" customWidth="1"/>
    <col min="6178" max="6178" width="4.5703125" style="498" customWidth="1"/>
    <col min="6179" max="6179" width="6" style="498" customWidth="1"/>
    <col min="6180" max="6180" width="8.5703125" style="498" customWidth="1"/>
    <col min="6181" max="6400" width="11.42578125" style="498"/>
    <col min="6401" max="6401" width="6.42578125" style="498" customWidth="1"/>
    <col min="6402" max="6402" width="47.5703125" style="498" customWidth="1"/>
    <col min="6403" max="6404" width="5" style="498" customWidth="1"/>
    <col min="6405" max="6405" width="5.42578125" style="498" customWidth="1"/>
    <col min="6406" max="6406" width="4.5703125" style="498" customWidth="1"/>
    <col min="6407" max="6408" width="4.42578125" style="498" customWidth="1"/>
    <col min="6409" max="6409" width="3.5703125" style="498" customWidth="1"/>
    <col min="6410" max="6410" width="5" style="498" customWidth="1"/>
    <col min="6411" max="6411" width="4" style="498" customWidth="1"/>
    <col min="6412" max="6413" width="4.5703125" style="498" customWidth="1"/>
    <col min="6414" max="6414" width="4.42578125" style="498" customWidth="1"/>
    <col min="6415" max="6415" width="4" style="498" customWidth="1"/>
    <col min="6416" max="6416" width="3.5703125" style="498" customWidth="1"/>
    <col min="6417" max="6418" width="4.5703125" style="498" customWidth="1"/>
    <col min="6419" max="6419" width="4" style="498" customWidth="1"/>
    <col min="6420" max="6421" width="4.42578125" style="498" customWidth="1"/>
    <col min="6422" max="6422" width="3.5703125" style="498" customWidth="1"/>
    <col min="6423" max="6423" width="4.42578125" style="498" customWidth="1"/>
    <col min="6424" max="6424" width="5.5703125" style="498" customWidth="1"/>
    <col min="6425" max="6425" width="3.5703125" style="498" customWidth="1"/>
    <col min="6426" max="6426" width="4" style="498" customWidth="1"/>
    <col min="6427" max="6427" width="4.5703125" style="498" customWidth="1"/>
    <col min="6428" max="6430" width="4.42578125" style="498" customWidth="1"/>
    <col min="6431" max="6432" width="4.5703125" style="498" customWidth="1"/>
    <col min="6433" max="6433" width="4" style="498" customWidth="1"/>
    <col min="6434" max="6434" width="4.5703125" style="498" customWidth="1"/>
    <col min="6435" max="6435" width="6" style="498" customWidth="1"/>
    <col min="6436" max="6436" width="8.5703125" style="498" customWidth="1"/>
    <col min="6437" max="6656" width="11.42578125" style="498"/>
    <col min="6657" max="6657" width="6.42578125" style="498" customWidth="1"/>
    <col min="6658" max="6658" width="47.5703125" style="498" customWidth="1"/>
    <col min="6659" max="6660" width="5" style="498" customWidth="1"/>
    <col min="6661" max="6661" width="5.42578125" style="498" customWidth="1"/>
    <col min="6662" max="6662" width="4.5703125" style="498" customWidth="1"/>
    <col min="6663" max="6664" width="4.42578125" style="498" customWidth="1"/>
    <col min="6665" max="6665" width="3.5703125" style="498" customWidth="1"/>
    <col min="6666" max="6666" width="5" style="498" customWidth="1"/>
    <col min="6667" max="6667" width="4" style="498" customWidth="1"/>
    <col min="6668" max="6669" width="4.5703125" style="498" customWidth="1"/>
    <col min="6670" max="6670" width="4.42578125" style="498" customWidth="1"/>
    <col min="6671" max="6671" width="4" style="498" customWidth="1"/>
    <col min="6672" max="6672" width="3.5703125" style="498" customWidth="1"/>
    <col min="6673" max="6674" width="4.5703125" style="498" customWidth="1"/>
    <col min="6675" max="6675" width="4" style="498" customWidth="1"/>
    <col min="6676" max="6677" width="4.42578125" style="498" customWidth="1"/>
    <col min="6678" max="6678" width="3.5703125" style="498" customWidth="1"/>
    <col min="6679" max="6679" width="4.42578125" style="498" customWidth="1"/>
    <col min="6680" max="6680" width="5.5703125" style="498" customWidth="1"/>
    <col min="6681" max="6681" width="3.5703125" style="498" customWidth="1"/>
    <col min="6682" max="6682" width="4" style="498" customWidth="1"/>
    <col min="6683" max="6683" width="4.5703125" style="498" customWidth="1"/>
    <col min="6684" max="6686" width="4.42578125" style="498" customWidth="1"/>
    <col min="6687" max="6688" width="4.5703125" style="498" customWidth="1"/>
    <col min="6689" max="6689" width="4" style="498" customWidth="1"/>
    <col min="6690" max="6690" width="4.5703125" style="498" customWidth="1"/>
    <col min="6691" max="6691" width="6" style="498" customWidth="1"/>
    <col min="6692" max="6692" width="8.5703125" style="498" customWidth="1"/>
    <col min="6693" max="6912" width="11.42578125" style="498"/>
    <col min="6913" max="6913" width="6.42578125" style="498" customWidth="1"/>
    <col min="6914" max="6914" width="47.5703125" style="498" customWidth="1"/>
    <col min="6915" max="6916" width="5" style="498" customWidth="1"/>
    <col min="6917" max="6917" width="5.42578125" style="498" customWidth="1"/>
    <col min="6918" max="6918" width="4.5703125" style="498" customWidth="1"/>
    <col min="6919" max="6920" width="4.42578125" style="498" customWidth="1"/>
    <col min="6921" max="6921" width="3.5703125" style="498" customWidth="1"/>
    <col min="6922" max="6922" width="5" style="498" customWidth="1"/>
    <col min="6923" max="6923" width="4" style="498" customWidth="1"/>
    <col min="6924" max="6925" width="4.5703125" style="498" customWidth="1"/>
    <col min="6926" max="6926" width="4.42578125" style="498" customWidth="1"/>
    <col min="6927" max="6927" width="4" style="498" customWidth="1"/>
    <col min="6928" max="6928" width="3.5703125" style="498" customWidth="1"/>
    <col min="6929" max="6930" width="4.5703125" style="498" customWidth="1"/>
    <col min="6931" max="6931" width="4" style="498" customWidth="1"/>
    <col min="6932" max="6933" width="4.42578125" style="498" customWidth="1"/>
    <col min="6934" max="6934" width="3.5703125" style="498" customWidth="1"/>
    <col min="6935" max="6935" width="4.42578125" style="498" customWidth="1"/>
    <col min="6936" max="6936" width="5.5703125" style="498" customWidth="1"/>
    <col min="6937" max="6937" width="3.5703125" style="498" customWidth="1"/>
    <col min="6938" max="6938" width="4" style="498" customWidth="1"/>
    <col min="6939" max="6939" width="4.5703125" style="498" customWidth="1"/>
    <col min="6940" max="6942" width="4.42578125" style="498" customWidth="1"/>
    <col min="6943" max="6944" width="4.5703125" style="498" customWidth="1"/>
    <col min="6945" max="6945" width="4" style="498" customWidth="1"/>
    <col min="6946" max="6946" width="4.5703125" style="498" customWidth="1"/>
    <col min="6947" max="6947" width="6" style="498" customWidth="1"/>
    <col min="6948" max="6948" width="8.5703125" style="498" customWidth="1"/>
    <col min="6949" max="7168" width="11.42578125" style="498"/>
    <col min="7169" max="7169" width="6.42578125" style="498" customWidth="1"/>
    <col min="7170" max="7170" width="47.5703125" style="498" customWidth="1"/>
    <col min="7171" max="7172" width="5" style="498" customWidth="1"/>
    <col min="7173" max="7173" width="5.42578125" style="498" customWidth="1"/>
    <col min="7174" max="7174" width="4.5703125" style="498" customWidth="1"/>
    <col min="7175" max="7176" width="4.42578125" style="498" customWidth="1"/>
    <col min="7177" max="7177" width="3.5703125" style="498" customWidth="1"/>
    <col min="7178" max="7178" width="5" style="498" customWidth="1"/>
    <col min="7179" max="7179" width="4" style="498" customWidth="1"/>
    <col min="7180" max="7181" width="4.5703125" style="498" customWidth="1"/>
    <col min="7182" max="7182" width="4.42578125" style="498" customWidth="1"/>
    <col min="7183" max="7183" width="4" style="498" customWidth="1"/>
    <col min="7184" max="7184" width="3.5703125" style="498" customWidth="1"/>
    <col min="7185" max="7186" width="4.5703125" style="498" customWidth="1"/>
    <col min="7187" max="7187" width="4" style="498" customWidth="1"/>
    <col min="7188" max="7189" width="4.42578125" style="498" customWidth="1"/>
    <col min="7190" max="7190" width="3.5703125" style="498" customWidth="1"/>
    <col min="7191" max="7191" width="4.42578125" style="498" customWidth="1"/>
    <col min="7192" max="7192" width="5.5703125" style="498" customWidth="1"/>
    <col min="7193" max="7193" width="3.5703125" style="498" customWidth="1"/>
    <col min="7194" max="7194" width="4" style="498" customWidth="1"/>
    <col min="7195" max="7195" width="4.5703125" style="498" customWidth="1"/>
    <col min="7196" max="7198" width="4.42578125" style="498" customWidth="1"/>
    <col min="7199" max="7200" width="4.5703125" style="498" customWidth="1"/>
    <col min="7201" max="7201" width="4" style="498" customWidth="1"/>
    <col min="7202" max="7202" width="4.5703125" style="498" customWidth="1"/>
    <col min="7203" max="7203" width="6" style="498" customWidth="1"/>
    <col min="7204" max="7204" width="8.5703125" style="498" customWidth="1"/>
    <col min="7205" max="7424" width="11.42578125" style="498"/>
    <col min="7425" max="7425" width="6.42578125" style="498" customWidth="1"/>
    <col min="7426" max="7426" width="47.5703125" style="498" customWidth="1"/>
    <col min="7427" max="7428" width="5" style="498" customWidth="1"/>
    <col min="7429" max="7429" width="5.42578125" style="498" customWidth="1"/>
    <col min="7430" max="7430" width="4.5703125" style="498" customWidth="1"/>
    <col min="7431" max="7432" width="4.42578125" style="498" customWidth="1"/>
    <col min="7433" max="7433" width="3.5703125" style="498" customWidth="1"/>
    <col min="7434" max="7434" width="5" style="498" customWidth="1"/>
    <col min="7435" max="7435" width="4" style="498" customWidth="1"/>
    <col min="7436" max="7437" width="4.5703125" style="498" customWidth="1"/>
    <col min="7438" max="7438" width="4.42578125" style="498" customWidth="1"/>
    <col min="7439" max="7439" width="4" style="498" customWidth="1"/>
    <col min="7440" max="7440" width="3.5703125" style="498" customWidth="1"/>
    <col min="7441" max="7442" width="4.5703125" style="498" customWidth="1"/>
    <col min="7443" max="7443" width="4" style="498" customWidth="1"/>
    <col min="7444" max="7445" width="4.42578125" style="498" customWidth="1"/>
    <col min="7446" max="7446" width="3.5703125" style="498" customWidth="1"/>
    <col min="7447" max="7447" width="4.42578125" style="498" customWidth="1"/>
    <col min="7448" max="7448" width="5.5703125" style="498" customWidth="1"/>
    <col min="7449" max="7449" width="3.5703125" style="498" customWidth="1"/>
    <col min="7450" max="7450" width="4" style="498" customWidth="1"/>
    <col min="7451" max="7451" width="4.5703125" style="498" customWidth="1"/>
    <col min="7452" max="7454" width="4.42578125" style="498" customWidth="1"/>
    <col min="7455" max="7456" width="4.5703125" style="498" customWidth="1"/>
    <col min="7457" max="7457" width="4" style="498" customWidth="1"/>
    <col min="7458" max="7458" width="4.5703125" style="498" customWidth="1"/>
    <col min="7459" max="7459" width="6" style="498" customWidth="1"/>
    <col min="7460" max="7460" width="8.5703125" style="498" customWidth="1"/>
    <col min="7461" max="7680" width="11.42578125" style="498"/>
    <col min="7681" max="7681" width="6.42578125" style="498" customWidth="1"/>
    <col min="7682" max="7682" width="47.5703125" style="498" customWidth="1"/>
    <col min="7683" max="7684" width="5" style="498" customWidth="1"/>
    <col min="7685" max="7685" width="5.42578125" style="498" customWidth="1"/>
    <col min="7686" max="7686" width="4.5703125" style="498" customWidth="1"/>
    <col min="7687" max="7688" width="4.42578125" style="498" customWidth="1"/>
    <col min="7689" max="7689" width="3.5703125" style="498" customWidth="1"/>
    <col min="7690" max="7690" width="5" style="498" customWidth="1"/>
    <col min="7691" max="7691" width="4" style="498" customWidth="1"/>
    <col min="7692" max="7693" width="4.5703125" style="498" customWidth="1"/>
    <col min="7694" max="7694" width="4.42578125" style="498" customWidth="1"/>
    <col min="7695" max="7695" width="4" style="498" customWidth="1"/>
    <col min="7696" max="7696" width="3.5703125" style="498" customWidth="1"/>
    <col min="7697" max="7698" width="4.5703125" style="498" customWidth="1"/>
    <col min="7699" max="7699" width="4" style="498" customWidth="1"/>
    <col min="7700" max="7701" width="4.42578125" style="498" customWidth="1"/>
    <col min="7702" max="7702" width="3.5703125" style="498" customWidth="1"/>
    <col min="7703" max="7703" width="4.42578125" style="498" customWidth="1"/>
    <col min="7704" max="7704" width="5.5703125" style="498" customWidth="1"/>
    <col min="7705" max="7705" width="3.5703125" style="498" customWidth="1"/>
    <col min="7706" max="7706" width="4" style="498" customWidth="1"/>
    <col min="7707" max="7707" width="4.5703125" style="498" customWidth="1"/>
    <col min="7708" max="7710" width="4.42578125" style="498" customWidth="1"/>
    <col min="7711" max="7712" width="4.5703125" style="498" customWidth="1"/>
    <col min="7713" max="7713" width="4" style="498" customWidth="1"/>
    <col min="7714" max="7714" width="4.5703125" style="498" customWidth="1"/>
    <col min="7715" max="7715" width="6" style="498" customWidth="1"/>
    <col min="7716" max="7716" width="8.5703125" style="498" customWidth="1"/>
    <col min="7717" max="7936" width="11.42578125" style="498"/>
    <col min="7937" max="7937" width="6.42578125" style="498" customWidth="1"/>
    <col min="7938" max="7938" width="47.5703125" style="498" customWidth="1"/>
    <col min="7939" max="7940" width="5" style="498" customWidth="1"/>
    <col min="7941" max="7941" width="5.42578125" style="498" customWidth="1"/>
    <col min="7942" max="7942" width="4.5703125" style="498" customWidth="1"/>
    <col min="7943" max="7944" width="4.42578125" style="498" customWidth="1"/>
    <col min="7945" max="7945" width="3.5703125" style="498" customWidth="1"/>
    <col min="7946" max="7946" width="5" style="498" customWidth="1"/>
    <col min="7947" max="7947" width="4" style="498" customWidth="1"/>
    <col min="7948" max="7949" width="4.5703125" style="498" customWidth="1"/>
    <col min="7950" max="7950" width="4.42578125" style="498" customWidth="1"/>
    <col min="7951" max="7951" width="4" style="498" customWidth="1"/>
    <col min="7952" max="7952" width="3.5703125" style="498" customWidth="1"/>
    <col min="7953" max="7954" width="4.5703125" style="498" customWidth="1"/>
    <col min="7955" max="7955" width="4" style="498" customWidth="1"/>
    <col min="7956" max="7957" width="4.42578125" style="498" customWidth="1"/>
    <col min="7958" max="7958" width="3.5703125" style="498" customWidth="1"/>
    <col min="7959" max="7959" width="4.42578125" style="498" customWidth="1"/>
    <col min="7960" max="7960" width="5.5703125" style="498" customWidth="1"/>
    <col min="7961" max="7961" width="3.5703125" style="498" customWidth="1"/>
    <col min="7962" max="7962" width="4" style="498" customWidth="1"/>
    <col min="7963" max="7963" width="4.5703125" style="498" customWidth="1"/>
    <col min="7964" max="7966" width="4.42578125" style="498" customWidth="1"/>
    <col min="7967" max="7968" width="4.5703125" style="498" customWidth="1"/>
    <col min="7969" max="7969" width="4" style="498" customWidth="1"/>
    <col min="7970" max="7970" width="4.5703125" style="498" customWidth="1"/>
    <col min="7971" max="7971" width="6" style="498" customWidth="1"/>
    <col min="7972" max="7972" width="8.5703125" style="498" customWidth="1"/>
    <col min="7973" max="8192" width="11.42578125" style="498"/>
    <col min="8193" max="8193" width="6.42578125" style="498" customWidth="1"/>
    <col min="8194" max="8194" width="47.5703125" style="498" customWidth="1"/>
    <col min="8195" max="8196" width="5" style="498" customWidth="1"/>
    <col min="8197" max="8197" width="5.42578125" style="498" customWidth="1"/>
    <col min="8198" max="8198" width="4.5703125" style="498" customWidth="1"/>
    <col min="8199" max="8200" width="4.42578125" style="498" customWidth="1"/>
    <col min="8201" max="8201" width="3.5703125" style="498" customWidth="1"/>
    <col min="8202" max="8202" width="5" style="498" customWidth="1"/>
    <col min="8203" max="8203" width="4" style="498" customWidth="1"/>
    <col min="8204" max="8205" width="4.5703125" style="498" customWidth="1"/>
    <col min="8206" max="8206" width="4.42578125" style="498" customWidth="1"/>
    <col min="8207" max="8207" width="4" style="498" customWidth="1"/>
    <col min="8208" max="8208" width="3.5703125" style="498" customWidth="1"/>
    <col min="8209" max="8210" width="4.5703125" style="498" customWidth="1"/>
    <col min="8211" max="8211" width="4" style="498" customWidth="1"/>
    <col min="8212" max="8213" width="4.42578125" style="498" customWidth="1"/>
    <col min="8214" max="8214" width="3.5703125" style="498" customWidth="1"/>
    <col min="8215" max="8215" width="4.42578125" style="498" customWidth="1"/>
    <col min="8216" max="8216" width="5.5703125" style="498" customWidth="1"/>
    <col min="8217" max="8217" width="3.5703125" style="498" customWidth="1"/>
    <col min="8218" max="8218" width="4" style="498" customWidth="1"/>
    <col min="8219" max="8219" width="4.5703125" style="498" customWidth="1"/>
    <col min="8220" max="8222" width="4.42578125" style="498" customWidth="1"/>
    <col min="8223" max="8224" width="4.5703125" style="498" customWidth="1"/>
    <col min="8225" max="8225" width="4" style="498" customWidth="1"/>
    <col min="8226" max="8226" width="4.5703125" style="498" customWidth="1"/>
    <col min="8227" max="8227" width="6" style="498" customWidth="1"/>
    <col min="8228" max="8228" width="8.5703125" style="498" customWidth="1"/>
    <col min="8229" max="8448" width="11.42578125" style="498"/>
    <col min="8449" max="8449" width="6.42578125" style="498" customWidth="1"/>
    <col min="8450" max="8450" width="47.5703125" style="498" customWidth="1"/>
    <col min="8451" max="8452" width="5" style="498" customWidth="1"/>
    <col min="8453" max="8453" width="5.42578125" style="498" customWidth="1"/>
    <col min="8454" max="8454" width="4.5703125" style="498" customWidth="1"/>
    <col min="8455" max="8456" width="4.42578125" style="498" customWidth="1"/>
    <col min="8457" max="8457" width="3.5703125" style="498" customWidth="1"/>
    <col min="8458" max="8458" width="5" style="498" customWidth="1"/>
    <col min="8459" max="8459" width="4" style="498" customWidth="1"/>
    <col min="8460" max="8461" width="4.5703125" style="498" customWidth="1"/>
    <col min="8462" max="8462" width="4.42578125" style="498" customWidth="1"/>
    <col min="8463" max="8463" width="4" style="498" customWidth="1"/>
    <col min="8464" max="8464" width="3.5703125" style="498" customWidth="1"/>
    <col min="8465" max="8466" width="4.5703125" style="498" customWidth="1"/>
    <col min="8467" max="8467" width="4" style="498" customWidth="1"/>
    <col min="8468" max="8469" width="4.42578125" style="498" customWidth="1"/>
    <col min="8470" max="8470" width="3.5703125" style="498" customWidth="1"/>
    <col min="8471" max="8471" width="4.42578125" style="498" customWidth="1"/>
    <col min="8472" max="8472" width="5.5703125" style="498" customWidth="1"/>
    <col min="8473" max="8473" width="3.5703125" style="498" customWidth="1"/>
    <col min="8474" max="8474" width="4" style="498" customWidth="1"/>
    <col min="8475" max="8475" width="4.5703125" style="498" customWidth="1"/>
    <col min="8476" max="8478" width="4.42578125" style="498" customWidth="1"/>
    <col min="8479" max="8480" width="4.5703125" style="498" customWidth="1"/>
    <col min="8481" max="8481" width="4" style="498" customWidth="1"/>
    <col min="8482" max="8482" width="4.5703125" style="498" customWidth="1"/>
    <col min="8483" max="8483" width="6" style="498" customWidth="1"/>
    <col min="8484" max="8484" width="8.5703125" style="498" customWidth="1"/>
    <col min="8485" max="8704" width="11.42578125" style="498"/>
    <col min="8705" max="8705" width="6.42578125" style="498" customWidth="1"/>
    <col min="8706" max="8706" width="47.5703125" style="498" customWidth="1"/>
    <col min="8707" max="8708" width="5" style="498" customWidth="1"/>
    <col min="8709" max="8709" width="5.42578125" style="498" customWidth="1"/>
    <col min="8710" max="8710" width="4.5703125" style="498" customWidth="1"/>
    <col min="8711" max="8712" width="4.42578125" style="498" customWidth="1"/>
    <col min="8713" max="8713" width="3.5703125" style="498" customWidth="1"/>
    <col min="8714" max="8714" width="5" style="498" customWidth="1"/>
    <col min="8715" max="8715" width="4" style="498" customWidth="1"/>
    <col min="8716" max="8717" width="4.5703125" style="498" customWidth="1"/>
    <col min="8718" max="8718" width="4.42578125" style="498" customWidth="1"/>
    <col min="8719" max="8719" width="4" style="498" customWidth="1"/>
    <col min="8720" max="8720" width="3.5703125" style="498" customWidth="1"/>
    <col min="8721" max="8722" width="4.5703125" style="498" customWidth="1"/>
    <col min="8723" max="8723" width="4" style="498" customWidth="1"/>
    <col min="8724" max="8725" width="4.42578125" style="498" customWidth="1"/>
    <col min="8726" max="8726" width="3.5703125" style="498" customWidth="1"/>
    <col min="8727" max="8727" width="4.42578125" style="498" customWidth="1"/>
    <col min="8728" max="8728" width="5.5703125" style="498" customWidth="1"/>
    <col min="8729" max="8729" width="3.5703125" style="498" customWidth="1"/>
    <col min="8730" max="8730" width="4" style="498" customWidth="1"/>
    <col min="8731" max="8731" width="4.5703125" style="498" customWidth="1"/>
    <col min="8732" max="8734" width="4.42578125" style="498" customWidth="1"/>
    <col min="8735" max="8736" width="4.5703125" style="498" customWidth="1"/>
    <col min="8737" max="8737" width="4" style="498" customWidth="1"/>
    <col min="8738" max="8738" width="4.5703125" style="498" customWidth="1"/>
    <col min="8739" max="8739" width="6" style="498" customWidth="1"/>
    <col min="8740" max="8740" width="8.5703125" style="498" customWidth="1"/>
    <col min="8741" max="8960" width="11.42578125" style="498"/>
    <col min="8961" max="8961" width="6.42578125" style="498" customWidth="1"/>
    <col min="8962" max="8962" width="47.5703125" style="498" customWidth="1"/>
    <col min="8963" max="8964" width="5" style="498" customWidth="1"/>
    <col min="8965" max="8965" width="5.42578125" style="498" customWidth="1"/>
    <col min="8966" max="8966" width="4.5703125" style="498" customWidth="1"/>
    <col min="8967" max="8968" width="4.42578125" style="498" customWidth="1"/>
    <col min="8969" max="8969" width="3.5703125" style="498" customWidth="1"/>
    <col min="8970" max="8970" width="5" style="498" customWidth="1"/>
    <col min="8971" max="8971" width="4" style="498" customWidth="1"/>
    <col min="8972" max="8973" width="4.5703125" style="498" customWidth="1"/>
    <col min="8974" max="8974" width="4.42578125" style="498" customWidth="1"/>
    <col min="8975" max="8975" width="4" style="498" customWidth="1"/>
    <col min="8976" max="8976" width="3.5703125" style="498" customWidth="1"/>
    <col min="8977" max="8978" width="4.5703125" style="498" customWidth="1"/>
    <col min="8979" max="8979" width="4" style="498" customWidth="1"/>
    <col min="8980" max="8981" width="4.42578125" style="498" customWidth="1"/>
    <col min="8982" max="8982" width="3.5703125" style="498" customWidth="1"/>
    <col min="8983" max="8983" width="4.42578125" style="498" customWidth="1"/>
    <col min="8984" max="8984" width="5.5703125" style="498" customWidth="1"/>
    <col min="8985" max="8985" width="3.5703125" style="498" customWidth="1"/>
    <col min="8986" max="8986" width="4" style="498" customWidth="1"/>
    <col min="8987" max="8987" width="4.5703125" style="498" customWidth="1"/>
    <col min="8988" max="8990" width="4.42578125" style="498" customWidth="1"/>
    <col min="8991" max="8992" width="4.5703125" style="498" customWidth="1"/>
    <col min="8993" max="8993" width="4" style="498" customWidth="1"/>
    <col min="8994" max="8994" width="4.5703125" style="498" customWidth="1"/>
    <col min="8995" max="8995" width="6" style="498" customWidth="1"/>
    <col min="8996" max="8996" width="8.5703125" style="498" customWidth="1"/>
    <col min="8997" max="9216" width="11.42578125" style="498"/>
    <col min="9217" max="9217" width="6.42578125" style="498" customWidth="1"/>
    <col min="9218" max="9218" width="47.5703125" style="498" customWidth="1"/>
    <col min="9219" max="9220" width="5" style="498" customWidth="1"/>
    <col min="9221" max="9221" width="5.42578125" style="498" customWidth="1"/>
    <col min="9222" max="9222" width="4.5703125" style="498" customWidth="1"/>
    <col min="9223" max="9224" width="4.42578125" style="498" customWidth="1"/>
    <col min="9225" max="9225" width="3.5703125" style="498" customWidth="1"/>
    <col min="9226" max="9226" width="5" style="498" customWidth="1"/>
    <col min="9227" max="9227" width="4" style="498" customWidth="1"/>
    <col min="9228" max="9229" width="4.5703125" style="498" customWidth="1"/>
    <col min="9230" max="9230" width="4.42578125" style="498" customWidth="1"/>
    <col min="9231" max="9231" width="4" style="498" customWidth="1"/>
    <col min="9232" max="9232" width="3.5703125" style="498" customWidth="1"/>
    <col min="9233" max="9234" width="4.5703125" style="498" customWidth="1"/>
    <col min="9235" max="9235" width="4" style="498" customWidth="1"/>
    <col min="9236" max="9237" width="4.42578125" style="498" customWidth="1"/>
    <col min="9238" max="9238" width="3.5703125" style="498" customWidth="1"/>
    <col min="9239" max="9239" width="4.42578125" style="498" customWidth="1"/>
    <col min="9240" max="9240" width="5.5703125" style="498" customWidth="1"/>
    <col min="9241" max="9241" width="3.5703125" style="498" customWidth="1"/>
    <col min="9242" max="9242" width="4" style="498" customWidth="1"/>
    <col min="9243" max="9243" width="4.5703125" style="498" customWidth="1"/>
    <col min="9244" max="9246" width="4.42578125" style="498" customWidth="1"/>
    <col min="9247" max="9248" width="4.5703125" style="498" customWidth="1"/>
    <col min="9249" max="9249" width="4" style="498" customWidth="1"/>
    <col min="9250" max="9250" width="4.5703125" style="498" customWidth="1"/>
    <col min="9251" max="9251" width="6" style="498" customWidth="1"/>
    <col min="9252" max="9252" width="8.5703125" style="498" customWidth="1"/>
    <col min="9253" max="9472" width="11.42578125" style="498"/>
    <col min="9473" max="9473" width="6.42578125" style="498" customWidth="1"/>
    <col min="9474" max="9474" width="47.5703125" style="498" customWidth="1"/>
    <col min="9475" max="9476" width="5" style="498" customWidth="1"/>
    <col min="9477" max="9477" width="5.42578125" style="498" customWidth="1"/>
    <col min="9478" max="9478" width="4.5703125" style="498" customWidth="1"/>
    <col min="9479" max="9480" width="4.42578125" style="498" customWidth="1"/>
    <col min="9481" max="9481" width="3.5703125" style="498" customWidth="1"/>
    <col min="9482" max="9482" width="5" style="498" customWidth="1"/>
    <col min="9483" max="9483" width="4" style="498" customWidth="1"/>
    <col min="9484" max="9485" width="4.5703125" style="498" customWidth="1"/>
    <col min="9486" max="9486" width="4.42578125" style="498" customWidth="1"/>
    <col min="9487" max="9487" width="4" style="498" customWidth="1"/>
    <col min="9488" max="9488" width="3.5703125" style="498" customWidth="1"/>
    <col min="9489" max="9490" width="4.5703125" style="498" customWidth="1"/>
    <col min="9491" max="9491" width="4" style="498" customWidth="1"/>
    <col min="9492" max="9493" width="4.42578125" style="498" customWidth="1"/>
    <col min="9494" max="9494" width="3.5703125" style="498" customWidth="1"/>
    <col min="9495" max="9495" width="4.42578125" style="498" customWidth="1"/>
    <col min="9496" max="9496" width="5.5703125" style="498" customWidth="1"/>
    <col min="9497" max="9497" width="3.5703125" style="498" customWidth="1"/>
    <col min="9498" max="9498" width="4" style="498" customWidth="1"/>
    <col min="9499" max="9499" width="4.5703125" style="498" customWidth="1"/>
    <col min="9500" max="9502" width="4.42578125" style="498" customWidth="1"/>
    <col min="9503" max="9504" width="4.5703125" style="498" customWidth="1"/>
    <col min="9505" max="9505" width="4" style="498" customWidth="1"/>
    <col min="9506" max="9506" width="4.5703125" style="498" customWidth="1"/>
    <col min="9507" max="9507" width="6" style="498" customWidth="1"/>
    <col min="9508" max="9508" width="8.5703125" style="498" customWidth="1"/>
    <col min="9509" max="9728" width="11.42578125" style="498"/>
    <col min="9729" max="9729" width="6.42578125" style="498" customWidth="1"/>
    <col min="9730" max="9730" width="47.5703125" style="498" customWidth="1"/>
    <col min="9731" max="9732" width="5" style="498" customWidth="1"/>
    <col min="9733" max="9733" width="5.42578125" style="498" customWidth="1"/>
    <col min="9734" max="9734" width="4.5703125" style="498" customWidth="1"/>
    <col min="9735" max="9736" width="4.42578125" style="498" customWidth="1"/>
    <col min="9737" max="9737" width="3.5703125" style="498" customWidth="1"/>
    <col min="9738" max="9738" width="5" style="498" customWidth="1"/>
    <col min="9739" max="9739" width="4" style="498" customWidth="1"/>
    <col min="9740" max="9741" width="4.5703125" style="498" customWidth="1"/>
    <col min="9742" max="9742" width="4.42578125" style="498" customWidth="1"/>
    <col min="9743" max="9743" width="4" style="498" customWidth="1"/>
    <col min="9744" max="9744" width="3.5703125" style="498" customWidth="1"/>
    <col min="9745" max="9746" width="4.5703125" style="498" customWidth="1"/>
    <col min="9747" max="9747" width="4" style="498" customWidth="1"/>
    <col min="9748" max="9749" width="4.42578125" style="498" customWidth="1"/>
    <col min="9750" max="9750" width="3.5703125" style="498" customWidth="1"/>
    <col min="9751" max="9751" width="4.42578125" style="498" customWidth="1"/>
    <col min="9752" max="9752" width="5.5703125" style="498" customWidth="1"/>
    <col min="9753" max="9753" width="3.5703125" style="498" customWidth="1"/>
    <col min="9754" max="9754" width="4" style="498" customWidth="1"/>
    <col min="9755" max="9755" width="4.5703125" style="498" customWidth="1"/>
    <col min="9756" max="9758" width="4.42578125" style="498" customWidth="1"/>
    <col min="9759" max="9760" width="4.5703125" style="498" customWidth="1"/>
    <col min="9761" max="9761" width="4" style="498" customWidth="1"/>
    <col min="9762" max="9762" width="4.5703125" style="498" customWidth="1"/>
    <col min="9763" max="9763" width="6" style="498" customWidth="1"/>
    <col min="9764" max="9764" width="8.5703125" style="498" customWidth="1"/>
    <col min="9765" max="9984" width="11.42578125" style="498"/>
    <col min="9985" max="9985" width="6.42578125" style="498" customWidth="1"/>
    <col min="9986" max="9986" width="47.5703125" style="498" customWidth="1"/>
    <col min="9987" max="9988" width="5" style="498" customWidth="1"/>
    <col min="9989" max="9989" width="5.42578125" style="498" customWidth="1"/>
    <col min="9990" max="9990" width="4.5703125" style="498" customWidth="1"/>
    <col min="9991" max="9992" width="4.42578125" style="498" customWidth="1"/>
    <col min="9993" max="9993" width="3.5703125" style="498" customWidth="1"/>
    <col min="9994" max="9994" width="5" style="498" customWidth="1"/>
    <col min="9995" max="9995" width="4" style="498" customWidth="1"/>
    <col min="9996" max="9997" width="4.5703125" style="498" customWidth="1"/>
    <col min="9998" max="9998" width="4.42578125" style="498" customWidth="1"/>
    <col min="9999" max="9999" width="4" style="498" customWidth="1"/>
    <col min="10000" max="10000" width="3.5703125" style="498" customWidth="1"/>
    <col min="10001" max="10002" width="4.5703125" style="498" customWidth="1"/>
    <col min="10003" max="10003" width="4" style="498" customWidth="1"/>
    <col min="10004" max="10005" width="4.42578125" style="498" customWidth="1"/>
    <col min="10006" max="10006" width="3.5703125" style="498" customWidth="1"/>
    <col min="10007" max="10007" width="4.42578125" style="498" customWidth="1"/>
    <col min="10008" max="10008" width="5.5703125" style="498" customWidth="1"/>
    <col min="10009" max="10009" width="3.5703125" style="498" customWidth="1"/>
    <col min="10010" max="10010" width="4" style="498" customWidth="1"/>
    <col min="10011" max="10011" width="4.5703125" style="498" customWidth="1"/>
    <col min="10012" max="10014" width="4.42578125" style="498" customWidth="1"/>
    <col min="10015" max="10016" width="4.5703125" style="498" customWidth="1"/>
    <col min="10017" max="10017" width="4" style="498" customWidth="1"/>
    <col min="10018" max="10018" width="4.5703125" style="498" customWidth="1"/>
    <col min="10019" max="10019" width="6" style="498" customWidth="1"/>
    <col min="10020" max="10020" width="8.5703125" style="498" customWidth="1"/>
    <col min="10021" max="10240" width="11.42578125" style="498"/>
    <col min="10241" max="10241" width="6.42578125" style="498" customWidth="1"/>
    <col min="10242" max="10242" width="47.5703125" style="498" customWidth="1"/>
    <col min="10243" max="10244" width="5" style="498" customWidth="1"/>
    <col min="10245" max="10245" width="5.42578125" style="498" customWidth="1"/>
    <col min="10246" max="10246" width="4.5703125" style="498" customWidth="1"/>
    <col min="10247" max="10248" width="4.42578125" style="498" customWidth="1"/>
    <col min="10249" max="10249" width="3.5703125" style="498" customWidth="1"/>
    <col min="10250" max="10250" width="5" style="498" customWidth="1"/>
    <col min="10251" max="10251" width="4" style="498" customWidth="1"/>
    <col min="10252" max="10253" width="4.5703125" style="498" customWidth="1"/>
    <col min="10254" max="10254" width="4.42578125" style="498" customWidth="1"/>
    <col min="10255" max="10255" width="4" style="498" customWidth="1"/>
    <col min="10256" max="10256" width="3.5703125" style="498" customWidth="1"/>
    <col min="10257" max="10258" width="4.5703125" style="498" customWidth="1"/>
    <col min="10259" max="10259" width="4" style="498" customWidth="1"/>
    <col min="10260" max="10261" width="4.42578125" style="498" customWidth="1"/>
    <col min="10262" max="10262" width="3.5703125" style="498" customWidth="1"/>
    <col min="10263" max="10263" width="4.42578125" style="498" customWidth="1"/>
    <col min="10264" max="10264" width="5.5703125" style="498" customWidth="1"/>
    <col min="10265" max="10265" width="3.5703125" style="498" customWidth="1"/>
    <col min="10266" max="10266" width="4" style="498" customWidth="1"/>
    <col min="10267" max="10267" width="4.5703125" style="498" customWidth="1"/>
    <col min="10268" max="10270" width="4.42578125" style="498" customWidth="1"/>
    <col min="10271" max="10272" width="4.5703125" style="498" customWidth="1"/>
    <col min="10273" max="10273" width="4" style="498" customWidth="1"/>
    <col min="10274" max="10274" width="4.5703125" style="498" customWidth="1"/>
    <col min="10275" max="10275" width="6" style="498" customWidth="1"/>
    <col min="10276" max="10276" width="8.5703125" style="498" customWidth="1"/>
    <col min="10277" max="10496" width="11.42578125" style="498"/>
    <col min="10497" max="10497" width="6.42578125" style="498" customWidth="1"/>
    <col min="10498" max="10498" width="47.5703125" style="498" customWidth="1"/>
    <col min="10499" max="10500" width="5" style="498" customWidth="1"/>
    <col min="10501" max="10501" width="5.42578125" style="498" customWidth="1"/>
    <col min="10502" max="10502" width="4.5703125" style="498" customWidth="1"/>
    <col min="10503" max="10504" width="4.42578125" style="498" customWidth="1"/>
    <col min="10505" max="10505" width="3.5703125" style="498" customWidth="1"/>
    <col min="10506" max="10506" width="5" style="498" customWidth="1"/>
    <col min="10507" max="10507" width="4" style="498" customWidth="1"/>
    <col min="10508" max="10509" width="4.5703125" style="498" customWidth="1"/>
    <col min="10510" max="10510" width="4.42578125" style="498" customWidth="1"/>
    <col min="10511" max="10511" width="4" style="498" customWidth="1"/>
    <col min="10512" max="10512" width="3.5703125" style="498" customWidth="1"/>
    <col min="10513" max="10514" width="4.5703125" style="498" customWidth="1"/>
    <col min="10515" max="10515" width="4" style="498" customWidth="1"/>
    <col min="10516" max="10517" width="4.42578125" style="498" customWidth="1"/>
    <col min="10518" max="10518" width="3.5703125" style="498" customWidth="1"/>
    <col min="10519" max="10519" width="4.42578125" style="498" customWidth="1"/>
    <col min="10520" max="10520" width="5.5703125" style="498" customWidth="1"/>
    <col min="10521" max="10521" width="3.5703125" style="498" customWidth="1"/>
    <col min="10522" max="10522" width="4" style="498" customWidth="1"/>
    <col min="10523" max="10523" width="4.5703125" style="498" customWidth="1"/>
    <col min="10524" max="10526" width="4.42578125" style="498" customWidth="1"/>
    <col min="10527" max="10528" width="4.5703125" style="498" customWidth="1"/>
    <col min="10529" max="10529" width="4" style="498" customWidth="1"/>
    <col min="10530" max="10530" width="4.5703125" style="498" customWidth="1"/>
    <col min="10531" max="10531" width="6" style="498" customWidth="1"/>
    <col min="10532" max="10532" width="8.5703125" style="498" customWidth="1"/>
    <col min="10533" max="10752" width="11.42578125" style="498"/>
    <col min="10753" max="10753" width="6.42578125" style="498" customWidth="1"/>
    <col min="10754" max="10754" width="47.5703125" style="498" customWidth="1"/>
    <col min="10755" max="10756" width="5" style="498" customWidth="1"/>
    <col min="10757" max="10757" width="5.42578125" style="498" customWidth="1"/>
    <col min="10758" max="10758" width="4.5703125" style="498" customWidth="1"/>
    <col min="10759" max="10760" width="4.42578125" style="498" customWidth="1"/>
    <col min="10761" max="10761" width="3.5703125" style="498" customWidth="1"/>
    <col min="10762" max="10762" width="5" style="498" customWidth="1"/>
    <col min="10763" max="10763" width="4" style="498" customWidth="1"/>
    <col min="10764" max="10765" width="4.5703125" style="498" customWidth="1"/>
    <col min="10766" max="10766" width="4.42578125" style="498" customWidth="1"/>
    <col min="10767" max="10767" width="4" style="498" customWidth="1"/>
    <col min="10768" max="10768" width="3.5703125" style="498" customWidth="1"/>
    <col min="10769" max="10770" width="4.5703125" style="498" customWidth="1"/>
    <col min="10771" max="10771" width="4" style="498" customWidth="1"/>
    <col min="10772" max="10773" width="4.42578125" style="498" customWidth="1"/>
    <col min="10774" max="10774" width="3.5703125" style="498" customWidth="1"/>
    <col min="10775" max="10775" width="4.42578125" style="498" customWidth="1"/>
    <col min="10776" max="10776" width="5.5703125" style="498" customWidth="1"/>
    <col min="10777" max="10777" width="3.5703125" style="498" customWidth="1"/>
    <col min="10778" max="10778" width="4" style="498" customWidth="1"/>
    <col min="10779" max="10779" width="4.5703125" style="498" customWidth="1"/>
    <col min="10780" max="10782" width="4.42578125" style="498" customWidth="1"/>
    <col min="10783" max="10784" width="4.5703125" style="498" customWidth="1"/>
    <col min="10785" max="10785" width="4" style="498" customWidth="1"/>
    <col min="10786" max="10786" width="4.5703125" style="498" customWidth="1"/>
    <col min="10787" max="10787" width="6" style="498" customWidth="1"/>
    <col min="10788" max="10788" width="8.5703125" style="498" customWidth="1"/>
    <col min="10789" max="11008" width="11.42578125" style="498"/>
    <col min="11009" max="11009" width="6.42578125" style="498" customWidth="1"/>
    <col min="11010" max="11010" width="47.5703125" style="498" customWidth="1"/>
    <col min="11011" max="11012" width="5" style="498" customWidth="1"/>
    <col min="11013" max="11013" width="5.42578125" style="498" customWidth="1"/>
    <col min="11014" max="11014" width="4.5703125" style="498" customWidth="1"/>
    <col min="11015" max="11016" width="4.42578125" style="498" customWidth="1"/>
    <col min="11017" max="11017" width="3.5703125" style="498" customWidth="1"/>
    <col min="11018" max="11018" width="5" style="498" customWidth="1"/>
    <col min="11019" max="11019" width="4" style="498" customWidth="1"/>
    <col min="11020" max="11021" width="4.5703125" style="498" customWidth="1"/>
    <col min="11022" max="11022" width="4.42578125" style="498" customWidth="1"/>
    <col min="11023" max="11023" width="4" style="498" customWidth="1"/>
    <col min="11024" max="11024" width="3.5703125" style="498" customWidth="1"/>
    <col min="11025" max="11026" width="4.5703125" style="498" customWidth="1"/>
    <col min="11027" max="11027" width="4" style="498" customWidth="1"/>
    <col min="11028" max="11029" width="4.42578125" style="498" customWidth="1"/>
    <col min="11030" max="11030" width="3.5703125" style="498" customWidth="1"/>
    <col min="11031" max="11031" width="4.42578125" style="498" customWidth="1"/>
    <col min="11032" max="11032" width="5.5703125" style="498" customWidth="1"/>
    <col min="11033" max="11033" width="3.5703125" style="498" customWidth="1"/>
    <col min="11034" max="11034" width="4" style="498" customWidth="1"/>
    <col min="11035" max="11035" width="4.5703125" style="498" customWidth="1"/>
    <col min="11036" max="11038" width="4.42578125" style="498" customWidth="1"/>
    <col min="11039" max="11040" width="4.5703125" style="498" customWidth="1"/>
    <col min="11041" max="11041" width="4" style="498" customWidth="1"/>
    <col min="11042" max="11042" width="4.5703125" style="498" customWidth="1"/>
    <col min="11043" max="11043" width="6" style="498" customWidth="1"/>
    <col min="11044" max="11044" width="8.5703125" style="498" customWidth="1"/>
    <col min="11045" max="11264" width="11.42578125" style="498"/>
    <col min="11265" max="11265" width="6.42578125" style="498" customWidth="1"/>
    <col min="11266" max="11266" width="47.5703125" style="498" customWidth="1"/>
    <col min="11267" max="11268" width="5" style="498" customWidth="1"/>
    <col min="11269" max="11269" width="5.42578125" style="498" customWidth="1"/>
    <col min="11270" max="11270" width="4.5703125" style="498" customWidth="1"/>
    <col min="11271" max="11272" width="4.42578125" style="498" customWidth="1"/>
    <col min="11273" max="11273" width="3.5703125" style="498" customWidth="1"/>
    <col min="11274" max="11274" width="5" style="498" customWidth="1"/>
    <col min="11275" max="11275" width="4" style="498" customWidth="1"/>
    <col min="11276" max="11277" width="4.5703125" style="498" customWidth="1"/>
    <col min="11278" max="11278" width="4.42578125" style="498" customWidth="1"/>
    <col min="11279" max="11279" width="4" style="498" customWidth="1"/>
    <col min="11280" max="11280" width="3.5703125" style="498" customWidth="1"/>
    <col min="11281" max="11282" width="4.5703125" style="498" customWidth="1"/>
    <col min="11283" max="11283" width="4" style="498" customWidth="1"/>
    <col min="11284" max="11285" width="4.42578125" style="498" customWidth="1"/>
    <col min="11286" max="11286" width="3.5703125" style="498" customWidth="1"/>
    <col min="11287" max="11287" width="4.42578125" style="498" customWidth="1"/>
    <col min="11288" max="11288" width="5.5703125" style="498" customWidth="1"/>
    <col min="11289" max="11289" width="3.5703125" style="498" customWidth="1"/>
    <col min="11290" max="11290" width="4" style="498" customWidth="1"/>
    <col min="11291" max="11291" width="4.5703125" style="498" customWidth="1"/>
    <col min="11292" max="11294" width="4.42578125" style="498" customWidth="1"/>
    <col min="11295" max="11296" width="4.5703125" style="498" customWidth="1"/>
    <col min="11297" max="11297" width="4" style="498" customWidth="1"/>
    <col min="11298" max="11298" width="4.5703125" style="498" customWidth="1"/>
    <col min="11299" max="11299" width="6" style="498" customWidth="1"/>
    <col min="11300" max="11300" width="8.5703125" style="498" customWidth="1"/>
    <col min="11301" max="11520" width="11.42578125" style="498"/>
    <col min="11521" max="11521" width="6.42578125" style="498" customWidth="1"/>
    <col min="11522" max="11522" width="47.5703125" style="498" customWidth="1"/>
    <col min="11523" max="11524" width="5" style="498" customWidth="1"/>
    <col min="11525" max="11525" width="5.42578125" style="498" customWidth="1"/>
    <col min="11526" max="11526" width="4.5703125" style="498" customWidth="1"/>
    <col min="11527" max="11528" width="4.42578125" style="498" customWidth="1"/>
    <col min="11529" max="11529" width="3.5703125" style="498" customWidth="1"/>
    <col min="11530" max="11530" width="5" style="498" customWidth="1"/>
    <col min="11531" max="11531" width="4" style="498" customWidth="1"/>
    <col min="11532" max="11533" width="4.5703125" style="498" customWidth="1"/>
    <col min="11534" max="11534" width="4.42578125" style="498" customWidth="1"/>
    <col min="11535" max="11535" width="4" style="498" customWidth="1"/>
    <col min="11536" max="11536" width="3.5703125" style="498" customWidth="1"/>
    <col min="11537" max="11538" width="4.5703125" style="498" customWidth="1"/>
    <col min="11539" max="11539" width="4" style="498" customWidth="1"/>
    <col min="11540" max="11541" width="4.42578125" style="498" customWidth="1"/>
    <col min="11542" max="11542" width="3.5703125" style="498" customWidth="1"/>
    <col min="11543" max="11543" width="4.42578125" style="498" customWidth="1"/>
    <col min="11544" max="11544" width="5.5703125" style="498" customWidth="1"/>
    <col min="11545" max="11545" width="3.5703125" style="498" customWidth="1"/>
    <col min="11546" max="11546" width="4" style="498" customWidth="1"/>
    <col min="11547" max="11547" width="4.5703125" style="498" customWidth="1"/>
    <col min="11548" max="11550" width="4.42578125" style="498" customWidth="1"/>
    <col min="11551" max="11552" width="4.5703125" style="498" customWidth="1"/>
    <col min="11553" max="11553" width="4" style="498" customWidth="1"/>
    <col min="11554" max="11554" width="4.5703125" style="498" customWidth="1"/>
    <col min="11555" max="11555" width="6" style="498" customWidth="1"/>
    <col min="11556" max="11556" width="8.5703125" style="498" customWidth="1"/>
    <col min="11557" max="11776" width="11.42578125" style="498"/>
    <col min="11777" max="11777" width="6.42578125" style="498" customWidth="1"/>
    <col min="11778" max="11778" width="47.5703125" style="498" customWidth="1"/>
    <col min="11779" max="11780" width="5" style="498" customWidth="1"/>
    <col min="11781" max="11781" width="5.42578125" style="498" customWidth="1"/>
    <col min="11782" max="11782" width="4.5703125" style="498" customWidth="1"/>
    <col min="11783" max="11784" width="4.42578125" style="498" customWidth="1"/>
    <col min="11785" max="11785" width="3.5703125" style="498" customWidth="1"/>
    <col min="11786" max="11786" width="5" style="498" customWidth="1"/>
    <col min="11787" max="11787" width="4" style="498" customWidth="1"/>
    <col min="11788" max="11789" width="4.5703125" style="498" customWidth="1"/>
    <col min="11790" max="11790" width="4.42578125" style="498" customWidth="1"/>
    <col min="11791" max="11791" width="4" style="498" customWidth="1"/>
    <col min="11792" max="11792" width="3.5703125" style="498" customWidth="1"/>
    <col min="11793" max="11794" width="4.5703125" style="498" customWidth="1"/>
    <col min="11795" max="11795" width="4" style="498" customWidth="1"/>
    <col min="11796" max="11797" width="4.42578125" style="498" customWidth="1"/>
    <col min="11798" max="11798" width="3.5703125" style="498" customWidth="1"/>
    <col min="11799" max="11799" width="4.42578125" style="498" customWidth="1"/>
    <col min="11800" max="11800" width="5.5703125" style="498" customWidth="1"/>
    <col min="11801" max="11801" width="3.5703125" style="498" customWidth="1"/>
    <col min="11802" max="11802" width="4" style="498" customWidth="1"/>
    <col min="11803" max="11803" width="4.5703125" style="498" customWidth="1"/>
    <col min="11804" max="11806" width="4.42578125" style="498" customWidth="1"/>
    <col min="11807" max="11808" width="4.5703125" style="498" customWidth="1"/>
    <col min="11809" max="11809" width="4" style="498" customWidth="1"/>
    <col min="11810" max="11810" width="4.5703125" style="498" customWidth="1"/>
    <col min="11811" max="11811" width="6" style="498" customWidth="1"/>
    <col min="11812" max="11812" width="8.5703125" style="498" customWidth="1"/>
    <col min="11813" max="12032" width="11.42578125" style="498"/>
    <col min="12033" max="12033" width="6.42578125" style="498" customWidth="1"/>
    <col min="12034" max="12034" width="47.5703125" style="498" customWidth="1"/>
    <col min="12035" max="12036" width="5" style="498" customWidth="1"/>
    <col min="12037" max="12037" width="5.42578125" style="498" customWidth="1"/>
    <col min="12038" max="12038" width="4.5703125" style="498" customWidth="1"/>
    <col min="12039" max="12040" width="4.42578125" style="498" customWidth="1"/>
    <col min="12041" max="12041" width="3.5703125" style="498" customWidth="1"/>
    <col min="12042" max="12042" width="5" style="498" customWidth="1"/>
    <col min="12043" max="12043" width="4" style="498" customWidth="1"/>
    <col min="12044" max="12045" width="4.5703125" style="498" customWidth="1"/>
    <col min="12046" max="12046" width="4.42578125" style="498" customWidth="1"/>
    <col min="12047" max="12047" width="4" style="498" customWidth="1"/>
    <col min="12048" max="12048" width="3.5703125" style="498" customWidth="1"/>
    <col min="12049" max="12050" width="4.5703125" style="498" customWidth="1"/>
    <col min="12051" max="12051" width="4" style="498" customWidth="1"/>
    <col min="12052" max="12053" width="4.42578125" style="498" customWidth="1"/>
    <col min="12054" max="12054" width="3.5703125" style="498" customWidth="1"/>
    <col min="12055" max="12055" width="4.42578125" style="498" customWidth="1"/>
    <col min="12056" max="12056" width="5.5703125" style="498" customWidth="1"/>
    <col min="12057" max="12057" width="3.5703125" style="498" customWidth="1"/>
    <col min="12058" max="12058" width="4" style="498" customWidth="1"/>
    <col min="12059" max="12059" width="4.5703125" style="498" customWidth="1"/>
    <col min="12060" max="12062" width="4.42578125" style="498" customWidth="1"/>
    <col min="12063" max="12064" width="4.5703125" style="498" customWidth="1"/>
    <col min="12065" max="12065" width="4" style="498" customWidth="1"/>
    <col min="12066" max="12066" width="4.5703125" style="498" customWidth="1"/>
    <col min="12067" max="12067" width="6" style="498" customWidth="1"/>
    <col min="12068" max="12068" width="8.5703125" style="498" customWidth="1"/>
    <col min="12069" max="12288" width="11.42578125" style="498"/>
    <col min="12289" max="12289" width="6.42578125" style="498" customWidth="1"/>
    <col min="12290" max="12290" width="47.5703125" style="498" customWidth="1"/>
    <col min="12291" max="12292" width="5" style="498" customWidth="1"/>
    <col min="12293" max="12293" width="5.42578125" style="498" customWidth="1"/>
    <col min="12294" max="12294" width="4.5703125" style="498" customWidth="1"/>
    <col min="12295" max="12296" width="4.42578125" style="498" customWidth="1"/>
    <col min="12297" max="12297" width="3.5703125" style="498" customWidth="1"/>
    <col min="12298" max="12298" width="5" style="498" customWidth="1"/>
    <col min="12299" max="12299" width="4" style="498" customWidth="1"/>
    <col min="12300" max="12301" width="4.5703125" style="498" customWidth="1"/>
    <col min="12302" max="12302" width="4.42578125" style="498" customWidth="1"/>
    <col min="12303" max="12303" width="4" style="498" customWidth="1"/>
    <col min="12304" max="12304" width="3.5703125" style="498" customWidth="1"/>
    <col min="12305" max="12306" width="4.5703125" style="498" customWidth="1"/>
    <col min="12307" max="12307" width="4" style="498" customWidth="1"/>
    <col min="12308" max="12309" width="4.42578125" style="498" customWidth="1"/>
    <col min="12310" max="12310" width="3.5703125" style="498" customWidth="1"/>
    <col min="12311" max="12311" width="4.42578125" style="498" customWidth="1"/>
    <col min="12312" max="12312" width="5.5703125" style="498" customWidth="1"/>
    <col min="12313" max="12313" width="3.5703125" style="498" customWidth="1"/>
    <col min="12314" max="12314" width="4" style="498" customWidth="1"/>
    <col min="12315" max="12315" width="4.5703125" style="498" customWidth="1"/>
    <col min="12316" max="12318" width="4.42578125" style="498" customWidth="1"/>
    <col min="12319" max="12320" width="4.5703125" style="498" customWidth="1"/>
    <col min="12321" max="12321" width="4" style="498" customWidth="1"/>
    <col min="12322" max="12322" width="4.5703125" style="498" customWidth="1"/>
    <col min="12323" max="12323" width="6" style="498" customWidth="1"/>
    <col min="12324" max="12324" width="8.5703125" style="498" customWidth="1"/>
    <col min="12325" max="12544" width="11.42578125" style="498"/>
    <col min="12545" max="12545" width="6.42578125" style="498" customWidth="1"/>
    <col min="12546" max="12546" width="47.5703125" style="498" customWidth="1"/>
    <col min="12547" max="12548" width="5" style="498" customWidth="1"/>
    <col min="12549" max="12549" width="5.42578125" style="498" customWidth="1"/>
    <col min="12550" max="12550" width="4.5703125" style="498" customWidth="1"/>
    <col min="12551" max="12552" width="4.42578125" style="498" customWidth="1"/>
    <col min="12553" max="12553" width="3.5703125" style="498" customWidth="1"/>
    <col min="12554" max="12554" width="5" style="498" customWidth="1"/>
    <col min="12555" max="12555" width="4" style="498" customWidth="1"/>
    <col min="12556" max="12557" width="4.5703125" style="498" customWidth="1"/>
    <col min="12558" max="12558" width="4.42578125" style="498" customWidth="1"/>
    <col min="12559" max="12559" width="4" style="498" customWidth="1"/>
    <col min="12560" max="12560" width="3.5703125" style="498" customWidth="1"/>
    <col min="12561" max="12562" width="4.5703125" style="498" customWidth="1"/>
    <col min="12563" max="12563" width="4" style="498" customWidth="1"/>
    <col min="12564" max="12565" width="4.42578125" style="498" customWidth="1"/>
    <col min="12566" max="12566" width="3.5703125" style="498" customWidth="1"/>
    <col min="12567" max="12567" width="4.42578125" style="498" customWidth="1"/>
    <col min="12568" max="12568" width="5.5703125" style="498" customWidth="1"/>
    <col min="12569" max="12569" width="3.5703125" style="498" customWidth="1"/>
    <col min="12570" max="12570" width="4" style="498" customWidth="1"/>
    <col min="12571" max="12571" width="4.5703125" style="498" customWidth="1"/>
    <col min="12572" max="12574" width="4.42578125" style="498" customWidth="1"/>
    <col min="12575" max="12576" width="4.5703125" style="498" customWidth="1"/>
    <col min="12577" max="12577" width="4" style="498" customWidth="1"/>
    <col min="12578" max="12578" width="4.5703125" style="498" customWidth="1"/>
    <col min="12579" max="12579" width="6" style="498" customWidth="1"/>
    <col min="12580" max="12580" width="8.5703125" style="498" customWidth="1"/>
    <col min="12581" max="12800" width="11.42578125" style="498"/>
    <col min="12801" max="12801" width="6.42578125" style="498" customWidth="1"/>
    <col min="12802" max="12802" width="47.5703125" style="498" customWidth="1"/>
    <col min="12803" max="12804" width="5" style="498" customWidth="1"/>
    <col min="12805" max="12805" width="5.42578125" style="498" customWidth="1"/>
    <col min="12806" max="12806" width="4.5703125" style="498" customWidth="1"/>
    <col min="12807" max="12808" width="4.42578125" style="498" customWidth="1"/>
    <col min="12809" max="12809" width="3.5703125" style="498" customWidth="1"/>
    <col min="12810" max="12810" width="5" style="498" customWidth="1"/>
    <col min="12811" max="12811" width="4" style="498" customWidth="1"/>
    <col min="12812" max="12813" width="4.5703125" style="498" customWidth="1"/>
    <col min="12814" max="12814" width="4.42578125" style="498" customWidth="1"/>
    <col min="12815" max="12815" width="4" style="498" customWidth="1"/>
    <col min="12816" max="12816" width="3.5703125" style="498" customWidth="1"/>
    <col min="12817" max="12818" width="4.5703125" style="498" customWidth="1"/>
    <col min="12819" max="12819" width="4" style="498" customWidth="1"/>
    <col min="12820" max="12821" width="4.42578125" style="498" customWidth="1"/>
    <col min="12822" max="12822" width="3.5703125" style="498" customWidth="1"/>
    <col min="12823" max="12823" width="4.42578125" style="498" customWidth="1"/>
    <col min="12824" max="12824" width="5.5703125" style="498" customWidth="1"/>
    <col min="12825" max="12825" width="3.5703125" style="498" customWidth="1"/>
    <col min="12826" max="12826" width="4" style="498" customWidth="1"/>
    <col min="12827" max="12827" width="4.5703125" style="498" customWidth="1"/>
    <col min="12828" max="12830" width="4.42578125" style="498" customWidth="1"/>
    <col min="12831" max="12832" width="4.5703125" style="498" customWidth="1"/>
    <col min="12833" max="12833" width="4" style="498" customWidth="1"/>
    <col min="12834" max="12834" width="4.5703125" style="498" customWidth="1"/>
    <col min="12835" max="12835" width="6" style="498" customWidth="1"/>
    <col min="12836" max="12836" width="8.5703125" style="498" customWidth="1"/>
    <col min="12837" max="13056" width="11.42578125" style="498"/>
    <col min="13057" max="13057" width="6.42578125" style="498" customWidth="1"/>
    <col min="13058" max="13058" width="47.5703125" style="498" customWidth="1"/>
    <col min="13059" max="13060" width="5" style="498" customWidth="1"/>
    <col min="13061" max="13061" width="5.42578125" style="498" customWidth="1"/>
    <col min="13062" max="13062" width="4.5703125" style="498" customWidth="1"/>
    <col min="13063" max="13064" width="4.42578125" style="498" customWidth="1"/>
    <col min="13065" max="13065" width="3.5703125" style="498" customWidth="1"/>
    <col min="13066" max="13066" width="5" style="498" customWidth="1"/>
    <col min="13067" max="13067" width="4" style="498" customWidth="1"/>
    <col min="13068" max="13069" width="4.5703125" style="498" customWidth="1"/>
    <col min="13070" max="13070" width="4.42578125" style="498" customWidth="1"/>
    <col min="13071" max="13071" width="4" style="498" customWidth="1"/>
    <col min="13072" max="13072" width="3.5703125" style="498" customWidth="1"/>
    <col min="13073" max="13074" width="4.5703125" style="498" customWidth="1"/>
    <col min="13075" max="13075" width="4" style="498" customWidth="1"/>
    <col min="13076" max="13077" width="4.42578125" style="498" customWidth="1"/>
    <col min="13078" max="13078" width="3.5703125" style="498" customWidth="1"/>
    <col min="13079" max="13079" width="4.42578125" style="498" customWidth="1"/>
    <col min="13080" max="13080" width="5.5703125" style="498" customWidth="1"/>
    <col min="13081" max="13081" width="3.5703125" style="498" customWidth="1"/>
    <col min="13082" max="13082" width="4" style="498" customWidth="1"/>
    <col min="13083" max="13083" width="4.5703125" style="498" customWidth="1"/>
    <col min="13084" max="13086" width="4.42578125" style="498" customWidth="1"/>
    <col min="13087" max="13088" width="4.5703125" style="498" customWidth="1"/>
    <col min="13089" max="13089" width="4" style="498" customWidth="1"/>
    <col min="13090" max="13090" width="4.5703125" style="498" customWidth="1"/>
    <col min="13091" max="13091" width="6" style="498" customWidth="1"/>
    <col min="13092" max="13092" width="8.5703125" style="498" customWidth="1"/>
    <col min="13093" max="13312" width="11.42578125" style="498"/>
    <col min="13313" max="13313" width="6.42578125" style="498" customWidth="1"/>
    <col min="13314" max="13314" width="47.5703125" style="498" customWidth="1"/>
    <col min="13315" max="13316" width="5" style="498" customWidth="1"/>
    <col min="13317" max="13317" width="5.42578125" style="498" customWidth="1"/>
    <col min="13318" max="13318" width="4.5703125" style="498" customWidth="1"/>
    <col min="13319" max="13320" width="4.42578125" style="498" customWidth="1"/>
    <col min="13321" max="13321" width="3.5703125" style="498" customWidth="1"/>
    <col min="13322" max="13322" width="5" style="498" customWidth="1"/>
    <col min="13323" max="13323" width="4" style="498" customWidth="1"/>
    <col min="13324" max="13325" width="4.5703125" style="498" customWidth="1"/>
    <col min="13326" max="13326" width="4.42578125" style="498" customWidth="1"/>
    <col min="13327" max="13327" width="4" style="498" customWidth="1"/>
    <col min="13328" max="13328" width="3.5703125" style="498" customWidth="1"/>
    <col min="13329" max="13330" width="4.5703125" style="498" customWidth="1"/>
    <col min="13331" max="13331" width="4" style="498" customWidth="1"/>
    <col min="13332" max="13333" width="4.42578125" style="498" customWidth="1"/>
    <col min="13334" max="13334" width="3.5703125" style="498" customWidth="1"/>
    <col min="13335" max="13335" width="4.42578125" style="498" customWidth="1"/>
    <col min="13336" max="13336" width="5.5703125" style="498" customWidth="1"/>
    <col min="13337" max="13337" width="3.5703125" style="498" customWidth="1"/>
    <col min="13338" max="13338" width="4" style="498" customWidth="1"/>
    <col min="13339" max="13339" width="4.5703125" style="498" customWidth="1"/>
    <col min="13340" max="13342" width="4.42578125" style="498" customWidth="1"/>
    <col min="13343" max="13344" width="4.5703125" style="498" customWidth="1"/>
    <col min="13345" max="13345" width="4" style="498" customWidth="1"/>
    <col min="13346" max="13346" width="4.5703125" style="498" customWidth="1"/>
    <col min="13347" max="13347" width="6" style="498" customWidth="1"/>
    <col min="13348" max="13348" width="8.5703125" style="498" customWidth="1"/>
    <col min="13349" max="13568" width="11.42578125" style="498"/>
    <col min="13569" max="13569" width="6.42578125" style="498" customWidth="1"/>
    <col min="13570" max="13570" width="47.5703125" style="498" customWidth="1"/>
    <col min="13571" max="13572" width="5" style="498" customWidth="1"/>
    <col min="13573" max="13573" width="5.42578125" style="498" customWidth="1"/>
    <col min="13574" max="13574" width="4.5703125" style="498" customWidth="1"/>
    <col min="13575" max="13576" width="4.42578125" style="498" customWidth="1"/>
    <col min="13577" max="13577" width="3.5703125" style="498" customWidth="1"/>
    <col min="13578" max="13578" width="5" style="498" customWidth="1"/>
    <col min="13579" max="13579" width="4" style="498" customWidth="1"/>
    <col min="13580" max="13581" width="4.5703125" style="498" customWidth="1"/>
    <col min="13582" max="13582" width="4.42578125" style="498" customWidth="1"/>
    <col min="13583" max="13583" width="4" style="498" customWidth="1"/>
    <col min="13584" max="13584" width="3.5703125" style="498" customWidth="1"/>
    <col min="13585" max="13586" width="4.5703125" style="498" customWidth="1"/>
    <col min="13587" max="13587" width="4" style="498" customWidth="1"/>
    <col min="13588" max="13589" width="4.42578125" style="498" customWidth="1"/>
    <col min="13590" max="13590" width="3.5703125" style="498" customWidth="1"/>
    <col min="13591" max="13591" width="4.42578125" style="498" customWidth="1"/>
    <col min="13592" max="13592" width="5.5703125" style="498" customWidth="1"/>
    <col min="13593" max="13593" width="3.5703125" style="498" customWidth="1"/>
    <col min="13594" max="13594" width="4" style="498" customWidth="1"/>
    <col min="13595" max="13595" width="4.5703125" style="498" customWidth="1"/>
    <col min="13596" max="13598" width="4.42578125" style="498" customWidth="1"/>
    <col min="13599" max="13600" width="4.5703125" style="498" customWidth="1"/>
    <col min="13601" max="13601" width="4" style="498" customWidth="1"/>
    <col min="13602" max="13602" width="4.5703125" style="498" customWidth="1"/>
    <col min="13603" max="13603" width="6" style="498" customWidth="1"/>
    <col min="13604" max="13604" width="8.5703125" style="498" customWidth="1"/>
    <col min="13605" max="13824" width="11.42578125" style="498"/>
    <col min="13825" max="13825" width="6.42578125" style="498" customWidth="1"/>
    <col min="13826" max="13826" width="47.5703125" style="498" customWidth="1"/>
    <col min="13827" max="13828" width="5" style="498" customWidth="1"/>
    <col min="13829" max="13829" width="5.42578125" style="498" customWidth="1"/>
    <col min="13830" max="13830" width="4.5703125" style="498" customWidth="1"/>
    <col min="13831" max="13832" width="4.42578125" style="498" customWidth="1"/>
    <col min="13833" max="13833" width="3.5703125" style="498" customWidth="1"/>
    <col min="13834" max="13834" width="5" style="498" customWidth="1"/>
    <col min="13835" max="13835" width="4" style="498" customWidth="1"/>
    <col min="13836" max="13837" width="4.5703125" style="498" customWidth="1"/>
    <col min="13838" max="13838" width="4.42578125" style="498" customWidth="1"/>
    <col min="13839" max="13839" width="4" style="498" customWidth="1"/>
    <col min="13840" max="13840" width="3.5703125" style="498" customWidth="1"/>
    <col min="13841" max="13842" width="4.5703125" style="498" customWidth="1"/>
    <col min="13843" max="13843" width="4" style="498" customWidth="1"/>
    <col min="13844" max="13845" width="4.42578125" style="498" customWidth="1"/>
    <col min="13846" max="13846" width="3.5703125" style="498" customWidth="1"/>
    <col min="13847" max="13847" width="4.42578125" style="498" customWidth="1"/>
    <col min="13848" max="13848" width="5.5703125" style="498" customWidth="1"/>
    <col min="13849" max="13849" width="3.5703125" style="498" customWidth="1"/>
    <col min="13850" max="13850" width="4" style="498" customWidth="1"/>
    <col min="13851" max="13851" width="4.5703125" style="498" customWidth="1"/>
    <col min="13852" max="13854" width="4.42578125" style="498" customWidth="1"/>
    <col min="13855" max="13856" width="4.5703125" style="498" customWidth="1"/>
    <col min="13857" max="13857" width="4" style="498" customWidth="1"/>
    <col min="13858" max="13858" width="4.5703125" style="498" customWidth="1"/>
    <col min="13859" max="13859" width="6" style="498" customWidth="1"/>
    <col min="13860" max="13860" width="8.5703125" style="498" customWidth="1"/>
    <col min="13861" max="14080" width="11.42578125" style="498"/>
    <col min="14081" max="14081" width="6.42578125" style="498" customWidth="1"/>
    <col min="14082" max="14082" width="47.5703125" style="498" customWidth="1"/>
    <col min="14083" max="14084" width="5" style="498" customWidth="1"/>
    <col min="14085" max="14085" width="5.42578125" style="498" customWidth="1"/>
    <col min="14086" max="14086" width="4.5703125" style="498" customWidth="1"/>
    <col min="14087" max="14088" width="4.42578125" style="498" customWidth="1"/>
    <col min="14089" max="14089" width="3.5703125" style="498" customWidth="1"/>
    <col min="14090" max="14090" width="5" style="498" customWidth="1"/>
    <col min="14091" max="14091" width="4" style="498" customWidth="1"/>
    <col min="14092" max="14093" width="4.5703125" style="498" customWidth="1"/>
    <col min="14094" max="14094" width="4.42578125" style="498" customWidth="1"/>
    <col min="14095" max="14095" width="4" style="498" customWidth="1"/>
    <col min="14096" max="14096" width="3.5703125" style="498" customWidth="1"/>
    <col min="14097" max="14098" width="4.5703125" style="498" customWidth="1"/>
    <col min="14099" max="14099" width="4" style="498" customWidth="1"/>
    <col min="14100" max="14101" width="4.42578125" style="498" customWidth="1"/>
    <col min="14102" max="14102" width="3.5703125" style="498" customWidth="1"/>
    <col min="14103" max="14103" width="4.42578125" style="498" customWidth="1"/>
    <col min="14104" max="14104" width="5.5703125" style="498" customWidth="1"/>
    <col min="14105" max="14105" width="3.5703125" style="498" customWidth="1"/>
    <col min="14106" max="14106" width="4" style="498" customWidth="1"/>
    <col min="14107" max="14107" width="4.5703125" style="498" customWidth="1"/>
    <col min="14108" max="14110" width="4.42578125" style="498" customWidth="1"/>
    <col min="14111" max="14112" width="4.5703125" style="498" customWidth="1"/>
    <col min="14113" max="14113" width="4" style="498" customWidth="1"/>
    <col min="14114" max="14114" width="4.5703125" style="498" customWidth="1"/>
    <col min="14115" max="14115" width="6" style="498" customWidth="1"/>
    <col min="14116" max="14116" width="8.5703125" style="498" customWidth="1"/>
    <col min="14117" max="14336" width="11.42578125" style="498"/>
    <col min="14337" max="14337" width="6.42578125" style="498" customWidth="1"/>
    <col min="14338" max="14338" width="47.5703125" style="498" customWidth="1"/>
    <col min="14339" max="14340" width="5" style="498" customWidth="1"/>
    <col min="14341" max="14341" width="5.42578125" style="498" customWidth="1"/>
    <col min="14342" max="14342" width="4.5703125" style="498" customWidth="1"/>
    <col min="14343" max="14344" width="4.42578125" style="498" customWidth="1"/>
    <col min="14345" max="14345" width="3.5703125" style="498" customWidth="1"/>
    <col min="14346" max="14346" width="5" style="498" customWidth="1"/>
    <col min="14347" max="14347" width="4" style="498" customWidth="1"/>
    <col min="14348" max="14349" width="4.5703125" style="498" customWidth="1"/>
    <col min="14350" max="14350" width="4.42578125" style="498" customWidth="1"/>
    <col min="14351" max="14351" width="4" style="498" customWidth="1"/>
    <col min="14352" max="14352" width="3.5703125" style="498" customWidth="1"/>
    <col min="14353" max="14354" width="4.5703125" style="498" customWidth="1"/>
    <col min="14355" max="14355" width="4" style="498" customWidth="1"/>
    <col min="14356" max="14357" width="4.42578125" style="498" customWidth="1"/>
    <col min="14358" max="14358" width="3.5703125" style="498" customWidth="1"/>
    <col min="14359" max="14359" width="4.42578125" style="498" customWidth="1"/>
    <col min="14360" max="14360" width="5.5703125" style="498" customWidth="1"/>
    <col min="14361" max="14361" width="3.5703125" style="498" customWidth="1"/>
    <col min="14362" max="14362" width="4" style="498" customWidth="1"/>
    <col min="14363" max="14363" width="4.5703125" style="498" customWidth="1"/>
    <col min="14364" max="14366" width="4.42578125" style="498" customWidth="1"/>
    <col min="14367" max="14368" width="4.5703125" style="498" customWidth="1"/>
    <col min="14369" max="14369" width="4" style="498" customWidth="1"/>
    <col min="14370" max="14370" width="4.5703125" style="498" customWidth="1"/>
    <col min="14371" max="14371" width="6" style="498" customWidth="1"/>
    <col min="14372" max="14372" width="8.5703125" style="498" customWidth="1"/>
    <col min="14373" max="14592" width="11.42578125" style="498"/>
    <col min="14593" max="14593" width="6.42578125" style="498" customWidth="1"/>
    <col min="14594" max="14594" width="47.5703125" style="498" customWidth="1"/>
    <col min="14595" max="14596" width="5" style="498" customWidth="1"/>
    <col min="14597" max="14597" width="5.42578125" style="498" customWidth="1"/>
    <col min="14598" max="14598" width="4.5703125" style="498" customWidth="1"/>
    <col min="14599" max="14600" width="4.42578125" style="498" customWidth="1"/>
    <col min="14601" max="14601" width="3.5703125" style="498" customWidth="1"/>
    <col min="14602" max="14602" width="5" style="498" customWidth="1"/>
    <col min="14603" max="14603" width="4" style="498" customWidth="1"/>
    <col min="14604" max="14605" width="4.5703125" style="498" customWidth="1"/>
    <col min="14606" max="14606" width="4.42578125" style="498" customWidth="1"/>
    <col min="14607" max="14607" width="4" style="498" customWidth="1"/>
    <col min="14608" max="14608" width="3.5703125" style="498" customWidth="1"/>
    <col min="14609" max="14610" width="4.5703125" style="498" customWidth="1"/>
    <col min="14611" max="14611" width="4" style="498" customWidth="1"/>
    <col min="14612" max="14613" width="4.42578125" style="498" customWidth="1"/>
    <col min="14614" max="14614" width="3.5703125" style="498" customWidth="1"/>
    <col min="14615" max="14615" width="4.42578125" style="498" customWidth="1"/>
    <col min="14616" max="14616" width="5.5703125" style="498" customWidth="1"/>
    <col min="14617" max="14617" width="3.5703125" style="498" customWidth="1"/>
    <col min="14618" max="14618" width="4" style="498" customWidth="1"/>
    <col min="14619" max="14619" width="4.5703125" style="498" customWidth="1"/>
    <col min="14620" max="14622" width="4.42578125" style="498" customWidth="1"/>
    <col min="14623" max="14624" width="4.5703125" style="498" customWidth="1"/>
    <col min="14625" max="14625" width="4" style="498" customWidth="1"/>
    <col min="14626" max="14626" width="4.5703125" style="498" customWidth="1"/>
    <col min="14627" max="14627" width="6" style="498" customWidth="1"/>
    <col min="14628" max="14628" width="8.5703125" style="498" customWidth="1"/>
    <col min="14629" max="14848" width="11.42578125" style="498"/>
    <col min="14849" max="14849" width="6.42578125" style="498" customWidth="1"/>
    <col min="14850" max="14850" width="47.5703125" style="498" customWidth="1"/>
    <col min="14851" max="14852" width="5" style="498" customWidth="1"/>
    <col min="14853" max="14853" width="5.42578125" style="498" customWidth="1"/>
    <col min="14854" max="14854" width="4.5703125" style="498" customWidth="1"/>
    <col min="14855" max="14856" width="4.42578125" style="498" customWidth="1"/>
    <col min="14857" max="14857" width="3.5703125" style="498" customWidth="1"/>
    <col min="14858" max="14858" width="5" style="498" customWidth="1"/>
    <col min="14859" max="14859" width="4" style="498" customWidth="1"/>
    <col min="14860" max="14861" width="4.5703125" style="498" customWidth="1"/>
    <col min="14862" max="14862" width="4.42578125" style="498" customWidth="1"/>
    <col min="14863" max="14863" width="4" style="498" customWidth="1"/>
    <col min="14864" max="14864" width="3.5703125" style="498" customWidth="1"/>
    <col min="14865" max="14866" width="4.5703125" style="498" customWidth="1"/>
    <col min="14867" max="14867" width="4" style="498" customWidth="1"/>
    <col min="14868" max="14869" width="4.42578125" style="498" customWidth="1"/>
    <col min="14870" max="14870" width="3.5703125" style="498" customWidth="1"/>
    <col min="14871" max="14871" width="4.42578125" style="498" customWidth="1"/>
    <col min="14872" max="14872" width="5.5703125" style="498" customWidth="1"/>
    <col min="14873" max="14873" width="3.5703125" style="498" customWidth="1"/>
    <col min="14874" max="14874" width="4" style="498" customWidth="1"/>
    <col min="14875" max="14875" width="4.5703125" style="498" customWidth="1"/>
    <col min="14876" max="14878" width="4.42578125" style="498" customWidth="1"/>
    <col min="14879" max="14880" width="4.5703125" style="498" customWidth="1"/>
    <col min="14881" max="14881" width="4" style="498" customWidth="1"/>
    <col min="14882" max="14882" width="4.5703125" style="498" customWidth="1"/>
    <col min="14883" max="14883" width="6" style="498" customWidth="1"/>
    <col min="14884" max="14884" width="8.5703125" style="498" customWidth="1"/>
    <col min="14885" max="15104" width="11.42578125" style="498"/>
    <col min="15105" max="15105" width="6.42578125" style="498" customWidth="1"/>
    <col min="15106" max="15106" width="47.5703125" style="498" customWidth="1"/>
    <col min="15107" max="15108" width="5" style="498" customWidth="1"/>
    <col min="15109" max="15109" width="5.42578125" style="498" customWidth="1"/>
    <col min="15110" max="15110" width="4.5703125" style="498" customWidth="1"/>
    <col min="15111" max="15112" width="4.42578125" style="498" customWidth="1"/>
    <col min="15113" max="15113" width="3.5703125" style="498" customWidth="1"/>
    <col min="15114" max="15114" width="5" style="498" customWidth="1"/>
    <col min="15115" max="15115" width="4" style="498" customWidth="1"/>
    <col min="15116" max="15117" width="4.5703125" style="498" customWidth="1"/>
    <col min="15118" max="15118" width="4.42578125" style="498" customWidth="1"/>
    <col min="15119" max="15119" width="4" style="498" customWidth="1"/>
    <col min="15120" max="15120" width="3.5703125" style="498" customWidth="1"/>
    <col min="15121" max="15122" width="4.5703125" style="498" customWidth="1"/>
    <col min="15123" max="15123" width="4" style="498" customWidth="1"/>
    <col min="15124" max="15125" width="4.42578125" style="498" customWidth="1"/>
    <col min="15126" max="15126" width="3.5703125" style="498" customWidth="1"/>
    <col min="15127" max="15127" width="4.42578125" style="498" customWidth="1"/>
    <col min="15128" max="15128" width="5.5703125" style="498" customWidth="1"/>
    <col min="15129" max="15129" width="3.5703125" style="498" customWidth="1"/>
    <col min="15130" max="15130" width="4" style="498" customWidth="1"/>
    <col min="15131" max="15131" width="4.5703125" style="498" customWidth="1"/>
    <col min="15132" max="15134" width="4.42578125" style="498" customWidth="1"/>
    <col min="15135" max="15136" width="4.5703125" style="498" customWidth="1"/>
    <col min="15137" max="15137" width="4" style="498" customWidth="1"/>
    <col min="15138" max="15138" width="4.5703125" style="498" customWidth="1"/>
    <col min="15139" max="15139" width="6" style="498" customWidth="1"/>
    <col min="15140" max="15140" width="8.5703125" style="498" customWidth="1"/>
    <col min="15141" max="15360" width="11.42578125" style="498"/>
    <col min="15361" max="15361" width="6.42578125" style="498" customWidth="1"/>
    <col min="15362" max="15362" width="47.5703125" style="498" customWidth="1"/>
    <col min="15363" max="15364" width="5" style="498" customWidth="1"/>
    <col min="15365" max="15365" width="5.42578125" style="498" customWidth="1"/>
    <col min="15366" max="15366" width="4.5703125" style="498" customWidth="1"/>
    <col min="15367" max="15368" width="4.42578125" style="498" customWidth="1"/>
    <col min="15369" max="15369" width="3.5703125" style="498" customWidth="1"/>
    <col min="15370" max="15370" width="5" style="498" customWidth="1"/>
    <col min="15371" max="15371" width="4" style="498" customWidth="1"/>
    <col min="15372" max="15373" width="4.5703125" style="498" customWidth="1"/>
    <col min="15374" max="15374" width="4.42578125" style="498" customWidth="1"/>
    <col min="15375" max="15375" width="4" style="498" customWidth="1"/>
    <col min="15376" max="15376" width="3.5703125" style="498" customWidth="1"/>
    <col min="15377" max="15378" width="4.5703125" style="498" customWidth="1"/>
    <col min="15379" max="15379" width="4" style="498" customWidth="1"/>
    <col min="15380" max="15381" width="4.42578125" style="498" customWidth="1"/>
    <col min="15382" max="15382" width="3.5703125" style="498" customWidth="1"/>
    <col min="15383" max="15383" width="4.42578125" style="498" customWidth="1"/>
    <col min="15384" max="15384" width="5.5703125" style="498" customWidth="1"/>
    <col min="15385" max="15385" width="3.5703125" style="498" customWidth="1"/>
    <col min="15386" max="15386" width="4" style="498" customWidth="1"/>
    <col min="15387" max="15387" width="4.5703125" style="498" customWidth="1"/>
    <col min="15388" max="15390" width="4.42578125" style="498" customWidth="1"/>
    <col min="15391" max="15392" width="4.5703125" style="498" customWidth="1"/>
    <col min="15393" max="15393" width="4" style="498" customWidth="1"/>
    <col min="15394" max="15394" width="4.5703125" style="498" customWidth="1"/>
    <col min="15395" max="15395" width="6" style="498" customWidth="1"/>
    <col min="15396" max="15396" width="8.5703125" style="498" customWidth="1"/>
    <col min="15397" max="15616" width="11.42578125" style="498"/>
    <col min="15617" max="15617" width="6.42578125" style="498" customWidth="1"/>
    <col min="15618" max="15618" width="47.5703125" style="498" customWidth="1"/>
    <col min="15619" max="15620" width="5" style="498" customWidth="1"/>
    <col min="15621" max="15621" width="5.42578125" style="498" customWidth="1"/>
    <col min="15622" max="15622" width="4.5703125" style="498" customWidth="1"/>
    <col min="15623" max="15624" width="4.42578125" style="498" customWidth="1"/>
    <col min="15625" max="15625" width="3.5703125" style="498" customWidth="1"/>
    <col min="15626" max="15626" width="5" style="498" customWidth="1"/>
    <col min="15627" max="15627" width="4" style="498" customWidth="1"/>
    <col min="15628" max="15629" width="4.5703125" style="498" customWidth="1"/>
    <col min="15630" max="15630" width="4.42578125" style="498" customWidth="1"/>
    <col min="15631" max="15631" width="4" style="498" customWidth="1"/>
    <col min="15632" max="15632" width="3.5703125" style="498" customWidth="1"/>
    <col min="15633" max="15634" width="4.5703125" style="498" customWidth="1"/>
    <col min="15635" max="15635" width="4" style="498" customWidth="1"/>
    <col min="15636" max="15637" width="4.42578125" style="498" customWidth="1"/>
    <col min="15638" max="15638" width="3.5703125" style="498" customWidth="1"/>
    <col min="15639" max="15639" width="4.42578125" style="498" customWidth="1"/>
    <col min="15640" max="15640" width="5.5703125" style="498" customWidth="1"/>
    <col min="15641" max="15641" width="3.5703125" style="498" customWidth="1"/>
    <col min="15642" max="15642" width="4" style="498" customWidth="1"/>
    <col min="15643" max="15643" width="4.5703125" style="498" customWidth="1"/>
    <col min="15644" max="15646" width="4.42578125" style="498" customWidth="1"/>
    <col min="15647" max="15648" width="4.5703125" style="498" customWidth="1"/>
    <col min="15649" max="15649" width="4" style="498" customWidth="1"/>
    <col min="15650" max="15650" width="4.5703125" style="498" customWidth="1"/>
    <col min="15651" max="15651" width="6" style="498" customWidth="1"/>
    <col min="15652" max="15652" width="8.5703125" style="498" customWidth="1"/>
    <col min="15653" max="15872" width="11.42578125" style="498"/>
    <col min="15873" max="15873" width="6.42578125" style="498" customWidth="1"/>
    <col min="15874" max="15874" width="47.5703125" style="498" customWidth="1"/>
    <col min="15875" max="15876" width="5" style="498" customWidth="1"/>
    <col min="15877" max="15877" width="5.42578125" style="498" customWidth="1"/>
    <col min="15878" max="15878" width="4.5703125" style="498" customWidth="1"/>
    <col min="15879" max="15880" width="4.42578125" style="498" customWidth="1"/>
    <col min="15881" max="15881" width="3.5703125" style="498" customWidth="1"/>
    <col min="15882" max="15882" width="5" style="498" customWidth="1"/>
    <col min="15883" max="15883" width="4" style="498" customWidth="1"/>
    <col min="15884" max="15885" width="4.5703125" style="498" customWidth="1"/>
    <col min="15886" max="15886" width="4.42578125" style="498" customWidth="1"/>
    <col min="15887" max="15887" width="4" style="498" customWidth="1"/>
    <col min="15888" max="15888" width="3.5703125" style="498" customWidth="1"/>
    <col min="15889" max="15890" width="4.5703125" style="498" customWidth="1"/>
    <col min="15891" max="15891" width="4" style="498" customWidth="1"/>
    <col min="15892" max="15893" width="4.42578125" style="498" customWidth="1"/>
    <col min="15894" max="15894" width="3.5703125" style="498" customWidth="1"/>
    <col min="15895" max="15895" width="4.42578125" style="498" customWidth="1"/>
    <col min="15896" max="15896" width="5.5703125" style="498" customWidth="1"/>
    <col min="15897" max="15897" width="3.5703125" style="498" customWidth="1"/>
    <col min="15898" max="15898" width="4" style="498" customWidth="1"/>
    <col min="15899" max="15899" width="4.5703125" style="498" customWidth="1"/>
    <col min="15900" max="15902" width="4.42578125" style="498" customWidth="1"/>
    <col min="15903" max="15904" width="4.5703125" style="498" customWidth="1"/>
    <col min="15905" max="15905" width="4" style="498" customWidth="1"/>
    <col min="15906" max="15906" width="4.5703125" style="498" customWidth="1"/>
    <col min="15907" max="15907" width="6" style="498" customWidth="1"/>
    <col min="15908" max="15908" width="8.5703125" style="498" customWidth="1"/>
    <col min="15909" max="16128" width="11.42578125" style="498"/>
    <col min="16129" max="16129" width="6.42578125" style="498" customWidth="1"/>
    <col min="16130" max="16130" width="47.5703125" style="498" customWidth="1"/>
    <col min="16131" max="16132" width="5" style="498" customWidth="1"/>
    <col min="16133" max="16133" width="5.42578125" style="498" customWidth="1"/>
    <col min="16134" max="16134" width="4.5703125" style="498" customWidth="1"/>
    <col min="16135" max="16136" width="4.42578125" style="498" customWidth="1"/>
    <col min="16137" max="16137" width="3.5703125" style="498" customWidth="1"/>
    <col min="16138" max="16138" width="5" style="498" customWidth="1"/>
    <col min="16139" max="16139" width="4" style="498" customWidth="1"/>
    <col min="16140" max="16141" width="4.5703125" style="498" customWidth="1"/>
    <col min="16142" max="16142" width="4.42578125" style="498" customWidth="1"/>
    <col min="16143" max="16143" width="4" style="498" customWidth="1"/>
    <col min="16144" max="16144" width="3.5703125" style="498" customWidth="1"/>
    <col min="16145" max="16146" width="4.5703125" style="498" customWidth="1"/>
    <col min="16147" max="16147" width="4" style="498" customWidth="1"/>
    <col min="16148" max="16149" width="4.42578125" style="498" customWidth="1"/>
    <col min="16150" max="16150" width="3.5703125" style="498" customWidth="1"/>
    <col min="16151" max="16151" width="4.42578125" style="498" customWidth="1"/>
    <col min="16152" max="16152" width="5.5703125" style="498" customWidth="1"/>
    <col min="16153" max="16153" width="3.5703125" style="498" customWidth="1"/>
    <col min="16154" max="16154" width="4" style="498" customWidth="1"/>
    <col min="16155" max="16155" width="4.5703125" style="498" customWidth="1"/>
    <col min="16156" max="16158" width="4.42578125" style="498" customWidth="1"/>
    <col min="16159" max="16160" width="4.5703125" style="498" customWidth="1"/>
    <col min="16161" max="16161" width="4" style="498" customWidth="1"/>
    <col min="16162" max="16162" width="4.5703125" style="498" customWidth="1"/>
    <col min="16163" max="16163" width="6" style="498" customWidth="1"/>
    <col min="16164" max="16164" width="8.5703125" style="498" customWidth="1"/>
    <col min="16165" max="16384" width="11.42578125" style="498"/>
  </cols>
  <sheetData>
    <row r="1" spans="1:43">
      <c r="A1" s="2213" t="s">
        <v>283</v>
      </c>
      <c r="B1" s="2213"/>
      <c r="C1" s="2213"/>
      <c r="D1" s="2213"/>
      <c r="E1" s="2213"/>
      <c r="F1" s="2213"/>
      <c r="G1" s="2213"/>
      <c r="H1" s="2213"/>
      <c r="I1" s="2213"/>
      <c r="J1" s="2213"/>
      <c r="K1" s="2213"/>
      <c r="L1" s="2213"/>
      <c r="M1" s="2213"/>
      <c r="N1" s="2213"/>
      <c r="O1" s="2213"/>
      <c r="P1" s="2213"/>
      <c r="Q1" s="2213"/>
      <c r="R1" s="2213"/>
      <c r="S1" s="2213"/>
      <c r="T1" s="2213"/>
      <c r="U1" s="2213"/>
      <c r="V1" s="2213"/>
      <c r="W1" s="2213"/>
      <c r="X1" s="2213"/>
    </row>
    <row r="2" spans="1:43">
      <c r="A2" s="2214" t="s">
        <v>1803</v>
      </c>
      <c r="B2" s="2214"/>
      <c r="C2" s="2214"/>
      <c r="D2" s="2214"/>
      <c r="E2" s="2214"/>
      <c r="F2" s="2214"/>
      <c r="G2" s="2214"/>
      <c r="H2" s="2214"/>
      <c r="I2" s="2214"/>
      <c r="J2" s="2214"/>
      <c r="K2" s="2214"/>
      <c r="L2" s="2214"/>
      <c r="M2" s="2214"/>
      <c r="N2" s="2214"/>
      <c r="O2" s="2214"/>
      <c r="P2" s="2214"/>
      <c r="Q2" s="2214"/>
      <c r="R2" s="2214"/>
      <c r="S2" s="2214"/>
      <c r="T2" s="2214"/>
      <c r="U2" s="2214"/>
      <c r="V2" s="2214"/>
      <c r="W2" s="2214"/>
      <c r="X2" s="2214"/>
    </row>
    <row r="3" spans="1:43">
      <c r="A3" s="549"/>
      <c r="O3" s="498" t="s">
        <v>2096</v>
      </c>
    </row>
    <row r="4" spans="1:43">
      <c r="A4" s="551"/>
      <c r="B4" s="2215" t="s">
        <v>1800</v>
      </c>
      <c r="C4" s="2215"/>
      <c r="D4" s="2215"/>
      <c r="E4" s="2215"/>
      <c r="F4" s="2215"/>
      <c r="G4" s="2215"/>
      <c r="H4" s="2215"/>
      <c r="I4" s="2215"/>
      <c r="J4" s="2215"/>
      <c r="K4" s="2215"/>
      <c r="L4" s="2215"/>
    </row>
    <row r="5" spans="1:43" ht="12.75" customHeight="1">
      <c r="A5" s="551"/>
      <c r="B5" s="2216" t="e">
        <f>#REF!</f>
        <v>#REF!</v>
      </c>
      <c r="C5" s="2217"/>
      <c r="D5" s="2217"/>
      <c r="E5" s="2217"/>
      <c r="F5" s="2217"/>
      <c r="G5" s="2217"/>
      <c r="H5" s="2217"/>
      <c r="I5" s="2217"/>
      <c r="J5" s="2217"/>
      <c r="K5" s="2217"/>
      <c r="L5" s="2217"/>
      <c r="M5" s="2217"/>
      <c r="N5" s="2217"/>
      <c r="O5" s="2217"/>
      <c r="P5" s="2217"/>
      <c r="Q5" s="2217"/>
      <c r="R5" s="2217"/>
      <c r="S5" s="2217"/>
      <c r="T5" s="2217"/>
      <c r="U5" s="2217"/>
      <c r="V5" s="2217"/>
      <c r="W5" s="2217"/>
      <c r="X5" s="2217"/>
      <c r="Y5" s="2217"/>
      <c r="Z5" s="2217"/>
      <c r="AA5" s="2217"/>
    </row>
    <row r="6" spans="1:43" ht="13.5" customHeight="1">
      <c r="B6" s="553"/>
      <c r="C6" s="500"/>
    </row>
    <row r="7" spans="1:43" ht="13.5" customHeight="1" thickBot="1">
      <c r="B7" s="553"/>
      <c r="C7" s="500"/>
      <c r="Q7" s="2220" t="s">
        <v>284</v>
      </c>
      <c r="R7" s="2220"/>
      <c r="S7" s="2220"/>
      <c r="T7" s="2220"/>
      <c r="U7" s="2220"/>
      <c r="V7" s="2220"/>
      <c r="W7" s="2221">
        <v>42857</v>
      </c>
      <c r="X7" s="2221"/>
      <c r="Y7" s="2221"/>
      <c r="Z7" s="2221"/>
    </row>
    <row r="8" spans="1:43" ht="13.5" customHeight="1" thickBot="1">
      <c r="B8" s="553"/>
      <c r="C8" s="500"/>
      <c r="D8" s="943" t="s">
        <v>2109</v>
      </c>
      <c r="E8" s="943" t="s">
        <v>1991</v>
      </c>
      <c r="F8" s="943" t="s">
        <v>1990</v>
      </c>
      <c r="G8" s="943" t="s">
        <v>1984</v>
      </c>
      <c r="H8" s="943" t="s">
        <v>1985</v>
      </c>
      <c r="I8" s="943" t="s">
        <v>1986</v>
      </c>
      <c r="J8" s="943" t="s">
        <v>1987</v>
      </c>
      <c r="K8" s="943" t="s">
        <v>1988</v>
      </c>
      <c r="L8" s="943" t="s">
        <v>1989</v>
      </c>
      <c r="M8" s="943" t="s">
        <v>1990</v>
      </c>
      <c r="N8" s="943" t="s">
        <v>1984</v>
      </c>
      <c r="O8" s="943" t="s">
        <v>1985</v>
      </c>
      <c r="P8" s="943" t="s">
        <v>1986</v>
      </c>
      <c r="Q8" s="943" t="s">
        <v>1987</v>
      </c>
      <c r="R8" s="943" t="s">
        <v>1988</v>
      </c>
      <c r="S8" s="943" t="s">
        <v>1989</v>
      </c>
      <c r="T8" s="943" t="s">
        <v>1990</v>
      </c>
      <c r="U8" s="943" t="s">
        <v>1984</v>
      </c>
      <c r="V8" s="943" t="s">
        <v>1985</v>
      </c>
      <c r="W8" s="943" t="s">
        <v>1986</v>
      </c>
      <c r="X8" s="943" t="s">
        <v>1987</v>
      </c>
      <c r="Y8" s="943" t="s">
        <v>1988</v>
      </c>
      <c r="Z8" s="943" t="s">
        <v>1989</v>
      </c>
      <c r="AA8" s="943" t="s">
        <v>1990</v>
      </c>
      <c r="AB8" s="943" t="s">
        <v>1984</v>
      </c>
      <c r="AC8" s="943" t="s">
        <v>1985</v>
      </c>
      <c r="AD8" s="943" t="s">
        <v>1986</v>
      </c>
      <c r="AE8" s="943" t="s">
        <v>1987</v>
      </c>
      <c r="AF8" s="943" t="s">
        <v>1988</v>
      </c>
      <c r="AG8" s="943" t="s">
        <v>1989</v>
      </c>
      <c r="AH8" s="943" t="s">
        <v>1990</v>
      </c>
      <c r="AI8" s="871"/>
      <c r="AJ8" s="2222" t="s">
        <v>1982</v>
      </c>
      <c r="AK8" s="2223"/>
      <c r="AL8" s="2223"/>
      <c r="AM8" s="2224"/>
      <c r="AN8" s="2222" t="s">
        <v>1983</v>
      </c>
      <c r="AO8" s="2223"/>
      <c r="AP8" s="2223"/>
      <c r="AQ8" s="2224"/>
    </row>
    <row r="9" spans="1:43" ht="13.5" thickBot="1">
      <c r="A9" s="2218" t="s">
        <v>285</v>
      </c>
      <c r="B9" s="2218" t="s">
        <v>20</v>
      </c>
      <c r="C9" s="501"/>
      <c r="D9" s="502">
        <v>1</v>
      </c>
      <c r="E9" s="502">
        <f t="shared" ref="E9:AH9" si="0">+D9+1</f>
        <v>2</v>
      </c>
      <c r="F9" s="736">
        <f t="shared" si="0"/>
        <v>3</v>
      </c>
      <c r="G9" s="502">
        <f t="shared" si="0"/>
        <v>4</v>
      </c>
      <c r="H9" s="502">
        <f t="shared" si="0"/>
        <v>5</v>
      </c>
      <c r="I9" s="502">
        <f t="shared" si="0"/>
        <v>6</v>
      </c>
      <c r="J9" s="502">
        <f t="shared" si="0"/>
        <v>7</v>
      </c>
      <c r="K9" s="502">
        <f t="shared" si="0"/>
        <v>8</v>
      </c>
      <c r="L9" s="502">
        <f t="shared" si="0"/>
        <v>9</v>
      </c>
      <c r="M9" s="736">
        <f t="shared" si="0"/>
        <v>10</v>
      </c>
      <c r="N9" s="502">
        <f t="shared" si="0"/>
        <v>11</v>
      </c>
      <c r="O9" s="502">
        <f t="shared" si="0"/>
        <v>12</v>
      </c>
      <c r="P9" s="502">
        <f t="shared" si="0"/>
        <v>13</v>
      </c>
      <c r="Q9" s="502">
        <f t="shared" si="0"/>
        <v>14</v>
      </c>
      <c r="R9" s="502">
        <f t="shared" si="0"/>
        <v>15</v>
      </c>
      <c r="S9" s="502">
        <f t="shared" si="0"/>
        <v>16</v>
      </c>
      <c r="T9" s="736">
        <f t="shared" si="0"/>
        <v>17</v>
      </c>
      <c r="U9" s="502">
        <f t="shared" si="0"/>
        <v>18</v>
      </c>
      <c r="V9" s="502">
        <f t="shared" si="0"/>
        <v>19</v>
      </c>
      <c r="W9" s="502">
        <f t="shared" si="0"/>
        <v>20</v>
      </c>
      <c r="X9" s="502">
        <f t="shared" si="0"/>
        <v>21</v>
      </c>
      <c r="Y9" s="502">
        <f t="shared" si="0"/>
        <v>22</v>
      </c>
      <c r="Z9" s="502">
        <f t="shared" si="0"/>
        <v>23</v>
      </c>
      <c r="AA9" s="736">
        <f t="shared" si="0"/>
        <v>24</v>
      </c>
      <c r="AB9" s="502">
        <f t="shared" si="0"/>
        <v>25</v>
      </c>
      <c r="AC9" s="502">
        <f t="shared" si="0"/>
        <v>26</v>
      </c>
      <c r="AD9" s="503">
        <f t="shared" si="0"/>
        <v>27</v>
      </c>
      <c r="AE9" s="502">
        <f t="shared" si="0"/>
        <v>28</v>
      </c>
      <c r="AF9" s="503">
        <f t="shared" si="0"/>
        <v>29</v>
      </c>
      <c r="AG9" s="502">
        <f t="shared" si="0"/>
        <v>30</v>
      </c>
      <c r="AH9" s="503">
        <f t="shared" si="0"/>
        <v>31</v>
      </c>
      <c r="AI9" s="504" t="s">
        <v>359</v>
      </c>
      <c r="AJ9" s="865" t="s">
        <v>26</v>
      </c>
      <c r="AK9" s="866" t="s">
        <v>1822</v>
      </c>
      <c r="AL9" s="866" t="s">
        <v>1821</v>
      </c>
      <c r="AM9" s="867" t="s">
        <v>25</v>
      </c>
      <c r="AN9" s="865" t="s">
        <v>26</v>
      </c>
      <c r="AO9" s="866" t="s">
        <v>1822</v>
      </c>
      <c r="AP9" s="866" t="s">
        <v>1821</v>
      </c>
      <c r="AQ9" s="867" t="s">
        <v>25</v>
      </c>
    </row>
    <row r="10" spans="1:43" ht="13.5" thickBot="1">
      <c r="A10" s="2219"/>
      <c r="B10" s="2219"/>
      <c r="C10" s="506" t="s">
        <v>286</v>
      </c>
      <c r="D10" s="507" t="s">
        <v>305</v>
      </c>
      <c r="E10" s="507" t="s">
        <v>305</v>
      </c>
      <c r="F10" s="737" t="s">
        <v>305</v>
      </c>
      <c r="G10" s="507" t="s">
        <v>305</v>
      </c>
      <c r="H10" s="507" t="s">
        <v>305</v>
      </c>
      <c r="I10" s="507" t="s">
        <v>305</v>
      </c>
      <c r="J10" s="507" t="s">
        <v>305</v>
      </c>
      <c r="K10" s="507" t="s">
        <v>305</v>
      </c>
      <c r="L10" s="507" t="s">
        <v>305</v>
      </c>
      <c r="M10" s="737" t="s">
        <v>305</v>
      </c>
      <c r="N10" s="507" t="s">
        <v>305</v>
      </c>
      <c r="O10" s="507" t="s">
        <v>305</v>
      </c>
      <c r="P10" s="507" t="s">
        <v>305</v>
      </c>
      <c r="Q10" s="507" t="s">
        <v>305</v>
      </c>
      <c r="R10" s="507" t="s">
        <v>305</v>
      </c>
      <c r="S10" s="507" t="s">
        <v>305</v>
      </c>
      <c r="T10" s="737" t="s">
        <v>305</v>
      </c>
      <c r="U10" s="507" t="s">
        <v>305</v>
      </c>
      <c r="V10" s="507" t="s">
        <v>305</v>
      </c>
      <c r="W10" s="507" t="s">
        <v>305</v>
      </c>
      <c r="X10" s="507" t="s">
        <v>305</v>
      </c>
      <c r="Y10" s="507" t="s">
        <v>305</v>
      </c>
      <c r="Z10" s="507" t="s">
        <v>305</v>
      </c>
      <c r="AA10" s="737" t="s">
        <v>305</v>
      </c>
      <c r="AB10" s="507" t="s">
        <v>305</v>
      </c>
      <c r="AC10" s="507" t="s">
        <v>305</v>
      </c>
      <c r="AD10" s="508" t="s">
        <v>305</v>
      </c>
      <c r="AE10" s="507" t="s">
        <v>305</v>
      </c>
      <c r="AF10" s="508" t="s">
        <v>305</v>
      </c>
      <c r="AG10" s="507" t="s">
        <v>305</v>
      </c>
      <c r="AH10" s="507" t="s">
        <v>305</v>
      </c>
      <c r="AI10" s="509" t="s">
        <v>287</v>
      </c>
      <c r="AJ10" s="505"/>
      <c r="AN10" s="505"/>
    </row>
    <row r="11" spans="1:43" s="518" customFormat="1">
      <c r="A11" s="559" t="s">
        <v>514</v>
      </c>
      <c r="B11" s="560" t="s">
        <v>1804</v>
      </c>
      <c r="C11" s="558"/>
      <c r="D11" s="510"/>
      <c r="E11" s="511"/>
      <c r="F11" s="738"/>
      <c r="G11" s="511"/>
      <c r="H11" s="511"/>
      <c r="I11" s="512"/>
      <c r="J11" s="512"/>
      <c r="K11" s="512"/>
      <c r="L11" s="512"/>
      <c r="M11" s="738"/>
      <c r="N11" s="512"/>
      <c r="O11" s="512"/>
      <c r="P11" s="512"/>
      <c r="Q11" s="512"/>
      <c r="R11" s="512"/>
      <c r="S11" s="512"/>
      <c r="T11" s="738"/>
      <c r="U11" s="512"/>
      <c r="V11" s="512"/>
      <c r="W11" s="512"/>
      <c r="X11" s="512"/>
      <c r="Y11" s="512"/>
      <c r="Z11" s="512"/>
      <c r="AA11" s="738"/>
      <c r="AB11" s="513"/>
      <c r="AC11" s="513"/>
      <c r="AD11" s="513"/>
      <c r="AE11" s="513"/>
      <c r="AF11" s="514"/>
      <c r="AG11" s="514"/>
      <c r="AH11" s="514"/>
      <c r="AI11" s="515">
        <f>SUM(D11:AH11)</f>
        <v>0</v>
      </c>
      <c r="AJ11" s="516">
        <v>0</v>
      </c>
      <c r="AK11" s="517">
        <f>AI11-AJ11</f>
        <v>0</v>
      </c>
      <c r="AN11" s="516">
        <v>0</v>
      </c>
      <c r="AO11" s="517">
        <f>AM11-AN11</f>
        <v>0</v>
      </c>
    </row>
    <row r="12" spans="1:43" s="500" customFormat="1">
      <c r="A12" s="539" t="s">
        <v>515</v>
      </c>
      <c r="B12" s="279" t="s">
        <v>34</v>
      </c>
      <c r="C12" s="529"/>
      <c r="D12" s="519"/>
      <c r="E12" s="520"/>
      <c r="F12" s="726"/>
      <c r="G12" s="520"/>
      <c r="H12" s="520"/>
      <c r="I12" s="521"/>
      <c r="J12" s="521"/>
      <c r="K12" s="521"/>
      <c r="L12" s="521"/>
      <c r="M12" s="726"/>
      <c r="N12" s="521"/>
      <c r="O12" s="521"/>
      <c r="P12" s="521"/>
      <c r="Q12" s="521"/>
      <c r="R12" s="521"/>
      <c r="S12" s="521"/>
      <c r="T12" s="726"/>
      <c r="U12" s="521"/>
      <c r="V12" s="521"/>
      <c r="W12" s="521"/>
      <c r="X12" s="521"/>
      <c r="Y12" s="521"/>
      <c r="Z12" s="521"/>
      <c r="AA12" s="726"/>
      <c r="AB12" s="522"/>
      <c r="AC12" s="522"/>
      <c r="AD12" s="514"/>
      <c r="AE12" s="514"/>
      <c r="AF12" s="514"/>
      <c r="AG12" s="514"/>
      <c r="AH12" s="514"/>
      <c r="AI12" s="515">
        <f t="shared" ref="AI12:AI41" si="1">SUM(D12:AH12)</f>
        <v>0</v>
      </c>
      <c r="AJ12" s="523">
        <v>0</v>
      </c>
      <c r="AK12" s="517">
        <f>AI12-AJ12</f>
        <v>0</v>
      </c>
      <c r="AN12" s="523">
        <v>0</v>
      </c>
      <c r="AO12" s="517">
        <f>AM12-AN12</f>
        <v>0</v>
      </c>
    </row>
    <row r="13" spans="1:43" s="500" customFormat="1">
      <c r="A13" s="539" t="s">
        <v>1929</v>
      </c>
      <c r="B13" s="752" t="s">
        <v>1935</v>
      </c>
      <c r="C13" s="746" t="s">
        <v>40</v>
      </c>
      <c r="D13" s="520"/>
      <c r="E13" s="757"/>
      <c r="F13" s="775"/>
      <c r="G13" s="667"/>
      <c r="H13" s="964">
        <v>23.9</v>
      </c>
      <c r="I13" s="521"/>
      <c r="J13" s="520"/>
      <c r="K13" s="520"/>
      <c r="L13" s="521"/>
      <c r="M13" s="775"/>
      <c r="N13" s="527"/>
      <c r="O13" s="521"/>
      <c r="P13" s="521"/>
      <c r="Q13" s="521"/>
      <c r="R13" s="967">
        <v>17.3</v>
      </c>
      <c r="S13" s="971">
        <v>12.3</v>
      </c>
      <c r="T13" s="775"/>
      <c r="U13" s="971">
        <v>24.6</v>
      </c>
      <c r="V13" s="521"/>
      <c r="W13" s="971">
        <v>24.6</v>
      </c>
      <c r="X13" s="521"/>
      <c r="Y13" s="521"/>
      <c r="Z13" s="521"/>
      <c r="AA13" s="775"/>
      <c r="AB13" s="965">
        <v>18.5</v>
      </c>
      <c r="AC13" s="521"/>
      <c r="AD13" s="521"/>
      <c r="AE13" s="521"/>
      <c r="AF13" s="521"/>
      <c r="AG13" s="521"/>
      <c r="AH13" s="734"/>
      <c r="AI13" s="991">
        <f>SUM(D13:AH13)</f>
        <v>121.19999999999999</v>
      </c>
      <c r="AJ13" s="523">
        <v>339.27</v>
      </c>
      <c r="AK13" s="517">
        <f>AI13+AJ13</f>
        <v>460.46999999999997</v>
      </c>
      <c r="AL13" s="500">
        <v>1204.5</v>
      </c>
      <c r="AM13" s="517">
        <f t="shared" ref="AM13" si="2">AL13-AK13</f>
        <v>744.03</v>
      </c>
      <c r="AN13" s="523">
        <v>339.27</v>
      </c>
      <c r="AO13" s="517">
        <f>AM13+AN13</f>
        <v>1083.3</v>
      </c>
      <c r="AP13" s="500">
        <v>1204.5</v>
      </c>
      <c r="AQ13" s="517">
        <f t="shared" ref="AQ13" si="3">AP13-AO13</f>
        <v>121.20000000000005</v>
      </c>
    </row>
    <row r="14" spans="1:43" s="500" customFormat="1">
      <c r="A14" s="539" t="s">
        <v>2012</v>
      </c>
      <c r="B14" s="752" t="s">
        <v>2132</v>
      </c>
      <c r="C14" s="747" t="s">
        <v>2133</v>
      </c>
      <c r="D14" s="748"/>
      <c r="E14" s="748"/>
      <c r="F14" s="749"/>
      <c r="G14" s="748"/>
      <c r="H14" s="748"/>
      <c r="I14" s="750"/>
      <c r="J14" s="750"/>
      <c r="K14" s="750"/>
      <c r="L14" s="750"/>
      <c r="M14" s="749"/>
      <c r="N14" s="750"/>
      <c r="O14" s="985"/>
      <c r="P14" s="750"/>
      <c r="Q14" s="667"/>
      <c r="R14" s="521"/>
      <c r="S14" s="750"/>
      <c r="T14" s="749"/>
      <c r="U14" s="750"/>
      <c r="V14" s="750"/>
      <c r="W14" s="750"/>
      <c r="X14" s="750"/>
      <c r="Y14" s="750"/>
      <c r="Z14" s="750"/>
      <c r="AA14" s="749"/>
      <c r="AB14" s="750"/>
      <c r="AC14" s="750"/>
      <c r="AD14" s="986">
        <v>578</v>
      </c>
      <c r="AE14" s="750"/>
      <c r="AF14" s="750"/>
      <c r="AG14" s="750"/>
      <c r="AH14" s="734"/>
      <c r="AI14" s="992">
        <f>SUM(D14:AH14)</f>
        <v>578</v>
      </c>
      <c r="AJ14" s="758"/>
      <c r="AK14" s="517"/>
      <c r="AM14" s="517"/>
    </row>
    <row r="15" spans="1:43" s="500" customFormat="1">
      <c r="A15" s="987" t="s">
        <v>2089</v>
      </c>
      <c r="B15" s="542" t="s">
        <v>1211</v>
      </c>
      <c r="C15" s="747"/>
      <c r="D15" s="748"/>
      <c r="E15" s="748"/>
      <c r="F15" s="749"/>
      <c r="G15" s="748"/>
      <c r="H15" s="748"/>
      <c r="I15" s="750"/>
      <c r="J15" s="750"/>
      <c r="K15" s="750"/>
      <c r="L15" s="750"/>
      <c r="M15" s="749"/>
      <c r="N15" s="750"/>
      <c r="O15" s="750"/>
      <c r="P15" s="750"/>
      <c r="Q15" s="667"/>
      <c r="S15" s="750"/>
      <c r="T15" s="749"/>
      <c r="U15" s="750"/>
      <c r="V15" s="750"/>
      <c r="W15" s="750"/>
      <c r="X15" s="750"/>
      <c r="Y15" s="750"/>
      <c r="Z15" s="750"/>
      <c r="AA15" s="749"/>
      <c r="AB15" s="750"/>
      <c r="AC15" s="750"/>
      <c r="AD15" s="750"/>
      <c r="AE15" s="750"/>
      <c r="AF15" s="750"/>
      <c r="AG15" s="750"/>
      <c r="AH15" s="734"/>
      <c r="AI15" s="515">
        <f t="shared" si="1"/>
        <v>0</v>
      </c>
      <c r="AJ15" s="758"/>
      <c r="AK15" s="517"/>
      <c r="AM15" s="517"/>
    </row>
    <row r="16" spans="1:43" s="500" customFormat="1">
      <c r="A16" s="879" t="s">
        <v>2090</v>
      </c>
      <c r="B16" s="752" t="s">
        <v>1949</v>
      </c>
      <c r="C16" s="747"/>
      <c r="D16" s="748"/>
      <c r="E16" s="748"/>
      <c r="F16" s="749"/>
      <c r="G16" s="748"/>
      <c r="H16" s="748"/>
      <c r="I16" s="750"/>
      <c r="J16" s="750"/>
      <c r="K16" s="750"/>
      <c r="L16" s="750"/>
      <c r="M16" s="749"/>
      <c r="N16" s="750"/>
      <c r="O16" s="750"/>
      <c r="P16" s="750"/>
      <c r="Q16" s="667"/>
      <c r="R16" s="521"/>
      <c r="S16" s="750"/>
      <c r="T16" s="749"/>
      <c r="U16" s="750"/>
      <c r="V16" s="750"/>
      <c r="W16" s="750"/>
      <c r="X16" s="750"/>
      <c r="Y16" s="750"/>
      <c r="Z16" s="750"/>
      <c r="AA16" s="749"/>
      <c r="AB16" s="750"/>
      <c r="AC16" s="750"/>
      <c r="AD16" s="750"/>
      <c r="AE16" s="750"/>
      <c r="AF16" s="750"/>
      <c r="AG16" s="750"/>
      <c r="AH16" s="734"/>
      <c r="AI16" s="515">
        <f t="shared" si="1"/>
        <v>0</v>
      </c>
      <c r="AJ16" s="758"/>
      <c r="AK16" s="517"/>
      <c r="AM16" s="517"/>
    </row>
    <row r="17" spans="1:39" s="500" customFormat="1">
      <c r="A17" s="879" t="s">
        <v>2091</v>
      </c>
      <c r="B17" s="752" t="s">
        <v>1950</v>
      </c>
      <c r="C17" s="747" t="s">
        <v>40</v>
      </c>
      <c r="D17" s="750"/>
      <c r="E17" s="966">
        <f>1.1*1.1*1</f>
        <v>1.2100000000000002</v>
      </c>
      <c r="F17" s="749"/>
      <c r="G17" s="748"/>
      <c r="H17" s="748"/>
      <c r="I17" s="750"/>
      <c r="J17" s="750"/>
      <c r="K17" s="750"/>
      <c r="L17" s="750"/>
      <c r="M17" s="749"/>
      <c r="N17" s="750"/>
      <c r="O17" s="750"/>
      <c r="P17" s="750"/>
      <c r="Q17" s="667"/>
      <c r="R17" s="750"/>
      <c r="S17" s="750"/>
      <c r="T17" s="749"/>
      <c r="U17" s="750"/>
      <c r="V17" s="750"/>
      <c r="W17" s="750"/>
      <c r="X17" s="750"/>
      <c r="Y17" s="750"/>
      <c r="Z17" s="750"/>
      <c r="AA17" s="749"/>
      <c r="AB17" s="750"/>
      <c r="AC17" s="750"/>
      <c r="AD17" s="750"/>
      <c r="AE17" s="750"/>
      <c r="AF17" s="750"/>
      <c r="AG17" s="750"/>
      <c r="AH17" s="734"/>
      <c r="AI17" s="991">
        <f t="shared" si="1"/>
        <v>1.2100000000000002</v>
      </c>
      <c r="AJ17" s="758"/>
      <c r="AK17" s="517"/>
      <c r="AM17" s="517"/>
    </row>
    <row r="18" spans="1:39" s="500" customFormat="1" hidden="1">
      <c r="A18" s="879" t="s">
        <v>2092</v>
      </c>
      <c r="B18" s="752" t="s">
        <v>2003</v>
      </c>
      <c r="C18" s="747"/>
      <c r="D18" s="748"/>
      <c r="E18" s="748"/>
      <c r="F18" s="749"/>
      <c r="G18" s="748"/>
      <c r="H18" s="748"/>
      <c r="I18" s="750"/>
      <c r="J18" s="750"/>
      <c r="K18" s="750"/>
      <c r="L18" s="750"/>
      <c r="M18" s="749"/>
      <c r="N18" s="750"/>
      <c r="O18" s="667"/>
      <c r="P18" s="750"/>
      <c r="Q18" s="667"/>
      <c r="R18" s="521"/>
      <c r="S18" s="750"/>
      <c r="T18" s="749"/>
      <c r="U18" s="750"/>
      <c r="V18" s="750"/>
      <c r="W18" s="750"/>
      <c r="X18" s="750"/>
      <c r="Y18" s="750"/>
      <c r="Z18" s="750"/>
      <c r="AA18" s="749"/>
      <c r="AB18" s="750"/>
      <c r="AC18" s="750"/>
      <c r="AD18" s="750"/>
      <c r="AE18" s="750"/>
      <c r="AF18" s="750"/>
      <c r="AG18" s="750"/>
      <c r="AH18" s="734"/>
      <c r="AI18" s="515">
        <f t="shared" si="1"/>
        <v>0</v>
      </c>
      <c r="AJ18" s="758"/>
      <c r="AK18" s="517"/>
      <c r="AM18" s="517"/>
    </row>
    <row r="19" spans="1:39" s="500" customFormat="1">
      <c r="A19" s="879" t="s">
        <v>2102</v>
      </c>
      <c r="B19" s="542" t="s">
        <v>1239</v>
      </c>
      <c r="C19" s="747"/>
      <c r="D19" s="748"/>
      <c r="E19" s="748"/>
      <c r="F19" s="749"/>
      <c r="G19" s="748"/>
      <c r="H19" s="748"/>
      <c r="I19" s="750"/>
      <c r="J19" s="750"/>
      <c r="K19" s="750"/>
      <c r="L19" s="750"/>
      <c r="M19" s="749"/>
      <c r="N19" s="750"/>
      <c r="O19" s="667"/>
      <c r="P19" s="750"/>
      <c r="Q19" s="667"/>
      <c r="R19" s="521"/>
      <c r="S19" s="750"/>
      <c r="T19" s="749"/>
      <c r="U19" s="750"/>
      <c r="V19" s="750"/>
      <c r="W19" s="750"/>
      <c r="X19" s="750"/>
      <c r="Y19" s="750"/>
      <c r="Z19" s="750"/>
      <c r="AA19" s="749"/>
      <c r="AB19" s="750"/>
      <c r="AC19" s="750"/>
      <c r="AD19" s="750"/>
      <c r="AE19" s="750"/>
      <c r="AF19" s="750"/>
      <c r="AG19" s="750"/>
      <c r="AH19" s="734"/>
      <c r="AI19" s="515">
        <f t="shared" si="1"/>
        <v>0</v>
      </c>
      <c r="AJ19" s="758"/>
      <c r="AK19" s="517"/>
      <c r="AM19" s="517"/>
    </row>
    <row r="20" spans="1:39" s="500" customFormat="1">
      <c r="A20" s="542" t="s">
        <v>2103</v>
      </c>
      <c r="B20" s="988" t="s">
        <v>2099</v>
      </c>
      <c r="C20" s="747" t="s">
        <v>2100</v>
      </c>
      <c r="D20" s="966">
        <f>3*10.4</f>
        <v>31.200000000000003</v>
      </c>
      <c r="E20" s="966">
        <v>10.4</v>
      </c>
      <c r="F20" s="749"/>
      <c r="G20" s="748"/>
      <c r="H20" s="748"/>
      <c r="I20" s="970">
        <f>10.4</f>
        <v>10.4</v>
      </c>
      <c r="J20" s="750"/>
      <c r="K20" s="970">
        <v>10.4</v>
      </c>
      <c r="L20" s="750"/>
      <c r="M20" s="749"/>
      <c r="N20" s="750"/>
      <c r="O20" s="667"/>
      <c r="P20" s="750"/>
      <c r="Q20" s="667"/>
      <c r="R20" s="521"/>
      <c r="S20" s="750"/>
      <c r="T20" s="749"/>
      <c r="U20" s="750"/>
      <c r="V20" s="750"/>
      <c r="W20" s="750"/>
      <c r="X20" s="750"/>
      <c r="Y20" s="750"/>
      <c r="Z20" s="750"/>
      <c r="AA20" s="749"/>
      <c r="AB20" s="750"/>
      <c r="AC20" s="750"/>
      <c r="AD20" s="750"/>
      <c r="AE20" s="750"/>
      <c r="AF20" s="750"/>
      <c r="AG20" s="750"/>
      <c r="AH20" s="734"/>
      <c r="AI20" s="991">
        <f t="shared" si="1"/>
        <v>62.4</v>
      </c>
      <c r="AJ20" s="758"/>
      <c r="AK20" s="517"/>
      <c r="AM20" s="517"/>
    </row>
    <row r="21" spans="1:39" s="500" customFormat="1">
      <c r="A21" s="987" t="s">
        <v>2116</v>
      </c>
      <c r="B21" s="988" t="s">
        <v>1994</v>
      </c>
      <c r="C21" s="747"/>
      <c r="D21" s="748"/>
      <c r="E21" s="748"/>
      <c r="F21" s="749"/>
      <c r="G21" s="748"/>
      <c r="H21" s="748"/>
      <c r="I21" s="750"/>
      <c r="J21" s="750"/>
      <c r="K21" s="750"/>
      <c r="L21" s="750"/>
      <c r="M21" s="749"/>
      <c r="N21" s="750"/>
      <c r="O21" s="667"/>
      <c r="P21" s="750"/>
      <c r="Q21" s="667"/>
      <c r="R21" s="521"/>
      <c r="S21" s="750"/>
      <c r="T21" s="749"/>
      <c r="U21" s="750"/>
      <c r="V21" s="750"/>
      <c r="W21" s="750"/>
      <c r="X21" s="750"/>
      <c r="Y21" s="750"/>
      <c r="Z21" s="750"/>
      <c r="AA21" s="749"/>
      <c r="AB21" s="750"/>
      <c r="AC21" s="750"/>
      <c r="AD21" s="750"/>
      <c r="AE21" s="750"/>
      <c r="AF21" s="750"/>
      <c r="AG21" s="750"/>
      <c r="AH21" s="734"/>
      <c r="AI21" s="515">
        <f t="shared" si="1"/>
        <v>0</v>
      </c>
      <c r="AJ21" s="758"/>
      <c r="AK21" s="517"/>
      <c r="AM21" s="517"/>
    </row>
    <row r="22" spans="1:39" s="500" customFormat="1">
      <c r="A22" s="879" t="s">
        <v>2117</v>
      </c>
      <c r="B22" s="539" t="s">
        <v>2119</v>
      </c>
      <c r="D22" s="748"/>
      <c r="E22" s="748"/>
      <c r="F22" s="749"/>
      <c r="G22" s="748"/>
      <c r="H22" s="748"/>
      <c r="I22" s="750"/>
      <c r="J22" s="750"/>
      <c r="K22" s="750"/>
      <c r="L22" s="750"/>
      <c r="M22" s="749"/>
      <c r="N22" s="750"/>
      <c r="O22" s="667"/>
      <c r="P22" s="750"/>
      <c r="Q22" s="667"/>
      <c r="R22" s="521"/>
      <c r="S22" s="750"/>
      <c r="T22" s="749"/>
      <c r="U22" s="750"/>
      <c r="V22" s="750"/>
      <c r="W22" s="750"/>
      <c r="X22" s="750"/>
      <c r="Y22" s="750"/>
      <c r="Z22" s="750"/>
      <c r="AA22" s="749"/>
      <c r="AB22" s="750"/>
      <c r="AC22" s="750"/>
      <c r="AD22" s="750"/>
      <c r="AE22" s="750"/>
      <c r="AF22" s="750"/>
      <c r="AG22" s="750"/>
      <c r="AH22" s="734"/>
      <c r="AI22" s="515">
        <f t="shared" si="1"/>
        <v>0</v>
      </c>
      <c r="AJ22" s="758"/>
      <c r="AK22" s="517"/>
      <c r="AM22" s="517"/>
    </row>
    <row r="23" spans="1:39" s="500" customFormat="1">
      <c r="A23" s="879" t="s">
        <v>2118</v>
      </c>
      <c r="B23" s="539" t="s">
        <v>2121</v>
      </c>
      <c r="C23" s="747" t="s">
        <v>40</v>
      </c>
      <c r="D23" s="748"/>
      <c r="E23" s="966">
        <f>1.1*1.1*0.5</f>
        <v>0.60500000000000009</v>
      </c>
      <c r="F23" s="749"/>
      <c r="G23" s="748"/>
      <c r="H23" s="748"/>
      <c r="I23" s="750"/>
      <c r="J23" s="750"/>
      <c r="K23" s="750"/>
      <c r="L23" s="750"/>
      <c r="M23" s="749"/>
      <c r="N23" s="750"/>
      <c r="O23" s="667"/>
      <c r="P23" s="750"/>
      <c r="Q23" s="667"/>
      <c r="R23" s="521"/>
      <c r="S23" s="750"/>
      <c r="T23" s="749"/>
      <c r="U23" s="750"/>
      <c r="V23" s="750"/>
      <c r="W23" s="750"/>
      <c r="X23" s="750"/>
      <c r="Y23" s="750"/>
      <c r="Z23" s="750"/>
      <c r="AA23" s="749"/>
      <c r="AB23" s="750"/>
      <c r="AC23" s="750"/>
      <c r="AD23" s="750"/>
      <c r="AE23" s="750"/>
      <c r="AF23" s="750"/>
      <c r="AG23" s="750"/>
      <c r="AH23" s="734"/>
      <c r="AI23" s="991">
        <f t="shared" si="1"/>
        <v>0.60500000000000009</v>
      </c>
      <c r="AJ23" s="758"/>
      <c r="AK23" s="517"/>
      <c r="AM23" s="517"/>
    </row>
    <row r="24" spans="1:39" s="500" customFormat="1">
      <c r="A24" s="879" t="s">
        <v>2120</v>
      </c>
      <c r="B24" s="539" t="s">
        <v>2122</v>
      </c>
      <c r="C24" s="548" t="s">
        <v>48</v>
      </c>
      <c r="D24" s="748"/>
      <c r="E24" s="966">
        <v>15.83</v>
      </c>
      <c r="F24" s="749"/>
      <c r="G24" s="748"/>
      <c r="H24" s="748"/>
      <c r="I24" s="750"/>
      <c r="J24" s="750"/>
      <c r="K24" s="750"/>
      <c r="L24" s="750"/>
      <c r="M24" s="749"/>
      <c r="N24" s="750"/>
      <c r="O24" s="667"/>
      <c r="P24" s="750"/>
      <c r="Q24" s="667"/>
      <c r="R24" s="521"/>
      <c r="S24" s="750"/>
      <c r="T24" s="749"/>
      <c r="U24" s="750"/>
      <c r="V24" s="750"/>
      <c r="W24" s="750"/>
      <c r="X24" s="750"/>
      <c r="Y24" s="750"/>
      <c r="Z24" s="750"/>
      <c r="AA24" s="749"/>
      <c r="AB24" s="750"/>
      <c r="AC24" s="750"/>
      <c r="AD24" s="750"/>
      <c r="AE24" s="750"/>
      <c r="AF24" s="750"/>
      <c r="AG24" s="750"/>
      <c r="AH24" s="734"/>
      <c r="AI24" s="991">
        <f t="shared" si="1"/>
        <v>15.83</v>
      </c>
      <c r="AJ24" s="758"/>
      <c r="AK24" s="517"/>
      <c r="AM24" s="517"/>
    </row>
    <row r="25" spans="1:39" s="500" customFormat="1">
      <c r="A25" s="879" t="s">
        <v>2135</v>
      </c>
      <c r="B25" s="752" t="s">
        <v>225</v>
      </c>
      <c r="C25" s="548" t="s">
        <v>2134</v>
      </c>
      <c r="D25" s="748"/>
      <c r="E25" s="748"/>
      <c r="F25" s="749"/>
      <c r="G25" s="748"/>
      <c r="H25" s="748"/>
      <c r="I25" s="750"/>
      <c r="J25" s="750"/>
      <c r="K25" s="750"/>
      <c r="L25" s="750"/>
      <c r="M25" s="749"/>
      <c r="N25" s="750"/>
      <c r="O25" s="667"/>
      <c r="P25" s="750"/>
      <c r="Q25" s="667"/>
      <c r="R25" s="521"/>
      <c r="S25" s="750"/>
      <c r="T25" s="749"/>
      <c r="U25" s="750"/>
      <c r="V25" s="750"/>
      <c r="W25" s="750"/>
      <c r="X25" s="750"/>
      <c r="Y25" s="750"/>
      <c r="Z25" s="750"/>
      <c r="AA25" s="749"/>
      <c r="AB25" s="750"/>
      <c r="AC25" s="750"/>
      <c r="AD25" s="750"/>
      <c r="AE25" s="750"/>
      <c r="AF25" s="750"/>
      <c r="AG25" s="986">
        <v>2</v>
      </c>
      <c r="AH25" s="750"/>
      <c r="AI25" s="992">
        <f t="shared" si="1"/>
        <v>2</v>
      </c>
      <c r="AJ25" s="758"/>
      <c r="AK25" s="517"/>
      <c r="AM25" s="517"/>
    </row>
    <row r="26" spans="1:39" s="500" customFormat="1">
      <c r="A26" s="987" t="s">
        <v>2104</v>
      </c>
      <c r="B26" s="988" t="s">
        <v>1217</v>
      </c>
      <c r="C26" s="548"/>
      <c r="D26" s="748"/>
      <c r="E26" s="748"/>
      <c r="F26" s="749"/>
      <c r="G26" s="748"/>
      <c r="H26" s="748"/>
      <c r="I26" s="750"/>
      <c r="J26" s="750"/>
      <c r="K26" s="750"/>
      <c r="L26" s="750"/>
      <c r="M26" s="749"/>
      <c r="N26" s="750"/>
      <c r="O26" s="667"/>
      <c r="P26" s="750"/>
      <c r="Q26" s="667"/>
      <c r="R26" s="521"/>
      <c r="S26" s="750"/>
      <c r="T26" s="749"/>
      <c r="U26" s="750"/>
      <c r="V26" s="750"/>
      <c r="W26" s="750"/>
      <c r="X26" s="750"/>
      <c r="Y26" s="750"/>
      <c r="Z26" s="750"/>
      <c r="AA26" s="749"/>
      <c r="AB26" s="750"/>
      <c r="AC26" s="750"/>
      <c r="AD26" s="750"/>
      <c r="AE26" s="750"/>
      <c r="AF26" s="750"/>
      <c r="AG26" s="750"/>
      <c r="AH26" s="734"/>
      <c r="AI26" s="515">
        <f t="shared" si="1"/>
        <v>0</v>
      </c>
      <c r="AJ26" s="758"/>
      <c r="AK26" s="517"/>
      <c r="AM26" s="517"/>
    </row>
    <row r="27" spans="1:39" s="500" customFormat="1">
      <c r="A27" s="879" t="s">
        <v>2106</v>
      </c>
      <c r="B27" s="752" t="s">
        <v>1949</v>
      </c>
      <c r="C27" s="548"/>
      <c r="D27" s="748"/>
      <c r="E27" s="748"/>
      <c r="F27" s="749"/>
      <c r="G27" s="748"/>
      <c r="H27" s="748"/>
      <c r="I27" s="750"/>
      <c r="J27" s="750"/>
      <c r="K27" s="750"/>
      <c r="L27" s="750"/>
      <c r="M27" s="749"/>
      <c r="N27" s="750"/>
      <c r="O27" s="667"/>
      <c r="P27" s="750"/>
      <c r="Q27" s="667"/>
      <c r="R27" s="521"/>
      <c r="S27" s="750"/>
      <c r="T27" s="749"/>
      <c r="U27" s="750"/>
      <c r="V27" s="750"/>
      <c r="W27" s="750"/>
      <c r="X27" s="750"/>
      <c r="Y27" s="750"/>
      <c r="Z27" s="750"/>
      <c r="AA27" s="749"/>
      <c r="AB27" s="750"/>
      <c r="AC27" s="750"/>
      <c r="AD27" s="750"/>
      <c r="AE27" s="750"/>
      <c r="AF27" s="750"/>
      <c r="AG27" s="750"/>
      <c r="AH27" s="734"/>
      <c r="AI27" s="515">
        <f t="shared" si="1"/>
        <v>0</v>
      </c>
      <c r="AJ27" s="758"/>
      <c r="AK27" s="517"/>
      <c r="AM27" s="517"/>
    </row>
    <row r="28" spans="1:39" s="500" customFormat="1">
      <c r="A28" s="879" t="s">
        <v>2107</v>
      </c>
      <c r="B28" s="539" t="s">
        <v>1203</v>
      </c>
      <c r="C28" s="548" t="s">
        <v>37</v>
      </c>
      <c r="D28" s="966">
        <f>2.75*1.4</f>
        <v>3.8499999999999996</v>
      </c>
      <c r="E28" s="958"/>
      <c r="F28" s="749"/>
      <c r="G28" s="748"/>
      <c r="H28" s="748"/>
      <c r="I28" s="750"/>
      <c r="J28" s="750"/>
      <c r="K28" s="750"/>
      <c r="L28" s="750"/>
      <c r="M28" s="749"/>
      <c r="N28" s="750"/>
      <c r="O28" s="667"/>
      <c r="P28" s="750"/>
      <c r="Q28" s="667"/>
      <c r="R28" s="521"/>
      <c r="S28" s="959"/>
      <c r="T28" s="749"/>
      <c r="U28" s="750"/>
      <c r="V28" s="750"/>
      <c r="W28" s="750"/>
      <c r="X28" s="750"/>
      <c r="Y28" s="750"/>
      <c r="Z28" s="750"/>
      <c r="AA28" s="749"/>
      <c r="AB28" s="750"/>
      <c r="AC28" s="750"/>
      <c r="AD28" s="993">
        <f>9.8*1*0.15</f>
        <v>1.47</v>
      </c>
      <c r="AE28" s="750"/>
      <c r="AF28" s="750"/>
      <c r="AG28" s="750"/>
      <c r="AH28" s="734"/>
      <c r="AI28" s="991">
        <f t="shared" si="1"/>
        <v>5.3199999999999994</v>
      </c>
      <c r="AJ28" s="758"/>
      <c r="AK28" s="517"/>
      <c r="AM28" s="517"/>
    </row>
    <row r="29" spans="1:39" s="500" customFormat="1">
      <c r="A29" s="879" t="s">
        <v>2136</v>
      </c>
      <c r="B29" s="752" t="s">
        <v>1994</v>
      </c>
      <c r="C29" s="548"/>
      <c r="D29" s="748"/>
      <c r="E29" s="958"/>
      <c r="F29" s="749"/>
      <c r="G29" s="748"/>
      <c r="H29" s="748"/>
      <c r="I29" s="750"/>
      <c r="J29" s="750"/>
      <c r="K29" s="750"/>
      <c r="L29" s="750"/>
      <c r="M29" s="749"/>
      <c r="N29" s="750"/>
      <c r="O29" s="667"/>
      <c r="P29" s="750"/>
      <c r="Q29" s="667"/>
      <c r="R29" s="521"/>
      <c r="S29" s="959"/>
      <c r="T29" s="749"/>
      <c r="U29" s="750"/>
      <c r="V29" s="750"/>
      <c r="W29" s="750"/>
      <c r="X29" s="750"/>
      <c r="Y29" s="750"/>
      <c r="Z29" s="750"/>
      <c r="AA29" s="749"/>
      <c r="AB29" s="750"/>
      <c r="AC29" s="750"/>
      <c r="AD29" s="750"/>
      <c r="AE29" s="750"/>
      <c r="AF29" s="750"/>
      <c r="AG29" s="750"/>
      <c r="AH29" s="734"/>
      <c r="AI29" s="515">
        <f t="shared" si="1"/>
        <v>0</v>
      </c>
      <c r="AJ29" s="758"/>
      <c r="AK29" s="517"/>
      <c r="AM29" s="517"/>
    </row>
    <row r="30" spans="1:39" s="500" customFormat="1">
      <c r="A30" s="879" t="s">
        <v>2152</v>
      </c>
      <c r="B30" s="539" t="s">
        <v>2137</v>
      </c>
      <c r="C30" s="548" t="s">
        <v>40</v>
      </c>
      <c r="D30" s="748"/>
      <c r="E30" s="958"/>
      <c r="F30" s="749"/>
      <c r="G30" s="748"/>
      <c r="H30" s="748"/>
      <c r="I30" s="750"/>
      <c r="J30" s="750"/>
      <c r="K30" s="750"/>
      <c r="L30" s="750"/>
      <c r="M30" s="749"/>
      <c r="N30" s="750"/>
      <c r="O30" s="667"/>
      <c r="P30" s="750"/>
      <c r="Q30" s="667"/>
      <c r="R30" s="521"/>
      <c r="S30" s="959"/>
      <c r="T30" s="749"/>
      <c r="U30" s="750"/>
      <c r="V30" s="750"/>
      <c r="W30" s="750"/>
      <c r="X30" s="750"/>
      <c r="Y30" s="750"/>
      <c r="Z30" s="750"/>
      <c r="AA30" s="749"/>
      <c r="AB30" s="750"/>
      <c r="AC30" s="750"/>
      <c r="AD30" s="750"/>
      <c r="AE30" s="521"/>
      <c r="AF30" s="967">
        <f>9.8*1*0.4</f>
        <v>3.9200000000000004</v>
      </c>
      <c r="AG30" s="521"/>
      <c r="AH30" s="734"/>
      <c r="AI30" s="991">
        <f t="shared" si="1"/>
        <v>3.9200000000000004</v>
      </c>
      <c r="AJ30" s="758"/>
      <c r="AK30" s="517"/>
      <c r="AM30" s="517"/>
    </row>
    <row r="31" spans="1:39" s="500" customFormat="1">
      <c r="A31" s="879" t="s">
        <v>2153</v>
      </c>
      <c r="B31" s="539" t="s">
        <v>2138</v>
      </c>
      <c r="C31" s="548" t="s">
        <v>37</v>
      </c>
      <c r="D31" s="748"/>
      <c r="E31" s="958"/>
      <c r="F31" s="749"/>
      <c r="G31" s="748"/>
      <c r="H31" s="748"/>
      <c r="I31" s="750"/>
      <c r="J31" s="750"/>
      <c r="K31" s="750"/>
      <c r="L31" s="750"/>
      <c r="M31" s="749"/>
      <c r="N31" s="750"/>
      <c r="O31" s="667"/>
      <c r="P31" s="750"/>
      <c r="Q31" s="667"/>
      <c r="R31" s="521"/>
      <c r="S31" s="959"/>
      <c r="T31" s="749"/>
      <c r="U31" s="750"/>
      <c r="V31" s="750"/>
      <c r="W31" s="750"/>
      <c r="X31" s="750"/>
      <c r="Y31" s="750"/>
      <c r="Z31" s="750"/>
      <c r="AA31" s="749"/>
      <c r="AB31" s="750"/>
      <c r="AC31" s="750"/>
      <c r="AD31" s="750"/>
      <c r="AE31" s="667"/>
      <c r="AF31" s="971">
        <f>9.4*0.4*2+1*0.4*2</f>
        <v>8.32</v>
      </c>
      <c r="AG31" s="971">
        <f>9.4*1.5*2</f>
        <v>28.200000000000003</v>
      </c>
      <c r="AH31" s="734"/>
      <c r="AI31" s="991">
        <f t="shared" si="1"/>
        <v>36.520000000000003</v>
      </c>
      <c r="AJ31" s="758"/>
      <c r="AK31" s="517"/>
      <c r="AM31" s="517"/>
    </row>
    <row r="32" spans="1:39" s="500" customFormat="1">
      <c r="A32" s="879" t="s">
        <v>2154</v>
      </c>
      <c r="B32" s="539" t="s">
        <v>2139</v>
      </c>
      <c r="C32" s="548" t="s">
        <v>1938</v>
      </c>
      <c r="D32" s="748"/>
      <c r="E32" s="958"/>
      <c r="F32" s="749"/>
      <c r="G32" s="748"/>
      <c r="H32" s="748"/>
      <c r="I32" s="750"/>
      <c r="J32" s="750"/>
      <c r="K32" s="750"/>
      <c r="L32" s="750"/>
      <c r="M32" s="749"/>
      <c r="N32" s="750"/>
      <c r="O32" s="667"/>
      <c r="P32" s="750"/>
      <c r="Q32" s="667"/>
      <c r="R32" s="521"/>
      <c r="S32" s="959"/>
      <c r="T32" s="749"/>
      <c r="U32" s="750"/>
      <c r="V32" s="750"/>
      <c r="W32" s="750"/>
      <c r="X32" s="750"/>
      <c r="Y32" s="750"/>
      <c r="Z32" s="750"/>
      <c r="AA32" s="749"/>
      <c r="AB32" s="750"/>
      <c r="AC32" s="750"/>
      <c r="AD32" s="750"/>
      <c r="AE32" s="971">
        <f>96*1.3*1.552+10*9*0.99</f>
        <v>282.78960000000001</v>
      </c>
      <c r="AF32" s="971">
        <f>36*9*0.99</f>
        <v>320.76</v>
      </c>
      <c r="AG32" s="521"/>
      <c r="AH32" s="734"/>
      <c r="AI32" s="991">
        <f t="shared" si="1"/>
        <v>603.54960000000005</v>
      </c>
      <c r="AJ32" s="758"/>
      <c r="AK32" s="517"/>
      <c r="AM32" s="517"/>
    </row>
    <row r="33" spans="1:39" s="500" customFormat="1">
      <c r="A33" s="987" t="s">
        <v>2110</v>
      </c>
      <c r="B33" s="988" t="s">
        <v>1155</v>
      </c>
      <c r="C33" s="548"/>
      <c r="D33" s="748"/>
      <c r="E33" s="748"/>
      <c r="F33" s="749"/>
      <c r="G33" s="748"/>
      <c r="H33" s="748"/>
      <c r="I33" s="750"/>
      <c r="J33" s="750"/>
      <c r="K33" s="750"/>
      <c r="L33" s="750"/>
      <c r="M33" s="749"/>
      <c r="N33" s="750"/>
      <c r="O33" s="667"/>
      <c r="P33" s="750"/>
      <c r="Q33" s="667"/>
      <c r="R33" s="521"/>
      <c r="S33" s="750"/>
      <c r="T33" s="749"/>
      <c r="U33" s="750"/>
      <c r="V33" s="750"/>
      <c r="W33" s="750"/>
      <c r="X33" s="750"/>
      <c r="Y33" s="750"/>
      <c r="Z33" s="750"/>
      <c r="AA33" s="749"/>
      <c r="AB33" s="750"/>
      <c r="AC33" s="750"/>
      <c r="AD33" s="750"/>
      <c r="AE33" s="750"/>
      <c r="AF33" s="750"/>
      <c r="AG33" s="750"/>
      <c r="AH33" s="734"/>
      <c r="AI33" s="515">
        <f t="shared" si="1"/>
        <v>0</v>
      </c>
      <c r="AJ33" s="758"/>
      <c r="AK33" s="517"/>
      <c r="AM33" s="517"/>
    </row>
    <row r="34" spans="1:39" s="500" customFormat="1">
      <c r="A34" s="879" t="s">
        <v>2140</v>
      </c>
      <c r="B34" s="752" t="s">
        <v>1994</v>
      </c>
      <c r="C34" s="548"/>
      <c r="D34" s="748"/>
      <c r="E34" s="748"/>
      <c r="F34" s="749"/>
      <c r="G34" s="748"/>
      <c r="H34" s="748"/>
      <c r="I34" s="750"/>
      <c r="J34" s="750"/>
      <c r="K34" s="750"/>
      <c r="L34" s="750"/>
      <c r="M34" s="749"/>
      <c r="N34" s="750"/>
      <c r="O34" s="667"/>
      <c r="P34" s="750"/>
      <c r="Q34" s="667"/>
      <c r="R34" s="521"/>
      <c r="S34" s="750"/>
      <c r="T34" s="749"/>
      <c r="U34" s="750"/>
      <c r="V34" s="750"/>
      <c r="W34" s="750"/>
      <c r="X34" s="750"/>
      <c r="Y34" s="750"/>
      <c r="Z34" s="750"/>
      <c r="AA34" s="749"/>
      <c r="AB34" s="750"/>
      <c r="AC34" s="750"/>
      <c r="AD34" s="750"/>
      <c r="AE34" s="750"/>
      <c r="AF34" s="750"/>
      <c r="AG34" s="750"/>
      <c r="AH34" s="734"/>
      <c r="AI34" s="515">
        <f t="shared" si="1"/>
        <v>0</v>
      </c>
      <c r="AJ34" s="758"/>
      <c r="AK34" s="517"/>
      <c r="AM34" s="517"/>
    </row>
    <row r="35" spans="1:39" s="500" customFormat="1">
      <c r="A35" s="879" t="s">
        <v>2141</v>
      </c>
      <c r="B35" s="752" t="s">
        <v>1995</v>
      </c>
      <c r="C35" s="548"/>
      <c r="D35" s="748"/>
      <c r="E35" s="748"/>
      <c r="F35" s="749"/>
      <c r="G35" s="748"/>
      <c r="H35" s="748"/>
      <c r="I35" s="750"/>
      <c r="J35" s="750"/>
      <c r="K35" s="750"/>
      <c r="L35" s="750"/>
      <c r="M35" s="749"/>
      <c r="N35" s="750"/>
      <c r="O35" s="667"/>
      <c r="P35" s="750"/>
      <c r="Q35" s="667"/>
      <c r="R35" s="521"/>
      <c r="S35" s="750"/>
      <c r="T35" s="749"/>
      <c r="U35" s="750"/>
      <c r="V35" s="750"/>
      <c r="W35" s="750"/>
      <c r="X35" s="750"/>
      <c r="Y35" s="750"/>
      <c r="Z35" s="750"/>
      <c r="AA35" s="749"/>
      <c r="AB35" s="750"/>
      <c r="AC35" s="750"/>
      <c r="AD35" s="750"/>
      <c r="AE35" s="750"/>
      <c r="AF35" s="750"/>
      <c r="AG35" s="750"/>
      <c r="AH35" s="734"/>
      <c r="AI35" s="515">
        <f t="shared" si="1"/>
        <v>0</v>
      </c>
      <c r="AJ35" s="758"/>
      <c r="AK35" s="517"/>
      <c r="AM35" s="517"/>
    </row>
    <row r="36" spans="1:39" s="500" customFormat="1">
      <c r="A36" s="879" t="s">
        <v>2142</v>
      </c>
      <c r="B36" s="752" t="s">
        <v>1996</v>
      </c>
      <c r="C36" s="548" t="s">
        <v>40</v>
      </c>
      <c r="D36" s="748"/>
      <c r="E36" s="994">
        <f>4.74*0.25*0.5*2+6.18*0.25*0.5*1</f>
        <v>1.9575</v>
      </c>
      <c r="F36" s="749"/>
      <c r="G36" s="748"/>
      <c r="H36" s="748"/>
      <c r="I36" s="750"/>
      <c r="J36" s="750"/>
      <c r="K36" s="750"/>
      <c r="L36" s="750"/>
      <c r="M36" s="749"/>
      <c r="N36" s="750"/>
      <c r="O36" s="667"/>
      <c r="P36" s="750"/>
      <c r="Q36" s="667"/>
      <c r="R36" s="521"/>
      <c r="S36" s="750"/>
      <c r="T36" s="749"/>
      <c r="U36" s="750"/>
      <c r="V36" s="750"/>
      <c r="W36" s="750"/>
      <c r="X36" s="750"/>
      <c r="Y36" s="750"/>
      <c r="Z36" s="750"/>
      <c r="AA36" s="749"/>
      <c r="AB36" s="750"/>
      <c r="AC36" s="750"/>
      <c r="AD36" s="750"/>
      <c r="AE36" s="750"/>
      <c r="AF36" s="750"/>
      <c r="AG36" s="750"/>
      <c r="AH36" s="734"/>
      <c r="AI36" s="995">
        <f t="shared" si="1"/>
        <v>1.9575</v>
      </c>
      <c r="AJ36" s="758"/>
      <c r="AK36" s="517"/>
      <c r="AM36" s="517"/>
    </row>
    <row r="37" spans="1:39" s="500" customFormat="1">
      <c r="A37" s="879" t="s">
        <v>2143</v>
      </c>
      <c r="B37" s="752" t="s">
        <v>1997</v>
      </c>
      <c r="C37" s="548" t="s">
        <v>37</v>
      </c>
      <c r="D37" s="994">
        <f>4.74*2*0.5*2+6.18*2*0.5*1</f>
        <v>15.66</v>
      </c>
      <c r="E37" s="748"/>
      <c r="F37" s="749"/>
      <c r="G37" s="748"/>
      <c r="H37" s="748"/>
      <c r="I37" s="750"/>
      <c r="J37" s="750"/>
      <c r="K37" s="750"/>
      <c r="L37" s="750"/>
      <c r="M37" s="749"/>
      <c r="N37" s="750"/>
      <c r="O37" s="667"/>
      <c r="P37" s="750"/>
      <c r="Q37" s="667"/>
      <c r="R37" s="521"/>
      <c r="S37" s="750"/>
      <c r="T37" s="749"/>
      <c r="U37" s="750"/>
      <c r="V37" s="750"/>
      <c r="W37" s="750"/>
      <c r="X37" s="750"/>
      <c r="Y37" s="750"/>
      <c r="Z37" s="750"/>
      <c r="AA37" s="749"/>
      <c r="AB37" s="750"/>
      <c r="AC37" s="750"/>
      <c r="AD37" s="750"/>
      <c r="AE37" s="750"/>
      <c r="AF37" s="750"/>
      <c r="AG37" s="750"/>
      <c r="AH37" s="734"/>
      <c r="AI37" s="995">
        <f t="shared" si="1"/>
        <v>15.66</v>
      </c>
      <c r="AJ37" s="758"/>
      <c r="AK37" s="517"/>
      <c r="AM37" s="517"/>
    </row>
    <row r="38" spans="1:39" s="500" customFormat="1">
      <c r="A38" s="879" t="s">
        <v>2144</v>
      </c>
      <c r="B38" s="752" t="s">
        <v>1998</v>
      </c>
      <c r="C38" s="548" t="s">
        <v>1938</v>
      </c>
      <c r="D38" s="994">
        <v>99</v>
      </c>
      <c r="E38" s="748"/>
      <c r="F38" s="749"/>
      <c r="G38" s="748"/>
      <c r="H38" s="748"/>
      <c r="I38" s="750"/>
      <c r="J38" s="750"/>
      <c r="K38" s="750"/>
      <c r="L38" s="750"/>
      <c r="M38" s="749"/>
      <c r="N38" s="750"/>
      <c r="O38" s="667"/>
      <c r="P38" s="750"/>
      <c r="Q38" s="667"/>
      <c r="R38" s="521"/>
      <c r="S38" s="750"/>
      <c r="T38" s="749"/>
      <c r="U38" s="750"/>
      <c r="V38" s="750"/>
      <c r="W38" s="750"/>
      <c r="X38" s="750"/>
      <c r="Y38" s="750"/>
      <c r="Z38" s="750"/>
      <c r="AA38" s="749"/>
      <c r="AB38" s="750"/>
      <c r="AC38" s="750"/>
      <c r="AD38" s="750"/>
      <c r="AE38" s="750"/>
      <c r="AF38" s="750"/>
      <c r="AG38" s="750"/>
      <c r="AH38" s="734"/>
      <c r="AI38" s="995">
        <f t="shared" si="1"/>
        <v>99</v>
      </c>
      <c r="AJ38" s="758"/>
      <c r="AK38" s="517"/>
      <c r="AM38" s="517"/>
    </row>
    <row r="39" spans="1:39" s="500" customFormat="1">
      <c r="A39" s="879" t="s">
        <v>2111</v>
      </c>
      <c r="B39" s="752" t="s">
        <v>1999</v>
      </c>
      <c r="C39" s="548"/>
      <c r="D39" s="748"/>
      <c r="E39" s="748"/>
      <c r="F39" s="749"/>
      <c r="G39" s="748"/>
      <c r="H39" s="748"/>
      <c r="I39" s="750"/>
      <c r="J39" s="750"/>
      <c r="K39" s="750"/>
      <c r="L39" s="750"/>
      <c r="M39" s="749"/>
      <c r="N39" s="750"/>
      <c r="O39" s="667"/>
      <c r="P39" s="750"/>
      <c r="Q39" s="667"/>
      <c r="R39" s="521"/>
      <c r="S39" s="750"/>
      <c r="T39" s="749"/>
      <c r="U39" s="750"/>
      <c r="V39" s="750"/>
      <c r="W39" s="750"/>
      <c r="X39" s="750"/>
      <c r="Y39" s="750"/>
      <c r="Z39" s="750"/>
      <c r="AA39" s="749"/>
      <c r="AB39" s="750"/>
      <c r="AC39" s="750"/>
      <c r="AD39" s="750"/>
      <c r="AE39" s="750"/>
      <c r="AF39" s="750"/>
      <c r="AG39" s="750"/>
      <c r="AH39" s="734"/>
      <c r="AI39" s="515">
        <f t="shared" si="1"/>
        <v>0</v>
      </c>
      <c r="AJ39" s="758"/>
      <c r="AK39" s="517"/>
      <c r="AM39" s="517"/>
    </row>
    <row r="40" spans="1:39" s="500" customFormat="1">
      <c r="A40" s="879" t="s">
        <v>2112</v>
      </c>
      <c r="B40" s="752" t="s">
        <v>2000</v>
      </c>
      <c r="C40" s="548" t="s">
        <v>40</v>
      </c>
      <c r="D40" s="748"/>
      <c r="E40" s="994">
        <f>4.74*0.25*0.6*2+6.18*0.25*0.6*1</f>
        <v>2.3489999999999998</v>
      </c>
      <c r="F40" s="749"/>
      <c r="G40" s="748"/>
      <c r="H40" s="748"/>
      <c r="I40" s="750"/>
      <c r="J40" s="750"/>
      <c r="K40" s="750"/>
      <c r="L40" s="750"/>
      <c r="M40" s="749"/>
      <c r="N40" s="750"/>
      <c r="O40" s="667"/>
      <c r="P40" s="750"/>
      <c r="Q40" s="667"/>
      <c r="R40" s="521"/>
      <c r="S40" s="750"/>
      <c r="T40" s="749"/>
      <c r="U40" s="750"/>
      <c r="V40" s="750"/>
      <c r="W40" s="750"/>
      <c r="X40" s="750"/>
      <c r="Y40" s="750"/>
      <c r="Z40" s="750"/>
      <c r="AA40" s="749"/>
      <c r="AB40" s="750"/>
      <c r="AC40" s="750"/>
      <c r="AD40" s="750"/>
      <c r="AE40" s="750"/>
      <c r="AF40" s="750"/>
      <c r="AG40" s="750"/>
      <c r="AH40" s="734"/>
      <c r="AI40" s="995">
        <f t="shared" si="1"/>
        <v>2.3489999999999998</v>
      </c>
      <c r="AJ40" s="758"/>
      <c r="AK40" s="517"/>
      <c r="AM40" s="517"/>
    </row>
    <row r="41" spans="1:39" s="500" customFormat="1">
      <c r="A41" s="879" t="s">
        <v>2113</v>
      </c>
      <c r="B41" s="752" t="s">
        <v>2001</v>
      </c>
      <c r="C41" s="548" t="s">
        <v>37</v>
      </c>
      <c r="D41" s="994">
        <f>4.74*2*0.6*2+6.18*2*0.6*1</f>
        <v>18.791999999999998</v>
      </c>
      <c r="E41" s="748"/>
      <c r="F41" s="749"/>
      <c r="G41" s="748"/>
      <c r="H41" s="748"/>
      <c r="I41" s="750"/>
      <c r="J41" s="750"/>
      <c r="K41" s="750"/>
      <c r="L41" s="750"/>
      <c r="M41" s="749"/>
      <c r="N41" s="750"/>
      <c r="O41" s="667"/>
      <c r="P41" s="750"/>
      <c r="Q41" s="667"/>
      <c r="R41" s="521"/>
      <c r="S41" s="750"/>
      <c r="T41" s="749"/>
      <c r="U41" s="750"/>
      <c r="V41" s="750"/>
      <c r="W41" s="750"/>
      <c r="X41" s="750"/>
      <c r="Y41" s="750"/>
      <c r="Z41" s="750"/>
      <c r="AA41" s="749"/>
      <c r="AB41" s="750"/>
      <c r="AC41" s="750"/>
      <c r="AD41" s="750"/>
      <c r="AE41" s="750"/>
      <c r="AF41" s="750"/>
      <c r="AG41" s="750"/>
      <c r="AH41" s="734"/>
      <c r="AI41" s="995">
        <f t="shared" si="1"/>
        <v>18.791999999999998</v>
      </c>
      <c r="AJ41" s="758"/>
      <c r="AK41" s="517"/>
      <c r="AM41" s="517"/>
    </row>
    <row r="42" spans="1:39" s="500" customFormat="1">
      <c r="A42" s="879" t="s">
        <v>2114</v>
      </c>
      <c r="B42" s="752" t="s">
        <v>2002</v>
      </c>
      <c r="C42" s="548" t="s">
        <v>1938</v>
      </c>
      <c r="D42" s="994">
        <v>118.8</v>
      </c>
      <c r="E42" s="748"/>
      <c r="F42" s="749"/>
      <c r="G42" s="748"/>
      <c r="H42" s="748"/>
      <c r="I42" s="750"/>
      <c r="J42" s="750"/>
      <c r="K42" s="750"/>
      <c r="L42" s="750"/>
      <c r="M42" s="749"/>
      <c r="N42" s="750"/>
      <c r="O42" s="667"/>
      <c r="P42" s="750"/>
      <c r="Q42" s="667"/>
      <c r="R42" s="521"/>
      <c r="S42" s="750"/>
      <c r="T42" s="749"/>
      <c r="U42" s="750"/>
      <c r="V42" s="750"/>
      <c r="W42" s="750"/>
      <c r="X42" s="750"/>
      <c r="Y42" s="750"/>
      <c r="Z42" s="750"/>
      <c r="AA42" s="749"/>
      <c r="AB42" s="750"/>
      <c r="AC42" s="750"/>
      <c r="AD42" s="750"/>
      <c r="AE42" s="750"/>
      <c r="AF42" s="750"/>
      <c r="AG42" s="750"/>
      <c r="AH42" s="734"/>
      <c r="AI42" s="995">
        <f t="shared" ref="AI42:AI57" si="4">SUM(D42:AH42)</f>
        <v>118.8</v>
      </c>
      <c r="AJ42" s="758"/>
      <c r="AK42" s="517"/>
      <c r="AM42" s="517"/>
    </row>
    <row r="43" spans="1:39" s="500" customFormat="1">
      <c r="A43" s="987" t="s">
        <v>2145</v>
      </c>
      <c r="B43" s="542" t="s">
        <v>1218</v>
      </c>
      <c r="C43" s="548"/>
      <c r="D43" s="748"/>
      <c r="E43" s="748"/>
      <c r="F43" s="749"/>
      <c r="G43" s="748"/>
      <c r="H43" s="748"/>
      <c r="I43" s="750"/>
      <c r="J43" s="750"/>
      <c r="K43" s="750"/>
      <c r="L43" s="750"/>
      <c r="M43" s="749"/>
      <c r="N43" s="750"/>
      <c r="O43" s="667"/>
      <c r="P43" s="750"/>
      <c r="Q43" s="667"/>
      <c r="R43" s="521"/>
      <c r="S43" s="750"/>
      <c r="T43" s="749"/>
      <c r="U43" s="750"/>
      <c r="V43" s="750"/>
      <c r="W43" s="750"/>
      <c r="X43" s="750"/>
      <c r="Y43" s="750"/>
      <c r="Z43" s="750"/>
      <c r="AA43" s="749"/>
      <c r="AB43" s="750"/>
      <c r="AC43" s="750"/>
      <c r="AD43" s="750"/>
      <c r="AE43" s="750"/>
      <c r="AF43" s="750"/>
      <c r="AG43" s="750"/>
      <c r="AH43" s="734"/>
      <c r="AI43" s="515">
        <f>SUM(D43:AH43)</f>
        <v>0</v>
      </c>
      <c r="AJ43" s="758"/>
      <c r="AK43" s="517"/>
      <c r="AM43" s="517"/>
    </row>
    <row r="44" spans="1:39" s="500" customFormat="1">
      <c r="A44" s="879" t="s">
        <v>2146</v>
      </c>
      <c r="B44" s="539" t="s">
        <v>1219</v>
      </c>
      <c r="C44" s="548" t="s">
        <v>40</v>
      </c>
      <c r="D44" s="748"/>
      <c r="E44" s="966">
        <f>6.15*1*0.25</f>
        <v>1.5375000000000001</v>
      </c>
      <c r="F44" s="749"/>
      <c r="G44" s="748"/>
      <c r="H44" s="748"/>
      <c r="I44" s="750"/>
      <c r="J44" s="750"/>
      <c r="K44" s="750"/>
      <c r="L44" s="750"/>
      <c r="M44" s="749"/>
      <c r="N44" s="750"/>
      <c r="O44" s="667"/>
      <c r="P44" s="750"/>
      <c r="Q44" s="667"/>
      <c r="R44" s="521"/>
      <c r="S44" s="750"/>
      <c r="T44" s="749"/>
      <c r="U44" s="750"/>
      <c r="V44" s="750"/>
      <c r="W44" s="750"/>
      <c r="X44" s="750"/>
      <c r="Y44" s="750"/>
      <c r="Z44" s="750"/>
      <c r="AA44" s="749"/>
      <c r="AB44" s="750"/>
      <c r="AC44" s="750"/>
      <c r="AH44" s="734"/>
      <c r="AI44" s="991">
        <f>SUM(D44:AH44)</f>
        <v>1.5375000000000001</v>
      </c>
      <c r="AJ44" s="758"/>
      <c r="AK44" s="517"/>
      <c r="AM44" s="517"/>
    </row>
    <row r="45" spans="1:39" s="500" customFormat="1">
      <c r="A45" s="879" t="s">
        <v>2147</v>
      </c>
      <c r="B45" s="539" t="s">
        <v>1220</v>
      </c>
      <c r="C45" s="548" t="s">
        <v>37</v>
      </c>
      <c r="D45" s="966">
        <f>6.15*1*2</f>
        <v>12.3</v>
      </c>
      <c r="E45" s="748"/>
      <c r="F45" s="749"/>
      <c r="G45" s="748"/>
      <c r="H45" s="748"/>
      <c r="I45" s="750"/>
      <c r="J45" s="750"/>
      <c r="K45" s="750"/>
      <c r="L45" s="750"/>
      <c r="M45" s="749"/>
      <c r="N45" s="750"/>
      <c r="O45" s="667"/>
      <c r="P45" s="750"/>
      <c r="Q45" s="667"/>
      <c r="R45" s="521"/>
      <c r="S45" s="750"/>
      <c r="T45" s="749"/>
      <c r="U45" s="750"/>
      <c r="V45" s="750"/>
      <c r="W45" s="750"/>
      <c r="X45" s="750"/>
      <c r="Y45" s="750"/>
      <c r="Z45" s="750"/>
      <c r="AA45" s="749"/>
      <c r="AB45" s="750"/>
      <c r="AC45" s="750"/>
      <c r="AD45" s="750"/>
      <c r="AH45" s="734"/>
      <c r="AI45" s="991">
        <f>SUM(D45:AH45)</f>
        <v>12.3</v>
      </c>
      <c r="AJ45" s="758"/>
      <c r="AK45" s="517"/>
      <c r="AM45" s="517"/>
    </row>
    <row r="46" spans="1:39" s="500" customFormat="1">
      <c r="A46" s="879" t="s">
        <v>2148</v>
      </c>
      <c r="B46" s="539" t="s">
        <v>1221</v>
      </c>
      <c r="C46" s="548" t="s">
        <v>1938</v>
      </c>
      <c r="D46" s="966">
        <v>131.16</v>
      </c>
      <c r="E46" s="748"/>
      <c r="F46" s="749"/>
      <c r="G46" s="748"/>
      <c r="H46" s="748"/>
      <c r="I46" s="750"/>
      <c r="J46" s="750"/>
      <c r="K46" s="750"/>
      <c r="L46" s="750"/>
      <c r="M46" s="749"/>
      <c r="N46" s="750"/>
      <c r="O46" s="667"/>
      <c r="P46" s="750"/>
      <c r="Q46" s="667"/>
      <c r="R46" s="521"/>
      <c r="S46" s="750"/>
      <c r="T46" s="749"/>
      <c r="U46" s="750"/>
      <c r="V46" s="750"/>
      <c r="W46" s="750"/>
      <c r="X46" s="750"/>
      <c r="Y46" s="750"/>
      <c r="Z46" s="750"/>
      <c r="AA46" s="749"/>
      <c r="AB46" s="750"/>
      <c r="AC46" s="750"/>
      <c r="AD46" s="750"/>
      <c r="AH46" s="734"/>
      <c r="AI46" s="991">
        <f>SUM(D46:AH46)</f>
        <v>131.16</v>
      </c>
      <c r="AJ46" s="758"/>
      <c r="AK46" s="517"/>
      <c r="AM46" s="517"/>
    </row>
    <row r="47" spans="1:39" s="500" customFormat="1">
      <c r="A47" s="987" t="s">
        <v>2115</v>
      </c>
      <c r="B47" s="988" t="s">
        <v>1210</v>
      </c>
      <c r="C47" s="548"/>
      <c r="D47" s="748"/>
      <c r="E47" s="748"/>
      <c r="F47" s="749"/>
      <c r="G47" s="748"/>
      <c r="H47" s="748"/>
      <c r="I47" s="750"/>
      <c r="J47" s="750"/>
      <c r="K47" s="750"/>
      <c r="L47" s="750"/>
      <c r="M47" s="749"/>
      <c r="N47" s="750"/>
      <c r="O47" s="667"/>
      <c r="P47" s="750"/>
      <c r="Q47" s="667"/>
      <c r="R47" s="521"/>
      <c r="S47" s="750"/>
      <c r="T47" s="749"/>
      <c r="U47" s="750"/>
      <c r="V47" s="750"/>
      <c r="W47" s="750"/>
      <c r="X47" s="750"/>
      <c r="Y47" s="750"/>
      <c r="Z47" s="750"/>
      <c r="AA47" s="749"/>
      <c r="AB47" s="750"/>
      <c r="AC47" s="750"/>
      <c r="AD47" s="750"/>
      <c r="AE47" s="750"/>
      <c r="AF47" s="750"/>
      <c r="AG47" s="750"/>
      <c r="AH47" s="734"/>
      <c r="AI47" s="515">
        <f t="shared" si="4"/>
        <v>0</v>
      </c>
      <c r="AJ47" s="758"/>
      <c r="AK47" s="517"/>
      <c r="AM47" s="517"/>
    </row>
    <row r="48" spans="1:39" s="500" customFormat="1">
      <c r="A48" s="879" t="s">
        <v>2123</v>
      </c>
      <c r="B48" s="752" t="s">
        <v>1994</v>
      </c>
      <c r="C48" s="548"/>
      <c r="D48" s="748"/>
      <c r="E48" s="748"/>
      <c r="F48" s="749"/>
      <c r="G48" s="748"/>
      <c r="H48" s="748"/>
      <c r="I48" s="750"/>
      <c r="J48" s="750"/>
      <c r="K48" s="750"/>
      <c r="L48" s="750"/>
      <c r="M48" s="749"/>
      <c r="N48" s="750"/>
      <c r="O48" s="667"/>
      <c r="P48" s="750"/>
      <c r="Q48" s="667"/>
      <c r="R48" s="521"/>
      <c r="S48" s="750"/>
      <c r="T48" s="749"/>
      <c r="U48" s="750"/>
      <c r="V48" s="750"/>
      <c r="W48" s="750"/>
      <c r="X48" s="750"/>
      <c r="Y48" s="750"/>
      <c r="Z48" s="750"/>
      <c r="AA48" s="749"/>
      <c r="AB48" s="750"/>
      <c r="AC48" s="750"/>
      <c r="AD48" s="750"/>
      <c r="AE48" s="750"/>
      <c r="AF48" s="750"/>
      <c r="AG48" s="750"/>
      <c r="AH48" s="734"/>
      <c r="AI48" s="515">
        <f t="shared" si="4"/>
        <v>0</v>
      </c>
      <c r="AJ48" s="758"/>
      <c r="AK48" s="517"/>
      <c r="AM48" s="517"/>
    </row>
    <row r="49" spans="1:39" s="500" customFormat="1">
      <c r="A49" s="879" t="s">
        <v>2124</v>
      </c>
      <c r="B49" s="752" t="s">
        <v>1995</v>
      </c>
      <c r="C49" s="548"/>
      <c r="D49" s="748"/>
      <c r="E49" s="748"/>
      <c r="F49" s="749"/>
      <c r="G49" s="748"/>
      <c r="H49" s="748"/>
      <c r="I49" s="750"/>
      <c r="J49" s="750"/>
      <c r="K49" s="750"/>
      <c r="L49" s="750"/>
      <c r="M49" s="749"/>
      <c r="N49" s="750"/>
      <c r="O49" s="667"/>
      <c r="P49" s="750"/>
      <c r="Q49" s="667"/>
      <c r="R49" s="521"/>
      <c r="S49" s="750"/>
      <c r="T49" s="749"/>
      <c r="U49" s="750"/>
      <c r="V49" s="750"/>
      <c r="W49" s="750"/>
      <c r="X49" s="750"/>
      <c r="Y49" s="750"/>
      <c r="Z49" s="750"/>
      <c r="AA49" s="749"/>
      <c r="AB49" s="750"/>
      <c r="AC49" s="750"/>
      <c r="AD49" s="750"/>
      <c r="AE49" s="750"/>
      <c r="AF49" s="750"/>
      <c r="AG49" s="750"/>
      <c r="AH49" s="734"/>
      <c r="AI49" s="515">
        <f t="shared" si="4"/>
        <v>0</v>
      </c>
      <c r="AJ49" s="758"/>
      <c r="AK49" s="517"/>
      <c r="AM49" s="517"/>
    </row>
    <row r="50" spans="1:39" s="500" customFormat="1">
      <c r="A50" s="879" t="s">
        <v>2125</v>
      </c>
      <c r="B50" s="752" t="s">
        <v>1996</v>
      </c>
      <c r="C50" s="548" t="s">
        <v>40</v>
      </c>
      <c r="D50" s="748"/>
      <c r="E50" s="748"/>
      <c r="F50" s="749"/>
      <c r="G50" s="966">
        <f>16.66*0.25*0.6</f>
        <v>2.4990000000000001</v>
      </c>
      <c r="H50" s="748"/>
      <c r="I50" s="750"/>
      <c r="J50" s="750"/>
      <c r="K50" s="750"/>
      <c r="L50" s="750"/>
      <c r="M50" s="749"/>
      <c r="N50" s="750"/>
      <c r="O50" s="667"/>
      <c r="P50" s="750"/>
      <c r="Q50" s="667"/>
      <c r="R50" s="521"/>
      <c r="S50" s="750"/>
      <c r="T50" s="749"/>
      <c r="U50" s="750"/>
      <c r="V50" s="750"/>
      <c r="W50" s="750"/>
      <c r="X50" s="750"/>
      <c r="Y50" s="750"/>
      <c r="Z50" s="750"/>
      <c r="AA50" s="749"/>
      <c r="AB50" s="750"/>
      <c r="AC50" s="750"/>
      <c r="AD50" s="750"/>
      <c r="AE50" s="750"/>
      <c r="AF50" s="750"/>
      <c r="AG50" s="750"/>
      <c r="AH50" s="734"/>
      <c r="AI50" s="991">
        <f t="shared" si="4"/>
        <v>2.4990000000000001</v>
      </c>
      <c r="AJ50" s="758"/>
      <c r="AK50" s="517"/>
      <c r="AM50" s="517"/>
    </row>
    <row r="51" spans="1:39" s="500" customFormat="1">
      <c r="A51" s="879" t="s">
        <v>2126</v>
      </c>
      <c r="B51" s="752" t="s">
        <v>1997</v>
      </c>
      <c r="C51" s="548" t="s">
        <v>37</v>
      </c>
      <c r="D51" s="748"/>
      <c r="E51" s="748"/>
      <c r="F51" s="749"/>
      <c r="G51" s="966">
        <f>16.66*0.6*2</f>
        <v>19.992000000000001</v>
      </c>
      <c r="H51" s="748"/>
      <c r="I51" s="750"/>
      <c r="J51" s="750"/>
      <c r="K51" s="750"/>
      <c r="L51" s="750"/>
      <c r="M51" s="749"/>
      <c r="N51" s="750"/>
      <c r="O51" s="667"/>
      <c r="P51" s="750"/>
      <c r="Q51" s="667"/>
      <c r="R51" s="521"/>
      <c r="S51" s="750"/>
      <c r="T51" s="749"/>
      <c r="U51" s="750"/>
      <c r="V51" s="750"/>
      <c r="W51" s="750"/>
      <c r="X51" s="750"/>
      <c r="Y51" s="750"/>
      <c r="Z51" s="750"/>
      <c r="AA51" s="749"/>
      <c r="AB51" s="750"/>
      <c r="AC51" s="750"/>
      <c r="AD51" s="750"/>
      <c r="AE51" s="750"/>
      <c r="AF51" s="750"/>
      <c r="AG51" s="750"/>
      <c r="AH51" s="734"/>
      <c r="AI51" s="991">
        <f t="shared" si="4"/>
        <v>19.992000000000001</v>
      </c>
      <c r="AJ51" s="758"/>
      <c r="AK51" s="517"/>
      <c r="AM51" s="517"/>
    </row>
    <row r="52" spans="1:39" s="500" customFormat="1">
      <c r="A52" s="879" t="s">
        <v>2127</v>
      </c>
      <c r="B52" s="752" t="s">
        <v>1998</v>
      </c>
      <c r="C52" s="548" t="s">
        <v>1938</v>
      </c>
      <c r="D52" s="748"/>
      <c r="E52" s="748"/>
      <c r="F52" s="749"/>
      <c r="G52" s="966">
        <v>65.31</v>
      </c>
      <c r="H52" s="748"/>
      <c r="I52" s="750"/>
      <c r="J52" s="750"/>
      <c r="K52" s="750"/>
      <c r="L52" s="750"/>
      <c r="M52" s="749"/>
      <c r="N52" s="750"/>
      <c r="O52" s="667"/>
      <c r="P52" s="750"/>
      <c r="Q52" s="667"/>
      <c r="R52" s="521"/>
      <c r="S52" s="750"/>
      <c r="T52" s="749"/>
      <c r="U52" s="750"/>
      <c r="V52" s="750"/>
      <c r="W52" s="750"/>
      <c r="X52" s="750"/>
      <c r="Y52" s="750"/>
      <c r="Z52" s="750"/>
      <c r="AA52" s="749"/>
      <c r="AB52" s="750"/>
      <c r="AC52" s="750"/>
      <c r="AD52" s="750"/>
      <c r="AE52" s="750"/>
      <c r="AF52" s="750"/>
      <c r="AG52" s="750"/>
      <c r="AH52" s="734"/>
      <c r="AI52" s="991">
        <f t="shared" si="4"/>
        <v>65.31</v>
      </c>
      <c r="AJ52" s="758"/>
      <c r="AK52" s="517"/>
      <c r="AM52" s="517"/>
    </row>
    <row r="53" spans="1:39" s="500" customFormat="1">
      <c r="A53" s="879" t="s">
        <v>2128</v>
      </c>
      <c r="B53" s="752" t="s">
        <v>1999</v>
      </c>
      <c r="C53" s="548"/>
      <c r="D53" s="748"/>
      <c r="E53" s="748"/>
      <c r="F53" s="749"/>
      <c r="G53" s="748"/>
      <c r="H53" s="748"/>
      <c r="I53" s="750"/>
      <c r="J53" s="750"/>
      <c r="K53" s="750"/>
      <c r="L53" s="750"/>
      <c r="M53" s="749"/>
      <c r="N53" s="750"/>
      <c r="O53" s="667"/>
      <c r="P53" s="750"/>
      <c r="Q53" s="667"/>
      <c r="R53" s="521"/>
      <c r="S53" s="750"/>
      <c r="T53" s="749"/>
      <c r="U53" s="750"/>
      <c r="V53" s="750"/>
      <c r="W53" s="750"/>
      <c r="X53" s="750"/>
      <c r="Y53" s="750"/>
      <c r="Z53" s="750"/>
      <c r="AA53" s="749"/>
      <c r="AB53" s="750"/>
      <c r="AC53" s="750"/>
      <c r="AD53" s="750"/>
      <c r="AE53" s="750"/>
      <c r="AF53" s="750"/>
      <c r="AG53" s="750"/>
      <c r="AH53" s="734"/>
      <c r="AI53" s="515">
        <f t="shared" si="4"/>
        <v>0</v>
      </c>
      <c r="AJ53" s="758"/>
      <c r="AK53" s="517"/>
      <c r="AM53" s="517"/>
    </row>
    <row r="54" spans="1:39" s="500" customFormat="1">
      <c r="A54" s="879" t="s">
        <v>2129</v>
      </c>
      <c r="B54" s="752" t="s">
        <v>2000</v>
      </c>
      <c r="C54" s="548" t="s">
        <v>40</v>
      </c>
      <c r="D54" s="748"/>
      <c r="E54" s="748"/>
      <c r="F54" s="749"/>
      <c r="G54" s="966">
        <f>16.66*0.25*0.5</f>
        <v>2.0825</v>
      </c>
      <c r="H54" s="748"/>
      <c r="I54" s="750"/>
      <c r="J54" s="750"/>
      <c r="K54" s="750"/>
      <c r="L54" s="750"/>
      <c r="M54" s="749"/>
      <c r="N54" s="750"/>
      <c r="O54" s="667"/>
      <c r="P54" s="750"/>
      <c r="Q54" s="667"/>
      <c r="R54" s="521"/>
      <c r="S54" s="750"/>
      <c r="T54" s="749"/>
      <c r="U54" s="750"/>
      <c r="V54" s="750"/>
      <c r="W54" s="750"/>
      <c r="X54" s="750"/>
      <c r="Y54" s="750"/>
      <c r="Z54" s="750"/>
      <c r="AA54" s="749"/>
      <c r="AB54" s="750"/>
      <c r="AC54" s="750"/>
      <c r="AD54" s="750"/>
      <c r="AE54" s="750"/>
      <c r="AF54" s="750"/>
      <c r="AG54" s="750"/>
      <c r="AH54" s="734"/>
      <c r="AI54" s="991">
        <f t="shared" si="4"/>
        <v>2.0825</v>
      </c>
      <c r="AJ54" s="758"/>
      <c r="AK54" s="517"/>
      <c r="AM54" s="517"/>
    </row>
    <row r="55" spans="1:39" s="500" customFormat="1">
      <c r="A55" s="879" t="s">
        <v>2130</v>
      </c>
      <c r="B55" s="752" t="s">
        <v>2001</v>
      </c>
      <c r="C55" s="548" t="s">
        <v>37</v>
      </c>
      <c r="D55" s="748"/>
      <c r="E55" s="748"/>
      <c r="F55" s="749"/>
      <c r="G55" s="966">
        <f>16.66*0.5*2</f>
        <v>16.66</v>
      </c>
      <c r="H55" s="748"/>
      <c r="I55" s="750"/>
      <c r="J55" s="750"/>
      <c r="K55" s="750"/>
      <c r="L55" s="750"/>
      <c r="M55" s="749"/>
      <c r="N55" s="750"/>
      <c r="O55" s="667"/>
      <c r="P55" s="750"/>
      <c r="Q55" s="667"/>
      <c r="R55" s="521"/>
      <c r="S55" s="750"/>
      <c r="T55" s="749"/>
      <c r="U55" s="750"/>
      <c r="V55" s="750"/>
      <c r="W55" s="750"/>
      <c r="X55" s="750"/>
      <c r="Y55" s="750"/>
      <c r="Z55" s="750"/>
      <c r="AA55" s="749"/>
      <c r="AB55" s="750"/>
      <c r="AC55" s="750"/>
      <c r="AD55" s="750"/>
      <c r="AE55" s="750"/>
      <c r="AF55" s="750"/>
      <c r="AG55" s="750"/>
      <c r="AH55" s="734"/>
      <c r="AI55" s="991">
        <f t="shared" si="4"/>
        <v>16.66</v>
      </c>
      <c r="AJ55" s="758"/>
      <c r="AK55" s="517"/>
      <c r="AM55" s="517"/>
    </row>
    <row r="56" spans="1:39" s="500" customFormat="1" ht="13.5" thickBot="1">
      <c r="A56" s="879" t="s">
        <v>2131</v>
      </c>
      <c r="B56" s="752" t="s">
        <v>2002</v>
      </c>
      <c r="C56" s="548" t="s">
        <v>1938</v>
      </c>
      <c r="D56" s="748"/>
      <c r="E56" s="748"/>
      <c r="F56" s="749"/>
      <c r="G56" s="966">
        <v>54.43</v>
      </c>
      <c r="H56" s="748"/>
      <c r="I56" s="750"/>
      <c r="J56" s="750"/>
      <c r="K56" s="750"/>
      <c r="L56" s="750"/>
      <c r="M56" s="749"/>
      <c r="N56" s="750"/>
      <c r="O56" s="667"/>
      <c r="P56" s="750"/>
      <c r="Q56" s="667"/>
      <c r="R56" s="521"/>
      <c r="S56" s="750"/>
      <c r="T56" s="749"/>
      <c r="U56" s="750"/>
      <c r="V56" s="750"/>
      <c r="W56" s="750"/>
      <c r="X56" s="750"/>
      <c r="Y56" s="750"/>
      <c r="Z56" s="750"/>
      <c r="AA56" s="749"/>
      <c r="AB56" s="750"/>
      <c r="AC56" s="750"/>
      <c r="AD56" s="750"/>
      <c r="AE56" s="750"/>
      <c r="AF56" s="750"/>
      <c r="AG56" s="750"/>
      <c r="AH56" s="734"/>
      <c r="AI56" s="991">
        <f t="shared" si="4"/>
        <v>54.43</v>
      </c>
      <c r="AJ56" s="758"/>
      <c r="AK56" s="517"/>
      <c r="AM56" s="517"/>
    </row>
    <row r="57" spans="1:39" ht="13.5" thickBot="1">
      <c r="A57" s="696"/>
      <c r="B57" s="753" t="s">
        <v>2</v>
      </c>
      <c r="C57" s="548"/>
      <c r="D57" s="671"/>
      <c r="E57" s="671"/>
      <c r="F57" s="806"/>
      <c r="G57" s="671"/>
      <c r="H57" s="671"/>
      <c r="I57" s="671"/>
      <c r="J57" s="671"/>
      <c r="K57" s="671"/>
      <c r="L57" s="671"/>
      <c r="M57" s="806"/>
      <c r="N57" s="671"/>
      <c r="O57" s="671"/>
      <c r="P57" s="671"/>
      <c r="Q57" s="671"/>
      <c r="R57" s="671"/>
      <c r="S57" s="671"/>
      <c r="T57" s="806"/>
      <c r="U57" s="671"/>
      <c r="V57" s="671"/>
      <c r="W57" s="671"/>
      <c r="X57" s="671"/>
      <c r="Y57" s="671"/>
      <c r="Z57" s="671"/>
      <c r="AA57" s="806"/>
      <c r="AB57" s="671"/>
      <c r="AC57" s="671"/>
      <c r="AD57" s="699"/>
      <c r="AE57" s="699"/>
      <c r="AF57" s="699"/>
      <c r="AG57" s="960"/>
      <c r="AH57" s="532"/>
      <c r="AI57" s="515">
        <f t="shared" si="4"/>
        <v>0</v>
      </c>
      <c r="AJ57" s="534"/>
      <c r="AL57" s="498">
        <f>AK57/10</f>
        <v>0</v>
      </c>
    </row>
    <row r="58" spans="1:39">
      <c r="A58" s="552" t="s">
        <v>288</v>
      </c>
    </row>
    <row r="60" spans="1:39">
      <c r="B60" s="550" t="s">
        <v>1801</v>
      </c>
    </row>
    <row r="61" spans="1:39">
      <c r="B61" s="550" t="s">
        <v>289</v>
      </c>
      <c r="AL61" s="500">
        <v>1204.5</v>
      </c>
    </row>
    <row r="78" spans="2:2">
      <c r="B78" s="552"/>
    </row>
  </sheetData>
  <mergeCells count="10">
    <mergeCell ref="AJ8:AM8"/>
    <mergeCell ref="AN8:AQ8"/>
    <mergeCell ref="A9:A10"/>
    <mergeCell ref="B9:B10"/>
    <mergeCell ref="A1:X1"/>
    <mergeCell ref="A2:X2"/>
    <mergeCell ref="B4:L4"/>
    <mergeCell ref="B5:AA5"/>
    <mergeCell ref="Q7:V7"/>
    <mergeCell ref="W7:Z7"/>
  </mergeCells>
  <pageMargins left="0.7" right="0.7" top="0.75" bottom="0.75" header="0.3" footer="0.3"/>
  <pageSetup scale="27" orientation="portrait" r:id="rId1"/>
  <colBreaks count="1" manualBreakCount="1">
    <brk id="35" max="1048575" man="1"/>
  </colBreaks>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2060"/>
  </sheetPr>
  <dimension ref="A1:R85"/>
  <sheetViews>
    <sheetView workbookViewId="0"/>
  </sheetViews>
  <sheetFormatPr baseColWidth="10" defaultRowHeight="12.75"/>
  <cols>
    <col min="1" max="1" width="10.42578125" style="16" customWidth="1"/>
    <col min="2" max="2" width="63.5703125" style="16" customWidth="1"/>
    <col min="3" max="3" width="6.42578125" style="74" bestFit="1" customWidth="1"/>
    <col min="4" max="5" width="8.5703125" style="23" customWidth="1"/>
    <col min="6" max="6" width="11.42578125" style="23" bestFit="1" customWidth="1"/>
    <col min="7" max="7" width="7.5703125" style="16" bestFit="1" customWidth="1"/>
    <col min="8" max="8" width="11.5703125" style="16" bestFit="1"/>
    <col min="9" max="9" width="8" style="16" bestFit="1" customWidth="1"/>
    <col min="10" max="10" width="11.5703125" style="16" bestFit="1"/>
    <col min="11" max="11" width="8.42578125" style="16" bestFit="1" customWidth="1"/>
    <col min="12" max="12" width="11.5703125" style="16" bestFit="1"/>
    <col min="13" max="13" width="8.42578125" style="16" customWidth="1"/>
    <col min="14" max="14" width="7.42578125" style="16" bestFit="1" customWidth="1"/>
    <col min="15" max="15" width="11.5703125" style="16" bestFit="1"/>
    <col min="16" max="16" width="8.42578125" style="16" customWidth="1"/>
    <col min="17" max="17" width="13" style="16" bestFit="1" customWidth="1"/>
    <col min="18" max="256" width="11.5703125" style="16"/>
    <col min="257" max="257" width="4.5703125" style="16" customWidth="1"/>
    <col min="258" max="258" width="50" style="16" customWidth="1"/>
    <col min="259" max="259" width="6.42578125" style="16" bestFit="1" customWidth="1"/>
    <col min="260" max="261" width="8.5703125" style="16" customWidth="1"/>
    <col min="262" max="262" width="11.42578125" style="16" bestFit="1" customWidth="1"/>
    <col min="263" max="263" width="7.5703125" style="16" bestFit="1" customWidth="1"/>
    <col min="264" max="264" width="11.5703125" style="16" bestFit="1"/>
    <col min="265" max="265" width="8" style="16" bestFit="1" customWidth="1"/>
    <col min="266" max="266" width="11.5703125" style="16" bestFit="1"/>
    <col min="267" max="267" width="8.42578125" style="16" bestFit="1" customWidth="1"/>
    <col min="268" max="268" width="11.5703125" style="16" bestFit="1"/>
    <col min="269" max="269" width="8.42578125" style="16" customWidth="1"/>
    <col min="270" max="270" width="7.42578125" style="16" bestFit="1" customWidth="1"/>
    <col min="271" max="271" width="11.5703125" style="16" bestFit="1"/>
    <col min="272" max="272" width="8.42578125" style="16" customWidth="1"/>
    <col min="273" max="273" width="13" style="16" bestFit="1" customWidth="1"/>
    <col min="274" max="512" width="11.5703125" style="16"/>
    <col min="513" max="513" width="4.5703125" style="16" customWidth="1"/>
    <col min="514" max="514" width="50" style="16" customWidth="1"/>
    <col min="515" max="515" width="6.42578125" style="16" bestFit="1" customWidth="1"/>
    <col min="516" max="517" width="8.5703125" style="16" customWidth="1"/>
    <col min="518" max="518" width="11.42578125" style="16" bestFit="1" customWidth="1"/>
    <col min="519" max="519" width="7.5703125" style="16" bestFit="1" customWidth="1"/>
    <col min="520" max="520" width="11.5703125" style="16" bestFit="1"/>
    <col min="521" max="521" width="8" style="16" bestFit="1" customWidth="1"/>
    <col min="522" max="522" width="11.5703125" style="16" bestFit="1"/>
    <col min="523" max="523" width="8.42578125" style="16" bestFit="1" customWidth="1"/>
    <col min="524" max="524" width="11.5703125" style="16" bestFit="1"/>
    <col min="525" max="525" width="8.42578125" style="16" customWidth="1"/>
    <col min="526" max="526" width="7.42578125" style="16" bestFit="1" customWidth="1"/>
    <col min="527" max="527" width="11.5703125" style="16" bestFit="1"/>
    <col min="528" max="528" width="8.42578125" style="16" customWidth="1"/>
    <col min="529" max="529" width="13" style="16" bestFit="1" customWidth="1"/>
    <col min="530" max="768" width="11.5703125" style="16"/>
    <col min="769" max="769" width="4.5703125" style="16" customWidth="1"/>
    <col min="770" max="770" width="50" style="16" customWidth="1"/>
    <col min="771" max="771" width="6.42578125" style="16" bestFit="1" customWidth="1"/>
    <col min="772" max="773" width="8.5703125" style="16" customWidth="1"/>
    <col min="774" max="774" width="11.42578125" style="16" bestFit="1" customWidth="1"/>
    <col min="775" max="775" width="7.5703125" style="16" bestFit="1" customWidth="1"/>
    <col min="776" max="776" width="11.5703125" style="16" bestFit="1"/>
    <col min="777" max="777" width="8" style="16" bestFit="1" customWidth="1"/>
    <col min="778" max="778" width="11.5703125" style="16" bestFit="1"/>
    <col min="779" max="779" width="8.42578125" style="16" bestFit="1" customWidth="1"/>
    <col min="780" max="780" width="11.5703125" style="16" bestFit="1"/>
    <col min="781" max="781" width="8.42578125" style="16" customWidth="1"/>
    <col min="782" max="782" width="7.42578125" style="16" bestFit="1" customWidth="1"/>
    <col min="783" max="783" width="11.5703125" style="16" bestFit="1"/>
    <col min="784" max="784" width="8.42578125" style="16" customWidth="1"/>
    <col min="785" max="785" width="13" style="16" bestFit="1" customWidth="1"/>
    <col min="786" max="1024" width="11.5703125" style="16"/>
    <col min="1025" max="1025" width="4.5703125" style="16" customWidth="1"/>
    <col min="1026" max="1026" width="50" style="16" customWidth="1"/>
    <col min="1027" max="1027" width="6.42578125" style="16" bestFit="1" customWidth="1"/>
    <col min="1028" max="1029" width="8.5703125" style="16" customWidth="1"/>
    <col min="1030" max="1030" width="11.42578125" style="16" bestFit="1" customWidth="1"/>
    <col min="1031" max="1031" width="7.5703125" style="16" bestFit="1" customWidth="1"/>
    <col min="1032" max="1032" width="11.5703125" style="16" bestFit="1"/>
    <col min="1033" max="1033" width="8" style="16" bestFit="1" customWidth="1"/>
    <col min="1034" max="1034" width="11.5703125" style="16" bestFit="1"/>
    <col min="1035" max="1035" width="8.42578125" style="16" bestFit="1" customWidth="1"/>
    <col min="1036" max="1036" width="11.5703125" style="16" bestFit="1"/>
    <col min="1037" max="1037" width="8.42578125" style="16" customWidth="1"/>
    <col min="1038" max="1038" width="7.42578125" style="16" bestFit="1" customWidth="1"/>
    <col min="1039" max="1039" width="11.5703125" style="16" bestFit="1"/>
    <col min="1040" max="1040" width="8.42578125" style="16" customWidth="1"/>
    <col min="1041" max="1041" width="13" style="16" bestFit="1" customWidth="1"/>
    <col min="1042" max="1280" width="11.5703125" style="16"/>
    <col min="1281" max="1281" width="4.5703125" style="16" customWidth="1"/>
    <col min="1282" max="1282" width="50" style="16" customWidth="1"/>
    <col min="1283" max="1283" width="6.42578125" style="16" bestFit="1" customWidth="1"/>
    <col min="1284" max="1285" width="8.5703125" style="16" customWidth="1"/>
    <col min="1286" max="1286" width="11.42578125" style="16" bestFit="1" customWidth="1"/>
    <col min="1287" max="1287" width="7.5703125" style="16" bestFit="1" customWidth="1"/>
    <col min="1288" max="1288" width="11.5703125" style="16" bestFit="1"/>
    <col min="1289" max="1289" width="8" style="16" bestFit="1" customWidth="1"/>
    <col min="1290" max="1290" width="11.5703125" style="16" bestFit="1"/>
    <col min="1291" max="1291" width="8.42578125" style="16" bestFit="1" customWidth="1"/>
    <col min="1292" max="1292" width="11.5703125" style="16" bestFit="1"/>
    <col min="1293" max="1293" width="8.42578125" style="16" customWidth="1"/>
    <col min="1294" max="1294" width="7.42578125" style="16" bestFit="1" customWidth="1"/>
    <col min="1295" max="1295" width="11.5703125" style="16" bestFit="1"/>
    <col min="1296" max="1296" width="8.42578125" style="16" customWidth="1"/>
    <col min="1297" max="1297" width="13" style="16" bestFit="1" customWidth="1"/>
    <col min="1298" max="1536" width="11.5703125" style="16"/>
    <col min="1537" max="1537" width="4.5703125" style="16" customWidth="1"/>
    <col min="1538" max="1538" width="50" style="16" customWidth="1"/>
    <col min="1539" max="1539" width="6.42578125" style="16" bestFit="1" customWidth="1"/>
    <col min="1540" max="1541" width="8.5703125" style="16" customWidth="1"/>
    <col min="1542" max="1542" width="11.42578125" style="16" bestFit="1" customWidth="1"/>
    <col min="1543" max="1543" width="7.5703125" style="16" bestFit="1" customWidth="1"/>
    <col min="1544" max="1544" width="11.5703125" style="16" bestFit="1"/>
    <col min="1545" max="1545" width="8" style="16" bestFit="1" customWidth="1"/>
    <col min="1546" max="1546" width="11.5703125" style="16" bestFit="1"/>
    <col min="1547" max="1547" width="8.42578125" style="16" bestFit="1" customWidth="1"/>
    <col min="1548" max="1548" width="11.5703125" style="16" bestFit="1"/>
    <col min="1549" max="1549" width="8.42578125" style="16" customWidth="1"/>
    <col min="1550" max="1550" width="7.42578125" style="16" bestFit="1" customWidth="1"/>
    <col min="1551" max="1551" width="11.5703125" style="16" bestFit="1"/>
    <col min="1552" max="1552" width="8.42578125" style="16" customWidth="1"/>
    <col min="1553" max="1553" width="13" style="16" bestFit="1" customWidth="1"/>
    <col min="1554" max="1792" width="11.5703125" style="16"/>
    <col min="1793" max="1793" width="4.5703125" style="16" customWidth="1"/>
    <col min="1794" max="1794" width="50" style="16" customWidth="1"/>
    <col min="1795" max="1795" width="6.42578125" style="16" bestFit="1" customWidth="1"/>
    <col min="1796" max="1797" width="8.5703125" style="16" customWidth="1"/>
    <col min="1798" max="1798" width="11.42578125" style="16" bestFit="1" customWidth="1"/>
    <col min="1799" max="1799" width="7.5703125" style="16" bestFit="1" customWidth="1"/>
    <col min="1800" max="1800" width="11.5703125" style="16" bestFit="1"/>
    <col min="1801" max="1801" width="8" style="16" bestFit="1" customWidth="1"/>
    <col min="1802" max="1802" width="11.5703125" style="16" bestFit="1"/>
    <col min="1803" max="1803" width="8.42578125" style="16" bestFit="1" customWidth="1"/>
    <col min="1804" max="1804" width="11.5703125" style="16" bestFit="1"/>
    <col min="1805" max="1805" width="8.42578125" style="16" customWidth="1"/>
    <col min="1806" max="1806" width="7.42578125" style="16" bestFit="1" customWidth="1"/>
    <col min="1807" max="1807" width="11.5703125" style="16" bestFit="1"/>
    <col min="1808" max="1808" width="8.42578125" style="16" customWidth="1"/>
    <col min="1809" max="1809" width="13" style="16" bestFit="1" customWidth="1"/>
    <col min="1810" max="2048" width="11.5703125" style="16"/>
    <col min="2049" max="2049" width="4.5703125" style="16" customWidth="1"/>
    <col min="2050" max="2050" width="50" style="16" customWidth="1"/>
    <col min="2051" max="2051" width="6.42578125" style="16" bestFit="1" customWidth="1"/>
    <col min="2052" max="2053" width="8.5703125" style="16" customWidth="1"/>
    <col min="2054" max="2054" width="11.42578125" style="16" bestFit="1" customWidth="1"/>
    <col min="2055" max="2055" width="7.5703125" style="16" bestFit="1" customWidth="1"/>
    <col min="2056" max="2056" width="11.5703125" style="16" bestFit="1"/>
    <col min="2057" max="2057" width="8" style="16" bestFit="1" customWidth="1"/>
    <col min="2058" max="2058" width="11.5703125" style="16" bestFit="1"/>
    <col min="2059" max="2059" width="8.42578125" style="16" bestFit="1" customWidth="1"/>
    <col min="2060" max="2060" width="11.5703125" style="16" bestFit="1"/>
    <col min="2061" max="2061" width="8.42578125" style="16" customWidth="1"/>
    <col min="2062" max="2062" width="7.42578125" style="16" bestFit="1" customWidth="1"/>
    <col min="2063" max="2063" width="11.5703125" style="16" bestFit="1"/>
    <col min="2064" max="2064" width="8.42578125" style="16" customWidth="1"/>
    <col min="2065" max="2065" width="13" style="16" bestFit="1" customWidth="1"/>
    <col min="2066" max="2304" width="11.5703125" style="16"/>
    <col min="2305" max="2305" width="4.5703125" style="16" customWidth="1"/>
    <col min="2306" max="2306" width="50" style="16" customWidth="1"/>
    <col min="2307" max="2307" width="6.42578125" style="16" bestFit="1" customWidth="1"/>
    <col min="2308" max="2309" width="8.5703125" style="16" customWidth="1"/>
    <col min="2310" max="2310" width="11.42578125" style="16" bestFit="1" customWidth="1"/>
    <col min="2311" max="2311" width="7.5703125" style="16" bestFit="1" customWidth="1"/>
    <col min="2312" max="2312" width="11.5703125" style="16" bestFit="1"/>
    <col min="2313" max="2313" width="8" style="16" bestFit="1" customWidth="1"/>
    <col min="2314" max="2314" width="11.5703125" style="16" bestFit="1"/>
    <col min="2315" max="2315" width="8.42578125" style="16" bestFit="1" customWidth="1"/>
    <col min="2316" max="2316" width="11.5703125" style="16" bestFit="1"/>
    <col min="2317" max="2317" width="8.42578125" style="16" customWidth="1"/>
    <col min="2318" max="2318" width="7.42578125" style="16" bestFit="1" customWidth="1"/>
    <col min="2319" max="2319" width="11.5703125" style="16" bestFit="1"/>
    <col min="2320" max="2320" width="8.42578125" style="16" customWidth="1"/>
    <col min="2321" max="2321" width="13" style="16" bestFit="1" customWidth="1"/>
    <col min="2322" max="2560" width="11.5703125" style="16"/>
    <col min="2561" max="2561" width="4.5703125" style="16" customWidth="1"/>
    <col min="2562" max="2562" width="50" style="16" customWidth="1"/>
    <col min="2563" max="2563" width="6.42578125" style="16" bestFit="1" customWidth="1"/>
    <col min="2564" max="2565" width="8.5703125" style="16" customWidth="1"/>
    <col min="2566" max="2566" width="11.42578125" style="16" bestFit="1" customWidth="1"/>
    <col min="2567" max="2567" width="7.5703125" style="16" bestFit="1" customWidth="1"/>
    <col min="2568" max="2568" width="11.5703125" style="16" bestFit="1"/>
    <col min="2569" max="2569" width="8" style="16" bestFit="1" customWidth="1"/>
    <col min="2570" max="2570" width="11.5703125" style="16" bestFit="1"/>
    <col min="2571" max="2571" width="8.42578125" style="16" bestFit="1" customWidth="1"/>
    <col min="2572" max="2572" width="11.5703125" style="16" bestFit="1"/>
    <col min="2573" max="2573" width="8.42578125" style="16" customWidth="1"/>
    <col min="2574" max="2574" width="7.42578125" style="16" bestFit="1" customWidth="1"/>
    <col min="2575" max="2575" width="11.5703125" style="16" bestFit="1"/>
    <col min="2576" max="2576" width="8.42578125" style="16" customWidth="1"/>
    <col min="2577" max="2577" width="13" style="16" bestFit="1" customWidth="1"/>
    <col min="2578" max="2816" width="11.5703125" style="16"/>
    <col min="2817" max="2817" width="4.5703125" style="16" customWidth="1"/>
    <col min="2818" max="2818" width="50" style="16" customWidth="1"/>
    <col min="2819" max="2819" width="6.42578125" style="16" bestFit="1" customWidth="1"/>
    <col min="2820" max="2821" width="8.5703125" style="16" customWidth="1"/>
    <col min="2822" max="2822" width="11.42578125" style="16" bestFit="1" customWidth="1"/>
    <col min="2823" max="2823" width="7.5703125" style="16" bestFit="1" customWidth="1"/>
    <col min="2824" max="2824" width="11.5703125" style="16" bestFit="1"/>
    <col min="2825" max="2825" width="8" style="16" bestFit="1" customWidth="1"/>
    <col min="2826" max="2826" width="11.5703125" style="16" bestFit="1"/>
    <col min="2827" max="2827" width="8.42578125" style="16" bestFit="1" customWidth="1"/>
    <col min="2828" max="2828" width="11.5703125" style="16" bestFit="1"/>
    <col min="2829" max="2829" width="8.42578125" style="16" customWidth="1"/>
    <col min="2830" max="2830" width="7.42578125" style="16" bestFit="1" customWidth="1"/>
    <col min="2831" max="2831" width="11.5703125" style="16" bestFit="1"/>
    <col min="2832" max="2832" width="8.42578125" style="16" customWidth="1"/>
    <col min="2833" max="2833" width="13" style="16" bestFit="1" customWidth="1"/>
    <col min="2834" max="3072" width="11.5703125" style="16"/>
    <col min="3073" max="3073" width="4.5703125" style="16" customWidth="1"/>
    <col min="3074" max="3074" width="50" style="16" customWidth="1"/>
    <col min="3075" max="3075" width="6.42578125" style="16" bestFit="1" customWidth="1"/>
    <col min="3076" max="3077" width="8.5703125" style="16" customWidth="1"/>
    <col min="3078" max="3078" width="11.42578125" style="16" bestFit="1" customWidth="1"/>
    <col min="3079" max="3079" width="7.5703125" style="16" bestFit="1" customWidth="1"/>
    <col min="3080" max="3080" width="11.5703125" style="16" bestFit="1"/>
    <col min="3081" max="3081" width="8" style="16" bestFit="1" customWidth="1"/>
    <col min="3082" max="3082" width="11.5703125" style="16" bestFit="1"/>
    <col min="3083" max="3083" width="8.42578125" style="16" bestFit="1" customWidth="1"/>
    <col min="3084" max="3084" width="11.5703125" style="16" bestFit="1"/>
    <col min="3085" max="3085" width="8.42578125" style="16" customWidth="1"/>
    <col min="3086" max="3086" width="7.42578125" style="16" bestFit="1" customWidth="1"/>
    <col min="3087" max="3087" width="11.5703125" style="16" bestFit="1"/>
    <col min="3088" max="3088" width="8.42578125" style="16" customWidth="1"/>
    <col min="3089" max="3089" width="13" style="16" bestFit="1" customWidth="1"/>
    <col min="3090" max="3328" width="11.5703125" style="16"/>
    <col min="3329" max="3329" width="4.5703125" style="16" customWidth="1"/>
    <col min="3330" max="3330" width="50" style="16" customWidth="1"/>
    <col min="3331" max="3331" width="6.42578125" style="16" bestFit="1" customWidth="1"/>
    <col min="3332" max="3333" width="8.5703125" style="16" customWidth="1"/>
    <col min="3334" max="3334" width="11.42578125" style="16" bestFit="1" customWidth="1"/>
    <col min="3335" max="3335" width="7.5703125" style="16" bestFit="1" customWidth="1"/>
    <col min="3336" max="3336" width="11.5703125" style="16" bestFit="1"/>
    <col min="3337" max="3337" width="8" style="16" bestFit="1" customWidth="1"/>
    <col min="3338" max="3338" width="11.5703125" style="16" bestFit="1"/>
    <col min="3339" max="3339" width="8.42578125" style="16" bestFit="1" customWidth="1"/>
    <col min="3340" max="3340" width="11.5703125" style="16" bestFit="1"/>
    <col min="3341" max="3341" width="8.42578125" style="16" customWidth="1"/>
    <col min="3342" max="3342" width="7.42578125" style="16" bestFit="1" customWidth="1"/>
    <col min="3343" max="3343" width="11.5703125" style="16" bestFit="1"/>
    <col min="3344" max="3344" width="8.42578125" style="16" customWidth="1"/>
    <col min="3345" max="3345" width="13" style="16" bestFit="1" customWidth="1"/>
    <col min="3346" max="3584" width="11.5703125" style="16"/>
    <col min="3585" max="3585" width="4.5703125" style="16" customWidth="1"/>
    <col min="3586" max="3586" width="50" style="16" customWidth="1"/>
    <col min="3587" max="3587" width="6.42578125" style="16" bestFit="1" customWidth="1"/>
    <col min="3588" max="3589" width="8.5703125" style="16" customWidth="1"/>
    <col min="3590" max="3590" width="11.42578125" style="16" bestFit="1" customWidth="1"/>
    <col min="3591" max="3591" width="7.5703125" style="16" bestFit="1" customWidth="1"/>
    <col min="3592" max="3592" width="11.5703125" style="16" bestFit="1"/>
    <col min="3593" max="3593" width="8" style="16" bestFit="1" customWidth="1"/>
    <col min="3594" max="3594" width="11.5703125" style="16" bestFit="1"/>
    <col min="3595" max="3595" width="8.42578125" style="16" bestFit="1" customWidth="1"/>
    <col min="3596" max="3596" width="11.5703125" style="16" bestFit="1"/>
    <col min="3597" max="3597" width="8.42578125" style="16" customWidth="1"/>
    <col min="3598" max="3598" width="7.42578125" style="16" bestFit="1" customWidth="1"/>
    <col min="3599" max="3599" width="11.5703125" style="16" bestFit="1"/>
    <col min="3600" max="3600" width="8.42578125" style="16" customWidth="1"/>
    <col min="3601" max="3601" width="13" style="16" bestFit="1" customWidth="1"/>
    <col min="3602" max="3840" width="11.5703125" style="16"/>
    <col min="3841" max="3841" width="4.5703125" style="16" customWidth="1"/>
    <col min="3842" max="3842" width="50" style="16" customWidth="1"/>
    <col min="3843" max="3843" width="6.42578125" style="16" bestFit="1" customWidth="1"/>
    <col min="3844" max="3845" width="8.5703125" style="16" customWidth="1"/>
    <col min="3846" max="3846" width="11.42578125" style="16" bestFit="1" customWidth="1"/>
    <col min="3847" max="3847" width="7.5703125" style="16" bestFit="1" customWidth="1"/>
    <col min="3848" max="3848" width="11.5703125" style="16" bestFit="1"/>
    <col min="3849" max="3849" width="8" style="16" bestFit="1" customWidth="1"/>
    <col min="3850" max="3850" width="11.5703125" style="16" bestFit="1"/>
    <col min="3851" max="3851" width="8.42578125" style="16" bestFit="1" customWidth="1"/>
    <col min="3852" max="3852" width="11.5703125" style="16" bestFit="1"/>
    <col min="3853" max="3853" width="8.42578125" style="16" customWidth="1"/>
    <col min="3854" max="3854" width="7.42578125" style="16" bestFit="1" customWidth="1"/>
    <col min="3855" max="3855" width="11.5703125" style="16" bestFit="1"/>
    <col min="3856" max="3856" width="8.42578125" style="16" customWidth="1"/>
    <col min="3857" max="3857" width="13" style="16" bestFit="1" customWidth="1"/>
    <col min="3858" max="4096" width="11.5703125" style="16"/>
    <col min="4097" max="4097" width="4.5703125" style="16" customWidth="1"/>
    <col min="4098" max="4098" width="50" style="16" customWidth="1"/>
    <col min="4099" max="4099" width="6.42578125" style="16" bestFit="1" customWidth="1"/>
    <col min="4100" max="4101" width="8.5703125" style="16" customWidth="1"/>
    <col min="4102" max="4102" width="11.42578125" style="16" bestFit="1" customWidth="1"/>
    <col min="4103" max="4103" width="7.5703125" style="16" bestFit="1" customWidth="1"/>
    <col min="4104" max="4104" width="11.5703125" style="16" bestFit="1"/>
    <col min="4105" max="4105" width="8" style="16" bestFit="1" customWidth="1"/>
    <col min="4106" max="4106" width="11.5703125" style="16" bestFit="1"/>
    <col min="4107" max="4107" width="8.42578125" style="16" bestFit="1" customWidth="1"/>
    <col min="4108" max="4108" width="11.5703125" style="16" bestFit="1"/>
    <col min="4109" max="4109" width="8.42578125" style="16" customWidth="1"/>
    <col min="4110" max="4110" width="7.42578125" style="16" bestFit="1" customWidth="1"/>
    <col min="4111" max="4111" width="11.5703125" style="16" bestFit="1"/>
    <col min="4112" max="4112" width="8.42578125" style="16" customWidth="1"/>
    <col min="4113" max="4113" width="13" style="16" bestFit="1" customWidth="1"/>
    <col min="4114" max="4352" width="11.5703125" style="16"/>
    <col min="4353" max="4353" width="4.5703125" style="16" customWidth="1"/>
    <col min="4354" max="4354" width="50" style="16" customWidth="1"/>
    <col min="4355" max="4355" width="6.42578125" style="16" bestFit="1" customWidth="1"/>
    <col min="4356" max="4357" width="8.5703125" style="16" customWidth="1"/>
    <col min="4358" max="4358" width="11.42578125" style="16" bestFit="1" customWidth="1"/>
    <col min="4359" max="4359" width="7.5703125" style="16" bestFit="1" customWidth="1"/>
    <col min="4360" max="4360" width="11.5703125" style="16" bestFit="1"/>
    <col min="4361" max="4361" width="8" style="16" bestFit="1" customWidth="1"/>
    <col min="4362" max="4362" width="11.5703125" style="16" bestFit="1"/>
    <col min="4363" max="4363" width="8.42578125" style="16" bestFit="1" customWidth="1"/>
    <col min="4364" max="4364" width="11.5703125" style="16" bestFit="1"/>
    <col min="4365" max="4365" width="8.42578125" style="16" customWidth="1"/>
    <col min="4366" max="4366" width="7.42578125" style="16" bestFit="1" customWidth="1"/>
    <col min="4367" max="4367" width="11.5703125" style="16" bestFit="1"/>
    <col min="4368" max="4368" width="8.42578125" style="16" customWidth="1"/>
    <col min="4369" max="4369" width="13" style="16" bestFit="1" customWidth="1"/>
    <col min="4370" max="4608" width="11.5703125" style="16"/>
    <col min="4609" max="4609" width="4.5703125" style="16" customWidth="1"/>
    <col min="4610" max="4610" width="50" style="16" customWidth="1"/>
    <col min="4611" max="4611" width="6.42578125" style="16" bestFit="1" customWidth="1"/>
    <col min="4612" max="4613" width="8.5703125" style="16" customWidth="1"/>
    <col min="4614" max="4614" width="11.42578125" style="16" bestFit="1" customWidth="1"/>
    <col min="4615" max="4615" width="7.5703125" style="16" bestFit="1" customWidth="1"/>
    <col min="4616" max="4616" width="11.5703125" style="16" bestFit="1"/>
    <col min="4617" max="4617" width="8" style="16" bestFit="1" customWidth="1"/>
    <col min="4618" max="4618" width="11.5703125" style="16" bestFit="1"/>
    <col min="4619" max="4619" width="8.42578125" style="16" bestFit="1" customWidth="1"/>
    <col min="4620" max="4620" width="11.5703125" style="16" bestFit="1"/>
    <col min="4621" max="4621" width="8.42578125" style="16" customWidth="1"/>
    <col min="4622" max="4622" width="7.42578125" style="16" bestFit="1" customWidth="1"/>
    <col min="4623" max="4623" width="11.5703125" style="16" bestFit="1"/>
    <col min="4624" max="4624" width="8.42578125" style="16" customWidth="1"/>
    <col min="4625" max="4625" width="13" style="16" bestFit="1" customWidth="1"/>
    <col min="4626" max="4864" width="11.5703125" style="16"/>
    <col min="4865" max="4865" width="4.5703125" style="16" customWidth="1"/>
    <col min="4866" max="4866" width="50" style="16" customWidth="1"/>
    <col min="4867" max="4867" width="6.42578125" style="16" bestFit="1" customWidth="1"/>
    <col min="4868" max="4869" width="8.5703125" style="16" customWidth="1"/>
    <col min="4870" max="4870" width="11.42578125" style="16" bestFit="1" customWidth="1"/>
    <col min="4871" max="4871" width="7.5703125" style="16" bestFit="1" customWidth="1"/>
    <col min="4872" max="4872" width="11.5703125" style="16" bestFit="1"/>
    <col min="4873" max="4873" width="8" style="16" bestFit="1" customWidth="1"/>
    <col min="4874" max="4874" width="11.5703125" style="16" bestFit="1"/>
    <col min="4875" max="4875" width="8.42578125" style="16" bestFit="1" customWidth="1"/>
    <col min="4876" max="4876" width="11.5703125" style="16" bestFit="1"/>
    <col min="4877" max="4877" width="8.42578125" style="16" customWidth="1"/>
    <col min="4878" max="4878" width="7.42578125" style="16" bestFit="1" customWidth="1"/>
    <col min="4879" max="4879" width="11.5703125" style="16" bestFit="1"/>
    <col min="4880" max="4880" width="8.42578125" style="16" customWidth="1"/>
    <col min="4881" max="4881" width="13" style="16" bestFit="1" customWidth="1"/>
    <col min="4882" max="5120" width="11.5703125" style="16"/>
    <col min="5121" max="5121" width="4.5703125" style="16" customWidth="1"/>
    <col min="5122" max="5122" width="50" style="16" customWidth="1"/>
    <col min="5123" max="5123" width="6.42578125" style="16" bestFit="1" customWidth="1"/>
    <col min="5124" max="5125" width="8.5703125" style="16" customWidth="1"/>
    <col min="5126" max="5126" width="11.42578125" style="16" bestFit="1" customWidth="1"/>
    <col min="5127" max="5127" width="7.5703125" style="16" bestFit="1" customWidth="1"/>
    <col min="5128" max="5128" width="11.5703125" style="16" bestFit="1"/>
    <col min="5129" max="5129" width="8" style="16" bestFit="1" customWidth="1"/>
    <col min="5130" max="5130" width="11.5703125" style="16" bestFit="1"/>
    <col min="5131" max="5131" width="8.42578125" style="16" bestFit="1" customWidth="1"/>
    <col min="5132" max="5132" width="11.5703125" style="16" bestFit="1"/>
    <col min="5133" max="5133" width="8.42578125" style="16" customWidth="1"/>
    <col min="5134" max="5134" width="7.42578125" style="16" bestFit="1" customWidth="1"/>
    <col min="5135" max="5135" width="11.5703125" style="16" bestFit="1"/>
    <col min="5136" max="5136" width="8.42578125" style="16" customWidth="1"/>
    <col min="5137" max="5137" width="13" style="16" bestFit="1" customWidth="1"/>
    <col min="5138" max="5376" width="11.5703125" style="16"/>
    <col min="5377" max="5377" width="4.5703125" style="16" customWidth="1"/>
    <col min="5378" max="5378" width="50" style="16" customWidth="1"/>
    <col min="5379" max="5379" width="6.42578125" style="16" bestFit="1" customWidth="1"/>
    <col min="5380" max="5381" width="8.5703125" style="16" customWidth="1"/>
    <col min="5382" max="5382" width="11.42578125" style="16" bestFit="1" customWidth="1"/>
    <col min="5383" max="5383" width="7.5703125" style="16" bestFit="1" customWidth="1"/>
    <col min="5384" max="5384" width="11.5703125" style="16" bestFit="1"/>
    <col min="5385" max="5385" width="8" style="16" bestFit="1" customWidth="1"/>
    <col min="5386" max="5386" width="11.5703125" style="16" bestFit="1"/>
    <col min="5387" max="5387" width="8.42578125" style="16" bestFit="1" customWidth="1"/>
    <col min="5388" max="5388" width="11.5703125" style="16" bestFit="1"/>
    <col min="5389" max="5389" width="8.42578125" style="16" customWidth="1"/>
    <col min="5390" max="5390" width="7.42578125" style="16" bestFit="1" customWidth="1"/>
    <col min="5391" max="5391" width="11.5703125" style="16" bestFit="1"/>
    <col min="5392" max="5392" width="8.42578125" style="16" customWidth="1"/>
    <col min="5393" max="5393" width="13" style="16" bestFit="1" customWidth="1"/>
    <col min="5394" max="5632" width="11.5703125" style="16"/>
    <col min="5633" max="5633" width="4.5703125" style="16" customWidth="1"/>
    <col min="5634" max="5634" width="50" style="16" customWidth="1"/>
    <col min="5635" max="5635" width="6.42578125" style="16" bestFit="1" customWidth="1"/>
    <col min="5636" max="5637" width="8.5703125" style="16" customWidth="1"/>
    <col min="5638" max="5638" width="11.42578125" style="16" bestFit="1" customWidth="1"/>
    <col min="5639" max="5639" width="7.5703125" style="16" bestFit="1" customWidth="1"/>
    <col min="5640" max="5640" width="11.5703125" style="16" bestFit="1"/>
    <col min="5641" max="5641" width="8" style="16" bestFit="1" customWidth="1"/>
    <col min="5642" max="5642" width="11.5703125" style="16" bestFit="1"/>
    <col min="5643" max="5643" width="8.42578125" style="16" bestFit="1" customWidth="1"/>
    <col min="5644" max="5644" width="11.5703125" style="16" bestFit="1"/>
    <col min="5645" max="5645" width="8.42578125" style="16" customWidth="1"/>
    <col min="5646" max="5646" width="7.42578125" style="16" bestFit="1" customWidth="1"/>
    <col min="5647" max="5647" width="11.5703125" style="16" bestFit="1"/>
    <col min="5648" max="5648" width="8.42578125" style="16" customWidth="1"/>
    <col min="5649" max="5649" width="13" style="16" bestFit="1" customWidth="1"/>
    <col min="5650" max="5888" width="11.5703125" style="16"/>
    <col min="5889" max="5889" width="4.5703125" style="16" customWidth="1"/>
    <col min="5890" max="5890" width="50" style="16" customWidth="1"/>
    <col min="5891" max="5891" width="6.42578125" style="16" bestFit="1" customWidth="1"/>
    <col min="5892" max="5893" width="8.5703125" style="16" customWidth="1"/>
    <col min="5894" max="5894" width="11.42578125" style="16" bestFit="1" customWidth="1"/>
    <col min="5895" max="5895" width="7.5703125" style="16" bestFit="1" customWidth="1"/>
    <col min="5896" max="5896" width="11.5703125" style="16" bestFit="1"/>
    <col min="5897" max="5897" width="8" style="16" bestFit="1" customWidth="1"/>
    <col min="5898" max="5898" width="11.5703125" style="16" bestFit="1"/>
    <col min="5899" max="5899" width="8.42578125" style="16" bestFit="1" customWidth="1"/>
    <col min="5900" max="5900" width="11.5703125" style="16" bestFit="1"/>
    <col min="5901" max="5901" width="8.42578125" style="16" customWidth="1"/>
    <col min="5902" max="5902" width="7.42578125" style="16" bestFit="1" customWidth="1"/>
    <col min="5903" max="5903" width="11.5703125" style="16" bestFit="1"/>
    <col min="5904" max="5904" width="8.42578125" style="16" customWidth="1"/>
    <col min="5905" max="5905" width="13" style="16" bestFit="1" customWidth="1"/>
    <col min="5906" max="6144" width="11.5703125" style="16"/>
    <col min="6145" max="6145" width="4.5703125" style="16" customWidth="1"/>
    <col min="6146" max="6146" width="50" style="16" customWidth="1"/>
    <col min="6147" max="6147" width="6.42578125" style="16" bestFit="1" customWidth="1"/>
    <col min="6148" max="6149" width="8.5703125" style="16" customWidth="1"/>
    <col min="6150" max="6150" width="11.42578125" style="16" bestFit="1" customWidth="1"/>
    <col min="6151" max="6151" width="7.5703125" style="16" bestFit="1" customWidth="1"/>
    <col min="6152" max="6152" width="11.5703125" style="16" bestFit="1"/>
    <col min="6153" max="6153" width="8" style="16" bestFit="1" customWidth="1"/>
    <col min="6154" max="6154" width="11.5703125" style="16" bestFit="1"/>
    <col min="6155" max="6155" width="8.42578125" style="16" bestFit="1" customWidth="1"/>
    <col min="6156" max="6156" width="11.5703125" style="16" bestFit="1"/>
    <col min="6157" max="6157" width="8.42578125" style="16" customWidth="1"/>
    <col min="6158" max="6158" width="7.42578125" style="16" bestFit="1" customWidth="1"/>
    <col min="6159" max="6159" width="11.5703125" style="16" bestFit="1"/>
    <col min="6160" max="6160" width="8.42578125" style="16" customWidth="1"/>
    <col min="6161" max="6161" width="13" style="16" bestFit="1" customWidth="1"/>
    <col min="6162" max="6400" width="11.5703125" style="16"/>
    <col min="6401" max="6401" width="4.5703125" style="16" customWidth="1"/>
    <col min="6402" max="6402" width="50" style="16" customWidth="1"/>
    <col min="6403" max="6403" width="6.42578125" style="16" bestFit="1" customWidth="1"/>
    <col min="6404" max="6405" width="8.5703125" style="16" customWidth="1"/>
    <col min="6406" max="6406" width="11.42578125" style="16" bestFit="1" customWidth="1"/>
    <col min="6407" max="6407" width="7.5703125" style="16" bestFit="1" customWidth="1"/>
    <col min="6408" max="6408" width="11.5703125" style="16" bestFit="1"/>
    <col min="6409" max="6409" width="8" style="16" bestFit="1" customWidth="1"/>
    <col min="6410" max="6410" width="11.5703125" style="16" bestFit="1"/>
    <col min="6411" max="6411" width="8.42578125" style="16" bestFit="1" customWidth="1"/>
    <col min="6412" max="6412" width="11.5703125" style="16" bestFit="1"/>
    <col min="6413" max="6413" width="8.42578125" style="16" customWidth="1"/>
    <col min="6414" max="6414" width="7.42578125" style="16" bestFit="1" customWidth="1"/>
    <col min="6415" max="6415" width="11.5703125" style="16" bestFit="1"/>
    <col min="6416" max="6416" width="8.42578125" style="16" customWidth="1"/>
    <col min="6417" max="6417" width="13" style="16" bestFit="1" customWidth="1"/>
    <col min="6418" max="6656" width="11.5703125" style="16"/>
    <col min="6657" max="6657" width="4.5703125" style="16" customWidth="1"/>
    <col min="6658" max="6658" width="50" style="16" customWidth="1"/>
    <col min="6659" max="6659" width="6.42578125" style="16" bestFit="1" customWidth="1"/>
    <col min="6660" max="6661" width="8.5703125" style="16" customWidth="1"/>
    <col min="6662" max="6662" width="11.42578125" style="16" bestFit="1" customWidth="1"/>
    <col min="6663" max="6663" width="7.5703125" style="16" bestFit="1" customWidth="1"/>
    <col min="6664" max="6664" width="11.5703125" style="16" bestFit="1"/>
    <col min="6665" max="6665" width="8" style="16" bestFit="1" customWidth="1"/>
    <col min="6666" max="6666" width="11.5703125" style="16" bestFit="1"/>
    <col min="6667" max="6667" width="8.42578125" style="16" bestFit="1" customWidth="1"/>
    <col min="6668" max="6668" width="11.5703125" style="16" bestFit="1"/>
    <col min="6669" max="6669" width="8.42578125" style="16" customWidth="1"/>
    <col min="6670" max="6670" width="7.42578125" style="16" bestFit="1" customWidth="1"/>
    <col min="6671" max="6671" width="11.5703125" style="16" bestFit="1"/>
    <col min="6672" max="6672" width="8.42578125" style="16" customWidth="1"/>
    <col min="6673" max="6673" width="13" style="16" bestFit="1" customWidth="1"/>
    <col min="6674" max="6912" width="11.5703125" style="16"/>
    <col min="6913" max="6913" width="4.5703125" style="16" customWidth="1"/>
    <col min="6914" max="6914" width="50" style="16" customWidth="1"/>
    <col min="6915" max="6915" width="6.42578125" style="16" bestFit="1" customWidth="1"/>
    <col min="6916" max="6917" width="8.5703125" style="16" customWidth="1"/>
    <col min="6918" max="6918" width="11.42578125" style="16" bestFit="1" customWidth="1"/>
    <col min="6919" max="6919" width="7.5703125" style="16" bestFit="1" customWidth="1"/>
    <col min="6920" max="6920" width="11.5703125" style="16" bestFit="1"/>
    <col min="6921" max="6921" width="8" style="16" bestFit="1" customWidth="1"/>
    <col min="6922" max="6922" width="11.5703125" style="16" bestFit="1"/>
    <col min="6923" max="6923" width="8.42578125" style="16" bestFit="1" customWidth="1"/>
    <col min="6924" max="6924" width="11.5703125" style="16" bestFit="1"/>
    <col min="6925" max="6925" width="8.42578125" style="16" customWidth="1"/>
    <col min="6926" max="6926" width="7.42578125" style="16" bestFit="1" customWidth="1"/>
    <col min="6927" max="6927" width="11.5703125" style="16" bestFit="1"/>
    <col min="6928" max="6928" width="8.42578125" style="16" customWidth="1"/>
    <col min="6929" max="6929" width="13" style="16" bestFit="1" customWidth="1"/>
    <col min="6930" max="7168" width="11.5703125" style="16"/>
    <col min="7169" max="7169" width="4.5703125" style="16" customWidth="1"/>
    <col min="7170" max="7170" width="50" style="16" customWidth="1"/>
    <col min="7171" max="7171" width="6.42578125" style="16" bestFit="1" customWidth="1"/>
    <col min="7172" max="7173" width="8.5703125" style="16" customWidth="1"/>
    <col min="7174" max="7174" width="11.42578125" style="16" bestFit="1" customWidth="1"/>
    <col min="7175" max="7175" width="7.5703125" style="16" bestFit="1" customWidth="1"/>
    <col min="7176" max="7176" width="11.5703125" style="16" bestFit="1"/>
    <col min="7177" max="7177" width="8" style="16" bestFit="1" customWidth="1"/>
    <col min="7178" max="7178" width="11.5703125" style="16" bestFit="1"/>
    <col min="7179" max="7179" width="8.42578125" style="16" bestFit="1" customWidth="1"/>
    <col min="7180" max="7180" width="11.5703125" style="16" bestFit="1"/>
    <col min="7181" max="7181" width="8.42578125" style="16" customWidth="1"/>
    <col min="7182" max="7182" width="7.42578125" style="16" bestFit="1" customWidth="1"/>
    <col min="7183" max="7183" width="11.5703125" style="16" bestFit="1"/>
    <col min="7184" max="7184" width="8.42578125" style="16" customWidth="1"/>
    <col min="7185" max="7185" width="13" style="16" bestFit="1" customWidth="1"/>
    <col min="7186" max="7424" width="11.5703125" style="16"/>
    <col min="7425" max="7425" width="4.5703125" style="16" customWidth="1"/>
    <col min="7426" max="7426" width="50" style="16" customWidth="1"/>
    <col min="7427" max="7427" width="6.42578125" style="16" bestFit="1" customWidth="1"/>
    <col min="7428" max="7429" width="8.5703125" style="16" customWidth="1"/>
    <col min="7430" max="7430" width="11.42578125" style="16" bestFit="1" customWidth="1"/>
    <col min="7431" max="7431" width="7.5703125" style="16" bestFit="1" customWidth="1"/>
    <col min="7432" max="7432" width="11.5703125" style="16" bestFit="1"/>
    <col min="7433" max="7433" width="8" style="16" bestFit="1" customWidth="1"/>
    <col min="7434" max="7434" width="11.5703125" style="16" bestFit="1"/>
    <col min="7435" max="7435" width="8.42578125" style="16" bestFit="1" customWidth="1"/>
    <col min="7436" max="7436" width="11.5703125" style="16" bestFit="1"/>
    <col min="7437" max="7437" width="8.42578125" style="16" customWidth="1"/>
    <col min="7438" max="7438" width="7.42578125" style="16" bestFit="1" customWidth="1"/>
    <col min="7439" max="7439" width="11.5703125" style="16" bestFit="1"/>
    <col min="7440" max="7440" width="8.42578125" style="16" customWidth="1"/>
    <col min="7441" max="7441" width="13" style="16" bestFit="1" customWidth="1"/>
    <col min="7442" max="7680" width="11.5703125" style="16"/>
    <col min="7681" max="7681" width="4.5703125" style="16" customWidth="1"/>
    <col min="7682" max="7682" width="50" style="16" customWidth="1"/>
    <col min="7683" max="7683" width="6.42578125" style="16" bestFit="1" customWidth="1"/>
    <col min="7684" max="7685" width="8.5703125" style="16" customWidth="1"/>
    <col min="7686" max="7686" width="11.42578125" style="16" bestFit="1" customWidth="1"/>
    <col min="7687" max="7687" width="7.5703125" style="16" bestFit="1" customWidth="1"/>
    <col min="7688" max="7688" width="11.5703125" style="16" bestFit="1"/>
    <col min="7689" max="7689" width="8" style="16" bestFit="1" customWidth="1"/>
    <col min="7690" max="7690" width="11.5703125" style="16" bestFit="1"/>
    <col min="7691" max="7691" width="8.42578125" style="16" bestFit="1" customWidth="1"/>
    <col min="7692" max="7692" width="11.5703125" style="16" bestFit="1"/>
    <col min="7693" max="7693" width="8.42578125" style="16" customWidth="1"/>
    <col min="7694" max="7694" width="7.42578125" style="16" bestFit="1" customWidth="1"/>
    <col min="7695" max="7695" width="11.5703125" style="16" bestFit="1"/>
    <col min="7696" max="7696" width="8.42578125" style="16" customWidth="1"/>
    <col min="7697" max="7697" width="13" style="16" bestFit="1" customWidth="1"/>
    <col min="7698" max="7936" width="11.5703125" style="16"/>
    <col min="7937" max="7937" width="4.5703125" style="16" customWidth="1"/>
    <col min="7938" max="7938" width="50" style="16" customWidth="1"/>
    <col min="7939" max="7939" width="6.42578125" style="16" bestFit="1" customWidth="1"/>
    <col min="7940" max="7941" width="8.5703125" style="16" customWidth="1"/>
    <col min="7942" max="7942" width="11.42578125" style="16" bestFit="1" customWidth="1"/>
    <col min="7943" max="7943" width="7.5703125" style="16" bestFit="1" customWidth="1"/>
    <col min="7944" max="7944" width="11.5703125" style="16" bestFit="1"/>
    <col min="7945" max="7945" width="8" style="16" bestFit="1" customWidth="1"/>
    <col min="7946" max="7946" width="11.5703125" style="16" bestFit="1"/>
    <col min="7947" max="7947" width="8.42578125" style="16" bestFit="1" customWidth="1"/>
    <col min="7948" max="7948" width="11.5703125" style="16" bestFit="1"/>
    <col min="7949" max="7949" width="8.42578125" style="16" customWidth="1"/>
    <col min="7950" max="7950" width="7.42578125" style="16" bestFit="1" customWidth="1"/>
    <col min="7951" max="7951" width="11.5703125" style="16" bestFit="1"/>
    <col min="7952" max="7952" width="8.42578125" style="16" customWidth="1"/>
    <col min="7953" max="7953" width="13" style="16" bestFit="1" customWidth="1"/>
    <col min="7954" max="8192" width="11.5703125" style="16"/>
    <col min="8193" max="8193" width="4.5703125" style="16" customWidth="1"/>
    <col min="8194" max="8194" width="50" style="16" customWidth="1"/>
    <col min="8195" max="8195" width="6.42578125" style="16" bestFit="1" customWidth="1"/>
    <col min="8196" max="8197" width="8.5703125" style="16" customWidth="1"/>
    <col min="8198" max="8198" width="11.42578125" style="16" bestFit="1" customWidth="1"/>
    <col min="8199" max="8199" width="7.5703125" style="16" bestFit="1" customWidth="1"/>
    <col min="8200" max="8200" width="11.5703125" style="16" bestFit="1"/>
    <col min="8201" max="8201" width="8" style="16" bestFit="1" customWidth="1"/>
    <col min="8202" max="8202" width="11.5703125" style="16" bestFit="1"/>
    <col min="8203" max="8203" width="8.42578125" style="16" bestFit="1" customWidth="1"/>
    <col min="8204" max="8204" width="11.5703125" style="16" bestFit="1"/>
    <col min="8205" max="8205" width="8.42578125" style="16" customWidth="1"/>
    <col min="8206" max="8206" width="7.42578125" style="16" bestFit="1" customWidth="1"/>
    <col min="8207" max="8207" width="11.5703125" style="16" bestFit="1"/>
    <col min="8208" max="8208" width="8.42578125" style="16" customWidth="1"/>
    <col min="8209" max="8209" width="13" style="16" bestFit="1" customWidth="1"/>
    <col min="8210" max="8448" width="11.5703125" style="16"/>
    <col min="8449" max="8449" width="4.5703125" style="16" customWidth="1"/>
    <col min="8450" max="8450" width="50" style="16" customWidth="1"/>
    <col min="8451" max="8451" width="6.42578125" style="16" bestFit="1" customWidth="1"/>
    <col min="8452" max="8453" width="8.5703125" style="16" customWidth="1"/>
    <col min="8454" max="8454" width="11.42578125" style="16" bestFit="1" customWidth="1"/>
    <col min="8455" max="8455" width="7.5703125" style="16" bestFit="1" customWidth="1"/>
    <col min="8456" max="8456" width="11.5703125" style="16" bestFit="1"/>
    <col min="8457" max="8457" width="8" style="16" bestFit="1" customWidth="1"/>
    <col min="8458" max="8458" width="11.5703125" style="16" bestFit="1"/>
    <col min="8459" max="8459" width="8.42578125" style="16" bestFit="1" customWidth="1"/>
    <col min="8460" max="8460" width="11.5703125" style="16" bestFit="1"/>
    <col min="8461" max="8461" width="8.42578125" style="16" customWidth="1"/>
    <col min="8462" max="8462" width="7.42578125" style="16" bestFit="1" customWidth="1"/>
    <col min="8463" max="8463" width="11.5703125" style="16" bestFit="1"/>
    <col min="8464" max="8464" width="8.42578125" style="16" customWidth="1"/>
    <col min="8465" max="8465" width="13" style="16" bestFit="1" customWidth="1"/>
    <col min="8466" max="8704" width="11.5703125" style="16"/>
    <col min="8705" max="8705" width="4.5703125" style="16" customWidth="1"/>
    <col min="8706" max="8706" width="50" style="16" customWidth="1"/>
    <col min="8707" max="8707" width="6.42578125" style="16" bestFit="1" customWidth="1"/>
    <col min="8708" max="8709" width="8.5703125" style="16" customWidth="1"/>
    <col min="8710" max="8710" width="11.42578125" style="16" bestFit="1" customWidth="1"/>
    <col min="8711" max="8711" width="7.5703125" style="16" bestFit="1" customWidth="1"/>
    <col min="8712" max="8712" width="11.5703125" style="16" bestFit="1"/>
    <col min="8713" max="8713" width="8" style="16" bestFit="1" customWidth="1"/>
    <col min="8714" max="8714" width="11.5703125" style="16" bestFit="1"/>
    <col min="8715" max="8715" width="8.42578125" style="16" bestFit="1" customWidth="1"/>
    <col min="8716" max="8716" width="11.5703125" style="16" bestFit="1"/>
    <col min="8717" max="8717" width="8.42578125" style="16" customWidth="1"/>
    <col min="8718" max="8718" width="7.42578125" style="16" bestFit="1" customWidth="1"/>
    <col min="8719" max="8719" width="11.5703125" style="16" bestFit="1"/>
    <col min="8720" max="8720" width="8.42578125" style="16" customWidth="1"/>
    <col min="8721" max="8721" width="13" style="16" bestFit="1" customWidth="1"/>
    <col min="8722" max="8960" width="11.5703125" style="16"/>
    <col min="8961" max="8961" width="4.5703125" style="16" customWidth="1"/>
    <col min="8962" max="8962" width="50" style="16" customWidth="1"/>
    <col min="8963" max="8963" width="6.42578125" style="16" bestFit="1" customWidth="1"/>
    <col min="8964" max="8965" width="8.5703125" style="16" customWidth="1"/>
    <col min="8966" max="8966" width="11.42578125" style="16" bestFit="1" customWidth="1"/>
    <col min="8967" max="8967" width="7.5703125" style="16" bestFit="1" customWidth="1"/>
    <col min="8968" max="8968" width="11.5703125" style="16" bestFit="1"/>
    <col min="8969" max="8969" width="8" style="16" bestFit="1" customWidth="1"/>
    <col min="8970" max="8970" width="11.5703125" style="16" bestFit="1"/>
    <col min="8971" max="8971" width="8.42578125" style="16" bestFit="1" customWidth="1"/>
    <col min="8972" max="8972" width="11.5703125" style="16" bestFit="1"/>
    <col min="8973" max="8973" width="8.42578125" style="16" customWidth="1"/>
    <col min="8974" max="8974" width="7.42578125" style="16" bestFit="1" customWidth="1"/>
    <col min="8975" max="8975" width="11.5703125" style="16" bestFit="1"/>
    <col min="8976" max="8976" width="8.42578125" style="16" customWidth="1"/>
    <col min="8977" max="8977" width="13" style="16" bestFit="1" customWidth="1"/>
    <col min="8978" max="9216" width="11.5703125" style="16"/>
    <col min="9217" max="9217" width="4.5703125" style="16" customWidth="1"/>
    <col min="9218" max="9218" width="50" style="16" customWidth="1"/>
    <col min="9219" max="9219" width="6.42578125" style="16" bestFit="1" customWidth="1"/>
    <col min="9220" max="9221" width="8.5703125" style="16" customWidth="1"/>
    <col min="9222" max="9222" width="11.42578125" style="16" bestFit="1" customWidth="1"/>
    <col min="9223" max="9223" width="7.5703125" style="16" bestFit="1" customWidth="1"/>
    <col min="9224" max="9224" width="11.5703125" style="16" bestFit="1"/>
    <col min="9225" max="9225" width="8" style="16" bestFit="1" customWidth="1"/>
    <col min="9226" max="9226" width="11.5703125" style="16" bestFit="1"/>
    <col min="9227" max="9227" width="8.42578125" style="16" bestFit="1" customWidth="1"/>
    <col min="9228" max="9228" width="11.5703125" style="16" bestFit="1"/>
    <col min="9229" max="9229" width="8.42578125" style="16" customWidth="1"/>
    <col min="9230" max="9230" width="7.42578125" style="16" bestFit="1" customWidth="1"/>
    <col min="9231" max="9231" width="11.5703125" style="16" bestFit="1"/>
    <col min="9232" max="9232" width="8.42578125" style="16" customWidth="1"/>
    <col min="9233" max="9233" width="13" style="16" bestFit="1" customWidth="1"/>
    <col min="9234" max="9472" width="11.5703125" style="16"/>
    <col min="9473" max="9473" width="4.5703125" style="16" customWidth="1"/>
    <col min="9474" max="9474" width="50" style="16" customWidth="1"/>
    <col min="9475" max="9475" width="6.42578125" style="16" bestFit="1" customWidth="1"/>
    <col min="9476" max="9477" width="8.5703125" style="16" customWidth="1"/>
    <col min="9478" max="9478" width="11.42578125" style="16" bestFit="1" customWidth="1"/>
    <col min="9479" max="9479" width="7.5703125" style="16" bestFit="1" customWidth="1"/>
    <col min="9480" max="9480" width="11.5703125" style="16" bestFit="1"/>
    <col min="9481" max="9481" width="8" style="16" bestFit="1" customWidth="1"/>
    <col min="9482" max="9482" width="11.5703125" style="16" bestFit="1"/>
    <col min="9483" max="9483" width="8.42578125" style="16" bestFit="1" customWidth="1"/>
    <col min="9484" max="9484" width="11.5703125" style="16" bestFit="1"/>
    <col min="9485" max="9485" width="8.42578125" style="16" customWidth="1"/>
    <col min="9486" max="9486" width="7.42578125" style="16" bestFit="1" customWidth="1"/>
    <col min="9487" max="9487" width="11.5703125" style="16" bestFit="1"/>
    <col min="9488" max="9488" width="8.42578125" style="16" customWidth="1"/>
    <col min="9489" max="9489" width="13" style="16" bestFit="1" customWidth="1"/>
    <col min="9490" max="9728" width="11.5703125" style="16"/>
    <col min="9729" max="9729" width="4.5703125" style="16" customWidth="1"/>
    <col min="9730" max="9730" width="50" style="16" customWidth="1"/>
    <col min="9731" max="9731" width="6.42578125" style="16" bestFit="1" customWidth="1"/>
    <col min="9732" max="9733" width="8.5703125" style="16" customWidth="1"/>
    <col min="9734" max="9734" width="11.42578125" style="16" bestFit="1" customWidth="1"/>
    <col min="9735" max="9735" width="7.5703125" style="16" bestFit="1" customWidth="1"/>
    <col min="9736" max="9736" width="11.5703125" style="16" bestFit="1"/>
    <col min="9737" max="9737" width="8" style="16" bestFit="1" customWidth="1"/>
    <col min="9738" max="9738" width="11.5703125" style="16" bestFit="1"/>
    <col min="9739" max="9739" width="8.42578125" style="16" bestFit="1" customWidth="1"/>
    <col min="9740" max="9740" width="11.5703125" style="16" bestFit="1"/>
    <col min="9741" max="9741" width="8.42578125" style="16" customWidth="1"/>
    <col min="9742" max="9742" width="7.42578125" style="16" bestFit="1" customWidth="1"/>
    <col min="9743" max="9743" width="11.5703125" style="16" bestFit="1"/>
    <col min="9744" max="9744" width="8.42578125" style="16" customWidth="1"/>
    <col min="9745" max="9745" width="13" style="16" bestFit="1" customWidth="1"/>
    <col min="9746" max="9984" width="11.5703125" style="16"/>
    <col min="9985" max="9985" width="4.5703125" style="16" customWidth="1"/>
    <col min="9986" max="9986" width="50" style="16" customWidth="1"/>
    <col min="9987" max="9987" width="6.42578125" style="16" bestFit="1" customWidth="1"/>
    <col min="9988" max="9989" width="8.5703125" style="16" customWidth="1"/>
    <col min="9990" max="9990" width="11.42578125" style="16" bestFit="1" customWidth="1"/>
    <col min="9991" max="9991" width="7.5703125" style="16" bestFit="1" customWidth="1"/>
    <col min="9992" max="9992" width="11.5703125" style="16" bestFit="1"/>
    <col min="9993" max="9993" width="8" style="16" bestFit="1" customWidth="1"/>
    <col min="9994" max="9994" width="11.5703125" style="16" bestFit="1"/>
    <col min="9995" max="9995" width="8.42578125" style="16" bestFit="1" customWidth="1"/>
    <col min="9996" max="9996" width="11.5703125" style="16" bestFit="1"/>
    <col min="9997" max="9997" width="8.42578125" style="16" customWidth="1"/>
    <col min="9998" max="9998" width="7.42578125" style="16" bestFit="1" customWidth="1"/>
    <col min="9999" max="9999" width="11.5703125" style="16" bestFit="1"/>
    <col min="10000" max="10000" width="8.42578125" style="16" customWidth="1"/>
    <col min="10001" max="10001" width="13" style="16" bestFit="1" customWidth="1"/>
    <col min="10002" max="10240" width="11.5703125" style="16"/>
    <col min="10241" max="10241" width="4.5703125" style="16" customWidth="1"/>
    <col min="10242" max="10242" width="50" style="16" customWidth="1"/>
    <col min="10243" max="10243" width="6.42578125" style="16" bestFit="1" customWidth="1"/>
    <col min="10244" max="10245" width="8.5703125" style="16" customWidth="1"/>
    <col min="10246" max="10246" width="11.42578125" style="16" bestFit="1" customWidth="1"/>
    <col min="10247" max="10247" width="7.5703125" style="16" bestFit="1" customWidth="1"/>
    <col min="10248" max="10248" width="11.5703125" style="16" bestFit="1"/>
    <col min="10249" max="10249" width="8" style="16" bestFit="1" customWidth="1"/>
    <col min="10250" max="10250" width="11.5703125" style="16" bestFit="1"/>
    <col min="10251" max="10251" width="8.42578125" style="16" bestFit="1" customWidth="1"/>
    <col min="10252" max="10252" width="11.5703125" style="16" bestFit="1"/>
    <col min="10253" max="10253" width="8.42578125" style="16" customWidth="1"/>
    <col min="10254" max="10254" width="7.42578125" style="16" bestFit="1" customWidth="1"/>
    <col min="10255" max="10255" width="11.5703125" style="16" bestFit="1"/>
    <col min="10256" max="10256" width="8.42578125" style="16" customWidth="1"/>
    <col min="10257" max="10257" width="13" style="16" bestFit="1" customWidth="1"/>
    <col min="10258" max="10496" width="11.5703125" style="16"/>
    <col min="10497" max="10497" width="4.5703125" style="16" customWidth="1"/>
    <col min="10498" max="10498" width="50" style="16" customWidth="1"/>
    <col min="10499" max="10499" width="6.42578125" style="16" bestFit="1" customWidth="1"/>
    <col min="10500" max="10501" width="8.5703125" style="16" customWidth="1"/>
    <col min="10502" max="10502" width="11.42578125" style="16" bestFit="1" customWidth="1"/>
    <col min="10503" max="10503" width="7.5703125" style="16" bestFit="1" customWidth="1"/>
    <col min="10504" max="10504" width="11.5703125" style="16" bestFit="1"/>
    <col min="10505" max="10505" width="8" style="16" bestFit="1" customWidth="1"/>
    <col min="10506" max="10506" width="11.5703125" style="16" bestFit="1"/>
    <col min="10507" max="10507" width="8.42578125" style="16" bestFit="1" customWidth="1"/>
    <col min="10508" max="10508" width="11.5703125" style="16" bestFit="1"/>
    <col min="10509" max="10509" width="8.42578125" style="16" customWidth="1"/>
    <col min="10510" max="10510" width="7.42578125" style="16" bestFit="1" customWidth="1"/>
    <col min="10511" max="10511" width="11.5703125" style="16" bestFit="1"/>
    <col min="10512" max="10512" width="8.42578125" style="16" customWidth="1"/>
    <col min="10513" max="10513" width="13" style="16" bestFit="1" customWidth="1"/>
    <col min="10514" max="10752" width="11.5703125" style="16"/>
    <col min="10753" max="10753" width="4.5703125" style="16" customWidth="1"/>
    <col min="10754" max="10754" width="50" style="16" customWidth="1"/>
    <col min="10755" max="10755" width="6.42578125" style="16" bestFit="1" customWidth="1"/>
    <col min="10756" max="10757" width="8.5703125" style="16" customWidth="1"/>
    <col min="10758" max="10758" width="11.42578125" style="16" bestFit="1" customWidth="1"/>
    <col min="10759" max="10759" width="7.5703125" style="16" bestFit="1" customWidth="1"/>
    <col min="10760" max="10760" width="11.5703125" style="16" bestFit="1"/>
    <col min="10761" max="10761" width="8" style="16" bestFit="1" customWidth="1"/>
    <col min="10762" max="10762" width="11.5703125" style="16" bestFit="1"/>
    <col min="10763" max="10763" width="8.42578125" style="16" bestFit="1" customWidth="1"/>
    <col min="10764" max="10764" width="11.5703125" style="16" bestFit="1"/>
    <col min="10765" max="10765" width="8.42578125" style="16" customWidth="1"/>
    <col min="10766" max="10766" width="7.42578125" style="16" bestFit="1" customWidth="1"/>
    <col min="10767" max="10767" width="11.5703125" style="16" bestFit="1"/>
    <col min="10768" max="10768" width="8.42578125" style="16" customWidth="1"/>
    <col min="10769" max="10769" width="13" style="16" bestFit="1" customWidth="1"/>
    <col min="10770" max="11008" width="11.5703125" style="16"/>
    <col min="11009" max="11009" width="4.5703125" style="16" customWidth="1"/>
    <col min="11010" max="11010" width="50" style="16" customWidth="1"/>
    <col min="11011" max="11011" width="6.42578125" style="16" bestFit="1" customWidth="1"/>
    <col min="11012" max="11013" width="8.5703125" style="16" customWidth="1"/>
    <col min="11014" max="11014" width="11.42578125" style="16" bestFit="1" customWidth="1"/>
    <col min="11015" max="11015" width="7.5703125" style="16" bestFit="1" customWidth="1"/>
    <col min="11016" max="11016" width="11.5703125" style="16" bestFit="1"/>
    <col min="11017" max="11017" width="8" style="16" bestFit="1" customWidth="1"/>
    <col min="11018" max="11018" width="11.5703125" style="16" bestFit="1"/>
    <col min="11019" max="11019" width="8.42578125" style="16" bestFit="1" customWidth="1"/>
    <col min="11020" max="11020" width="11.5703125" style="16" bestFit="1"/>
    <col min="11021" max="11021" width="8.42578125" style="16" customWidth="1"/>
    <col min="11022" max="11022" width="7.42578125" style="16" bestFit="1" customWidth="1"/>
    <col min="11023" max="11023" width="11.5703125" style="16" bestFit="1"/>
    <col min="11024" max="11024" width="8.42578125" style="16" customWidth="1"/>
    <col min="11025" max="11025" width="13" style="16" bestFit="1" customWidth="1"/>
    <col min="11026" max="11264" width="11.5703125" style="16"/>
    <col min="11265" max="11265" width="4.5703125" style="16" customWidth="1"/>
    <col min="11266" max="11266" width="50" style="16" customWidth="1"/>
    <col min="11267" max="11267" width="6.42578125" style="16" bestFit="1" customWidth="1"/>
    <col min="11268" max="11269" width="8.5703125" style="16" customWidth="1"/>
    <col min="11270" max="11270" width="11.42578125" style="16" bestFit="1" customWidth="1"/>
    <col min="11271" max="11271" width="7.5703125" style="16" bestFit="1" customWidth="1"/>
    <col min="11272" max="11272" width="11.5703125" style="16" bestFit="1"/>
    <col min="11273" max="11273" width="8" style="16" bestFit="1" customWidth="1"/>
    <col min="11274" max="11274" width="11.5703125" style="16" bestFit="1"/>
    <col min="11275" max="11275" width="8.42578125" style="16" bestFit="1" customWidth="1"/>
    <col min="11276" max="11276" width="11.5703125" style="16" bestFit="1"/>
    <col min="11277" max="11277" width="8.42578125" style="16" customWidth="1"/>
    <col min="11278" max="11278" width="7.42578125" style="16" bestFit="1" customWidth="1"/>
    <col min="11279" max="11279" width="11.5703125" style="16" bestFit="1"/>
    <col min="11280" max="11280" width="8.42578125" style="16" customWidth="1"/>
    <col min="11281" max="11281" width="13" style="16" bestFit="1" customWidth="1"/>
    <col min="11282" max="11520" width="11.5703125" style="16"/>
    <col min="11521" max="11521" width="4.5703125" style="16" customWidth="1"/>
    <col min="11522" max="11522" width="50" style="16" customWidth="1"/>
    <col min="11523" max="11523" width="6.42578125" style="16" bestFit="1" customWidth="1"/>
    <col min="11524" max="11525" width="8.5703125" style="16" customWidth="1"/>
    <col min="11526" max="11526" width="11.42578125" style="16" bestFit="1" customWidth="1"/>
    <col min="11527" max="11527" width="7.5703125" style="16" bestFit="1" customWidth="1"/>
    <col min="11528" max="11528" width="11.5703125" style="16" bestFit="1"/>
    <col min="11529" max="11529" width="8" style="16" bestFit="1" customWidth="1"/>
    <col min="11530" max="11530" width="11.5703125" style="16" bestFit="1"/>
    <col min="11531" max="11531" width="8.42578125" style="16" bestFit="1" customWidth="1"/>
    <col min="11532" max="11532" width="11.5703125" style="16" bestFit="1"/>
    <col min="11533" max="11533" width="8.42578125" style="16" customWidth="1"/>
    <col min="11534" max="11534" width="7.42578125" style="16" bestFit="1" customWidth="1"/>
    <col min="11535" max="11535" width="11.5703125" style="16" bestFit="1"/>
    <col min="11536" max="11536" width="8.42578125" style="16" customWidth="1"/>
    <col min="11537" max="11537" width="13" style="16" bestFit="1" customWidth="1"/>
    <col min="11538" max="11776" width="11.5703125" style="16"/>
    <col min="11777" max="11777" width="4.5703125" style="16" customWidth="1"/>
    <col min="11778" max="11778" width="50" style="16" customWidth="1"/>
    <col min="11779" max="11779" width="6.42578125" style="16" bestFit="1" customWidth="1"/>
    <col min="11780" max="11781" width="8.5703125" style="16" customWidth="1"/>
    <col min="11782" max="11782" width="11.42578125" style="16" bestFit="1" customWidth="1"/>
    <col min="11783" max="11783" width="7.5703125" style="16" bestFit="1" customWidth="1"/>
    <col min="11784" max="11784" width="11.5703125" style="16" bestFit="1"/>
    <col min="11785" max="11785" width="8" style="16" bestFit="1" customWidth="1"/>
    <col min="11786" max="11786" width="11.5703125" style="16" bestFit="1"/>
    <col min="11787" max="11787" width="8.42578125" style="16" bestFit="1" customWidth="1"/>
    <col min="11788" max="11788" width="11.5703125" style="16" bestFit="1"/>
    <col min="11789" max="11789" width="8.42578125" style="16" customWidth="1"/>
    <col min="11790" max="11790" width="7.42578125" style="16" bestFit="1" customWidth="1"/>
    <col min="11791" max="11791" width="11.5703125" style="16" bestFit="1"/>
    <col min="11792" max="11792" width="8.42578125" style="16" customWidth="1"/>
    <col min="11793" max="11793" width="13" style="16" bestFit="1" customWidth="1"/>
    <col min="11794" max="12032" width="11.5703125" style="16"/>
    <col min="12033" max="12033" width="4.5703125" style="16" customWidth="1"/>
    <col min="12034" max="12034" width="50" style="16" customWidth="1"/>
    <col min="12035" max="12035" width="6.42578125" style="16" bestFit="1" customWidth="1"/>
    <col min="12036" max="12037" width="8.5703125" style="16" customWidth="1"/>
    <col min="12038" max="12038" width="11.42578125" style="16" bestFit="1" customWidth="1"/>
    <col min="12039" max="12039" width="7.5703125" style="16" bestFit="1" customWidth="1"/>
    <col min="12040" max="12040" width="11.5703125" style="16" bestFit="1"/>
    <col min="12041" max="12041" width="8" style="16" bestFit="1" customWidth="1"/>
    <col min="12042" max="12042" width="11.5703125" style="16" bestFit="1"/>
    <col min="12043" max="12043" width="8.42578125" style="16" bestFit="1" customWidth="1"/>
    <col min="12044" max="12044" width="11.5703125" style="16" bestFit="1"/>
    <col min="12045" max="12045" width="8.42578125" style="16" customWidth="1"/>
    <col min="12046" max="12046" width="7.42578125" style="16" bestFit="1" customWidth="1"/>
    <col min="12047" max="12047" width="11.5703125" style="16" bestFit="1"/>
    <col min="12048" max="12048" width="8.42578125" style="16" customWidth="1"/>
    <col min="12049" max="12049" width="13" style="16" bestFit="1" customWidth="1"/>
    <col min="12050" max="12288" width="11.5703125" style="16"/>
    <col min="12289" max="12289" width="4.5703125" style="16" customWidth="1"/>
    <col min="12290" max="12290" width="50" style="16" customWidth="1"/>
    <col min="12291" max="12291" width="6.42578125" style="16" bestFit="1" customWidth="1"/>
    <col min="12292" max="12293" width="8.5703125" style="16" customWidth="1"/>
    <col min="12294" max="12294" width="11.42578125" style="16" bestFit="1" customWidth="1"/>
    <col min="12295" max="12295" width="7.5703125" style="16" bestFit="1" customWidth="1"/>
    <col min="12296" max="12296" width="11.5703125" style="16" bestFit="1"/>
    <col min="12297" max="12297" width="8" style="16" bestFit="1" customWidth="1"/>
    <col min="12298" max="12298" width="11.5703125" style="16" bestFit="1"/>
    <col min="12299" max="12299" width="8.42578125" style="16" bestFit="1" customWidth="1"/>
    <col min="12300" max="12300" width="11.5703125" style="16" bestFit="1"/>
    <col min="12301" max="12301" width="8.42578125" style="16" customWidth="1"/>
    <col min="12302" max="12302" width="7.42578125" style="16" bestFit="1" customWidth="1"/>
    <col min="12303" max="12303" width="11.5703125" style="16" bestFit="1"/>
    <col min="12304" max="12304" width="8.42578125" style="16" customWidth="1"/>
    <col min="12305" max="12305" width="13" style="16" bestFit="1" customWidth="1"/>
    <col min="12306" max="12544" width="11.5703125" style="16"/>
    <col min="12545" max="12545" width="4.5703125" style="16" customWidth="1"/>
    <col min="12546" max="12546" width="50" style="16" customWidth="1"/>
    <col min="12547" max="12547" width="6.42578125" style="16" bestFit="1" customWidth="1"/>
    <col min="12548" max="12549" width="8.5703125" style="16" customWidth="1"/>
    <col min="12550" max="12550" width="11.42578125" style="16" bestFit="1" customWidth="1"/>
    <col min="12551" max="12551" width="7.5703125" style="16" bestFit="1" customWidth="1"/>
    <col min="12552" max="12552" width="11.5703125" style="16" bestFit="1"/>
    <col min="12553" max="12553" width="8" style="16" bestFit="1" customWidth="1"/>
    <col min="12554" max="12554" width="11.5703125" style="16" bestFit="1"/>
    <col min="12555" max="12555" width="8.42578125" style="16" bestFit="1" customWidth="1"/>
    <col min="12556" max="12556" width="11.5703125" style="16" bestFit="1"/>
    <col min="12557" max="12557" width="8.42578125" style="16" customWidth="1"/>
    <col min="12558" max="12558" width="7.42578125" style="16" bestFit="1" customWidth="1"/>
    <col min="12559" max="12559" width="11.5703125" style="16" bestFit="1"/>
    <col min="12560" max="12560" width="8.42578125" style="16" customWidth="1"/>
    <col min="12561" max="12561" width="13" style="16" bestFit="1" customWidth="1"/>
    <col min="12562" max="12800" width="11.5703125" style="16"/>
    <col min="12801" max="12801" width="4.5703125" style="16" customWidth="1"/>
    <col min="12802" max="12802" width="50" style="16" customWidth="1"/>
    <col min="12803" max="12803" width="6.42578125" style="16" bestFit="1" customWidth="1"/>
    <col min="12804" max="12805" width="8.5703125" style="16" customWidth="1"/>
    <col min="12806" max="12806" width="11.42578125" style="16" bestFit="1" customWidth="1"/>
    <col min="12807" max="12807" width="7.5703125" style="16" bestFit="1" customWidth="1"/>
    <col min="12808" max="12808" width="11.5703125" style="16" bestFit="1"/>
    <col min="12809" max="12809" width="8" style="16" bestFit="1" customWidth="1"/>
    <col min="12810" max="12810" width="11.5703125" style="16" bestFit="1"/>
    <col min="12811" max="12811" width="8.42578125" style="16" bestFit="1" customWidth="1"/>
    <col min="12812" max="12812" width="11.5703125" style="16" bestFit="1"/>
    <col min="12813" max="12813" width="8.42578125" style="16" customWidth="1"/>
    <col min="12814" max="12814" width="7.42578125" style="16" bestFit="1" customWidth="1"/>
    <col min="12815" max="12815" width="11.5703125" style="16" bestFit="1"/>
    <col min="12816" max="12816" width="8.42578125" style="16" customWidth="1"/>
    <col min="12817" max="12817" width="13" style="16" bestFit="1" customWidth="1"/>
    <col min="12818" max="13056" width="11.5703125" style="16"/>
    <col min="13057" max="13057" width="4.5703125" style="16" customWidth="1"/>
    <col min="13058" max="13058" width="50" style="16" customWidth="1"/>
    <col min="13059" max="13059" width="6.42578125" style="16" bestFit="1" customWidth="1"/>
    <col min="13060" max="13061" width="8.5703125" style="16" customWidth="1"/>
    <col min="13062" max="13062" width="11.42578125" style="16" bestFit="1" customWidth="1"/>
    <col min="13063" max="13063" width="7.5703125" style="16" bestFit="1" customWidth="1"/>
    <col min="13064" max="13064" width="11.5703125" style="16" bestFit="1"/>
    <col min="13065" max="13065" width="8" style="16" bestFit="1" customWidth="1"/>
    <col min="13066" max="13066" width="11.5703125" style="16" bestFit="1"/>
    <col min="13067" max="13067" width="8.42578125" style="16" bestFit="1" customWidth="1"/>
    <col min="13068" max="13068" width="11.5703125" style="16" bestFit="1"/>
    <col min="13069" max="13069" width="8.42578125" style="16" customWidth="1"/>
    <col min="13070" max="13070" width="7.42578125" style="16" bestFit="1" customWidth="1"/>
    <col min="13071" max="13071" width="11.5703125" style="16" bestFit="1"/>
    <col min="13072" max="13072" width="8.42578125" style="16" customWidth="1"/>
    <col min="13073" max="13073" width="13" style="16" bestFit="1" customWidth="1"/>
    <col min="13074" max="13312" width="11.5703125" style="16"/>
    <col min="13313" max="13313" width="4.5703125" style="16" customWidth="1"/>
    <col min="13314" max="13314" width="50" style="16" customWidth="1"/>
    <col min="13315" max="13315" width="6.42578125" style="16" bestFit="1" customWidth="1"/>
    <col min="13316" max="13317" width="8.5703125" style="16" customWidth="1"/>
    <col min="13318" max="13318" width="11.42578125" style="16" bestFit="1" customWidth="1"/>
    <col min="13319" max="13319" width="7.5703125" style="16" bestFit="1" customWidth="1"/>
    <col min="13320" max="13320" width="11.5703125" style="16" bestFit="1"/>
    <col min="13321" max="13321" width="8" style="16" bestFit="1" customWidth="1"/>
    <col min="13322" max="13322" width="11.5703125" style="16" bestFit="1"/>
    <col min="13323" max="13323" width="8.42578125" style="16" bestFit="1" customWidth="1"/>
    <col min="13324" max="13324" width="11.5703125" style="16" bestFit="1"/>
    <col min="13325" max="13325" width="8.42578125" style="16" customWidth="1"/>
    <col min="13326" max="13326" width="7.42578125" style="16" bestFit="1" customWidth="1"/>
    <col min="13327" max="13327" width="11.5703125" style="16" bestFit="1"/>
    <col min="13328" max="13328" width="8.42578125" style="16" customWidth="1"/>
    <col min="13329" max="13329" width="13" style="16" bestFit="1" customWidth="1"/>
    <col min="13330" max="13568" width="11.5703125" style="16"/>
    <col min="13569" max="13569" width="4.5703125" style="16" customWidth="1"/>
    <col min="13570" max="13570" width="50" style="16" customWidth="1"/>
    <col min="13571" max="13571" width="6.42578125" style="16" bestFit="1" customWidth="1"/>
    <col min="13572" max="13573" width="8.5703125" style="16" customWidth="1"/>
    <col min="13574" max="13574" width="11.42578125" style="16" bestFit="1" customWidth="1"/>
    <col min="13575" max="13575" width="7.5703125" style="16" bestFit="1" customWidth="1"/>
    <col min="13576" max="13576" width="11.5703125" style="16" bestFit="1"/>
    <col min="13577" max="13577" width="8" style="16" bestFit="1" customWidth="1"/>
    <col min="13578" max="13578" width="11.5703125" style="16" bestFit="1"/>
    <col min="13579" max="13579" width="8.42578125" style="16" bestFit="1" customWidth="1"/>
    <col min="13580" max="13580" width="11.5703125" style="16" bestFit="1"/>
    <col min="13581" max="13581" width="8.42578125" style="16" customWidth="1"/>
    <col min="13582" max="13582" width="7.42578125" style="16" bestFit="1" customWidth="1"/>
    <col min="13583" max="13583" width="11.5703125" style="16" bestFit="1"/>
    <col min="13584" max="13584" width="8.42578125" style="16" customWidth="1"/>
    <col min="13585" max="13585" width="13" style="16" bestFit="1" customWidth="1"/>
    <col min="13586" max="13824" width="11.5703125" style="16"/>
    <col min="13825" max="13825" width="4.5703125" style="16" customWidth="1"/>
    <col min="13826" max="13826" width="50" style="16" customWidth="1"/>
    <col min="13827" max="13827" width="6.42578125" style="16" bestFit="1" customWidth="1"/>
    <col min="13828" max="13829" width="8.5703125" style="16" customWidth="1"/>
    <col min="13830" max="13830" width="11.42578125" style="16" bestFit="1" customWidth="1"/>
    <col min="13831" max="13831" width="7.5703125" style="16" bestFit="1" customWidth="1"/>
    <col min="13832" max="13832" width="11.5703125" style="16" bestFit="1"/>
    <col min="13833" max="13833" width="8" style="16" bestFit="1" customWidth="1"/>
    <col min="13834" max="13834" width="11.5703125" style="16" bestFit="1"/>
    <col min="13835" max="13835" width="8.42578125" style="16" bestFit="1" customWidth="1"/>
    <col min="13836" max="13836" width="11.5703125" style="16" bestFit="1"/>
    <col min="13837" max="13837" width="8.42578125" style="16" customWidth="1"/>
    <col min="13838" max="13838" width="7.42578125" style="16" bestFit="1" customWidth="1"/>
    <col min="13839" max="13839" width="11.5703125" style="16" bestFit="1"/>
    <col min="13840" max="13840" width="8.42578125" style="16" customWidth="1"/>
    <col min="13841" max="13841" width="13" style="16" bestFit="1" customWidth="1"/>
    <col min="13842" max="14080" width="11.5703125" style="16"/>
    <col min="14081" max="14081" width="4.5703125" style="16" customWidth="1"/>
    <col min="14082" max="14082" width="50" style="16" customWidth="1"/>
    <col min="14083" max="14083" width="6.42578125" style="16" bestFit="1" customWidth="1"/>
    <col min="14084" max="14085" width="8.5703125" style="16" customWidth="1"/>
    <col min="14086" max="14086" width="11.42578125" style="16" bestFit="1" customWidth="1"/>
    <col min="14087" max="14087" width="7.5703125" style="16" bestFit="1" customWidth="1"/>
    <col min="14088" max="14088" width="11.5703125" style="16" bestFit="1"/>
    <col min="14089" max="14089" width="8" style="16" bestFit="1" customWidth="1"/>
    <col min="14090" max="14090" width="11.5703125" style="16" bestFit="1"/>
    <col min="14091" max="14091" width="8.42578125" style="16" bestFit="1" customWidth="1"/>
    <col min="14092" max="14092" width="11.5703125" style="16" bestFit="1"/>
    <col min="14093" max="14093" width="8.42578125" style="16" customWidth="1"/>
    <col min="14094" max="14094" width="7.42578125" style="16" bestFit="1" customWidth="1"/>
    <col min="14095" max="14095" width="11.5703125" style="16" bestFit="1"/>
    <col min="14096" max="14096" width="8.42578125" style="16" customWidth="1"/>
    <col min="14097" max="14097" width="13" style="16" bestFit="1" customWidth="1"/>
    <col min="14098" max="14336" width="11.5703125" style="16"/>
    <col min="14337" max="14337" width="4.5703125" style="16" customWidth="1"/>
    <col min="14338" max="14338" width="50" style="16" customWidth="1"/>
    <col min="14339" max="14339" width="6.42578125" style="16" bestFit="1" customWidth="1"/>
    <col min="14340" max="14341" width="8.5703125" style="16" customWidth="1"/>
    <col min="14342" max="14342" width="11.42578125" style="16" bestFit="1" customWidth="1"/>
    <col min="14343" max="14343" width="7.5703125" style="16" bestFit="1" customWidth="1"/>
    <col min="14344" max="14344" width="11.5703125" style="16" bestFit="1"/>
    <col min="14345" max="14345" width="8" style="16" bestFit="1" customWidth="1"/>
    <col min="14346" max="14346" width="11.5703125" style="16" bestFit="1"/>
    <col min="14347" max="14347" width="8.42578125" style="16" bestFit="1" customWidth="1"/>
    <col min="14348" max="14348" width="11.5703125" style="16" bestFit="1"/>
    <col min="14349" max="14349" width="8.42578125" style="16" customWidth="1"/>
    <col min="14350" max="14350" width="7.42578125" style="16" bestFit="1" customWidth="1"/>
    <col min="14351" max="14351" width="11.5703125" style="16" bestFit="1"/>
    <col min="14352" max="14352" width="8.42578125" style="16" customWidth="1"/>
    <col min="14353" max="14353" width="13" style="16" bestFit="1" customWidth="1"/>
    <col min="14354" max="14592" width="11.5703125" style="16"/>
    <col min="14593" max="14593" width="4.5703125" style="16" customWidth="1"/>
    <col min="14594" max="14594" width="50" style="16" customWidth="1"/>
    <col min="14595" max="14595" width="6.42578125" style="16" bestFit="1" customWidth="1"/>
    <col min="14596" max="14597" width="8.5703125" style="16" customWidth="1"/>
    <col min="14598" max="14598" width="11.42578125" style="16" bestFit="1" customWidth="1"/>
    <col min="14599" max="14599" width="7.5703125" style="16" bestFit="1" customWidth="1"/>
    <col min="14600" max="14600" width="11.5703125" style="16" bestFit="1"/>
    <col min="14601" max="14601" width="8" style="16" bestFit="1" customWidth="1"/>
    <col min="14602" max="14602" width="11.5703125" style="16" bestFit="1"/>
    <col min="14603" max="14603" width="8.42578125" style="16" bestFit="1" customWidth="1"/>
    <col min="14604" max="14604" width="11.5703125" style="16" bestFit="1"/>
    <col min="14605" max="14605" width="8.42578125" style="16" customWidth="1"/>
    <col min="14606" max="14606" width="7.42578125" style="16" bestFit="1" customWidth="1"/>
    <col min="14607" max="14607" width="11.5703125" style="16" bestFit="1"/>
    <col min="14608" max="14608" width="8.42578125" style="16" customWidth="1"/>
    <col min="14609" max="14609" width="13" style="16" bestFit="1" customWidth="1"/>
    <col min="14610" max="14848" width="11.5703125" style="16"/>
    <col min="14849" max="14849" width="4.5703125" style="16" customWidth="1"/>
    <col min="14850" max="14850" width="50" style="16" customWidth="1"/>
    <col min="14851" max="14851" width="6.42578125" style="16" bestFit="1" customWidth="1"/>
    <col min="14852" max="14853" width="8.5703125" style="16" customWidth="1"/>
    <col min="14854" max="14854" width="11.42578125" style="16" bestFit="1" customWidth="1"/>
    <col min="14855" max="14855" width="7.5703125" style="16" bestFit="1" customWidth="1"/>
    <col min="14856" max="14856" width="11.5703125" style="16" bestFit="1"/>
    <col min="14857" max="14857" width="8" style="16" bestFit="1" customWidth="1"/>
    <col min="14858" max="14858" width="11.5703125" style="16" bestFit="1"/>
    <col min="14859" max="14859" width="8.42578125" style="16" bestFit="1" customWidth="1"/>
    <col min="14860" max="14860" width="11.5703125" style="16" bestFit="1"/>
    <col min="14861" max="14861" width="8.42578125" style="16" customWidth="1"/>
    <col min="14862" max="14862" width="7.42578125" style="16" bestFit="1" customWidth="1"/>
    <col min="14863" max="14863" width="11.5703125" style="16" bestFit="1"/>
    <col min="14864" max="14864" width="8.42578125" style="16" customWidth="1"/>
    <col min="14865" max="14865" width="13" style="16" bestFit="1" customWidth="1"/>
    <col min="14866" max="15104" width="11.5703125" style="16"/>
    <col min="15105" max="15105" width="4.5703125" style="16" customWidth="1"/>
    <col min="15106" max="15106" width="50" style="16" customWidth="1"/>
    <col min="15107" max="15107" width="6.42578125" style="16" bestFit="1" customWidth="1"/>
    <col min="15108" max="15109" width="8.5703125" style="16" customWidth="1"/>
    <col min="15110" max="15110" width="11.42578125" style="16" bestFit="1" customWidth="1"/>
    <col min="15111" max="15111" width="7.5703125" style="16" bestFit="1" customWidth="1"/>
    <col min="15112" max="15112" width="11.5703125" style="16" bestFit="1"/>
    <col min="15113" max="15113" width="8" style="16" bestFit="1" customWidth="1"/>
    <col min="15114" max="15114" width="11.5703125" style="16" bestFit="1"/>
    <col min="15115" max="15115" width="8.42578125" style="16" bestFit="1" customWidth="1"/>
    <col min="15116" max="15116" width="11.5703125" style="16" bestFit="1"/>
    <col min="15117" max="15117" width="8.42578125" style="16" customWidth="1"/>
    <col min="15118" max="15118" width="7.42578125" style="16" bestFit="1" customWidth="1"/>
    <col min="15119" max="15119" width="11.5703125" style="16" bestFit="1"/>
    <col min="15120" max="15120" width="8.42578125" style="16" customWidth="1"/>
    <col min="15121" max="15121" width="13" style="16" bestFit="1" customWidth="1"/>
    <col min="15122" max="15360" width="11.5703125" style="16"/>
    <col min="15361" max="15361" width="4.5703125" style="16" customWidth="1"/>
    <col min="15362" max="15362" width="50" style="16" customWidth="1"/>
    <col min="15363" max="15363" width="6.42578125" style="16" bestFit="1" customWidth="1"/>
    <col min="15364" max="15365" width="8.5703125" style="16" customWidth="1"/>
    <col min="15366" max="15366" width="11.42578125" style="16" bestFit="1" customWidth="1"/>
    <col min="15367" max="15367" width="7.5703125" style="16" bestFit="1" customWidth="1"/>
    <col min="15368" max="15368" width="11.5703125" style="16" bestFit="1"/>
    <col min="15369" max="15369" width="8" style="16" bestFit="1" customWidth="1"/>
    <col min="15370" max="15370" width="11.5703125" style="16" bestFit="1"/>
    <col min="15371" max="15371" width="8.42578125" style="16" bestFit="1" customWidth="1"/>
    <col min="15372" max="15372" width="11.5703125" style="16" bestFit="1"/>
    <col min="15373" max="15373" width="8.42578125" style="16" customWidth="1"/>
    <col min="15374" max="15374" width="7.42578125" style="16" bestFit="1" customWidth="1"/>
    <col min="15375" max="15375" width="11.5703125" style="16" bestFit="1"/>
    <col min="15376" max="15376" width="8.42578125" style="16" customWidth="1"/>
    <col min="15377" max="15377" width="13" style="16" bestFit="1" customWidth="1"/>
    <col min="15378" max="15616" width="11.5703125" style="16"/>
    <col min="15617" max="15617" width="4.5703125" style="16" customWidth="1"/>
    <col min="15618" max="15618" width="50" style="16" customWidth="1"/>
    <col min="15619" max="15619" width="6.42578125" style="16" bestFit="1" customWidth="1"/>
    <col min="15620" max="15621" width="8.5703125" style="16" customWidth="1"/>
    <col min="15622" max="15622" width="11.42578125" style="16" bestFit="1" customWidth="1"/>
    <col min="15623" max="15623" width="7.5703125" style="16" bestFit="1" customWidth="1"/>
    <col min="15624" max="15624" width="11.5703125" style="16" bestFit="1"/>
    <col min="15625" max="15625" width="8" style="16" bestFit="1" customWidth="1"/>
    <col min="15626" max="15626" width="11.5703125" style="16" bestFit="1"/>
    <col min="15627" max="15627" width="8.42578125" style="16" bestFit="1" customWidth="1"/>
    <col min="15628" max="15628" width="11.5703125" style="16" bestFit="1"/>
    <col min="15629" max="15629" width="8.42578125" style="16" customWidth="1"/>
    <col min="15630" max="15630" width="7.42578125" style="16" bestFit="1" customWidth="1"/>
    <col min="15631" max="15631" width="11.5703125" style="16" bestFit="1"/>
    <col min="15632" max="15632" width="8.42578125" style="16" customWidth="1"/>
    <col min="15633" max="15633" width="13" style="16" bestFit="1" customWidth="1"/>
    <col min="15634" max="15872" width="11.5703125" style="16"/>
    <col min="15873" max="15873" width="4.5703125" style="16" customWidth="1"/>
    <col min="15874" max="15874" width="50" style="16" customWidth="1"/>
    <col min="15875" max="15875" width="6.42578125" style="16" bestFit="1" customWidth="1"/>
    <col min="15876" max="15877" width="8.5703125" style="16" customWidth="1"/>
    <col min="15878" max="15878" width="11.42578125" style="16" bestFit="1" customWidth="1"/>
    <col min="15879" max="15879" width="7.5703125" style="16" bestFit="1" customWidth="1"/>
    <col min="15880" max="15880" width="11.5703125" style="16" bestFit="1"/>
    <col min="15881" max="15881" width="8" style="16" bestFit="1" customWidth="1"/>
    <col min="15882" max="15882" width="11.5703125" style="16" bestFit="1"/>
    <col min="15883" max="15883" width="8.42578125" style="16" bestFit="1" customWidth="1"/>
    <col min="15884" max="15884" width="11.5703125" style="16" bestFit="1"/>
    <col min="15885" max="15885" width="8.42578125" style="16" customWidth="1"/>
    <col min="15886" max="15886" width="7.42578125" style="16" bestFit="1" customWidth="1"/>
    <col min="15887" max="15887" width="11.5703125" style="16" bestFit="1"/>
    <col min="15888" max="15888" width="8.42578125" style="16" customWidth="1"/>
    <col min="15889" max="15889" width="13" style="16" bestFit="1" customWidth="1"/>
    <col min="15890" max="16128" width="11.5703125" style="16"/>
    <col min="16129" max="16129" width="4.5703125" style="16" customWidth="1"/>
    <col min="16130" max="16130" width="50" style="16" customWidth="1"/>
    <col min="16131" max="16131" width="6.42578125" style="16" bestFit="1" customWidth="1"/>
    <col min="16132" max="16133" width="8.5703125" style="16" customWidth="1"/>
    <col min="16134" max="16134" width="11.42578125" style="16" bestFit="1" customWidth="1"/>
    <col min="16135" max="16135" width="7.5703125" style="16" bestFit="1" customWidth="1"/>
    <col min="16136" max="16136" width="11.5703125" style="16" bestFit="1"/>
    <col min="16137" max="16137" width="8" style="16" bestFit="1" customWidth="1"/>
    <col min="16138" max="16138" width="11.5703125" style="16" bestFit="1"/>
    <col min="16139" max="16139" width="8.42578125" style="16" bestFit="1" customWidth="1"/>
    <col min="16140" max="16140" width="11.5703125" style="16" bestFit="1"/>
    <col min="16141" max="16141" width="8.42578125" style="16" customWidth="1"/>
    <col min="16142" max="16142" width="7.42578125" style="16" bestFit="1" customWidth="1"/>
    <col min="16143" max="16143" width="11.5703125" style="16" bestFit="1"/>
    <col min="16144" max="16144" width="8.42578125" style="16" customWidth="1"/>
    <col min="16145" max="16145" width="13" style="16" bestFit="1" customWidth="1"/>
    <col min="16146" max="16384" width="11.5703125" style="16"/>
  </cols>
  <sheetData>
    <row r="1" spans="1:18" s="4" customFormat="1">
      <c r="B1" s="34"/>
      <c r="C1" s="73"/>
      <c r="E1" s="34" t="s">
        <v>12</v>
      </c>
    </row>
    <row r="2" spans="1:18" s="4" customFormat="1">
      <c r="B2" s="34"/>
      <c r="C2" s="73"/>
      <c r="D2" s="2166" t="s">
        <v>1947</v>
      </c>
      <c r="E2" s="2166"/>
      <c r="F2" s="2166"/>
      <c r="G2" s="2166"/>
      <c r="H2" s="2166"/>
    </row>
    <row r="3" spans="1:18" s="4" customFormat="1" ht="16.5" customHeight="1">
      <c r="A3" s="2166" t="str">
        <f>[27]VAL.PRINC!B3</f>
        <v>INFORME CORRESPONDIENTE AL MES DE JUNIO DEL 2017</v>
      </c>
      <c r="B3" s="2166"/>
      <c r="C3" s="2166"/>
      <c r="D3" s="2166"/>
      <c r="E3" s="2166"/>
      <c r="F3" s="2166"/>
      <c r="G3" s="2166"/>
      <c r="H3" s="2166"/>
      <c r="I3" s="2166"/>
      <c r="J3" s="2166"/>
      <c r="K3" s="2166"/>
      <c r="L3" s="2166"/>
      <c r="M3" s="2166"/>
      <c r="N3" s="2166"/>
      <c r="O3" s="2166"/>
      <c r="P3" s="2166"/>
    </row>
    <row r="4" spans="1:18" s="140" customFormat="1" ht="32.25" customHeight="1">
      <c r="A4" s="141"/>
      <c r="B4" s="142" t="s">
        <v>6</v>
      </c>
      <c r="C4" s="143" t="s">
        <v>4</v>
      </c>
      <c r="D4" s="2225" t="str">
        <f>[27]VAL.PRINC!D4</f>
        <v>“MEJORAMIENTO DEL SERVICIO EDUCATIVO DE NIVEL INICIAL EN LA IEI 1100 PICHIUCA PROVINCIA DE ABANCAY - REGIÓN APURÍMAC".</v>
      </c>
      <c r="E4" s="2225"/>
      <c r="F4" s="2225"/>
      <c r="G4" s="2225"/>
      <c r="H4" s="2225"/>
      <c r="I4" s="2225"/>
      <c r="J4" s="2225"/>
      <c r="K4" s="2225"/>
      <c r="L4" s="2225"/>
      <c r="M4" s="139" t="s">
        <v>13</v>
      </c>
      <c r="N4" s="139"/>
      <c r="O4" s="2171">
        <v>42920</v>
      </c>
      <c r="P4" s="2171"/>
    </row>
    <row r="5" spans="1:18" s="4" customFormat="1" ht="12.75" customHeight="1">
      <c r="A5" s="5"/>
      <c r="B5" s="9" t="s">
        <v>5</v>
      </c>
      <c r="C5" s="10" t="s">
        <v>4</v>
      </c>
      <c r="D5" s="11" t="str">
        <f>[27]VAL.PRINC!D5</f>
        <v>22 EDUCACION</v>
      </c>
      <c r="E5" s="5"/>
      <c r="F5" s="5"/>
      <c r="G5" s="5"/>
      <c r="H5" s="5"/>
      <c r="I5" s="5"/>
      <c r="J5" s="1"/>
      <c r="K5" s="1"/>
      <c r="L5" s="1"/>
      <c r="M5" s="2" t="s">
        <v>14</v>
      </c>
      <c r="O5" s="5"/>
      <c r="P5" s="268" t="str">
        <f>[27]VAL.PRINC!P5</f>
        <v>LAMBRAMA</v>
      </c>
    </row>
    <row r="6" spans="1:18" s="4" customFormat="1">
      <c r="A6" s="1"/>
      <c r="B6" s="9" t="s">
        <v>15</v>
      </c>
      <c r="C6" s="10" t="s">
        <v>4</v>
      </c>
      <c r="D6" s="11" t="str">
        <f>[27]VAL.PRINC!D6</f>
        <v>RECURSOS ORDINARIOS</v>
      </c>
      <c r="E6" s="1"/>
      <c r="F6" s="1"/>
      <c r="G6" s="1"/>
      <c r="H6" s="1"/>
      <c r="I6" s="1"/>
      <c r="J6" s="1"/>
      <c r="K6" s="1"/>
      <c r="L6" s="1"/>
      <c r="M6" s="2" t="s">
        <v>16</v>
      </c>
      <c r="O6" s="1"/>
      <c r="P6" s="268" t="str">
        <f>[27]VAL.PRINC!P6</f>
        <v>ABANCAY</v>
      </c>
    </row>
    <row r="7" spans="1:18" s="4" customFormat="1">
      <c r="A7" s="1"/>
      <c r="B7" s="9" t="s">
        <v>17</v>
      </c>
      <c r="C7" s="10" t="s">
        <v>4</v>
      </c>
      <c r="D7" s="11" t="s">
        <v>11</v>
      </c>
      <c r="E7" s="1"/>
      <c r="F7" s="1"/>
      <c r="G7" s="1"/>
      <c r="H7" s="1"/>
      <c r="I7" s="1"/>
      <c r="J7" s="1"/>
      <c r="K7" s="1"/>
      <c r="L7" s="1"/>
      <c r="M7" s="2" t="s">
        <v>18</v>
      </c>
      <c r="O7" s="12"/>
      <c r="P7" s="268" t="str">
        <f>[27]VAL.PRINC!P7</f>
        <v>APURIMAC</v>
      </c>
    </row>
    <row r="8" spans="1:18" s="4" customFormat="1">
      <c r="A8" s="1"/>
      <c r="B8" s="9" t="s">
        <v>19</v>
      </c>
      <c r="C8" s="10" t="s">
        <v>4</v>
      </c>
      <c r="D8" s="13">
        <v>2017</v>
      </c>
      <c r="E8" s="1"/>
      <c r="F8" s="1"/>
      <c r="G8" s="1"/>
      <c r="H8" s="1"/>
      <c r="I8" s="1"/>
      <c r="J8" s="1"/>
      <c r="K8" s="1"/>
      <c r="L8" s="2"/>
      <c r="M8" s="1"/>
      <c r="N8" s="1"/>
      <c r="O8" s="1"/>
      <c r="P8" s="1"/>
    </row>
    <row r="9" spans="1:18" ht="13.5" thickBot="1"/>
    <row r="10" spans="1:18" s="4" customFormat="1" ht="11.25" customHeight="1" thickBot="1">
      <c r="A10" s="2174" t="s">
        <v>20</v>
      </c>
      <c r="B10" s="2154" t="s">
        <v>21</v>
      </c>
      <c r="C10" s="2175" t="s">
        <v>22</v>
      </c>
      <c r="D10" s="2174" t="s">
        <v>23</v>
      </c>
      <c r="E10" s="2175"/>
      <c r="F10" s="2176"/>
      <c r="G10" s="2160" t="s">
        <v>24</v>
      </c>
      <c r="H10" s="2161"/>
      <c r="I10" s="2161"/>
      <c r="J10" s="2161"/>
      <c r="K10" s="2161"/>
      <c r="L10" s="2161"/>
      <c r="M10" s="2162"/>
      <c r="N10" s="2175" t="s">
        <v>25</v>
      </c>
      <c r="O10" s="2175"/>
      <c r="P10" s="2176"/>
    </row>
    <row r="11" spans="1:18" s="4" customFormat="1" ht="11.25" customHeight="1" thickBot="1">
      <c r="A11" s="2226"/>
      <c r="B11" s="2172"/>
      <c r="C11" s="2227"/>
      <c r="D11" s="2177"/>
      <c r="E11" s="2178"/>
      <c r="F11" s="2179"/>
      <c r="G11" s="2160" t="s">
        <v>26</v>
      </c>
      <c r="H11" s="2162"/>
      <c r="I11" s="2160" t="s">
        <v>27</v>
      </c>
      <c r="J11" s="2162"/>
      <c r="K11" s="2160" t="s">
        <v>28</v>
      </c>
      <c r="L11" s="2161"/>
      <c r="M11" s="2162"/>
      <c r="N11" s="2227"/>
      <c r="O11" s="2227"/>
      <c r="P11" s="2228"/>
    </row>
    <row r="12" spans="1:18" s="4" customFormat="1" ht="11.25" customHeight="1">
      <c r="A12" s="2226"/>
      <c r="B12" s="2172"/>
      <c r="C12" s="2227"/>
      <c r="D12" s="2154" t="s">
        <v>29</v>
      </c>
      <c r="E12" s="2240" t="s">
        <v>30</v>
      </c>
      <c r="F12" s="2154" t="s">
        <v>31</v>
      </c>
      <c r="G12" s="2229" t="s">
        <v>3</v>
      </c>
      <c r="H12" s="2233" t="s">
        <v>32</v>
      </c>
      <c r="I12" s="2229" t="s">
        <v>3</v>
      </c>
      <c r="J12" s="2233" t="s">
        <v>32</v>
      </c>
      <c r="K12" s="2229" t="s">
        <v>3</v>
      </c>
      <c r="L12" s="2233" t="s">
        <v>32</v>
      </c>
      <c r="M12" s="2229" t="s">
        <v>0</v>
      </c>
      <c r="N12" s="2231" t="s">
        <v>3</v>
      </c>
      <c r="O12" s="2233" t="s">
        <v>32</v>
      </c>
      <c r="P12" s="2231" t="s">
        <v>0</v>
      </c>
    </row>
    <row r="13" spans="1:18" s="4" customFormat="1" ht="11.25" customHeight="1" thickBot="1">
      <c r="A13" s="2226"/>
      <c r="B13" s="2172"/>
      <c r="C13" s="2227"/>
      <c r="D13" s="2172"/>
      <c r="E13" s="2240"/>
      <c r="F13" s="2172"/>
      <c r="G13" s="2230"/>
      <c r="H13" s="2234"/>
      <c r="I13" s="2230"/>
      <c r="J13" s="2234"/>
      <c r="K13" s="2230"/>
      <c r="L13" s="2234"/>
      <c r="M13" s="2230"/>
      <c r="N13" s="2232"/>
      <c r="O13" s="2234"/>
      <c r="P13" s="2232"/>
      <c r="Q13" s="4" t="s">
        <v>2</v>
      </c>
    </row>
    <row r="14" spans="1:18" ht="13.5">
      <c r="A14" s="469" t="s">
        <v>514</v>
      </c>
      <c r="B14" s="473" t="s">
        <v>1804</v>
      </c>
      <c r="C14" s="474"/>
      <c r="D14" s="434"/>
      <c r="E14" s="434"/>
      <c r="F14" s="475"/>
      <c r="G14" s="467"/>
      <c r="H14" s="475"/>
      <c r="I14" s="467"/>
      <c r="J14" s="475"/>
      <c r="K14" s="467"/>
      <c r="L14" s="475"/>
      <c r="M14" s="476"/>
      <c r="N14" s="467"/>
      <c r="O14" s="435"/>
      <c r="P14" s="272"/>
    </row>
    <row r="15" spans="1:18" ht="13.5">
      <c r="A15" s="470" t="s">
        <v>515</v>
      </c>
      <c r="B15" s="877" t="s">
        <v>34</v>
      </c>
      <c r="C15" s="468"/>
      <c r="D15" s="277"/>
      <c r="E15" s="277"/>
      <c r="F15" s="433"/>
      <c r="G15" s="465"/>
      <c r="H15" s="433"/>
      <c r="I15" s="465"/>
      <c r="J15" s="433"/>
      <c r="K15" s="465"/>
      <c r="L15" s="433"/>
      <c r="M15" s="471" t="str">
        <f>+IF(C15=0,"",L15/F15)</f>
        <v/>
      </c>
      <c r="N15" s="465"/>
      <c r="O15" s="278"/>
      <c r="P15" s="273" t="str">
        <f>+IF(F15=0,"",O15/F15)</f>
        <v/>
      </c>
    </row>
    <row r="16" spans="1:18">
      <c r="A16" s="102" t="s">
        <v>1805</v>
      </c>
      <c r="B16" s="463" t="s">
        <v>2064</v>
      </c>
      <c r="C16" s="464" t="s">
        <v>40</v>
      </c>
      <c r="D16" s="108">
        <f>K16</f>
        <v>1908.5900000000001</v>
      </c>
      <c r="E16" s="108">
        <v>45.62</v>
      </c>
      <c r="F16" s="274">
        <f>+D16*E16</f>
        <v>87069.875800000009</v>
      </c>
      <c r="G16" s="465">
        <v>1158.5900000000001</v>
      </c>
      <c r="H16" s="274">
        <f>G16*E16</f>
        <v>52854.875800000002</v>
      </c>
      <c r="I16" s="466">
        <f>'[27]MET. DIA P.N.'!AI13</f>
        <v>750</v>
      </c>
      <c r="J16" s="274">
        <f>I16*E16</f>
        <v>34215</v>
      </c>
      <c r="K16" s="465">
        <f>G16+I16</f>
        <v>1908.5900000000001</v>
      </c>
      <c r="L16" s="274">
        <f>K16*E16</f>
        <v>87069.875800000009</v>
      </c>
      <c r="M16" s="471">
        <f>+IF(C16=0,"",L16/F16)</f>
        <v>1</v>
      </c>
      <c r="N16" s="465">
        <f t="shared" ref="N16:N67" si="0">D16-K16</f>
        <v>0</v>
      </c>
      <c r="O16" s="274">
        <f t="shared" ref="O16:O67" si="1">N16*E16</f>
        <v>0</v>
      </c>
      <c r="P16" s="273">
        <f t="shared" ref="P16:P67" si="2">+IF(F16=0,"",O16/F16)</f>
        <v>0</v>
      </c>
      <c r="Q16" s="74">
        <f>1378.08+759.49</f>
        <v>2137.5699999999997</v>
      </c>
      <c r="R16" s="23">
        <f>Q16-K16</f>
        <v>228.97999999999956</v>
      </c>
    </row>
    <row r="17" spans="1:18">
      <c r="A17" s="788" t="s">
        <v>1929</v>
      </c>
      <c r="B17" s="463" t="s">
        <v>1935</v>
      </c>
      <c r="C17" s="464" t="s">
        <v>40</v>
      </c>
      <c r="D17" s="108">
        <f>K17</f>
        <v>196</v>
      </c>
      <c r="E17" s="108">
        <v>47.51</v>
      </c>
      <c r="F17" s="274">
        <f t="shared" ref="F17:F67" si="3">+D17*E17</f>
        <v>9311.9599999999991</v>
      </c>
      <c r="G17" s="465">
        <v>98</v>
      </c>
      <c r="H17" s="274">
        <f t="shared" ref="H17:H67" si="4">G17*E17</f>
        <v>4655.9799999999996</v>
      </c>
      <c r="I17" s="466">
        <f>'[27]MET. DIA P.N.'!AI14</f>
        <v>98</v>
      </c>
      <c r="J17" s="274">
        <f>I17*E17</f>
        <v>4655.9799999999996</v>
      </c>
      <c r="K17" s="465">
        <f>G17+I17</f>
        <v>196</v>
      </c>
      <c r="L17" s="274">
        <f t="shared" ref="L17:L67" si="5">K17*E17</f>
        <v>9311.9599999999991</v>
      </c>
      <c r="M17" s="471">
        <f t="shared" ref="M17:M67" si="6">+IF(C17=0,"",L17/F17)</f>
        <v>1</v>
      </c>
      <c r="N17" s="465">
        <f t="shared" si="0"/>
        <v>0</v>
      </c>
      <c r="O17" s="274">
        <f t="shared" si="1"/>
        <v>0</v>
      </c>
      <c r="P17" s="273">
        <f t="shared" si="2"/>
        <v>0</v>
      </c>
      <c r="Q17" s="74">
        <v>270</v>
      </c>
    </row>
    <row r="18" spans="1:18">
      <c r="A18" s="788" t="s">
        <v>1931</v>
      </c>
      <c r="B18" s="463" t="s">
        <v>1936</v>
      </c>
      <c r="C18" s="464" t="s">
        <v>40</v>
      </c>
      <c r="D18" s="108">
        <f t="shared" ref="D18:D67" si="7">K18</f>
        <v>29</v>
      </c>
      <c r="E18" s="108">
        <v>47.51</v>
      </c>
      <c r="F18" s="274">
        <f t="shared" si="3"/>
        <v>1377.79</v>
      </c>
      <c r="G18" s="465">
        <v>0</v>
      </c>
      <c r="H18" s="274">
        <f t="shared" si="4"/>
        <v>0</v>
      </c>
      <c r="I18" s="466">
        <v>29</v>
      </c>
      <c r="J18" s="274">
        <f t="shared" ref="J18:J67" si="8">I18*E18</f>
        <v>1377.79</v>
      </c>
      <c r="K18" s="465">
        <f t="shared" ref="K18:K67" si="9">G18+I18</f>
        <v>29</v>
      </c>
      <c r="L18" s="274">
        <f t="shared" si="5"/>
        <v>1377.79</v>
      </c>
      <c r="M18" s="471">
        <f>+IF(C18=0,"",L18/F18)</f>
        <v>1</v>
      </c>
      <c r="N18" s="465">
        <f t="shared" si="0"/>
        <v>0</v>
      </c>
      <c r="O18" s="274">
        <f t="shared" si="1"/>
        <v>0</v>
      </c>
      <c r="P18" s="273">
        <f t="shared" si="2"/>
        <v>0</v>
      </c>
      <c r="Q18" s="74">
        <v>80</v>
      </c>
    </row>
    <row r="19" spans="1:18">
      <c r="A19" s="788" t="s">
        <v>1932</v>
      </c>
      <c r="B19" s="463" t="s">
        <v>1937</v>
      </c>
      <c r="C19" s="464" t="s">
        <v>40</v>
      </c>
      <c r="D19" s="108">
        <f t="shared" si="7"/>
        <v>80</v>
      </c>
      <c r="E19" s="108">
        <v>47.51</v>
      </c>
      <c r="F19" s="274">
        <f t="shared" si="3"/>
        <v>3800.7999999999997</v>
      </c>
      <c r="G19" s="465">
        <v>72</v>
      </c>
      <c r="H19" s="274">
        <f t="shared" si="4"/>
        <v>3420.72</v>
      </c>
      <c r="I19" s="466">
        <v>8</v>
      </c>
      <c r="J19" s="274">
        <f t="shared" si="8"/>
        <v>380.08</v>
      </c>
      <c r="K19" s="465">
        <f t="shared" si="9"/>
        <v>80</v>
      </c>
      <c r="L19" s="274">
        <f t="shared" si="5"/>
        <v>3800.7999999999997</v>
      </c>
      <c r="M19" s="471">
        <f t="shared" si="6"/>
        <v>1</v>
      </c>
      <c r="N19" s="465">
        <f t="shared" si="0"/>
        <v>0</v>
      </c>
      <c r="O19" s="274">
        <f t="shared" si="1"/>
        <v>0</v>
      </c>
      <c r="P19" s="273">
        <f t="shared" si="2"/>
        <v>0</v>
      </c>
      <c r="Q19" s="74">
        <v>80</v>
      </c>
    </row>
    <row r="20" spans="1:18">
      <c r="A20" s="788" t="s">
        <v>1933</v>
      </c>
      <c r="B20" s="463" t="s">
        <v>1939</v>
      </c>
      <c r="C20" s="464" t="s">
        <v>1938</v>
      </c>
      <c r="D20" s="108">
        <f t="shared" si="7"/>
        <v>51340.6155</v>
      </c>
      <c r="E20" s="108">
        <v>0.19</v>
      </c>
      <c r="F20" s="274">
        <f t="shared" si="3"/>
        <v>9754.7169450000001</v>
      </c>
      <c r="G20" s="465">
        <v>25670.305500000002</v>
      </c>
      <c r="H20" s="274">
        <f t="shared" si="4"/>
        <v>4877.3580450000009</v>
      </c>
      <c r="I20" s="466">
        <f>'[27]MET. DIA P.N.'!AI17</f>
        <v>25670.31</v>
      </c>
      <c r="J20" s="274">
        <f t="shared" si="8"/>
        <v>4877.3589000000002</v>
      </c>
      <c r="K20" s="465">
        <f t="shared" si="9"/>
        <v>51340.6155</v>
      </c>
      <c r="L20" s="274">
        <f t="shared" si="5"/>
        <v>9754.7169450000001</v>
      </c>
      <c r="M20" s="471">
        <f t="shared" si="6"/>
        <v>1</v>
      </c>
      <c r="N20" s="465">
        <f t="shared" si="0"/>
        <v>0</v>
      </c>
      <c r="O20" s="274">
        <f t="shared" si="1"/>
        <v>0</v>
      </c>
      <c r="P20" s="273">
        <f t="shared" si="2"/>
        <v>0</v>
      </c>
      <c r="R20" s="882">
        <v>25670.305500000002</v>
      </c>
    </row>
    <row r="21" spans="1:18">
      <c r="A21" s="788" t="s">
        <v>1934</v>
      </c>
      <c r="B21" s="463" t="s">
        <v>1930</v>
      </c>
      <c r="C21" s="464" t="s">
        <v>40</v>
      </c>
      <c r="D21" s="108">
        <f t="shared" si="7"/>
        <v>98</v>
      </c>
      <c r="E21" s="108">
        <v>44.63</v>
      </c>
      <c r="F21" s="274">
        <f t="shared" si="3"/>
        <v>4373.7400000000007</v>
      </c>
      <c r="G21" s="465">
        <v>49</v>
      </c>
      <c r="H21" s="274">
        <f t="shared" si="4"/>
        <v>2186.8700000000003</v>
      </c>
      <c r="I21" s="466">
        <f>'[27]MET. DIA P.N.'!AI18</f>
        <v>49</v>
      </c>
      <c r="J21" s="274">
        <f t="shared" si="8"/>
        <v>2186.8700000000003</v>
      </c>
      <c r="K21" s="465">
        <f t="shared" si="9"/>
        <v>98</v>
      </c>
      <c r="L21" s="274">
        <f t="shared" si="5"/>
        <v>4373.7400000000007</v>
      </c>
      <c r="M21" s="471">
        <f t="shared" si="6"/>
        <v>1</v>
      </c>
      <c r="N21" s="465">
        <f t="shared" si="0"/>
        <v>0</v>
      </c>
      <c r="O21" s="274">
        <f t="shared" si="1"/>
        <v>0</v>
      </c>
      <c r="P21" s="273">
        <f t="shared" si="2"/>
        <v>0</v>
      </c>
      <c r="Q21" s="74">
        <v>330</v>
      </c>
    </row>
    <row r="22" spans="1:18">
      <c r="A22" s="788" t="s">
        <v>1940</v>
      </c>
      <c r="B22" s="463" t="s">
        <v>1944</v>
      </c>
      <c r="C22" s="464" t="s">
        <v>1943</v>
      </c>
      <c r="D22" s="108">
        <f t="shared" si="7"/>
        <v>14784</v>
      </c>
      <c r="E22" s="108">
        <v>0.48</v>
      </c>
      <c r="F22" s="274">
        <f t="shared" si="3"/>
        <v>7096.32</v>
      </c>
      <c r="G22" s="465">
        <v>7392</v>
      </c>
      <c r="H22" s="274">
        <f t="shared" si="4"/>
        <v>3548.16</v>
      </c>
      <c r="I22" s="466">
        <f>'[27]MET. DIA P.N.'!AI19</f>
        <v>7392</v>
      </c>
      <c r="J22" s="274">
        <f t="shared" si="8"/>
        <v>3548.16</v>
      </c>
      <c r="K22" s="465">
        <f t="shared" si="9"/>
        <v>14784</v>
      </c>
      <c r="L22" s="274">
        <f t="shared" si="5"/>
        <v>7096.32</v>
      </c>
      <c r="M22" s="471">
        <f t="shared" si="6"/>
        <v>1</v>
      </c>
      <c r="N22" s="465">
        <f t="shared" si="0"/>
        <v>0</v>
      </c>
      <c r="O22" s="274">
        <f t="shared" si="1"/>
        <v>0</v>
      </c>
      <c r="P22" s="273">
        <f t="shared" si="2"/>
        <v>0</v>
      </c>
      <c r="Q22" s="74">
        <f>7392+5083.34</f>
        <v>12475.34</v>
      </c>
      <c r="R22" s="16">
        <v>5083.34</v>
      </c>
    </row>
    <row r="23" spans="1:18">
      <c r="A23" s="788" t="s">
        <v>1941</v>
      </c>
      <c r="B23" s="463" t="s">
        <v>1945</v>
      </c>
      <c r="C23" s="464" t="s">
        <v>1943</v>
      </c>
      <c r="D23" s="108">
        <f t="shared" si="7"/>
        <v>16236</v>
      </c>
      <c r="E23" s="108">
        <v>0.28999999999999998</v>
      </c>
      <c r="F23" s="274">
        <f t="shared" si="3"/>
        <v>4708.4399999999996</v>
      </c>
      <c r="G23" s="465">
        <v>8118</v>
      </c>
      <c r="H23" s="274">
        <f t="shared" si="4"/>
        <v>2354.2199999999998</v>
      </c>
      <c r="I23" s="466">
        <f>'[27]MET. DIA P.N.'!AI20</f>
        <v>8118</v>
      </c>
      <c r="J23" s="274">
        <f t="shared" si="8"/>
        <v>2354.2199999999998</v>
      </c>
      <c r="K23" s="465">
        <f t="shared" si="9"/>
        <v>16236</v>
      </c>
      <c r="L23" s="274">
        <f t="shared" si="5"/>
        <v>4708.4399999999996</v>
      </c>
      <c r="M23" s="471">
        <f t="shared" si="6"/>
        <v>1</v>
      </c>
      <c r="N23" s="465">
        <f t="shared" si="0"/>
        <v>0</v>
      </c>
      <c r="O23" s="274">
        <f t="shared" si="1"/>
        <v>0</v>
      </c>
      <c r="P23" s="273">
        <f t="shared" si="2"/>
        <v>0</v>
      </c>
      <c r="Q23" s="74">
        <f>8118+1546.06</f>
        <v>9664.06</v>
      </c>
      <c r="R23" s="16">
        <v>1546.06</v>
      </c>
    </row>
    <row r="24" spans="1:18">
      <c r="A24" s="788" t="s">
        <v>1942</v>
      </c>
      <c r="B24" s="463" t="s">
        <v>1946</v>
      </c>
      <c r="C24" s="464" t="s">
        <v>37</v>
      </c>
      <c r="D24" s="108">
        <f t="shared" si="7"/>
        <v>595.36</v>
      </c>
      <c r="E24" s="108">
        <v>5.71</v>
      </c>
      <c r="F24" s="274">
        <f t="shared" si="3"/>
        <v>3399.5056</v>
      </c>
      <c r="G24" s="465">
        <v>297.68</v>
      </c>
      <c r="H24" s="274">
        <f t="shared" si="4"/>
        <v>1699.7528</v>
      </c>
      <c r="I24" s="466">
        <f>'[27]MET. DIA P.N.'!AI21</f>
        <v>297.68</v>
      </c>
      <c r="J24" s="274">
        <f t="shared" si="8"/>
        <v>1699.7528</v>
      </c>
      <c r="K24" s="465">
        <f t="shared" si="9"/>
        <v>595.36</v>
      </c>
      <c r="L24" s="274">
        <f t="shared" si="5"/>
        <v>3399.5056</v>
      </c>
      <c r="M24" s="471">
        <f t="shared" si="6"/>
        <v>1</v>
      </c>
      <c r="N24" s="465">
        <f t="shared" si="0"/>
        <v>0</v>
      </c>
      <c r="O24" s="274">
        <f t="shared" si="1"/>
        <v>0</v>
      </c>
      <c r="P24" s="273">
        <f t="shared" si="2"/>
        <v>0</v>
      </c>
      <c r="Q24" s="74">
        <v>297.68</v>
      </c>
    </row>
    <row r="25" spans="1:18">
      <c r="A25" s="539" t="s">
        <v>1993</v>
      </c>
      <c r="B25" s="752" t="s">
        <v>2006</v>
      </c>
      <c r="C25" s="464" t="s">
        <v>73</v>
      </c>
      <c r="D25" s="108"/>
      <c r="E25" s="108"/>
      <c r="F25" s="274"/>
      <c r="G25" s="465">
        <v>0</v>
      </c>
      <c r="H25" s="274"/>
      <c r="I25" s="466"/>
      <c r="J25" s="274"/>
      <c r="K25" s="465"/>
      <c r="L25" s="274"/>
      <c r="M25" s="471"/>
      <c r="N25" s="465"/>
      <c r="O25" s="274"/>
      <c r="P25" s="273"/>
      <c r="Q25" s="74">
        <v>20270</v>
      </c>
    </row>
    <row r="26" spans="1:18">
      <c r="A26" s="539" t="s">
        <v>2004</v>
      </c>
      <c r="B26" s="752" t="s">
        <v>2005</v>
      </c>
      <c r="C26" s="464" t="s">
        <v>73</v>
      </c>
      <c r="D26" s="108"/>
      <c r="E26" s="108"/>
      <c r="F26" s="274"/>
      <c r="G26" s="465">
        <v>0</v>
      </c>
      <c r="H26" s="274"/>
      <c r="I26" s="466"/>
      <c r="J26" s="274"/>
      <c r="K26" s="465"/>
      <c r="L26" s="274"/>
      <c r="M26" s="471"/>
      <c r="N26" s="465"/>
      <c r="O26" s="274"/>
      <c r="P26" s="273"/>
      <c r="Q26" s="74">
        <v>2200</v>
      </c>
    </row>
    <row r="27" spans="1:18" hidden="1">
      <c r="A27" s="539" t="s">
        <v>2008</v>
      </c>
      <c r="B27" s="752" t="s">
        <v>2009</v>
      </c>
      <c r="C27" s="464" t="s">
        <v>73</v>
      </c>
      <c r="D27" s="108"/>
      <c r="E27" s="108"/>
      <c r="F27" s="274"/>
      <c r="G27" s="465"/>
      <c r="H27" s="274"/>
      <c r="I27" s="466"/>
      <c r="J27" s="274"/>
      <c r="K27" s="465"/>
      <c r="L27" s="274"/>
      <c r="M27" s="471"/>
      <c r="N27" s="465"/>
      <c r="O27" s="274"/>
      <c r="P27" s="273"/>
      <c r="Q27" s="74">
        <v>390</v>
      </c>
    </row>
    <row r="28" spans="1:18" hidden="1">
      <c r="A28" s="539" t="s">
        <v>2010</v>
      </c>
      <c r="B28" s="752" t="s">
        <v>2011</v>
      </c>
      <c r="C28" s="464" t="s">
        <v>73</v>
      </c>
      <c r="D28" s="108"/>
      <c r="E28" s="108"/>
      <c r="F28" s="274"/>
      <c r="G28" s="465"/>
      <c r="H28" s="274"/>
      <c r="I28" s="466"/>
      <c r="J28" s="274"/>
      <c r="K28" s="465"/>
      <c r="L28" s="274"/>
      <c r="M28" s="471"/>
      <c r="N28" s="465"/>
      <c r="O28" s="274"/>
      <c r="P28" s="273"/>
      <c r="Q28" s="74">
        <v>5000</v>
      </c>
    </row>
    <row r="29" spans="1:18" hidden="1">
      <c r="A29" s="539" t="s">
        <v>2012</v>
      </c>
      <c r="B29" s="752" t="s">
        <v>2017</v>
      </c>
      <c r="C29" s="464" t="s">
        <v>73</v>
      </c>
      <c r="D29" s="108"/>
      <c r="E29" s="108"/>
      <c r="F29" s="274"/>
      <c r="G29" s="465"/>
      <c r="H29" s="274"/>
      <c r="I29" s="466"/>
      <c r="J29" s="274"/>
      <c r="K29" s="465"/>
      <c r="L29" s="274"/>
      <c r="M29" s="471"/>
      <c r="N29" s="465"/>
      <c r="O29" s="274"/>
      <c r="P29" s="273"/>
      <c r="Q29" s="74">
        <v>660</v>
      </c>
    </row>
    <row r="30" spans="1:18" hidden="1">
      <c r="A30" s="539" t="s">
        <v>2014</v>
      </c>
      <c r="B30" s="752" t="s">
        <v>2013</v>
      </c>
      <c r="C30" s="464" t="s">
        <v>276</v>
      </c>
      <c r="D30" s="108"/>
      <c r="E30" s="108"/>
      <c r="F30" s="274"/>
      <c r="G30" s="465"/>
      <c r="H30" s="274"/>
      <c r="I30" s="466"/>
      <c r="J30" s="274"/>
      <c r="K30" s="465"/>
      <c r="L30" s="274"/>
      <c r="M30" s="471"/>
      <c r="N30" s="465"/>
      <c r="O30" s="274"/>
      <c r="P30" s="273"/>
      <c r="Q30" s="74">
        <v>506</v>
      </c>
    </row>
    <row r="31" spans="1:18" hidden="1">
      <c r="A31" s="539" t="s">
        <v>2016</v>
      </c>
      <c r="B31" s="752" t="s">
        <v>2015</v>
      </c>
      <c r="C31" s="464" t="s">
        <v>276</v>
      </c>
      <c r="D31" s="108"/>
      <c r="E31" s="108"/>
      <c r="F31" s="274"/>
      <c r="G31" s="465"/>
      <c r="H31" s="274"/>
      <c r="I31" s="466"/>
      <c r="J31" s="274"/>
      <c r="K31" s="465"/>
      <c r="L31" s="274"/>
      <c r="M31" s="471"/>
      <c r="N31" s="465"/>
      <c r="O31" s="274"/>
      <c r="P31" s="273"/>
      <c r="Q31" s="74">
        <v>34.78</v>
      </c>
    </row>
    <row r="32" spans="1:18" hidden="1">
      <c r="A32" s="539" t="s">
        <v>2018</v>
      </c>
      <c r="B32" s="752" t="s">
        <v>2019</v>
      </c>
      <c r="C32" s="464" t="s">
        <v>73</v>
      </c>
      <c r="D32" s="108"/>
      <c r="E32" s="108"/>
      <c r="F32" s="274"/>
      <c r="G32" s="465"/>
      <c r="H32" s="274"/>
      <c r="I32" s="466"/>
      <c r="J32" s="274"/>
      <c r="K32" s="465"/>
      <c r="L32" s="274"/>
      <c r="M32" s="471"/>
      <c r="N32" s="465"/>
      <c r="O32" s="274"/>
      <c r="P32" s="273"/>
      <c r="Q32" s="74">
        <v>50</v>
      </c>
    </row>
    <row r="33" spans="1:17" hidden="1">
      <c r="A33" s="539" t="s">
        <v>2020</v>
      </c>
      <c r="B33" s="752" t="s">
        <v>2021</v>
      </c>
      <c r="C33" s="464" t="s">
        <v>73</v>
      </c>
      <c r="D33" s="108"/>
      <c r="E33" s="108"/>
      <c r="F33" s="274"/>
      <c r="G33" s="465"/>
      <c r="H33" s="274"/>
      <c r="I33" s="466"/>
      <c r="J33" s="274"/>
      <c r="K33" s="465"/>
      <c r="L33" s="274"/>
      <c r="M33" s="471"/>
      <c r="N33" s="465"/>
      <c r="O33" s="274"/>
      <c r="P33" s="273"/>
      <c r="Q33" s="74">
        <v>50</v>
      </c>
    </row>
    <row r="34" spans="1:17" hidden="1">
      <c r="A34" s="539" t="s">
        <v>2022</v>
      </c>
      <c r="B34" s="752" t="s">
        <v>2025</v>
      </c>
      <c r="C34" s="464" t="s">
        <v>73</v>
      </c>
      <c r="D34" s="108"/>
      <c r="E34" s="108"/>
      <c r="F34" s="274"/>
      <c r="G34" s="465"/>
      <c r="H34" s="274"/>
      <c r="I34" s="466"/>
      <c r="J34" s="274"/>
      <c r="K34" s="465"/>
      <c r="L34" s="274"/>
      <c r="M34" s="471"/>
      <c r="N34" s="465"/>
      <c r="O34" s="274"/>
      <c r="P34" s="273"/>
      <c r="Q34" s="74">
        <v>78</v>
      </c>
    </row>
    <row r="35" spans="1:17" hidden="1">
      <c r="A35" s="539" t="s">
        <v>2023</v>
      </c>
      <c r="B35" s="752" t="s">
        <v>2034</v>
      </c>
      <c r="C35" s="464" t="s">
        <v>73</v>
      </c>
      <c r="D35" s="108"/>
      <c r="E35" s="108"/>
      <c r="F35" s="274"/>
      <c r="G35" s="465"/>
      <c r="H35" s="274"/>
      <c r="I35" s="466"/>
      <c r="J35" s="274"/>
      <c r="K35" s="465"/>
      <c r="L35" s="274"/>
      <c r="M35" s="471"/>
      <c r="N35" s="465"/>
      <c r="O35" s="274"/>
      <c r="P35" s="273"/>
      <c r="Q35" s="881">
        <v>71</v>
      </c>
    </row>
    <row r="36" spans="1:17" hidden="1">
      <c r="A36" s="539" t="s">
        <v>2026</v>
      </c>
      <c r="B36" s="752" t="s">
        <v>2024</v>
      </c>
      <c r="C36" s="464" t="s">
        <v>73</v>
      </c>
      <c r="D36" s="108"/>
      <c r="E36" s="108"/>
      <c r="F36" s="274"/>
      <c r="G36" s="465"/>
      <c r="H36" s="274"/>
      <c r="I36" s="466"/>
      <c r="J36" s="274"/>
      <c r="K36" s="465"/>
      <c r="L36" s="274"/>
      <c r="M36" s="471"/>
      <c r="N36" s="465"/>
      <c r="O36" s="274"/>
      <c r="P36" s="273"/>
      <c r="Q36" s="881">
        <v>385</v>
      </c>
    </row>
    <row r="37" spans="1:17" hidden="1">
      <c r="A37" s="539" t="s">
        <v>2027</v>
      </c>
      <c r="B37" s="752" t="s">
        <v>2031</v>
      </c>
      <c r="C37" s="464" t="s">
        <v>2063</v>
      </c>
      <c r="D37" s="108"/>
      <c r="E37" s="108"/>
      <c r="F37" s="274"/>
      <c r="G37" s="465"/>
      <c r="H37" s="274"/>
      <c r="I37" s="466"/>
      <c r="J37" s="274"/>
      <c r="K37" s="465"/>
      <c r="L37" s="274"/>
      <c r="M37" s="471"/>
      <c r="N37" s="465"/>
      <c r="O37" s="274"/>
      <c r="P37" s="273"/>
      <c r="Q37" s="881">
        <v>100</v>
      </c>
    </row>
    <row r="38" spans="1:17" hidden="1">
      <c r="A38" s="539" t="s">
        <v>2029</v>
      </c>
      <c r="B38" s="752" t="s">
        <v>2028</v>
      </c>
      <c r="C38" s="464" t="s">
        <v>276</v>
      </c>
      <c r="D38" s="108"/>
      <c r="E38" s="108"/>
      <c r="F38" s="274"/>
      <c r="G38" s="465"/>
      <c r="H38" s="274"/>
      <c r="I38" s="466"/>
      <c r="J38" s="274"/>
      <c r="K38" s="465"/>
      <c r="L38" s="274"/>
      <c r="M38" s="471"/>
      <c r="N38" s="465"/>
      <c r="O38" s="274"/>
      <c r="P38" s="273"/>
      <c r="Q38" s="881">
        <v>107</v>
      </c>
    </row>
    <row r="39" spans="1:17" hidden="1">
      <c r="A39" s="539" t="s">
        <v>2032</v>
      </c>
      <c r="B39" s="752" t="s">
        <v>2030</v>
      </c>
      <c r="C39" s="464" t="s">
        <v>276</v>
      </c>
      <c r="D39" s="108"/>
      <c r="E39" s="108"/>
      <c r="F39" s="274"/>
      <c r="G39" s="465"/>
      <c r="H39" s="274"/>
      <c r="I39" s="466"/>
      <c r="J39" s="274"/>
      <c r="K39" s="465"/>
      <c r="L39" s="274"/>
      <c r="M39" s="471"/>
      <c r="N39" s="465"/>
      <c r="O39" s="274"/>
      <c r="P39" s="273"/>
      <c r="Q39" s="881">
        <v>105</v>
      </c>
    </row>
    <row r="40" spans="1:17" hidden="1">
      <c r="A40" s="539" t="s">
        <v>2033</v>
      </c>
      <c r="B40" s="752" t="s">
        <v>2007</v>
      </c>
      <c r="C40" s="464" t="s">
        <v>2063</v>
      </c>
      <c r="D40" s="108"/>
      <c r="E40" s="108"/>
      <c r="F40" s="274"/>
      <c r="G40" s="465"/>
      <c r="H40" s="274"/>
      <c r="I40" s="466"/>
      <c r="J40" s="274"/>
      <c r="K40" s="465"/>
      <c r="L40" s="274"/>
      <c r="M40" s="471"/>
      <c r="N40" s="465"/>
      <c r="O40" s="274"/>
      <c r="P40" s="273"/>
      <c r="Q40" s="881">
        <v>3800</v>
      </c>
    </row>
    <row r="41" spans="1:17">
      <c r="A41" s="878" t="s">
        <v>2035</v>
      </c>
      <c r="B41" s="752" t="s">
        <v>1202</v>
      </c>
      <c r="C41" s="464"/>
      <c r="D41" s="108"/>
      <c r="E41" s="108"/>
      <c r="F41" s="274"/>
      <c r="G41" s="465"/>
      <c r="H41" s="274"/>
      <c r="I41" s="466"/>
      <c r="J41" s="274"/>
      <c r="K41" s="465"/>
      <c r="L41" s="274"/>
      <c r="M41" s="471"/>
      <c r="N41" s="465"/>
      <c r="O41" s="274"/>
      <c r="P41" s="273"/>
      <c r="Q41" s="881"/>
    </row>
    <row r="42" spans="1:17">
      <c r="A42" s="879" t="s">
        <v>2037</v>
      </c>
      <c r="B42" s="752" t="s">
        <v>1949</v>
      </c>
      <c r="C42" s="464"/>
      <c r="D42" s="108"/>
      <c r="E42" s="108"/>
      <c r="F42" s="274"/>
      <c r="G42" s="465"/>
      <c r="H42" s="274"/>
      <c r="I42" s="466"/>
      <c r="J42" s="274"/>
      <c r="K42" s="465"/>
      <c r="L42" s="274"/>
      <c r="M42" s="471"/>
      <c r="N42" s="465"/>
      <c r="O42" s="274"/>
      <c r="P42" s="273"/>
      <c r="Q42" s="881"/>
    </row>
    <row r="43" spans="1:17">
      <c r="A43" s="879" t="s">
        <v>2038</v>
      </c>
      <c r="B43" s="752" t="s">
        <v>1950</v>
      </c>
      <c r="C43" s="464" t="s">
        <v>40</v>
      </c>
      <c r="D43" s="108"/>
      <c r="E43" s="108"/>
      <c r="F43" s="274"/>
      <c r="G43" s="465">
        <v>3.17</v>
      </c>
      <c r="H43" s="274"/>
      <c r="I43" s="466"/>
      <c r="J43" s="274"/>
      <c r="K43" s="465"/>
      <c r="L43" s="274"/>
      <c r="M43" s="471"/>
      <c r="N43" s="465"/>
      <c r="O43" s="274"/>
      <c r="P43" s="273"/>
      <c r="Q43" s="885">
        <v>3.17</v>
      </c>
    </row>
    <row r="44" spans="1:17">
      <c r="A44" s="879" t="s">
        <v>2039</v>
      </c>
      <c r="B44" s="752" t="s">
        <v>1994</v>
      </c>
      <c r="C44" s="464"/>
      <c r="D44" s="108"/>
      <c r="E44" s="108"/>
      <c r="F44" s="274"/>
      <c r="G44" s="465"/>
      <c r="H44" s="274"/>
      <c r="I44" s="466"/>
      <c r="J44" s="274"/>
      <c r="K44" s="465"/>
      <c r="L44" s="274"/>
      <c r="M44" s="471"/>
      <c r="N44" s="465"/>
      <c r="O44" s="274"/>
      <c r="P44" s="273"/>
      <c r="Q44" s="881"/>
    </row>
    <row r="45" spans="1:17">
      <c r="A45" s="879" t="s">
        <v>2040</v>
      </c>
      <c r="B45" s="752" t="s">
        <v>1995</v>
      </c>
      <c r="C45" s="464"/>
      <c r="D45" s="108"/>
      <c r="E45" s="108"/>
      <c r="F45" s="274"/>
      <c r="G45" s="465"/>
      <c r="H45" s="274"/>
      <c r="I45" s="466"/>
      <c r="J45" s="274"/>
      <c r="K45" s="465"/>
      <c r="L45" s="274"/>
      <c r="M45" s="471"/>
      <c r="N45" s="465"/>
      <c r="O45" s="274"/>
      <c r="P45" s="273"/>
      <c r="Q45" s="881"/>
    </row>
    <row r="46" spans="1:17">
      <c r="A46" s="879" t="s">
        <v>2042</v>
      </c>
      <c r="B46" s="752" t="s">
        <v>1996</v>
      </c>
      <c r="C46" s="464" t="s">
        <v>40</v>
      </c>
      <c r="D46" s="108"/>
      <c r="E46" s="108"/>
      <c r="F46" s="274"/>
      <c r="G46" s="465">
        <v>0</v>
      </c>
      <c r="H46" s="274"/>
      <c r="I46" s="466"/>
      <c r="J46" s="274"/>
      <c r="K46" s="465"/>
      <c r="L46" s="274"/>
      <c r="M46" s="471"/>
      <c r="N46" s="465"/>
      <c r="O46" s="274"/>
      <c r="P46" s="273"/>
      <c r="Q46" s="880">
        <f>13.6713*0.25*0.6+16.5658*0.25*0.6+2.5853*0.25*0.6*4+2.5853*0.12*0.6</f>
        <v>6.2728866000000005</v>
      </c>
    </row>
    <row r="47" spans="1:17">
      <c r="A47" s="879" t="s">
        <v>2043</v>
      </c>
      <c r="B47" s="752" t="s">
        <v>1997</v>
      </c>
      <c r="C47" s="464" t="s">
        <v>37</v>
      </c>
      <c r="D47" s="108"/>
      <c r="E47" s="108"/>
      <c r="F47" s="274"/>
      <c r="G47" s="465">
        <v>0</v>
      </c>
      <c r="H47" s="274"/>
      <c r="I47" s="466"/>
      <c r="J47" s="274"/>
      <c r="K47" s="465"/>
      <c r="L47" s="274"/>
      <c r="M47" s="471"/>
      <c r="N47" s="465"/>
      <c r="O47" s="274"/>
      <c r="P47" s="273"/>
      <c r="Q47" s="880">
        <f>87.87*0.6</f>
        <v>52.722000000000001</v>
      </c>
    </row>
    <row r="48" spans="1:17">
      <c r="A48" s="879" t="s">
        <v>2044</v>
      </c>
      <c r="B48" s="752" t="s">
        <v>1998</v>
      </c>
      <c r="C48" s="464" t="s">
        <v>1938</v>
      </c>
      <c r="D48" s="108"/>
      <c r="E48" s="108"/>
      <c r="F48" s="274"/>
      <c r="G48" s="465">
        <v>0</v>
      </c>
      <c r="H48" s="274"/>
      <c r="I48" s="466"/>
      <c r="J48" s="274"/>
      <c r="K48" s="465"/>
      <c r="L48" s="274"/>
      <c r="M48" s="471"/>
      <c r="N48" s="465"/>
      <c r="O48" s="274"/>
      <c r="P48" s="273"/>
      <c r="Q48" s="880">
        <f>183.3/2</f>
        <v>91.65</v>
      </c>
    </row>
    <row r="49" spans="1:17">
      <c r="A49" s="879" t="s">
        <v>2041</v>
      </c>
      <c r="B49" s="752" t="s">
        <v>1999</v>
      </c>
      <c r="C49" s="464"/>
      <c r="D49" s="108"/>
      <c r="E49" s="108"/>
      <c r="F49" s="274"/>
      <c r="G49" s="465"/>
      <c r="H49" s="274"/>
      <c r="I49" s="466"/>
      <c r="J49" s="274"/>
      <c r="K49" s="465"/>
      <c r="L49" s="274"/>
      <c r="M49" s="471"/>
      <c r="N49" s="465"/>
      <c r="O49" s="274"/>
      <c r="P49" s="273"/>
      <c r="Q49" s="880"/>
    </row>
    <row r="50" spans="1:17">
      <c r="A50" s="879" t="s">
        <v>2045</v>
      </c>
      <c r="B50" s="752" t="s">
        <v>2000</v>
      </c>
      <c r="C50" s="464" t="s">
        <v>40</v>
      </c>
      <c r="D50" s="108"/>
      <c r="E50" s="108"/>
      <c r="F50" s="274"/>
      <c r="G50" s="465">
        <v>0</v>
      </c>
      <c r="H50" s="274"/>
      <c r="I50" s="466"/>
      <c r="J50" s="274"/>
      <c r="K50" s="465"/>
      <c r="L50" s="274"/>
      <c r="M50" s="471"/>
      <c r="N50" s="465"/>
      <c r="O50" s="274"/>
      <c r="P50" s="273"/>
      <c r="Q50" s="880">
        <f>13.6713*0.25*0.5+16.5658*0.25*0.5+2.5853*0.25*0.5*4+2.5853*0.12*0.5</f>
        <v>5.2274054999999997</v>
      </c>
    </row>
    <row r="51" spans="1:17">
      <c r="A51" s="879" t="s">
        <v>2046</v>
      </c>
      <c r="B51" s="752" t="s">
        <v>2001</v>
      </c>
      <c r="C51" s="464" t="s">
        <v>37</v>
      </c>
      <c r="D51" s="108"/>
      <c r="E51" s="108"/>
      <c r="F51" s="274"/>
      <c r="G51" s="465">
        <v>0</v>
      </c>
      <c r="H51" s="274"/>
      <c r="I51" s="466"/>
      <c r="J51" s="274"/>
      <c r="K51" s="465"/>
      <c r="L51" s="274"/>
      <c r="M51" s="471"/>
      <c r="N51" s="465"/>
      <c r="O51" s="274"/>
      <c r="P51" s="273"/>
      <c r="Q51" s="880">
        <f>87.87*0.5</f>
        <v>43.935000000000002</v>
      </c>
    </row>
    <row r="52" spans="1:17">
      <c r="A52" s="879" t="s">
        <v>2047</v>
      </c>
      <c r="B52" s="752" t="s">
        <v>2002</v>
      </c>
      <c r="C52" s="464" t="s">
        <v>1938</v>
      </c>
      <c r="D52" s="108"/>
      <c r="E52" s="108"/>
      <c r="F52" s="274"/>
      <c r="G52" s="465">
        <v>0</v>
      </c>
      <c r="H52" s="274"/>
      <c r="I52" s="466"/>
      <c r="J52" s="274"/>
      <c r="K52" s="465"/>
      <c r="L52" s="274"/>
      <c r="M52" s="471"/>
      <c r="N52" s="465"/>
      <c r="O52" s="274"/>
      <c r="P52" s="273"/>
      <c r="Q52" s="880">
        <v>91.65</v>
      </c>
    </row>
    <row r="53" spans="1:17">
      <c r="A53" s="878" t="s">
        <v>2036</v>
      </c>
      <c r="B53" s="752" t="s">
        <v>1209</v>
      </c>
      <c r="C53" s="464"/>
      <c r="D53" s="108"/>
      <c r="E53" s="108"/>
      <c r="F53" s="274"/>
      <c r="G53" s="465"/>
      <c r="H53" s="274"/>
      <c r="I53" s="466"/>
      <c r="J53" s="274"/>
      <c r="K53" s="465"/>
      <c r="L53" s="274"/>
      <c r="M53" s="471"/>
      <c r="N53" s="465"/>
      <c r="O53" s="274"/>
      <c r="P53" s="273"/>
      <c r="Q53" s="880"/>
    </row>
    <row r="54" spans="1:17">
      <c r="A54" s="879" t="s">
        <v>2048</v>
      </c>
      <c r="B54" s="752" t="s">
        <v>1949</v>
      </c>
      <c r="C54" s="464"/>
      <c r="D54" s="108"/>
      <c r="E54" s="108"/>
      <c r="F54" s="274"/>
      <c r="G54" s="465"/>
      <c r="H54" s="274"/>
      <c r="I54" s="466"/>
      <c r="J54" s="274"/>
      <c r="K54" s="465"/>
      <c r="L54" s="274"/>
      <c r="M54" s="471"/>
      <c r="N54" s="465"/>
      <c r="O54" s="274"/>
      <c r="P54" s="273"/>
      <c r="Q54" s="880"/>
    </row>
    <row r="55" spans="1:17">
      <c r="A55" s="879" t="s">
        <v>2050</v>
      </c>
      <c r="B55" s="752" t="s">
        <v>1950</v>
      </c>
      <c r="C55" s="464" t="s">
        <v>40</v>
      </c>
      <c r="D55" s="108"/>
      <c r="E55" s="108"/>
      <c r="F55" s="274"/>
      <c r="G55" s="465">
        <v>23.759999999999998</v>
      </c>
      <c r="H55" s="274"/>
      <c r="I55" s="466"/>
      <c r="J55" s="274"/>
      <c r="K55" s="465"/>
      <c r="L55" s="274"/>
      <c r="M55" s="471"/>
      <c r="N55" s="465"/>
      <c r="O55" s="274"/>
      <c r="P55" s="273"/>
      <c r="Q55" s="885">
        <v>23.76</v>
      </c>
    </row>
    <row r="56" spans="1:17">
      <c r="A56" s="879" t="s">
        <v>2049</v>
      </c>
      <c r="B56" s="752" t="s">
        <v>1994</v>
      </c>
      <c r="C56" s="464"/>
      <c r="D56" s="108"/>
      <c r="E56" s="108"/>
      <c r="F56" s="274"/>
      <c r="G56" s="465"/>
      <c r="H56" s="274"/>
      <c r="I56" s="466"/>
      <c r="J56" s="274"/>
      <c r="K56" s="465"/>
      <c r="L56" s="274"/>
      <c r="M56" s="471"/>
      <c r="N56" s="465"/>
      <c r="O56" s="274"/>
      <c r="P56" s="273"/>
      <c r="Q56" s="880"/>
    </row>
    <row r="57" spans="1:17">
      <c r="A57" s="879" t="s">
        <v>2051</v>
      </c>
      <c r="B57" s="752" t="s">
        <v>1995</v>
      </c>
      <c r="C57" s="464"/>
      <c r="D57" s="108"/>
      <c r="E57" s="108"/>
      <c r="F57" s="274"/>
      <c r="G57" s="465"/>
      <c r="H57" s="274"/>
      <c r="I57" s="466"/>
      <c r="J57" s="274"/>
      <c r="K57" s="465"/>
      <c r="L57" s="274"/>
      <c r="M57" s="471"/>
      <c r="N57" s="465"/>
      <c r="O57" s="274"/>
      <c r="P57" s="273"/>
      <c r="Q57" s="880"/>
    </row>
    <row r="58" spans="1:17">
      <c r="A58" s="879" t="s">
        <v>2053</v>
      </c>
      <c r="B58" s="752" t="s">
        <v>1996</v>
      </c>
      <c r="C58" s="464" t="s">
        <v>40</v>
      </c>
      <c r="D58" s="108"/>
      <c r="E58" s="108"/>
      <c r="F58" s="274"/>
      <c r="G58" s="465">
        <v>0</v>
      </c>
      <c r="H58" s="274"/>
      <c r="I58" s="466"/>
      <c r="J58" s="274"/>
      <c r="K58" s="465"/>
      <c r="L58" s="274"/>
      <c r="M58" s="471"/>
      <c r="N58" s="465"/>
      <c r="O58" s="274"/>
      <c r="P58" s="273"/>
      <c r="Q58" s="880">
        <f>11.53*0.25*2*0.6+6.94*0.25*2*0.6+6.94*0.12*0.6+1.585*0.12*0.6</f>
        <v>6.1547999999999989</v>
      </c>
    </row>
    <row r="59" spans="1:17">
      <c r="A59" s="879" t="s">
        <v>2054</v>
      </c>
      <c r="B59" s="752" t="s">
        <v>1997</v>
      </c>
      <c r="C59" s="464" t="s">
        <v>37</v>
      </c>
      <c r="D59" s="108"/>
      <c r="E59" s="108"/>
      <c r="F59" s="274"/>
      <c r="G59" s="465">
        <v>0</v>
      </c>
      <c r="H59" s="274"/>
      <c r="I59" s="466"/>
      <c r="J59" s="274"/>
      <c r="K59" s="465"/>
      <c r="L59" s="274"/>
      <c r="M59" s="471"/>
      <c r="N59" s="465"/>
      <c r="O59" s="274"/>
      <c r="P59" s="273"/>
      <c r="Q59" s="880">
        <f>89.5*0.6</f>
        <v>53.699999999999996</v>
      </c>
    </row>
    <row r="60" spans="1:17">
      <c r="A60" s="879" t="s">
        <v>2055</v>
      </c>
      <c r="B60" s="752" t="s">
        <v>1998</v>
      </c>
      <c r="C60" s="464" t="s">
        <v>1938</v>
      </c>
      <c r="D60" s="108"/>
      <c r="E60" s="108"/>
      <c r="F60" s="274"/>
      <c r="G60" s="465">
        <v>0</v>
      </c>
      <c r="H60" s="274"/>
      <c r="I60" s="466"/>
      <c r="J60" s="274"/>
      <c r="K60" s="465"/>
      <c r="L60" s="274"/>
      <c r="M60" s="471"/>
      <c r="N60" s="465"/>
      <c r="O60" s="274"/>
      <c r="P60" s="273"/>
      <c r="Q60" s="880">
        <f>177.9/2</f>
        <v>88.95</v>
      </c>
    </row>
    <row r="61" spans="1:17">
      <c r="A61" s="879" t="s">
        <v>2052</v>
      </c>
      <c r="B61" s="752" t="s">
        <v>1999</v>
      </c>
      <c r="C61" s="464"/>
      <c r="D61" s="108"/>
      <c r="E61" s="108"/>
      <c r="F61" s="274"/>
      <c r="G61" s="465"/>
      <c r="H61" s="274"/>
      <c r="I61" s="466"/>
      <c r="J61" s="274"/>
      <c r="K61" s="465"/>
      <c r="L61" s="274"/>
      <c r="M61" s="471"/>
      <c r="N61" s="465"/>
      <c r="O61" s="274"/>
      <c r="P61" s="273"/>
      <c r="Q61" s="880"/>
    </row>
    <row r="62" spans="1:17">
      <c r="A62" s="879" t="s">
        <v>2056</v>
      </c>
      <c r="B62" s="752" t="s">
        <v>2000</v>
      </c>
      <c r="C62" s="464" t="s">
        <v>40</v>
      </c>
      <c r="D62" s="108"/>
      <c r="E62" s="108"/>
      <c r="F62" s="274"/>
      <c r="G62" s="465">
        <v>0</v>
      </c>
      <c r="H62" s="274"/>
      <c r="I62" s="466"/>
      <c r="J62" s="274"/>
      <c r="K62" s="465"/>
      <c r="L62" s="274"/>
      <c r="M62" s="471"/>
      <c r="N62" s="465"/>
      <c r="O62" s="274"/>
      <c r="P62" s="273"/>
      <c r="Q62" s="880">
        <f>11.53*0.25*2*0.5+6.94*0.25*2*0.5+6.94*0.12*0.5+1.585*0.12*0.5</f>
        <v>5.1290000000000004</v>
      </c>
    </row>
    <row r="63" spans="1:17">
      <c r="A63" s="879" t="s">
        <v>2057</v>
      </c>
      <c r="B63" s="752" t="s">
        <v>2001</v>
      </c>
      <c r="C63" s="464" t="s">
        <v>37</v>
      </c>
      <c r="D63" s="108"/>
      <c r="E63" s="108"/>
      <c r="F63" s="274"/>
      <c r="G63" s="465">
        <v>0</v>
      </c>
      <c r="H63" s="274"/>
      <c r="I63" s="466"/>
      <c r="J63" s="274"/>
      <c r="K63" s="465"/>
      <c r="L63" s="274"/>
      <c r="M63" s="471"/>
      <c r="N63" s="465"/>
      <c r="O63" s="274"/>
      <c r="P63" s="273"/>
      <c r="Q63" s="880">
        <f>89.5*0.5</f>
        <v>44.75</v>
      </c>
    </row>
    <row r="64" spans="1:17">
      <c r="A64" s="879" t="s">
        <v>2058</v>
      </c>
      <c r="B64" s="752" t="s">
        <v>2002</v>
      </c>
      <c r="C64" s="464" t="s">
        <v>1938</v>
      </c>
      <c r="D64" s="108">
        <f t="shared" si="7"/>
        <v>0</v>
      </c>
      <c r="E64" s="108">
        <v>312.89</v>
      </c>
      <c r="F64" s="274">
        <f t="shared" si="3"/>
        <v>0</v>
      </c>
      <c r="G64" s="465">
        <v>0</v>
      </c>
      <c r="H64" s="274">
        <f t="shared" si="4"/>
        <v>0</v>
      </c>
      <c r="I64" s="466"/>
      <c r="J64" s="274">
        <f t="shared" si="8"/>
        <v>0</v>
      </c>
      <c r="K64" s="465">
        <f t="shared" si="9"/>
        <v>0</v>
      </c>
      <c r="L64" s="274">
        <f t="shared" si="5"/>
        <v>0</v>
      </c>
      <c r="M64" s="471" t="e">
        <f t="shared" si="6"/>
        <v>#DIV/0!</v>
      </c>
      <c r="N64" s="465">
        <f t="shared" si="0"/>
        <v>0</v>
      </c>
      <c r="O64" s="274">
        <f t="shared" si="1"/>
        <v>0</v>
      </c>
      <c r="P64" s="273" t="str">
        <f t="shared" si="2"/>
        <v/>
      </c>
      <c r="Q64" s="880">
        <v>88.95</v>
      </c>
    </row>
    <row r="65" spans="1:17">
      <c r="A65" s="878" t="s">
        <v>2059</v>
      </c>
      <c r="B65" s="539" t="s">
        <v>1211</v>
      </c>
      <c r="C65" s="747"/>
      <c r="D65" s="108"/>
      <c r="E65" s="108"/>
      <c r="F65" s="274"/>
      <c r="G65" s="465"/>
      <c r="H65" s="274"/>
      <c r="I65" s="466"/>
      <c r="J65" s="274"/>
      <c r="K65" s="465"/>
      <c r="L65" s="274"/>
      <c r="M65" s="471"/>
      <c r="N65" s="465"/>
      <c r="O65" s="274"/>
      <c r="P65" s="273"/>
      <c r="Q65" s="880"/>
    </row>
    <row r="66" spans="1:17">
      <c r="A66" s="879" t="s">
        <v>2060</v>
      </c>
      <c r="B66" s="752" t="s">
        <v>1949</v>
      </c>
      <c r="C66" s="747"/>
      <c r="D66" s="108"/>
      <c r="E66" s="108"/>
      <c r="F66" s="274"/>
      <c r="G66" s="465"/>
      <c r="H66" s="274"/>
      <c r="I66" s="466"/>
      <c r="J66" s="274"/>
      <c r="K66" s="465"/>
      <c r="L66" s="274"/>
      <c r="M66" s="471"/>
      <c r="N66" s="465"/>
      <c r="O66" s="274"/>
      <c r="P66" s="273"/>
      <c r="Q66" s="880"/>
    </row>
    <row r="67" spans="1:17">
      <c r="A67" s="879" t="s">
        <v>2061</v>
      </c>
      <c r="B67" s="752" t="s">
        <v>1950</v>
      </c>
      <c r="C67" s="747" t="s">
        <v>40</v>
      </c>
      <c r="D67" s="108">
        <f t="shared" si="7"/>
        <v>44.195199999999993</v>
      </c>
      <c r="E67" s="108">
        <v>312.89</v>
      </c>
      <c r="F67" s="274">
        <f t="shared" si="3"/>
        <v>13828.236127999997</v>
      </c>
      <c r="G67" s="886">
        <v>44.195199999999993</v>
      </c>
      <c r="H67" s="274">
        <f t="shared" si="4"/>
        <v>13828.236127999997</v>
      </c>
      <c r="I67" s="466"/>
      <c r="J67" s="274">
        <f t="shared" si="8"/>
        <v>0</v>
      </c>
      <c r="K67" s="465">
        <f t="shared" si="9"/>
        <v>44.195199999999993</v>
      </c>
      <c r="L67" s="274">
        <f t="shared" si="5"/>
        <v>13828.236127999997</v>
      </c>
      <c r="M67" s="471">
        <f t="shared" si="6"/>
        <v>1</v>
      </c>
      <c r="N67" s="465">
        <f t="shared" si="0"/>
        <v>0</v>
      </c>
      <c r="O67" s="274">
        <f t="shared" si="1"/>
        <v>0</v>
      </c>
      <c r="P67" s="273">
        <f t="shared" si="2"/>
        <v>0</v>
      </c>
      <c r="Q67" s="880">
        <f>28.62*1.7*2+3.66*1.7*2.4</f>
        <v>112.24080000000001</v>
      </c>
    </row>
    <row r="68" spans="1:17">
      <c r="A68" s="879" t="s">
        <v>2062</v>
      </c>
      <c r="B68" s="752" t="s">
        <v>2003</v>
      </c>
      <c r="C68" s="747"/>
      <c r="D68" s="108"/>
      <c r="E68" s="108"/>
      <c r="F68" s="274"/>
      <c r="G68" s="465"/>
      <c r="H68" s="274"/>
      <c r="I68" s="466"/>
      <c r="J68" s="274"/>
      <c r="K68" s="465"/>
      <c r="L68" s="274"/>
      <c r="M68" s="471"/>
      <c r="N68" s="465"/>
      <c r="O68" s="274"/>
      <c r="P68" s="273"/>
      <c r="Q68" s="880">
        <f>1.43*32.28+1.4*32.28</f>
        <v>91.352400000000003</v>
      </c>
    </row>
    <row r="69" spans="1:17" ht="12.75" customHeight="1">
      <c r="A69" s="575"/>
      <c r="B69" s="576" t="s">
        <v>59</v>
      </c>
      <c r="C69" s="565"/>
      <c r="D69" s="565"/>
      <c r="E69" s="617"/>
      <c r="F69" s="577">
        <f>SUM(F16:F16)</f>
        <v>87069.875800000009</v>
      </c>
      <c r="G69" s="2235"/>
      <c r="H69" s="577">
        <f>SUM(H16:H16)</f>
        <v>52854.875800000002</v>
      </c>
      <c r="I69" s="2236"/>
      <c r="J69" s="577">
        <f>SUM(J16:J68)</f>
        <v>55295.2117</v>
      </c>
      <c r="K69" s="620"/>
      <c r="L69" s="577">
        <f>SUM(L16:L16)</f>
        <v>87069.875800000009</v>
      </c>
      <c r="M69" s="24">
        <f>+L69/F69</f>
        <v>1</v>
      </c>
      <c r="N69" s="604"/>
      <c r="O69" s="577">
        <f>SUM(O16:O16)</f>
        <v>0</v>
      </c>
      <c r="P69" s="577">
        <f>O69/F69</f>
        <v>0</v>
      </c>
      <c r="Q69" s="880">
        <f>F69-L69</f>
        <v>0</v>
      </c>
    </row>
    <row r="70" spans="1:17" ht="12.75" hidden="1" customHeight="1">
      <c r="A70" s="575"/>
      <c r="B70" s="618" t="s">
        <v>256</v>
      </c>
      <c r="C70" s="619">
        <v>0.1037</v>
      </c>
      <c r="D70" s="565"/>
      <c r="E70" s="565"/>
      <c r="F70" s="577">
        <f t="shared" ref="F70:F75" si="10">F$69*C70</f>
        <v>9029.1461204600018</v>
      </c>
      <c r="G70" s="2235"/>
      <c r="H70" s="577">
        <f t="shared" ref="H70:H75" si="11">H$69*C70</f>
        <v>5481.0506204600006</v>
      </c>
      <c r="I70" s="2236"/>
      <c r="J70" s="577">
        <f t="shared" ref="J70:J75" si="12">J$69*C70</f>
        <v>5734.1134532899996</v>
      </c>
      <c r="K70" s="620"/>
      <c r="L70" s="577">
        <f t="shared" ref="L70:L75" si="13">L$69*C70</f>
        <v>9029.1461204600018</v>
      </c>
      <c r="M70" s="24"/>
      <c r="N70" s="604"/>
      <c r="O70" s="577">
        <f t="shared" ref="O70:O75" si="14">O$69*F70</f>
        <v>0</v>
      </c>
      <c r="P70" s="577"/>
      <c r="Q70" s="23"/>
    </row>
    <row r="71" spans="1:17" ht="12.75" hidden="1" customHeight="1">
      <c r="A71" s="575"/>
      <c r="B71" s="618" t="s">
        <v>252</v>
      </c>
      <c r="C71" s="619">
        <v>4.867316975427044E-2</v>
      </c>
      <c r="D71" s="565"/>
      <c r="E71" s="565"/>
      <c r="F71" s="577">
        <f t="shared" si="10"/>
        <v>4237.9668452966444</v>
      </c>
      <c r="G71" s="2235"/>
      <c r="H71" s="577">
        <f t="shared" si="11"/>
        <v>2572.6143421542806</v>
      </c>
      <c r="I71" s="2236"/>
      <c r="J71" s="577">
        <f t="shared" si="12"/>
        <v>2691.3932256724211</v>
      </c>
      <c r="K71" s="620"/>
      <c r="L71" s="577">
        <f t="shared" si="13"/>
        <v>4237.9668452966444</v>
      </c>
      <c r="M71" s="24">
        <f>+L71/F71</f>
        <v>1</v>
      </c>
      <c r="N71" s="604"/>
      <c r="O71" s="577">
        <f t="shared" si="14"/>
        <v>0</v>
      </c>
      <c r="P71" s="577"/>
      <c r="Q71" s="144" t="e">
        <f>#REF!+#REF!+#REF!+#REF!</f>
        <v>#REF!</v>
      </c>
    </row>
    <row r="72" spans="1:17" ht="12.75" hidden="1" customHeight="1">
      <c r="A72" s="575"/>
      <c r="B72" s="618" t="s">
        <v>253</v>
      </c>
      <c r="C72" s="619">
        <v>3.2295075957423222E-3</v>
      </c>
      <c r="D72" s="565"/>
      <c r="E72" s="565"/>
      <c r="F72" s="577">
        <f t="shared" si="10"/>
        <v>281.19282525644064</v>
      </c>
      <c r="G72" s="2235"/>
      <c r="H72" s="577">
        <f t="shared" si="11"/>
        <v>170.69522286811704</v>
      </c>
      <c r="I72" s="2236"/>
      <c r="J72" s="577">
        <f t="shared" si="12"/>
        <v>178.57630619332971</v>
      </c>
      <c r="K72" s="620"/>
      <c r="L72" s="577">
        <f t="shared" si="13"/>
        <v>281.19282525644064</v>
      </c>
      <c r="M72" s="24"/>
      <c r="N72" s="604"/>
      <c r="O72" s="577">
        <f t="shared" si="14"/>
        <v>0</v>
      </c>
      <c r="P72" s="577"/>
    </row>
    <row r="73" spans="1:17" ht="12.75" hidden="1" customHeight="1">
      <c r="A73" s="575"/>
      <c r="B73" s="618" t="s">
        <v>60</v>
      </c>
      <c r="C73" s="619">
        <v>2.9134033342151949E-2</v>
      </c>
      <c r="D73" s="565"/>
      <c r="E73" s="565"/>
      <c r="F73" s="577">
        <f t="shared" si="10"/>
        <v>2536.6966646542296</v>
      </c>
      <c r="G73" s="2235"/>
      <c r="H73" s="577">
        <f t="shared" si="11"/>
        <v>1539.8757138525002</v>
      </c>
      <c r="I73" s="2236"/>
      <c r="J73" s="577">
        <f t="shared" si="12"/>
        <v>1610.9725413291505</v>
      </c>
      <c r="K73" s="620"/>
      <c r="L73" s="577">
        <f t="shared" si="13"/>
        <v>2536.6966646542296</v>
      </c>
      <c r="M73" s="24"/>
      <c r="N73" s="604"/>
      <c r="O73" s="577">
        <f t="shared" si="14"/>
        <v>0</v>
      </c>
      <c r="P73" s="577"/>
    </row>
    <row r="74" spans="1:17" ht="12.75" hidden="1" customHeight="1">
      <c r="A74" s="575"/>
      <c r="B74" s="618" t="s">
        <v>254</v>
      </c>
      <c r="C74" s="619">
        <v>1.5387795225407752E-2</v>
      </c>
      <c r="D74" s="565"/>
      <c r="E74" s="565"/>
      <c r="F74" s="577">
        <f t="shared" si="10"/>
        <v>1339.8134191120862</v>
      </c>
      <c r="G74" s="2235"/>
      <c r="H74" s="577">
        <f t="shared" si="11"/>
        <v>813.3200054747598</v>
      </c>
      <c r="I74" s="2236"/>
      <c r="J74" s="577">
        <f t="shared" si="12"/>
        <v>850.87139458517083</v>
      </c>
      <c r="K74" s="620"/>
      <c r="L74" s="577">
        <f t="shared" si="13"/>
        <v>1339.8134191120862</v>
      </c>
      <c r="M74" s="24"/>
      <c r="N74" s="604"/>
      <c r="O74" s="577">
        <f t="shared" si="14"/>
        <v>0</v>
      </c>
      <c r="P74" s="577"/>
    </row>
    <row r="75" spans="1:17" ht="12.75" hidden="1" customHeight="1">
      <c r="A75" s="575"/>
      <c r="B75" s="618" t="s">
        <v>255</v>
      </c>
      <c r="C75" s="619">
        <v>5.9362432020489322E-3</v>
      </c>
      <c r="D75" s="565"/>
      <c r="E75" s="565"/>
      <c r="F75" s="577">
        <f t="shared" si="10"/>
        <v>516.86795832099483</v>
      </c>
      <c r="G75" s="2235"/>
      <c r="H75" s="577">
        <f t="shared" si="11"/>
        <v>313.75939716289065</v>
      </c>
      <c r="I75" s="2236"/>
      <c r="J75" s="577">
        <f t="shared" si="12"/>
        <v>328.2458245599816</v>
      </c>
      <c r="K75" s="620"/>
      <c r="L75" s="577">
        <f t="shared" si="13"/>
        <v>516.86795832099483</v>
      </c>
      <c r="M75" s="24"/>
      <c r="N75" s="604"/>
      <c r="O75" s="577">
        <f t="shared" si="14"/>
        <v>0</v>
      </c>
      <c r="P75" s="577"/>
    </row>
    <row r="76" spans="1:17" ht="12.75" customHeight="1">
      <c r="A76" s="575"/>
      <c r="B76" s="576" t="s">
        <v>61</v>
      </c>
      <c r="C76" s="565"/>
      <c r="D76" s="565"/>
      <c r="E76" s="565"/>
      <c r="F76" s="581">
        <f>SUM(F69)</f>
        <v>87069.875800000009</v>
      </c>
      <c r="G76" s="2235"/>
      <c r="H76" s="581">
        <f>SUM(H69:H75)</f>
        <v>63746.191101972552</v>
      </c>
      <c r="I76" s="2236"/>
      <c r="J76" s="581">
        <f>SUM(J69)</f>
        <v>55295.2117</v>
      </c>
      <c r="K76" s="620"/>
      <c r="L76" s="581">
        <f>SUM(L69)</f>
        <v>87069.875800000009</v>
      </c>
      <c r="M76" s="24">
        <f>+L76/F76</f>
        <v>1</v>
      </c>
      <c r="N76" s="604"/>
      <c r="O76" s="581">
        <f>SUM(O69)</f>
        <v>0</v>
      </c>
      <c r="P76" s="581"/>
    </row>
    <row r="77" spans="1:17">
      <c r="A77" s="567"/>
      <c r="B77" s="25"/>
      <c r="C77" s="3"/>
      <c r="D77" s="26"/>
      <c r="E77" s="1"/>
      <c r="F77" s="2"/>
      <c r="G77" s="2"/>
      <c r="H77" s="9"/>
      <c r="I77" s="2"/>
      <c r="J77" s="25"/>
      <c r="K77" s="27"/>
      <c r="L77" s="25"/>
      <c r="M77" s="25"/>
      <c r="N77" s="1"/>
      <c r="O77" s="25"/>
      <c r="P77" s="25"/>
    </row>
    <row r="78" spans="1:17" ht="13.5" thickBot="1">
      <c r="A78" s="15"/>
      <c r="B78" s="25"/>
      <c r="C78" s="3"/>
      <c r="D78" s="26"/>
      <c r="E78" s="1"/>
      <c r="F78" s="9"/>
      <c r="G78" s="2"/>
      <c r="H78" s="2"/>
      <c r="I78" s="2"/>
      <c r="J78" s="25"/>
      <c r="K78" s="27"/>
      <c r="L78" s="25"/>
      <c r="M78" s="25"/>
      <c r="N78" s="1"/>
      <c r="O78" s="25"/>
      <c r="P78" s="25"/>
    </row>
    <row r="79" spans="1:17" ht="14.25" thickBot="1">
      <c r="A79" s="21"/>
      <c r="B79" s="28"/>
      <c r="C79" s="2237" t="s">
        <v>62</v>
      </c>
      <c r="D79" s="2238"/>
      <c r="E79" s="2238"/>
      <c r="F79" s="2238"/>
      <c r="G79" s="2239"/>
      <c r="H79" s="29">
        <f>+H69/F69</f>
        <v>0.60703975185870196</v>
      </c>
      <c r="I79" s="42"/>
      <c r="J79" s="29">
        <f>+J69/F69</f>
        <v>0.635067079078112</v>
      </c>
      <c r="K79" s="30"/>
      <c r="L79" s="32"/>
      <c r="M79" s="29">
        <f>+L69/F69</f>
        <v>1</v>
      </c>
      <c r="N79" s="31"/>
      <c r="O79" s="32"/>
      <c r="P79" s="29">
        <f>+O69/F69</f>
        <v>0</v>
      </c>
    </row>
    <row r="80" spans="1:17" ht="13.5">
      <c r="A80" s="15"/>
      <c r="B80" s="25"/>
      <c r="C80" s="73"/>
      <c r="D80" s="33"/>
      <c r="E80" s="4"/>
      <c r="F80" s="34"/>
      <c r="G80" s="4"/>
      <c r="H80" s="35"/>
      <c r="I80" s="34"/>
      <c r="J80" s="35"/>
      <c r="K80" s="4"/>
      <c r="L80" s="35">
        <v>182991.13345200004</v>
      </c>
      <c r="M80" s="36"/>
      <c r="N80" s="37"/>
      <c r="O80" s="35"/>
      <c r="P80" s="38"/>
    </row>
    <row r="81" spans="1:16">
      <c r="A81" s="21"/>
      <c r="B81" s="21"/>
      <c r="C81" s="72"/>
      <c r="D81" s="22"/>
      <c r="E81" s="22"/>
      <c r="F81" s="22"/>
      <c r="G81" s="18"/>
      <c r="H81" s="19"/>
      <c r="I81" s="18"/>
      <c r="J81" s="19"/>
      <c r="K81" s="18"/>
      <c r="L81" s="19">
        <f>L69-L80</f>
        <v>-95921.257652000029</v>
      </c>
      <c r="M81" s="20"/>
      <c r="N81" s="18"/>
      <c r="O81" s="18"/>
      <c r="P81" s="20"/>
    </row>
    <row r="83" spans="1:16">
      <c r="H83" s="16">
        <v>146577.61263700004</v>
      </c>
    </row>
    <row r="84" spans="1:16">
      <c r="H84" s="23">
        <f>H69-H83</f>
        <v>-93722.736837000033</v>
      </c>
    </row>
    <row r="85" spans="1:16">
      <c r="H85" s="16" t="s">
        <v>290</v>
      </c>
    </row>
  </sheetData>
  <mergeCells count="29">
    <mergeCell ref="G69:G76"/>
    <mergeCell ref="I69:I76"/>
    <mergeCell ref="C79:G79"/>
    <mergeCell ref="K12:K13"/>
    <mergeCell ref="L12:L13"/>
    <mergeCell ref="D12:D13"/>
    <mergeCell ref="E12:E13"/>
    <mergeCell ref="F12:F13"/>
    <mergeCell ref="K11:M11"/>
    <mergeCell ref="G12:G13"/>
    <mergeCell ref="H12:H13"/>
    <mergeCell ref="I12:I13"/>
    <mergeCell ref="J12:J13"/>
    <mergeCell ref="D2:H2"/>
    <mergeCell ref="A3:P3"/>
    <mergeCell ref="D4:L4"/>
    <mergeCell ref="O4:P4"/>
    <mergeCell ref="A10:A13"/>
    <mergeCell ref="B10:B13"/>
    <mergeCell ref="C10:C13"/>
    <mergeCell ref="D10:F11"/>
    <mergeCell ref="G10:M10"/>
    <mergeCell ref="N10:P11"/>
    <mergeCell ref="M12:M13"/>
    <mergeCell ref="N12:N13"/>
    <mergeCell ref="O12:O13"/>
    <mergeCell ref="P12:P13"/>
    <mergeCell ref="G11:H11"/>
    <mergeCell ref="I11:J1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AY201"/>
  <sheetViews>
    <sheetView view="pageBreakPreview" topLeftCell="A146" zoomScale="80" zoomScaleNormal="70" zoomScaleSheetLayoutView="80" workbookViewId="0">
      <selection activeCell="D150" sqref="D150:AO150"/>
    </sheetView>
  </sheetViews>
  <sheetFormatPr baseColWidth="10" defaultColWidth="11.5703125" defaultRowHeight="15"/>
  <cols>
    <col min="1" max="2" width="1.42578125" style="1294" customWidth="1"/>
    <col min="3" max="3" width="1.5703125" style="1294" customWidth="1"/>
    <col min="4" max="4" width="11.5703125" style="1294"/>
    <col min="5" max="5" width="2.42578125" style="1294" customWidth="1"/>
    <col min="6" max="6" width="12.42578125" style="1294" customWidth="1"/>
    <col min="7" max="9" width="2.42578125" style="1294" customWidth="1"/>
    <col min="10" max="10" width="1.5703125" style="1294" customWidth="1"/>
    <col min="11" max="11" width="11.5703125" style="1294"/>
    <col min="12" max="13" width="1.5703125" style="1294" customWidth="1"/>
    <col min="14" max="14" width="2.140625" style="1294" customWidth="1"/>
    <col min="15" max="15" width="11.5703125" style="1294"/>
    <col min="16" max="17" width="2.5703125" style="1294" customWidth="1"/>
    <col min="18" max="18" width="9.5703125" style="1294" customWidth="1"/>
    <col min="19" max="21" width="2.5703125" style="1294" customWidth="1"/>
    <col min="22" max="22" width="11.5703125" style="1294"/>
    <col min="23" max="23" width="5" style="1294" customWidth="1"/>
    <col min="24" max="24" width="0.5703125" style="1294" customWidth="1"/>
    <col min="25" max="25" width="5" style="1294" customWidth="1"/>
    <col min="26" max="26" width="8.5703125" style="1294" customWidth="1"/>
    <col min="27" max="27" width="2.5703125" style="1294" customWidth="1"/>
    <col min="28" max="28" width="5.5703125" style="1294" customWidth="1"/>
    <col min="29" max="29" width="8.42578125" style="1294" customWidth="1"/>
    <col min="30" max="30" width="4.42578125" style="1294" customWidth="1"/>
    <col min="31" max="31" width="18.42578125" style="1294" customWidth="1"/>
    <col min="32" max="33" width="3.42578125" style="1294" customWidth="1"/>
    <col min="34" max="34" width="9.5703125" style="1294" customWidth="1"/>
    <col min="35" max="36" width="3.42578125" style="1294" customWidth="1"/>
    <col min="37" max="37" width="14.5703125" style="1294" customWidth="1"/>
    <col min="38" max="39" width="2.5703125" style="1294" customWidth="1"/>
    <col min="40" max="40" width="8" style="1294" customWidth="1"/>
    <col min="41" max="41" width="6" style="1294" customWidth="1"/>
    <col min="42" max="42" width="9" style="1294" customWidth="1"/>
    <col min="43" max="43" width="17.42578125" style="1294" bestFit="1" customWidth="1"/>
    <col min="44" max="44" width="13.42578125" style="1294" bestFit="1" customWidth="1"/>
    <col min="45" max="50" width="11.5703125" style="1294" bestFit="1" customWidth="1"/>
    <col min="51" max="51" width="13.42578125" style="1294" bestFit="1" customWidth="1"/>
    <col min="52" max="16384" width="11.5703125" style="1294"/>
  </cols>
  <sheetData>
    <row r="1" spans="1:42">
      <c r="A1" s="689"/>
      <c r="B1" s="2258" t="s">
        <v>1863</v>
      </c>
      <c r="C1" s="2258"/>
      <c r="D1" s="2258"/>
      <c r="E1" s="2258"/>
      <c r="F1" s="2258"/>
      <c r="G1" s="2258"/>
      <c r="H1" s="2258"/>
      <c r="I1" s="2258"/>
      <c r="J1" s="2258"/>
      <c r="K1" s="2258"/>
      <c r="L1" s="2258"/>
      <c r="M1" s="2258"/>
      <c r="N1" s="2258"/>
      <c r="O1" s="2258"/>
      <c r="P1" s="2258"/>
      <c r="Q1" s="2258"/>
      <c r="R1" s="2258"/>
      <c r="S1" s="2258"/>
      <c r="T1" s="2258"/>
      <c r="U1" s="2258"/>
      <c r="V1" s="2258"/>
      <c r="W1" s="2258"/>
      <c r="X1" s="2258"/>
      <c r="Y1" s="2258"/>
      <c r="Z1" s="2258"/>
      <c r="AA1" s="2258"/>
      <c r="AB1" s="2258"/>
      <c r="AC1" s="2258"/>
      <c r="AD1" s="2258"/>
      <c r="AE1" s="2258"/>
      <c r="AF1" s="2258"/>
      <c r="AG1" s="2258"/>
      <c r="AH1" s="2258"/>
      <c r="AI1" s="2258"/>
      <c r="AJ1" s="2258"/>
      <c r="AK1" s="2258"/>
      <c r="AL1" s="2258"/>
      <c r="AM1" s="2258"/>
      <c r="AN1" s="2258"/>
      <c r="AO1" s="2258"/>
      <c r="AP1" s="2258"/>
    </row>
    <row r="2" spans="1:42">
      <c r="A2" s="1325"/>
      <c r="B2" s="1326"/>
      <c r="C2" s="2259" t="s">
        <v>4351</v>
      </c>
      <c r="D2" s="2259"/>
      <c r="E2" s="2259"/>
      <c r="F2" s="2259"/>
      <c r="G2" s="2259"/>
      <c r="H2" s="2259"/>
      <c r="I2" s="2259"/>
      <c r="J2" s="2259"/>
      <c r="K2" s="2259"/>
      <c r="L2" s="2259"/>
      <c r="M2" s="2259"/>
      <c r="N2" s="2259"/>
      <c r="O2" s="2259"/>
      <c r="P2" s="2259"/>
      <c r="Q2" s="2259"/>
      <c r="R2" s="2259"/>
      <c r="S2" s="2259"/>
      <c r="T2" s="2259"/>
      <c r="U2" s="2259"/>
      <c r="V2" s="2259"/>
      <c r="W2" s="2259"/>
      <c r="X2" s="2259"/>
      <c r="Y2" s="2259"/>
      <c r="Z2" s="2259"/>
      <c r="AA2" s="2259"/>
      <c r="AB2" s="2259"/>
      <c r="AC2" s="2259"/>
      <c r="AD2" s="2259"/>
      <c r="AE2" s="2259"/>
      <c r="AF2" s="2259"/>
      <c r="AG2" s="2259"/>
      <c r="AH2" s="2259"/>
      <c r="AI2" s="2259"/>
      <c r="AJ2" s="2259"/>
      <c r="AK2" s="2259"/>
      <c r="AL2" s="2259"/>
      <c r="AM2" s="2259"/>
      <c r="AN2" s="2259"/>
      <c r="AO2" s="2259"/>
      <c r="AP2" s="1326"/>
    </row>
    <row r="3" spans="1:42">
      <c r="A3" s="1297"/>
      <c r="B3" s="2260" t="s">
        <v>4344</v>
      </c>
      <c r="C3" s="2260"/>
      <c r="D3" s="2260"/>
      <c r="E3" s="2260"/>
      <c r="F3" s="2260"/>
      <c r="G3" s="2260"/>
      <c r="H3" s="2260"/>
      <c r="I3" s="2260"/>
      <c r="J3" s="2260"/>
      <c r="K3" s="2260"/>
      <c r="L3" s="2260"/>
      <c r="M3" s="2260"/>
      <c r="N3" s="2260"/>
      <c r="O3" s="2260"/>
      <c r="P3" s="2260"/>
      <c r="Q3" s="2260"/>
      <c r="R3" s="2260"/>
      <c r="S3" s="2260"/>
      <c r="T3" s="2260"/>
      <c r="U3" s="2260"/>
      <c r="V3" s="2260"/>
      <c r="W3" s="2260"/>
      <c r="X3" s="2260"/>
      <c r="Y3" s="2260"/>
      <c r="Z3" s="2260"/>
      <c r="AA3" s="2260"/>
      <c r="AB3" s="2260"/>
      <c r="AC3" s="2260"/>
      <c r="AD3" s="2260"/>
      <c r="AE3" s="2260"/>
      <c r="AF3" s="2260"/>
      <c r="AG3" s="2260"/>
      <c r="AH3" s="2260"/>
      <c r="AI3" s="2260"/>
      <c r="AJ3" s="2260"/>
      <c r="AK3" s="2260"/>
      <c r="AL3" s="2260"/>
      <c r="AM3" s="2260"/>
      <c r="AN3" s="2260"/>
      <c r="AO3" s="2260"/>
      <c r="AP3" s="1297"/>
    </row>
    <row r="4" spans="1:42" ht="10.5" customHeight="1" thickBot="1">
      <c r="A4" s="687"/>
      <c r="B4" s="685"/>
      <c r="C4" s="685"/>
      <c r="D4" s="685"/>
      <c r="E4" s="685"/>
      <c r="F4" s="685"/>
      <c r="G4" s="685"/>
      <c r="H4" s="685"/>
      <c r="I4" s="685"/>
      <c r="J4" s="685"/>
      <c r="K4" s="685"/>
      <c r="L4" s="685"/>
      <c r="M4" s="685"/>
      <c r="N4" s="685"/>
      <c r="O4" s="685"/>
      <c r="P4" s="685"/>
      <c r="Q4" s="685"/>
      <c r="R4" s="685"/>
      <c r="S4" s="685"/>
      <c r="T4" s="685"/>
      <c r="U4" s="685"/>
      <c r="V4" s="685" t="s">
        <v>9</v>
      </c>
      <c r="W4" s="685"/>
      <c r="X4" s="685"/>
      <c r="Y4" s="685"/>
      <c r="Z4" s="685"/>
      <c r="AA4" s="685"/>
      <c r="AB4" s="685"/>
      <c r="AC4" s="685"/>
      <c r="AD4" s="685"/>
      <c r="AE4" s="685"/>
      <c r="AF4" s="685"/>
      <c r="AG4" s="685"/>
      <c r="AH4" s="685"/>
      <c r="AI4" s="685"/>
      <c r="AJ4" s="685"/>
      <c r="AK4" s="685"/>
      <c r="AL4" s="685"/>
      <c r="AM4" s="685"/>
      <c r="AN4" s="685"/>
      <c r="AO4" s="685"/>
      <c r="AP4" s="687"/>
    </row>
    <row r="5" spans="1:42" ht="21" customHeight="1" thickBot="1">
      <c r="A5" s="687"/>
      <c r="B5" s="685"/>
      <c r="C5" s="2261" t="s">
        <v>1864</v>
      </c>
      <c r="D5" s="2262"/>
      <c r="E5" s="2262"/>
      <c r="F5" s="2262"/>
      <c r="G5" s="2262"/>
      <c r="H5" s="2262"/>
      <c r="I5" s="2262"/>
      <c r="J5" s="2262"/>
      <c r="K5" s="2263"/>
      <c r="L5" s="681"/>
      <c r="M5" s="2264" t="s">
        <v>2236</v>
      </c>
      <c r="N5" s="2265"/>
      <c r="O5" s="2265"/>
      <c r="P5" s="2265"/>
      <c r="Q5" s="2265"/>
      <c r="R5" s="2265"/>
      <c r="S5" s="2265"/>
      <c r="T5" s="2265"/>
      <c r="U5" s="2265"/>
      <c r="V5" s="2265"/>
      <c r="W5" s="2265"/>
      <c r="X5" s="2265"/>
      <c r="Y5" s="2265"/>
      <c r="Z5" s="2265"/>
      <c r="AA5" s="2265"/>
      <c r="AB5" s="2265"/>
      <c r="AC5" s="2265"/>
      <c r="AD5" s="2265"/>
      <c r="AE5" s="2265"/>
      <c r="AF5" s="2265"/>
      <c r="AG5" s="2265"/>
      <c r="AH5" s="2265"/>
      <c r="AI5" s="2265"/>
      <c r="AJ5" s="2265"/>
      <c r="AK5" s="2265"/>
      <c r="AL5" s="2265"/>
      <c r="AM5" s="2265"/>
      <c r="AN5" s="2265"/>
      <c r="AO5" s="2266"/>
      <c r="AP5" s="687"/>
    </row>
    <row r="6" spans="1:42" ht="24" customHeight="1" thickBot="1">
      <c r="A6" s="687"/>
      <c r="B6" s="685"/>
      <c r="C6" s="2261" t="s">
        <v>1865</v>
      </c>
      <c r="D6" s="2262"/>
      <c r="E6" s="2262"/>
      <c r="F6" s="2262"/>
      <c r="G6" s="2262"/>
      <c r="H6" s="2262"/>
      <c r="I6" s="2262"/>
      <c r="J6" s="2262"/>
      <c r="K6" s="2263"/>
      <c r="L6" s="681"/>
      <c r="M6" s="2264" t="str">
        <f>M5</f>
        <v>MEJORAMIENTO DEL SERVICIO EDUCATIVO EN LA IEP N° 54002 SANTA ROSA E IES SANTA ROSA DEL DISTRITO DE ABANCAY, PROVINCIA DE ABANCAY – REGIÓN APURÍMAC</v>
      </c>
      <c r="N6" s="2265"/>
      <c r="O6" s="2265"/>
      <c r="P6" s="2265"/>
      <c r="Q6" s="2265"/>
      <c r="R6" s="2265"/>
      <c r="S6" s="2265"/>
      <c r="T6" s="2265"/>
      <c r="U6" s="2265"/>
      <c r="V6" s="2265"/>
      <c r="W6" s="2265"/>
      <c r="X6" s="2265"/>
      <c r="Y6" s="2265"/>
      <c r="Z6" s="2265"/>
      <c r="AA6" s="2265"/>
      <c r="AB6" s="2265"/>
      <c r="AC6" s="2265"/>
      <c r="AD6" s="2265"/>
      <c r="AE6" s="2265"/>
      <c r="AF6" s="2265"/>
      <c r="AG6" s="2265"/>
      <c r="AH6" s="2265"/>
      <c r="AI6" s="2265"/>
      <c r="AJ6" s="2265"/>
      <c r="AK6" s="2265"/>
      <c r="AL6" s="2265"/>
      <c r="AM6" s="2265"/>
      <c r="AN6" s="2265"/>
      <c r="AO6" s="2266"/>
      <c r="AP6" s="687"/>
    </row>
    <row r="7" spans="1:42">
      <c r="A7" s="687"/>
      <c r="B7" s="685"/>
      <c r="C7" s="2267" t="s">
        <v>1866</v>
      </c>
      <c r="D7" s="2268"/>
      <c r="E7" s="2268"/>
      <c r="F7" s="2268"/>
      <c r="G7" s="2268"/>
      <c r="H7" s="2268"/>
      <c r="I7" s="2268"/>
      <c r="J7" s="2268"/>
      <c r="K7" s="2269"/>
      <c r="L7" s="681"/>
      <c r="M7" s="2275" t="s">
        <v>67</v>
      </c>
      <c r="N7" s="2276"/>
      <c r="O7" s="2276"/>
      <c r="P7" s="2276"/>
      <c r="Q7" s="2276"/>
      <c r="R7" s="2276"/>
      <c r="S7" s="2276"/>
      <c r="T7" s="2276"/>
      <c r="U7" s="2276"/>
      <c r="V7" s="2276"/>
      <c r="W7" s="2276"/>
      <c r="X7" s="2276"/>
      <c r="Y7" s="2276"/>
      <c r="Z7" s="2276"/>
      <c r="AA7" s="2276"/>
      <c r="AB7" s="2276"/>
      <c r="AC7" s="2276"/>
      <c r="AD7" s="2276"/>
      <c r="AE7" s="2276"/>
      <c r="AF7" s="2276"/>
      <c r="AG7" s="2276"/>
      <c r="AH7" s="2276"/>
      <c r="AI7" s="2276"/>
      <c r="AJ7" s="2276"/>
      <c r="AK7" s="2276"/>
      <c r="AL7" s="2276"/>
      <c r="AM7" s="2276"/>
      <c r="AN7" s="2276"/>
      <c r="AO7" s="2277"/>
      <c r="AP7" s="687"/>
    </row>
    <row r="8" spans="1:42">
      <c r="A8" s="687"/>
      <c r="B8" s="685"/>
      <c r="C8" s="2267" t="s">
        <v>1867</v>
      </c>
      <c r="D8" s="2268"/>
      <c r="E8" s="2268"/>
      <c r="F8" s="2268"/>
      <c r="G8" s="2268"/>
      <c r="H8" s="2268"/>
      <c r="I8" s="2268"/>
      <c r="J8" s="2268"/>
      <c r="K8" s="2269"/>
      <c r="L8" s="681"/>
      <c r="M8" s="2267" t="s">
        <v>2235</v>
      </c>
      <c r="N8" s="2268"/>
      <c r="O8" s="2268"/>
      <c r="P8" s="2268"/>
      <c r="Q8" s="2268"/>
      <c r="R8" s="2268"/>
      <c r="S8" s="2268"/>
      <c r="T8" s="2268"/>
      <c r="U8" s="2268"/>
      <c r="V8" s="2268"/>
      <c r="W8" s="2268"/>
      <c r="X8" s="2268"/>
      <c r="Y8" s="2268"/>
      <c r="Z8" s="2268"/>
      <c r="AA8" s="2268"/>
      <c r="AB8" s="2268"/>
      <c r="AC8" s="2268"/>
      <c r="AD8" s="2268"/>
      <c r="AE8" s="2268"/>
      <c r="AF8" s="2268"/>
      <c r="AG8" s="2268"/>
      <c r="AH8" s="2268"/>
      <c r="AI8" s="2268"/>
      <c r="AJ8" s="2268"/>
      <c r="AK8" s="2268"/>
      <c r="AL8" s="2268"/>
      <c r="AM8" s="2268"/>
      <c r="AN8" s="2268"/>
      <c r="AO8" s="2269"/>
      <c r="AP8" s="687"/>
    </row>
    <row r="9" spans="1:42">
      <c r="A9" s="687"/>
      <c r="B9" s="685"/>
      <c r="C9" s="2267" t="s">
        <v>1868</v>
      </c>
      <c r="D9" s="2268"/>
      <c r="E9" s="2268"/>
      <c r="F9" s="2268"/>
      <c r="G9" s="2268"/>
      <c r="H9" s="2268"/>
      <c r="I9" s="2268"/>
      <c r="J9" s="2268"/>
      <c r="K9" s="2269"/>
      <c r="L9" s="681"/>
      <c r="M9" s="2267" t="s">
        <v>3640</v>
      </c>
      <c r="N9" s="2268"/>
      <c r="O9" s="2268"/>
      <c r="P9" s="2268"/>
      <c r="Q9" s="2268"/>
      <c r="R9" s="2268"/>
      <c r="S9" s="2268"/>
      <c r="T9" s="2268"/>
      <c r="U9" s="2268"/>
      <c r="V9" s="2268"/>
      <c r="W9" s="2268"/>
      <c r="X9" s="2268"/>
      <c r="Y9" s="2268"/>
      <c r="Z9" s="2268"/>
      <c r="AA9" s="2268"/>
      <c r="AB9" s="2268"/>
      <c r="AC9" s="2268"/>
      <c r="AD9" s="2268"/>
      <c r="AE9" s="2268"/>
      <c r="AF9" s="2268"/>
      <c r="AG9" s="2268"/>
      <c r="AH9" s="2268"/>
      <c r="AI9" s="2268"/>
      <c r="AJ9" s="2268"/>
      <c r="AK9" s="2268"/>
      <c r="AL9" s="2268"/>
      <c r="AM9" s="2268"/>
      <c r="AN9" s="2268"/>
      <c r="AO9" s="2269"/>
      <c r="AP9" s="687"/>
    </row>
    <row r="10" spans="1:42">
      <c r="A10" s="687"/>
      <c r="B10" s="685"/>
      <c r="C10" s="2267" t="s">
        <v>1869</v>
      </c>
      <c r="D10" s="2268"/>
      <c r="E10" s="2268"/>
      <c r="F10" s="2268"/>
      <c r="G10" s="2268"/>
      <c r="H10" s="2268"/>
      <c r="I10" s="2268"/>
      <c r="J10" s="2268"/>
      <c r="K10" s="2269"/>
      <c r="L10" s="681"/>
      <c r="M10" s="2267" t="s">
        <v>2245</v>
      </c>
      <c r="N10" s="2268"/>
      <c r="O10" s="2268"/>
      <c r="P10" s="2268"/>
      <c r="Q10" s="2268"/>
      <c r="R10" s="2268"/>
      <c r="S10" s="2268"/>
      <c r="T10" s="2268"/>
      <c r="U10" s="2268"/>
      <c r="V10" s="2268"/>
      <c r="W10" s="2268"/>
      <c r="X10" s="2268"/>
      <c r="Y10" s="2268"/>
      <c r="Z10" s="2268"/>
      <c r="AA10" s="2268"/>
      <c r="AB10" s="2268"/>
      <c r="AC10" s="2268"/>
      <c r="AD10" s="2268"/>
      <c r="AE10" s="2268"/>
      <c r="AF10" s="2268"/>
      <c r="AG10" s="2268"/>
      <c r="AH10" s="2268"/>
      <c r="AI10" s="2268"/>
      <c r="AJ10" s="2268"/>
      <c r="AK10" s="2268"/>
      <c r="AL10" s="2268"/>
      <c r="AM10" s="2268"/>
      <c r="AN10" s="2268"/>
      <c r="AO10" s="2269"/>
      <c r="AP10" s="687"/>
    </row>
    <row r="11" spans="1:42">
      <c r="A11" s="687"/>
      <c r="B11" s="685"/>
      <c r="C11" s="681"/>
      <c r="D11" s="681"/>
      <c r="E11" s="681"/>
      <c r="F11" s="681"/>
      <c r="G11" s="681"/>
      <c r="H11" s="681"/>
      <c r="I11" s="681"/>
      <c r="J11" s="681"/>
      <c r="K11" s="681"/>
      <c r="L11" s="681"/>
      <c r="M11" s="685"/>
      <c r="N11" s="685"/>
      <c r="O11" s="685"/>
      <c r="P11" s="685"/>
      <c r="Q11" s="685"/>
      <c r="R11" s="685"/>
      <c r="S11" s="685"/>
      <c r="T11" s="685"/>
      <c r="U11" s="685"/>
      <c r="V11" s="685"/>
      <c r="W11" s="685"/>
      <c r="X11" s="685"/>
      <c r="Y11" s="685"/>
      <c r="Z11" s="685"/>
      <c r="AA11" s="690"/>
      <c r="AB11" s="690"/>
      <c r="AC11" s="690"/>
      <c r="AD11" s="690"/>
      <c r="AE11" s="690"/>
      <c r="AF11" s="690"/>
      <c r="AG11" s="685"/>
      <c r="AH11" s="685"/>
      <c r="AI11" s="685"/>
      <c r="AJ11" s="685"/>
      <c r="AK11" s="685"/>
      <c r="AL11" s="685"/>
      <c r="AM11" s="685"/>
      <c r="AN11" s="685"/>
      <c r="AO11" s="685"/>
      <c r="AP11" s="687"/>
    </row>
    <row r="12" spans="1:42">
      <c r="A12" s="687"/>
      <c r="B12" s="685"/>
      <c r="C12" s="2267" t="s">
        <v>1870</v>
      </c>
      <c r="D12" s="2268"/>
      <c r="E12" s="2268"/>
      <c r="F12" s="2268"/>
      <c r="G12" s="2268"/>
      <c r="H12" s="2268"/>
      <c r="I12" s="2268"/>
      <c r="J12" s="2268"/>
      <c r="K12" s="2269"/>
      <c r="L12" s="681"/>
      <c r="M12" s="2270">
        <v>44561</v>
      </c>
      <c r="N12" s="2271"/>
      <c r="O12" s="2271"/>
      <c r="P12" s="2271"/>
      <c r="Q12" s="2271"/>
      <c r="R12" s="2271"/>
      <c r="S12" s="2271"/>
      <c r="T12" s="2271"/>
      <c r="U12" s="2271"/>
      <c r="V12" s="2271"/>
      <c r="W12" s="2271"/>
      <c r="X12" s="2271"/>
      <c r="Y12" s="2271"/>
      <c r="Z12" s="2271"/>
      <c r="AA12" s="2271"/>
      <c r="AB12" s="2271"/>
      <c r="AC12" s="2271"/>
      <c r="AD12" s="2271"/>
      <c r="AE12" s="2271"/>
      <c r="AF12" s="2271"/>
      <c r="AG12" s="2271"/>
      <c r="AH12" s="2271"/>
      <c r="AI12" s="2271"/>
      <c r="AJ12" s="2271"/>
      <c r="AK12" s="2271"/>
      <c r="AL12" s="2271"/>
      <c r="AM12" s="2271"/>
      <c r="AN12" s="2271"/>
      <c r="AO12" s="2272"/>
      <c r="AP12" s="687"/>
    </row>
    <row r="13" spans="1:42">
      <c r="A13" s="2273"/>
      <c r="B13" s="2273"/>
      <c r="C13" s="2273"/>
      <c r="D13" s="2273"/>
      <c r="E13" s="2273"/>
      <c r="F13" s="2273"/>
      <c r="G13" s="2273"/>
      <c r="H13" s="2273"/>
      <c r="I13" s="2273"/>
      <c r="J13" s="2273"/>
      <c r="K13" s="2273"/>
      <c r="L13" s="2273"/>
      <c r="M13" s="2273"/>
      <c r="N13" s="2273"/>
      <c r="O13" s="2273"/>
      <c r="P13" s="2273"/>
      <c r="Q13" s="2273"/>
      <c r="R13" s="2273"/>
      <c r="S13" s="2273"/>
      <c r="T13" s="2273"/>
      <c r="U13" s="2273"/>
      <c r="V13" s="2273"/>
      <c r="W13" s="2273"/>
      <c r="X13" s="2273"/>
      <c r="Y13" s="2273"/>
      <c r="Z13" s="2273"/>
      <c r="AA13" s="2273"/>
      <c r="AB13" s="2273"/>
      <c r="AC13" s="2273"/>
      <c r="AD13" s="2273"/>
      <c r="AE13" s="2273"/>
      <c r="AF13" s="2273"/>
      <c r="AG13" s="2273"/>
      <c r="AH13" s="2273"/>
      <c r="AI13" s="2273"/>
      <c r="AJ13" s="2273"/>
      <c r="AK13" s="2273"/>
      <c r="AL13" s="2273"/>
      <c r="AM13" s="2273"/>
      <c r="AN13" s="2273"/>
      <c r="AO13" s="2273"/>
      <c r="AP13" s="687"/>
    </row>
    <row r="14" spans="1:42" ht="12.75" customHeight="1">
      <c r="A14" s="2274" t="s">
        <v>1871</v>
      </c>
      <c r="B14" s="2274"/>
      <c r="C14" s="2274"/>
      <c r="D14" s="2274"/>
      <c r="E14" s="2274"/>
      <c r="F14" s="2274"/>
      <c r="G14" s="2274"/>
      <c r="H14" s="2274"/>
      <c r="I14" s="2274"/>
      <c r="J14" s="2274"/>
      <c r="K14" s="2273"/>
      <c r="L14" s="2273"/>
      <c r="M14" s="2273"/>
      <c r="N14" s="2273"/>
      <c r="O14" s="2273"/>
      <c r="P14" s="2273"/>
      <c r="Q14" s="2273"/>
      <c r="R14" s="2273"/>
      <c r="S14" s="2273"/>
      <c r="T14" s="2273"/>
      <c r="U14" s="2273"/>
      <c r="V14" s="2273"/>
      <c r="W14" s="2273"/>
      <c r="X14" s="2273"/>
      <c r="Y14" s="2273"/>
      <c r="Z14" s="2273"/>
      <c r="AA14" s="2273"/>
      <c r="AB14" s="2273"/>
      <c r="AC14" s="2273"/>
      <c r="AD14" s="2273"/>
      <c r="AE14" s="2273"/>
      <c r="AF14" s="2273"/>
      <c r="AG14" s="2273"/>
      <c r="AH14" s="2273"/>
      <c r="AI14" s="2273"/>
      <c r="AJ14" s="2273"/>
      <c r="AK14" s="2273"/>
      <c r="AL14" s="2273"/>
      <c r="AM14" s="2273"/>
      <c r="AN14" s="2273"/>
      <c r="AO14" s="2273"/>
      <c r="AP14" s="681"/>
    </row>
    <row r="15" spans="1:42" ht="12.75" customHeight="1">
      <c r="A15" s="2274"/>
      <c r="B15" s="2274"/>
      <c r="C15" s="2274"/>
      <c r="D15" s="2274"/>
      <c r="E15" s="2274"/>
      <c r="F15" s="2274"/>
      <c r="G15" s="2274"/>
      <c r="H15" s="2274"/>
      <c r="I15" s="2274"/>
      <c r="J15" s="2274"/>
      <c r="K15" s="2273"/>
      <c r="L15" s="2273"/>
      <c r="M15" s="2273"/>
      <c r="N15" s="2273"/>
      <c r="O15" s="2273"/>
      <c r="P15" s="2273"/>
      <c r="Q15" s="2273"/>
      <c r="R15" s="2273"/>
      <c r="S15" s="2273"/>
      <c r="T15" s="2273"/>
      <c r="U15" s="2273"/>
      <c r="V15" s="2273"/>
      <c r="W15" s="2273"/>
      <c r="X15" s="2273"/>
      <c r="Y15" s="2273"/>
      <c r="Z15" s="2273"/>
      <c r="AA15" s="2273"/>
      <c r="AB15" s="2273"/>
      <c r="AC15" s="2273"/>
      <c r="AD15" s="2273"/>
      <c r="AE15" s="2273"/>
      <c r="AF15" s="2273"/>
      <c r="AG15" s="2273"/>
      <c r="AH15" s="2273"/>
      <c r="AI15" s="2273"/>
      <c r="AJ15" s="2273"/>
      <c r="AK15" s="2273"/>
      <c r="AL15" s="2273"/>
      <c r="AM15" s="2273"/>
      <c r="AN15" s="2273"/>
      <c r="AO15" s="2273"/>
      <c r="AP15" s="681"/>
    </row>
    <row r="16" spans="1:42">
      <c r="A16" s="2274" t="s">
        <v>2179</v>
      </c>
      <c r="B16" s="2274"/>
      <c r="C16" s="2274"/>
      <c r="D16" s="2274"/>
      <c r="E16" s="2274"/>
      <c r="F16" s="2274"/>
      <c r="G16" s="2274"/>
      <c r="H16" s="2274"/>
      <c r="I16" s="2274"/>
      <c r="J16" s="2274"/>
      <c r="K16" s="2273"/>
      <c r="L16" s="2273"/>
      <c r="M16" s="2273"/>
      <c r="N16" s="2273"/>
      <c r="O16" s="2273"/>
      <c r="P16" s="2273"/>
      <c r="Q16" s="2273"/>
      <c r="R16" s="2273"/>
      <c r="S16" s="2273"/>
      <c r="T16" s="2273"/>
      <c r="U16" s="2273"/>
      <c r="V16" s="2273"/>
      <c r="W16" s="2273"/>
      <c r="X16" s="2273"/>
      <c r="Y16" s="2273"/>
      <c r="Z16" s="2273"/>
      <c r="AA16" s="2273"/>
      <c r="AB16" s="2273"/>
      <c r="AC16" s="2273"/>
      <c r="AD16" s="2273"/>
      <c r="AE16" s="2273"/>
      <c r="AF16" s="2273"/>
      <c r="AG16" s="2273"/>
      <c r="AH16" s="2273"/>
      <c r="AI16" s="2273"/>
      <c r="AJ16" s="2273"/>
      <c r="AK16" s="2273"/>
      <c r="AL16" s="2273"/>
      <c r="AM16" s="2273"/>
      <c r="AN16" s="2273"/>
      <c r="AO16" s="2273"/>
      <c r="AP16" s="681"/>
    </row>
    <row r="17" spans="1:42">
      <c r="A17" s="1986"/>
      <c r="B17" s="1986"/>
      <c r="C17" s="1986"/>
      <c r="D17" s="1992" t="s">
        <v>4318</v>
      </c>
      <c r="E17" s="1986"/>
      <c r="F17" s="1986"/>
      <c r="G17" s="1986"/>
      <c r="H17" s="1986"/>
      <c r="I17" s="1986"/>
      <c r="J17" s="1986"/>
      <c r="K17" s="681"/>
      <c r="L17" s="681"/>
      <c r="M17" s="681"/>
      <c r="N17" s="681"/>
      <c r="O17" s="681"/>
      <c r="P17" s="681"/>
      <c r="Q17" s="681"/>
      <c r="R17" s="681"/>
      <c r="S17" s="681"/>
      <c r="T17" s="681"/>
      <c r="U17" s="681"/>
      <c r="V17" s="681"/>
      <c r="W17" s="681"/>
      <c r="X17" s="681"/>
      <c r="Y17" s="681"/>
      <c r="Z17" s="681"/>
      <c r="AA17" s="681"/>
      <c r="AB17" s="681"/>
      <c r="AC17" s="681"/>
      <c r="AD17" s="681"/>
      <c r="AE17" s="681"/>
      <c r="AF17" s="681"/>
      <c r="AG17" s="681"/>
      <c r="AH17" s="681"/>
      <c r="AI17" s="681"/>
      <c r="AJ17" s="681"/>
      <c r="AK17" s="681"/>
      <c r="AL17" s="681"/>
      <c r="AM17" s="681"/>
      <c r="AN17" s="681"/>
      <c r="AO17" s="681"/>
      <c r="AP17" s="681"/>
    </row>
    <row r="18" spans="1:42">
      <c r="A18" s="681"/>
      <c r="B18" s="681"/>
      <c r="C18" s="681"/>
      <c r="D18" s="684"/>
      <c r="E18" s="684"/>
      <c r="F18" s="684"/>
      <c r="G18" s="684"/>
      <c r="H18" s="684"/>
      <c r="I18" s="684"/>
      <c r="J18" s="684"/>
      <c r="K18" s="681"/>
      <c r="L18" s="681"/>
      <c r="M18" s="681"/>
      <c r="N18" s="681"/>
      <c r="O18" s="681"/>
      <c r="P18" s="681"/>
      <c r="Q18" s="681"/>
      <c r="R18" s="681"/>
      <c r="S18" s="681"/>
      <c r="T18" s="681"/>
      <c r="U18" s="681"/>
      <c r="V18" s="681"/>
      <c r="W18" s="681"/>
      <c r="X18" s="681"/>
      <c r="Y18" s="681"/>
      <c r="Z18" s="681"/>
      <c r="AA18" s="681"/>
      <c r="AB18" s="681"/>
      <c r="AC18" s="681"/>
      <c r="AD18" s="681"/>
      <c r="AE18" s="681"/>
      <c r="AF18" s="681"/>
      <c r="AG18" s="681"/>
      <c r="AH18" s="681"/>
      <c r="AI18" s="681"/>
      <c r="AJ18" s="681"/>
      <c r="AK18" s="681"/>
      <c r="AL18" s="681"/>
      <c r="AM18" s="685"/>
      <c r="AN18" s="685"/>
      <c r="AO18" s="685"/>
      <c r="AP18" s="681"/>
    </row>
    <row r="19" spans="1:42">
      <c r="A19" s="681"/>
      <c r="B19" s="681"/>
      <c r="C19" s="682"/>
      <c r="D19" s="684"/>
      <c r="E19" s="684"/>
      <c r="F19" s="684"/>
      <c r="G19" s="684"/>
      <c r="H19" s="684"/>
      <c r="I19" s="684"/>
      <c r="J19" s="684"/>
      <c r="K19" s="683" t="s">
        <v>1872</v>
      </c>
      <c r="L19" s="2284" t="s">
        <v>10</v>
      </c>
      <c r="M19" s="2285"/>
      <c r="N19" s="2285"/>
      <c r="O19" s="2285"/>
      <c r="P19" s="2285"/>
      <c r="Q19" s="2285"/>
      <c r="R19" s="2285"/>
      <c r="S19" s="2285"/>
      <c r="T19" s="2285"/>
      <c r="U19" s="2285"/>
      <c r="V19" s="2285"/>
      <c r="W19" s="2286"/>
      <c r="X19" s="681"/>
      <c r="Y19" s="681"/>
      <c r="Z19" s="681"/>
      <c r="AA19" s="681"/>
      <c r="AB19" s="683" t="s">
        <v>1873</v>
      </c>
      <c r="AC19" s="2287" t="s">
        <v>536</v>
      </c>
      <c r="AD19" s="2288"/>
      <c r="AE19" s="2288"/>
      <c r="AF19" s="2288"/>
      <c r="AG19" s="2288"/>
      <c r="AH19" s="2288"/>
      <c r="AI19" s="2288"/>
      <c r="AJ19" s="2288"/>
      <c r="AK19" s="2288"/>
      <c r="AL19" s="2288"/>
      <c r="AM19" s="2288"/>
      <c r="AN19" s="2288"/>
      <c r="AO19" s="2289"/>
      <c r="AP19" s="681"/>
    </row>
    <row r="20" spans="1:42">
      <c r="A20" s="681"/>
      <c r="B20" s="681"/>
      <c r="C20" s="682"/>
      <c r="D20" s="684"/>
      <c r="E20" s="684"/>
      <c r="F20" s="684"/>
      <c r="G20" s="684"/>
      <c r="H20" s="684"/>
      <c r="I20" s="684"/>
      <c r="J20" s="684"/>
      <c r="K20" s="683"/>
      <c r="L20" s="684"/>
      <c r="M20" s="684"/>
      <c r="N20" s="684"/>
      <c r="O20" s="684"/>
      <c r="P20" s="684"/>
      <c r="Q20" s="684"/>
      <c r="R20" s="684"/>
      <c r="S20" s="684"/>
      <c r="T20" s="684"/>
      <c r="U20" s="684"/>
      <c r="V20" s="684"/>
      <c r="W20" s="684"/>
      <c r="X20" s="681"/>
      <c r="Y20" s="681"/>
      <c r="Z20" s="681"/>
      <c r="AA20" s="681"/>
      <c r="AB20" s="681"/>
      <c r="AC20" s="681"/>
      <c r="AD20" s="681"/>
      <c r="AE20" s="681"/>
      <c r="AF20" s="681"/>
      <c r="AG20" s="681"/>
      <c r="AH20" s="681"/>
      <c r="AI20" s="681"/>
      <c r="AJ20" s="681"/>
      <c r="AK20" s="681"/>
      <c r="AL20" s="681"/>
      <c r="AM20" s="685"/>
      <c r="AN20" s="685"/>
      <c r="AO20" s="685"/>
      <c r="AP20" s="681"/>
    </row>
    <row r="21" spans="1:42">
      <c r="A21" s="681"/>
      <c r="B21" s="681"/>
      <c r="C21" s="682"/>
      <c r="D21" s="684"/>
      <c r="E21" s="684"/>
      <c r="F21" s="684"/>
      <c r="G21" s="684"/>
      <c r="H21" s="684"/>
      <c r="I21" s="684"/>
      <c r="J21" s="684"/>
      <c r="K21" s="683" t="s">
        <v>1874</v>
      </c>
      <c r="L21" s="2284" t="s">
        <v>536</v>
      </c>
      <c r="M21" s="2285"/>
      <c r="N21" s="2285"/>
      <c r="O21" s="2285"/>
      <c r="P21" s="2285"/>
      <c r="Q21" s="2285"/>
      <c r="R21" s="2285"/>
      <c r="S21" s="2285"/>
      <c r="T21" s="2285"/>
      <c r="U21" s="2285"/>
      <c r="V21" s="2285"/>
      <c r="W21" s="2286"/>
      <c r="X21" s="681"/>
      <c r="Y21" s="686"/>
      <c r="Z21" s="686"/>
      <c r="AA21" s="686"/>
      <c r="AB21" s="686"/>
      <c r="AC21" s="686"/>
      <c r="AD21" s="686"/>
      <c r="AE21" s="686"/>
      <c r="AF21" s="686"/>
      <c r="AG21" s="686"/>
      <c r="AH21" s="686"/>
      <c r="AI21" s="686"/>
      <c r="AJ21" s="686"/>
      <c r="AK21" s="686"/>
      <c r="AL21" s="686"/>
      <c r="AM21" s="686"/>
      <c r="AN21" s="686"/>
      <c r="AO21" s="686"/>
      <c r="AP21" s="681"/>
    </row>
    <row r="22" spans="1:42">
      <c r="A22" s="681"/>
      <c r="B22" s="681"/>
      <c r="C22" s="682"/>
      <c r="D22" s="684"/>
      <c r="E22" s="684"/>
      <c r="F22" s="684"/>
      <c r="G22" s="684"/>
      <c r="H22" s="684"/>
      <c r="I22" s="684"/>
      <c r="J22" s="684"/>
      <c r="K22" s="683"/>
      <c r="L22" s="683"/>
      <c r="M22" s="683"/>
      <c r="N22" s="683"/>
      <c r="O22" s="683"/>
      <c r="P22" s="683"/>
      <c r="Q22" s="681"/>
      <c r="R22" s="681"/>
      <c r="S22" s="681"/>
      <c r="T22" s="681"/>
      <c r="U22" s="681"/>
      <c r="V22" s="681"/>
      <c r="W22" s="681"/>
      <c r="X22" s="681"/>
      <c r="Y22" s="681"/>
      <c r="Z22" s="681"/>
      <c r="AA22" s="681"/>
      <c r="AB22" s="681"/>
      <c r="AC22" s="681"/>
      <c r="AD22" s="681"/>
      <c r="AE22" s="681"/>
      <c r="AF22" s="681"/>
      <c r="AG22" s="681"/>
      <c r="AH22" s="681"/>
      <c r="AI22" s="681"/>
      <c r="AJ22" s="681"/>
      <c r="AK22" s="681"/>
      <c r="AL22" s="681"/>
      <c r="AM22" s="685"/>
      <c r="AN22" s="685"/>
      <c r="AO22" s="685"/>
      <c r="AP22" s="681"/>
    </row>
    <row r="23" spans="1:42">
      <c r="A23" s="681"/>
      <c r="B23" s="681"/>
      <c r="C23" s="682"/>
      <c r="D23" s="684"/>
      <c r="E23" s="684"/>
      <c r="F23" s="684"/>
      <c r="G23" s="684"/>
      <c r="H23" s="684"/>
      <c r="I23" s="684"/>
      <c r="J23" s="684"/>
      <c r="K23" s="683" t="s">
        <v>1875</v>
      </c>
      <c r="L23" s="2267" t="s">
        <v>2243</v>
      </c>
      <c r="M23" s="2268"/>
      <c r="N23" s="2268"/>
      <c r="O23" s="2268"/>
      <c r="P23" s="2268"/>
      <c r="Q23" s="2268"/>
      <c r="R23" s="2268"/>
      <c r="S23" s="2268"/>
      <c r="T23" s="2268"/>
      <c r="U23" s="2268"/>
      <c r="V23" s="2268"/>
      <c r="W23" s="2268"/>
      <c r="X23" s="2268"/>
      <c r="Y23" s="2268"/>
      <c r="Z23" s="2268"/>
      <c r="AA23" s="2268"/>
      <c r="AB23" s="2268"/>
      <c r="AC23" s="2268"/>
      <c r="AD23" s="2268"/>
      <c r="AE23" s="2268"/>
      <c r="AF23" s="2268"/>
      <c r="AG23" s="2268"/>
      <c r="AH23" s="2268"/>
      <c r="AI23" s="2268"/>
      <c r="AJ23" s="2268"/>
      <c r="AK23" s="2268"/>
      <c r="AL23" s="2268"/>
      <c r="AM23" s="2268"/>
      <c r="AN23" s="2268"/>
      <c r="AO23" s="2269"/>
      <c r="AP23" s="681"/>
    </row>
    <row r="24" spans="1:42" ht="9.75" customHeight="1">
      <c r="A24" s="681"/>
      <c r="B24" s="681"/>
      <c r="C24" s="682"/>
      <c r="D24" s="684"/>
      <c r="E24" s="684"/>
      <c r="F24" s="684"/>
      <c r="G24" s="684"/>
      <c r="H24" s="684"/>
      <c r="I24" s="684"/>
      <c r="J24" s="684"/>
      <c r="K24" s="681"/>
      <c r="L24" s="681"/>
      <c r="M24" s="681"/>
      <c r="N24" s="681"/>
      <c r="O24" s="681"/>
      <c r="P24" s="681"/>
      <c r="Q24" s="681"/>
      <c r="R24" s="681"/>
      <c r="S24" s="681"/>
      <c r="T24" s="681"/>
      <c r="U24" s="681"/>
      <c r="V24" s="681"/>
      <c r="W24" s="681"/>
      <c r="X24" s="681"/>
      <c r="Y24" s="681"/>
      <c r="Z24" s="681"/>
      <c r="AA24" s="681"/>
      <c r="AB24" s="681"/>
      <c r="AC24" s="681"/>
      <c r="AD24" s="681"/>
      <c r="AE24" s="681"/>
      <c r="AF24" s="681"/>
      <c r="AG24" s="681"/>
      <c r="AH24" s="681"/>
      <c r="AI24" s="681"/>
      <c r="AJ24" s="681"/>
      <c r="AK24" s="681"/>
      <c r="AL24" s="681"/>
      <c r="AM24" s="685"/>
      <c r="AN24" s="685"/>
      <c r="AO24" s="685"/>
      <c r="AP24" s="681"/>
    </row>
    <row r="25" spans="1:42" ht="12" customHeight="1">
      <c r="A25" s="681"/>
      <c r="B25" s="681"/>
      <c r="C25" s="682"/>
      <c r="D25" s="1992" t="s">
        <v>4319</v>
      </c>
      <c r="E25" s="684"/>
      <c r="F25" s="684"/>
      <c r="G25" s="684"/>
      <c r="H25" s="684"/>
      <c r="I25" s="684"/>
      <c r="J25" s="684"/>
      <c r="K25" s="681"/>
      <c r="L25" s="681"/>
      <c r="M25" s="681"/>
      <c r="N25" s="681"/>
      <c r="O25" s="681"/>
      <c r="P25" s="681"/>
      <c r="Q25" s="681"/>
      <c r="R25" s="681"/>
      <c r="S25" s="681"/>
      <c r="T25" s="681"/>
      <c r="U25" s="681"/>
      <c r="V25" s="681"/>
      <c r="W25" s="681"/>
      <c r="X25" s="681"/>
      <c r="Y25" s="681"/>
      <c r="Z25" s="681"/>
      <c r="AA25" s="681"/>
      <c r="AB25" s="681"/>
      <c r="AC25" s="681"/>
      <c r="AD25" s="681"/>
      <c r="AE25" s="681"/>
      <c r="AF25" s="681"/>
      <c r="AG25" s="681"/>
      <c r="AH25" s="681"/>
      <c r="AI25" s="681"/>
      <c r="AJ25" s="681"/>
      <c r="AK25" s="681"/>
      <c r="AL25" s="681"/>
      <c r="AM25" s="685"/>
      <c r="AN25" s="685"/>
      <c r="AO25" s="685"/>
      <c r="AP25" s="681"/>
    </row>
    <row r="26" spans="1:42" ht="9.75" customHeight="1">
      <c r="A26" s="681"/>
      <c r="B26" s="681"/>
      <c r="C26" s="682"/>
      <c r="D26" s="684"/>
      <c r="E26" s="684"/>
      <c r="F26" s="684"/>
      <c r="G26" s="684"/>
      <c r="H26" s="684"/>
      <c r="I26" s="684"/>
      <c r="J26" s="684"/>
      <c r="K26" s="681"/>
      <c r="L26" s="681"/>
      <c r="M26" s="681"/>
      <c r="N26" s="681"/>
      <c r="O26" s="681"/>
      <c r="P26" s="681"/>
      <c r="Q26" s="681"/>
      <c r="R26" s="681"/>
      <c r="S26" s="681"/>
      <c r="T26" s="681"/>
      <c r="U26" s="681"/>
      <c r="V26" s="681"/>
      <c r="W26" s="681"/>
      <c r="X26" s="681"/>
      <c r="Y26" s="681"/>
      <c r="Z26" s="681"/>
      <c r="AA26" s="681"/>
      <c r="AB26" s="681"/>
      <c r="AC26" s="681"/>
      <c r="AD26" s="681"/>
      <c r="AE26" s="681"/>
      <c r="AF26" s="681"/>
      <c r="AG26" s="681"/>
      <c r="AH26" s="681"/>
      <c r="AI26" s="681"/>
      <c r="AJ26" s="681"/>
      <c r="AK26" s="681"/>
      <c r="AL26" s="681"/>
      <c r="AM26" s="685"/>
      <c r="AN26" s="685"/>
      <c r="AO26" s="685"/>
      <c r="AP26" s="681"/>
    </row>
    <row r="27" spans="1:42" ht="13.9" customHeight="1">
      <c r="A27" s="681"/>
      <c r="B27" s="681"/>
      <c r="C27" s="682"/>
      <c r="D27" s="684"/>
      <c r="E27" s="684"/>
      <c r="F27" s="687" t="s">
        <v>8</v>
      </c>
      <c r="G27" s="687"/>
      <c r="H27" s="684"/>
      <c r="I27" s="684"/>
      <c r="J27" s="684"/>
      <c r="K27" s="681"/>
      <c r="L27" s="1239" t="s">
        <v>4</v>
      </c>
      <c r="M27" s="687" t="s">
        <v>533</v>
      </c>
      <c r="N27" s="681"/>
      <c r="O27" s="681"/>
      <c r="P27" s="681"/>
      <c r="Q27" s="681"/>
      <c r="R27" s="681"/>
      <c r="S27" s="681"/>
      <c r="T27" s="681"/>
      <c r="U27" s="681"/>
      <c r="V27" s="681"/>
      <c r="W27" s="681"/>
      <c r="X27" s="681"/>
      <c r="Y27" s="681"/>
      <c r="Z27" s="681"/>
      <c r="AA27" s="681"/>
      <c r="AB27" s="681"/>
      <c r="AC27" s="681"/>
      <c r="AD27" s="681"/>
      <c r="AE27" s="681"/>
      <c r="AF27" s="681"/>
      <c r="AG27" s="681"/>
      <c r="AH27" s="681"/>
      <c r="AI27" s="681"/>
      <c r="AJ27" s="681"/>
      <c r="AK27" s="681"/>
      <c r="AL27" s="681"/>
      <c r="AM27" s="685"/>
      <c r="AN27" s="685"/>
      <c r="AO27" s="685"/>
      <c r="AP27" s="681"/>
    </row>
    <row r="28" spans="1:42" ht="13.9" customHeight="1">
      <c r="A28" s="681"/>
      <c r="B28" s="681"/>
      <c r="C28" s="682"/>
      <c r="D28" s="684"/>
      <c r="E28" s="684"/>
      <c r="F28" s="687" t="s">
        <v>7</v>
      </c>
      <c r="G28" s="687"/>
      <c r="H28" s="684"/>
      <c r="I28" s="684"/>
      <c r="J28" s="684"/>
      <c r="K28" s="681"/>
      <c r="L28" s="1239" t="s">
        <v>4</v>
      </c>
      <c r="M28" s="687" t="s">
        <v>1848</v>
      </c>
      <c r="N28" s="681"/>
      <c r="O28" s="681"/>
      <c r="P28" s="681"/>
      <c r="Q28" s="681"/>
      <c r="R28" s="681"/>
      <c r="S28" s="681"/>
      <c r="T28" s="681"/>
      <c r="U28" s="681"/>
      <c r="V28" s="681"/>
      <c r="W28" s="681"/>
      <c r="X28" s="681"/>
      <c r="Y28" s="681"/>
      <c r="Z28" s="681"/>
      <c r="AA28" s="681"/>
      <c r="AB28" s="681"/>
      <c r="AC28" s="681"/>
      <c r="AD28" s="681"/>
      <c r="AE28" s="681"/>
      <c r="AF28" s="681"/>
      <c r="AG28" s="681"/>
      <c r="AH28" s="681"/>
      <c r="AI28" s="681"/>
      <c r="AJ28" s="681"/>
      <c r="AK28" s="681"/>
      <c r="AL28" s="681"/>
      <c r="AM28" s="685"/>
      <c r="AN28" s="685"/>
      <c r="AO28" s="685"/>
      <c r="AP28" s="681"/>
    </row>
    <row r="29" spans="1:42" ht="13.9" customHeight="1">
      <c r="A29" s="681"/>
      <c r="B29" s="681"/>
      <c r="C29" s="682"/>
      <c r="D29" s="684"/>
      <c r="E29" s="684"/>
      <c r="F29" s="1985" t="s">
        <v>1849</v>
      </c>
      <c r="G29" s="1985"/>
      <c r="H29" s="681"/>
      <c r="I29" s="684"/>
      <c r="J29" s="684"/>
      <c r="K29" s="681"/>
      <c r="L29" s="1239" t="s">
        <v>4</v>
      </c>
      <c r="M29" s="687" t="s">
        <v>2246</v>
      </c>
      <c r="N29" s="681"/>
      <c r="O29" s="681"/>
      <c r="P29" s="681"/>
      <c r="Q29" s="681"/>
      <c r="R29" s="681"/>
      <c r="S29" s="681"/>
      <c r="T29" s="681"/>
      <c r="U29" s="681"/>
      <c r="V29" s="681"/>
      <c r="W29" s="681"/>
      <c r="X29" s="681"/>
      <c r="Y29" s="681"/>
      <c r="Z29" s="681"/>
      <c r="AA29" s="681"/>
      <c r="AB29" s="681"/>
      <c r="AC29" s="681"/>
      <c r="AD29" s="681"/>
      <c r="AE29" s="681"/>
      <c r="AF29" s="681"/>
      <c r="AG29" s="681"/>
      <c r="AH29" s="681"/>
      <c r="AI29" s="681"/>
      <c r="AJ29" s="681"/>
      <c r="AK29" s="681"/>
      <c r="AL29" s="681"/>
      <c r="AM29" s="685"/>
      <c r="AN29" s="685"/>
      <c r="AO29" s="685"/>
      <c r="AP29" s="681"/>
    </row>
    <row r="30" spans="1:42" ht="13.9" customHeight="1">
      <c r="A30" s="681"/>
      <c r="B30" s="681"/>
      <c r="C30" s="682"/>
      <c r="D30" s="684"/>
      <c r="E30" s="684"/>
      <c r="F30" s="1990" t="s">
        <v>6</v>
      </c>
      <c r="G30" s="1985"/>
      <c r="H30" s="681"/>
      <c r="I30" s="684"/>
      <c r="J30" s="684"/>
      <c r="K30" s="681"/>
      <c r="L30" s="1239" t="s">
        <v>4</v>
      </c>
      <c r="M30" s="2290" t="str">
        <f>M5</f>
        <v>MEJORAMIENTO DEL SERVICIO EDUCATIVO EN LA IEP N° 54002 SANTA ROSA E IES SANTA ROSA DEL DISTRITO DE ABANCAY, PROVINCIA DE ABANCAY – REGIÓN APURÍMAC</v>
      </c>
      <c r="N30" s="2290"/>
      <c r="O30" s="2290"/>
      <c r="P30" s="2290"/>
      <c r="Q30" s="2290"/>
      <c r="R30" s="2290"/>
      <c r="S30" s="2290"/>
      <c r="T30" s="2290"/>
      <c r="U30" s="2290"/>
      <c r="V30" s="2290"/>
      <c r="W30" s="2290"/>
      <c r="X30" s="2290"/>
      <c r="Y30" s="2290"/>
      <c r="Z30" s="2290"/>
      <c r="AA30" s="2290"/>
      <c r="AB30" s="2290"/>
      <c r="AC30" s="2290"/>
      <c r="AD30" s="2290"/>
      <c r="AE30" s="2290"/>
      <c r="AF30" s="2290"/>
      <c r="AG30" s="2290"/>
      <c r="AH30" s="2290"/>
      <c r="AI30" s="2290"/>
      <c r="AJ30" s="2290"/>
      <c r="AK30" s="2290"/>
      <c r="AL30" s="2290"/>
      <c r="AM30" s="2290"/>
      <c r="AN30" s="2290"/>
      <c r="AO30" s="2290"/>
      <c r="AP30" s="684"/>
    </row>
    <row r="31" spans="1:42" ht="13.9" customHeight="1">
      <c r="A31" s="681"/>
      <c r="B31" s="681"/>
      <c r="C31" s="682"/>
      <c r="D31" s="684"/>
      <c r="E31" s="684"/>
      <c r="F31" s="2291" t="s">
        <v>5</v>
      </c>
      <c r="G31" s="2291"/>
      <c r="H31" s="681"/>
      <c r="I31" s="684"/>
      <c r="J31" s="684"/>
      <c r="K31" s="681"/>
      <c r="L31" s="1239" t="s">
        <v>4</v>
      </c>
      <c r="M31" s="2292" t="s">
        <v>2244</v>
      </c>
      <c r="N31" s="2292"/>
      <c r="O31" s="2292"/>
      <c r="P31" s="2292"/>
      <c r="Q31" s="2292"/>
      <c r="R31" s="2292"/>
      <c r="S31" s="2292"/>
      <c r="T31" s="2292"/>
      <c r="U31" s="2292"/>
      <c r="V31" s="2292"/>
      <c r="W31" s="2292"/>
      <c r="X31" s="2292"/>
      <c r="Y31" s="2292"/>
      <c r="Z31" s="2292"/>
      <c r="AA31" s="2292"/>
      <c r="AB31" s="2292"/>
      <c r="AC31" s="2292"/>
      <c r="AD31" s="2292"/>
      <c r="AE31" s="2292"/>
      <c r="AF31" s="2292"/>
      <c r="AG31" s="2292"/>
      <c r="AH31" s="2292"/>
      <c r="AI31" s="2292"/>
      <c r="AJ31" s="2292"/>
      <c r="AK31" s="2292"/>
      <c r="AL31" s="2292"/>
      <c r="AM31" s="2292"/>
      <c r="AN31" s="2292"/>
      <c r="AO31" s="685"/>
      <c r="AP31" s="681"/>
    </row>
    <row r="32" spans="1:42" ht="13.9" customHeight="1">
      <c r="A32" s="681"/>
      <c r="B32" s="681"/>
      <c r="C32" s="682"/>
      <c r="D32" s="684"/>
      <c r="E32" s="684"/>
      <c r="F32" s="1991" t="s">
        <v>1850</v>
      </c>
      <c r="G32" s="1985"/>
      <c r="H32" s="681"/>
      <c r="I32" s="684"/>
      <c r="J32" s="684"/>
      <c r="K32" s="681"/>
      <c r="L32" s="1239" t="s">
        <v>4</v>
      </c>
      <c r="M32" s="2278"/>
      <c r="N32" s="2278"/>
      <c r="O32" s="2278"/>
      <c r="P32" s="2278"/>
      <c r="Q32" s="2278"/>
      <c r="R32" s="2278"/>
      <c r="S32" s="2278"/>
      <c r="T32" s="2278"/>
      <c r="U32" s="2278"/>
      <c r="V32" s="2278"/>
      <c r="W32" s="2278"/>
      <c r="X32" s="2278"/>
      <c r="Y32" s="2278"/>
      <c r="Z32" s="2278"/>
      <c r="AA32" s="2278"/>
      <c r="AB32" s="2278"/>
      <c r="AC32" s="2278"/>
      <c r="AD32" s="2278"/>
      <c r="AE32" s="2278"/>
      <c r="AF32" s="2278"/>
      <c r="AG32" s="2278"/>
      <c r="AH32" s="2278"/>
      <c r="AI32" s="2278"/>
      <c r="AJ32" s="2278"/>
      <c r="AK32" s="2278"/>
      <c r="AL32" s="2278"/>
      <c r="AM32" s="2278"/>
      <c r="AN32" s="2278"/>
      <c r="AO32" s="685"/>
      <c r="AP32" s="681"/>
    </row>
    <row r="33" spans="1:43" ht="13.9" customHeight="1">
      <c r="A33" s="681"/>
      <c r="B33" s="681"/>
      <c r="C33" s="682"/>
      <c r="D33" s="684"/>
      <c r="E33" s="684"/>
      <c r="F33" s="1985" t="s">
        <v>1876</v>
      </c>
      <c r="G33" s="687"/>
      <c r="H33" s="684"/>
      <c r="I33" s="684"/>
      <c r="J33" s="684"/>
      <c r="K33" s="681"/>
      <c r="L33" s="1239" t="s">
        <v>4</v>
      </c>
      <c r="M33" s="687" t="s">
        <v>11</v>
      </c>
      <c r="N33" s="681"/>
      <c r="O33" s="681"/>
      <c r="P33" s="681"/>
      <c r="Q33" s="681"/>
      <c r="R33" s="681"/>
      <c r="S33" s="681"/>
      <c r="T33" s="681"/>
      <c r="U33" s="681"/>
      <c r="V33" s="681"/>
      <c r="W33" s="681"/>
      <c r="X33" s="681"/>
      <c r="Y33" s="681"/>
      <c r="Z33" s="681"/>
      <c r="AA33" s="681"/>
      <c r="AB33" s="681"/>
      <c r="AC33" s="681"/>
      <c r="AD33" s="681"/>
      <c r="AE33" s="681"/>
      <c r="AF33" s="681"/>
      <c r="AG33" s="681"/>
      <c r="AH33" s="681"/>
      <c r="AI33" s="681"/>
      <c r="AJ33" s="681"/>
      <c r="AK33" s="681"/>
      <c r="AL33" s="681"/>
      <c r="AM33" s="685"/>
      <c r="AN33" s="685"/>
      <c r="AO33" s="685"/>
      <c r="AP33" s="681"/>
    </row>
    <row r="34" spans="1:43" ht="6.75" customHeight="1">
      <c r="A34" s="681"/>
      <c r="B34" s="681"/>
      <c r="C34" s="682"/>
      <c r="D34" s="684"/>
      <c r="E34" s="684"/>
      <c r="F34" s="684"/>
      <c r="G34" s="684"/>
      <c r="H34" s="684"/>
      <c r="I34" s="684"/>
      <c r="J34" s="684"/>
      <c r="K34" s="681"/>
      <c r="L34" s="681"/>
      <c r="M34" s="681"/>
      <c r="N34" s="681"/>
      <c r="O34" s="681"/>
      <c r="P34" s="681"/>
      <c r="Q34" s="681"/>
      <c r="R34" s="681"/>
      <c r="S34" s="681"/>
      <c r="T34" s="681"/>
      <c r="U34" s="681"/>
      <c r="V34" s="681"/>
      <c r="W34" s="681"/>
      <c r="X34" s="681"/>
      <c r="Y34" s="681"/>
      <c r="Z34" s="681"/>
      <c r="AA34" s="681"/>
      <c r="AB34" s="681"/>
      <c r="AC34" s="681"/>
      <c r="AD34" s="681"/>
      <c r="AE34" s="681"/>
      <c r="AF34" s="681"/>
      <c r="AG34" s="681"/>
      <c r="AH34" s="681"/>
      <c r="AI34" s="681"/>
      <c r="AJ34" s="681"/>
      <c r="AK34" s="681"/>
      <c r="AL34" s="681"/>
      <c r="AM34" s="685"/>
      <c r="AN34" s="685"/>
      <c r="AO34" s="685"/>
      <c r="AP34" s="681"/>
    </row>
    <row r="35" spans="1:43" ht="23.45" customHeight="1">
      <c r="A35" s="681"/>
      <c r="B35" s="681"/>
      <c r="C35" s="682"/>
      <c r="D35" s="1992" t="s">
        <v>4320</v>
      </c>
      <c r="E35" s="684"/>
      <c r="F35" s="684"/>
      <c r="G35" s="684"/>
      <c r="H35" s="684"/>
      <c r="I35" s="684"/>
      <c r="J35" s="684"/>
      <c r="K35" s="681"/>
      <c r="L35" s="681"/>
      <c r="M35" s="681"/>
      <c r="N35" s="681"/>
      <c r="O35" s="681"/>
      <c r="P35" s="681"/>
      <c r="Q35" s="681"/>
      <c r="R35" s="681"/>
      <c r="S35" s="681"/>
      <c r="T35" s="681"/>
      <c r="U35" s="681"/>
      <c r="V35" s="681"/>
      <c r="W35" s="681"/>
      <c r="X35" s="681"/>
      <c r="Y35" s="681"/>
      <c r="Z35" s="681"/>
      <c r="AA35" s="681"/>
      <c r="AB35" s="681"/>
      <c r="AC35" s="681"/>
      <c r="AD35" s="681"/>
      <c r="AE35" s="681"/>
      <c r="AF35" s="681"/>
      <c r="AG35" s="681"/>
      <c r="AH35" s="681"/>
      <c r="AI35" s="681"/>
      <c r="AJ35" s="681"/>
      <c r="AK35" s="681"/>
      <c r="AL35" s="681"/>
      <c r="AM35" s="685"/>
      <c r="AN35" s="685"/>
      <c r="AO35" s="685"/>
      <c r="AP35" s="681"/>
    </row>
    <row r="36" spans="1:43">
      <c r="A36" s="681"/>
      <c r="B36" s="681"/>
      <c r="C36" s="682"/>
      <c r="D36" s="684"/>
      <c r="E36" s="684"/>
      <c r="F36" s="2279" t="s">
        <v>23</v>
      </c>
      <c r="G36" s="2279"/>
      <c r="H36" s="2279"/>
      <c r="I36" s="2279"/>
      <c r="J36" s="2279"/>
      <c r="K36" s="2279"/>
      <c r="L36" s="2279"/>
      <c r="M36" s="2279"/>
      <c r="N36" s="2279"/>
      <c r="O36" s="2279"/>
      <c r="P36" s="2279"/>
      <c r="Q36" s="681"/>
      <c r="R36" s="681"/>
      <c r="S36" s="1239" t="s">
        <v>4</v>
      </c>
      <c r="T36" s="681" t="s">
        <v>1</v>
      </c>
      <c r="U36" s="681"/>
      <c r="V36" s="2280">
        <v>26822242.739999998</v>
      </c>
      <c r="W36" s="2280"/>
      <c r="X36" s="2280"/>
      <c r="Y36" s="2280"/>
      <c r="Z36" s="2280"/>
      <c r="AA36" s="2280"/>
      <c r="AB36" s="2280"/>
      <c r="AC36" s="2280"/>
      <c r="AD36" s="2280"/>
      <c r="AE36" s="2280"/>
      <c r="AF36" s="2280"/>
      <c r="AG36" s="2280"/>
      <c r="AH36" s="2280"/>
      <c r="AI36" s="2280"/>
      <c r="AJ36" s="2280"/>
      <c r="AK36" s="2280"/>
      <c r="AL36" s="681"/>
      <c r="AM36" s="685"/>
      <c r="AN36" s="685"/>
      <c r="AO36" s="685"/>
      <c r="AP36" s="681"/>
    </row>
    <row r="37" spans="1:43">
      <c r="A37" s="681"/>
      <c r="B37" s="681"/>
      <c r="C37" s="682"/>
      <c r="D37" s="684"/>
      <c r="E37" s="684"/>
      <c r="F37" s="684" t="s">
        <v>1877</v>
      </c>
      <c r="G37" s="684"/>
      <c r="H37" s="684"/>
      <c r="I37" s="684"/>
      <c r="J37" s="684"/>
      <c r="K37" s="681"/>
      <c r="L37" s="681"/>
      <c r="M37" s="681"/>
      <c r="N37" s="681"/>
      <c r="O37" s="681"/>
      <c r="P37" s="681"/>
      <c r="Q37" s="681"/>
      <c r="R37" s="681"/>
      <c r="S37" s="1239" t="s">
        <v>4</v>
      </c>
      <c r="T37" s="681" t="s">
        <v>1</v>
      </c>
      <c r="U37" s="681"/>
      <c r="V37" s="2281"/>
      <c r="W37" s="2281"/>
      <c r="X37" s="2281"/>
      <c r="Y37" s="2281"/>
      <c r="Z37" s="2281"/>
      <c r="AA37" s="2281"/>
      <c r="AB37" s="2281"/>
      <c r="AC37" s="2281"/>
      <c r="AD37" s="2281"/>
      <c r="AE37" s="1327"/>
      <c r="AF37" s="2282"/>
      <c r="AG37" s="2282"/>
      <c r="AH37" s="2282"/>
      <c r="AI37" s="2283"/>
      <c r="AJ37" s="2283"/>
      <c r="AK37" s="2283"/>
      <c r="AL37" s="681"/>
      <c r="AM37" s="685"/>
      <c r="AN37" s="685"/>
      <c r="AO37" s="685"/>
      <c r="AP37" s="681"/>
    </row>
    <row r="38" spans="1:43">
      <c r="A38" s="681"/>
      <c r="B38" s="681"/>
      <c r="C38" s="682"/>
      <c r="D38" s="684"/>
      <c r="E38" s="684"/>
      <c r="F38" s="684" t="s">
        <v>3630</v>
      </c>
      <c r="G38" s="684"/>
      <c r="H38" s="684"/>
      <c r="I38" s="684"/>
      <c r="J38" s="684"/>
      <c r="K38" s="681"/>
      <c r="L38" s="681"/>
      <c r="M38" s="681"/>
      <c r="N38" s="681"/>
      <c r="O38" s="681"/>
      <c r="P38" s="681"/>
      <c r="Q38" s="681"/>
      <c r="R38" s="681"/>
      <c r="S38" s="1239"/>
      <c r="T38" s="681"/>
      <c r="U38" s="681"/>
      <c r="V38" s="2293">
        <v>2017</v>
      </c>
      <c r="W38" s="2293"/>
      <c r="X38" s="2293"/>
      <c r="Y38" s="2293">
        <v>2018</v>
      </c>
      <c r="Z38" s="2293"/>
      <c r="AA38" s="2293"/>
      <c r="AB38" s="2293">
        <v>2019</v>
      </c>
      <c r="AC38" s="2293"/>
      <c r="AD38" s="2293"/>
      <c r="AE38" s="1328">
        <v>2020</v>
      </c>
      <c r="AF38" s="2293">
        <v>2021</v>
      </c>
      <c r="AG38" s="2293"/>
      <c r="AH38" s="2293"/>
      <c r="AI38" s="2293" t="s">
        <v>2</v>
      </c>
      <c r="AJ38" s="2293"/>
      <c r="AK38" s="2293"/>
      <c r="AL38" s="681"/>
      <c r="AM38" s="685"/>
      <c r="AN38" s="685"/>
      <c r="AO38" s="685"/>
      <c r="AP38" s="681"/>
    </row>
    <row r="39" spans="1:43">
      <c r="A39" s="681"/>
      <c r="B39" s="681"/>
      <c r="C39" s="682"/>
      <c r="D39" s="684"/>
      <c r="E39" s="684"/>
      <c r="F39" s="681"/>
      <c r="G39" s="684"/>
      <c r="H39" s="684"/>
      <c r="I39" s="684"/>
      <c r="J39" s="684"/>
      <c r="K39" s="681"/>
      <c r="L39" s="681"/>
      <c r="M39" s="681"/>
      <c r="N39" s="681"/>
      <c r="O39" s="681"/>
      <c r="P39" s="681"/>
      <c r="Q39" s="681"/>
      <c r="R39" s="681"/>
      <c r="S39" s="1239" t="s">
        <v>4</v>
      </c>
      <c r="T39" s="681" t="s">
        <v>1</v>
      </c>
      <c r="U39" s="681"/>
      <c r="V39" s="2294"/>
      <c r="W39" s="2294"/>
      <c r="X39" s="2294"/>
      <c r="Y39" s="2294"/>
      <c r="Z39" s="2294"/>
      <c r="AA39" s="2294"/>
      <c r="AB39" s="2294"/>
      <c r="AC39" s="2294"/>
      <c r="AD39" s="2294"/>
      <c r="AE39" s="1329"/>
      <c r="AF39" s="2295"/>
      <c r="AG39" s="2295"/>
      <c r="AH39" s="2295"/>
      <c r="AI39" s="2295"/>
      <c r="AJ39" s="2295"/>
      <c r="AK39" s="2295"/>
      <c r="AL39" s="681"/>
      <c r="AM39" s="685"/>
      <c r="AN39" s="685"/>
      <c r="AO39" s="685"/>
      <c r="AP39" s="681"/>
    </row>
    <row r="40" spans="1:43">
      <c r="A40" s="681"/>
      <c r="B40" s="681"/>
      <c r="C40" s="682"/>
      <c r="D40" s="688">
        <v>7</v>
      </c>
      <c r="E40" s="684" t="s">
        <v>1879</v>
      </c>
      <c r="F40" s="684"/>
      <c r="G40" s="684"/>
      <c r="H40" s="684"/>
      <c r="K40" s="681"/>
      <c r="L40" s="681"/>
      <c r="M40" s="681"/>
      <c r="N40" s="681"/>
      <c r="O40" s="681"/>
      <c r="P40" s="681"/>
      <c r="Q40" s="681"/>
      <c r="R40" s="681"/>
      <c r="S40" s="1239" t="s">
        <v>4</v>
      </c>
      <c r="T40" s="681" t="s">
        <v>1</v>
      </c>
      <c r="U40" s="681"/>
      <c r="V40" s="2296"/>
      <c r="W40" s="2296"/>
      <c r="X40" s="2296"/>
      <c r="Y40" s="2297">
        <v>185215.69</v>
      </c>
      <c r="Z40" s="2297"/>
      <c r="AA40" s="2297"/>
      <c r="AB40" s="2294">
        <v>3201879.9</v>
      </c>
      <c r="AC40" s="2294"/>
      <c r="AD40" s="2294"/>
      <c r="AE40" s="1329"/>
      <c r="AF40" s="2295"/>
      <c r="AG40" s="2295"/>
      <c r="AH40" s="2295"/>
      <c r="AI40" s="2295"/>
      <c r="AJ40" s="2295"/>
      <c r="AK40" s="2295"/>
      <c r="AL40" s="681"/>
      <c r="AM40" s="685"/>
      <c r="AN40" s="685"/>
      <c r="AO40" s="685"/>
      <c r="AP40" s="681"/>
    </row>
    <row r="41" spans="1:43">
      <c r="A41" s="681"/>
      <c r="B41" s="681"/>
      <c r="C41" s="682"/>
      <c r="D41" s="688" t="s">
        <v>3631</v>
      </c>
      <c r="E41" s="684" t="s">
        <v>3632</v>
      </c>
      <c r="F41" s="684"/>
      <c r="G41" s="684"/>
      <c r="H41" s="684"/>
      <c r="K41" s="681"/>
      <c r="L41" s="681"/>
      <c r="M41" s="681"/>
      <c r="N41" s="681"/>
      <c r="O41" s="681"/>
      <c r="P41" s="681"/>
      <c r="Q41" s="681"/>
      <c r="R41" s="681"/>
      <c r="S41" s="1239" t="s">
        <v>4</v>
      </c>
      <c r="T41" s="681" t="s">
        <v>1</v>
      </c>
      <c r="U41" s="681"/>
      <c r="V41" s="2283"/>
      <c r="W41" s="2283"/>
      <c r="X41" s="2283"/>
      <c r="Y41" s="2283"/>
      <c r="Z41" s="2283"/>
      <c r="AA41" s="2283"/>
      <c r="AB41" s="2294">
        <v>584360.64</v>
      </c>
      <c r="AC41" s="2294"/>
      <c r="AD41" s="2294"/>
      <c r="AE41" s="1330">
        <v>6590155.6500000004</v>
      </c>
      <c r="AF41" s="2295">
        <v>9148485</v>
      </c>
      <c r="AG41" s="2295"/>
      <c r="AH41" s="2295"/>
      <c r="AI41" s="2295"/>
      <c r="AJ41" s="2295"/>
      <c r="AK41" s="2295"/>
      <c r="AL41" s="681"/>
      <c r="AM41" s="685"/>
      <c r="AN41" s="685"/>
      <c r="AO41" s="685"/>
      <c r="AP41" s="681"/>
      <c r="AQ41" s="1249">
        <f>Y43+AB43</f>
        <v>3971456.23</v>
      </c>
    </row>
    <row r="42" spans="1:43">
      <c r="A42" s="681"/>
      <c r="B42" s="681"/>
      <c r="C42" s="682"/>
      <c r="E42" s="688"/>
      <c r="F42" s="684"/>
      <c r="G42" s="684"/>
      <c r="H42" s="684"/>
      <c r="K42" s="681"/>
      <c r="L42" s="681"/>
      <c r="M42" s="681"/>
      <c r="N42" s="681"/>
      <c r="O42" s="681"/>
      <c r="P42" s="681"/>
      <c r="Q42" s="681"/>
      <c r="R42" s="681"/>
      <c r="S42" s="1239"/>
      <c r="T42" s="681"/>
      <c r="U42" s="681"/>
      <c r="V42" s="2283"/>
      <c r="W42" s="2283"/>
      <c r="X42" s="2283"/>
      <c r="Y42" s="2306"/>
      <c r="Z42" s="2283"/>
      <c r="AA42" s="2283"/>
      <c r="AB42" s="2294"/>
      <c r="AC42" s="2294"/>
      <c r="AD42" s="2294"/>
      <c r="AE42" s="1331"/>
      <c r="AI42" s="2295"/>
      <c r="AJ42" s="2295"/>
      <c r="AK42" s="2295"/>
      <c r="AL42" s="681"/>
      <c r="AM42" s="685"/>
      <c r="AN42" s="685"/>
      <c r="AO42" s="685"/>
      <c r="AP42" s="681"/>
    </row>
    <row r="43" spans="1:43">
      <c r="A43" s="681"/>
      <c r="B43" s="681"/>
      <c r="C43" s="682"/>
      <c r="D43" s="684"/>
      <c r="E43" s="684"/>
      <c r="F43" s="684" t="s">
        <v>3622</v>
      </c>
      <c r="G43" s="684"/>
      <c r="H43" s="684"/>
      <c r="I43" s="684"/>
      <c r="J43" s="684"/>
      <c r="K43" s="681"/>
      <c r="L43" s="681"/>
      <c r="M43" s="681" t="s">
        <v>2</v>
      </c>
      <c r="N43" s="681"/>
      <c r="O43" s="681"/>
      <c r="P43" s="681"/>
      <c r="Q43" s="681"/>
      <c r="R43" s="681"/>
      <c r="S43" s="681"/>
      <c r="T43" s="681"/>
      <c r="U43" s="681"/>
      <c r="V43" s="2307"/>
      <c r="W43" s="2307"/>
      <c r="X43" s="2307"/>
      <c r="Y43" s="2307">
        <f>Y40</f>
        <v>185215.69</v>
      </c>
      <c r="Z43" s="2307"/>
      <c r="AA43" s="2307"/>
      <c r="AB43" s="2307">
        <f>+AB40+AB41</f>
        <v>3786240.54</v>
      </c>
      <c r="AC43" s="2307"/>
      <c r="AD43" s="2307"/>
      <c r="AE43" s="1332">
        <f>+AE41</f>
        <v>6590155.6500000004</v>
      </c>
      <c r="AF43" s="2308">
        <f>+AF41</f>
        <v>9148485</v>
      </c>
      <c r="AG43" s="2308"/>
      <c r="AH43" s="2308"/>
      <c r="AI43" s="2308">
        <f>+AE43+AB43+Y43+AF43</f>
        <v>19710096.880000003</v>
      </c>
      <c r="AJ43" s="2308"/>
      <c r="AK43" s="2308"/>
      <c r="AL43" s="681"/>
      <c r="AM43" s="685"/>
      <c r="AN43" s="685"/>
      <c r="AO43" s="685"/>
      <c r="AP43" s="681"/>
      <c r="AQ43" s="1294">
        <v>20993137.52</v>
      </c>
    </row>
    <row r="44" spans="1:43" ht="19.350000000000001" customHeight="1">
      <c r="A44" s="681"/>
      <c r="B44" s="681"/>
      <c r="C44" s="682"/>
      <c r="D44" s="684"/>
      <c r="E44" s="684"/>
      <c r="F44" s="684"/>
      <c r="G44" s="684"/>
      <c r="H44" s="684"/>
      <c r="I44" s="684"/>
      <c r="J44" s="684"/>
      <c r="K44" s="681"/>
      <c r="L44" s="681"/>
      <c r="M44" s="681"/>
      <c r="N44" s="681"/>
      <c r="O44" s="681"/>
      <c r="P44" s="681"/>
      <c r="Q44" s="681"/>
      <c r="R44" s="681"/>
      <c r="S44" s="681"/>
      <c r="T44" s="681"/>
      <c r="U44" s="681"/>
      <c r="V44" s="2298" t="s">
        <v>3711</v>
      </c>
      <c r="W44" s="2298"/>
      <c r="X44" s="2298"/>
      <c r="Y44" s="2298"/>
      <c r="Z44" s="2298"/>
      <c r="AA44" s="2298"/>
      <c r="AB44" s="2298"/>
      <c r="AC44" s="2298"/>
      <c r="AD44" s="2298"/>
      <c r="AE44" s="2298"/>
      <c r="AF44" s="2298"/>
      <c r="AG44" s="2298"/>
      <c r="AH44" s="2298"/>
      <c r="AI44" s="2299">
        <f>V36-AI43</f>
        <v>7112145.8599999957</v>
      </c>
      <c r="AJ44" s="2299"/>
      <c r="AK44" s="2299"/>
      <c r="AL44" s="681"/>
      <c r="AM44" s="685"/>
      <c r="AN44" s="685"/>
      <c r="AO44" s="685"/>
      <c r="AP44" s="681"/>
    </row>
    <row r="45" spans="1:43" ht="6.75" customHeight="1">
      <c r="A45" s="681"/>
      <c r="B45" s="681"/>
      <c r="C45" s="682"/>
      <c r="D45" s="684"/>
      <c r="E45" s="684"/>
      <c r="F45" s="684"/>
      <c r="G45" s="684"/>
      <c r="H45" s="684"/>
      <c r="I45" s="684"/>
      <c r="J45" s="684"/>
      <c r="K45" s="681"/>
      <c r="L45" s="681"/>
      <c r="M45" s="681"/>
      <c r="N45" s="681"/>
      <c r="O45" s="681"/>
      <c r="P45" s="681"/>
      <c r="Q45" s="681"/>
      <c r="R45" s="681"/>
      <c r="S45" s="681"/>
      <c r="T45" s="681"/>
      <c r="U45" s="681"/>
      <c r="V45" s="714"/>
      <c r="W45" s="714"/>
      <c r="X45" s="714"/>
      <c r="Y45" s="714"/>
      <c r="Z45" s="714"/>
      <c r="AA45" s="714"/>
      <c r="AB45" s="714"/>
      <c r="AC45" s="714"/>
      <c r="AD45" s="714"/>
      <c r="AE45" s="714"/>
      <c r="AF45" s="715"/>
      <c r="AG45" s="715"/>
      <c r="AH45" s="715"/>
      <c r="AI45" s="681"/>
      <c r="AJ45" s="681"/>
      <c r="AK45" s="681"/>
      <c r="AL45" s="681"/>
      <c r="AM45" s="685"/>
      <c r="AN45" s="685"/>
      <c r="AO45" s="685"/>
      <c r="AP45" s="681"/>
    </row>
    <row r="46" spans="1:43">
      <c r="A46" s="681"/>
      <c r="B46" s="682" t="s">
        <v>1880</v>
      </c>
      <c r="C46" s="681"/>
      <c r="D46" s="681"/>
      <c r="E46" s="681"/>
      <c r="F46" s="681"/>
      <c r="G46" s="681"/>
      <c r="H46" s="681"/>
      <c r="I46" s="681"/>
      <c r="J46" s="681"/>
      <c r="K46" s="681"/>
      <c r="L46" s="681"/>
      <c r="M46" s="681"/>
      <c r="N46" s="681"/>
      <c r="O46" s="681"/>
      <c r="P46" s="681"/>
      <c r="Q46" s="681"/>
      <c r="R46" s="681"/>
      <c r="S46" s="681"/>
      <c r="T46" s="681"/>
      <c r="U46" s="681"/>
      <c r="V46" s="681"/>
      <c r="W46" s="681"/>
      <c r="X46" s="681"/>
      <c r="Y46" s="681"/>
      <c r="Z46" s="2300"/>
      <c r="AA46" s="2300"/>
      <c r="AB46" s="2300"/>
      <c r="AC46" s="2300"/>
      <c r="AD46" s="681"/>
      <c r="AE46" s="681"/>
      <c r="AF46" s="681"/>
      <c r="AG46" s="681"/>
      <c r="AH46" s="1249"/>
      <c r="AI46" s="681"/>
      <c r="AJ46" s="681"/>
      <c r="AK46" s="1249"/>
      <c r="AL46" s="681"/>
      <c r="AM46" s="685"/>
      <c r="AN46" s="685"/>
      <c r="AO46" s="685"/>
      <c r="AP46" s="681"/>
    </row>
    <row r="47" spans="1:43">
      <c r="A47" s="681"/>
      <c r="B47" s="682"/>
      <c r="C47" s="682" t="s">
        <v>1881</v>
      </c>
      <c r="D47" s="684"/>
      <c r="E47" s="684"/>
      <c r="F47" s="684"/>
      <c r="G47" s="684"/>
      <c r="H47" s="684"/>
      <c r="I47" s="684"/>
      <c r="J47" s="684"/>
      <c r="K47" s="684"/>
      <c r="L47" s="681"/>
      <c r="M47" s="681"/>
      <c r="N47" s="681"/>
      <c r="O47" s="681"/>
      <c r="P47" s="681"/>
      <c r="Q47" s="681"/>
      <c r="R47" s="681"/>
      <c r="S47" s="681"/>
      <c r="T47" s="681"/>
      <c r="U47" s="681"/>
      <c r="V47" s="681"/>
      <c r="W47" s="681"/>
      <c r="X47" s="681"/>
      <c r="Y47" s="681"/>
      <c r="Z47" s="681"/>
      <c r="AA47" s="681"/>
      <c r="AB47" s="681"/>
      <c r="AC47" s="1249"/>
      <c r="AD47" s="681"/>
      <c r="AE47" s="681"/>
      <c r="AF47" s="681"/>
      <c r="AG47" s="681"/>
      <c r="AH47" s="681"/>
      <c r="AI47" s="681"/>
      <c r="AJ47" s="681"/>
      <c r="AK47" s="681"/>
      <c r="AL47" s="681"/>
      <c r="AM47" s="681"/>
      <c r="AN47" s="681"/>
      <c r="AO47" s="681"/>
      <c r="AP47" s="681"/>
    </row>
    <row r="48" spans="1:43" ht="7.5" customHeight="1" thickBot="1">
      <c r="A48" s="681"/>
      <c r="B48" s="682"/>
      <c r="C48" s="681"/>
      <c r="D48" s="684"/>
      <c r="E48" s="681"/>
      <c r="F48" s="682"/>
      <c r="G48" s="684"/>
      <c r="H48" s="684"/>
      <c r="I48" s="684"/>
      <c r="J48" s="684"/>
      <c r="K48" s="684"/>
      <c r="L48" s="681"/>
      <c r="M48" s="681"/>
      <c r="N48" s="681"/>
      <c r="O48" s="681"/>
      <c r="P48" s="681"/>
      <c r="Q48" s="681"/>
      <c r="R48" s="681"/>
      <c r="S48" s="681"/>
      <c r="T48" s="681"/>
      <c r="U48" s="681"/>
      <c r="V48" s="681"/>
      <c r="W48" s="681"/>
      <c r="X48" s="681"/>
      <c r="Y48" s="681"/>
      <c r="Z48" s="681"/>
      <c r="AA48" s="681"/>
      <c r="AB48" s="681"/>
      <c r="AC48" s="681"/>
      <c r="AD48" s="681"/>
      <c r="AE48" s="681"/>
      <c r="AF48" s="681"/>
      <c r="AG48" s="681"/>
      <c r="AH48" s="681"/>
      <c r="AI48" s="681"/>
      <c r="AJ48" s="681"/>
      <c r="AK48" s="681"/>
      <c r="AL48" s="681"/>
      <c r="AM48" s="681"/>
      <c r="AN48" s="681"/>
      <c r="AO48" s="681"/>
      <c r="AP48" s="681"/>
    </row>
    <row r="49" spans="1:42" ht="15.75" customHeight="1" thickBot="1">
      <c r="A49" s="681"/>
      <c r="B49" s="682"/>
      <c r="C49" s="681"/>
      <c r="D49" s="684"/>
      <c r="E49" s="2301" t="s">
        <v>1882</v>
      </c>
      <c r="F49" s="2302"/>
      <c r="G49" s="2302"/>
      <c r="H49" s="2302"/>
      <c r="I49" s="2302"/>
      <c r="J49" s="2302"/>
      <c r="K49" s="2302"/>
      <c r="L49" s="2303"/>
      <c r="M49" s="2304" t="s">
        <v>1883</v>
      </c>
      <c r="N49" s="2302"/>
      <c r="O49" s="2302"/>
      <c r="P49" s="2302"/>
      <c r="Q49" s="2302"/>
      <c r="R49" s="2302"/>
      <c r="S49" s="2302"/>
      <c r="T49" s="2303"/>
      <c r="U49" s="2304" t="s">
        <v>1884</v>
      </c>
      <c r="V49" s="2302"/>
      <c r="W49" s="2302"/>
      <c r="X49" s="2302"/>
      <c r="Y49" s="2302"/>
      <c r="Z49" s="2302"/>
      <c r="AA49" s="2302"/>
      <c r="AB49" s="2303"/>
      <c r="AC49" s="2304" t="s">
        <v>3692</v>
      </c>
      <c r="AD49" s="2302"/>
      <c r="AE49" s="2302"/>
      <c r="AF49" s="2302"/>
      <c r="AG49" s="2302"/>
      <c r="AH49" s="2302"/>
      <c r="AI49" s="2302"/>
      <c r="AJ49" s="2302"/>
      <c r="AK49" s="2305"/>
      <c r="AL49" s="681"/>
      <c r="AM49" s="681"/>
      <c r="AN49" s="681"/>
      <c r="AO49" s="681"/>
      <c r="AP49" s="681"/>
    </row>
    <row r="50" spans="1:42" ht="15.75" thickBot="1">
      <c r="A50" s="681"/>
      <c r="B50" s="682"/>
      <c r="C50" s="681"/>
      <c r="D50" s="684"/>
      <c r="E50" s="2323">
        <v>43662</v>
      </c>
      <c r="F50" s="2324"/>
      <c r="G50" s="2324"/>
      <c r="H50" s="2324"/>
      <c r="I50" s="2324"/>
      <c r="J50" s="2324"/>
      <c r="K50" s="2324"/>
      <c r="L50" s="2325"/>
      <c r="M50" s="2323">
        <v>43663</v>
      </c>
      <c r="N50" s="2324"/>
      <c r="O50" s="2324"/>
      <c r="P50" s="2324"/>
      <c r="Q50" s="2324"/>
      <c r="R50" s="2324"/>
      <c r="S50" s="2324"/>
      <c r="T50" s="2326"/>
      <c r="U50" s="2327">
        <v>44082</v>
      </c>
      <c r="V50" s="2324"/>
      <c r="W50" s="2324"/>
      <c r="X50" s="2324"/>
      <c r="Y50" s="2324"/>
      <c r="Z50" s="2324"/>
      <c r="AA50" s="2324"/>
      <c r="AB50" s="2326"/>
      <c r="AC50" s="2327">
        <v>44586</v>
      </c>
      <c r="AD50" s="2324"/>
      <c r="AE50" s="2324"/>
      <c r="AF50" s="2324"/>
      <c r="AG50" s="2324"/>
      <c r="AH50" s="2324"/>
      <c r="AI50" s="2324"/>
      <c r="AJ50" s="2324"/>
      <c r="AK50" s="2326"/>
      <c r="AL50" s="681"/>
      <c r="AM50" s="681"/>
      <c r="AN50" s="681"/>
      <c r="AO50" s="681"/>
      <c r="AP50" s="681"/>
    </row>
    <row r="51" spans="1:42">
      <c r="A51" s="681"/>
      <c r="B51" s="682"/>
      <c r="C51" s="681"/>
      <c r="D51" s="684"/>
      <c r="E51" s="681"/>
      <c r="F51" s="681"/>
      <c r="G51" s="681"/>
      <c r="H51" s="681"/>
      <c r="I51" s="681"/>
      <c r="J51" s="681"/>
      <c r="K51" s="681"/>
      <c r="L51" s="681"/>
      <c r="M51" s="681"/>
      <c r="N51" s="681"/>
      <c r="O51" s="2328"/>
      <c r="P51" s="2328"/>
      <c r="Q51" s="2328"/>
      <c r="R51" s="2328"/>
      <c r="S51" s="2328"/>
      <c r="T51" s="2328"/>
      <c r="U51" s="2328"/>
      <c r="V51" s="2328"/>
      <c r="W51" s="681"/>
      <c r="X51" s="681"/>
      <c r="Y51" s="681"/>
      <c r="Z51" s="681"/>
      <c r="AA51" s="681"/>
      <c r="AB51" s="681"/>
      <c r="AC51" s="681"/>
      <c r="AD51" s="681"/>
      <c r="AE51" s="681"/>
      <c r="AF51" s="681"/>
      <c r="AG51" s="681"/>
      <c r="AH51" s="681"/>
      <c r="AI51" s="681"/>
      <c r="AJ51" s="681"/>
      <c r="AK51" s="681"/>
      <c r="AL51" s="681"/>
      <c r="AM51" s="681"/>
      <c r="AN51" s="681"/>
      <c r="AO51" s="681"/>
      <c r="AP51" s="681"/>
    </row>
    <row r="52" spans="1:42" ht="5.25" customHeight="1">
      <c r="A52" s="681"/>
      <c r="B52" s="682"/>
      <c r="C52" s="681"/>
      <c r="D52" s="686"/>
      <c r="E52" s="686"/>
      <c r="F52" s="686"/>
      <c r="G52" s="686"/>
      <c r="H52" s="686"/>
      <c r="I52" s="1031"/>
      <c r="J52" s="1031"/>
      <c r="K52" s="1031"/>
      <c r="L52" s="1031"/>
      <c r="M52" s="1031"/>
      <c r="N52" s="1031"/>
      <c r="O52" s="1031"/>
      <c r="P52" s="1031"/>
      <c r="Q52" s="1031"/>
      <c r="R52" s="1031"/>
      <c r="S52" s="1031"/>
      <c r="T52" s="1031"/>
      <c r="U52" s="1031"/>
      <c r="V52" s="681"/>
      <c r="W52" s="681"/>
      <c r="X52" s="681"/>
      <c r="Y52" s="686"/>
      <c r="Z52" s="686"/>
      <c r="AA52" s="686"/>
      <c r="AB52" s="686"/>
      <c r="AC52" s="686"/>
      <c r="AD52" s="686"/>
      <c r="AE52" s="686"/>
      <c r="AF52" s="686"/>
      <c r="AG52" s="686"/>
      <c r="AH52" s="686"/>
      <c r="AI52" s="686"/>
      <c r="AJ52" s="686"/>
      <c r="AK52" s="686"/>
      <c r="AL52" s="686"/>
      <c r="AM52" s="686"/>
      <c r="AN52" s="686"/>
      <c r="AO52" s="686"/>
      <c r="AP52" s="681"/>
    </row>
    <row r="53" spans="1:42" ht="15" customHeight="1">
      <c r="A53" s="1289"/>
      <c r="B53" s="1295"/>
      <c r="C53" s="1289"/>
      <c r="D53" s="1291"/>
      <c r="E53" s="1289"/>
      <c r="F53" s="1289"/>
      <c r="G53" s="2309" t="s">
        <v>1885</v>
      </c>
      <c r="H53" s="2310"/>
      <c r="I53" s="2310"/>
      <c r="J53" s="2310"/>
      <c r="K53" s="2310"/>
      <c r="L53" s="2310"/>
      <c r="M53" s="2310"/>
      <c r="N53" s="2310"/>
      <c r="O53" s="2310"/>
      <c r="P53" s="2310"/>
      <c r="Q53" s="2310"/>
      <c r="R53" s="2310"/>
      <c r="S53" s="2310"/>
      <c r="T53" s="2310"/>
      <c r="U53" s="2311"/>
      <c r="V53" s="2312">
        <v>420</v>
      </c>
      <c r="W53" s="2250"/>
      <c r="X53" s="2313"/>
      <c r="Y53" s="1289"/>
      <c r="Z53" s="1289"/>
      <c r="AA53" s="1289"/>
      <c r="AB53" s="1289"/>
      <c r="AC53" s="1289"/>
      <c r="AD53" s="1289"/>
      <c r="AE53" s="1289"/>
      <c r="AF53" s="1289"/>
      <c r="AG53" s="1289"/>
      <c r="AH53" s="1289"/>
      <c r="AI53" s="1289"/>
      <c r="AJ53" s="1289"/>
      <c r="AK53" s="1289"/>
      <c r="AL53" s="1289"/>
      <c r="AM53" s="1289"/>
      <c r="AN53" s="1289"/>
      <c r="AO53" s="1289"/>
      <c r="AP53" s="1289"/>
    </row>
    <row r="54" spans="1:42" ht="6" customHeight="1">
      <c r="A54" s="1289"/>
      <c r="B54" s="1295"/>
      <c r="C54" s="1289"/>
      <c r="D54" s="1291"/>
      <c r="E54" s="1291"/>
      <c r="F54" s="1291"/>
      <c r="G54" s="1291"/>
      <c r="H54" s="1291"/>
      <c r="I54" s="1291"/>
      <c r="J54" s="1291"/>
      <c r="K54" s="1291"/>
      <c r="L54" s="1291"/>
      <c r="M54" s="1291"/>
      <c r="N54" s="1291"/>
      <c r="O54" s="1291"/>
      <c r="P54" s="1291"/>
      <c r="Q54" s="1291"/>
      <c r="R54" s="1291"/>
      <c r="S54" s="1291"/>
      <c r="T54" s="1291"/>
      <c r="U54" s="1291"/>
      <c r="V54" s="1289"/>
      <c r="W54" s="1289"/>
      <c r="X54" s="1289"/>
      <c r="Y54" s="1289"/>
      <c r="Z54" s="1289"/>
      <c r="AA54" s="1289"/>
      <c r="AB54" s="1289"/>
      <c r="AC54" s="1289"/>
      <c r="AD54" s="1289"/>
      <c r="AE54" s="1289"/>
      <c r="AF54" s="1289"/>
      <c r="AG54" s="1289"/>
      <c r="AH54" s="1289"/>
      <c r="AI54" s="1289"/>
      <c r="AJ54" s="1289"/>
      <c r="AK54" s="1289"/>
      <c r="AL54" s="1289"/>
      <c r="AM54" s="1289"/>
      <c r="AN54" s="1296"/>
      <c r="AO54" s="1296"/>
      <c r="AP54" s="1289"/>
    </row>
    <row r="55" spans="1:42" ht="15" customHeight="1">
      <c r="A55" s="1289"/>
      <c r="B55" s="1295"/>
      <c r="C55" s="1289"/>
      <c r="G55" s="1289"/>
      <c r="H55" s="1333"/>
      <c r="I55" s="2309" t="s">
        <v>1886</v>
      </c>
      <c r="J55" s="2310"/>
      <c r="K55" s="2310"/>
      <c r="L55" s="2310"/>
      <c r="M55" s="2310"/>
      <c r="N55" s="2310"/>
      <c r="O55" s="2310"/>
      <c r="P55" s="2310"/>
      <c r="Q55" s="2310"/>
      <c r="R55" s="2310"/>
      <c r="S55" s="2310"/>
      <c r="T55" s="2310"/>
      <c r="U55" s="2311"/>
      <c r="V55" s="2312">
        <v>114</v>
      </c>
      <c r="W55" s="2250"/>
      <c r="X55" s="2313"/>
      <c r="Z55" s="2314" t="s">
        <v>1887</v>
      </c>
      <c r="AA55" s="2314"/>
      <c r="AB55" s="2314"/>
      <c r="AC55" s="2315"/>
      <c r="AD55" s="2316" t="s">
        <v>3650</v>
      </c>
      <c r="AE55" s="2317"/>
      <c r="AF55" s="2318"/>
      <c r="AG55" s="2319" t="s">
        <v>1888</v>
      </c>
      <c r="AH55" s="2314"/>
      <c r="AI55" s="2315"/>
      <c r="AJ55" s="2320">
        <v>44082</v>
      </c>
      <c r="AK55" s="2321"/>
      <c r="AL55" s="2321"/>
      <c r="AM55" s="2321"/>
      <c r="AN55" s="2321"/>
      <c r="AO55" s="2322"/>
      <c r="AP55" s="1289"/>
    </row>
    <row r="56" spans="1:42" ht="6.75" customHeight="1">
      <c r="A56" s="1289"/>
      <c r="B56" s="1295"/>
      <c r="C56" s="1289"/>
      <c r="D56" s="1291"/>
      <c r="E56" s="1291"/>
      <c r="F56" s="1291"/>
      <c r="G56" s="1289"/>
      <c r="H56" s="1291"/>
      <c r="I56" s="1291"/>
      <c r="J56" s="1291"/>
      <c r="K56" s="1291"/>
      <c r="L56" s="1291"/>
      <c r="M56" s="1291"/>
      <c r="N56" s="1291"/>
      <c r="O56" s="1291"/>
      <c r="P56" s="1291"/>
      <c r="Q56" s="1291"/>
      <c r="R56" s="1291"/>
      <c r="S56" s="1291"/>
      <c r="T56" s="1291"/>
      <c r="U56" s="1291"/>
      <c r="V56" s="1289"/>
      <c r="W56" s="1289"/>
      <c r="X56" s="1289"/>
      <c r="Y56" s="1289"/>
      <c r="Z56" s="1289"/>
      <c r="AA56" s="1289"/>
      <c r="AB56" s="1289"/>
      <c r="AC56" s="1289"/>
      <c r="AD56" s="1289"/>
      <c r="AE56" s="1289"/>
      <c r="AF56" s="1289"/>
      <c r="AG56" s="1289"/>
      <c r="AH56" s="1289"/>
      <c r="AI56" s="1289"/>
      <c r="AJ56" s="1289"/>
      <c r="AK56" s="1289"/>
      <c r="AL56" s="1289"/>
      <c r="AM56" s="1289"/>
      <c r="AN56" s="1296"/>
      <c r="AO56" s="1296"/>
      <c r="AP56" s="1289"/>
    </row>
    <row r="57" spans="1:42" ht="15" customHeight="1">
      <c r="A57" s="1289"/>
      <c r="B57" s="1295"/>
      <c r="C57" s="1289"/>
      <c r="G57" s="1289"/>
      <c r="H57" s="1333"/>
      <c r="I57" s="2309" t="s">
        <v>1889</v>
      </c>
      <c r="J57" s="2310"/>
      <c r="K57" s="2310"/>
      <c r="L57" s="2310"/>
      <c r="M57" s="2310"/>
      <c r="N57" s="2310"/>
      <c r="O57" s="2310"/>
      <c r="P57" s="2310"/>
      <c r="Q57" s="2310"/>
      <c r="R57" s="2310"/>
      <c r="S57" s="2310"/>
      <c r="T57" s="2310"/>
      <c r="U57" s="2311"/>
      <c r="V57" s="2312">
        <v>103</v>
      </c>
      <c r="W57" s="2250"/>
      <c r="X57" s="2313"/>
      <c r="Z57" s="2314" t="s">
        <v>1887</v>
      </c>
      <c r="AA57" s="2314"/>
      <c r="AB57" s="2314"/>
      <c r="AC57" s="2315"/>
      <c r="AD57" s="2316" t="s">
        <v>3693</v>
      </c>
      <c r="AE57" s="2317"/>
      <c r="AF57" s="2318"/>
      <c r="AG57" s="2319" t="s">
        <v>1888</v>
      </c>
      <c r="AH57" s="2314"/>
      <c r="AI57" s="2315"/>
      <c r="AJ57" s="2341">
        <v>44195</v>
      </c>
      <c r="AK57" s="2342"/>
      <c r="AL57" s="2342"/>
      <c r="AM57" s="2342"/>
      <c r="AN57" s="2342"/>
      <c r="AO57" s="2343"/>
      <c r="AP57" s="1289"/>
    </row>
    <row r="58" spans="1:42" ht="6.75" customHeight="1">
      <c r="A58" s="1289"/>
      <c r="B58" s="1295"/>
      <c r="C58" s="1289"/>
      <c r="D58" s="1291"/>
      <c r="E58" s="1291"/>
      <c r="F58" s="1291"/>
      <c r="G58" s="1289"/>
      <c r="H58" s="1291"/>
      <c r="I58" s="1291"/>
      <c r="J58" s="1291"/>
      <c r="K58" s="1291"/>
      <c r="L58" s="1291"/>
      <c r="M58" s="1291"/>
      <c r="N58" s="1291"/>
      <c r="O58" s="1291"/>
      <c r="P58" s="1291"/>
      <c r="Q58" s="1291"/>
      <c r="R58" s="1291"/>
      <c r="S58" s="1291"/>
      <c r="T58" s="1291"/>
      <c r="U58" s="1291"/>
      <c r="V58" s="1289"/>
      <c r="W58" s="1289"/>
      <c r="X58" s="1289"/>
      <c r="Y58" s="1289"/>
      <c r="Z58" s="1289"/>
      <c r="AA58" s="1289"/>
      <c r="AB58" s="1289"/>
      <c r="AC58" s="1289"/>
      <c r="AD58" s="1289"/>
      <c r="AE58" s="1289"/>
      <c r="AF58" s="1289"/>
      <c r="AG58" s="1289"/>
      <c r="AH58" s="1289"/>
      <c r="AI58" s="1334"/>
      <c r="AJ58" s="1289"/>
      <c r="AK58" s="1289"/>
      <c r="AL58" s="1289"/>
      <c r="AM58" s="1289"/>
      <c r="AN58" s="1296"/>
      <c r="AO58" s="1296"/>
      <c r="AP58" s="1289"/>
    </row>
    <row r="59" spans="1:42" ht="15" customHeight="1">
      <c r="A59" s="1289"/>
      <c r="B59" s="1295"/>
      <c r="C59" s="1289"/>
      <c r="G59" s="1289"/>
      <c r="H59" s="1333"/>
      <c r="I59" s="2309" t="s">
        <v>1890</v>
      </c>
      <c r="J59" s="2310"/>
      <c r="K59" s="2310"/>
      <c r="L59" s="2310"/>
      <c r="M59" s="2310"/>
      <c r="N59" s="2310"/>
      <c r="O59" s="2310"/>
      <c r="P59" s="2310"/>
      <c r="Q59" s="2310"/>
      <c r="R59" s="2310"/>
      <c r="S59" s="2310"/>
      <c r="T59" s="2310"/>
      <c r="U59" s="2311"/>
      <c r="V59" s="2312">
        <v>137</v>
      </c>
      <c r="W59" s="2250"/>
      <c r="X59" s="2313"/>
      <c r="Z59" s="2314" t="s">
        <v>1887</v>
      </c>
      <c r="AA59" s="2314"/>
      <c r="AB59" s="2314"/>
      <c r="AC59" s="2315"/>
      <c r="AD59" s="2316" t="s">
        <v>4317</v>
      </c>
      <c r="AE59" s="2317"/>
      <c r="AF59" s="2318"/>
      <c r="AG59" s="2319" t="s">
        <v>1888</v>
      </c>
      <c r="AH59" s="2314"/>
      <c r="AI59" s="2315"/>
      <c r="AJ59" s="2341">
        <v>44436</v>
      </c>
      <c r="AK59" s="2342"/>
      <c r="AL59" s="2342"/>
      <c r="AM59" s="2342"/>
      <c r="AN59" s="2342"/>
      <c r="AO59" s="2343"/>
      <c r="AP59" s="1289"/>
    </row>
    <row r="60" spans="1:42" ht="4.5" customHeight="1">
      <c r="A60" s="1289"/>
      <c r="B60" s="1295"/>
      <c r="C60" s="1289"/>
      <c r="V60" s="1289"/>
      <c r="W60" s="1289"/>
      <c r="X60" s="1289"/>
      <c r="AP60" s="1289"/>
    </row>
    <row r="61" spans="1:42" ht="13.9" customHeight="1">
      <c r="A61" s="1289"/>
      <c r="B61" s="1295"/>
      <c r="C61" s="1289"/>
      <c r="I61" s="2309" t="s">
        <v>4316</v>
      </c>
      <c r="J61" s="2310"/>
      <c r="K61" s="2310"/>
      <c r="L61" s="2310"/>
      <c r="M61" s="2310"/>
      <c r="N61" s="2310"/>
      <c r="O61" s="2310"/>
      <c r="P61" s="2310"/>
      <c r="Q61" s="2310"/>
      <c r="R61" s="2310"/>
      <c r="S61" s="2310"/>
      <c r="T61" s="2310"/>
      <c r="U61" s="2311"/>
      <c r="V61" s="2312">
        <v>150</v>
      </c>
      <c r="W61" s="2250"/>
      <c r="X61" s="2313"/>
      <c r="Z61" s="2314" t="s">
        <v>1887</v>
      </c>
      <c r="AA61" s="2314"/>
      <c r="AB61" s="2314"/>
      <c r="AC61" s="2315"/>
      <c r="AD61" s="2316" t="s">
        <v>4334</v>
      </c>
      <c r="AE61" s="2317"/>
      <c r="AF61" s="2318"/>
      <c r="AG61" s="2319" t="s">
        <v>1888</v>
      </c>
      <c r="AH61" s="2314"/>
      <c r="AI61" s="2315"/>
      <c r="AJ61" s="2341">
        <v>44221</v>
      </c>
      <c r="AK61" s="2342"/>
      <c r="AL61" s="2342"/>
      <c r="AM61" s="2342"/>
      <c r="AN61" s="2342"/>
      <c r="AO61" s="2343"/>
      <c r="AP61" s="1289"/>
    </row>
    <row r="62" spans="1:42" ht="12.6" customHeight="1">
      <c r="A62" s="1289"/>
      <c r="B62" s="1295"/>
      <c r="C62" s="1289"/>
      <c r="V62" s="1289"/>
      <c r="W62" s="1289"/>
      <c r="X62" s="1289"/>
      <c r="AP62" s="1289"/>
    </row>
    <row r="63" spans="1:42" ht="15" customHeight="1">
      <c r="A63" s="1289"/>
      <c r="B63" s="1295"/>
      <c r="C63" s="1289"/>
      <c r="D63" s="1291"/>
      <c r="E63" s="1289"/>
      <c r="F63" s="1289"/>
      <c r="G63" s="2309" t="s">
        <v>1891</v>
      </c>
      <c r="H63" s="2310"/>
      <c r="I63" s="2310"/>
      <c r="J63" s="2310"/>
      <c r="K63" s="2310"/>
      <c r="L63" s="2310"/>
      <c r="M63" s="2310"/>
      <c r="N63" s="2310"/>
      <c r="O63" s="2310"/>
      <c r="P63" s="2310"/>
      <c r="Q63" s="2310"/>
      <c r="R63" s="2310"/>
      <c r="S63" s="2310"/>
      <c r="T63" s="2310"/>
      <c r="U63" s="2311"/>
      <c r="V63" s="2312">
        <f>SUM(V53:W61)</f>
        <v>924</v>
      </c>
      <c r="W63" s="2250"/>
      <c r="X63" s="2313"/>
      <c r="Y63" s="1289"/>
      <c r="Z63" s="1289"/>
      <c r="AA63" s="1289"/>
      <c r="AB63" s="1289"/>
      <c r="AC63" s="1289"/>
      <c r="AD63" s="1289"/>
      <c r="AE63" s="1289"/>
      <c r="AF63" s="1289"/>
      <c r="AG63" s="1289"/>
      <c r="AH63" s="1289"/>
      <c r="AI63" s="1289"/>
      <c r="AJ63" s="1289"/>
      <c r="AK63" s="1289"/>
      <c r="AL63" s="1289"/>
      <c r="AM63" s="1289"/>
      <c r="AN63" s="1289"/>
      <c r="AO63" s="1289"/>
      <c r="AP63" s="1289"/>
    </row>
    <row r="64" spans="1:42">
      <c r="A64" s="1289"/>
      <c r="B64" s="1295"/>
      <c r="C64" s="1289"/>
      <c r="V64" s="1289"/>
      <c r="W64" s="1289"/>
      <c r="X64" s="1289"/>
      <c r="AP64" s="1289"/>
    </row>
    <row r="65" spans="1:42" ht="15" customHeight="1">
      <c r="A65" s="1289"/>
      <c r="B65" s="1295"/>
      <c r="C65" s="1289"/>
      <c r="D65" s="1291"/>
      <c r="E65" s="1289"/>
      <c r="F65" s="1289"/>
      <c r="G65" s="2309" t="s">
        <v>1892</v>
      </c>
      <c r="H65" s="2310"/>
      <c r="I65" s="2310"/>
      <c r="J65" s="2310"/>
      <c r="K65" s="2310"/>
      <c r="L65" s="2310"/>
      <c r="M65" s="2310"/>
      <c r="N65" s="2310"/>
      <c r="O65" s="2310"/>
      <c r="P65" s="2310"/>
      <c r="Q65" s="2310"/>
      <c r="R65" s="2310"/>
      <c r="S65" s="2310"/>
      <c r="T65" s="2310"/>
      <c r="U65" s="2311"/>
      <c r="V65" s="2312">
        <f>SUM(V53:W61)</f>
        <v>924</v>
      </c>
      <c r="W65" s="2250"/>
      <c r="X65" s="2313"/>
      <c r="Y65" s="1289"/>
      <c r="Z65" s="1289"/>
      <c r="AA65" s="1289"/>
      <c r="AB65" s="1289"/>
      <c r="AC65" s="1289"/>
      <c r="AD65" s="1289"/>
      <c r="AE65" s="1289"/>
      <c r="AF65" s="1289"/>
      <c r="AG65" s="1289"/>
      <c r="AH65" s="1289"/>
      <c r="AI65" s="1289"/>
      <c r="AJ65" s="1289"/>
      <c r="AK65" s="1289"/>
      <c r="AL65" s="1289"/>
      <c r="AM65" s="1289"/>
      <c r="AN65" s="1289"/>
      <c r="AO65" s="1289"/>
      <c r="AP65" s="1289"/>
    </row>
    <row r="66" spans="1:42">
      <c r="A66" s="681"/>
      <c r="B66" s="682"/>
      <c r="C66" s="681"/>
      <c r="D66" s="686"/>
      <c r="E66" s="686"/>
      <c r="F66" s="686"/>
      <c r="G66" s="686"/>
      <c r="H66" s="686"/>
      <c r="I66" s="1031"/>
      <c r="J66" s="1031"/>
      <c r="K66" s="1031"/>
      <c r="L66" s="1031"/>
      <c r="M66" s="1031"/>
      <c r="N66" s="1031"/>
      <c r="O66" s="1031"/>
      <c r="P66" s="1031"/>
      <c r="Q66" s="1031"/>
      <c r="R66" s="1031"/>
      <c r="S66" s="1031"/>
      <c r="T66" s="1031"/>
      <c r="U66" s="1031"/>
      <c r="V66" s="681"/>
      <c r="W66" s="681"/>
      <c r="X66" s="681"/>
      <c r="Y66" s="686"/>
      <c r="Z66" s="686"/>
      <c r="AA66" s="686"/>
      <c r="AB66" s="686"/>
      <c r="AC66" s="686"/>
      <c r="AD66" s="686"/>
      <c r="AE66" s="686"/>
      <c r="AF66" s="686"/>
      <c r="AG66" s="686"/>
      <c r="AH66" s="686"/>
      <c r="AI66" s="686"/>
      <c r="AJ66" s="686"/>
      <c r="AK66" s="686"/>
      <c r="AL66" s="686"/>
      <c r="AM66" s="686"/>
      <c r="AN66" s="686"/>
      <c r="AO66" s="686"/>
      <c r="AP66" s="681"/>
    </row>
    <row r="67" spans="1:42">
      <c r="A67" s="681"/>
      <c r="B67" s="682"/>
      <c r="C67" s="681"/>
      <c r="D67" s="686"/>
      <c r="E67" s="686"/>
      <c r="F67" s="686"/>
      <c r="G67" s="686"/>
      <c r="H67" s="686"/>
      <c r="I67" s="1031"/>
      <c r="J67" s="1031"/>
      <c r="K67" s="1031"/>
      <c r="L67" s="1031"/>
      <c r="M67" s="1031"/>
      <c r="N67" s="1031"/>
      <c r="O67" s="1031"/>
      <c r="P67" s="1031"/>
      <c r="Q67" s="1031"/>
      <c r="R67" s="1031"/>
      <c r="S67" s="1031"/>
      <c r="T67" s="1031"/>
      <c r="U67" s="1031"/>
      <c r="V67" s="681"/>
      <c r="W67" s="681"/>
      <c r="X67" s="681"/>
      <c r="Y67" s="686"/>
      <c r="Z67" s="686"/>
      <c r="AA67" s="686"/>
      <c r="AB67" s="686"/>
      <c r="AC67" s="686"/>
      <c r="AD67" s="686"/>
      <c r="AE67" s="686"/>
      <c r="AF67" s="686"/>
      <c r="AG67" s="686"/>
      <c r="AH67" s="686"/>
      <c r="AI67" s="686"/>
      <c r="AJ67" s="686"/>
      <c r="AK67" s="686"/>
      <c r="AL67" s="686"/>
      <c r="AM67" s="686"/>
      <c r="AN67" s="686"/>
      <c r="AO67" s="686"/>
      <c r="AP67" s="681"/>
    </row>
    <row r="68" spans="1:42">
      <c r="A68" s="1289"/>
      <c r="B68" s="1289"/>
      <c r="C68" s="1295" t="s">
        <v>2180</v>
      </c>
      <c r="D68" s="1289"/>
      <c r="E68" s="1289"/>
      <c r="F68" s="1289"/>
      <c r="G68" s="1289"/>
      <c r="H68" s="1289"/>
      <c r="I68" s="1289"/>
      <c r="J68" s="1289"/>
      <c r="K68" s="1289"/>
      <c r="L68" s="1289"/>
      <c r="M68" s="1289"/>
      <c r="N68" s="1289"/>
      <c r="O68" s="1289"/>
      <c r="P68" s="1289"/>
      <c r="Q68" s="1289"/>
      <c r="R68" s="1289"/>
      <c r="S68" s="1289"/>
      <c r="T68" s="1289"/>
      <c r="U68" s="1289"/>
      <c r="V68" s="1289"/>
      <c r="W68" s="1289"/>
      <c r="X68" s="1289"/>
      <c r="Y68" s="1289"/>
      <c r="Z68" s="1289"/>
      <c r="AA68" s="1289"/>
      <c r="AB68" s="1289"/>
      <c r="AC68" s="1289"/>
      <c r="AD68" s="1289"/>
      <c r="AE68" s="1289"/>
      <c r="AF68" s="1289"/>
      <c r="AG68" s="1289"/>
      <c r="AH68" s="1289"/>
      <c r="AI68" s="1289"/>
      <c r="AJ68" s="1289"/>
      <c r="AK68" s="1289"/>
      <c r="AL68" s="1289"/>
      <c r="AM68" s="1296"/>
      <c r="AN68" s="1296"/>
      <c r="AO68" s="1296"/>
      <c r="AP68" s="1289"/>
    </row>
    <row r="69" spans="1:42" ht="11.45" customHeight="1">
      <c r="A69" s="1289"/>
      <c r="B69" s="1289"/>
      <c r="C69" s="1293"/>
      <c r="D69" s="1293"/>
      <c r="E69" s="1293"/>
      <c r="F69" s="1293"/>
      <c r="G69" s="1293"/>
      <c r="H69" s="1293"/>
      <c r="I69" s="1293"/>
      <c r="J69" s="1293"/>
      <c r="K69" s="1293"/>
      <c r="L69" s="1289"/>
      <c r="M69" s="1289"/>
      <c r="N69" s="1289"/>
      <c r="O69" s="1289"/>
      <c r="P69" s="1289"/>
      <c r="Q69" s="1289"/>
      <c r="R69" s="1289"/>
      <c r="S69" s="1289"/>
      <c r="T69" s="1289"/>
      <c r="U69" s="1289"/>
      <c r="V69" s="1289"/>
      <c r="W69" s="1289"/>
      <c r="X69" s="1289"/>
      <c r="Y69" s="1289"/>
      <c r="Z69" s="1289"/>
      <c r="AA69" s="1289"/>
      <c r="AB69" s="1289"/>
      <c r="AC69" s="1289"/>
      <c r="AD69" s="1289"/>
      <c r="AE69" s="1289"/>
      <c r="AF69" s="1289"/>
      <c r="AG69" s="1289"/>
      <c r="AH69" s="1289"/>
      <c r="AI69" s="1289"/>
      <c r="AJ69" s="1289"/>
      <c r="AK69" s="1289"/>
      <c r="AL69" s="1289"/>
      <c r="AM69" s="1296"/>
      <c r="AN69" s="1296"/>
      <c r="AO69" s="1296"/>
      <c r="AP69" s="1289"/>
    </row>
    <row r="70" spans="1:42">
      <c r="A70" s="1289"/>
      <c r="B70" s="1289"/>
      <c r="C70" s="1293"/>
      <c r="D70" s="1293" t="s">
        <v>4345</v>
      </c>
      <c r="E70" s="1293"/>
      <c r="F70" s="1293"/>
      <c r="G70" s="1293"/>
      <c r="H70" s="1293"/>
      <c r="I70" s="1293"/>
      <c r="J70" s="1293"/>
      <c r="K70" s="1293"/>
      <c r="L70" s="1289"/>
      <c r="M70" s="1289"/>
      <c r="N70" s="1289"/>
      <c r="O70" s="1289"/>
      <c r="P70" s="1289"/>
      <c r="Q70" s="1289"/>
      <c r="R70" s="1289"/>
      <c r="S70" s="1289"/>
      <c r="T70" s="1289"/>
      <c r="U70" s="1289"/>
      <c r="V70" s="1289"/>
      <c r="W70" s="1289"/>
      <c r="X70" s="1289"/>
      <c r="Y70" s="1289"/>
      <c r="Z70" s="1289"/>
      <c r="AA70" s="1289"/>
      <c r="AB70" s="1289"/>
      <c r="AC70" s="1289"/>
      <c r="AD70" s="1289"/>
      <c r="AE70" s="1289"/>
      <c r="AF70" s="1289"/>
      <c r="AG70" s="1289"/>
      <c r="AH70" s="1289"/>
      <c r="AI70" s="1289"/>
      <c r="AJ70" s="1289"/>
      <c r="AK70" s="1289"/>
      <c r="AL70" s="1289"/>
      <c r="AM70" s="1296"/>
      <c r="AN70" s="1296"/>
      <c r="AO70" s="1296"/>
      <c r="AP70" s="1289"/>
    </row>
    <row r="71" spans="1:42" hidden="1">
      <c r="A71" s="1289"/>
      <c r="B71" s="1289"/>
      <c r="C71" s="1293"/>
      <c r="D71" s="1293"/>
      <c r="E71" s="1293"/>
      <c r="F71" s="1293"/>
      <c r="G71" s="1293"/>
      <c r="H71" s="1293"/>
      <c r="I71" s="1293"/>
      <c r="J71" s="1293"/>
      <c r="K71" s="1293"/>
      <c r="L71" s="1289"/>
      <c r="M71" s="1289"/>
      <c r="N71" s="1289"/>
      <c r="O71" s="1289"/>
      <c r="P71" s="1289"/>
      <c r="Q71" s="1289"/>
      <c r="R71" s="1289"/>
      <c r="S71" s="1289"/>
      <c r="T71" s="1289"/>
      <c r="U71" s="1289"/>
      <c r="V71" s="1289"/>
      <c r="W71" s="1289"/>
      <c r="X71" s="1289"/>
      <c r="Y71" s="1289"/>
      <c r="Z71" s="1289"/>
      <c r="AA71" s="1289"/>
      <c r="AB71" s="1289"/>
      <c r="AC71" s="1289"/>
      <c r="AD71" s="1289"/>
      <c r="AE71" s="1289"/>
      <c r="AF71" s="1289"/>
      <c r="AG71" s="1289"/>
      <c r="AH71" s="1289"/>
      <c r="AI71" s="1289"/>
      <c r="AJ71" s="1289"/>
      <c r="AK71" s="1289"/>
      <c r="AL71" s="1289"/>
      <c r="AM71" s="1296"/>
      <c r="AN71" s="1296"/>
      <c r="AO71" s="1296"/>
      <c r="AP71" s="1289"/>
    </row>
    <row r="72" spans="1:42" ht="15" hidden="1" customHeight="1">
      <c r="A72" s="1289"/>
      <c r="B72" s="1289"/>
      <c r="C72" s="1293"/>
      <c r="D72" s="2329" t="s">
        <v>3644</v>
      </c>
      <c r="E72" s="2332" t="s">
        <v>9</v>
      </c>
      <c r="F72" s="2333"/>
      <c r="G72" s="2333"/>
      <c r="H72" s="2333"/>
      <c r="I72" s="2333"/>
      <c r="J72" s="2333"/>
      <c r="K72" s="2333"/>
      <c r="L72" s="2333"/>
      <c r="M72" s="2333"/>
      <c r="N72" s="2333"/>
      <c r="O72" s="2333"/>
      <c r="P72" s="2333"/>
      <c r="Q72" s="2333"/>
      <c r="R72" s="2333"/>
      <c r="S72" s="2333"/>
      <c r="T72" s="2333"/>
      <c r="U72" s="2333"/>
      <c r="V72" s="2333"/>
      <c r="W72" s="2333"/>
      <c r="X72" s="2333"/>
      <c r="Y72" s="2333"/>
      <c r="Z72" s="2333"/>
      <c r="AA72" s="2333"/>
      <c r="AB72" s="2334"/>
      <c r="AC72" s="2332" t="s">
        <v>1893</v>
      </c>
      <c r="AD72" s="2334"/>
      <c r="AE72" s="2344"/>
      <c r="AF72" s="2332" t="s">
        <v>1894</v>
      </c>
      <c r="AG72" s="2333"/>
      <c r="AH72" s="2333"/>
      <c r="AI72" s="2333"/>
      <c r="AJ72" s="2333"/>
      <c r="AK72" s="2334"/>
      <c r="AL72" s="1335"/>
      <c r="AM72" s="1335"/>
      <c r="AN72" s="1335"/>
      <c r="AO72" s="1335"/>
      <c r="AP72" s="1289"/>
    </row>
    <row r="73" spans="1:42" hidden="1">
      <c r="A73" s="1289"/>
      <c r="B73" s="1289"/>
      <c r="C73" s="1293"/>
      <c r="D73" s="2330"/>
      <c r="E73" s="2335"/>
      <c r="F73" s="2336"/>
      <c r="G73" s="2336"/>
      <c r="H73" s="2336"/>
      <c r="I73" s="2336"/>
      <c r="J73" s="2336"/>
      <c r="K73" s="2336"/>
      <c r="L73" s="2336"/>
      <c r="M73" s="2336"/>
      <c r="N73" s="2336"/>
      <c r="O73" s="2336"/>
      <c r="P73" s="2336"/>
      <c r="Q73" s="2336"/>
      <c r="R73" s="2336"/>
      <c r="S73" s="2336"/>
      <c r="T73" s="2336"/>
      <c r="U73" s="2336"/>
      <c r="V73" s="2336"/>
      <c r="W73" s="2336"/>
      <c r="X73" s="2336"/>
      <c r="Y73" s="2336"/>
      <c r="Z73" s="2336"/>
      <c r="AA73" s="2336"/>
      <c r="AB73" s="2337"/>
      <c r="AC73" s="2335"/>
      <c r="AD73" s="2337"/>
      <c r="AE73" s="2344"/>
      <c r="AF73" s="2335"/>
      <c r="AG73" s="2336"/>
      <c r="AH73" s="2336"/>
      <c r="AI73" s="2336"/>
      <c r="AJ73" s="2336"/>
      <c r="AK73" s="2337"/>
      <c r="AL73" s="1336"/>
      <c r="AM73" s="1336"/>
      <c r="AN73" s="1336"/>
      <c r="AO73" s="1336"/>
      <c r="AP73" s="1289"/>
    </row>
    <row r="74" spans="1:42" hidden="1">
      <c r="A74" s="1289"/>
      <c r="B74" s="1289"/>
      <c r="C74" s="1293"/>
      <c r="D74" s="2330"/>
      <c r="E74" s="2335"/>
      <c r="F74" s="2336"/>
      <c r="G74" s="2336"/>
      <c r="H74" s="2336"/>
      <c r="I74" s="2336"/>
      <c r="J74" s="2336"/>
      <c r="K74" s="2336"/>
      <c r="L74" s="2336"/>
      <c r="M74" s="2336"/>
      <c r="N74" s="2336"/>
      <c r="O74" s="2336"/>
      <c r="P74" s="2336"/>
      <c r="Q74" s="2336"/>
      <c r="R74" s="2336"/>
      <c r="S74" s="2336"/>
      <c r="T74" s="2336"/>
      <c r="U74" s="2336"/>
      <c r="V74" s="2336"/>
      <c r="W74" s="2336"/>
      <c r="X74" s="2336"/>
      <c r="Y74" s="2336"/>
      <c r="Z74" s="2336"/>
      <c r="AA74" s="2336"/>
      <c r="AB74" s="2337"/>
      <c r="AC74" s="2335"/>
      <c r="AD74" s="2337"/>
      <c r="AE74" s="2344"/>
      <c r="AF74" s="2335"/>
      <c r="AG74" s="2336"/>
      <c r="AH74" s="2336"/>
      <c r="AI74" s="2336"/>
      <c r="AJ74" s="2336"/>
      <c r="AK74" s="2337"/>
      <c r="AL74" s="1336"/>
      <c r="AM74" s="1336"/>
      <c r="AN74" s="1336"/>
      <c r="AO74" s="1336"/>
      <c r="AP74" s="1289"/>
    </row>
    <row r="75" spans="1:42" hidden="1">
      <c r="A75" s="1289"/>
      <c r="B75" s="1289"/>
      <c r="C75" s="1293"/>
      <c r="D75" s="2331"/>
      <c r="E75" s="2338"/>
      <c r="F75" s="2339"/>
      <c r="G75" s="2339"/>
      <c r="H75" s="2339"/>
      <c r="I75" s="2339"/>
      <c r="J75" s="2339"/>
      <c r="K75" s="2339"/>
      <c r="L75" s="2339"/>
      <c r="M75" s="2339"/>
      <c r="N75" s="2339"/>
      <c r="O75" s="2339"/>
      <c r="P75" s="2339"/>
      <c r="Q75" s="2339"/>
      <c r="R75" s="2339"/>
      <c r="S75" s="2339"/>
      <c r="T75" s="2339"/>
      <c r="U75" s="2339"/>
      <c r="V75" s="2339"/>
      <c r="W75" s="2339"/>
      <c r="X75" s="2339"/>
      <c r="Y75" s="2339"/>
      <c r="Z75" s="2339"/>
      <c r="AA75" s="2339"/>
      <c r="AB75" s="2340"/>
      <c r="AC75" s="2338"/>
      <c r="AD75" s="2340"/>
      <c r="AE75" s="2344"/>
      <c r="AF75" s="2338"/>
      <c r="AG75" s="2339"/>
      <c r="AH75" s="2339"/>
      <c r="AI75" s="2339"/>
      <c r="AJ75" s="2339"/>
      <c r="AK75" s="2340"/>
      <c r="AL75" s="1336"/>
      <c r="AM75" s="1336"/>
      <c r="AN75" s="1336"/>
      <c r="AO75" s="1336"/>
      <c r="AP75" s="1289"/>
    </row>
    <row r="76" spans="1:42" ht="15.75" hidden="1">
      <c r="A76" s="1289"/>
      <c r="B76" s="1289"/>
      <c r="C76" s="1293"/>
      <c r="D76" s="1337"/>
      <c r="E76" s="2345"/>
      <c r="F76" s="2346"/>
      <c r="G76" s="2346"/>
      <c r="H76" s="2346"/>
      <c r="I76" s="2346"/>
      <c r="J76" s="2346"/>
      <c r="K76" s="2346"/>
      <c r="L76" s="2346"/>
      <c r="M76" s="2346"/>
      <c r="N76" s="2346"/>
      <c r="O76" s="2346"/>
      <c r="P76" s="2346"/>
      <c r="Q76" s="2346"/>
      <c r="R76" s="2346"/>
      <c r="S76" s="2346"/>
      <c r="T76" s="2346"/>
      <c r="U76" s="2346"/>
      <c r="V76" s="2346"/>
      <c r="W76" s="2346"/>
      <c r="X76" s="2346"/>
      <c r="Y76" s="2346"/>
      <c r="Z76" s="2346"/>
      <c r="AA76" s="2346"/>
      <c r="AB76" s="2347"/>
      <c r="AC76" s="2348"/>
      <c r="AD76" s="2349"/>
      <c r="AE76" s="1338"/>
      <c r="AF76" s="1339"/>
      <c r="AG76" s="1340"/>
      <c r="AH76" s="1340"/>
      <c r="AI76" s="1340"/>
      <c r="AJ76" s="1340"/>
      <c r="AK76" s="1341"/>
      <c r="AL76" s="1342"/>
      <c r="AM76" s="1342"/>
      <c r="AN76" s="1342"/>
      <c r="AO76" s="1342"/>
      <c r="AP76" s="1289"/>
    </row>
    <row r="77" spans="1:42" ht="15.75" hidden="1">
      <c r="A77" s="1289"/>
      <c r="B77" s="1289"/>
      <c r="C77" s="1293"/>
      <c r="D77" s="1337"/>
      <c r="E77" s="1343"/>
      <c r="F77" s="1344"/>
      <c r="G77" s="1344"/>
      <c r="H77" s="1344"/>
      <c r="I77" s="1344"/>
      <c r="J77" s="1344"/>
      <c r="K77" s="1344"/>
      <c r="L77" s="1344"/>
      <c r="M77" s="1344"/>
      <c r="N77" s="1344"/>
      <c r="O77" s="1344"/>
      <c r="P77" s="1344"/>
      <c r="Q77" s="1344"/>
      <c r="R77" s="1344"/>
      <c r="S77" s="1344"/>
      <c r="T77" s="1344"/>
      <c r="U77" s="1344"/>
      <c r="V77" s="1344"/>
      <c r="W77" s="1344"/>
      <c r="X77" s="1344"/>
      <c r="Y77" s="1344"/>
      <c r="Z77" s="1344"/>
      <c r="AA77" s="1344"/>
      <c r="AB77" s="1345"/>
      <c r="AC77" s="1311"/>
      <c r="AD77" s="1312"/>
      <c r="AE77" s="1338"/>
      <c r="AF77" s="1339"/>
      <c r="AG77" s="1340"/>
      <c r="AH77" s="1340"/>
      <c r="AI77" s="1340"/>
      <c r="AJ77" s="1340"/>
      <c r="AK77" s="1341"/>
      <c r="AL77" s="1342"/>
      <c r="AM77" s="1342"/>
      <c r="AN77" s="1342"/>
      <c r="AO77" s="1342"/>
      <c r="AP77" s="1289"/>
    </row>
    <row r="78" spans="1:42" ht="15.75" hidden="1">
      <c r="A78" s="1289"/>
      <c r="B78" s="1289"/>
      <c r="C78" s="1293"/>
      <c r="D78" s="1337"/>
      <c r="E78" s="2345"/>
      <c r="F78" s="2346"/>
      <c r="G78" s="2346"/>
      <c r="H78" s="2346"/>
      <c r="I78" s="2346"/>
      <c r="J78" s="2346"/>
      <c r="K78" s="2346"/>
      <c r="L78" s="2346"/>
      <c r="M78" s="2346"/>
      <c r="N78" s="2346"/>
      <c r="O78" s="2346"/>
      <c r="P78" s="2346"/>
      <c r="Q78" s="2346"/>
      <c r="R78" s="2346"/>
      <c r="S78" s="2346"/>
      <c r="T78" s="2346"/>
      <c r="U78" s="2346"/>
      <c r="V78" s="2346"/>
      <c r="W78" s="2346"/>
      <c r="X78" s="2346"/>
      <c r="Y78" s="2346"/>
      <c r="Z78" s="2346"/>
      <c r="AA78" s="2346"/>
      <c r="AB78" s="2347"/>
      <c r="AC78" s="2348"/>
      <c r="AD78" s="2349"/>
      <c r="AE78" s="1338"/>
      <c r="AF78" s="1339"/>
      <c r="AG78" s="1340"/>
      <c r="AH78" s="1340"/>
      <c r="AI78" s="1340"/>
      <c r="AJ78" s="1340"/>
      <c r="AK78" s="1341"/>
      <c r="AL78" s="1342"/>
      <c r="AM78" s="1342"/>
      <c r="AN78" s="1342"/>
      <c r="AO78" s="1342"/>
      <c r="AP78" s="1289"/>
    </row>
    <row r="79" spans="1:42" ht="15.75" hidden="1">
      <c r="A79" s="1289"/>
      <c r="B79" s="1289"/>
      <c r="C79" s="1293"/>
      <c r="D79" s="1346"/>
      <c r="E79" s="1347"/>
      <c r="F79" s="1346"/>
      <c r="G79" s="1348"/>
      <c r="H79" s="1348"/>
      <c r="I79" s="1348"/>
      <c r="J79" s="1348"/>
      <c r="K79" s="1348"/>
      <c r="L79" s="1348"/>
      <c r="M79" s="1348"/>
      <c r="N79" s="1348"/>
      <c r="O79" s="1348"/>
      <c r="P79" s="1348"/>
      <c r="Q79" s="1348"/>
      <c r="R79" s="1348"/>
      <c r="S79" s="1348"/>
      <c r="T79" s="1348"/>
      <c r="U79" s="1348"/>
      <c r="V79" s="1348"/>
      <c r="W79" s="1348"/>
      <c r="X79" s="1348"/>
      <c r="Y79" s="1348"/>
      <c r="Z79" s="1348"/>
      <c r="AA79" s="1348"/>
      <c r="AB79" s="1348"/>
      <c r="AC79" s="1240"/>
      <c r="AD79" s="1240"/>
      <c r="AE79" s="1241"/>
      <c r="AF79" s="1349"/>
      <c r="AG79" s="1349"/>
      <c r="AH79" s="1349"/>
      <c r="AI79" s="1349"/>
      <c r="AJ79" s="1349"/>
      <c r="AK79" s="1349"/>
      <c r="AL79" s="1342"/>
      <c r="AM79" s="1342"/>
      <c r="AN79" s="1342"/>
      <c r="AO79" s="1342"/>
      <c r="AP79" s="1289"/>
    </row>
    <row r="80" spans="1:42" hidden="1">
      <c r="A80" s="1289"/>
      <c r="B80" s="1289"/>
      <c r="C80" s="1290"/>
      <c r="D80" s="1350"/>
      <c r="E80" s="1342"/>
      <c r="F80" s="1342"/>
      <c r="G80" s="1342"/>
      <c r="H80" s="1342"/>
      <c r="I80" s="1342"/>
      <c r="J80" s="1342"/>
      <c r="K80" s="1342"/>
      <c r="L80" s="1342"/>
      <c r="M80" s="1342"/>
      <c r="N80" s="1342"/>
      <c r="O80" s="1342"/>
      <c r="P80" s="1342"/>
      <c r="Q80" s="1342"/>
      <c r="R80" s="1342"/>
      <c r="S80" s="1342"/>
      <c r="T80" s="1342"/>
      <c r="U80" s="1342"/>
      <c r="V80" s="1342"/>
      <c r="W80" s="1342"/>
      <c r="X80" s="1342"/>
      <c r="Y80" s="1342"/>
      <c r="Z80" s="1342"/>
      <c r="AA80" s="1342"/>
      <c r="AB80" s="1342"/>
      <c r="AC80" s="1292"/>
      <c r="AD80" s="1292"/>
      <c r="AE80" s="1292"/>
      <c r="AF80" s="1292"/>
      <c r="AG80" s="1292"/>
      <c r="AH80" s="1292"/>
      <c r="AI80" s="1292"/>
      <c r="AJ80" s="1292"/>
      <c r="AK80" s="1292"/>
      <c r="AL80" s="1289"/>
      <c r="AM80" s="1289"/>
      <c r="AN80" s="1289"/>
      <c r="AO80" s="1289"/>
      <c r="AP80" s="1351"/>
    </row>
    <row r="81" spans="1:44" hidden="1">
      <c r="A81" s="1289"/>
      <c r="B81" s="1289"/>
      <c r="C81" s="1290"/>
      <c r="D81" s="1350"/>
      <c r="E81" s="1342"/>
      <c r="F81" s="1342"/>
      <c r="G81" s="1342"/>
      <c r="H81" s="1342"/>
      <c r="I81" s="1342"/>
      <c r="J81" s="1342"/>
      <c r="K81" s="1342"/>
      <c r="L81" s="1342"/>
      <c r="M81" s="1342"/>
      <c r="N81" s="1342"/>
      <c r="O81" s="1342"/>
      <c r="P81" s="1342"/>
      <c r="Q81" s="1342"/>
      <c r="R81" s="1342"/>
      <c r="S81" s="1342"/>
      <c r="T81" s="1342"/>
      <c r="U81" s="1342"/>
      <c r="V81" s="1342"/>
      <c r="W81" s="1342"/>
      <c r="X81" s="1342"/>
      <c r="Y81" s="1342"/>
      <c r="Z81" s="1342"/>
      <c r="AA81" s="1342"/>
      <c r="AB81" s="1342"/>
      <c r="AC81" s="1292"/>
      <c r="AD81" s="1292"/>
      <c r="AE81" s="1292"/>
      <c r="AF81" s="1292"/>
      <c r="AG81" s="1292"/>
      <c r="AH81" s="1292"/>
      <c r="AI81" s="1292"/>
      <c r="AJ81" s="1292"/>
      <c r="AK81" s="1292"/>
      <c r="AL81" s="1289"/>
      <c r="AM81" s="1289"/>
      <c r="AN81" s="1289"/>
      <c r="AO81" s="1289"/>
      <c r="AP81" s="1351"/>
    </row>
    <row r="82" spans="1:44" hidden="1">
      <c r="A82" s="1289"/>
      <c r="B82" s="1289"/>
      <c r="C82" s="1290"/>
      <c r="D82" s="1351"/>
      <c r="E82" s="1351"/>
      <c r="F82" s="1351"/>
      <c r="G82" s="1351"/>
      <c r="H82" s="1351"/>
      <c r="I82" s="1351"/>
      <c r="J82" s="1351"/>
      <c r="K82" s="1351"/>
      <c r="L82" s="1351"/>
      <c r="M82" s="1351"/>
      <c r="N82" s="1351"/>
      <c r="O82" s="1351"/>
      <c r="P82" s="1352"/>
      <c r="Q82" s="1352"/>
      <c r="R82" s="1352"/>
      <c r="S82" s="1352"/>
      <c r="T82" s="1352"/>
      <c r="U82" s="1352"/>
      <c r="V82" s="1352"/>
      <c r="W82" s="1352"/>
      <c r="X82" s="1352"/>
      <c r="Y82" s="1352"/>
      <c r="Z82" s="1352"/>
      <c r="AA82" s="1352"/>
      <c r="AB82" s="1352"/>
      <c r="AC82" s="1352"/>
      <c r="AD82" s="1352"/>
      <c r="AE82" s="1352"/>
      <c r="AF82" s="1352"/>
      <c r="AG82" s="1352"/>
      <c r="AH82" s="1352"/>
      <c r="AI82" s="1352"/>
      <c r="AJ82" s="1352"/>
      <c r="AK82" s="1352"/>
      <c r="AL82" s="1352"/>
      <c r="AM82" s="1352"/>
      <c r="AN82" s="1352"/>
      <c r="AO82" s="1352"/>
      <c r="AP82" s="1351"/>
    </row>
    <row r="83" spans="1:44">
      <c r="A83" s="1289"/>
      <c r="B83" s="1289"/>
      <c r="C83" s="1290"/>
      <c r="D83" s="1351"/>
      <c r="E83" s="1351"/>
      <c r="F83" s="1351"/>
      <c r="G83" s="1351"/>
      <c r="H83" s="1351"/>
      <c r="I83" s="1351"/>
      <c r="J83" s="1351"/>
      <c r="K83" s="1351"/>
      <c r="L83" s="1351"/>
      <c r="M83" s="1351"/>
      <c r="N83" s="1351"/>
      <c r="O83" s="1351"/>
      <c r="P83" s="1352"/>
      <c r="Q83" s="1352"/>
      <c r="R83" s="1352"/>
      <c r="S83" s="1352"/>
      <c r="T83" s="1352"/>
      <c r="U83" s="1352"/>
      <c r="V83" s="1352"/>
      <c r="W83" s="1352"/>
      <c r="X83" s="1352"/>
      <c r="Y83" s="1352"/>
      <c r="Z83" s="1352"/>
      <c r="AA83" s="1352"/>
      <c r="AB83" s="1352"/>
      <c r="AC83" s="1352"/>
      <c r="AD83" s="1352"/>
      <c r="AE83" s="1352"/>
      <c r="AF83" s="1352"/>
      <c r="AG83" s="1352"/>
      <c r="AH83" s="1352"/>
      <c r="AI83" s="1352"/>
      <c r="AJ83" s="1352"/>
      <c r="AK83" s="1352"/>
      <c r="AL83" s="1352"/>
      <c r="AM83" s="1352"/>
      <c r="AN83" s="1352"/>
      <c r="AO83" s="1352"/>
      <c r="AP83" s="1351"/>
    </row>
    <row r="84" spans="1:44">
      <c r="A84" s="681"/>
      <c r="B84" s="681"/>
      <c r="C84" s="682" t="s">
        <v>4313</v>
      </c>
      <c r="D84" s="681"/>
      <c r="E84" s="681"/>
      <c r="F84" s="681"/>
      <c r="G84" s="681"/>
      <c r="H84" s="681"/>
      <c r="I84" s="681"/>
      <c r="J84" s="681"/>
      <c r="K84" s="681"/>
      <c r="L84" s="681"/>
      <c r="M84" s="681"/>
      <c r="N84" s="681"/>
      <c r="O84" s="681"/>
      <c r="P84" s="681"/>
      <c r="Q84" s="681"/>
      <c r="R84" s="681"/>
      <c r="S84" s="681"/>
      <c r="T84" s="690"/>
      <c r="U84" s="681"/>
      <c r="V84" s="681"/>
      <c r="W84" s="681"/>
      <c r="X84" s="681"/>
      <c r="Y84" s="691"/>
      <c r="Z84" s="691"/>
      <c r="AA84" s="691"/>
      <c r="AB84" s="691"/>
      <c r="AC84" s="691"/>
      <c r="AD84" s="691"/>
      <c r="AE84" s="691"/>
      <c r="AF84" s="691"/>
      <c r="AG84" s="691"/>
      <c r="AH84" s="691"/>
      <c r="AI84" s="691"/>
      <c r="AJ84" s="691"/>
      <c r="AK84" s="691"/>
      <c r="AL84" s="681"/>
      <c r="AM84" s="681"/>
      <c r="AN84" s="681"/>
      <c r="AO84" s="681"/>
      <c r="AP84" s="681"/>
    </row>
    <row r="85" spans="1:44" ht="15.75" thickBot="1">
      <c r="A85" s="681"/>
      <c r="B85" s="681"/>
      <c r="C85" s="684"/>
      <c r="D85" s="681"/>
      <c r="E85" s="1032"/>
      <c r="F85" s="1032"/>
      <c r="G85" s="1032"/>
      <c r="H85" s="1032"/>
      <c r="I85" s="1032"/>
      <c r="J85" s="1032"/>
      <c r="K85" s="1032"/>
      <c r="L85" s="1032"/>
      <c r="M85" s="1032"/>
      <c r="N85" s="1032"/>
      <c r="O85" s="1032"/>
      <c r="P85" s="1032"/>
      <c r="Q85" s="1032"/>
      <c r="R85" s="1032"/>
      <c r="S85" s="681"/>
      <c r="T85" s="681"/>
      <c r="U85" s="681"/>
      <c r="V85" s="681"/>
      <c r="W85" s="681"/>
      <c r="X85" s="681"/>
      <c r="Y85" s="692"/>
      <c r="Z85" s="692"/>
      <c r="AA85" s="692"/>
      <c r="AB85" s="692"/>
      <c r="AC85" s="692"/>
      <c r="AD85" s="692"/>
      <c r="AE85" s="692"/>
      <c r="AF85" s="692"/>
      <c r="AG85" s="692"/>
      <c r="AH85" s="692"/>
      <c r="AI85" s="692"/>
      <c r="AJ85" s="692"/>
      <c r="AK85" s="692"/>
      <c r="AL85" s="681"/>
      <c r="AM85" s="681"/>
      <c r="AN85" s="681"/>
      <c r="AO85" s="681"/>
      <c r="AP85" s="681"/>
    </row>
    <row r="86" spans="1:44" ht="15" customHeight="1">
      <c r="A86" s="681"/>
      <c r="B86" s="681"/>
      <c r="C86" s="2365" t="s">
        <v>1895</v>
      </c>
      <c r="D86" s="2366"/>
      <c r="E86" s="2366"/>
      <c r="F86" s="2367"/>
      <c r="G86" s="2371" t="s">
        <v>1896</v>
      </c>
      <c r="H86" s="2372"/>
      <c r="I86" s="2372"/>
      <c r="J86" s="2372"/>
      <c r="K86" s="2373"/>
      <c r="L86" s="2377" t="s">
        <v>1897</v>
      </c>
      <c r="M86" s="2378"/>
      <c r="N86" s="2378"/>
      <c r="O86" s="2378"/>
      <c r="P86" s="2378"/>
      <c r="Q86" s="2378"/>
      <c r="R86" s="2379"/>
      <c r="S86" s="2377" t="s">
        <v>1898</v>
      </c>
      <c r="T86" s="2378"/>
      <c r="U86" s="2378"/>
      <c r="V86" s="2378"/>
      <c r="W86" s="2378"/>
      <c r="X86" s="2378"/>
      <c r="Y86" s="2378"/>
      <c r="Z86" s="2379"/>
      <c r="AA86" s="2377" t="s">
        <v>1899</v>
      </c>
      <c r="AB86" s="2378"/>
      <c r="AC86" s="2378"/>
      <c r="AD86" s="2378"/>
      <c r="AE86" s="2378"/>
      <c r="AF86" s="2378"/>
      <c r="AG86" s="2378"/>
      <c r="AH86" s="2379"/>
      <c r="AI86" s="2377" t="s">
        <v>1900</v>
      </c>
      <c r="AJ86" s="2378"/>
      <c r="AK86" s="2378"/>
      <c r="AL86" s="2378"/>
      <c r="AM86" s="2378"/>
      <c r="AN86" s="2378"/>
      <c r="AO86" s="2380"/>
      <c r="AP86" s="681"/>
    </row>
    <row r="87" spans="1:44" ht="15.75" thickBot="1">
      <c r="A87" s="681"/>
      <c r="B87" s="681"/>
      <c r="C87" s="2368"/>
      <c r="D87" s="2369"/>
      <c r="E87" s="2369"/>
      <c r="F87" s="2370"/>
      <c r="G87" s="2374"/>
      <c r="H87" s="2375"/>
      <c r="I87" s="2375"/>
      <c r="J87" s="2375"/>
      <c r="K87" s="2376"/>
      <c r="L87" s="2350" t="s">
        <v>1</v>
      </c>
      <c r="M87" s="2351"/>
      <c r="N87" s="2351"/>
      <c r="O87" s="2351"/>
      <c r="P87" s="2352"/>
      <c r="Q87" s="2350" t="s">
        <v>0</v>
      </c>
      <c r="R87" s="2352"/>
      <c r="S87" s="2350" t="s">
        <v>1</v>
      </c>
      <c r="T87" s="2351"/>
      <c r="U87" s="2351"/>
      <c r="V87" s="2351"/>
      <c r="W87" s="2351"/>
      <c r="X87" s="2352"/>
      <c r="Y87" s="2350" t="s">
        <v>0</v>
      </c>
      <c r="Z87" s="2352"/>
      <c r="AA87" s="2350" t="s">
        <v>1</v>
      </c>
      <c r="AB87" s="2351"/>
      <c r="AC87" s="2351"/>
      <c r="AD87" s="2351"/>
      <c r="AE87" s="2351"/>
      <c r="AF87" s="2352"/>
      <c r="AG87" s="2350" t="s">
        <v>0</v>
      </c>
      <c r="AH87" s="2352"/>
      <c r="AI87" s="2350" t="s">
        <v>1</v>
      </c>
      <c r="AJ87" s="2351"/>
      <c r="AK87" s="2351"/>
      <c r="AL87" s="2351"/>
      <c r="AM87" s="2352"/>
      <c r="AN87" s="2350" t="s">
        <v>0</v>
      </c>
      <c r="AO87" s="2353"/>
      <c r="AP87" s="681"/>
      <c r="AQ87" s="1362">
        <f>+G92+G93+G94+G95+G96</f>
        <v>4845416.3800000008</v>
      </c>
    </row>
    <row r="88" spans="1:44" ht="15.75" hidden="1" thickBot="1">
      <c r="A88" s="681"/>
      <c r="B88" s="681"/>
      <c r="C88" s="2354" t="s">
        <v>1901</v>
      </c>
      <c r="D88" s="2355"/>
      <c r="E88" s="2355"/>
      <c r="F88" s="2356"/>
      <c r="G88" s="2357">
        <f>+'[28]VAL. PRINC'!G840</f>
        <v>15398736.547100004</v>
      </c>
      <c r="H88" s="2358"/>
      <c r="I88" s="2358"/>
      <c r="J88" s="2358"/>
      <c r="K88" s="2359"/>
      <c r="L88" s="2360" t="e">
        <f>+L90</f>
        <v>#REF!</v>
      </c>
      <c r="M88" s="2361"/>
      <c r="N88" s="2361"/>
      <c r="O88" s="2361"/>
      <c r="P88" s="2362"/>
      <c r="Q88" s="2363" t="e">
        <f>+L88/G88</f>
        <v>#REF!</v>
      </c>
      <c r="R88" s="2364"/>
      <c r="S88" s="2360" t="e">
        <f>+S90</f>
        <v>#REF!</v>
      </c>
      <c r="T88" s="2361"/>
      <c r="U88" s="2361"/>
      <c r="V88" s="2361"/>
      <c r="W88" s="2361"/>
      <c r="X88" s="2362"/>
      <c r="Y88" s="2363" t="e">
        <f>S88/G88</f>
        <v>#REF!</v>
      </c>
      <c r="Z88" s="2364"/>
      <c r="AA88" s="2360" t="e">
        <f>L88+S88</f>
        <v>#REF!</v>
      </c>
      <c r="AB88" s="2361"/>
      <c r="AC88" s="2361"/>
      <c r="AD88" s="2361"/>
      <c r="AE88" s="2361"/>
      <c r="AF88" s="2362"/>
      <c r="AG88" s="2363" t="e">
        <f>+AA88/G88</f>
        <v>#REF!</v>
      </c>
      <c r="AH88" s="2364"/>
      <c r="AI88" s="2381" t="e">
        <f>G88-AA88</f>
        <v>#REF!</v>
      </c>
      <c r="AJ88" s="2382"/>
      <c r="AK88" s="2382"/>
      <c r="AL88" s="2382"/>
      <c r="AM88" s="2383"/>
      <c r="AN88" s="2384">
        <v>0</v>
      </c>
      <c r="AO88" s="2385"/>
      <c r="AP88" s="681"/>
      <c r="AQ88" s="1353">
        <v>1</v>
      </c>
    </row>
    <row r="89" spans="1:44" ht="20.45" customHeight="1">
      <c r="A89" s="681"/>
      <c r="B89" s="681"/>
      <c r="C89" s="2397" t="s">
        <v>3700</v>
      </c>
      <c r="D89" s="2398"/>
      <c r="E89" s="2398"/>
      <c r="F89" s="2399"/>
      <c r="G89" s="2400" t="e">
        <f>+G90+G91</f>
        <v>#REF!</v>
      </c>
      <c r="H89" s="2401"/>
      <c r="I89" s="2401"/>
      <c r="J89" s="2401"/>
      <c r="K89" s="2402"/>
      <c r="L89" s="2403" t="e">
        <f>+L90+L91</f>
        <v>#REF!</v>
      </c>
      <c r="M89" s="2401"/>
      <c r="N89" s="2401"/>
      <c r="O89" s="2401"/>
      <c r="P89" s="2402"/>
      <c r="Q89" s="2386" t="e">
        <f>+L89/G89</f>
        <v>#REF!</v>
      </c>
      <c r="R89" s="2404"/>
      <c r="S89" s="2403" t="e">
        <f>+S90+S91</f>
        <v>#REF!</v>
      </c>
      <c r="T89" s="2401"/>
      <c r="U89" s="2401"/>
      <c r="V89" s="2401"/>
      <c r="W89" s="2401"/>
      <c r="X89" s="2402"/>
      <c r="Y89" s="2386" t="e">
        <f>S89/G89</f>
        <v>#REF!</v>
      </c>
      <c r="Z89" s="2404"/>
      <c r="AA89" s="2403" t="e">
        <f>L89+S89</f>
        <v>#REF!</v>
      </c>
      <c r="AB89" s="2401"/>
      <c r="AC89" s="2401"/>
      <c r="AD89" s="2401"/>
      <c r="AE89" s="2401"/>
      <c r="AF89" s="2402"/>
      <c r="AG89" s="2386" t="e">
        <f>+AA89/G89</f>
        <v>#REF!</v>
      </c>
      <c r="AH89" s="2404"/>
      <c r="AI89" s="2403" t="e">
        <f>G89-AA89</f>
        <v>#REF!</v>
      </c>
      <c r="AJ89" s="2401"/>
      <c r="AK89" s="2401"/>
      <c r="AL89" s="2401"/>
      <c r="AM89" s="2402"/>
      <c r="AN89" s="2386">
        <v>0</v>
      </c>
      <c r="AO89" s="2387"/>
      <c r="AP89" s="681"/>
      <c r="AQ89" s="1353"/>
    </row>
    <row r="90" spans="1:44" s="1355" customFormat="1" ht="30" customHeight="1">
      <c r="A90" s="685"/>
      <c r="B90" s="685"/>
      <c r="C90" s="2388" t="s">
        <v>4364</v>
      </c>
      <c r="D90" s="2389"/>
      <c r="E90" s="2389"/>
      <c r="F90" s="2390"/>
      <c r="G90" s="2391" t="e">
        <f>+'RESUMEN GENERAL'!C13</f>
        <v>#REF!</v>
      </c>
      <c r="H90" s="2392"/>
      <c r="I90" s="2392"/>
      <c r="J90" s="2392"/>
      <c r="K90" s="2393"/>
      <c r="L90" s="2391" t="e">
        <f>+'RESUMEN GENERAL'!D13</f>
        <v>#REF!</v>
      </c>
      <c r="M90" s="2392"/>
      <c r="N90" s="2392"/>
      <c r="O90" s="2392"/>
      <c r="P90" s="2393"/>
      <c r="Q90" s="2394" t="e">
        <f>+L90/G90</f>
        <v>#REF!</v>
      </c>
      <c r="R90" s="2395"/>
      <c r="S90" s="2391" t="e">
        <f>+'RESUMEN GENERAL'!F13</f>
        <v>#REF!</v>
      </c>
      <c r="T90" s="2392"/>
      <c r="U90" s="2392"/>
      <c r="V90" s="2392"/>
      <c r="W90" s="2392"/>
      <c r="X90" s="2393"/>
      <c r="Y90" s="2394" t="e">
        <f>S90/G90</f>
        <v>#REF!</v>
      </c>
      <c r="Z90" s="2395"/>
      <c r="AA90" s="2391" t="e">
        <f>+'RESUMEN GENERAL'!H13</f>
        <v>#REF!</v>
      </c>
      <c r="AB90" s="2392"/>
      <c r="AC90" s="2392"/>
      <c r="AD90" s="2392"/>
      <c r="AE90" s="2392"/>
      <c r="AF90" s="2393"/>
      <c r="AG90" s="2394" t="e">
        <f>+AA90/G90</f>
        <v>#REF!</v>
      </c>
      <c r="AH90" s="2395"/>
      <c r="AI90" s="2391" t="e">
        <f>G90-AA90</f>
        <v>#REF!</v>
      </c>
      <c r="AJ90" s="2392"/>
      <c r="AK90" s="2392"/>
      <c r="AL90" s="2392"/>
      <c r="AM90" s="2392"/>
      <c r="AN90" s="2394" t="e">
        <f>+AQ88-AG90</f>
        <v>#REF!</v>
      </c>
      <c r="AO90" s="2396"/>
      <c r="AP90" s="685"/>
      <c r="AQ90" s="1354" t="e">
        <f>#REF!+#REF!</f>
        <v>#REF!</v>
      </c>
      <c r="AR90" s="1355">
        <v>2652104.96717944</v>
      </c>
    </row>
    <row r="91" spans="1:44" ht="30" customHeight="1">
      <c r="A91" s="1146"/>
      <c r="B91" s="1146"/>
      <c r="C91" s="2423" t="s">
        <v>4365</v>
      </c>
      <c r="D91" s="2424"/>
      <c r="E91" s="2424"/>
      <c r="F91" s="2425"/>
      <c r="G91" s="2426">
        <f>+G92+G93+G94+G95+G96</f>
        <v>4845416.3800000008</v>
      </c>
      <c r="H91" s="2427"/>
      <c r="I91" s="2427"/>
      <c r="J91" s="2427"/>
      <c r="K91" s="2428"/>
      <c r="L91" s="2391">
        <f>SUM(L92:O96)</f>
        <v>3378841.5858097002</v>
      </c>
      <c r="M91" s="2392"/>
      <c r="N91" s="2392"/>
      <c r="O91" s="2392"/>
      <c r="P91" s="2393"/>
      <c r="Q91" s="2429">
        <f>+L91/G91</f>
        <v>0.69732739579538461</v>
      </c>
      <c r="R91" s="2430"/>
      <c r="S91" s="2391">
        <f>SUM(S92:W96)</f>
        <v>267048.02719270007</v>
      </c>
      <c r="T91" s="2392"/>
      <c r="U91" s="2392"/>
      <c r="V91" s="2392"/>
      <c r="W91" s="2392"/>
      <c r="X91" s="2393"/>
      <c r="Y91" s="2429">
        <f t="shared" ref="Y91:Y100" si="0">+S91/G91</f>
        <v>5.5113535401203236E-2</v>
      </c>
      <c r="Z91" s="2430"/>
      <c r="AA91" s="2391">
        <f>SUM(L91,S91)</f>
        <v>3645889.6130024004</v>
      </c>
      <c r="AB91" s="2392"/>
      <c r="AC91" s="2392"/>
      <c r="AD91" s="2392"/>
      <c r="AE91" s="2392"/>
      <c r="AF91" s="2393"/>
      <c r="AG91" s="2394">
        <f>+AA91/G91</f>
        <v>0.75244093119658784</v>
      </c>
      <c r="AH91" s="2395"/>
      <c r="AI91" s="2391">
        <f>+G91-AA91</f>
        <v>1199526.7669976004</v>
      </c>
      <c r="AJ91" s="2392"/>
      <c r="AK91" s="2392"/>
      <c r="AL91" s="2392"/>
      <c r="AM91" s="2392"/>
      <c r="AN91" s="2405">
        <f>+AI91/G91</f>
        <v>0.24755906880341216</v>
      </c>
      <c r="AO91" s="2406"/>
      <c r="AP91" s="1146"/>
      <c r="AQ91" s="1294">
        <v>361586.55821093335</v>
      </c>
      <c r="AR91" s="1294">
        <v>2652104.9671794381</v>
      </c>
    </row>
    <row r="92" spans="1:44" ht="30" customHeight="1">
      <c r="A92" s="1146"/>
      <c r="B92" s="1146"/>
      <c r="C92" s="2407" t="s">
        <v>3680</v>
      </c>
      <c r="D92" s="2408"/>
      <c r="E92" s="2408"/>
      <c r="F92" s="2409"/>
      <c r="G92" s="2410">
        <f>+'RESUMEN GENERAL'!C23</f>
        <v>165006.5</v>
      </c>
      <c r="H92" s="2411"/>
      <c r="I92" s="2411"/>
      <c r="J92" s="2411"/>
      <c r="K92" s="2412"/>
      <c r="L92" s="2413">
        <f>+'RESUMEN GENERAL'!D23</f>
        <v>165006.5</v>
      </c>
      <c r="M92" s="2411"/>
      <c r="N92" s="2411"/>
      <c r="O92" s="2411"/>
      <c r="P92" s="2412"/>
      <c r="Q92" s="2414">
        <f>L92/G92</f>
        <v>1</v>
      </c>
      <c r="R92" s="2415"/>
      <c r="S92" s="2413">
        <f>+'RESUMEN GENERAL'!F23</f>
        <v>0</v>
      </c>
      <c r="T92" s="2411"/>
      <c r="U92" s="2411"/>
      <c r="V92" s="2411"/>
      <c r="W92" s="2411"/>
      <c r="X92" s="2412"/>
      <c r="Y92" s="2416">
        <f t="shared" si="0"/>
        <v>0</v>
      </c>
      <c r="Z92" s="2417"/>
      <c r="AA92" s="2413">
        <f>SUM(L92,S92:X92)</f>
        <v>165006.5</v>
      </c>
      <c r="AB92" s="2411"/>
      <c r="AC92" s="2411"/>
      <c r="AD92" s="2411"/>
      <c r="AE92" s="2411"/>
      <c r="AF92" s="2412"/>
      <c r="AG92" s="2418">
        <f t="shared" ref="AG92:AG97" si="1">AA92/G92</f>
        <v>1</v>
      </c>
      <c r="AH92" s="2419"/>
      <c r="AI92" s="2420">
        <f>G92-AA92</f>
        <v>0</v>
      </c>
      <c r="AJ92" s="2421"/>
      <c r="AK92" s="2421"/>
      <c r="AL92" s="2421"/>
      <c r="AM92" s="2421"/>
      <c r="AN92" s="2418">
        <v>0</v>
      </c>
      <c r="AO92" s="2422"/>
      <c r="AP92" s="1146"/>
    </row>
    <row r="93" spans="1:44" s="1356" customFormat="1" ht="30" customHeight="1">
      <c r="A93" s="1303"/>
      <c r="B93" s="1303"/>
      <c r="C93" s="2407" t="s">
        <v>3681</v>
      </c>
      <c r="D93" s="2408"/>
      <c r="E93" s="2408"/>
      <c r="F93" s="2409"/>
      <c r="G93" s="2410">
        <f>+'RESUMEN GENERAL'!C26</f>
        <v>587707.12</v>
      </c>
      <c r="H93" s="2411"/>
      <c r="I93" s="2411"/>
      <c r="J93" s="2411"/>
      <c r="K93" s="2412"/>
      <c r="L93" s="2413">
        <f>+'RESUMEN GENERAL'!D26</f>
        <v>552702.85560000001</v>
      </c>
      <c r="M93" s="2411"/>
      <c r="N93" s="2411"/>
      <c r="O93" s="2411"/>
      <c r="P93" s="2412"/>
      <c r="Q93" s="2414">
        <f>L93/G93</f>
        <v>0.94043927117983528</v>
      </c>
      <c r="R93" s="2415"/>
      <c r="S93" s="2413">
        <f>+'RESUMEN GENERAL'!F26</f>
        <v>11114.7</v>
      </c>
      <c r="T93" s="2411"/>
      <c r="U93" s="2411"/>
      <c r="V93" s="2411"/>
      <c r="W93" s="2411"/>
      <c r="X93" s="2412"/>
      <c r="Y93" s="2414">
        <f t="shared" si="0"/>
        <v>1.8911970983097839E-2</v>
      </c>
      <c r="Z93" s="2415"/>
      <c r="AA93" s="2413">
        <f>SUM(L93,S93:X93)</f>
        <v>563817.55559999996</v>
      </c>
      <c r="AB93" s="2411"/>
      <c r="AC93" s="2411"/>
      <c r="AD93" s="2411"/>
      <c r="AE93" s="2411"/>
      <c r="AF93" s="2412"/>
      <c r="AG93" s="2414">
        <f t="shared" si="1"/>
        <v>0.9593512421629331</v>
      </c>
      <c r="AH93" s="2415"/>
      <c r="AI93" s="2413">
        <f>G93-AA93</f>
        <v>23889.564400000032</v>
      </c>
      <c r="AJ93" s="2411"/>
      <c r="AK93" s="2411"/>
      <c r="AL93" s="2411"/>
      <c r="AM93" s="2411"/>
      <c r="AN93" s="2414">
        <f t="shared" ref="AN93:AN100" si="2">+AI93/G93</f>
        <v>4.0648757837066923E-2</v>
      </c>
      <c r="AO93" s="2431"/>
      <c r="AP93" s="1303"/>
    </row>
    <row r="94" spans="1:44" s="1356" customFormat="1" ht="30" customHeight="1">
      <c r="A94" s="1303"/>
      <c r="B94" s="1303"/>
      <c r="C94" s="2407" t="s">
        <v>3694</v>
      </c>
      <c r="D94" s="2408"/>
      <c r="E94" s="2408"/>
      <c r="F94" s="2409"/>
      <c r="G94" s="2410">
        <f>+'RESUMEN GENERAL'!C31</f>
        <v>3433797.0500000007</v>
      </c>
      <c r="H94" s="2411"/>
      <c r="I94" s="2411"/>
      <c r="J94" s="2411"/>
      <c r="K94" s="2412"/>
      <c r="L94" s="2413">
        <f>+'RESUMEN GENERAL'!D31</f>
        <v>2017765.2001352001</v>
      </c>
      <c r="M94" s="2411"/>
      <c r="N94" s="2411"/>
      <c r="O94" s="2411"/>
      <c r="P94" s="2412"/>
      <c r="Q94" s="2414">
        <f t="shared" ref="Q94:Q96" si="3">L94/G94</f>
        <v>0.58761923630145807</v>
      </c>
      <c r="R94" s="2415"/>
      <c r="S94" s="2413">
        <f>+'RESUMEN GENERAL'!F31</f>
        <v>83706.038454500012</v>
      </c>
      <c r="T94" s="2411"/>
      <c r="U94" s="2411"/>
      <c r="V94" s="2411"/>
      <c r="W94" s="2411"/>
      <c r="X94" s="2412"/>
      <c r="Y94" s="2414">
        <f t="shared" si="0"/>
        <v>2.4377107102034466E-2</v>
      </c>
      <c r="Z94" s="2415"/>
      <c r="AA94" s="2413">
        <f>SUM(L94,S94:X94)</f>
        <v>2101471.2385896998</v>
      </c>
      <c r="AB94" s="2411"/>
      <c r="AC94" s="2411"/>
      <c r="AD94" s="2411"/>
      <c r="AE94" s="2411"/>
      <c r="AF94" s="2412"/>
      <c r="AG94" s="2414">
        <f t="shared" si="1"/>
        <v>0.61199634340349252</v>
      </c>
      <c r="AH94" s="2415"/>
      <c r="AI94" s="2413">
        <f>G94-AA94</f>
        <v>1332325.8114103009</v>
      </c>
      <c r="AJ94" s="2411"/>
      <c r="AK94" s="2411"/>
      <c r="AL94" s="2411"/>
      <c r="AM94" s="2411"/>
      <c r="AN94" s="2414">
        <f t="shared" si="2"/>
        <v>0.38800365659650754</v>
      </c>
      <c r="AO94" s="2431"/>
      <c r="AP94" s="1303"/>
    </row>
    <row r="95" spans="1:44" ht="30" customHeight="1">
      <c r="A95" s="1146"/>
      <c r="B95" s="1146"/>
      <c r="C95" s="2407" t="s">
        <v>3695</v>
      </c>
      <c r="D95" s="2408"/>
      <c r="E95" s="2408"/>
      <c r="F95" s="2409"/>
      <c r="G95" s="2410">
        <f>+'RESUMEN GENERAL'!C36</f>
        <v>2917415.5299999993</v>
      </c>
      <c r="H95" s="2411"/>
      <c r="I95" s="2411"/>
      <c r="J95" s="2411"/>
      <c r="K95" s="2412"/>
      <c r="L95" s="2413">
        <f>+'RESUMEN GENERAL'!D36</f>
        <v>643367.03007450001</v>
      </c>
      <c r="M95" s="2411"/>
      <c r="N95" s="2411"/>
      <c r="O95" s="2411"/>
      <c r="P95" s="2412"/>
      <c r="Q95" s="2414">
        <f t="shared" si="3"/>
        <v>0.2205263609035838</v>
      </c>
      <c r="R95" s="2415"/>
      <c r="S95" s="2413">
        <f>+'RESUMEN GENERAL'!F36</f>
        <v>172227.28873820006</v>
      </c>
      <c r="T95" s="2411"/>
      <c r="U95" s="2411"/>
      <c r="V95" s="2411"/>
      <c r="W95" s="2411"/>
      <c r="X95" s="2412"/>
      <c r="Y95" s="2414">
        <f t="shared" si="0"/>
        <v>5.9034198922702008E-2</v>
      </c>
      <c r="Z95" s="2415"/>
      <c r="AA95" s="2413">
        <f>SUM(L95,S95:X95)</f>
        <v>815594.3188127001</v>
      </c>
      <c r="AB95" s="2411"/>
      <c r="AC95" s="2411"/>
      <c r="AD95" s="2411"/>
      <c r="AE95" s="2411"/>
      <c r="AF95" s="2412"/>
      <c r="AG95" s="2414">
        <f t="shared" si="1"/>
        <v>0.2795605598262858</v>
      </c>
      <c r="AH95" s="2415"/>
      <c r="AI95" s="2432">
        <f>G95-AA95</f>
        <v>2101821.2111872993</v>
      </c>
      <c r="AJ95" s="2433"/>
      <c r="AK95" s="2433"/>
      <c r="AL95" s="2433"/>
      <c r="AM95" s="2433"/>
      <c r="AN95" s="2418">
        <f t="shared" si="2"/>
        <v>0.7204394401737142</v>
      </c>
      <c r="AO95" s="2422"/>
      <c r="AP95" s="1146"/>
      <c r="AQ95" s="1294">
        <v>56971.901400000002</v>
      </c>
    </row>
    <row r="96" spans="1:44" ht="30" customHeight="1">
      <c r="A96" s="1146"/>
      <c r="B96" s="1146"/>
      <c r="C96" s="2407" t="s">
        <v>4363</v>
      </c>
      <c r="D96" s="2408"/>
      <c r="E96" s="2408"/>
      <c r="F96" s="2409"/>
      <c r="G96" s="2410">
        <f>+'RESUMEN GENERAL'!C39</f>
        <v>-2258509.8199999998</v>
      </c>
      <c r="H96" s="2411"/>
      <c r="I96" s="2411"/>
      <c r="J96" s="2411"/>
      <c r="K96" s="2412"/>
      <c r="L96" s="2413">
        <v>0</v>
      </c>
      <c r="M96" s="2411"/>
      <c r="N96" s="2411"/>
      <c r="O96" s="2411"/>
      <c r="P96" s="2412"/>
      <c r="Q96" s="2414">
        <f t="shared" si="3"/>
        <v>0</v>
      </c>
      <c r="R96" s="2415"/>
      <c r="S96" s="2413">
        <v>0</v>
      </c>
      <c r="T96" s="2411"/>
      <c r="U96" s="2411"/>
      <c r="V96" s="2411"/>
      <c r="W96" s="2411"/>
      <c r="X96" s="2412"/>
      <c r="Y96" s="2414">
        <f t="shared" si="0"/>
        <v>0</v>
      </c>
      <c r="Z96" s="2415"/>
      <c r="AA96" s="2413">
        <f>SUM(L96,S96:X96)</f>
        <v>0</v>
      </c>
      <c r="AB96" s="2411"/>
      <c r="AC96" s="2411"/>
      <c r="AD96" s="2411"/>
      <c r="AE96" s="2411"/>
      <c r="AF96" s="2412"/>
      <c r="AG96" s="2414">
        <f t="shared" si="1"/>
        <v>0</v>
      </c>
      <c r="AH96" s="2415"/>
      <c r="AI96" s="2432">
        <f>G96-AA96</f>
        <v>-2258509.8199999998</v>
      </c>
      <c r="AJ96" s="2433"/>
      <c r="AK96" s="2433"/>
      <c r="AL96" s="2433"/>
      <c r="AM96" s="2433"/>
      <c r="AN96" s="2418">
        <f t="shared" si="2"/>
        <v>1</v>
      </c>
      <c r="AO96" s="2422"/>
      <c r="AP96" s="1146"/>
      <c r="AQ96" s="1294">
        <v>0</v>
      </c>
    </row>
    <row r="97" spans="1:48" s="1355" customFormat="1" ht="30" customHeight="1">
      <c r="A97" s="1288"/>
      <c r="B97" s="1288"/>
      <c r="C97" s="2437" t="s">
        <v>3690</v>
      </c>
      <c r="D97" s="2438"/>
      <c r="E97" s="2438"/>
      <c r="F97" s="2439"/>
      <c r="G97" s="2440" t="e">
        <f>SUM(G98:K102)</f>
        <v>#REF!</v>
      </c>
      <c r="H97" s="2441"/>
      <c r="I97" s="2441"/>
      <c r="J97" s="2441"/>
      <c r="K97" s="2442"/>
      <c r="L97" s="2441" t="e">
        <f>SUM(L98:P102)</f>
        <v>#REF!</v>
      </c>
      <c r="M97" s="2441"/>
      <c r="N97" s="2441"/>
      <c r="O97" s="2441"/>
      <c r="P97" s="2441"/>
      <c r="Q97" s="2443" t="e">
        <f>L97/G97</f>
        <v>#REF!</v>
      </c>
      <c r="R97" s="2444"/>
      <c r="S97" s="2445" t="e">
        <f>SUM(S98:X102)</f>
        <v>#REF!</v>
      </c>
      <c r="T97" s="2441"/>
      <c r="U97" s="2441"/>
      <c r="V97" s="2441"/>
      <c r="W97" s="2441"/>
      <c r="X97" s="2442"/>
      <c r="Y97" s="2443" t="e">
        <f t="shared" si="0"/>
        <v>#REF!</v>
      </c>
      <c r="Z97" s="2444"/>
      <c r="AA97" s="2445" t="e">
        <f>SUM(AA98:AF102)</f>
        <v>#REF!</v>
      </c>
      <c r="AB97" s="2441"/>
      <c r="AC97" s="2441"/>
      <c r="AD97" s="2441"/>
      <c r="AE97" s="2441"/>
      <c r="AF97" s="2442"/>
      <c r="AG97" s="2434" t="e">
        <f t="shared" si="1"/>
        <v>#REF!</v>
      </c>
      <c r="AH97" s="2446"/>
      <c r="AI97" s="2445" t="e">
        <f>SUM(AI98:AM102)</f>
        <v>#REF!</v>
      </c>
      <c r="AJ97" s="2441"/>
      <c r="AK97" s="2441"/>
      <c r="AL97" s="2441"/>
      <c r="AM97" s="2442"/>
      <c r="AN97" s="2434" t="e">
        <f t="shared" si="2"/>
        <v>#REF!</v>
      </c>
      <c r="AO97" s="2435"/>
      <c r="AP97" s="1367" t="e">
        <f>+AA97/AA89</f>
        <v>#REF!</v>
      </c>
      <c r="AQ97" s="1354" t="e">
        <f>AA99+AA100+AA101+AA102+L98</f>
        <v>#REF!</v>
      </c>
    </row>
    <row r="98" spans="1:48" ht="30" customHeight="1">
      <c r="A98" s="1146"/>
      <c r="B98" s="1146"/>
      <c r="C98" s="2407" t="s">
        <v>4367</v>
      </c>
      <c r="D98" s="2408"/>
      <c r="E98" s="2408"/>
      <c r="F98" s="2409"/>
      <c r="G98" s="2410" t="e">
        <f>+'VAL. PRINC'!#REF!</f>
        <v>#REF!</v>
      </c>
      <c r="H98" s="2411"/>
      <c r="I98" s="2411"/>
      <c r="J98" s="2411"/>
      <c r="K98" s="2412"/>
      <c r="L98" s="2413" t="e">
        <f>+'VAL. PRINC'!#REF!</f>
        <v>#REF!</v>
      </c>
      <c r="M98" s="2411"/>
      <c r="N98" s="2411"/>
      <c r="O98" s="2411"/>
      <c r="P98" s="2412"/>
      <c r="Q98" s="2416" t="e">
        <f>+L98/G98</f>
        <v>#REF!</v>
      </c>
      <c r="R98" s="2417"/>
      <c r="S98" s="2413" t="e">
        <f>+'VAL. PRINC'!#REF!</f>
        <v>#REF!</v>
      </c>
      <c r="T98" s="2411"/>
      <c r="U98" s="2411"/>
      <c r="V98" s="2411"/>
      <c r="W98" s="2411"/>
      <c r="X98" s="1242"/>
      <c r="Y98" s="2416" t="e">
        <f t="shared" si="0"/>
        <v>#REF!</v>
      </c>
      <c r="Z98" s="2417"/>
      <c r="AA98" s="2432" t="e">
        <f>L98+S98</f>
        <v>#REF!</v>
      </c>
      <c r="AB98" s="2433"/>
      <c r="AC98" s="2433"/>
      <c r="AD98" s="2433"/>
      <c r="AE98" s="2433"/>
      <c r="AF98" s="2436"/>
      <c r="AG98" s="2418" t="e">
        <f>+AA98/G98</f>
        <v>#REF!</v>
      </c>
      <c r="AH98" s="2419"/>
      <c r="AI98" s="2432" t="e">
        <f>G98-AA98</f>
        <v>#REF!</v>
      </c>
      <c r="AJ98" s="2433"/>
      <c r="AK98" s="2433"/>
      <c r="AL98" s="2433"/>
      <c r="AM98" s="2433"/>
      <c r="AN98" s="2418" t="e">
        <f t="shared" si="2"/>
        <v>#REF!</v>
      </c>
      <c r="AO98" s="2422"/>
      <c r="AP98" s="1952"/>
      <c r="AQ98" s="1362" t="e">
        <f>SUM(AA98:AF102)</f>
        <v>#REF!</v>
      </c>
    </row>
    <row r="99" spans="1:48" ht="30" customHeight="1">
      <c r="A99" s="681"/>
      <c r="B99" s="681"/>
      <c r="C99" s="2447" t="s">
        <v>4366</v>
      </c>
      <c r="D99" s="2448"/>
      <c r="E99" s="2448"/>
      <c r="F99" s="2449"/>
      <c r="G99" s="2410">
        <f>+'VAL. AMP.2 COVID'!I38</f>
        <v>100529.56</v>
      </c>
      <c r="H99" s="2411"/>
      <c r="I99" s="2411"/>
      <c r="J99" s="2411"/>
      <c r="K99" s="2412"/>
      <c r="L99" s="2413">
        <f>+'VAL. AMP.2 COVID'!K38</f>
        <v>100529.56</v>
      </c>
      <c r="M99" s="2411"/>
      <c r="N99" s="2411"/>
      <c r="O99" s="2411"/>
      <c r="P99" s="2412"/>
      <c r="Q99" s="2416">
        <f t="shared" ref="Q99:Q100" si="4">+L99/G99</f>
        <v>1</v>
      </c>
      <c r="R99" s="2417"/>
      <c r="S99" s="2413">
        <v>0</v>
      </c>
      <c r="T99" s="2411"/>
      <c r="U99" s="2411"/>
      <c r="V99" s="2411"/>
      <c r="W99" s="2411"/>
      <c r="X99" s="1298"/>
      <c r="Y99" s="2416">
        <f t="shared" si="0"/>
        <v>0</v>
      </c>
      <c r="Z99" s="2417"/>
      <c r="AA99" s="2413">
        <f t="shared" ref="AA99:AA100" si="5">L99+S99</f>
        <v>100529.56</v>
      </c>
      <c r="AB99" s="2411"/>
      <c r="AC99" s="2411"/>
      <c r="AD99" s="2411"/>
      <c r="AE99" s="2411"/>
      <c r="AF99" s="2412"/>
      <c r="AG99" s="2414">
        <f t="shared" ref="AG99:AG100" si="6">+AA99/G99</f>
        <v>1</v>
      </c>
      <c r="AH99" s="2415"/>
      <c r="AI99" s="2432">
        <f t="shared" ref="AI99:AI100" si="7">G99-AA99</f>
        <v>0</v>
      </c>
      <c r="AJ99" s="2433"/>
      <c r="AK99" s="2433"/>
      <c r="AL99" s="2433"/>
      <c r="AM99" s="2433"/>
      <c r="AN99" s="2418">
        <f t="shared" si="2"/>
        <v>0</v>
      </c>
      <c r="AO99" s="2422"/>
      <c r="AP99" s="681"/>
      <c r="AQ99" s="1362" t="e">
        <f>SUM(L98:O102)</f>
        <v>#REF!</v>
      </c>
      <c r="AR99" s="2115">
        <f>+'[29]F6 DICIEMBRE'!$R$73</f>
        <v>1597550.3358379998</v>
      </c>
    </row>
    <row r="100" spans="1:48" ht="30" customHeight="1">
      <c r="A100" s="1146"/>
      <c r="B100" s="1146"/>
      <c r="C100" s="2407" t="s">
        <v>4368</v>
      </c>
      <c r="D100" s="2408"/>
      <c r="E100" s="2408"/>
      <c r="F100" s="2409"/>
      <c r="G100" s="2410">
        <f>+'VAL AMP 3'!I61</f>
        <v>45201.65</v>
      </c>
      <c r="H100" s="2411"/>
      <c r="I100" s="2411"/>
      <c r="J100" s="2411"/>
      <c r="K100" s="2412"/>
      <c r="L100" s="2413">
        <f>+'VAL AMP 3'!K61</f>
        <v>42509.406013007363</v>
      </c>
      <c r="M100" s="2411"/>
      <c r="N100" s="2411"/>
      <c r="O100" s="2411"/>
      <c r="P100" s="2412"/>
      <c r="Q100" s="2416">
        <f t="shared" si="4"/>
        <v>0.94043925416455731</v>
      </c>
      <c r="R100" s="2417"/>
      <c r="S100" s="2413">
        <f>+'VAL AMP 3'!M61</f>
        <v>854.85229318814447</v>
      </c>
      <c r="T100" s="2411"/>
      <c r="U100" s="2411"/>
      <c r="V100" s="2411"/>
      <c r="W100" s="2411"/>
      <c r="X100" s="1298"/>
      <c r="Y100" s="2416">
        <f t="shared" si="0"/>
        <v>1.8911970983097839E-2</v>
      </c>
      <c r="Z100" s="2417"/>
      <c r="AA100" s="2413">
        <f t="shared" si="5"/>
        <v>43364.258306195508</v>
      </c>
      <c r="AB100" s="2411"/>
      <c r="AC100" s="2411"/>
      <c r="AD100" s="2411"/>
      <c r="AE100" s="2411"/>
      <c r="AF100" s="2412"/>
      <c r="AG100" s="2414">
        <f t="shared" si="6"/>
        <v>0.95935122514765514</v>
      </c>
      <c r="AH100" s="2415"/>
      <c r="AI100" s="2432">
        <f t="shared" si="7"/>
        <v>1837.3916938044931</v>
      </c>
      <c r="AJ100" s="2433"/>
      <c r="AK100" s="2433"/>
      <c r="AL100" s="2433"/>
      <c r="AM100" s="2433"/>
      <c r="AN100" s="2418">
        <f t="shared" si="2"/>
        <v>4.0648774852344839E-2</v>
      </c>
      <c r="AO100" s="2422"/>
      <c r="AP100" s="1146"/>
      <c r="AQ100" s="1362" t="e">
        <f>+L98</f>
        <v>#REF!</v>
      </c>
      <c r="AR100" s="1362" t="e">
        <f>+AQ100-(L99+L100+L101+L102)</f>
        <v>#REF!</v>
      </c>
    </row>
    <row r="101" spans="1:48" ht="30" customHeight="1">
      <c r="A101" s="1146"/>
      <c r="B101" s="1146"/>
      <c r="C101" s="2407" t="s">
        <v>3694</v>
      </c>
      <c r="D101" s="2408"/>
      <c r="E101" s="2408"/>
      <c r="F101" s="2409"/>
      <c r="G101" s="2410">
        <f>+'VAL AMP4 MM'!I259</f>
        <v>141516.06656581606</v>
      </c>
      <c r="H101" s="2411"/>
      <c r="I101" s="2411"/>
      <c r="J101" s="2411"/>
      <c r="K101" s="2412"/>
      <c r="L101" s="2413">
        <f>+'VAL AMP4 MM'!K259</f>
        <v>76566.339453643493</v>
      </c>
      <c r="M101" s="2411"/>
      <c r="N101" s="2411"/>
      <c r="O101" s="2411"/>
      <c r="P101" s="2412"/>
      <c r="Q101" s="2414">
        <f t="shared" ref="Q101:Q102" si="8">L101/G101</f>
        <v>0.54104343988415016</v>
      </c>
      <c r="R101" s="2415"/>
      <c r="S101" s="2413">
        <f>+'VAL AMP4 MM'!M259</f>
        <v>3496.3185223756968</v>
      </c>
      <c r="T101" s="2411"/>
      <c r="U101" s="2411"/>
      <c r="V101" s="2411"/>
      <c r="W101" s="2411"/>
      <c r="X101" s="2048"/>
      <c r="Y101" s="2416">
        <f>+S101/G101</f>
        <v>2.4706159570578756E-2</v>
      </c>
      <c r="Z101" s="2417"/>
      <c r="AA101" s="2413">
        <f>L101+S101+0.01</f>
        <v>80062.667976019191</v>
      </c>
      <c r="AB101" s="2411"/>
      <c r="AC101" s="2411"/>
      <c r="AD101" s="2411"/>
      <c r="AE101" s="2411"/>
      <c r="AF101" s="2412"/>
      <c r="AG101" s="2414">
        <f>+AA101/G101</f>
        <v>0.56574967011808353</v>
      </c>
      <c r="AH101" s="2415"/>
      <c r="AI101" s="2413">
        <f>G101-AA101</f>
        <v>61453.398589796867</v>
      </c>
      <c r="AJ101" s="2411"/>
      <c r="AK101" s="2411"/>
      <c r="AL101" s="2411"/>
      <c r="AM101" s="2411"/>
      <c r="AN101" s="2414">
        <f>+AI101/G101</f>
        <v>0.43425032988191642</v>
      </c>
      <c r="AO101" s="2431"/>
      <c r="AP101" s="1304"/>
      <c r="AQ101" s="2116" t="e">
        <f>+S98-(S100+S101+S102)</f>
        <v>#REF!</v>
      </c>
      <c r="AR101" s="1357"/>
      <c r="AS101" s="1357"/>
      <c r="AT101" s="1357"/>
      <c r="AU101" s="1357"/>
      <c r="AV101" s="1357"/>
    </row>
    <row r="102" spans="1:48" ht="30" customHeight="1" thickBot="1">
      <c r="A102" s="1146"/>
      <c r="B102" s="1146"/>
      <c r="C102" s="2450" t="s">
        <v>3696</v>
      </c>
      <c r="D102" s="2451"/>
      <c r="E102" s="2451"/>
      <c r="F102" s="2452"/>
      <c r="G102" s="2453">
        <f>+'VAL AMP 4 PN'!I192</f>
        <v>119729.76343418393</v>
      </c>
      <c r="H102" s="2454"/>
      <c r="I102" s="2454"/>
      <c r="J102" s="2454"/>
      <c r="K102" s="2455"/>
      <c r="L102" s="2456">
        <f>+'VAL AMP 4 PN'!K192</f>
        <v>16227.719360701567</v>
      </c>
      <c r="M102" s="2454"/>
      <c r="N102" s="2454"/>
      <c r="O102" s="2454"/>
      <c r="P102" s="2455"/>
      <c r="Q102" s="2457">
        <f t="shared" si="8"/>
        <v>0.13553621835745153</v>
      </c>
      <c r="R102" s="2458"/>
      <c r="S102" s="2256">
        <f>+'VAL AMP 4 PN'!M192</f>
        <v>7068.1506715416672</v>
      </c>
      <c r="T102" s="2257"/>
      <c r="U102" s="2257"/>
      <c r="V102" s="2257"/>
      <c r="W102" s="2257"/>
      <c r="X102" s="2047"/>
      <c r="Y102" s="2459">
        <f>+S102/G102</f>
        <v>5.9034198922702008E-2</v>
      </c>
      <c r="Z102" s="2460"/>
      <c r="AA102" s="2474">
        <f>L102+S102</f>
        <v>23295.870032243234</v>
      </c>
      <c r="AB102" s="2475"/>
      <c r="AC102" s="2475"/>
      <c r="AD102" s="2475"/>
      <c r="AE102" s="2475"/>
      <c r="AF102" s="2476"/>
      <c r="AG102" s="2477">
        <f>+AA102/G102</f>
        <v>0.19457041728015353</v>
      </c>
      <c r="AH102" s="2478"/>
      <c r="AI102" s="2474">
        <f>G102-AA102</f>
        <v>96433.893401940702</v>
      </c>
      <c r="AJ102" s="2475"/>
      <c r="AK102" s="2475"/>
      <c r="AL102" s="2475"/>
      <c r="AM102" s="2475"/>
      <c r="AN102" s="2477">
        <f>+AI102/G102</f>
        <v>0.80542958271984655</v>
      </c>
      <c r="AO102" s="2479"/>
      <c r="AP102" s="1146"/>
      <c r="AQ102" s="1294">
        <f>+'[29]F6 DICIEMBRE'!$C$27</f>
        <v>1944879.91</v>
      </c>
      <c r="AR102" s="1362" t="e">
        <f>+AQ102-G97</f>
        <v>#REF!</v>
      </c>
    </row>
    <row r="103" spans="1:48" s="1355" customFormat="1" ht="30" customHeight="1" thickBot="1">
      <c r="A103" s="1288"/>
      <c r="B103" s="1288"/>
      <c r="C103" s="2480" t="s">
        <v>3691</v>
      </c>
      <c r="D103" s="2481"/>
      <c r="E103" s="2481"/>
      <c r="F103" s="2482"/>
      <c r="G103" s="2483" t="e">
        <f>+G90+G97+G91</f>
        <v>#REF!</v>
      </c>
      <c r="H103" s="2462"/>
      <c r="I103" s="2462"/>
      <c r="J103" s="2462"/>
      <c r="K103" s="2463"/>
      <c r="L103" s="2483" t="e">
        <f>+L90+L97+L91</f>
        <v>#REF!</v>
      </c>
      <c r="M103" s="2462"/>
      <c r="N103" s="2462"/>
      <c r="O103" s="2462"/>
      <c r="P103" s="2463"/>
      <c r="Q103" s="2464" t="e">
        <f>L103/G103</f>
        <v>#REF!</v>
      </c>
      <c r="R103" s="2465"/>
      <c r="S103" s="2483" t="e">
        <f>+S97+S91+S90</f>
        <v>#REF!</v>
      </c>
      <c r="T103" s="2462"/>
      <c r="U103" s="2462"/>
      <c r="V103" s="2462"/>
      <c r="W103" s="2462"/>
      <c r="X103" s="2463"/>
      <c r="Y103" s="2484" t="e">
        <f t="shared" ref="Y103" si="9">+S103/G103</f>
        <v>#REF!</v>
      </c>
      <c r="Z103" s="2485"/>
      <c r="AA103" s="2461" t="e">
        <f>+AA97+AA91+AA90</f>
        <v>#REF!</v>
      </c>
      <c r="AB103" s="2462"/>
      <c r="AC103" s="2462"/>
      <c r="AD103" s="2462"/>
      <c r="AE103" s="2462"/>
      <c r="AF103" s="2463"/>
      <c r="AG103" s="2464" t="e">
        <f>AA103/G103</f>
        <v>#REF!</v>
      </c>
      <c r="AH103" s="2465"/>
      <c r="AI103" s="2466" t="e">
        <f>G103-AA103</f>
        <v>#REF!</v>
      </c>
      <c r="AJ103" s="2467"/>
      <c r="AK103" s="2467"/>
      <c r="AL103" s="2467"/>
      <c r="AM103" s="2468"/>
      <c r="AN103" s="2464" t="e">
        <f>+AI103/G103</f>
        <v>#REF!</v>
      </c>
      <c r="AO103" s="2469"/>
      <c r="AP103" s="1288"/>
      <c r="AQ103" s="1355">
        <v>40020.929100000001</v>
      </c>
    </row>
    <row r="104" spans="1:48">
      <c r="A104" s="681"/>
      <c r="B104" s="681"/>
      <c r="C104" s="689"/>
      <c r="D104" s="689"/>
      <c r="E104" s="689"/>
      <c r="F104" s="689"/>
      <c r="G104" s="689"/>
      <c r="H104" s="689"/>
      <c r="I104" s="689"/>
      <c r="J104" s="689"/>
      <c r="K104" s="689"/>
      <c r="L104" s="689"/>
      <c r="M104" s="689"/>
      <c r="N104" s="689"/>
      <c r="O104" s="689"/>
      <c r="P104" s="689"/>
      <c r="Q104" s="689"/>
      <c r="R104" s="689"/>
      <c r="S104" s="689"/>
      <c r="T104" s="689"/>
      <c r="U104" s="689"/>
      <c r="V104" s="689"/>
      <c r="W104" s="689"/>
      <c r="X104" s="689"/>
      <c r="Y104" s="2470"/>
      <c r="Z104" s="2470"/>
      <c r="AA104" s="689"/>
      <c r="AB104" s="689"/>
      <c r="AC104" s="689"/>
      <c r="AD104" s="689"/>
      <c r="AE104" s="689"/>
      <c r="AF104" s="689"/>
      <c r="AG104" s="689"/>
      <c r="AH104" s="689"/>
      <c r="AI104" s="689"/>
      <c r="AJ104" s="689"/>
      <c r="AK104" s="689"/>
      <c r="AL104" s="689"/>
      <c r="AM104" s="689"/>
      <c r="AN104" s="689"/>
      <c r="AO104" s="689"/>
      <c r="AP104" s="681"/>
    </row>
    <row r="105" spans="1:48" ht="15.75" thickBot="1">
      <c r="A105" s="681"/>
      <c r="B105" s="681"/>
      <c r="C105" s="2471" t="s">
        <v>3633</v>
      </c>
      <c r="D105" s="2472"/>
      <c r="E105" s="2472"/>
      <c r="F105" s="2472"/>
      <c r="G105" s="2472"/>
      <c r="H105" s="2472"/>
      <c r="I105" s="2472"/>
      <c r="J105" s="2472"/>
      <c r="K105" s="2472"/>
      <c r="L105" s="2472"/>
      <c r="M105" s="2472"/>
      <c r="N105" s="2472"/>
      <c r="O105" s="2472"/>
      <c r="P105" s="2472"/>
      <c r="Q105" s="2472"/>
      <c r="R105" s="2472"/>
      <c r="S105" s="2472"/>
      <c r="T105" s="2472"/>
      <c r="U105" s="2472"/>
      <c r="V105" s="2472"/>
      <c r="W105" s="2472"/>
      <c r="X105" s="2472"/>
      <c r="Y105" s="2472"/>
      <c r="Z105" s="2472"/>
      <c r="AA105" s="2472"/>
      <c r="AB105" s="2472"/>
      <c r="AC105" s="2472"/>
      <c r="AD105" s="2472"/>
      <c r="AE105" s="2472"/>
      <c r="AF105" s="2472"/>
      <c r="AG105" s="2472"/>
      <c r="AH105" s="2472"/>
      <c r="AI105" s="2472"/>
      <c r="AJ105" s="2472"/>
      <c r="AK105" s="2472"/>
      <c r="AL105" s="2472"/>
      <c r="AM105" s="2472"/>
      <c r="AN105" s="2472"/>
      <c r="AO105" s="2473"/>
      <c r="AP105" s="681"/>
    </row>
    <row r="106" spans="1:48" ht="15" customHeight="1">
      <c r="A106" s="681"/>
      <c r="B106" s="681"/>
      <c r="C106" s="2365" t="s">
        <v>1903</v>
      </c>
      <c r="D106" s="2366"/>
      <c r="E106" s="2366"/>
      <c r="F106" s="2367"/>
      <c r="G106" s="2371" t="s">
        <v>1904</v>
      </c>
      <c r="H106" s="2372"/>
      <c r="I106" s="2372"/>
      <c r="J106" s="2372"/>
      <c r="K106" s="2373"/>
      <c r="L106" s="2377" t="s">
        <v>1897</v>
      </c>
      <c r="M106" s="2378"/>
      <c r="N106" s="2378"/>
      <c r="O106" s="2378"/>
      <c r="P106" s="2378"/>
      <c r="Q106" s="2378"/>
      <c r="R106" s="2379"/>
      <c r="S106" s="2377" t="s">
        <v>1898</v>
      </c>
      <c r="T106" s="2378"/>
      <c r="U106" s="2378"/>
      <c r="V106" s="2378"/>
      <c r="W106" s="2378"/>
      <c r="X106" s="2378"/>
      <c r="Y106" s="2378"/>
      <c r="Z106" s="2379"/>
      <c r="AA106" s="2377" t="s">
        <v>1899</v>
      </c>
      <c r="AB106" s="2378"/>
      <c r="AC106" s="2378"/>
      <c r="AD106" s="2378"/>
      <c r="AE106" s="2378"/>
      <c r="AF106" s="2378"/>
      <c r="AG106" s="2378"/>
      <c r="AH106" s="2379"/>
      <c r="AI106" s="2377" t="s">
        <v>1900</v>
      </c>
      <c r="AJ106" s="2378"/>
      <c r="AK106" s="2378"/>
      <c r="AL106" s="2378"/>
      <c r="AM106" s="2378"/>
      <c r="AN106" s="2378"/>
      <c r="AO106" s="2380"/>
      <c r="AP106" s="681"/>
    </row>
    <row r="107" spans="1:48" ht="15.75" thickBot="1">
      <c r="A107" s="681"/>
      <c r="B107" s="681"/>
      <c r="C107" s="2368"/>
      <c r="D107" s="2369"/>
      <c r="E107" s="2369"/>
      <c r="F107" s="2370"/>
      <c r="G107" s="2374"/>
      <c r="H107" s="2375"/>
      <c r="I107" s="2375"/>
      <c r="J107" s="2375"/>
      <c r="K107" s="2376"/>
      <c r="L107" s="2350" t="s">
        <v>1</v>
      </c>
      <c r="M107" s="2351"/>
      <c r="N107" s="2351"/>
      <c r="O107" s="2351"/>
      <c r="P107" s="2352"/>
      <c r="Q107" s="2350" t="s">
        <v>0</v>
      </c>
      <c r="R107" s="2352"/>
      <c r="S107" s="2350" t="s">
        <v>1</v>
      </c>
      <c r="T107" s="2351"/>
      <c r="U107" s="2351"/>
      <c r="V107" s="2351"/>
      <c r="W107" s="2351"/>
      <c r="X107" s="2352"/>
      <c r="Y107" s="2350" t="s">
        <v>0</v>
      </c>
      <c r="Z107" s="2352"/>
      <c r="AA107" s="2350" t="s">
        <v>1</v>
      </c>
      <c r="AB107" s="2351"/>
      <c r="AC107" s="2351"/>
      <c r="AD107" s="2351"/>
      <c r="AE107" s="2351"/>
      <c r="AF107" s="2352"/>
      <c r="AG107" s="2350" t="s">
        <v>0</v>
      </c>
      <c r="AH107" s="2352"/>
      <c r="AI107" s="2350" t="s">
        <v>1</v>
      </c>
      <c r="AJ107" s="2351"/>
      <c r="AK107" s="2351"/>
      <c r="AL107" s="2351"/>
      <c r="AM107" s="2352"/>
      <c r="AN107" s="2350" t="s">
        <v>0</v>
      </c>
      <c r="AO107" s="2353"/>
      <c r="AP107" s="681"/>
    </row>
    <row r="108" spans="1:48">
      <c r="A108" s="1146"/>
      <c r="B108" s="1146"/>
      <c r="C108" s="2495" t="s">
        <v>1902</v>
      </c>
      <c r="D108" s="2496"/>
      <c r="E108" s="2496"/>
      <c r="F108" s="2497"/>
      <c r="G108" s="2501">
        <f>+'[30]F6 OCTUBRE'!$F$61</f>
        <v>6590155.6500000004</v>
      </c>
      <c r="H108" s="2502"/>
      <c r="I108" s="2502"/>
      <c r="J108" s="2502"/>
      <c r="K108" s="2503"/>
      <c r="L108" s="2504">
        <f>+G108</f>
        <v>6590155.6500000004</v>
      </c>
      <c r="M108" s="2505"/>
      <c r="N108" s="2505"/>
      <c r="O108" s="2505"/>
      <c r="P108" s="2506"/>
      <c r="Q108" s="2507">
        <f>L108/G108</f>
        <v>1</v>
      </c>
      <c r="R108" s="2508"/>
      <c r="S108" s="1314"/>
      <c r="T108" s="1314"/>
      <c r="U108" s="1314"/>
      <c r="V108" s="1314">
        <v>0</v>
      </c>
      <c r="W108" s="1314"/>
      <c r="X108" s="1314"/>
      <c r="Y108" s="2507">
        <f>S108/G108</f>
        <v>0</v>
      </c>
      <c r="Z108" s="2508"/>
      <c r="AA108" s="2486">
        <f>SUM(L108,S108)</f>
        <v>6590155.6500000004</v>
      </c>
      <c r="AB108" s="2487"/>
      <c r="AC108" s="2487"/>
      <c r="AD108" s="2487"/>
      <c r="AE108" s="2487"/>
      <c r="AF108" s="2488"/>
      <c r="AG108" s="2489">
        <f>AA108/G108</f>
        <v>1</v>
      </c>
      <c r="AH108" s="2490"/>
      <c r="AI108" s="2491">
        <f>G108-AA108</f>
        <v>0</v>
      </c>
      <c r="AJ108" s="2492"/>
      <c r="AK108" s="2492"/>
      <c r="AL108" s="2492"/>
      <c r="AM108" s="2493"/>
      <c r="AN108" s="2489">
        <f>AI108/G108</f>
        <v>0</v>
      </c>
      <c r="AO108" s="2494"/>
      <c r="AP108" s="1146"/>
    </row>
    <row r="109" spans="1:48">
      <c r="A109" s="1146"/>
      <c r="B109" s="1146"/>
      <c r="C109" s="2495"/>
      <c r="D109" s="2496"/>
      <c r="E109" s="2496"/>
      <c r="F109" s="2497"/>
      <c r="G109" s="2498"/>
      <c r="H109" s="2499"/>
      <c r="I109" s="2499"/>
      <c r="J109" s="2499"/>
      <c r="K109" s="2500"/>
      <c r="L109" s="1319"/>
      <c r="M109" s="1243"/>
      <c r="N109" s="1243"/>
      <c r="O109" s="1243"/>
      <c r="P109" s="1320"/>
      <c r="Q109" s="1309"/>
      <c r="R109" s="1310"/>
      <c r="S109" s="1313"/>
      <c r="T109" s="1314"/>
      <c r="U109" s="1314"/>
      <c r="V109" s="1314"/>
      <c r="W109" s="1314"/>
      <c r="X109" s="1315"/>
      <c r="Y109" s="1309"/>
      <c r="Z109" s="1310"/>
      <c r="AA109" s="1313"/>
      <c r="AB109" s="1314"/>
      <c r="AC109" s="1314"/>
      <c r="AD109" s="1314"/>
      <c r="AE109" s="1314"/>
      <c r="AF109" s="1315"/>
      <c r="AG109" s="1316"/>
      <c r="AH109" s="1317"/>
      <c r="AI109" s="1321"/>
      <c r="AJ109" s="1322"/>
      <c r="AK109" s="1322"/>
      <c r="AL109" s="1322"/>
      <c r="AM109" s="1323"/>
      <c r="AN109" s="1316"/>
      <c r="AO109" s="1318"/>
      <c r="AP109" s="1146"/>
    </row>
    <row r="110" spans="1:48">
      <c r="A110" s="1146"/>
      <c r="B110" s="1146"/>
      <c r="C110" s="2495"/>
      <c r="D110" s="2496"/>
      <c r="E110" s="2496"/>
      <c r="F110" s="2497"/>
      <c r="G110" s="2501"/>
      <c r="H110" s="2502"/>
      <c r="I110" s="2502"/>
      <c r="J110" s="2502"/>
      <c r="K110" s="2503"/>
      <c r="L110" s="2504"/>
      <c r="M110" s="2505"/>
      <c r="N110" s="2505"/>
      <c r="O110" s="2505"/>
      <c r="P110" s="2506"/>
      <c r="Q110" s="2507"/>
      <c r="R110" s="2508"/>
      <c r="S110" s="2486"/>
      <c r="T110" s="2487"/>
      <c r="U110" s="2487"/>
      <c r="V110" s="2487"/>
      <c r="W110" s="2487"/>
      <c r="X110" s="2488"/>
      <c r="Y110" s="2507"/>
      <c r="Z110" s="2508"/>
      <c r="AA110" s="2504"/>
      <c r="AB110" s="2505"/>
      <c r="AC110" s="2505"/>
      <c r="AD110" s="2505"/>
      <c r="AE110" s="2505"/>
      <c r="AF110" s="2506"/>
      <c r="AG110" s="2507"/>
      <c r="AH110" s="2508"/>
      <c r="AI110" s="2509"/>
      <c r="AJ110" s="2510"/>
      <c r="AK110" s="2510"/>
      <c r="AL110" s="2510"/>
      <c r="AM110" s="2511"/>
      <c r="AN110" s="2507"/>
      <c r="AO110" s="2512"/>
      <c r="AP110" s="1146"/>
    </row>
    <row r="111" spans="1:48" ht="15.75" thickBot="1">
      <c r="A111" s="681"/>
      <c r="B111" s="681"/>
      <c r="C111" s="2513" t="s">
        <v>1905</v>
      </c>
      <c r="D111" s="2514"/>
      <c r="E111" s="2514"/>
      <c r="F111" s="2515"/>
      <c r="G111" s="2516"/>
      <c r="H111" s="2517"/>
      <c r="I111" s="2517"/>
      <c r="J111" s="2517"/>
      <c r="K111" s="2518"/>
      <c r="L111" s="2519"/>
      <c r="M111" s="2520"/>
      <c r="N111" s="2520"/>
      <c r="O111" s="2520"/>
      <c r="P111" s="2521"/>
      <c r="Q111" s="2522"/>
      <c r="R111" s="2523"/>
      <c r="S111" s="2519"/>
      <c r="T111" s="2520"/>
      <c r="U111" s="2520"/>
      <c r="V111" s="2520"/>
      <c r="W111" s="2520"/>
      <c r="X111" s="2521"/>
      <c r="Y111" s="2522"/>
      <c r="Z111" s="2523"/>
      <c r="AA111" s="2519"/>
      <c r="AB111" s="2520"/>
      <c r="AC111" s="2520"/>
      <c r="AD111" s="2520"/>
      <c r="AE111" s="2520"/>
      <c r="AF111" s="2521"/>
      <c r="AG111" s="2522"/>
      <c r="AH111" s="2523"/>
      <c r="AI111" s="2524"/>
      <c r="AJ111" s="2525"/>
      <c r="AK111" s="2525"/>
      <c r="AL111" s="2525"/>
      <c r="AM111" s="2526"/>
      <c r="AN111" s="2522"/>
      <c r="AO111" s="2527"/>
      <c r="AP111" s="681"/>
    </row>
    <row r="112" spans="1:48">
      <c r="A112" s="681"/>
      <c r="B112" s="681"/>
      <c r="C112" s="685"/>
      <c r="D112" s="685"/>
      <c r="E112" s="685"/>
      <c r="F112" s="685"/>
      <c r="G112" s="1244"/>
      <c r="H112" s="1244"/>
      <c r="I112" s="1244"/>
      <c r="J112" s="1244"/>
      <c r="K112" s="1244"/>
      <c r="L112" s="1245"/>
      <c r="M112" s="1245"/>
      <c r="N112" s="1245"/>
      <c r="O112" s="1245"/>
      <c r="P112" s="1245"/>
      <c r="Q112" s="1246"/>
      <c r="R112" s="1246"/>
      <c r="S112" s="1245"/>
      <c r="T112" s="1245"/>
      <c r="U112" s="1245"/>
      <c r="V112" s="1245"/>
      <c r="W112" s="1245"/>
      <c r="X112" s="1245"/>
      <c r="Y112" s="1246"/>
      <c r="Z112" s="1246"/>
      <c r="AA112" s="1245"/>
      <c r="AB112" s="1245"/>
      <c r="AC112" s="1245"/>
      <c r="AD112" s="1245"/>
      <c r="AE112" s="1245"/>
      <c r="AF112" s="1245"/>
      <c r="AG112" s="1246"/>
      <c r="AH112" s="1246"/>
      <c r="AI112" s="681"/>
      <c r="AJ112" s="681"/>
      <c r="AK112" s="681"/>
      <c r="AL112" s="681"/>
      <c r="AM112" s="681"/>
      <c r="AN112" s="1246"/>
      <c r="AO112" s="1246"/>
      <c r="AP112" s="681"/>
    </row>
    <row r="113" spans="1:43">
      <c r="A113" s="681"/>
      <c r="B113" s="681"/>
      <c r="C113" s="2528" t="s">
        <v>2182</v>
      </c>
      <c r="D113" s="2529"/>
      <c r="E113" s="2529"/>
      <c r="F113" s="2529"/>
      <c r="G113" s="2529"/>
      <c r="H113" s="2529"/>
      <c r="I113" s="2529"/>
      <c r="J113" s="2529"/>
      <c r="K113" s="2529"/>
      <c r="L113" s="2529"/>
      <c r="M113" s="2529"/>
      <c r="N113" s="2529"/>
      <c r="O113" s="2529"/>
      <c r="P113" s="2529"/>
      <c r="Q113" s="2529"/>
      <c r="R113" s="2529"/>
      <c r="S113" s="2529"/>
      <c r="T113" s="2529"/>
      <c r="U113" s="2529"/>
      <c r="V113" s="2529"/>
      <c r="W113" s="2529"/>
      <c r="X113" s="2529"/>
      <c r="Y113" s="2529"/>
      <c r="Z113" s="2529"/>
      <c r="AA113" s="2529"/>
      <c r="AB113" s="2529"/>
      <c r="AC113" s="2529"/>
      <c r="AD113" s="2529"/>
      <c r="AE113" s="2529"/>
      <c r="AF113" s="2529"/>
      <c r="AG113" s="2529"/>
      <c r="AH113" s="2529"/>
      <c r="AI113" s="2529"/>
      <c r="AJ113" s="2529"/>
      <c r="AK113" s="2529"/>
      <c r="AL113" s="2529"/>
      <c r="AM113" s="2529"/>
      <c r="AN113" s="2529"/>
      <c r="AO113" s="2530"/>
      <c r="AP113" s="681"/>
    </row>
    <row r="114" spans="1:43" ht="15" customHeight="1">
      <c r="A114" s="681"/>
      <c r="B114" s="681"/>
      <c r="C114" s="2531" t="s">
        <v>1903</v>
      </c>
      <c r="D114" s="2532"/>
      <c r="E114" s="2532"/>
      <c r="F114" s="2533"/>
      <c r="G114" s="2537" t="s">
        <v>1904</v>
      </c>
      <c r="H114" s="2538"/>
      <c r="I114" s="2538"/>
      <c r="J114" s="2538"/>
      <c r="K114" s="2539"/>
      <c r="L114" s="2543" t="s">
        <v>1897</v>
      </c>
      <c r="M114" s="2544"/>
      <c r="N114" s="2544"/>
      <c r="O114" s="2544"/>
      <c r="P114" s="2544"/>
      <c r="Q114" s="2544"/>
      <c r="R114" s="2545"/>
      <c r="S114" s="2543" t="s">
        <v>1898</v>
      </c>
      <c r="T114" s="2544"/>
      <c r="U114" s="2544"/>
      <c r="V114" s="2544"/>
      <c r="W114" s="2544"/>
      <c r="X114" s="2544"/>
      <c r="Y114" s="2544"/>
      <c r="Z114" s="2545"/>
      <c r="AA114" s="2543" t="s">
        <v>1899</v>
      </c>
      <c r="AB114" s="2544"/>
      <c r="AC114" s="2544"/>
      <c r="AD114" s="2544"/>
      <c r="AE114" s="2544"/>
      <c r="AF114" s="2544"/>
      <c r="AG114" s="2544"/>
      <c r="AH114" s="2545"/>
      <c r="AI114" s="2543" t="s">
        <v>1900</v>
      </c>
      <c r="AJ114" s="2544"/>
      <c r="AK114" s="2544"/>
      <c r="AL114" s="2544"/>
      <c r="AM114" s="2544"/>
      <c r="AN114" s="2544"/>
      <c r="AO114" s="2546"/>
      <c r="AP114" s="681"/>
      <c r="AQ114" s="1294">
        <v>185215.69</v>
      </c>
    </row>
    <row r="115" spans="1:43" ht="15.75" thickBot="1">
      <c r="A115" s="681"/>
      <c r="B115" s="681"/>
      <c r="C115" s="2534"/>
      <c r="D115" s="2535"/>
      <c r="E115" s="2535"/>
      <c r="F115" s="2536"/>
      <c r="G115" s="2540"/>
      <c r="H115" s="2541"/>
      <c r="I115" s="2541"/>
      <c r="J115" s="2541"/>
      <c r="K115" s="2542"/>
      <c r="L115" s="2547" t="s">
        <v>1</v>
      </c>
      <c r="M115" s="2532"/>
      <c r="N115" s="2532"/>
      <c r="O115" s="2532"/>
      <c r="P115" s="2533"/>
      <c r="Q115" s="2547" t="s">
        <v>0</v>
      </c>
      <c r="R115" s="2533"/>
      <c r="S115" s="2547" t="s">
        <v>1</v>
      </c>
      <c r="T115" s="2532"/>
      <c r="U115" s="2532"/>
      <c r="V115" s="2532"/>
      <c r="W115" s="2532"/>
      <c r="X115" s="2533"/>
      <c r="Y115" s="2547" t="s">
        <v>0</v>
      </c>
      <c r="Z115" s="2533"/>
      <c r="AA115" s="2547" t="s">
        <v>1</v>
      </c>
      <c r="AB115" s="2532"/>
      <c r="AC115" s="2532"/>
      <c r="AD115" s="2532"/>
      <c r="AE115" s="2532"/>
      <c r="AF115" s="2533"/>
      <c r="AG115" s="2547" t="s">
        <v>0</v>
      </c>
      <c r="AH115" s="2533"/>
      <c r="AI115" s="2547" t="s">
        <v>1</v>
      </c>
      <c r="AJ115" s="2532"/>
      <c r="AK115" s="2532"/>
      <c r="AL115" s="2532"/>
      <c r="AM115" s="2533"/>
      <c r="AN115" s="2547" t="s">
        <v>0</v>
      </c>
      <c r="AO115" s="2548"/>
      <c r="AP115" s="681"/>
      <c r="AQ115" s="1358">
        <f>AQ114+G116</f>
        <v>9333700.6899999995</v>
      </c>
    </row>
    <row r="116" spans="1:43">
      <c r="A116" s="1147"/>
      <c r="B116" s="1147"/>
      <c r="C116" s="2559" t="s">
        <v>1901</v>
      </c>
      <c r="D116" s="2560"/>
      <c r="E116" s="2560"/>
      <c r="F116" s="2560"/>
      <c r="G116" s="2561">
        <f>+AF43</f>
        <v>9148485</v>
      </c>
      <c r="H116" s="2561"/>
      <c r="I116" s="2561"/>
      <c r="J116" s="2561"/>
      <c r="K116" s="2561"/>
      <c r="L116" s="2562"/>
      <c r="M116" s="2562"/>
      <c r="N116" s="2562"/>
      <c r="O116" s="2562"/>
      <c r="P116" s="2562"/>
      <c r="Q116" s="2550"/>
      <c r="R116" s="2550"/>
      <c r="S116" s="2563"/>
      <c r="T116" s="2563"/>
      <c r="U116" s="2563"/>
      <c r="V116" s="2563"/>
      <c r="W116" s="2563"/>
      <c r="X116" s="2563"/>
      <c r="Y116" s="2550"/>
      <c r="Z116" s="2550"/>
      <c r="AA116" s="2549"/>
      <c r="AB116" s="2549"/>
      <c r="AC116" s="2549"/>
      <c r="AD116" s="2549"/>
      <c r="AE116" s="2549"/>
      <c r="AF116" s="2549"/>
      <c r="AG116" s="2550"/>
      <c r="AH116" s="2550"/>
      <c r="AI116" s="2551"/>
      <c r="AJ116" s="2551"/>
      <c r="AK116" s="2551"/>
      <c r="AL116" s="2551"/>
      <c r="AM116" s="2551"/>
      <c r="AN116" s="2550"/>
      <c r="AO116" s="2552"/>
      <c r="AP116" s="1147"/>
    </row>
    <row r="117" spans="1:43">
      <c r="A117" s="1147"/>
      <c r="B117" s="1147"/>
      <c r="C117" s="2553" t="s">
        <v>1902</v>
      </c>
      <c r="D117" s="2554"/>
      <c r="E117" s="2554"/>
      <c r="F117" s="2554"/>
      <c r="G117" s="2555"/>
      <c r="H117" s="2555"/>
      <c r="I117" s="2555"/>
      <c r="J117" s="2555"/>
      <c r="K117" s="2555"/>
      <c r="L117" s="2556">
        <f>+'[31]F6 DICIEMBRE'!$R$64</f>
        <v>6701877.201444</v>
      </c>
      <c r="M117" s="2556"/>
      <c r="N117" s="2556"/>
      <c r="O117" s="2556"/>
      <c r="P117" s="2556"/>
      <c r="Q117" s="2557">
        <f>L117/G116</f>
        <v>0.73256688964828598</v>
      </c>
      <c r="R117" s="2557"/>
      <c r="S117" s="2558">
        <f>+'[31]F6 DICIEMBRE'!$S$61</f>
        <v>1718545.4098430001</v>
      </c>
      <c r="T117" s="2558"/>
      <c r="U117" s="2558"/>
      <c r="V117" s="2558"/>
      <c r="W117" s="2558"/>
      <c r="X117" s="2558"/>
      <c r="Y117" s="2557">
        <f>S117/G116</f>
        <v>0.18785027355272485</v>
      </c>
      <c r="Z117" s="2557"/>
      <c r="AA117" s="2556">
        <f>SUM(L117,S117)</f>
        <v>8420422.6112869997</v>
      </c>
      <c r="AB117" s="2556"/>
      <c r="AC117" s="2556"/>
      <c r="AD117" s="2556"/>
      <c r="AE117" s="2556"/>
      <c r="AF117" s="2556"/>
      <c r="AG117" s="2557">
        <f>AA117/G116</f>
        <v>0.92041716320101086</v>
      </c>
      <c r="AH117" s="2557"/>
      <c r="AI117" s="2564">
        <f>G116-AA117</f>
        <v>728062.38871300034</v>
      </c>
      <c r="AJ117" s="2564"/>
      <c r="AK117" s="2564"/>
      <c r="AL117" s="2564"/>
      <c r="AM117" s="2564"/>
      <c r="AN117" s="2557">
        <f>AI117/G116</f>
        <v>7.9582836798989157E-2</v>
      </c>
      <c r="AO117" s="2565"/>
      <c r="AP117" s="1147"/>
    </row>
    <row r="118" spans="1:43">
      <c r="A118" s="1147"/>
      <c r="B118" s="1147"/>
      <c r="C118" s="2553"/>
      <c r="D118" s="2554"/>
      <c r="E118" s="2554"/>
      <c r="F118" s="2554"/>
      <c r="G118" s="2574"/>
      <c r="H118" s="2574"/>
      <c r="I118" s="2574"/>
      <c r="J118" s="2574"/>
      <c r="K118" s="2574"/>
      <c r="L118" s="2575"/>
      <c r="M118" s="2575"/>
      <c r="N118" s="2575"/>
      <c r="O118" s="2575"/>
      <c r="P118" s="2575"/>
      <c r="Q118" s="2576"/>
      <c r="R118" s="2576"/>
      <c r="S118" s="2556"/>
      <c r="T118" s="2556"/>
      <c r="U118" s="2556"/>
      <c r="V118" s="2556"/>
      <c r="W118" s="2556"/>
      <c r="X118" s="2556"/>
      <c r="Y118" s="2576"/>
      <c r="Z118" s="2576"/>
      <c r="AA118" s="2504"/>
      <c r="AB118" s="2505"/>
      <c r="AC118" s="2505"/>
      <c r="AD118" s="2505"/>
      <c r="AE118" s="2505"/>
      <c r="AF118" s="2506"/>
      <c r="AG118" s="2507"/>
      <c r="AH118" s="2508"/>
      <c r="AI118" s="2509"/>
      <c r="AJ118" s="2510"/>
      <c r="AK118" s="2510"/>
      <c r="AL118" s="2510"/>
      <c r="AM118" s="2511"/>
      <c r="AN118" s="2507"/>
      <c r="AO118" s="2512"/>
      <c r="AP118" s="1147"/>
    </row>
    <row r="119" spans="1:43" ht="15.75" thickBot="1">
      <c r="A119" s="1147"/>
      <c r="B119" s="1147"/>
      <c r="C119" s="2566"/>
      <c r="D119" s="2567"/>
      <c r="E119" s="2567"/>
      <c r="F119" s="2567"/>
      <c r="G119" s="2568"/>
      <c r="H119" s="2568"/>
      <c r="I119" s="2568"/>
      <c r="J119" s="2568"/>
      <c r="K119" s="2568"/>
      <c r="L119" s="2569"/>
      <c r="M119" s="2569"/>
      <c r="N119" s="2569"/>
      <c r="O119" s="2569"/>
      <c r="P119" s="2569"/>
      <c r="Q119" s="2570"/>
      <c r="R119" s="2570"/>
      <c r="S119" s="2569"/>
      <c r="T119" s="2569"/>
      <c r="U119" s="2569"/>
      <c r="V119" s="2569"/>
      <c r="W119" s="2569"/>
      <c r="X119" s="2569"/>
      <c r="Y119" s="2570"/>
      <c r="Z119" s="2570"/>
      <c r="AA119" s="2571"/>
      <c r="AB119" s="2571"/>
      <c r="AC119" s="2571"/>
      <c r="AD119" s="2571"/>
      <c r="AE119" s="2571"/>
      <c r="AF119" s="2571"/>
      <c r="AG119" s="2570"/>
      <c r="AH119" s="2570"/>
      <c r="AI119" s="2572"/>
      <c r="AJ119" s="2572"/>
      <c r="AK119" s="2572"/>
      <c r="AL119" s="2572"/>
      <c r="AM119" s="2572"/>
      <c r="AN119" s="2570"/>
      <c r="AO119" s="2573"/>
      <c r="AP119" s="1147"/>
    </row>
    <row r="120" spans="1:43">
      <c r="A120" s="681"/>
      <c r="B120" s="681"/>
      <c r="C120" s="685"/>
      <c r="D120" s="685"/>
      <c r="E120" s="685"/>
      <c r="F120" s="685"/>
      <c r="G120" s="1244"/>
      <c r="H120" s="1244"/>
      <c r="I120" s="1244"/>
      <c r="J120" s="1244"/>
      <c r="K120" s="1244"/>
      <c r="L120" s="1245"/>
      <c r="M120" s="1245"/>
      <c r="N120" s="1245"/>
      <c r="O120" s="1245"/>
      <c r="P120" s="1245"/>
      <c r="Q120" s="1246"/>
      <c r="R120" s="1246"/>
      <c r="S120" s="1245"/>
      <c r="T120" s="1245"/>
      <c r="U120" s="1245"/>
      <c r="V120" s="1245"/>
      <c r="W120" s="1245"/>
      <c r="X120" s="1245"/>
      <c r="Y120" s="1246"/>
      <c r="Z120" s="1246"/>
      <c r="AA120" s="1245"/>
      <c r="AB120" s="1245"/>
      <c r="AC120" s="1245"/>
      <c r="AD120" s="1245"/>
      <c r="AE120" s="1245"/>
      <c r="AF120" s="1245"/>
      <c r="AG120" s="1246"/>
      <c r="AH120" s="1246"/>
      <c r="AI120" s="681"/>
      <c r="AJ120" s="681"/>
      <c r="AK120" s="681"/>
      <c r="AL120" s="681"/>
      <c r="AM120" s="681"/>
      <c r="AN120" s="1246"/>
      <c r="AO120" s="1246"/>
      <c r="AP120" s="681"/>
    </row>
    <row r="121" spans="1:43" ht="15.75" thickBot="1">
      <c r="A121" s="681"/>
      <c r="B121" s="681"/>
      <c r="C121" s="2577" t="s">
        <v>3712</v>
      </c>
      <c r="D121" s="2577"/>
      <c r="E121" s="2577"/>
      <c r="F121" s="2577"/>
      <c r="G121" s="2577"/>
      <c r="H121" s="2577"/>
      <c r="I121" s="2577"/>
      <c r="J121" s="2577"/>
      <c r="K121" s="2577"/>
      <c r="L121" s="2577"/>
      <c r="M121" s="2577"/>
      <c r="N121" s="2577"/>
      <c r="O121" s="2577"/>
      <c r="P121" s="2577"/>
      <c r="Q121" s="2577"/>
      <c r="R121" s="2577"/>
      <c r="S121" s="2577"/>
      <c r="T121" s="2577"/>
      <c r="U121" s="2577"/>
      <c r="V121" s="2577"/>
      <c r="W121" s="2577"/>
      <c r="X121" s="2577"/>
      <c r="Y121" s="2577"/>
      <c r="Z121" s="2577"/>
      <c r="AA121" s="2577"/>
      <c r="AB121" s="2577"/>
      <c r="AC121" s="2577"/>
      <c r="AD121" s="2577"/>
      <c r="AE121" s="2577"/>
      <c r="AF121" s="2577"/>
      <c r="AG121" s="2577"/>
      <c r="AH121" s="2577"/>
      <c r="AI121" s="2577"/>
      <c r="AJ121" s="2577"/>
      <c r="AK121" s="2577"/>
      <c r="AL121" s="2577"/>
      <c r="AM121" s="2577"/>
      <c r="AN121" s="2577"/>
      <c r="AO121" s="2577"/>
      <c r="AP121" s="681"/>
      <c r="AQ121" s="1294">
        <v>19902744.010000005</v>
      </c>
    </row>
    <row r="122" spans="1:43" ht="15" customHeight="1">
      <c r="A122" s="681"/>
      <c r="B122" s="681"/>
      <c r="C122" s="2365" t="s">
        <v>1903</v>
      </c>
      <c r="D122" s="2366"/>
      <c r="E122" s="2366"/>
      <c r="F122" s="2367"/>
      <c r="G122" s="2371" t="s">
        <v>1904</v>
      </c>
      <c r="H122" s="2372"/>
      <c r="I122" s="2372"/>
      <c r="J122" s="2372"/>
      <c r="K122" s="2373"/>
      <c r="L122" s="2377" t="s">
        <v>1897</v>
      </c>
      <c r="M122" s="2378"/>
      <c r="N122" s="2378"/>
      <c r="O122" s="2378"/>
      <c r="P122" s="2378"/>
      <c r="Q122" s="2378"/>
      <c r="R122" s="2379"/>
      <c r="S122" s="2377" t="s">
        <v>1898</v>
      </c>
      <c r="T122" s="2378"/>
      <c r="U122" s="2378"/>
      <c r="V122" s="2378"/>
      <c r="W122" s="2378"/>
      <c r="X122" s="2378"/>
      <c r="Y122" s="2378"/>
      <c r="Z122" s="2379"/>
      <c r="AA122" s="2377" t="s">
        <v>1899</v>
      </c>
      <c r="AB122" s="2378"/>
      <c r="AC122" s="2378"/>
      <c r="AD122" s="2378"/>
      <c r="AE122" s="2378"/>
      <c r="AF122" s="2378"/>
      <c r="AG122" s="2378"/>
      <c r="AH122" s="2379"/>
      <c r="AI122" s="2377" t="s">
        <v>1900</v>
      </c>
      <c r="AJ122" s="2378"/>
      <c r="AK122" s="2378"/>
      <c r="AL122" s="2378"/>
      <c r="AM122" s="2378"/>
      <c r="AN122" s="2378"/>
      <c r="AO122" s="2380"/>
      <c r="AP122" s="681"/>
    </row>
    <row r="123" spans="1:43" ht="15.75" thickBot="1">
      <c r="A123" s="681"/>
      <c r="B123" s="681"/>
      <c r="C123" s="2368"/>
      <c r="D123" s="2369"/>
      <c r="E123" s="2369"/>
      <c r="F123" s="2370"/>
      <c r="G123" s="2374"/>
      <c r="H123" s="2375"/>
      <c r="I123" s="2375"/>
      <c r="J123" s="2375"/>
      <c r="K123" s="2376"/>
      <c r="L123" s="2350" t="s">
        <v>1</v>
      </c>
      <c r="M123" s="2351"/>
      <c r="N123" s="2351"/>
      <c r="O123" s="2351"/>
      <c r="P123" s="2352"/>
      <c r="Q123" s="2350" t="s">
        <v>0</v>
      </c>
      <c r="R123" s="2352"/>
      <c r="S123" s="2350" t="s">
        <v>1</v>
      </c>
      <c r="T123" s="2351"/>
      <c r="U123" s="2351"/>
      <c r="V123" s="2351"/>
      <c r="W123" s="2351"/>
      <c r="X123" s="2352"/>
      <c r="Y123" s="2350" t="s">
        <v>0</v>
      </c>
      <c r="Z123" s="2352"/>
      <c r="AA123" s="2350" t="s">
        <v>1</v>
      </c>
      <c r="AB123" s="2351"/>
      <c r="AC123" s="2351"/>
      <c r="AD123" s="2351"/>
      <c r="AE123" s="2351"/>
      <c r="AF123" s="2352"/>
      <c r="AG123" s="2350" t="s">
        <v>0</v>
      </c>
      <c r="AH123" s="2352"/>
      <c r="AI123" s="2350" t="s">
        <v>1</v>
      </c>
      <c r="AJ123" s="2351"/>
      <c r="AK123" s="2351"/>
      <c r="AL123" s="2351"/>
      <c r="AM123" s="2352"/>
      <c r="AN123" s="2350" t="s">
        <v>0</v>
      </c>
      <c r="AO123" s="2353"/>
      <c r="AP123" s="681"/>
    </row>
    <row r="124" spans="1:43" ht="15.75" thickBot="1">
      <c r="A124" s="1147"/>
      <c r="B124" s="1147"/>
      <c r="C124" s="2596" t="s">
        <v>1902</v>
      </c>
      <c r="D124" s="2597"/>
      <c r="E124" s="2597"/>
      <c r="F124" s="2598"/>
      <c r="G124" s="2599">
        <f>+AI43</f>
        <v>19710096.880000003</v>
      </c>
      <c r="H124" s="2600"/>
      <c r="I124" s="2600"/>
      <c r="J124" s="2600"/>
      <c r="K124" s="2601"/>
      <c r="L124" s="2602">
        <f>+'[31]F6 DICIEMBRE'!$R$68</f>
        <v>17263489.081444003</v>
      </c>
      <c r="M124" s="2603"/>
      <c r="N124" s="2603"/>
      <c r="O124" s="2603"/>
      <c r="P124" s="2604"/>
      <c r="Q124" s="2581">
        <f>L124/G124</f>
        <v>0.87587033115810842</v>
      </c>
      <c r="R124" s="2605"/>
      <c r="S124" s="2606">
        <f>+S117</f>
        <v>1718545.4098430001</v>
      </c>
      <c r="T124" s="2607"/>
      <c r="U124" s="2607"/>
      <c r="V124" s="2607"/>
      <c r="W124" s="2607"/>
      <c r="X124" s="2608"/>
      <c r="Y124" s="2581">
        <f>S124/G124</f>
        <v>8.7191119369221484E-2</v>
      </c>
      <c r="Z124" s="2605"/>
      <c r="AA124" s="2578">
        <f>SUM(L124,S124)</f>
        <v>18982034.491287004</v>
      </c>
      <c r="AB124" s="2579"/>
      <c r="AC124" s="2579"/>
      <c r="AD124" s="2579"/>
      <c r="AE124" s="2579"/>
      <c r="AF124" s="2580"/>
      <c r="AG124" s="2581">
        <f>AA124/G124</f>
        <v>0.96306145052733005</v>
      </c>
      <c r="AH124" s="2582"/>
      <c r="AI124" s="2583">
        <f>G124-AA124</f>
        <v>728062.38871299848</v>
      </c>
      <c r="AJ124" s="2584"/>
      <c r="AK124" s="2584"/>
      <c r="AL124" s="2584"/>
      <c r="AM124" s="2585"/>
      <c r="AN124" s="2582">
        <f>AI124/G124</f>
        <v>3.6938549472669988E-2</v>
      </c>
      <c r="AO124" s="2586"/>
      <c r="AP124" s="1147"/>
      <c r="AQ124" s="1294">
        <v>872549.75</v>
      </c>
    </row>
    <row r="125" spans="1:43">
      <c r="A125" s="681"/>
      <c r="B125" s="681"/>
      <c r="C125" s="1247"/>
      <c r="D125" s="685"/>
      <c r="E125" s="685"/>
      <c r="F125" s="685"/>
      <c r="G125" s="1244"/>
      <c r="H125" s="1244"/>
      <c r="I125" s="1244"/>
      <c r="J125" s="1244"/>
      <c r="K125" s="1244"/>
      <c r="L125" s="1245"/>
      <c r="M125" s="1245"/>
      <c r="N125" s="1245"/>
      <c r="O125" s="1245"/>
      <c r="P125" s="1245"/>
      <c r="Q125" s="1248"/>
      <c r="R125" s="1248"/>
      <c r="S125" s="1245"/>
      <c r="T125" s="1245"/>
      <c r="U125" s="1245"/>
      <c r="V125" s="1245"/>
      <c r="W125" s="1245"/>
      <c r="X125" s="1245"/>
      <c r="Y125" s="1248"/>
      <c r="Z125" s="1248"/>
      <c r="AA125" s="1245"/>
      <c r="AB125" s="1245"/>
      <c r="AC125" s="1245"/>
      <c r="AD125" s="1245"/>
      <c r="AE125" s="1245"/>
      <c r="AF125" s="1245"/>
      <c r="AG125" s="1248"/>
      <c r="AH125" s="1248"/>
      <c r="AI125" s="1249"/>
      <c r="AJ125" s="1249"/>
      <c r="AK125" s="1249"/>
      <c r="AL125" s="1249"/>
      <c r="AM125" s="1249"/>
      <c r="AN125" s="1248"/>
      <c r="AO125" s="1248"/>
      <c r="AP125" s="681"/>
    </row>
    <row r="126" spans="1:43">
      <c r="A126" s="681"/>
      <c r="B126" s="682" t="s">
        <v>1906</v>
      </c>
      <c r="C126" s="681"/>
      <c r="D126" s="681"/>
      <c r="E126" s="681"/>
      <c r="F126" s="681"/>
      <c r="G126" s="681"/>
      <c r="H126" s="681"/>
      <c r="I126" s="681"/>
      <c r="J126" s="681"/>
      <c r="K126" s="681"/>
      <c r="L126" s="681"/>
      <c r="M126" s="681"/>
      <c r="N126" s="681"/>
      <c r="O126" s="681"/>
      <c r="P126" s="681"/>
      <c r="Q126" s="681"/>
      <c r="R126" s="681"/>
      <c r="S126" s="681"/>
      <c r="T126" s="681"/>
      <c r="U126" s="681"/>
      <c r="V126" s="681"/>
      <c r="W126" s="681"/>
      <c r="X126" s="681"/>
      <c r="Y126" s="681"/>
      <c r="Z126" s="681"/>
      <c r="AA126" s="681"/>
      <c r="AB126" s="681"/>
      <c r="AC126" s="681"/>
      <c r="AD126" s="681"/>
      <c r="AE126" s="681"/>
      <c r="AF126" s="681"/>
      <c r="AG126" s="681"/>
      <c r="AH126" s="681"/>
      <c r="AI126" s="681"/>
      <c r="AJ126" s="681"/>
      <c r="AK126" s="681"/>
      <c r="AL126" s="681"/>
      <c r="AM126" s="685"/>
      <c r="AN126" s="685"/>
      <c r="AO126" s="685"/>
      <c r="AP126" s="681"/>
    </row>
    <row r="127" spans="1:43" ht="8.25" customHeight="1">
      <c r="A127" s="681"/>
      <c r="B127" s="681"/>
      <c r="C127" s="693"/>
      <c r="D127" s="685"/>
      <c r="E127" s="685"/>
      <c r="F127" s="685"/>
      <c r="G127" s="685"/>
      <c r="H127" s="685"/>
      <c r="I127" s="685"/>
      <c r="J127" s="685"/>
      <c r="K127" s="685"/>
      <c r="L127" s="1033"/>
      <c r="M127" s="1033"/>
      <c r="N127" s="1033"/>
      <c r="O127" s="1033"/>
      <c r="P127" s="1033"/>
      <c r="Q127" s="1033"/>
      <c r="R127" s="1033"/>
      <c r="S127" s="1033"/>
      <c r="T127" s="1033"/>
      <c r="U127" s="1033"/>
      <c r="V127" s="1033"/>
      <c r="W127" s="1033"/>
      <c r="X127" s="1033"/>
      <c r="Y127" s="1033"/>
      <c r="Z127" s="1033"/>
      <c r="AA127" s="1033"/>
      <c r="AB127" s="1033"/>
      <c r="AC127" s="1033"/>
      <c r="AD127" s="1033"/>
      <c r="AE127" s="1033"/>
      <c r="AF127" s="1033"/>
      <c r="AG127" s="1033"/>
      <c r="AH127" s="681"/>
      <c r="AI127" s="681"/>
      <c r="AJ127" s="681"/>
      <c r="AK127" s="681"/>
      <c r="AL127" s="681"/>
      <c r="AM127" s="681"/>
      <c r="AN127" s="681"/>
      <c r="AO127" s="681"/>
      <c r="AP127" s="681"/>
    </row>
    <row r="128" spans="1:43" ht="15" customHeight="1">
      <c r="A128" s="1296"/>
      <c r="B128" s="1296"/>
      <c r="C128" s="1359"/>
      <c r="D128" s="2587" t="s">
        <v>4346</v>
      </c>
      <c r="E128" s="2588"/>
      <c r="F128" s="2588"/>
      <c r="G128" s="2588"/>
      <c r="H128" s="2588"/>
      <c r="I128" s="2588"/>
      <c r="J128" s="2588"/>
      <c r="K128" s="2588"/>
      <c r="L128" s="2588"/>
      <c r="M128" s="2588"/>
      <c r="N128" s="2588"/>
      <c r="O128" s="2588"/>
      <c r="P128" s="2588"/>
      <c r="Q128" s="2588"/>
      <c r="R128" s="2588"/>
      <c r="S128" s="2588"/>
      <c r="T128" s="2588"/>
      <c r="U128" s="2588"/>
      <c r="V128" s="2588"/>
      <c r="W128" s="2588"/>
      <c r="X128" s="2588"/>
      <c r="Y128" s="2588"/>
      <c r="Z128" s="2588"/>
      <c r="AA128" s="2588"/>
      <c r="AB128" s="2588"/>
      <c r="AC128" s="2588"/>
      <c r="AD128" s="2588"/>
      <c r="AE128" s="2588"/>
      <c r="AF128" s="2588"/>
      <c r="AG128" s="2589"/>
      <c r="AH128" s="1296"/>
      <c r="AI128" s="1296"/>
      <c r="AJ128" s="1296"/>
      <c r="AK128" s="1296"/>
      <c r="AL128" s="1296"/>
      <c r="AM128" s="1296"/>
      <c r="AN128" s="1296"/>
      <c r="AO128" s="1296"/>
      <c r="AP128" s="1296"/>
      <c r="AQ128" s="1358">
        <v>479208.93</v>
      </c>
    </row>
    <row r="129" spans="1:50" ht="24" customHeight="1">
      <c r="A129" s="1289"/>
      <c r="B129" s="1289"/>
      <c r="C129" s="1293"/>
      <c r="D129" s="2332" t="s">
        <v>3575</v>
      </c>
      <c r="E129" s="2334"/>
      <c r="F129" s="2587" t="s">
        <v>1907</v>
      </c>
      <c r="G129" s="2588"/>
      <c r="H129" s="2588"/>
      <c r="I129" s="2588"/>
      <c r="J129" s="2588"/>
      <c r="K129" s="2589"/>
      <c r="L129" s="2587" t="s">
        <v>1908</v>
      </c>
      <c r="M129" s="2588"/>
      <c r="N129" s="2588"/>
      <c r="O129" s="2588"/>
      <c r="P129" s="2588"/>
      <c r="Q129" s="2588"/>
      <c r="R129" s="2588"/>
      <c r="S129" s="2588"/>
      <c r="T129" s="2589"/>
      <c r="U129" s="2587" t="s">
        <v>1909</v>
      </c>
      <c r="V129" s="2588"/>
      <c r="W129" s="2588"/>
      <c r="X129" s="2588"/>
      <c r="Y129" s="2588"/>
      <c r="Z129" s="2588"/>
      <c r="AA129" s="2588"/>
      <c r="AB129" s="2588"/>
      <c r="AC129" s="2589"/>
      <c r="AD129" s="2590" t="s">
        <v>2</v>
      </c>
      <c r="AE129" s="2591"/>
      <c r="AF129" s="2591"/>
      <c r="AG129" s="2592"/>
      <c r="AH129" s="1289"/>
      <c r="AI129" s="1289"/>
      <c r="AJ129" s="1289"/>
      <c r="AK129" s="1289"/>
      <c r="AL129" s="1289"/>
      <c r="AM129" s="1289"/>
      <c r="AN129" s="1289"/>
      <c r="AO129" s="1289"/>
      <c r="AP129" s="1289"/>
      <c r="AQ129" s="2049">
        <f>+AQ128-AD136</f>
        <v>-21745.059999999998</v>
      </c>
    </row>
    <row r="130" spans="1:50" ht="20.100000000000001" customHeight="1">
      <c r="A130" s="1289"/>
      <c r="B130" s="1289"/>
      <c r="C130" s="1293"/>
      <c r="D130" s="2338"/>
      <c r="E130" s="2340"/>
      <c r="F130" s="2587" t="s">
        <v>1910</v>
      </c>
      <c r="G130" s="2588"/>
      <c r="H130" s="2589"/>
      <c r="I130" s="2587" t="s">
        <v>1911</v>
      </c>
      <c r="J130" s="2588"/>
      <c r="K130" s="2589"/>
      <c r="L130" s="2587" t="s">
        <v>1912</v>
      </c>
      <c r="M130" s="2588"/>
      <c r="N130" s="2589"/>
      <c r="O130" s="2587" t="s">
        <v>1913</v>
      </c>
      <c r="P130" s="2588"/>
      <c r="Q130" s="2589"/>
      <c r="R130" s="2587" t="s">
        <v>1914</v>
      </c>
      <c r="S130" s="2588"/>
      <c r="T130" s="2589"/>
      <c r="U130" s="2587" t="s">
        <v>1912</v>
      </c>
      <c r="V130" s="2588"/>
      <c r="W130" s="2589"/>
      <c r="X130" s="2587" t="s">
        <v>1913</v>
      </c>
      <c r="Y130" s="2588"/>
      <c r="Z130" s="2589"/>
      <c r="AA130" s="2587" t="s">
        <v>1914</v>
      </c>
      <c r="AB130" s="2588"/>
      <c r="AC130" s="2589"/>
      <c r="AD130" s="2593"/>
      <c r="AE130" s="2594"/>
      <c r="AF130" s="2594"/>
      <c r="AG130" s="2595"/>
      <c r="AH130" s="2621"/>
      <c r="AI130" s="2622"/>
      <c r="AJ130" s="2622"/>
      <c r="AK130" s="2622"/>
      <c r="AL130" s="2622"/>
      <c r="AM130" s="2622"/>
      <c r="AN130" s="1289"/>
      <c r="AO130" s="1289"/>
      <c r="AP130" s="1289"/>
      <c r="AQ130" s="1294">
        <v>5858.0199999999795</v>
      </c>
      <c r="AR130" s="1360" t="s">
        <v>1952</v>
      </c>
      <c r="AS130" s="1360" t="s">
        <v>1953</v>
      </c>
      <c r="AT130" s="1360" t="s">
        <v>1954</v>
      </c>
      <c r="AV130" s="1362">
        <f>+'[29]F6 DICIEMBRE'!$S$15</f>
        <v>500953.99</v>
      </c>
    </row>
    <row r="131" spans="1:50">
      <c r="A131" s="1289"/>
      <c r="B131" s="1289"/>
      <c r="C131" s="1293"/>
      <c r="D131" s="2609">
        <v>1</v>
      </c>
      <c r="E131" s="2610"/>
      <c r="F131" s="2611">
        <v>44531</v>
      </c>
      <c r="G131" s="2612"/>
      <c r="H131" s="2613"/>
      <c r="I131" s="2611">
        <f>+F131+4</f>
        <v>44535</v>
      </c>
      <c r="J131" s="2612"/>
      <c r="K131" s="2613"/>
      <c r="L131" s="2614">
        <f>SUM('[29]formato 12'!$C$34:$G$34)</f>
        <v>297</v>
      </c>
      <c r="M131" s="2242"/>
      <c r="N131" s="2615"/>
      <c r="O131" s="2614">
        <f>SUM('[29]formato 12'!$C$35:$G$35)</f>
        <v>60</v>
      </c>
      <c r="P131" s="2242"/>
      <c r="Q131" s="2615"/>
      <c r="R131" s="2614">
        <f>SUM('[29]formato 12'!$C$36:$G$36)</f>
        <v>261</v>
      </c>
      <c r="S131" s="2242"/>
      <c r="T131" s="2615"/>
      <c r="U131" s="2616">
        <f>L131*AT$131</f>
        <v>32756.13</v>
      </c>
      <c r="V131" s="2617"/>
      <c r="W131" s="2618"/>
      <c r="X131" s="2616">
        <f>O131*AS$131</f>
        <v>8896.7999999999993</v>
      </c>
      <c r="Y131" s="2617"/>
      <c r="Z131" s="2618"/>
      <c r="AA131" s="2616">
        <f>R131*AR$131</f>
        <v>39082.14</v>
      </c>
      <c r="AB131" s="2617"/>
      <c r="AC131" s="2618"/>
      <c r="AD131" s="2616">
        <f>SUM(U131:AC131)</f>
        <v>80735.070000000007</v>
      </c>
      <c r="AE131" s="2617"/>
      <c r="AF131" s="2617"/>
      <c r="AG131" s="2618"/>
      <c r="AH131" s="2619"/>
      <c r="AI131" s="2620"/>
      <c r="AJ131" s="2620"/>
      <c r="AK131" s="2620"/>
      <c r="AL131" s="2620"/>
      <c r="AM131" s="2620"/>
      <c r="AN131" s="1289"/>
      <c r="AO131" s="1289"/>
      <c r="AP131" s="1289"/>
      <c r="AR131" s="1360">
        <f>136.5+5.12+3.9+3.89+0.33</f>
        <v>149.74</v>
      </c>
      <c r="AS131" s="1360">
        <f>118+14.98+15+0.3</f>
        <v>148.28</v>
      </c>
      <c r="AT131" s="1360">
        <f>105.7+4.29+0.3</f>
        <v>110.29</v>
      </c>
      <c r="AV131" s="1362">
        <f>+AV130-AD136</f>
        <v>0</v>
      </c>
    </row>
    <row r="132" spans="1:50">
      <c r="A132" s="1289"/>
      <c r="B132" s="1289"/>
      <c r="C132" s="1293"/>
      <c r="D132" s="2609">
        <v>2</v>
      </c>
      <c r="E132" s="2610"/>
      <c r="F132" s="2611">
        <f>I131+1</f>
        <v>44536</v>
      </c>
      <c r="G132" s="2612"/>
      <c r="H132" s="2613"/>
      <c r="I132" s="2611">
        <f>+F132+6</f>
        <v>44542</v>
      </c>
      <c r="J132" s="2612"/>
      <c r="K132" s="2613"/>
      <c r="L132" s="2614">
        <f>SUM('[29]formato 12'!$H$34:$N$34)</f>
        <v>441</v>
      </c>
      <c r="M132" s="2242"/>
      <c r="N132" s="2615"/>
      <c r="O132" s="2614">
        <f>SUM('[29]formato 12'!$H$35:$M$35)</f>
        <v>72</v>
      </c>
      <c r="P132" s="2242"/>
      <c r="Q132" s="2615"/>
      <c r="R132" s="2614">
        <f>SUM('[29]formato 12'!$H$36:$N$36)</f>
        <v>382</v>
      </c>
      <c r="S132" s="2242"/>
      <c r="T132" s="2615"/>
      <c r="U132" s="2616">
        <f>L132*AT$131</f>
        <v>48637.89</v>
      </c>
      <c r="V132" s="2617"/>
      <c r="W132" s="2618"/>
      <c r="X132" s="2616">
        <f>O132*AS$131</f>
        <v>10676.16</v>
      </c>
      <c r="Y132" s="2617"/>
      <c r="Z132" s="2618"/>
      <c r="AA132" s="2616">
        <f>R132*AR$131</f>
        <v>57200.68</v>
      </c>
      <c r="AB132" s="2617"/>
      <c r="AC132" s="2618"/>
      <c r="AD132" s="2616">
        <f>SUM(U132:AC132)</f>
        <v>116514.73000000001</v>
      </c>
      <c r="AE132" s="2617"/>
      <c r="AF132" s="2617"/>
      <c r="AG132" s="2618"/>
      <c r="AH132" s="1361"/>
      <c r="AI132" s="1361"/>
      <c r="AJ132" s="1361"/>
      <c r="AK132" s="1361"/>
      <c r="AL132" s="1361"/>
      <c r="AM132" s="1361"/>
      <c r="AN132" s="1289"/>
      <c r="AP132" s="1289"/>
      <c r="AQ132" s="1289">
        <f>+AQ130/R136</f>
        <v>3.5374516908212437</v>
      </c>
      <c r="AR132" s="1294">
        <v>123</v>
      </c>
      <c r="AS132" s="1294">
        <v>106.114</v>
      </c>
      <c r="AT132" s="1294">
        <v>100.063</v>
      </c>
    </row>
    <row r="133" spans="1:50">
      <c r="A133" s="1289"/>
      <c r="B133" s="1289"/>
      <c r="C133" s="1293"/>
      <c r="D133" s="2609">
        <v>3</v>
      </c>
      <c r="E133" s="2610"/>
      <c r="F133" s="2611">
        <f>+I132+1</f>
        <v>44543</v>
      </c>
      <c r="G133" s="2612"/>
      <c r="H133" s="2613"/>
      <c r="I133" s="2611">
        <f t="shared" ref="I133" si="10">+F133+6</f>
        <v>44549</v>
      </c>
      <c r="J133" s="2612"/>
      <c r="K133" s="2613"/>
      <c r="L133" s="2614">
        <f>SUM('[29]formato 12'!$O$34:$U$34)</f>
        <v>431</v>
      </c>
      <c r="M133" s="2242"/>
      <c r="N133" s="2615"/>
      <c r="O133" s="2614">
        <f>SUM('[29]formato 12'!$O$35:$U$35)</f>
        <v>70</v>
      </c>
      <c r="P133" s="2242"/>
      <c r="Q133" s="2615"/>
      <c r="R133" s="2614">
        <f>SUM('[29]formato 12'!$O$36:$U$36)</f>
        <v>377</v>
      </c>
      <c r="S133" s="2242"/>
      <c r="T133" s="2615"/>
      <c r="U133" s="2616">
        <f t="shared" ref="U133:U134" si="11">L133*AT$131</f>
        <v>47534.990000000005</v>
      </c>
      <c r="V133" s="2617"/>
      <c r="W133" s="2618"/>
      <c r="X133" s="2616">
        <f>O133*AS$131</f>
        <v>10379.6</v>
      </c>
      <c r="Y133" s="2617"/>
      <c r="Z133" s="2618"/>
      <c r="AA133" s="2616">
        <f t="shared" ref="AA133" si="12">R133*AR$131</f>
        <v>56451.98</v>
      </c>
      <c r="AB133" s="2617"/>
      <c r="AC133" s="2618"/>
      <c r="AD133" s="2616">
        <f t="shared" ref="AD133:AD134" si="13">SUM(U133:AC133)</f>
        <v>114366.57</v>
      </c>
      <c r="AE133" s="2617"/>
      <c r="AF133" s="2617"/>
      <c r="AG133" s="2618"/>
      <c r="AH133" s="2619"/>
      <c r="AI133" s="2620"/>
      <c r="AJ133" s="2620"/>
      <c r="AK133" s="2620"/>
      <c r="AL133" s="2620"/>
      <c r="AM133" s="2620"/>
      <c r="AN133" s="1289"/>
      <c r="AO133" s="1289"/>
      <c r="AP133" s="1289"/>
      <c r="AV133" s="1294">
        <f>+L136+O136+R136</f>
        <v>3837</v>
      </c>
    </row>
    <row r="134" spans="1:50">
      <c r="A134" s="1289"/>
      <c r="B134" s="1289"/>
      <c r="C134" s="1293"/>
      <c r="D134" s="2609">
        <v>4</v>
      </c>
      <c r="E134" s="2610"/>
      <c r="F134" s="2611">
        <f>+I133+1</f>
        <v>44550</v>
      </c>
      <c r="G134" s="2612"/>
      <c r="H134" s="2613"/>
      <c r="I134" s="2611">
        <f>+F134+6</f>
        <v>44556</v>
      </c>
      <c r="J134" s="2612"/>
      <c r="K134" s="2613"/>
      <c r="L134" s="2614">
        <f>SUM('[29]formato 12'!$V$34:$AB$34)</f>
        <v>404</v>
      </c>
      <c r="M134" s="2242"/>
      <c r="N134" s="2615"/>
      <c r="O134" s="2614">
        <f>SUM('[29]formato 12'!$V$35:$AB$35)</f>
        <v>70</v>
      </c>
      <c r="P134" s="2242"/>
      <c r="Q134" s="2615"/>
      <c r="R134" s="2614">
        <f>SUM('[29]formato 12'!$V$36:$AB$36)</f>
        <v>371</v>
      </c>
      <c r="S134" s="2242"/>
      <c r="T134" s="2615"/>
      <c r="U134" s="2616">
        <f t="shared" si="11"/>
        <v>44557.16</v>
      </c>
      <c r="V134" s="2617"/>
      <c r="W134" s="2618"/>
      <c r="X134" s="2616">
        <f>O134*AS$131</f>
        <v>10379.6</v>
      </c>
      <c r="Y134" s="2617"/>
      <c r="Z134" s="2618"/>
      <c r="AA134" s="2616">
        <f>R134*AR$131</f>
        <v>55553.54</v>
      </c>
      <c r="AB134" s="2617"/>
      <c r="AC134" s="2618"/>
      <c r="AD134" s="2616">
        <f t="shared" si="13"/>
        <v>110490.3</v>
      </c>
      <c r="AE134" s="2617"/>
      <c r="AF134" s="2617"/>
      <c r="AG134" s="2618"/>
      <c r="AH134" s="2619"/>
      <c r="AI134" s="2620"/>
      <c r="AJ134" s="2620"/>
      <c r="AK134" s="2620"/>
      <c r="AL134" s="2620"/>
      <c r="AM134" s="2620"/>
      <c r="AN134" s="1289"/>
      <c r="AO134" s="1289"/>
      <c r="AP134" s="1289"/>
      <c r="AS134" s="1362">
        <v>-11057.279999999999</v>
      </c>
      <c r="AV134" s="1294">
        <f>+AV131/AV133</f>
        <v>0</v>
      </c>
    </row>
    <row r="135" spans="1:50">
      <c r="A135" s="1289"/>
      <c r="B135" s="1289"/>
      <c r="C135" s="1293"/>
      <c r="D135" s="2609">
        <v>5</v>
      </c>
      <c r="E135" s="2610"/>
      <c r="F135" s="2611">
        <f>+I134+1</f>
        <v>44557</v>
      </c>
      <c r="G135" s="2612"/>
      <c r="H135" s="2613"/>
      <c r="I135" s="2611">
        <f>+F135+4</f>
        <v>44561</v>
      </c>
      <c r="J135" s="2612"/>
      <c r="K135" s="2613"/>
      <c r="L135" s="2614">
        <f>SUM('[29]formato 12'!$AC$34:$AG$34)</f>
        <v>286</v>
      </c>
      <c r="M135" s="2242"/>
      <c r="N135" s="2615"/>
      <c r="O135" s="2614">
        <f>SUM('[29]formato 12'!$AC$35:$AG$35)</f>
        <v>50</v>
      </c>
      <c r="P135" s="2242"/>
      <c r="Q135" s="2615"/>
      <c r="R135" s="2614">
        <f>SUM('[29]formato 12'!$AC$36:$AG$36)</f>
        <v>265</v>
      </c>
      <c r="S135" s="2242"/>
      <c r="T135" s="2615"/>
      <c r="U135" s="2616">
        <f>L135*AT$131</f>
        <v>31542.940000000002</v>
      </c>
      <c r="V135" s="2617"/>
      <c r="W135" s="2618"/>
      <c r="X135" s="2616">
        <f>O135*AS$131</f>
        <v>7414</v>
      </c>
      <c r="Y135" s="2617"/>
      <c r="Z135" s="2618"/>
      <c r="AA135" s="2616">
        <f>R135*AR$131</f>
        <v>39681.100000000006</v>
      </c>
      <c r="AB135" s="2617"/>
      <c r="AC135" s="2618"/>
      <c r="AD135" s="2616">
        <f>SUM(U135:AC135)</f>
        <v>78638.040000000008</v>
      </c>
      <c r="AE135" s="2617"/>
      <c r="AF135" s="2617"/>
      <c r="AG135" s="2618"/>
      <c r="AH135" s="2619"/>
      <c r="AI135" s="2620"/>
      <c r="AJ135" s="2620"/>
      <c r="AK135" s="2620"/>
      <c r="AL135" s="2620"/>
      <c r="AM135" s="2620"/>
      <c r="AN135" s="1289"/>
      <c r="AO135" s="1289"/>
      <c r="AP135" s="1289"/>
      <c r="AQ135" s="1362"/>
    </row>
    <row r="136" spans="1:50">
      <c r="A136" s="1289"/>
      <c r="B136" s="1289"/>
      <c r="C136" s="1293"/>
      <c r="D136" s="2609"/>
      <c r="E136" s="2644"/>
      <c r="F136" s="2644"/>
      <c r="G136" s="2644"/>
      <c r="H136" s="2644"/>
      <c r="I136" s="2644"/>
      <c r="J136" s="2644"/>
      <c r="K136" s="2610"/>
      <c r="L136" s="2645">
        <f>SUM(L131:N135)</f>
        <v>1859</v>
      </c>
      <c r="M136" s="2646"/>
      <c r="N136" s="2647"/>
      <c r="O136" s="2645">
        <f t="shared" ref="O136" si="14">SUM(O131:Q135)</f>
        <v>322</v>
      </c>
      <c r="P136" s="2646"/>
      <c r="Q136" s="2647"/>
      <c r="R136" s="2645">
        <f t="shared" ref="R136" si="15">SUM(R131:T135)</f>
        <v>1656</v>
      </c>
      <c r="S136" s="2646"/>
      <c r="T136" s="2647"/>
      <c r="U136" s="2623">
        <f>SUM(U131:W135)</f>
        <v>205029.11000000002</v>
      </c>
      <c r="V136" s="2646"/>
      <c r="W136" s="2647"/>
      <c r="X136" s="2623">
        <f>SUM(X131:Z135)+30.56</f>
        <v>47776.719999999994</v>
      </c>
      <c r="Y136" s="2624"/>
      <c r="Z136" s="2625"/>
      <c r="AA136" s="2623">
        <f>SUM(AA131:AC135)</f>
        <v>247969.44000000003</v>
      </c>
      <c r="AB136" s="2624"/>
      <c r="AC136" s="2625"/>
      <c r="AD136" s="2626">
        <f>SUM(AD131:AG135)+139.14+5.81+61.27+3.06</f>
        <v>500953.99</v>
      </c>
      <c r="AE136" s="2627"/>
      <c r="AF136" s="2627"/>
      <c r="AG136" s="2628"/>
      <c r="AH136" s="1289"/>
      <c r="AI136" s="1289"/>
      <c r="AJ136" s="1289"/>
      <c r="AK136" s="1289"/>
      <c r="AL136" s="1289"/>
      <c r="AM136" s="1289"/>
      <c r="AN136" s="1289"/>
      <c r="AO136" s="1289"/>
      <c r="AP136" s="1289"/>
      <c r="AR136" s="1362"/>
      <c r="AS136" s="1294">
        <v>-3685.7599999999998</v>
      </c>
    </row>
    <row r="137" spans="1:50">
      <c r="A137" s="681"/>
      <c r="B137" s="681"/>
      <c r="C137" s="693"/>
      <c r="D137" s="685"/>
      <c r="E137" s="685"/>
      <c r="F137" s="685"/>
      <c r="G137" s="685"/>
      <c r="H137" s="685"/>
      <c r="I137" s="685"/>
      <c r="J137" s="685"/>
      <c r="K137" s="685"/>
      <c r="L137" s="1033"/>
      <c r="M137" s="1033"/>
      <c r="N137" s="1033"/>
      <c r="O137" s="1033"/>
      <c r="P137" s="1033"/>
      <c r="Q137" s="1033"/>
      <c r="R137" s="1033"/>
      <c r="S137" s="1033"/>
      <c r="T137" s="1033"/>
      <c r="U137" s="1033"/>
      <c r="V137" s="1033"/>
      <c r="W137" s="1033"/>
      <c r="X137" s="1033"/>
      <c r="Y137" s="1033"/>
      <c r="Z137" s="1033"/>
      <c r="AA137" s="1033"/>
      <c r="AB137" s="1033"/>
      <c r="AC137" s="1033"/>
      <c r="AD137" s="1033"/>
      <c r="AE137" s="1033"/>
      <c r="AF137" s="1033"/>
      <c r="AG137" s="1033"/>
      <c r="AH137" s="681"/>
      <c r="AI137" s="681"/>
      <c r="AJ137" s="681"/>
      <c r="AK137" s="681"/>
      <c r="AL137" s="681"/>
      <c r="AM137" s="681"/>
      <c r="AN137" s="681"/>
      <c r="AO137" s="681"/>
      <c r="AP137" s="681"/>
      <c r="AQ137" s="1362">
        <f>+AD136-AQ139</f>
        <v>0</v>
      </c>
    </row>
    <row r="138" spans="1:50" ht="15" customHeight="1">
      <c r="A138" s="681"/>
      <c r="B138" s="681"/>
      <c r="C138" s="2629" t="s">
        <v>1915</v>
      </c>
      <c r="D138" s="2630"/>
      <c r="E138" s="2630"/>
      <c r="F138" s="2631"/>
      <c r="G138" s="2635" t="s">
        <v>1916</v>
      </c>
      <c r="H138" s="2636"/>
      <c r="I138" s="2636"/>
      <c r="J138" s="2636"/>
      <c r="K138" s="2637"/>
      <c r="L138" s="2641" t="s">
        <v>1897</v>
      </c>
      <c r="M138" s="2642"/>
      <c r="N138" s="2642"/>
      <c r="O138" s="2642"/>
      <c r="P138" s="2642"/>
      <c r="Q138" s="2642"/>
      <c r="R138" s="2643"/>
      <c r="S138" s="2641" t="s">
        <v>1898</v>
      </c>
      <c r="T138" s="2642"/>
      <c r="U138" s="2642"/>
      <c r="V138" s="2642"/>
      <c r="W138" s="2642"/>
      <c r="X138" s="2642"/>
      <c r="Y138" s="2642"/>
      <c r="Z138" s="2643"/>
      <c r="AA138" s="2641" t="s">
        <v>1899</v>
      </c>
      <c r="AB138" s="2642"/>
      <c r="AC138" s="2642"/>
      <c r="AD138" s="2642"/>
      <c r="AE138" s="2642"/>
      <c r="AF138" s="2642"/>
      <c r="AG138" s="2642"/>
      <c r="AH138" s="2643"/>
      <c r="AI138" s="2641" t="s">
        <v>1900</v>
      </c>
      <c r="AJ138" s="2642"/>
      <c r="AK138" s="2642"/>
      <c r="AL138" s="2642"/>
      <c r="AM138" s="2642"/>
      <c r="AN138" s="2642"/>
      <c r="AO138" s="2643"/>
      <c r="AP138" s="681"/>
      <c r="AS138" s="1294">
        <v>-4.2907566938300343</v>
      </c>
      <c r="AT138" s="1294">
        <f>+AS136/O136</f>
        <v>-11.446459627329192</v>
      </c>
    </row>
    <row r="139" spans="1:50">
      <c r="A139" s="681"/>
      <c r="B139" s="681"/>
      <c r="C139" s="2632"/>
      <c r="D139" s="2633"/>
      <c r="E139" s="2633"/>
      <c r="F139" s="2634"/>
      <c r="G139" s="2638"/>
      <c r="H139" s="2639"/>
      <c r="I139" s="2639"/>
      <c r="J139" s="2639"/>
      <c r="K139" s="2640"/>
      <c r="L139" s="2641" t="s">
        <v>1</v>
      </c>
      <c r="M139" s="2642"/>
      <c r="N139" s="2642"/>
      <c r="O139" s="2642"/>
      <c r="P139" s="2643"/>
      <c r="Q139" s="2641" t="s">
        <v>0</v>
      </c>
      <c r="R139" s="2643"/>
      <c r="S139" s="2641" t="s">
        <v>1</v>
      </c>
      <c r="T139" s="2642"/>
      <c r="U139" s="2642"/>
      <c r="V139" s="2642"/>
      <c r="W139" s="2642"/>
      <c r="X139" s="2643"/>
      <c r="Y139" s="2641" t="s">
        <v>0</v>
      </c>
      <c r="Z139" s="2643"/>
      <c r="AA139" s="2641" t="s">
        <v>1</v>
      </c>
      <c r="AB139" s="2642"/>
      <c r="AC139" s="2642"/>
      <c r="AD139" s="2642"/>
      <c r="AE139" s="2642"/>
      <c r="AF139" s="2643"/>
      <c r="AG139" s="2641" t="s">
        <v>0</v>
      </c>
      <c r="AH139" s="2643"/>
      <c r="AI139" s="2641" t="s">
        <v>1</v>
      </c>
      <c r="AJ139" s="2642"/>
      <c r="AK139" s="2642"/>
      <c r="AL139" s="2642"/>
      <c r="AM139" s="2643"/>
      <c r="AN139" s="2641" t="s">
        <v>0</v>
      </c>
      <c r="AO139" s="2643"/>
      <c r="AP139" s="1952"/>
      <c r="AQ139" s="1362">
        <f>+S141</f>
        <v>500953.99</v>
      </c>
    </row>
    <row r="140" spans="1:50">
      <c r="A140" s="681"/>
      <c r="B140" s="681"/>
      <c r="C140" s="2641" t="s">
        <v>1901</v>
      </c>
      <c r="D140" s="2642"/>
      <c r="E140" s="2642"/>
      <c r="F140" s="2643"/>
      <c r="G140" s="2648">
        <f>5159712.42+613460.84+2529.34+270916.85+1174797.88+1075396.96+261223.45</f>
        <v>8558037.7399999984</v>
      </c>
      <c r="H140" s="2648"/>
      <c r="I140" s="2648"/>
      <c r="J140" s="2648"/>
      <c r="K140" s="2648"/>
      <c r="L140" s="2413"/>
      <c r="M140" s="2411"/>
      <c r="N140" s="2411"/>
      <c r="O140" s="2411"/>
      <c r="P140" s="2412"/>
      <c r="Q140" s="2414"/>
      <c r="R140" s="2415"/>
      <c r="S140" s="2413"/>
      <c r="T140" s="2411"/>
      <c r="U140" s="2411"/>
      <c r="V140" s="2411"/>
      <c r="W140" s="2411"/>
      <c r="X140" s="2412"/>
      <c r="Y140" s="2414"/>
      <c r="Z140" s="2415"/>
      <c r="AA140" s="2413"/>
      <c r="AB140" s="2411"/>
      <c r="AC140" s="2411"/>
      <c r="AD140" s="2411"/>
      <c r="AE140" s="2411"/>
      <c r="AF140" s="2412"/>
      <c r="AG140" s="2414"/>
      <c r="AH140" s="2415"/>
      <c r="AI140" s="2413"/>
      <c r="AJ140" s="2411"/>
      <c r="AK140" s="2411"/>
      <c r="AL140" s="2411"/>
      <c r="AM140" s="2412"/>
      <c r="AN140" s="2414"/>
      <c r="AO140" s="2415"/>
      <c r="AP140" s="681"/>
      <c r="AT140" s="1294">
        <f>+AS136/R136</f>
        <v>-2.2257004830917873</v>
      </c>
    </row>
    <row r="141" spans="1:50">
      <c r="A141" s="681"/>
      <c r="B141" s="681"/>
      <c r="C141" s="2641" t="s">
        <v>1902</v>
      </c>
      <c r="D141" s="2642"/>
      <c r="E141" s="2642"/>
      <c r="F141" s="2643"/>
      <c r="G141" s="1993"/>
      <c r="H141" s="1994"/>
      <c r="I141" s="1994"/>
      <c r="J141" s="1994"/>
      <c r="K141" s="1995"/>
      <c r="L141" s="2413">
        <f>+'[31]F6 DICIEMBRE'!$R$65</f>
        <v>6498326.0000000009</v>
      </c>
      <c r="M141" s="2411"/>
      <c r="N141" s="2411"/>
      <c r="O141" s="2411"/>
      <c r="P141" s="2412"/>
      <c r="Q141" s="2414">
        <f>L141/G$140</f>
        <v>0.75932429809546531</v>
      </c>
      <c r="R141" s="2415"/>
      <c r="S141" s="2432">
        <f>+'[31]F6 DICIEMBRE'!$S$15</f>
        <v>500953.99</v>
      </c>
      <c r="T141" s="2433"/>
      <c r="U141" s="2433"/>
      <c r="V141" s="2433"/>
      <c r="W141" s="2433"/>
      <c r="X141" s="2436"/>
      <c r="Y141" s="2414">
        <f>S141/G140</f>
        <v>5.8536080959138197E-2</v>
      </c>
      <c r="Z141" s="2415"/>
      <c r="AA141" s="2413">
        <f>SUM(L141,S141)</f>
        <v>6999279.9900000012</v>
      </c>
      <c r="AB141" s="2411"/>
      <c r="AC141" s="2411"/>
      <c r="AD141" s="2411"/>
      <c r="AE141" s="2411"/>
      <c r="AF141" s="2412"/>
      <c r="AG141" s="2414">
        <f>AA141/G140</f>
        <v>0.81786037905460351</v>
      </c>
      <c r="AH141" s="2415"/>
      <c r="AI141" s="2413">
        <f>G140-AA141</f>
        <v>1558757.7499999972</v>
      </c>
      <c r="AJ141" s="2411"/>
      <c r="AK141" s="2411"/>
      <c r="AL141" s="2411"/>
      <c r="AM141" s="2412"/>
      <c r="AN141" s="2414">
        <f>AI141/G140</f>
        <v>0.18213962094539649</v>
      </c>
      <c r="AO141" s="2415"/>
      <c r="AP141" s="1951" t="e">
        <f>+S141/S89</f>
        <v>#REF!</v>
      </c>
      <c r="AQ141" s="1362">
        <f>+'[30]F6 OCTUBRE'!$Q$15</f>
        <v>229164.22</v>
      </c>
    </row>
    <row r="142" spans="1:50">
      <c r="A142" s="681"/>
      <c r="B142" s="681"/>
      <c r="C142" s="685"/>
      <c r="D142" s="685"/>
      <c r="E142" s="685"/>
      <c r="F142" s="685"/>
      <c r="G142" s="1244"/>
      <c r="H142" s="1244"/>
      <c r="I142" s="1244"/>
      <c r="J142" s="1244"/>
      <c r="K142" s="1244"/>
      <c r="L142" s="1245"/>
      <c r="M142" s="1245"/>
      <c r="N142" s="1245"/>
      <c r="O142" s="1245"/>
      <c r="P142" s="1245"/>
      <c r="Q142" s="1250"/>
      <c r="R142" s="1244"/>
      <c r="S142" s="1245"/>
      <c r="T142" s="1245"/>
      <c r="U142" s="1245"/>
      <c r="V142" s="1251"/>
      <c r="W142" s="1245"/>
      <c r="X142" s="2475"/>
      <c r="Y142" s="2475"/>
      <c r="Z142" s="2475"/>
      <c r="AA142" s="1245"/>
      <c r="AB142" s="1245"/>
      <c r="AC142" s="1245"/>
      <c r="AD142" s="1245"/>
      <c r="AE142" s="1245"/>
      <c r="AF142" s="1245"/>
      <c r="AG142" s="1250"/>
      <c r="AH142" s="1250"/>
      <c r="AI142" s="1245"/>
      <c r="AJ142" s="681"/>
      <c r="AK142" s="681"/>
      <c r="AL142" s="681"/>
      <c r="AM142" s="681"/>
      <c r="AN142" s="1250"/>
      <c r="AO142" s="1250"/>
      <c r="AP142" s="681"/>
    </row>
    <row r="143" spans="1:50" ht="15" customHeight="1">
      <c r="A143" s="681"/>
      <c r="B143" s="681"/>
      <c r="C143" s="2675" t="s">
        <v>4369</v>
      </c>
      <c r="D143" s="2675"/>
      <c r="E143" s="2675"/>
      <c r="F143" s="2675"/>
      <c r="G143" s="2675"/>
      <c r="H143" s="2675"/>
      <c r="I143" s="2675"/>
      <c r="J143" s="2675"/>
      <c r="K143" s="2675"/>
      <c r="L143" s="2675"/>
      <c r="M143" s="2675"/>
      <c r="N143" s="2675"/>
      <c r="O143" s="2675"/>
      <c r="P143" s="2675"/>
      <c r="Q143" s="2675"/>
      <c r="R143" s="2675"/>
      <c r="S143" s="2675"/>
      <c r="T143" s="2675"/>
      <c r="U143" s="2675"/>
      <c r="V143" s="2675"/>
      <c r="W143" s="2675"/>
      <c r="X143" s="2675"/>
      <c r="Y143" s="2675"/>
      <c r="Z143" s="2675"/>
      <c r="AA143" s="2675"/>
      <c r="AB143" s="2675"/>
      <c r="AC143" s="2675"/>
      <c r="AD143" s="2675"/>
      <c r="AE143" s="2675"/>
      <c r="AF143" s="2675"/>
      <c r="AG143" s="2675"/>
      <c r="AH143" s="2675"/>
      <c r="AI143" s="2675"/>
      <c r="AJ143" s="2675"/>
      <c r="AK143" s="2675"/>
      <c r="AL143" s="2675"/>
      <c r="AM143" s="2675"/>
      <c r="AN143" s="2675"/>
      <c r="AO143" s="2675"/>
      <c r="AP143" s="681"/>
      <c r="AQ143" s="1294">
        <v>1</v>
      </c>
      <c r="AR143" s="1294">
        <v>2</v>
      </c>
      <c r="AS143" s="1294">
        <v>3</v>
      </c>
      <c r="AT143" s="1294">
        <v>4</v>
      </c>
      <c r="AU143" s="1294">
        <v>5</v>
      </c>
      <c r="AV143" s="1294">
        <v>6</v>
      </c>
      <c r="AW143" s="1294">
        <v>7</v>
      </c>
      <c r="AX143" s="1294">
        <v>8</v>
      </c>
    </row>
    <row r="144" spans="1:50" ht="15" customHeight="1">
      <c r="A144" s="681"/>
      <c r="B144" s="681"/>
      <c r="C144" s="2629" t="s">
        <v>1915</v>
      </c>
      <c r="D144" s="2630"/>
      <c r="E144" s="2630"/>
      <c r="F144" s="2631"/>
      <c r="G144" s="2635" t="s">
        <v>1916</v>
      </c>
      <c r="H144" s="2636"/>
      <c r="I144" s="2636"/>
      <c r="J144" s="2636"/>
      <c r="K144" s="2637"/>
      <c r="L144" s="2641" t="s">
        <v>1897</v>
      </c>
      <c r="M144" s="2642"/>
      <c r="N144" s="2642"/>
      <c r="O144" s="2642"/>
      <c r="P144" s="2642"/>
      <c r="Q144" s="2642"/>
      <c r="R144" s="2643"/>
      <c r="S144" s="2641" t="s">
        <v>1898</v>
      </c>
      <c r="T144" s="2642"/>
      <c r="U144" s="2642"/>
      <c r="V144" s="2642"/>
      <c r="W144" s="2642"/>
      <c r="X144" s="2642"/>
      <c r="Y144" s="2642"/>
      <c r="Z144" s="2643"/>
      <c r="AA144" s="2641" t="s">
        <v>1899</v>
      </c>
      <c r="AB144" s="2642"/>
      <c r="AC144" s="2642"/>
      <c r="AD144" s="2642"/>
      <c r="AE144" s="2642"/>
      <c r="AF144" s="2642"/>
      <c r="AG144" s="2642"/>
      <c r="AH144" s="2643"/>
      <c r="AI144" s="2641" t="s">
        <v>1900</v>
      </c>
      <c r="AJ144" s="2642"/>
      <c r="AK144" s="2642"/>
      <c r="AL144" s="2642"/>
      <c r="AM144" s="2642"/>
      <c r="AN144" s="2642"/>
      <c r="AO144" s="2643"/>
      <c r="AP144" s="681"/>
      <c r="AQ144" s="1362">
        <f>+S141-AD136</f>
        <v>0</v>
      </c>
    </row>
    <row r="145" spans="1:51" ht="15" customHeight="1">
      <c r="A145" s="681"/>
      <c r="B145" s="681"/>
      <c r="C145" s="2632"/>
      <c r="D145" s="2633"/>
      <c r="E145" s="2633"/>
      <c r="F145" s="2634"/>
      <c r="G145" s="2638"/>
      <c r="H145" s="2639"/>
      <c r="I145" s="2639"/>
      <c r="J145" s="2639"/>
      <c r="K145" s="2640"/>
      <c r="L145" s="2641" t="s">
        <v>1</v>
      </c>
      <c r="M145" s="2642"/>
      <c r="N145" s="2642"/>
      <c r="O145" s="2642"/>
      <c r="P145" s="2643"/>
      <c r="Q145" s="2641" t="s">
        <v>0</v>
      </c>
      <c r="R145" s="2643"/>
      <c r="S145" s="2641" t="s">
        <v>1</v>
      </c>
      <c r="T145" s="2642"/>
      <c r="U145" s="2642"/>
      <c r="V145" s="2642"/>
      <c r="W145" s="2642"/>
      <c r="X145" s="2643"/>
      <c r="Y145" s="2641" t="s">
        <v>0</v>
      </c>
      <c r="Z145" s="2643"/>
      <c r="AA145" s="2641" t="s">
        <v>1</v>
      </c>
      <c r="AB145" s="2642"/>
      <c r="AC145" s="2642"/>
      <c r="AD145" s="2642"/>
      <c r="AE145" s="2642"/>
      <c r="AF145" s="2643"/>
      <c r="AG145" s="2641" t="s">
        <v>0</v>
      </c>
      <c r="AH145" s="2643"/>
      <c r="AI145" s="2641" t="s">
        <v>1</v>
      </c>
      <c r="AJ145" s="2642"/>
      <c r="AK145" s="2642"/>
      <c r="AL145" s="2642"/>
      <c r="AM145" s="2643"/>
      <c r="AN145" s="2641" t="s">
        <v>0</v>
      </c>
      <c r="AO145" s="2643"/>
      <c r="AP145" s="681"/>
      <c r="AQ145" s="1362"/>
    </row>
    <row r="146" spans="1:51" ht="13.9" customHeight="1">
      <c r="A146" s="681"/>
      <c r="B146" s="681"/>
      <c r="C146" s="2641" t="s">
        <v>1901</v>
      </c>
      <c r="D146" s="2642"/>
      <c r="E146" s="2642"/>
      <c r="F146" s="2643"/>
      <c r="G146" s="2648">
        <f>+'[31]F6 DICIEMBRE'!$G$15</f>
        <v>3374384</v>
      </c>
      <c r="H146" s="2648"/>
      <c r="I146" s="2648"/>
      <c r="J146" s="2648"/>
      <c r="K146" s="2648"/>
      <c r="L146" s="2413"/>
      <c r="M146" s="2411"/>
      <c r="N146" s="2411"/>
      <c r="O146" s="2411"/>
      <c r="P146" s="2412"/>
      <c r="Q146" s="2414"/>
      <c r="R146" s="2415"/>
      <c r="S146" s="2413"/>
      <c r="T146" s="2411"/>
      <c r="U146" s="2411"/>
      <c r="V146" s="2411"/>
      <c r="W146" s="2411"/>
      <c r="X146" s="2412"/>
      <c r="Y146" s="2414"/>
      <c r="Z146" s="2415"/>
      <c r="AA146" s="2413"/>
      <c r="AB146" s="2411"/>
      <c r="AC146" s="2411"/>
      <c r="AD146" s="2411"/>
      <c r="AE146" s="2411"/>
      <c r="AF146" s="2412"/>
      <c r="AG146" s="2414"/>
      <c r="AH146" s="2415"/>
      <c r="AI146" s="2413"/>
      <c r="AJ146" s="2411"/>
      <c r="AK146" s="2411"/>
      <c r="AL146" s="2411"/>
      <c r="AM146" s="2412"/>
      <c r="AN146" s="2414"/>
      <c r="AO146" s="2415"/>
      <c r="AP146" s="681"/>
      <c r="AQ146" s="1362"/>
    </row>
    <row r="147" spans="1:51" ht="13.9" customHeight="1">
      <c r="A147" s="681"/>
      <c r="B147" s="681"/>
      <c r="C147" s="2641" t="s">
        <v>1902</v>
      </c>
      <c r="D147" s="2642"/>
      <c r="E147" s="2642"/>
      <c r="F147" s="2643"/>
      <c r="G147" s="1993"/>
      <c r="H147" s="1994"/>
      <c r="I147" s="1994"/>
      <c r="J147" s="1994"/>
      <c r="K147" s="1995"/>
      <c r="L147" s="2413">
        <f>SUM('[31]F6 DICIEMBRE'!$H$15:$R$15)</f>
        <v>2855679.5900000008</v>
      </c>
      <c r="M147" s="2411"/>
      <c r="N147" s="2411"/>
      <c r="O147" s="2411"/>
      <c r="P147" s="2412"/>
      <c r="Q147" s="2414">
        <f>L147/G$146</f>
        <v>0.84628174801682343</v>
      </c>
      <c r="R147" s="2415"/>
      <c r="S147" s="2432">
        <f>+S141</f>
        <v>500953.99</v>
      </c>
      <c r="T147" s="2433"/>
      <c r="U147" s="2433"/>
      <c r="V147" s="2433"/>
      <c r="W147" s="2433"/>
      <c r="X147" s="2436"/>
      <c r="Y147" s="2414">
        <f>S147/G146</f>
        <v>0.14845790816931326</v>
      </c>
      <c r="Z147" s="2415"/>
      <c r="AA147" s="2413">
        <f>SUM(L147,S147)</f>
        <v>3356633.580000001</v>
      </c>
      <c r="AB147" s="2411"/>
      <c r="AC147" s="2411"/>
      <c r="AD147" s="2411"/>
      <c r="AE147" s="2411"/>
      <c r="AF147" s="2412"/>
      <c r="AG147" s="2414">
        <f>AA147/G146</f>
        <v>0.9947396561861368</v>
      </c>
      <c r="AH147" s="2415"/>
      <c r="AI147" s="2413">
        <f>G146-AA147</f>
        <v>17750.419999998994</v>
      </c>
      <c r="AJ147" s="2411"/>
      <c r="AK147" s="2411"/>
      <c r="AL147" s="2411"/>
      <c r="AM147" s="2412"/>
      <c r="AN147" s="2414">
        <f>AI147/G146</f>
        <v>5.2603438138632101E-3</v>
      </c>
      <c r="AO147" s="2415"/>
      <c r="AP147" s="681"/>
    </row>
    <row r="148" spans="1:51" ht="25.9" customHeight="1">
      <c r="A148" s="681"/>
      <c r="B148" s="681"/>
      <c r="C148" s="685"/>
      <c r="D148" s="685"/>
      <c r="E148" s="685"/>
      <c r="F148" s="685"/>
      <c r="G148" s="2117"/>
      <c r="H148" s="2117"/>
      <c r="I148" s="2117"/>
      <c r="J148" s="2117"/>
      <c r="K148" s="2117"/>
      <c r="L148" s="2118"/>
      <c r="M148" s="2118"/>
      <c r="N148" s="2118"/>
      <c r="O148" s="2118"/>
      <c r="P148" s="2118"/>
      <c r="Q148" s="2119"/>
      <c r="R148" s="2119"/>
      <c r="S148" s="1245"/>
      <c r="T148" s="1245"/>
      <c r="U148" s="1245"/>
      <c r="V148" s="1245"/>
      <c r="W148" s="1245"/>
      <c r="X148" s="1245"/>
      <c r="Y148" s="2119"/>
      <c r="Z148" s="2119"/>
      <c r="AA148" s="2118"/>
      <c r="AB148" s="2118"/>
      <c r="AC148" s="2118"/>
      <c r="AD148" s="2118"/>
      <c r="AE148" s="2118"/>
      <c r="AF148" s="2118"/>
      <c r="AG148" s="2119"/>
      <c r="AH148" s="2119"/>
      <c r="AI148" s="2118"/>
      <c r="AJ148" s="2118"/>
      <c r="AK148" s="2118"/>
      <c r="AL148" s="2118"/>
      <c r="AM148" s="2118"/>
      <c r="AN148" s="2119"/>
      <c r="AO148" s="2119"/>
      <c r="AP148" s="681"/>
    </row>
    <row r="149" spans="1:51" ht="17.25" customHeight="1">
      <c r="A149" s="1289"/>
      <c r="B149" s="1295" t="s">
        <v>1917</v>
      </c>
      <c r="C149" s="1293"/>
      <c r="D149" s="1351"/>
      <c r="E149" s="1351"/>
      <c r="F149" s="1351"/>
      <c r="G149" s="1351"/>
      <c r="H149" s="1351"/>
      <c r="I149" s="1351"/>
      <c r="J149" s="1351"/>
      <c r="K149" s="1351"/>
      <c r="L149" s="1351"/>
      <c r="M149" s="1351"/>
      <c r="N149" s="1351"/>
      <c r="O149" s="1351"/>
      <c r="P149" s="1351"/>
      <c r="Q149" s="1351"/>
      <c r="R149" s="1351"/>
      <c r="S149" s="1351"/>
      <c r="T149" s="1351"/>
      <c r="U149" s="1351"/>
      <c r="V149" s="1351"/>
      <c r="W149" s="1351"/>
      <c r="X149" s="1351"/>
      <c r="Y149" s="1351"/>
      <c r="Z149" s="1351"/>
      <c r="AA149" s="1351"/>
      <c r="AB149" s="1351"/>
      <c r="AC149" s="1351"/>
      <c r="AD149" s="1351"/>
      <c r="AE149" s="1351"/>
      <c r="AF149" s="1351"/>
      <c r="AG149" s="1351"/>
      <c r="AH149" s="1351"/>
      <c r="AI149" s="1351"/>
      <c r="AJ149" s="1351"/>
      <c r="AK149" s="1351"/>
      <c r="AL149" s="1351"/>
      <c r="AM149" s="1351"/>
      <c r="AN149" s="1351"/>
      <c r="AO149" s="1351"/>
      <c r="AP149" s="681"/>
      <c r="AQ149" s="1363">
        <f>+G140*0.15</f>
        <v>1283705.6609999996</v>
      </c>
      <c r="AR149" s="1363">
        <f>+G140*0.15</f>
        <v>1283705.6609999996</v>
      </c>
      <c r="AS149" s="1363">
        <f>+G140*0.15</f>
        <v>1283705.6609999996</v>
      </c>
      <c r="AT149" s="1363">
        <f>+G140*0.15</f>
        <v>1283705.6609999996</v>
      </c>
      <c r="AU149" s="1363">
        <f>+G140*0.1</f>
        <v>855803.77399999986</v>
      </c>
      <c r="AV149" s="1363">
        <f>+$G$140*0.1</f>
        <v>855803.77399999986</v>
      </c>
      <c r="AW149" s="1363">
        <f>+$G$140*0.1</f>
        <v>855803.77399999986</v>
      </c>
      <c r="AX149" s="1363">
        <f>+$G$140*0.1</f>
        <v>855803.77399999986</v>
      </c>
      <c r="AY149" s="1358">
        <f>SUM(AQ149:AX149)</f>
        <v>8558037.7399999984</v>
      </c>
    </row>
    <row r="150" spans="1:51" ht="328.9" customHeight="1">
      <c r="A150" s="1289"/>
      <c r="B150" s="1289"/>
      <c r="C150" s="2113"/>
      <c r="D150" s="2674" t="s">
        <v>4361</v>
      </c>
      <c r="E150" s="2674"/>
      <c r="F150" s="2674"/>
      <c r="G150" s="2674"/>
      <c r="H150" s="2674"/>
      <c r="I150" s="2674"/>
      <c r="J150" s="2674"/>
      <c r="K150" s="2674"/>
      <c r="L150" s="2674"/>
      <c r="M150" s="2674"/>
      <c r="N150" s="2674"/>
      <c r="O150" s="2674"/>
      <c r="P150" s="2674"/>
      <c r="Q150" s="2674"/>
      <c r="R150" s="2674"/>
      <c r="S150" s="2674"/>
      <c r="T150" s="2674"/>
      <c r="U150" s="2674"/>
      <c r="V150" s="2674"/>
      <c r="W150" s="2674"/>
      <c r="X150" s="2674"/>
      <c r="Y150" s="2674"/>
      <c r="Z150" s="2674"/>
      <c r="AA150" s="2674"/>
      <c r="AB150" s="2674"/>
      <c r="AC150" s="2674"/>
      <c r="AD150" s="2674"/>
      <c r="AE150" s="2674"/>
      <c r="AF150" s="2674"/>
      <c r="AG150" s="2674"/>
      <c r="AH150" s="2674"/>
      <c r="AI150" s="2674"/>
      <c r="AJ150" s="2674"/>
      <c r="AK150" s="2674"/>
      <c r="AL150" s="2674"/>
      <c r="AM150" s="2674"/>
      <c r="AN150" s="2674"/>
      <c r="AO150" s="2674"/>
      <c r="AP150" s="681"/>
    </row>
    <row r="151" spans="1:51">
      <c r="A151" s="1289"/>
      <c r="B151" s="1295" t="s">
        <v>1918</v>
      </c>
      <c r="C151" s="1293"/>
      <c r="D151" s="1351"/>
      <c r="E151" s="1351"/>
      <c r="F151" s="1351"/>
      <c r="G151" s="1351"/>
      <c r="H151" s="1351"/>
      <c r="I151" s="1351"/>
      <c r="J151" s="1351"/>
      <c r="K151" s="1351"/>
      <c r="L151" s="1351"/>
      <c r="M151" s="1351"/>
      <c r="N151" s="1351"/>
      <c r="O151" s="1351"/>
      <c r="P151" s="1351"/>
      <c r="Q151" s="1351"/>
      <c r="R151" s="1351"/>
      <c r="S151" s="1351"/>
      <c r="T151" s="1351"/>
      <c r="U151" s="1351"/>
      <c r="V151" s="1351"/>
      <c r="W151" s="1351"/>
      <c r="X151" s="1351"/>
      <c r="Y151" s="1351"/>
      <c r="Z151" s="1351"/>
      <c r="AA151" s="1351"/>
      <c r="AB151" s="1351"/>
      <c r="AC151" s="1351"/>
      <c r="AD151" s="1351"/>
      <c r="AE151" s="1351"/>
      <c r="AF151" s="1351"/>
      <c r="AG151" s="1351"/>
      <c r="AH151" s="1351"/>
      <c r="AI151" s="1351"/>
      <c r="AJ151" s="1351"/>
      <c r="AK151" s="1351"/>
      <c r="AL151" s="1351"/>
      <c r="AM151" s="1351"/>
      <c r="AN151" s="1351"/>
      <c r="AO151" s="1351"/>
      <c r="AP151" s="1289"/>
    </row>
    <row r="152" spans="1:51" ht="15.75" thickBot="1">
      <c r="A152" s="1289"/>
      <c r="B152" s="1289"/>
      <c r="C152" s="1295" t="s">
        <v>2181</v>
      </c>
      <c r="D152" s="1289"/>
      <c r="E152" s="1289"/>
      <c r="F152" s="1289"/>
      <c r="G152" s="1289"/>
      <c r="H152" s="1289"/>
      <c r="I152" s="1289"/>
      <c r="J152" s="1289"/>
      <c r="K152" s="1289"/>
      <c r="L152" s="1289"/>
      <c r="M152" s="1289"/>
      <c r="N152" s="1289"/>
      <c r="O152" s="1289"/>
      <c r="P152" s="1289"/>
      <c r="Q152" s="1289"/>
      <c r="R152" s="1289"/>
      <c r="S152" s="1289"/>
      <c r="T152" s="1289"/>
      <c r="U152" s="1289"/>
      <c r="V152" s="1289"/>
      <c r="W152" s="1289"/>
      <c r="X152" s="1289"/>
      <c r="Y152" s="1289"/>
      <c r="Z152" s="1289"/>
      <c r="AA152" s="1289"/>
      <c r="AB152" s="1351"/>
      <c r="AC152" s="1351"/>
      <c r="AD152" s="1351"/>
      <c r="AE152" s="1351"/>
      <c r="AF152" s="1351"/>
      <c r="AG152" s="1351"/>
      <c r="AH152" s="1351"/>
      <c r="AI152" s="1351"/>
      <c r="AJ152" s="1351"/>
      <c r="AK152" s="1351"/>
      <c r="AL152" s="1351"/>
      <c r="AM152" s="1351"/>
      <c r="AN152" s="1351"/>
      <c r="AO152" s="1351"/>
      <c r="AP152" s="1289"/>
    </row>
    <row r="153" spans="1:51" ht="15.75" thickBot="1">
      <c r="A153" s="1289"/>
      <c r="B153" s="1289"/>
      <c r="C153" s="1289"/>
      <c r="D153" s="1289"/>
      <c r="E153" s="1289"/>
      <c r="F153" s="1289"/>
      <c r="G153" s="1289"/>
      <c r="H153" s="1289"/>
      <c r="I153" s="1289"/>
      <c r="J153" s="1289"/>
      <c r="K153" s="1289"/>
      <c r="L153" s="2653" t="s">
        <v>4362</v>
      </c>
      <c r="M153" s="2654"/>
      <c r="N153" s="2654"/>
      <c r="O153" s="2654"/>
      <c r="P153" s="2654"/>
      <c r="Q153" s="2654"/>
      <c r="R153" s="2654"/>
      <c r="S153" s="2654"/>
      <c r="T153" s="2654"/>
      <c r="U153" s="2654"/>
      <c r="V153" s="2654"/>
      <c r="W153" s="2654"/>
      <c r="X153" s="2654"/>
      <c r="Y153" s="2654"/>
      <c r="Z153" s="2654"/>
      <c r="AA153" s="2654"/>
      <c r="AB153" s="2655" t="s">
        <v>3651</v>
      </c>
      <c r="AC153" s="2656"/>
      <c r="AD153" s="2656"/>
      <c r="AE153" s="2657"/>
      <c r="AF153" s="1351"/>
      <c r="AG153" s="1351"/>
      <c r="AH153" s="1351"/>
      <c r="AI153" s="1351"/>
      <c r="AJ153" s="1351"/>
      <c r="AK153" s="1351"/>
      <c r="AL153" s="1351"/>
      <c r="AM153" s="1351"/>
      <c r="AN153" s="1351"/>
      <c r="AO153" s="1351"/>
      <c r="AP153" s="1289"/>
    </row>
    <row r="154" spans="1:51" ht="15.75" thickBot="1">
      <c r="A154" s="1289"/>
      <c r="B154" s="1289"/>
      <c r="C154" s="1289"/>
      <c r="D154" s="1289"/>
      <c r="E154" s="1289"/>
      <c r="F154" s="1289"/>
      <c r="G154" s="1289"/>
      <c r="H154" s="1289"/>
      <c r="I154" s="1289"/>
      <c r="J154" s="1289"/>
      <c r="K154" s="1289"/>
      <c r="L154" s="2661" t="s">
        <v>1919</v>
      </c>
      <c r="M154" s="2662"/>
      <c r="N154" s="2662"/>
      <c r="O154" s="2662"/>
      <c r="P154" s="2662"/>
      <c r="Q154" s="2662"/>
      <c r="R154" s="2662"/>
      <c r="S154" s="2663"/>
      <c r="T154" s="2664" t="s">
        <v>1920</v>
      </c>
      <c r="U154" s="2662"/>
      <c r="V154" s="2662"/>
      <c r="W154" s="2662"/>
      <c r="X154" s="2662"/>
      <c r="Y154" s="2662"/>
      <c r="Z154" s="2662"/>
      <c r="AA154" s="2662"/>
      <c r="AB154" s="2658"/>
      <c r="AC154" s="2659"/>
      <c r="AD154" s="2659"/>
      <c r="AE154" s="2660"/>
      <c r="AF154" s="1351"/>
      <c r="AG154" s="1351"/>
      <c r="AH154" s="1351"/>
      <c r="AI154" s="1351"/>
      <c r="AJ154" s="1351"/>
      <c r="AK154" s="1351"/>
      <c r="AL154" s="1351"/>
      <c r="AM154" s="1351"/>
      <c r="AN154" s="1351"/>
      <c r="AO154" s="1351"/>
      <c r="AP154" s="1289"/>
    </row>
    <row r="155" spans="1:51">
      <c r="A155" s="1289"/>
      <c r="B155" s="1289"/>
      <c r="C155" s="1289"/>
      <c r="D155" s="1289"/>
      <c r="E155" s="1289"/>
      <c r="F155" s="2665" t="s">
        <v>3581</v>
      </c>
      <c r="G155" s="2666"/>
      <c r="H155" s="2666"/>
      <c r="I155" s="2666"/>
      <c r="J155" s="2666"/>
      <c r="K155" s="2667"/>
      <c r="L155" s="2668" t="s">
        <v>3610</v>
      </c>
      <c r="M155" s="2666"/>
      <c r="N155" s="2666"/>
      <c r="O155" s="2666"/>
      <c r="P155" s="2666"/>
      <c r="Q155" s="2666"/>
      <c r="R155" s="2666"/>
      <c r="S155" s="2669"/>
      <c r="T155" s="2670" t="s">
        <v>3614</v>
      </c>
      <c r="U155" s="2666"/>
      <c r="V155" s="2666"/>
      <c r="W155" s="2666"/>
      <c r="X155" s="2666"/>
      <c r="Y155" s="2666"/>
      <c r="Z155" s="2666"/>
      <c r="AA155" s="2666"/>
      <c r="AB155" s="2652" t="s">
        <v>3652</v>
      </c>
      <c r="AC155" s="2652"/>
      <c r="AD155" s="2652"/>
      <c r="AE155" s="2652"/>
      <c r="AF155" s="1351"/>
      <c r="AG155" s="1351"/>
      <c r="AH155" s="1351"/>
      <c r="AI155" s="1351"/>
      <c r="AJ155" s="1351"/>
      <c r="AK155" s="1351"/>
      <c r="AL155" s="1351"/>
      <c r="AM155" s="1351"/>
      <c r="AN155" s="1351"/>
      <c r="AO155" s="1351"/>
      <c r="AP155" s="1289"/>
    </row>
    <row r="156" spans="1:51">
      <c r="A156" s="1289"/>
      <c r="B156" s="1289"/>
      <c r="C156" s="1289"/>
      <c r="D156" s="1289"/>
      <c r="E156" s="1289"/>
      <c r="F156" s="2249" t="s">
        <v>3581</v>
      </c>
      <c r="G156" s="2250"/>
      <c r="H156" s="2250"/>
      <c r="I156" s="2250"/>
      <c r="J156" s="2250"/>
      <c r="K156" s="2251"/>
      <c r="L156" s="2649" t="s">
        <v>3579</v>
      </c>
      <c r="M156" s="2650"/>
      <c r="N156" s="2650"/>
      <c r="O156" s="2650"/>
      <c r="P156" s="2650"/>
      <c r="Q156" s="2650"/>
      <c r="R156" s="2650"/>
      <c r="S156" s="2651"/>
      <c r="T156" s="2255" t="s">
        <v>3580</v>
      </c>
      <c r="U156" s="2253"/>
      <c r="V156" s="2253"/>
      <c r="W156" s="2253"/>
      <c r="X156" s="2253"/>
      <c r="Y156" s="2253"/>
      <c r="Z156" s="2253"/>
      <c r="AA156" s="2253"/>
      <c r="AB156" s="2652" t="s">
        <v>3653</v>
      </c>
      <c r="AC156" s="2652"/>
      <c r="AD156" s="2652"/>
      <c r="AE156" s="2652"/>
      <c r="AF156" s="1351"/>
      <c r="AG156" s="1351"/>
      <c r="AH156" s="1351"/>
      <c r="AI156" s="1351"/>
      <c r="AJ156" s="1351"/>
      <c r="AK156" s="1351"/>
      <c r="AL156" s="1351"/>
      <c r="AM156" s="1351"/>
      <c r="AN156" s="1351"/>
      <c r="AO156" s="1351"/>
      <c r="AP156" s="1289"/>
    </row>
    <row r="157" spans="1:51">
      <c r="A157" s="1289"/>
      <c r="B157" s="1289"/>
      <c r="C157" s="1289"/>
      <c r="D157" s="1289"/>
      <c r="E157" s="1289"/>
      <c r="F157" s="2249" t="s">
        <v>3582</v>
      </c>
      <c r="G157" s="2250"/>
      <c r="H157" s="2250"/>
      <c r="I157" s="2250"/>
      <c r="J157" s="2250"/>
      <c r="K157" s="2313"/>
      <c r="L157" s="2649" t="s">
        <v>3612</v>
      </c>
      <c r="M157" s="2650"/>
      <c r="N157" s="2650"/>
      <c r="O157" s="2650"/>
      <c r="P157" s="2650"/>
      <c r="Q157" s="2650"/>
      <c r="R157" s="2650"/>
      <c r="S157" s="2651"/>
      <c r="T157" s="2255" t="s">
        <v>3611</v>
      </c>
      <c r="U157" s="2250"/>
      <c r="V157" s="2250"/>
      <c r="W157" s="2250"/>
      <c r="X157" s="2250"/>
      <c r="Y157" s="2250"/>
      <c r="Z157" s="2250"/>
      <c r="AA157" s="2250"/>
      <c r="AB157" s="2652" t="s">
        <v>3653</v>
      </c>
      <c r="AC157" s="2652"/>
      <c r="AD157" s="2652"/>
      <c r="AE157" s="2652"/>
      <c r="AF157" s="1351"/>
      <c r="AG157" s="1351"/>
      <c r="AH157" s="1351"/>
      <c r="AI157" s="1351"/>
      <c r="AJ157" s="1351"/>
      <c r="AK157" s="1351"/>
      <c r="AL157" s="1351"/>
      <c r="AM157" s="1351"/>
      <c r="AN157" s="1351"/>
      <c r="AO157" s="1351"/>
      <c r="AP157" s="1289"/>
    </row>
    <row r="158" spans="1:51">
      <c r="A158" s="1289"/>
      <c r="B158" s="1289"/>
      <c r="C158" s="1289"/>
      <c r="D158" s="1289"/>
      <c r="E158" s="1289"/>
      <c r="F158" s="2249" t="s">
        <v>3582</v>
      </c>
      <c r="G158" s="2250"/>
      <c r="H158" s="2250"/>
      <c r="I158" s="2250"/>
      <c r="J158" s="2250"/>
      <c r="K158" s="2251"/>
      <c r="L158" s="2671" t="s">
        <v>3609</v>
      </c>
      <c r="M158" s="2672"/>
      <c r="N158" s="2672"/>
      <c r="O158" s="2672"/>
      <c r="P158" s="2672"/>
      <c r="Q158" s="2672"/>
      <c r="R158" s="2672"/>
      <c r="S158" s="2673"/>
      <c r="T158" s="2255" t="s">
        <v>3613</v>
      </c>
      <c r="U158" s="2250"/>
      <c r="V158" s="2250"/>
      <c r="W158" s="2250"/>
      <c r="X158" s="2250"/>
      <c r="Y158" s="2250"/>
      <c r="Z158" s="2250"/>
      <c r="AA158" s="2250"/>
      <c r="AB158" s="2652" t="s">
        <v>3655</v>
      </c>
      <c r="AC158" s="2652"/>
      <c r="AD158" s="2652"/>
      <c r="AE158" s="2652"/>
      <c r="AF158" s="1351"/>
      <c r="AG158" s="1351"/>
      <c r="AH158" s="1351"/>
      <c r="AI158" s="1351"/>
      <c r="AJ158" s="1351"/>
      <c r="AK158" s="1351"/>
      <c r="AL158" s="1351"/>
      <c r="AM158" s="1351"/>
      <c r="AN158" s="1351"/>
      <c r="AO158" s="1351"/>
      <c r="AP158" s="1289"/>
    </row>
    <row r="159" spans="1:51">
      <c r="A159" s="1289"/>
      <c r="B159" s="1289"/>
      <c r="C159" s="1289"/>
      <c r="D159" s="1289"/>
      <c r="E159" s="1289"/>
      <c r="F159" s="2249" t="s">
        <v>3582</v>
      </c>
      <c r="G159" s="2250"/>
      <c r="H159" s="2250"/>
      <c r="I159" s="2250"/>
      <c r="J159" s="2250"/>
      <c r="K159" s="2251"/>
      <c r="L159" s="2244" t="s">
        <v>3654</v>
      </c>
      <c r="M159" s="2245"/>
      <c r="N159" s="2245"/>
      <c r="O159" s="2245"/>
      <c r="P159" s="2245"/>
      <c r="Q159" s="2245"/>
      <c r="R159" s="2245"/>
      <c r="S159" s="2246"/>
      <c r="T159" s="2255" t="s">
        <v>3580</v>
      </c>
      <c r="U159" s="2250"/>
      <c r="V159" s="2250"/>
      <c r="W159" s="2250"/>
      <c r="X159" s="2250"/>
      <c r="Y159" s="2250"/>
      <c r="Z159" s="2250"/>
      <c r="AA159" s="2250"/>
      <c r="AB159" s="2652" t="s">
        <v>3682</v>
      </c>
      <c r="AC159" s="2652"/>
      <c r="AD159" s="2652"/>
      <c r="AE159" s="2652"/>
      <c r="AF159" s="1351"/>
      <c r="AG159" s="1351"/>
      <c r="AH159" s="1351"/>
      <c r="AI159" s="1351"/>
      <c r="AJ159" s="1351"/>
      <c r="AK159" s="1351"/>
      <c r="AL159" s="1351"/>
      <c r="AM159" s="1351"/>
      <c r="AN159" s="1351"/>
      <c r="AO159" s="1351"/>
      <c r="AP159" s="1289"/>
    </row>
    <row r="160" spans="1:51">
      <c r="A160" s="1289"/>
      <c r="B160" s="1289"/>
      <c r="C160" s="1289"/>
      <c r="D160" s="1289"/>
      <c r="E160" s="1289"/>
      <c r="F160" s="2249" t="s">
        <v>3608</v>
      </c>
      <c r="G160" s="2250"/>
      <c r="H160" s="2250"/>
      <c r="I160" s="2250"/>
      <c r="J160" s="2250"/>
      <c r="K160" s="2251"/>
      <c r="L160" s="2244" t="s">
        <v>3583</v>
      </c>
      <c r="M160" s="2245"/>
      <c r="N160" s="2245"/>
      <c r="O160" s="2245"/>
      <c r="P160" s="2245"/>
      <c r="Q160" s="2245"/>
      <c r="R160" s="2245"/>
      <c r="S160" s="2246"/>
      <c r="T160" s="2255" t="s">
        <v>3656</v>
      </c>
      <c r="U160" s="2250"/>
      <c r="V160" s="2250"/>
      <c r="W160" s="2250"/>
      <c r="X160" s="2250"/>
      <c r="Y160" s="2250"/>
      <c r="Z160" s="2250"/>
      <c r="AA160" s="2250"/>
      <c r="AB160" s="2652" t="s">
        <v>3682</v>
      </c>
      <c r="AC160" s="2652"/>
      <c r="AD160" s="2652"/>
      <c r="AE160" s="2652"/>
      <c r="AF160" s="1351"/>
      <c r="AG160" s="1351"/>
      <c r="AH160" s="1351"/>
      <c r="AI160" s="1351"/>
      <c r="AJ160" s="1351"/>
      <c r="AK160" s="1351"/>
      <c r="AL160" s="1351"/>
      <c r="AM160" s="1351"/>
      <c r="AN160" s="1351"/>
      <c r="AO160" s="1351"/>
      <c r="AP160" s="1289"/>
    </row>
    <row r="161" spans="1:42">
      <c r="A161" s="1289"/>
      <c r="B161" s="1289"/>
      <c r="C161" s="1289"/>
      <c r="D161" s="1289"/>
      <c r="E161" s="1289"/>
      <c r="F161" s="2249" t="s">
        <v>3608</v>
      </c>
      <c r="G161" s="2250"/>
      <c r="H161" s="2250"/>
      <c r="I161" s="2250"/>
      <c r="J161" s="2250"/>
      <c r="K161" s="2251"/>
      <c r="L161" s="2244" t="s">
        <v>3657</v>
      </c>
      <c r="M161" s="2245"/>
      <c r="N161" s="2245"/>
      <c r="O161" s="2245"/>
      <c r="P161" s="2245"/>
      <c r="Q161" s="2245"/>
      <c r="R161" s="2245"/>
      <c r="S161" s="2246"/>
      <c r="T161" s="2255" t="s">
        <v>3580</v>
      </c>
      <c r="U161" s="2250"/>
      <c r="V161" s="2250"/>
      <c r="W161" s="2250"/>
      <c r="X161" s="2250"/>
      <c r="Y161" s="2250"/>
      <c r="Z161" s="2250"/>
      <c r="AA161" s="2250"/>
      <c r="AB161" s="2652" t="s">
        <v>3658</v>
      </c>
      <c r="AC161" s="2652"/>
      <c r="AD161" s="2652"/>
      <c r="AE161" s="2652"/>
      <c r="AF161" s="1351"/>
      <c r="AG161" s="1351"/>
      <c r="AH161" s="1351"/>
      <c r="AI161" s="1351"/>
      <c r="AJ161" s="1351"/>
      <c r="AK161" s="1351"/>
      <c r="AL161" s="1351"/>
      <c r="AM161" s="1351"/>
      <c r="AN161" s="1351"/>
      <c r="AO161" s="1351"/>
      <c r="AP161" s="1289"/>
    </row>
    <row r="162" spans="1:42">
      <c r="A162" s="1289"/>
      <c r="B162" s="1289"/>
      <c r="C162" s="1289"/>
      <c r="D162" s="1289"/>
      <c r="E162" s="1289"/>
      <c r="F162" s="2249" t="s">
        <v>3615</v>
      </c>
      <c r="G162" s="2250"/>
      <c r="H162" s="2250"/>
      <c r="I162" s="2250"/>
      <c r="J162" s="2250"/>
      <c r="K162" s="2251"/>
      <c r="L162" s="2244" t="s">
        <v>3583</v>
      </c>
      <c r="M162" s="2245"/>
      <c r="N162" s="2245"/>
      <c r="O162" s="2245"/>
      <c r="P162" s="2245"/>
      <c r="Q162" s="2245"/>
      <c r="R162" s="2245"/>
      <c r="S162" s="2246"/>
      <c r="T162" s="2255" t="s">
        <v>3617</v>
      </c>
      <c r="U162" s="2250"/>
      <c r="V162" s="2250"/>
      <c r="W162" s="2250"/>
      <c r="X162" s="2250"/>
      <c r="Y162" s="2250"/>
      <c r="Z162" s="2250"/>
      <c r="AA162" s="2250"/>
      <c r="AB162" s="2652" t="s">
        <v>3658</v>
      </c>
      <c r="AC162" s="2652"/>
      <c r="AD162" s="2652"/>
      <c r="AE162" s="2652"/>
      <c r="AF162" s="1351"/>
      <c r="AG162" s="1351"/>
      <c r="AH162" s="1351"/>
      <c r="AI162" s="1351"/>
      <c r="AJ162" s="1351"/>
      <c r="AK162" s="1351"/>
      <c r="AL162" s="1351"/>
      <c r="AM162" s="1351"/>
      <c r="AN162" s="1351"/>
      <c r="AO162" s="1351"/>
      <c r="AP162" s="1289"/>
    </row>
    <row r="163" spans="1:42">
      <c r="A163" s="1289"/>
      <c r="B163" s="1289"/>
      <c r="C163" s="1289"/>
      <c r="D163" s="1289"/>
      <c r="E163" s="1289"/>
      <c r="F163" s="2249" t="s">
        <v>3615</v>
      </c>
      <c r="G163" s="2250"/>
      <c r="H163" s="2250"/>
      <c r="I163" s="2250"/>
      <c r="J163" s="2250"/>
      <c r="K163" s="2251"/>
      <c r="L163" s="2244" t="s">
        <v>3616</v>
      </c>
      <c r="M163" s="2245"/>
      <c r="N163" s="2245"/>
      <c r="O163" s="2245"/>
      <c r="P163" s="2245"/>
      <c r="Q163" s="2245"/>
      <c r="R163" s="2245"/>
      <c r="S163" s="2246"/>
      <c r="T163" s="2255" t="s">
        <v>3580</v>
      </c>
      <c r="U163" s="2250"/>
      <c r="V163" s="2250"/>
      <c r="W163" s="2250"/>
      <c r="X163" s="2250"/>
      <c r="Y163" s="2250"/>
      <c r="Z163" s="2250"/>
      <c r="AA163" s="2250"/>
      <c r="AB163" s="2652" t="s">
        <v>3659</v>
      </c>
      <c r="AC163" s="2652"/>
      <c r="AD163" s="2652"/>
      <c r="AE163" s="2652"/>
      <c r="AF163" s="1351"/>
      <c r="AG163" s="1351"/>
      <c r="AH163" s="1351"/>
      <c r="AI163" s="1351"/>
      <c r="AJ163" s="1351"/>
      <c r="AK163" s="1351"/>
      <c r="AL163" s="1351"/>
      <c r="AM163" s="1351"/>
      <c r="AN163" s="1351"/>
      <c r="AO163" s="1351"/>
      <c r="AP163" s="1289"/>
    </row>
    <row r="164" spans="1:42">
      <c r="A164" s="1289"/>
      <c r="B164" s="1289"/>
      <c r="C164" s="1289"/>
      <c r="D164" s="1289"/>
      <c r="E164" s="1289"/>
      <c r="F164" s="2249" t="s">
        <v>3618</v>
      </c>
      <c r="G164" s="2250"/>
      <c r="H164" s="2250"/>
      <c r="I164" s="2250"/>
      <c r="J164" s="2250"/>
      <c r="K164" s="2251"/>
      <c r="L164" s="2244" t="s">
        <v>3583</v>
      </c>
      <c r="M164" s="2245"/>
      <c r="N164" s="2245"/>
      <c r="O164" s="2245"/>
      <c r="P164" s="2245"/>
      <c r="Q164" s="2245"/>
      <c r="R164" s="2245"/>
      <c r="S164" s="2246"/>
      <c r="T164" s="2255" t="s">
        <v>3660</v>
      </c>
      <c r="U164" s="2250"/>
      <c r="V164" s="2250"/>
      <c r="W164" s="2250"/>
      <c r="X164" s="2250"/>
      <c r="Y164" s="2250"/>
      <c r="Z164" s="2250"/>
      <c r="AA164" s="2250"/>
      <c r="AB164" s="2652" t="s">
        <v>3659</v>
      </c>
      <c r="AC164" s="2652"/>
      <c r="AD164" s="2652"/>
      <c r="AE164" s="2652"/>
      <c r="AF164" s="1351"/>
      <c r="AG164" s="1351"/>
      <c r="AH164" s="1351"/>
      <c r="AI164" s="1351"/>
      <c r="AJ164" s="1351"/>
      <c r="AK164" s="1351"/>
      <c r="AL164" s="1351"/>
      <c r="AM164" s="1351"/>
      <c r="AN164" s="1351"/>
      <c r="AO164" s="1351"/>
      <c r="AP164" s="1289"/>
    </row>
    <row r="165" spans="1:42">
      <c r="A165" s="1289"/>
      <c r="B165" s="1289"/>
      <c r="C165" s="1289"/>
      <c r="D165" s="1289"/>
      <c r="E165" s="1289"/>
      <c r="F165" s="2249" t="s">
        <v>3618</v>
      </c>
      <c r="G165" s="2250"/>
      <c r="H165" s="2250"/>
      <c r="I165" s="2250"/>
      <c r="J165" s="2250"/>
      <c r="K165" s="2251"/>
      <c r="L165" s="2244" t="s">
        <v>3661</v>
      </c>
      <c r="M165" s="2245"/>
      <c r="N165" s="2245"/>
      <c r="O165" s="2245"/>
      <c r="P165" s="2245"/>
      <c r="Q165" s="2245"/>
      <c r="R165" s="2245"/>
      <c r="S165" s="2246"/>
      <c r="T165" s="2255" t="s">
        <v>3580</v>
      </c>
      <c r="U165" s="2250"/>
      <c r="V165" s="2250"/>
      <c r="W165" s="2250"/>
      <c r="X165" s="2250"/>
      <c r="Y165" s="2250"/>
      <c r="Z165" s="2250"/>
      <c r="AA165" s="2250"/>
      <c r="AB165" s="2652" t="s">
        <v>3662</v>
      </c>
      <c r="AC165" s="2652"/>
      <c r="AD165" s="2652"/>
      <c r="AE165" s="2652"/>
      <c r="AF165" s="1351"/>
      <c r="AG165" s="1351"/>
      <c r="AH165" s="1351"/>
      <c r="AI165" s="1351"/>
      <c r="AJ165" s="1351"/>
      <c r="AK165" s="1351"/>
      <c r="AL165" s="1351"/>
      <c r="AM165" s="1351"/>
      <c r="AN165" s="1351"/>
      <c r="AO165" s="1351"/>
      <c r="AP165" s="1289"/>
    </row>
    <row r="166" spans="1:42">
      <c r="A166" s="1289"/>
      <c r="B166" s="1289"/>
      <c r="C166" s="1289"/>
      <c r="D166" s="1289"/>
      <c r="E166" s="1289"/>
      <c r="F166" s="2249" t="s">
        <v>3619</v>
      </c>
      <c r="G166" s="2250"/>
      <c r="H166" s="2250"/>
      <c r="I166" s="2250"/>
      <c r="J166" s="2250"/>
      <c r="K166" s="2251"/>
      <c r="L166" s="2244" t="s">
        <v>3583</v>
      </c>
      <c r="M166" s="2245"/>
      <c r="N166" s="2245"/>
      <c r="O166" s="2245"/>
      <c r="P166" s="2245"/>
      <c r="Q166" s="2245"/>
      <c r="R166" s="2245"/>
      <c r="S166" s="2246"/>
      <c r="T166" s="2255" t="s">
        <v>3620</v>
      </c>
      <c r="U166" s="2250"/>
      <c r="V166" s="2250"/>
      <c r="W166" s="2250"/>
      <c r="X166" s="2250"/>
      <c r="Y166" s="2250"/>
      <c r="Z166" s="2250"/>
      <c r="AA166" s="2250"/>
      <c r="AB166" s="2652" t="s">
        <v>3662</v>
      </c>
      <c r="AC166" s="2652"/>
      <c r="AD166" s="2652"/>
      <c r="AE166" s="2652"/>
      <c r="AF166" s="1351"/>
      <c r="AG166" s="1351"/>
      <c r="AH166" s="1351"/>
      <c r="AI166" s="1351"/>
      <c r="AJ166" s="1351"/>
      <c r="AK166" s="1351"/>
      <c r="AL166" s="1351"/>
      <c r="AM166" s="1351"/>
      <c r="AN166" s="1351"/>
      <c r="AO166" s="1351"/>
      <c r="AP166" s="1289"/>
    </row>
    <row r="167" spans="1:42">
      <c r="A167" s="1289"/>
      <c r="B167" s="1289"/>
      <c r="C167" s="1289"/>
      <c r="D167" s="1289"/>
      <c r="E167" s="1289"/>
      <c r="F167" s="2249" t="s">
        <v>3619</v>
      </c>
      <c r="G167" s="2250"/>
      <c r="H167" s="2250"/>
      <c r="I167" s="2250"/>
      <c r="J167" s="2250"/>
      <c r="K167" s="2251"/>
      <c r="L167" s="2244" t="s">
        <v>3620</v>
      </c>
      <c r="M167" s="2245"/>
      <c r="N167" s="2245"/>
      <c r="O167" s="2245"/>
      <c r="P167" s="2245"/>
      <c r="Q167" s="2245"/>
      <c r="R167" s="2245"/>
      <c r="S167" s="2246"/>
      <c r="T167" s="2255" t="s">
        <v>3580</v>
      </c>
      <c r="U167" s="2250"/>
      <c r="V167" s="2250"/>
      <c r="W167" s="2250"/>
      <c r="X167" s="2250"/>
      <c r="Y167" s="2250"/>
      <c r="Z167" s="2250"/>
      <c r="AA167" s="2250"/>
      <c r="AB167" s="2652" t="s">
        <v>3663</v>
      </c>
      <c r="AC167" s="2652"/>
      <c r="AD167" s="2652"/>
      <c r="AE167" s="2652"/>
      <c r="AF167" s="1351"/>
      <c r="AG167" s="1351"/>
      <c r="AH167" s="1351"/>
      <c r="AI167" s="1351"/>
      <c r="AJ167" s="1351"/>
      <c r="AK167" s="1351"/>
      <c r="AL167" s="1351"/>
      <c r="AM167" s="1351"/>
      <c r="AN167" s="1351"/>
      <c r="AO167" s="1351"/>
      <c r="AP167" s="1289"/>
    </row>
    <row r="168" spans="1:42">
      <c r="A168" s="1289"/>
      <c r="B168" s="1289"/>
      <c r="C168" s="1289"/>
      <c r="D168" s="1289"/>
      <c r="E168" s="1289"/>
      <c r="F168" s="2249" t="s">
        <v>3621</v>
      </c>
      <c r="G168" s="2250"/>
      <c r="H168" s="2250"/>
      <c r="I168" s="2250"/>
      <c r="J168" s="2250"/>
      <c r="K168" s="2251"/>
      <c r="L168" s="2244" t="s">
        <v>3583</v>
      </c>
      <c r="M168" s="2245"/>
      <c r="N168" s="2245"/>
      <c r="O168" s="2245"/>
      <c r="P168" s="2245"/>
      <c r="Q168" s="2245"/>
      <c r="R168" s="2245"/>
      <c r="S168" s="2246"/>
      <c r="T168" s="2255" t="s">
        <v>3664</v>
      </c>
      <c r="U168" s="2250"/>
      <c r="V168" s="2250"/>
      <c r="W168" s="2250"/>
      <c r="X168" s="2250"/>
      <c r="Y168" s="2250"/>
      <c r="Z168" s="2250"/>
      <c r="AA168" s="2250"/>
      <c r="AB168" s="2652" t="s">
        <v>3663</v>
      </c>
      <c r="AC168" s="2652"/>
      <c r="AD168" s="2652"/>
      <c r="AE168" s="2652"/>
      <c r="AF168" s="1351"/>
      <c r="AG168" s="1351"/>
      <c r="AH168" s="1351"/>
      <c r="AI168" s="1351"/>
      <c r="AJ168" s="1351"/>
      <c r="AK168" s="1351"/>
      <c r="AL168" s="1351"/>
      <c r="AM168" s="1351"/>
      <c r="AN168" s="1351"/>
      <c r="AO168" s="1351"/>
      <c r="AP168" s="1289"/>
    </row>
    <row r="169" spans="1:42">
      <c r="A169" s="1289"/>
      <c r="B169" s="1289"/>
      <c r="C169" s="1289"/>
      <c r="D169" s="1289"/>
      <c r="E169" s="1289"/>
      <c r="F169" s="2249" t="s">
        <v>3621</v>
      </c>
      <c r="G169" s="2250"/>
      <c r="H169" s="2250"/>
      <c r="I169" s="2250"/>
      <c r="J169" s="2250"/>
      <c r="K169" s="2251"/>
      <c r="L169" s="2244" t="s">
        <v>3665</v>
      </c>
      <c r="M169" s="2245"/>
      <c r="N169" s="2245"/>
      <c r="O169" s="2245"/>
      <c r="P169" s="2245"/>
      <c r="Q169" s="2245"/>
      <c r="R169" s="2245"/>
      <c r="S169" s="2246"/>
      <c r="T169" s="2255" t="s">
        <v>3580</v>
      </c>
      <c r="U169" s="2250"/>
      <c r="V169" s="2250"/>
      <c r="W169" s="2250"/>
      <c r="X169" s="2250"/>
      <c r="Y169" s="2250"/>
      <c r="Z169" s="2250"/>
      <c r="AA169" s="2250"/>
      <c r="AB169" s="2652" t="s">
        <v>3666</v>
      </c>
      <c r="AC169" s="2652"/>
      <c r="AD169" s="2652"/>
      <c r="AE169" s="2652"/>
      <c r="AF169" s="1351"/>
      <c r="AG169" s="1351"/>
      <c r="AH169" s="1351"/>
      <c r="AI169" s="1351"/>
      <c r="AJ169" s="1351"/>
      <c r="AK169" s="1351"/>
      <c r="AL169" s="1351"/>
      <c r="AM169" s="1351"/>
      <c r="AN169" s="1351"/>
      <c r="AO169" s="1351"/>
      <c r="AP169" s="1289"/>
    </row>
    <row r="170" spans="1:42">
      <c r="A170" s="1289"/>
      <c r="B170" s="1289"/>
      <c r="C170" s="1289"/>
      <c r="D170" s="1289"/>
      <c r="E170" s="1289"/>
      <c r="F170" s="2249" t="s">
        <v>3641</v>
      </c>
      <c r="G170" s="2250"/>
      <c r="H170" s="2250"/>
      <c r="I170" s="2250"/>
      <c r="J170" s="2250"/>
      <c r="K170" s="2251"/>
      <c r="L170" s="2244" t="s">
        <v>3583</v>
      </c>
      <c r="M170" s="2245"/>
      <c r="N170" s="2245"/>
      <c r="O170" s="2245"/>
      <c r="P170" s="2245"/>
      <c r="Q170" s="2245"/>
      <c r="R170" s="2245"/>
      <c r="S170" s="2246"/>
      <c r="T170" s="2255" t="s">
        <v>3611</v>
      </c>
      <c r="U170" s="2250"/>
      <c r="V170" s="2250"/>
      <c r="W170" s="2250"/>
      <c r="X170" s="2250"/>
      <c r="Y170" s="2250"/>
      <c r="Z170" s="2250"/>
      <c r="AA170" s="2250"/>
      <c r="AB170" s="2652" t="s">
        <v>3666</v>
      </c>
      <c r="AC170" s="2652"/>
      <c r="AD170" s="2652"/>
      <c r="AE170" s="2652"/>
      <c r="AF170" s="1351"/>
      <c r="AG170" s="1351"/>
      <c r="AH170" s="1351"/>
      <c r="AI170" s="1351"/>
      <c r="AJ170" s="1351"/>
      <c r="AK170" s="1351"/>
      <c r="AL170" s="1351"/>
      <c r="AM170" s="1351"/>
      <c r="AN170" s="1351"/>
      <c r="AO170" s="1351"/>
      <c r="AP170" s="1289"/>
    </row>
    <row r="171" spans="1:42">
      <c r="A171" s="1289"/>
      <c r="B171" s="1289"/>
      <c r="C171" s="1289"/>
      <c r="D171" s="1289"/>
      <c r="E171" s="1289"/>
      <c r="F171" s="2249" t="s">
        <v>3641</v>
      </c>
      <c r="G171" s="2250"/>
      <c r="H171" s="2250"/>
      <c r="I171" s="2250"/>
      <c r="J171" s="2250"/>
      <c r="K171" s="2251"/>
      <c r="L171" s="2244" t="s">
        <v>3609</v>
      </c>
      <c r="M171" s="2245"/>
      <c r="N171" s="2245"/>
      <c r="O171" s="2245"/>
      <c r="P171" s="2245"/>
      <c r="Q171" s="2245"/>
      <c r="R171" s="2245"/>
      <c r="S171" s="2246"/>
      <c r="T171" s="2255" t="s">
        <v>3667</v>
      </c>
      <c r="U171" s="2250"/>
      <c r="V171" s="2250"/>
      <c r="W171" s="2250"/>
      <c r="X171" s="2250"/>
      <c r="Y171" s="2250"/>
      <c r="Z171" s="2250"/>
      <c r="AA171" s="2250"/>
      <c r="AB171" s="2652" t="s">
        <v>3668</v>
      </c>
      <c r="AC171" s="2652"/>
      <c r="AD171" s="2652"/>
      <c r="AE171" s="2652"/>
      <c r="AF171" s="1351"/>
      <c r="AG171" s="1351"/>
      <c r="AH171" s="1351"/>
      <c r="AI171" s="1351"/>
      <c r="AJ171" s="1351"/>
      <c r="AK171" s="1351"/>
      <c r="AL171" s="1351"/>
      <c r="AM171" s="1351"/>
      <c r="AN171" s="1351"/>
      <c r="AO171" s="1351"/>
      <c r="AP171" s="1289"/>
    </row>
    <row r="172" spans="1:42">
      <c r="A172" s="1289"/>
      <c r="B172" s="1289"/>
      <c r="C172" s="1289"/>
      <c r="D172" s="1289"/>
      <c r="E172" s="1289"/>
      <c r="F172" s="2249" t="s">
        <v>3641</v>
      </c>
      <c r="G172" s="2250"/>
      <c r="H172" s="2250"/>
      <c r="I172" s="2250"/>
      <c r="J172" s="2250"/>
      <c r="K172" s="2251"/>
      <c r="L172" s="2244" t="s">
        <v>3647</v>
      </c>
      <c r="M172" s="2245"/>
      <c r="N172" s="2245"/>
      <c r="O172" s="2245"/>
      <c r="P172" s="2245"/>
      <c r="Q172" s="2245"/>
      <c r="R172" s="2245"/>
      <c r="S172" s="2246"/>
      <c r="T172" s="2255" t="s">
        <v>3580</v>
      </c>
      <c r="U172" s="2250"/>
      <c r="V172" s="2250"/>
      <c r="W172" s="2250"/>
      <c r="X172" s="2250"/>
      <c r="Y172" s="2250"/>
      <c r="Z172" s="2250"/>
      <c r="AA172" s="2250"/>
      <c r="AB172" s="2652" t="s">
        <v>3669</v>
      </c>
      <c r="AC172" s="2652"/>
      <c r="AD172" s="2652"/>
      <c r="AE172" s="2652"/>
      <c r="AF172" s="1351"/>
      <c r="AG172" s="1351"/>
      <c r="AH172" s="1351"/>
      <c r="AI172" s="1351"/>
      <c r="AJ172" s="1351"/>
      <c r="AK172" s="1351"/>
      <c r="AL172" s="1351"/>
      <c r="AM172" s="1351"/>
      <c r="AN172" s="1351"/>
      <c r="AO172" s="1351"/>
      <c r="AP172" s="1289"/>
    </row>
    <row r="173" spans="1:42" s="1356" customFormat="1">
      <c r="A173" s="1364"/>
      <c r="B173" s="1364"/>
      <c r="C173" s="1364"/>
      <c r="D173" s="1364"/>
      <c r="E173" s="1364"/>
      <c r="F173" s="2241" t="s">
        <v>3646</v>
      </c>
      <c r="G173" s="2242"/>
      <c r="H173" s="2242"/>
      <c r="I173" s="2242"/>
      <c r="J173" s="2242"/>
      <c r="K173" s="2243"/>
      <c r="L173" s="2244" t="s">
        <v>3583</v>
      </c>
      <c r="M173" s="2245"/>
      <c r="N173" s="2245"/>
      <c r="O173" s="2245"/>
      <c r="P173" s="2245"/>
      <c r="Q173" s="2245"/>
      <c r="R173" s="2245"/>
      <c r="S173" s="2246"/>
      <c r="T173" s="2247" t="s">
        <v>3670</v>
      </c>
      <c r="U173" s="2242"/>
      <c r="V173" s="2242"/>
      <c r="W173" s="2242"/>
      <c r="X173" s="2242"/>
      <c r="Y173" s="2242"/>
      <c r="Z173" s="2242"/>
      <c r="AA173" s="2242"/>
      <c r="AB173" s="2248" t="s">
        <v>3669</v>
      </c>
      <c r="AC173" s="2248"/>
      <c r="AD173" s="2248"/>
      <c r="AE173" s="2248"/>
      <c r="AF173" s="1365"/>
      <c r="AG173" s="1365"/>
      <c r="AH173" s="1365"/>
      <c r="AI173" s="1365"/>
      <c r="AJ173" s="1365"/>
      <c r="AK173" s="1365"/>
      <c r="AL173" s="1365"/>
      <c r="AM173" s="1365"/>
      <c r="AN173" s="1365"/>
      <c r="AO173" s="1365"/>
      <c r="AP173" s="1364"/>
    </row>
    <row r="174" spans="1:42">
      <c r="A174" s="1289"/>
      <c r="B174" s="1289"/>
      <c r="C174" s="1289"/>
      <c r="D174" s="1289"/>
      <c r="E174" s="1289"/>
      <c r="F174" s="2249" t="s">
        <v>3646</v>
      </c>
      <c r="G174" s="2250"/>
      <c r="H174" s="2250"/>
      <c r="I174" s="2250"/>
      <c r="J174" s="2250"/>
      <c r="K174" s="2251"/>
      <c r="L174" s="2244" t="s">
        <v>3671</v>
      </c>
      <c r="M174" s="2245"/>
      <c r="N174" s="2245"/>
      <c r="O174" s="2245"/>
      <c r="P174" s="2245"/>
      <c r="Q174" s="2245"/>
      <c r="R174" s="2245"/>
      <c r="S174" s="2246"/>
      <c r="T174" s="2255" t="s">
        <v>3580</v>
      </c>
      <c r="U174" s="2250"/>
      <c r="V174" s="2250"/>
      <c r="W174" s="2250"/>
      <c r="X174" s="2250"/>
      <c r="Y174" s="2250"/>
      <c r="Z174" s="2250"/>
      <c r="AA174" s="2250"/>
      <c r="AB174" s="2652" t="s">
        <v>3672</v>
      </c>
      <c r="AC174" s="2652"/>
      <c r="AD174" s="2652"/>
      <c r="AE174" s="2652"/>
      <c r="AF174" s="1351"/>
      <c r="AG174" s="1351"/>
      <c r="AH174" s="1351"/>
      <c r="AI174" s="1351"/>
      <c r="AJ174" s="1351"/>
      <c r="AK174" s="1351"/>
      <c r="AL174" s="1351"/>
      <c r="AM174" s="1351"/>
      <c r="AN174" s="1351"/>
      <c r="AO174" s="1351"/>
      <c r="AP174" s="1289"/>
    </row>
    <row r="175" spans="1:42" s="1356" customFormat="1">
      <c r="A175" s="1364"/>
      <c r="B175" s="1364"/>
      <c r="C175" s="1364"/>
      <c r="D175" s="1364"/>
      <c r="E175" s="1364"/>
      <c r="F175" s="2241" t="s">
        <v>3673</v>
      </c>
      <c r="G175" s="2242"/>
      <c r="H175" s="2242"/>
      <c r="I175" s="2242"/>
      <c r="J175" s="2242"/>
      <c r="K175" s="2243"/>
      <c r="L175" s="2244" t="s">
        <v>3583</v>
      </c>
      <c r="M175" s="2245"/>
      <c r="N175" s="2245"/>
      <c r="O175" s="2245"/>
      <c r="P175" s="2245"/>
      <c r="Q175" s="2245"/>
      <c r="R175" s="2245"/>
      <c r="S175" s="2246"/>
      <c r="T175" s="2247" t="s">
        <v>3649</v>
      </c>
      <c r="U175" s="2242"/>
      <c r="V175" s="2242"/>
      <c r="W175" s="2242"/>
      <c r="X175" s="2242"/>
      <c r="Y175" s="2242"/>
      <c r="Z175" s="2242"/>
      <c r="AA175" s="2242"/>
      <c r="AB175" s="2248" t="s">
        <v>3672</v>
      </c>
      <c r="AC175" s="2248"/>
      <c r="AD175" s="2248"/>
      <c r="AE175" s="2248"/>
      <c r="AF175" s="1365"/>
      <c r="AG175" s="1365"/>
      <c r="AH175" s="1365"/>
      <c r="AI175" s="1365"/>
      <c r="AJ175" s="1365"/>
      <c r="AK175" s="1365"/>
      <c r="AL175" s="1365"/>
      <c r="AM175" s="1365"/>
      <c r="AN175" s="1365"/>
      <c r="AO175" s="1365"/>
      <c r="AP175" s="1364"/>
    </row>
    <row r="176" spans="1:42">
      <c r="A176" s="1289"/>
      <c r="B176" s="1289"/>
      <c r="C176" s="1289"/>
      <c r="D176" s="1289"/>
      <c r="E176" s="1289"/>
      <c r="F176" s="2249" t="s">
        <v>3673</v>
      </c>
      <c r="G176" s="2250"/>
      <c r="H176" s="2250"/>
      <c r="I176" s="2250"/>
      <c r="J176" s="2250"/>
      <c r="K176" s="2251"/>
      <c r="L176" s="2244" t="s">
        <v>3674</v>
      </c>
      <c r="M176" s="2245"/>
      <c r="N176" s="2245"/>
      <c r="O176" s="2245"/>
      <c r="P176" s="2245"/>
      <c r="Q176" s="2245"/>
      <c r="R176" s="2245"/>
      <c r="S176" s="2246"/>
      <c r="T176" s="2255" t="s">
        <v>3675</v>
      </c>
      <c r="U176" s="2250"/>
      <c r="V176" s="2250"/>
      <c r="W176" s="2250"/>
      <c r="X176" s="2250"/>
      <c r="Y176" s="2250"/>
      <c r="Z176" s="2250"/>
      <c r="AA176" s="2250"/>
      <c r="AB176" s="2652" t="s">
        <v>3676</v>
      </c>
      <c r="AC176" s="2652"/>
      <c r="AD176" s="2652"/>
      <c r="AE176" s="2652"/>
      <c r="AF176" s="1351"/>
      <c r="AG176" s="1351"/>
      <c r="AH176" s="1351"/>
      <c r="AI176" s="1351"/>
      <c r="AJ176" s="1351"/>
      <c r="AK176" s="1351"/>
      <c r="AL176" s="1351"/>
      <c r="AM176" s="1351"/>
      <c r="AN176" s="1351"/>
      <c r="AO176" s="1351"/>
      <c r="AP176" s="1289"/>
    </row>
    <row r="177" spans="1:43">
      <c r="A177" s="1289"/>
      <c r="B177" s="1289"/>
      <c r="C177" s="1289"/>
      <c r="D177" s="1289"/>
      <c r="E177" s="1289"/>
      <c r="F177" s="2241" t="s">
        <v>3673</v>
      </c>
      <c r="G177" s="2242"/>
      <c r="H177" s="2242"/>
      <c r="I177" s="2242"/>
      <c r="J177" s="2242"/>
      <c r="K177" s="2243"/>
      <c r="L177" s="2244" t="s">
        <v>3678</v>
      </c>
      <c r="M177" s="2245"/>
      <c r="N177" s="2245"/>
      <c r="O177" s="2245"/>
      <c r="P177" s="2245"/>
      <c r="Q177" s="2245"/>
      <c r="R177" s="2245"/>
      <c r="S177" s="2246"/>
      <c r="T177" s="2247" t="s">
        <v>3580</v>
      </c>
      <c r="U177" s="2242"/>
      <c r="V177" s="2242"/>
      <c r="W177" s="2242"/>
      <c r="X177" s="2242"/>
      <c r="Y177" s="2242"/>
      <c r="Z177" s="2242"/>
      <c r="AA177" s="2242"/>
      <c r="AB177" s="2248" t="s">
        <v>3684</v>
      </c>
      <c r="AC177" s="2248"/>
      <c r="AD177" s="2248"/>
      <c r="AE177" s="2248"/>
      <c r="AF177" s="1351"/>
      <c r="AG177" s="1351"/>
      <c r="AH177" s="1351"/>
      <c r="AI177" s="1351"/>
      <c r="AJ177" s="1351"/>
      <c r="AK177" s="1351"/>
      <c r="AL177" s="1351"/>
      <c r="AM177" s="1351"/>
      <c r="AN177" s="1351"/>
      <c r="AO177" s="1351"/>
      <c r="AP177" s="1289"/>
    </row>
    <row r="178" spans="1:43">
      <c r="A178" s="1289"/>
      <c r="B178" s="1289"/>
      <c r="C178" s="1289"/>
      <c r="D178" s="1289"/>
      <c r="E178" s="1289"/>
      <c r="F178" s="2241" t="s">
        <v>3685</v>
      </c>
      <c r="G178" s="2242"/>
      <c r="H178" s="2242"/>
      <c r="I178" s="2242"/>
      <c r="J178" s="2242"/>
      <c r="K178" s="2243"/>
      <c r="L178" s="2244" t="s">
        <v>3583</v>
      </c>
      <c r="M178" s="2245"/>
      <c r="N178" s="2245"/>
      <c r="O178" s="2245"/>
      <c r="P178" s="2245"/>
      <c r="Q178" s="2245"/>
      <c r="R178" s="2245"/>
      <c r="S178" s="2246"/>
      <c r="T178" s="2247" t="s">
        <v>3686</v>
      </c>
      <c r="U178" s="2242"/>
      <c r="V178" s="2242"/>
      <c r="W178" s="2242"/>
      <c r="X178" s="2242"/>
      <c r="Y178" s="2242"/>
      <c r="Z178" s="2242"/>
      <c r="AA178" s="2242"/>
      <c r="AB178" s="2248" t="s">
        <v>3684</v>
      </c>
      <c r="AC178" s="2248"/>
      <c r="AD178" s="2248"/>
      <c r="AE178" s="2248"/>
      <c r="AF178" s="1351"/>
      <c r="AG178" s="1351"/>
      <c r="AH178" s="1351"/>
      <c r="AI178" s="1351"/>
      <c r="AJ178" s="1351"/>
      <c r="AK178" s="1351"/>
      <c r="AL178" s="1351"/>
      <c r="AM178" s="1351"/>
      <c r="AN178" s="1351"/>
      <c r="AO178" s="1351"/>
      <c r="AP178" s="1289"/>
    </row>
    <row r="179" spans="1:43">
      <c r="A179" s="1289"/>
      <c r="B179" s="1289"/>
      <c r="C179" s="1289"/>
      <c r="D179" s="1289"/>
      <c r="E179" s="1289"/>
      <c r="F179" s="2241" t="s">
        <v>3685</v>
      </c>
      <c r="G179" s="2242"/>
      <c r="H179" s="2242"/>
      <c r="I179" s="2242"/>
      <c r="J179" s="2242"/>
      <c r="K179" s="2243"/>
      <c r="L179" s="2244" t="s">
        <v>3687</v>
      </c>
      <c r="M179" s="2245"/>
      <c r="N179" s="2245"/>
      <c r="O179" s="2245"/>
      <c r="P179" s="2245"/>
      <c r="Q179" s="2245"/>
      <c r="R179" s="2245"/>
      <c r="S179" s="2246"/>
      <c r="T179" s="2247" t="s">
        <v>3580</v>
      </c>
      <c r="U179" s="2242"/>
      <c r="V179" s="2242"/>
      <c r="W179" s="2242"/>
      <c r="X179" s="2242"/>
      <c r="Y179" s="2242"/>
      <c r="Z179" s="2242"/>
      <c r="AA179" s="2242"/>
      <c r="AB179" s="2248" t="s">
        <v>3683</v>
      </c>
      <c r="AC179" s="2248"/>
      <c r="AD179" s="2248"/>
      <c r="AE179" s="2248"/>
      <c r="AF179" s="1351"/>
      <c r="AG179" s="1351"/>
      <c r="AH179" s="1351"/>
      <c r="AI179" s="1351"/>
      <c r="AJ179" s="1351"/>
      <c r="AK179" s="1351"/>
      <c r="AL179" s="1351"/>
      <c r="AM179" s="1351"/>
      <c r="AN179" s="1351"/>
      <c r="AO179" s="1351"/>
      <c r="AP179" s="1289"/>
    </row>
    <row r="180" spans="1:43">
      <c r="A180" s="1289"/>
      <c r="B180" s="1289"/>
      <c r="C180" s="1289"/>
      <c r="D180" s="1289"/>
      <c r="E180" s="1289"/>
      <c r="F180" s="2241" t="s">
        <v>3688</v>
      </c>
      <c r="G180" s="2242"/>
      <c r="H180" s="2242"/>
      <c r="I180" s="2242"/>
      <c r="J180" s="2242"/>
      <c r="K180" s="2243"/>
      <c r="L180" s="2244" t="s">
        <v>3583</v>
      </c>
      <c r="M180" s="2245"/>
      <c r="N180" s="2245"/>
      <c r="O180" s="2245"/>
      <c r="P180" s="2245"/>
      <c r="Q180" s="2245"/>
      <c r="R180" s="2245"/>
      <c r="S180" s="2246"/>
      <c r="T180" s="2247" t="s">
        <v>3689</v>
      </c>
      <c r="U180" s="2242"/>
      <c r="V180" s="2242"/>
      <c r="W180" s="2242"/>
      <c r="X180" s="2242"/>
      <c r="Y180" s="2242"/>
      <c r="Z180" s="2242"/>
      <c r="AA180" s="2242"/>
      <c r="AB180" s="2248" t="s">
        <v>3683</v>
      </c>
      <c r="AC180" s="2248"/>
      <c r="AD180" s="2248"/>
      <c r="AE180" s="2248"/>
      <c r="AF180" s="1351"/>
      <c r="AG180" s="1351"/>
      <c r="AH180" s="1351"/>
      <c r="AI180" s="1351"/>
      <c r="AJ180" s="1351"/>
      <c r="AK180" s="1351"/>
      <c r="AL180" s="1351"/>
      <c r="AM180" s="1351"/>
      <c r="AN180" s="1351"/>
      <c r="AO180" s="1351"/>
      <c r="AP180" s="1289"/>
    </row>
    <row r="181" spans="1:43">
      <c r="A181" s="1289"/>
      <c r="B181" s="1289"/>
      <c r="C181" s="1289"/>
      <c r="D181" s="1289"/>
      <c r="E181" s="1289"/>
      <c r="F181" s="2241" t="s">
        <v>3688</v>
      </c>
      <c r="G181" s="2242"/>
      <c r="H181" s="2242"/>
      <c r="I181" s="2242"/>
      <c r="J181" s="2242"/>
      <c r="K181" s="2243"/>
      <c r="L181" s="2244" t="s">
        <v>3699</v>
      </c>
      <c r="M181" s="2245"/>
      <c r="N181" s="2245"/>
      <c r="O181" s="2245"/>
      <c r="P181" s="2245"/>
      <c r="Q181" s="2245"/>
      <c r="R181" s="2245"/>
      <c r="S181" s="2246"/>
      <c r="T181" s="2247" t="s">
        <v>3580</v>
      </c>
      <c r="U181" s="2242"/>
      <c r="V181" s="2242"/>
      <c r="W181" s="2242"/>
      <c r="X181" s="2242"/>
      <c r="Y181" s="2242"/>
      <c r="Z181" s="2242"/>
      <c r="AA181" s="2242"/>
      <c r="AB181" s="2248" t="s">
        <v>3698</v>
      </c>
      <c r="AC181" s="2248"/>
      <c r="AD181" s="2248"/>
      <c r="AE181" s="2248"/>
      <c r="AF181" s="1351"/>
      <c r="AG181" s="1351"/>
      <c r="AH181" s="1351"/>
      <c r="AI181" s="1351"/>
      <c r="AJ181" s="1351"/>
      <c r="AK181" s="1351"/>
      <c r="AL181" s="1351"/>
      <c r="AM181" s="1351"/>
      <c r="AN181" s="1351"/>
      <c r="AO181" s="1351"/>
      <c r="AP181" s="1289"/>
    </row>
    <row r="182" spans="1:43">
      <c r="A182" s="1289"/>
      <c r="B182" s="1289"/>
      <c r="C182" s="1289"/>
      <c r="D182" s="1289"/>
      <c r="E182" s="1289"/>
      <c r="F182" s="2241" t="s">
        <v>3697</v>
      </c>
      <c r="G182" s="2242"/>
      <c r="H182" s="2242"/>
      <c r="I182" s="2242"/>
      <c r="J182" s="2242"/>
      <c r="K182" s="2243"/>
      <c r="L182" s="2244" t="s">
        <v>3583</v>
      </c>
      <c r="M182" s="2245"/>
      <c r="N182" s="2245"/>
      <c r="O182" s="2245"/>
      <c r="P182" s="2245"/>
      <c r="Q182" s="2245"/>
      <c r="R182" s="2245"/>
      <c r="S182" s="2246"/>
      <c r="T182" s="2247" t="s">
        <v>3701</v>
      </c>
      <c r="U182" s="2242"/>
      <c r="V182" s="2242"/>
      <c r="W182" s="2242"/>
      <c r="X182" s="2242"/>
      <c r="Y182" s="2242"/>
      <c r="Z182" s="2242"/>
      <c r="AA182" s="2242"/>
      <c r="AB182" s="2248" t="s">
        <v>3698</v>
      </c>
      <c r="AC182" s="2248"/>
      <c r="AD182" s="2248"/>
      <c r="AE182" s="2248"/>
      <c r="AF182" s="1351"/>
      <c r="AG182" s="1351"/>
      <c r="AH182" s="1351"/>
      <c r="AI182" s="1351"/>
      <c r="AJ182" s="1351"/>
      <c r="AK182" s="1351"/>
      <c r="AL182" s="1351"/>
      <c r="AM182" s="1351"/>
      <c r="AN182" s="1351"/>
      <c r="AO182" s="1351"/>
      <c r="AP182" s="1289"/>
    </row>
    <row r="183" spans="1:43">
      <c r="A183" s="1289"/>
      <c r="B183" s="1289"/>
      <c r="C183" s="1289"/>
      <c r="D183" s="1289"/>
      <c r="E183" s="1289"/>
      <c r="F183" s="2241" t="s">
        <v>3697</v>
      </c>
      <c r="G183" s="2242"/>
      <c r="H183" s="2242"/>
      <c r="I183" s="2242"/>
      <c r="J183" s="2242"/>
      <c r="K183" s="2243"/>
      <c r="L183" s="2244" t="s">
        <v>3614</v>
      </c>
      <c r="M183" s="2245"/>
      <c r="N183" s="2245"/>
      <c r="O183" s="2245"/>
      <c r="P183" s="2245"/>
      <c r="Q183" s="2245"/>
      <c r="R183" s="2245"/>
      <c r="S183" s="2246"/>
      <c r="T183" s="2247" t="s">
        <v>3703</v>
      </c>
      <c r="U183" s="2242"/>
      <c r="V183" s="2242"/>
      <c r="W183" s="2242"/>
      <c r="X183" s="2242"/>
      <c r="Y183" s="2242"/>
      <c r="Z183" s="2242"/>
      <c r="AA183" s="2242"/>
      <c r="AB183" s="2248" t="s">
        <v>3702</v>
      </c>
      <c r="AC183" s="2248"/>
      <c r="AD183" s="2248"/>
      <c r="AE183" s="2248"/>
      <c r="AF183" s="1351"/>
      <c r="AG183" s="1351"/>
      <c r="AH183" s="1351"/>
      <c r="AI183" s="1351"/>
      <c r="AJ183" s="1351"/>
      <c r="AK183" s="1351"/>
      <c r="AL183" s="1351"/>
      <c r="AM183" s="1351"/>
      <c r="AN183" s="1351"/>
      <c r="AO183" s="1351"/>
      <c r="AP183" s="1289"/>
    </row>
    <row r="184" spans="1:43">
      <c r="A184" s="1289"/>
      <c r="B184" s="1289"/>
      <c r="C184" s="1289"/>
      <c r="D184" s="1289"/>
      <c r="E184" s="1289"/>
      <c r="F184" s="2241" t="s">
        <v>3697</v>
      </c>
      <c r="G184" s="2242"/>
      <c r="H184" s="2242"/>
      <c r="I184" s="2242"/>
      <c r="J184" s="2242"/>
      <c r="K184" s="2243"/>
      <c r="L184" s="2244" t="s">
        <v>3713</v>
      </c>
      <c r="M184" s="2245"/>
      <c r="N184" s="2245"/>
      <c r="O184" s="2245"/>
      <c r="P184" s="2245"/>
      <c r="Q184" s="2245"/>
      <c r="R184" s="2245"/>
      <c r="S184" s="2246"/>
      <c r="T184" s="2247" t="s">
        <v>3580</v>
      </c>
      <c r="U184" s="2242"/>
      <c r="V184" s="2242"/>
      <c r="W184" s="2242"/>
      <c r="X184" s="2242"/>
      <c r="Y184" s="2242"/>
      <c r="Z184" s="2242"/>
      <c r="AA184" s="2242"/>
      <c r="AB184" s="2248" t="s">
        <v>3714</v>
      </c>
      <c r="AC184" s="2248"/>
      <c r="AD184" s="2248"/>
      <c r="AE184" s="2248"/>
      <c r="AF184" s="1351"/>
      <c r="AG184" s="1351"/>
      <c r="AH184" s="1351"/>
      <c r="AI184" s="1351"/>
      <c r="AJ184" s="1351"/>
      <c r="AK184" s="1351"/>
      <c r="AM184" s="1351"/>
      <c r="AN184" s="1351"/>
      <c r="AO184" s="1351"/>
      <c r="AP184" s="1351"/>
      <c r="AQ184" s="1351" t="s">
        <v>3717</v>
      </c>
    </row>
    <row r="185" spans="1:43">
      <c r="A185" s="1289"/>
      <c r="B185" s="1289"/>
      <c r="C185" s="1289"/>
      <c r="D185" s="1289"/>
      <c r="E185" s="1289"/>
      <c r="F185" s="2241" t="s">
        <v>3715</v>
      </c>
      <c r="G185" s="2242"/>
      <c r="H185" s="2242"/>
      <c r="I185" s="2242"/>
      <c r="J185" s="2242"/>
      <c r="K185" s="2243"/>
      <c r="L185" s="2244" t="s">
        <v>3583</v>
      </c>
      <c r="M185" s="2245"/>
      <c r="N185" s="2245"/>
      <c r="O185" s="2245"/>
      <c r="P185" s="2245"/>
      <c r="Q185" s="2245"/>
      <c r="R185" s="2245"/>
      <c r="S185" s="2246"/>
      <c r="T185" s="2247" t="s">
        <v>3716</v>
      </c>
      <c r="U185" s="2242"/>
      <c r="V185" s="2242"/>
      <c r="W185" s="2242"/>
      <c r="X185" s="2242"/>
      <c r="Y185" s="2242"/>
      <c r="Z185" s="2242"/>
      <c r="AA185" s="2242"/>
      <c r="AB185" s="2248" t="s">
        <v>3714</v>
      </c>
      <c r="AC185" s="2248"/>
      <c r="AD185" s="2248"/>
      <c r="AE185" s="2248"/>
      <c r="AF185" s="1351"/>
      <c r="AG185" s="1351"/>
      <c r="AH185" s="1351"/>
      <c r="AI185" s="1351"/>
      <c r="AJ185" s="1351"/>
      <c r="AM185" s="1351"/>
      <c r="AN185" s="1351"/>
      <c r="AO185" s="1351"/>
      <c r="AP185" s="1351"/>
      <c r="AQ185" s="1351" t="s">
        <v>3717</v>
      </c>
    </row>
    <row r="186" spans="1:43">
      <c r="A186" s="1289"/>
      <c r="B186" s="1289"/>
      <c r="C186" s="1289"/>
      <c r="D186" s="1289"/>
      <c r="E186" s="1289"/>
      <c r="F186" s="2241" t="s">
        <v>3715</v>
      </c>
      <c r="G186" s="2242"/>
      <c r="H186" s="2242"/>
      <c r="I186" s="2242"/>
      <c r="J186" s="2242"/>
      <c r="K186" s="2243"/>
      <c r="L186" s="2244" t="s">
        <v>3718</v>
      </c>
      <c r="M186" s="2245"/>
      <c r="N186" s="2245"/>
      <c r="O186" s="2245"/>
      <c r="P186" s="2245"/>
      <c r="Q186" s="2245"/>
      <c r="R186" s="2245"/>
      <c r="S186" s="2246"/>
      <c r="T186" s="2247" t="s">
        <v>3580</v>
      </c>
      <c r="U186" s="2242"/>
      <c r="V186" s="2242"/>
      <c r="W186" s="2242"/>
      <c r="X186" s="2242"/>
      <c r="Y186" s="2242"/>
      <c r="Z186" s="2242"/>
      <c r="AA186" s="2242"/>
      <c r="AB186" s="2248" t="s">
        <v>3719</v>
      </c>
      <c r="AC186" s="2248"/>
      <c r="AD186" s="2248"/>
      <c r="AE186" s="2248"/>
      <c r="AF186" s="1351"/>
      <c r="AG186" s="1351"/>
      <c r="AH186" s="1351"/>
      <c r="AI186" s="1351"/>
      <c r="AJ186" s="1351"/>
      <c r="AM186" s="1351"/>
      <c r="AN186" s="1351"/>
      <c r="AO186" s="1351"/>
      <c r="AP186" s="1351"/>
      <c r="AQ186" s="1351" t="s">
        <v>3717</v>
      </c>
    </row>
    <row r="187" spans="1:43">
      <c r="A187" s="1289"/>
      <c r="B187" s="1289"/>
      <c r="C187" s="1289"/>
      <c r="D187" s="1289"/>
      <c r="E187" s="1289"/>
      <c r="F187" s="2241" t="s">
        <v>4262</v>
      </c>
      <c r="G187" s="2242"/>
      <c r="H187" s="2242"/>
      <c r="I187" s="2242"/>
      <c r="J187" s="2242"/>
      <c r="K187" s="2243"/>
      <c r="L187" s="2244" t="s">
        <v>3610</v>
      </c>
      <c r="M187" s="2245"/>
      <c r="N187" s="2245"/>
      <c r="O187" s="2245"/>
      <c r="P187" s="2245"/>
      <c r="Q187" s="2245"/>
      <c r="R187" s="2245"/>
      <c r="S187" s="2246"/>
      <c r="T187" s="2247" t="s">
        <v>4263</v>
      </c>
      <c r="U187" s="2242"/>
      <c r="V187" s="2242"/>
      <c r="W187" s="2242"/>
      <c r="X187" s="2242"/>
      <c r="Y187" s="2242"/>
      <c r="Z187" s="2242"/>
      <c r="AA187" s="2242"/>
      <c r="AB187" s="2248" t="s">
        <v>4264</v>
      </c>
      <c r="AC187" s="2248"/>
      <c r="AD187" s="2248"/>
      <c r="AE187" s="2248"/>
      <c r="AF187" s="1351"/>
      <c r="AG187" s="1351"/>
      <c r="AH187" s="1351"/>
      <c r="AI187" s="1351"/>
      <c r="AJ187" s="1351"/>
      <c r="AM187" s="1351"/>
      <c r="AN187" s="1351"/>
      <c r="AO187" s="1351"/>
      <c r="AP187" s="1351"/>
      <c r="AQ187" s="1351"/>
    </row>
    <row r="188" spans="1:43">
      <c r="A188" s="1289"/>
      <c r="B188" s="1289"/>
      <c r="C188" s="1289"/>
      <c r="D188" s="1289"/>
      <c r="E188" s="1289"/>
      <c r="F188" s="2241" t="s">
        <v>4262</v>
      </c>
      <c r="G188" s="2242"/>
      <c r="H188" s="2242"/>
      <c r="I188" s="2242"/>
      <c r="J188" s="2242"/>
      <c r="K188" s="2243"/>
      <c r="L188" s="2244" t="s">
        <v>3610</v>
      </c>
      <c r="M188" s="2245"/>
      <c r="N188" s="2245"/>
      <c r="O188" s="2245"/>
      <c r="P188" s="2245"/>
      <c r="Q188" s="2245"/>
      <c r="R188" s="2245"/>
      <c r="S188" s="2246"/>
      <c r="T188" s="2247" t="s">
        <v>4263</v>
      </c>
      <c r="U188" s="2242"/>
      <c r="V188" s="2242"/>
      <c r="W188" s="2242"/>
      <c r="X188" s="2242"/>
      <c r="Y188" s="2242"/>
      <c r="Z188" s="2242"/>
      <c r="AA188" s="2242"/>
      <c r="AB188" s="2248" t="s">
        <v>4264</v>
      </c>
      <c r="AC188" s="2248"/>
      <c r="AD188" s="2248"/>
      <c r="AE188" s="2248"/>
      <c r="AF188" s="1351"/>
      <c r="AG188" s="1351"/>
      <c r="AH188" s="1351"/>
      <c r="AI188" s="1351"/>
      <c r="AJ188" s="1351"/>
      <c r="AM188" s="1351"/>
      <c r="AN188" s="1351"/>
      <c r="AO188" s="1351"/>
      <c r="AP188" s="1351"/>
      <c r="AQ188" s="1351"/>
    </row>
    <row r="189" spans="1:43">
      <c r="A189" s="1289"/>
      <c r="B189" s="1289"/>
      <c r="C189" s="1289"/>
      <c r="D189" s="1289"/>
      <c r="E189" s="1289"/>
      <c r="F189" s="2241" t="s">
        <v>4262</v>
      </c>
      <c r="G189" s="2242"/>
      <c r="H189" s="2242"/>
      <c r="I189" s="2242"/>
      <c r="J189" s="2242"/>
      <c r="K189" s="2243"/>
      <c r="L189" s="2244" t="s">
        <v>4263</v>
      </c>
      <c r="M189" s="2245"/>
      <c r="N189" s="2245"/>
      <c r="O189" s="2245"/>
      <c r="P189" s="2245"/>
      <c r="Q189" s="2245"/>
      <c r="R189" s="2245"/>
      <c r="S189" s="2246"/>
      <c r="T189" s="2247" t="s">
        <v>3580</v>
      </c>
      <c r="U189" s="2242"/>
      <c r="V189" s="2242"/>
      <c r="W189" s="2242"/>
      <c r="X189" s="2242"/>
      <c r="Y189" s="2242"/>
      <c r="Z189" s="2242"/>
      <c r="AA189" s="2242"/>
      <c r="AB189" s="2248" t="s">
        <v>4270</v>
      </c>
      <c r="AC189" s="2248"/>
      <c r="AD189" s="2248"/>
      <c r="AE189" s="2248"/>
      <c r="AF189" s="1351"/>
      <c r="AG189" s="1351"/>
      <c r="AH189" s="1351"/>
      <c r="AI189" s="1351"/>
      <c r="AJ189" s="1351"/>
      <c r="AM189" s="1351"/>
      <c r="AN189" s="1351"/>
      <c r="AO189" s="1351"/>
      <c r="AP189" s="1351"/>
      <c r="AQ189" s="1351"/>
    </row>
    <row r="190" spans="1:43">
      <c r="A190" s="1289"/>
      <c r="B190" s="1289"/>
      <c r="C190" s="1289"/>
      <c r="D190" s="1289"/>
      <c r="E190" s="1289"/>
      <c r="F190" s="2241" t="s">
        <v>4272</v>
      </c>
      <c r="G190" s="2242"/>
      <c r="H190" s="2242"/>
      <c r="I190" s="2242"/>
      <c r="J190" s="2242"/>
      <c r="K190" s="2243"/>
      <c r="L190" s="2244" t="s">
        <v>3610</v>
      </c>
      <c r="M190" s="2245"/>
      <c r="N190" s="2245"/>
      <c r="O190" s="2245"/>
      <c r="P190" s="2245"/>
      <c r="Q190" s="2245"/>
      <c r="R190" s="2245"/>
      <c r="S190" s="2246"/>
      <c r="T190" s="2247" t="s">
        <v>4275</v>
      </c>
      <c r="U190" s="2242"/>
      <c r="V190" s="2242"/>
      <c r="W190" s="2242"/>
      <c r="X190" s="2242"/>
      <c r="Y190" s="2242"/>
      <c r="Z190" s="2242"/>
      <c r="AA190" s="2242"/>
      <c r="AB190" s="2248" t="s">
        <v>4270</v>
      </c>
      <c r="AC190" s="2248"/>
      <c r="AD190" s="2248"/>
      <c r="AE190" s="2248"/>
      <c r="AF190" s="1351"/>
      <c r="AG190" s="1351"/>
      <c r="AH190" s="1351"/>
      <c r="AI190" s="1351"/>
      <c r="AJ190" s="1351"/>
      <c r="AM190" s="1351"/>
      <c r="AN190" s="1351"/>
      <c r="AO190" s="1351"/>
      <c r="AP190" s="1351"/>
      <c r="AQ190" s="1351"/>
    </row>
    <row r="191" spans="1:43">
      <c r="A191" s="1289"/>
      <c r="B191" s="1289"/>
      <c r="C191" s="1289"/>
      <c r="D191" s="1289"/>
      <c r="E191" s="1289"/>
      <c r="F191" s="2241" t="s">
        <v>4272</v>
      </c>
      <c r="G191" s="2242"/>
      <c r="H191" s="2242"/>
      <c r="I191" s="2242"/>
      <c r="J191" s="2242"/>
      <c r="K191" s="2243"/>
      <c r="L191" s="2244" t="s">
        <v>4274</v>
      </c>
      <c r="M191" s="2245"/>
      <c r="N191" s="2245"/>
      <c r="O191" s="2245"/>
      <c r="P191" s="2245"/>
      <c r="Q191" s="2245"/>
      <c r="R191" s="2245"/>
      <c r="S191" s="2246"/>
      <c r="T191" s="2247" t="s">
        <v>3580</v>
      </c>
      <c r="U191" s="2242"/>
      <c r="V191" s="2242"/>
      <c r="W191" s="2242"/>
      <c r="X191" s="2242"/>
      <c r="Y191" s="2242"/>
      <c r="Z191" s="2242"/>
      <c r="AA191" s="2242"/>
      <c r="AB191" s="2248" t="s">
        <v>4276</v>
      </c>
      <c r="AC191" s="2248"/>
      <c r="AD191" s="2248"/>
      <c r="AE191" s="2248"/>
      <c r="AF191" s="1351"/>
      <c r="AG191" s="1351"/>
      <c r="AH191" s="1351"/>
      <c r="AI191" s="1351"/>
      <c r="AJ191" s="1351"/>
      <c r="AM191" s="1351"/>
      <c r="AN191" s="1351"/>
      <c r="AO191" s="1351"/>
      <c r="AP191" s="1351"/>
      <c r="AQ191" s="1351"/>
    </row>
    <row r="192" spans="1:43">
      <c r="A192" s="1289"/>
      <c r="B192" s="1289"/>
      <c r="C192" s="1289"/>
      <c r="D192" s="1289"/>
      <c r="E192" s="1289"/>
      <c r="F192" s="2241" t="s">
        <v>4273</v>
      </c>
      <c r="G192" s="2242"/>
      <c r="H192" s="2242"/>
      <c r="I192" s="2242"/>
      <c r="J192" s="2242"/>
      <c r="K192" s="2243"/>
      <c r="L192" s="2244" t="s">
        <v>3610</v>
      </c>
      <c r="M192" s="2245"/>
      <c r="N192" s="2245"/>
      <c r="O192" s="2245"/>
      <c r="P192" s="2245"/>
      <c r="Q192" s="2245"/>
      <c r="R192" s="2245"/>
      <c r="S192" s="2246"/>
      <c r="T192" s="2247" t="s">
        <v>4297</v>
      </c>
      <c r="U192" s="2242"/>
      <c r="V192" s="2242"/>
      <c r="W192" s="2242"/>
      <c r="X192" s="2242"/>
      <c r="Y192" s="2242"/>
      <c r="Z192" s="2242"/>
      <c r="AA192" s="2242"/>
      <c r="AB192" s="2248" t="s">
        <v>4276</v>
      </c>
      <c r="AC192" s="2248"/>
      <c r="AD192" s="2248"/>
      <c r="AE192" s="2248"/>
      <c r="AF192" s="1351"/>
      <c r="AG192" s="1351"/>
      <c r="AH192" s="1351"/>
      <c r="AI192" s="1351"/>
      <c r="AJ192" s="1351"/>
      <c r="AM192" s="1351"/>
      <c r="AN192" s="1351"/>
      <c r="AO192" s="1351"/>
      <c r="AP192" s="1351"/>
      <c r="AQ192" s="1351"/>
    </row>
    <row r="193" spans="1:43">
      <c r="A193" s="1289"/>
      <c r="B193" s="1289"/>
      <c r="C193" s="1289"/>
      <c r="D193" s="1289"/>
      <c r="E193" s="1289"/>
      <c r="F193" s="2241" t="s">
        <v>4273</v>
      </c>
      <c r="G193" s="2242"/>
      <c r="H193" s="2242"/>
      <c r="I193" s="2242"/>
      <c r="J193" s="2242"/>
      <c r="K193" s="2243"/>
      <c r="L193" s="2244" t="s">
        <v>4298</v>
      </c>
      <c r="M193" s="2245"/>
      <c r="N193" s="2245"/>
      <c r="O193" s="2245"/>
      <c r="P193" s="2245"/>
      <c r="Q193" s="2245"/>
      <c r="R193" s="2245"/>
      <c r="S193" s="2246"/>
      <c r="T193" s="2247" t="s">
        <v>4299</v>
      </c>
      <c r="U193" s="2242"/>
      <c r="V193" s="2242"/>
      <c r="W193" s="2242"/>
      <c r="X193" s="2242"/>
      <c r="Y193" s="2242"/>
      <c r="Z193" s="2242"/>
      <c r="AA193" s="2242"/>
      <c r="AB193" s="2248" t="s">
        <v>4300</v>
      </c>
      <c r="AC193" s="2248"/>
      <c r="AD193" s="2248"/>
      <c r="AE193" s="2248"/>
      <c r="AF193" s="1351"/>
      <c r="AG193" s="1351"/>
      <c r="AH193" s="1351"/>
      <c r="AI193" s="1351"/>
      <c r="AJ193" s="1351"/>
      <c r="AM193" s="1351"/>
      <c r="AN193" s="1351"/>
      <c r="AO193" s="1351"/>
      <c r="AP193" s="1351"/>
      <c r="AQ193" s="1351"/>
    </row>
    <row r="194" spans="1:43">
      <c r="A194" s="1289"/>
      <c r="B194" s="1289"/>
      <c r="C194" s="1289"/>
      <c r="D194" s="1289"/>
      <c r="E194" s="1289"/>
      <c r="F194" s="2241" t="s">
        <v>4303</v>
      </c>
      <c r="G194" s="2242"/>
      <c r="H194" s="2242"/>
      <c r="I194" s="2242"/>
      <c r="J194" s="2242"/>
      <c r="K194" s="2243"/>
      <c r="L194" s="2244" t="s">
        <v>4304</v>
      </c>
      <c r="M194" s="2245"/>
      <c r="N194" s="2245"/>
      <c r="O194" s="2245"/>
      <c r="P194" s="2245"/>
      <c r="Q194" s="2245"/>
      <c r="R194" s="2245"/>
      <c r="S194" s="2246"/>
      <c r="T194" s="2247" t="s">
        <v>4305</v>
      </c>
      <c r="U194" s="2242"/>
      <c r="V194" s="2242"/>
      <c r="W194" s="2242"/>
      <c r="X194" s="2242"/>
      <c r="Y194" s="2242"/>
      <c r="Z194" s="2242"/>
      <c r="AA194" s="2242"/>
      <c r="AB194" s="2248" t="s">
        <v>4306</v>
      </c>
      <c r="AC194" s="2248"/>
      <c r="AD194" s="2248"/>
      <c r="AE194" s="2248"/>
      <c r="AF194" s="1351"/>
      <c r="AG194" s="1351"/>
      <c r="AH194" s="1351"/>
      <c r="AI194" s="1351"/>
      <c r="AJ194" s="1351"/>
      <c r="AM194" s="1351"/>
      <c r="AN194" s="1351"/>
      <c r="AO194" s="1351"/>
      <c r="AP194" s="1351">
        <v>934904114</v>
      </c>
      <c r="AQ194" s="1351"/>
    </row>
    <row r="195" spans="1:43">
      <c r="A195" s="1289"/>
      <c r="B195" s="1289"/>
      <c r="C195" s="1289"/>
      <c r="D195" s="1289"/>
      <c r="E195" s="1289"/>
      <c r="F195" s="2241" t="s">
        <v>4303</v>
      </c>
      <c r="G195" s="2242"/>
      <c r="H195" s="2242"/>
      <c r="I195" s="2242"/>
      <c r="J195" s="2242"/>
      <c r="K195" s="2243"/>
      <c r="L195" s="2244" t="s">
        <v>4307</v>
      </c>
      <c r="M195" s="2245"/>
      <c r="N195" s="2245"/>
      <c r="O195" s="2245"/>
      <c r="P195" s="2245"/>
      <c r="Q195" s="2245"/>
      <c r="R195" s="2245"/>
      <c r="S195" s="2246"/>
      <c r="T195" s="2247" t="s">
        <v>4308</v>
      </c>
      <c r="U195" s="2242"/>
      <c r="V195" s="2242"/>
      <c r="W195" s="2242"/>
      <c r="X195" s="2242"/>
      <c r="Y195" s="2242"/>
      <c r="Z195" s="2242"/>
      <c r="AA195" s="2242"/>
      <c r="AB195" s="2248" t="s">
        <v>4309</v>
      </c>
      <c r="AC195" s="2248"/>
      <c r="AD195" s="2248"/>
      <c r="AE195" s="2248"/>
      <c r="AF195" s="1351"/>
      <c r="AG195" s="1351"/>
      <c r="AH195" s="1351"/>
      <c r="AI195" s="1351"/>
      <c r="AJ195" s="1351"/>
      <c r="AM195" s="1351"/>
      <c r="AN195" s="1351"/>
      <c r="AO195" s="1351"/>
      <c r="AP195" s="1289"/>
    </row>
    <row r="196" spans="1:43">
      <c r="A196" s="1289"/>
      <c r="B196" s="1289"/>
      <c r="C196" s="1289"/>
      <c r="D196" s="1289"/>
      <c r="E196" s="1289"/>
      <c r="F196" s="2241" t="s">
        <v>4303</v>
      </c>
      <c r="G196" s="2242"/>
      <c r="H196" s="2242"/>
      <c r="I196" s="2242"/>
      <c r="J196" s="2242"/>
      <c r="K196" s="2243"/>
      <c r="L196" s="2244" t="s">
        <v>4324</v>
      </c>
      <c r="M196" s="2245"/>
      <c r="N196" s="2245"/>
      <c r="O196" s="2245"/>
      <c r="P196" s="2245"/>
      <c r="Q196" s="2245"/>
      <c r="R196" s="2245"/>
      <c r="S196" s="2246"/>
      <c r="T196" s="2247" t="s">
        <v>4325</v>
      </c>
      <c r="U196" s="2242"/>
      <c r="V196" s="2242"/>
      <c r="W196" s="2242"/>
      <c r="X196" s="2242"/>
      <c r="Y196" s="2242"/>
      <c r="Z196" s="2242"/>
      <c r="AA196" s="2242"/>
      <c r="AB196" s="2248" t="s">
        <v>4326</v>
      </c>
      <c r="AC196" s="2248"/>
      <c r="AD196" s="2248"/>
      <c r="AE196" s="2248"/>
      <c r="AF196" s="1351"/>
      <c r="AG196" s="1351"/>
      <c r="AH196" s="1351"/>
      <c r="AI196" s="1351"/>
      <c r="AJ196" s="1351"/>
      <c r="AM196" s="1351"/>
      <c r="AN196" s="1351"/>
      <c r="AO196" s="1351"/>
      <c r="AP196" s="1289"/>
    </row>
    <row r="197" spans="1:43">
      <c r="A197" s="1289"/>
      <c r="B197" s="1289"/>
      <c r="C197" s="1289"/>
      <c r="D197" s="1366"/>
      <c r="E197" s="1366"/>
      <c r="F197" s="2249" t="s">
        <v>4303</v>
      </c>
      <c r="G197" s="2250"/>
      <c r="H197" s="2250"/>
      <c r="I197" s="2250"/>
      <c r="J197" s="2250"/>
      <c r="K197" s="2251"/>
      <c r="L197" s="2252" t="s">
        <v>4325</v>
      </c>
      <c r="M197" s="2253"/>
      <c r="N197" s="2253"/>
      <c r="O197" s="2253"/>
      <c r="P197" s="2253"/>
      <c r="Q197" s="2253"/>
      <c r="R197" s="2253"/>
      <c r="S197" s="2254"/>
      <c r="T197" s="2255" t="s">
        <v>3580</v>
      </c>
      <c r="U197" s="2250"/>
      <c r="V197" s="2250"/>
      <c r="W197" s="2250"/>
      <c r="X197" s="2250"/>
      <c r="Y197" s="2250"/>
      <c r="Z197" s="2250"/>
      <c r="AA197" s="2250"/>
      <c r="AB197" s="2248" t="s">
        <v>4335</v>
      </c>
      <c r="AC197" s="2248"/>
      <c r="AD197" s="2248"/>
      <c r="AE197" s="2248"/>
      <c r="AF197" s="1366"/>
      <c r="AG197" s="1366"/>
      <c r="AH197" s="1366"/>
      <c r="AI197" s="1366"/>
      <c r="AJ197" s="1366"/>
      <c r="AK197" s="1366"/>
      <c r="AL197" s="1366"/>
      <c r="AM197" s="1366"/>
      <c r="AN197" s="1366"/>
      <c r="AO197" s="1366"/>
      <c r="AP197" s="1289"/>
    </row>
    <row r="198" spans="1:43">
      <c r="F198" s="2249" t="s">
        <v>4339</v>
      </c>
      <c r="G198" s="2250"/>
      <c r="H198" s="2250"/>
      <c r="I198" s="2250"/>
      <c r="J198" s="2250"/>
      <c r="K198" s="2251"/>
      <c r="L198" s="2252" t="s">
        <v>4304</v>
      </c>
      <c r="M198" s="2253"/>
      <c r="N198" s="2253"/>
      <c r="O198" s="2253"/>
      <c r="P198" s="2253"/>
      <c r="Q198" s="2253"/>
      <c r="R198" s="2253"/>
      <c r="S198" s="2254"/>
      <c r="T198" s="2255" t="s">
        <v>4358</v>
      </c>
      <c r="U198" s="2250"/>
      <c r="V198" s="2250"/>
      <c r="W198" s="2250"/>
      <c r="X198" s="2250"/>
      <c r="Y198" s="2250"/>
      <c r="Z198" s="2250"/>
      <c r="AA198" s="2250"/>
      <c r="AB198" s="2248" t="s">
        <v>4335</v>
      </c>
      <c r="AC198" s="2248"/>
      <c r="AD198" s="2248"/>
      <c r="AE198" s="2248"/>
    </row>
    <row r="199" spans="1:43">
      <c r="F199" s="2249" t="s">
        <v>4339</v>
      </c>
      <c r="G199" s="2250"/>
      <c r="H199" s="2250"/>
      <c r="I199" s="2250"/>
      <c r="J199" s="2250"/>
      <c r="K199" s="2251"/>
      <c r="L199" s="2252" t="s">
        <v>4359</v>
      </c>
      <c r="M199" s="2253"/>
      <c r="N199" s="2253"/>
      <c r="O199" s="2253"/>
      <c r="P199" s="2253"/>
      <c r="Q199" s="2253"/>
      <c r="R199" s="2253"/>
      <c r="S199" s="2254"/>
      <c r="T199" s="2255" t="s">
        <v>3580</v>
      </c>
      <c r="U199" s="2250"/>
      <c r="V199" s="2250"/>
      <c r="W199" s="2250"/>
      <c r="X199" s="2250"/>
      <c r="Y199" s="2250"/>
      <c r="Z199" s="2250"/>
      <c r="AA199" s="2250"/>
      <c r="AB199" s="2248" t="s">
        <v>4356</v>
      </c>
      <c r="AC199" s="2248"/>
      <c r="AD199" s="2248"/>
      <c r="AE199" s="2248"/>
    </row>
    <row r="200" spans="1:43">
      <c r="F200" s="2249" t="s">
        <v>4357</v>
      </c>
      <c r="G200" s="2250"/>
      <c r="H200" s="2250"/>
      <c r="I200" s="2250"/>
      <c r="J200" s="2250"/>
      <c r="K200" s="2251"/>
      <c r="L200" s="2252" t="s">
        <v>4304</v>
      </c>
      <c r="M200" s="2253"/>
      <c r="N200" s="2253"/>
      <c r="O200" s="2253"/>
      <c r="P200" s="2253"/>
      <c r="Q200" s="2253"/>
      <c r="R200" s="2253"/>
      <c r="S200" s="2254"/>
      <c r="T200" s="2255" t="s">
        <v>4360</v>
      </c>
      <c r="U200" s="2250"/>
      <c r="V200" s="2250"/>
      <c r="W200" s="2250"/>
      <c r="X200" s="2250"/>
      <c r="Y200" s="2250"/>
      <c r="Z200" s="2250"/>
      <c r="AA200" s="2250"/>
      <c r="AB200" s="2248" t="s">
        <v>4356</v>
      </c>
      <c r="AC200" s="2248"/>
      <c r="AD200" s="2248"/>
      <c r="AE200" s="2248"/>
    </row>
    <row r="201" spans="1:43">
      <c r="F201" s="2249"/>
      <c r="G201" s="2250"/>
      <c r="H201" s="2250"/>
      <c r="I201" s="2250"/>
      <c r="J201" s="2250"/>
      <c r="K201" s="2251"/>
      <c r="L201" s="2252"/>
      <c r="M201" s="2253"/>
      <c r="N201" s="2253"/>
      <c r="O201" s="2253"/>
      <c r="P201" s="2253"/>
      <c r="Q201" s="2253"/>
      <c r="R201" s="2253"/>
      <c r="S201" s="2254"/>
      <c r="T201" s="2255"/>
      <c r="U201" s="2250"/>
      <c r="V201" s="2250"/>
      <c r="W201" s="2250"/>
      <c r="X201" s="2250"/>
      <c r="Y201" s="2250"/>
      <c r="Z201" s="2250"/>
      <c r="AA201" s="2250"/>
      <c r="AB201" s="2248"/>
      <c r="AC201" s="2248"/>
      <c r="AD201" s="2248"/>
      <c r="AE201" s="2248"/>
    </row>
  </sheetData>
  <mergeCells count="760">
    <mergeCell ref="C147:F147"/>
    <mergeCell ref="L147:P147"/>
    <mergeCell ref="Q147:R147"/>
    <mergeCell ref="S147:X147"/>
    <mergeCell ref="Y147:Z147"/>
    <mergeCell ref="AA147:AF147"/>
    <mergeCell ref="AG147:AH147"/>
    <mergeCell ref="AI147:AM147"/>
    <mergeCell ref="AN147:AO147"/>
    <mergeCell ref="C143:AO143"/>
    <mergeCell ref="C144:F145"/>
    <mergeCell ref="L144:R144"/>
    <mergeCell ref="S144:Z144"/>
    <mergeCell ref="AA144:AH144"/>
    <mergeCell ref="AI144:AO144"/>
    <mergeCell ref="L145:P145"/>
    <mergeCell ref="Q145:R145"/>
    <mergeCell ref="S145:X145"/>
    <mergeCell ref="Y145:Z145"/>
    <mergeCell ref="AA145:AF145"/>
    <mergeCell ref="AG145:AH145"/>
    <mergeCell ref="AI145:AM145"/>
    <mergeCell ref="AN145:AO145"/>
    <mergeCell ref="G144:K145"/>
    <mergeCell ref="C146:F146"/>
    <mergeCell ref="L146:P146"/>
    <mergeCell ref="Q146:R146"/>
    <mergeCell ref="S146:X146"/>
    <mergeCell ref="Y146:Z146"/>
    <mergeCell ref="AA146:AF146"/>
    <mergeCell ref="AG146:AH146"/>
    <mergeCell ref="AI146:AM146"/>
    <mergeCell ref="AN146:AO146"/>
    <mergeCell ref="G146:K146"/>
    <mergeCell ref="F200:K200"/>
    <mergeCell ref="L200:S200"/>
    <mergeCell ref="T200:AA200"/>
    <mergeCell ref="AB200:AE200"/>
    <mergeCell ref="F201:K201"/>
    <mergeCell ref="L201:S201"/>
    <mergeCell ref="T201:AA201"/>
    <mergeCell ref="AB201:AE201"/>
    <mergeCell ref="D150:AO150"/>
    <mergeCell ref="F180:K180"/>
    <mergeCell ref="L180:S180"/>
    <mergeCell ref="T180:AA180"/>
    <mergeCell ref="AB180:AE180"/>
    <mergeCell ref="F181:K181"/>
    <mergeCell ref="L181:S181"/>
    <mergeCell ref="T181:AA181"/>
    <mergeCell ref="AB181:AE181"/>
    <mergeCell ref="F178:K178"/>
    <mergeCell ref="L178:S178"/>
    <mergeCell ref="F182:K182"/>
    <mergeCell ref="L182:S182"/>
    <mergeCell ref="T182:AA182"/>
    <mergeCell ref="AB182:AE182"/>
    <mergeCell ref="F183:K183"/>
    <mergeCell ref="F199:K199"/>
    <mergeCell ref="L199:S199"/>
    <mergeCell ref="T199:AA199"/>
    <mergeCell ref="AB199:AE199"/>
    <mergeCell ref="F197:K197"/>
    <mergeCell ref="L197:S197"/>
    <mergeCell ref="T197:AA197"/>
    <mergeCell ref="AB197:AE197"/>
    <mergeCell ref="T183:AA183"/>
    <mergeCell ref="AB183:AE183"/>
    <mergeCell ref="F187:K187"/>
    <mergeCell ref="L187:S187"/>
    <mergeCell ref="T187:AA187"/>
    <mergeCell ref="AB187:AE187"/>
    <mergeCell ref="F186:K186"/>
    <mergeCell ref="L186:S186"/>
    <mergeCell ref="T186:AA186"/>
    <mergeCell ref="AB186:AE186"/>
    <mergeCell ref="F184:K184"/>
    <mergeCell ref="L184:S184"/>
    <mergeCell ref="T184:AA184"/>
    <mergeCell ref="AB184:AE184"/>
    <mergeCell ref="F185:K185"/>
    <mergeCell ref="L185:S185"/>
    <mergeCell ref="T185:AA185"/>
    <mergeCell ref="AB185:AE185"/>
    <mergeCell ref="T178:AA178"/>
    <mergeCell ref="AB178:AE178"/>
    <mergeCell ref="F179:K179"/>
    <mergeCell ref="L179:S179"/>
    <mergeCell ref="T179:AA179"/>
    <mergeCell ref="AB179:AE179"/>
    <mergeCell ref="L183:S183"/>
    <mergeCell ref="F176:K176"/>
    <mergeCell ref="L176:S176"/>
    <mergeCell ref="T176:AA176"/>
    <mergeCell ref="AB176:AE176"/>
    <mergeCell ref="F177:K177"/>
    <mergeCell ref="L177:S177"/>
    <mergeCell ref="T177:AA177"/>
    <mergeCell ref="AB177:AE177"/>
    <mergeCell ref="F174:K174"/>
    <mergeCell ref="L174:S174"/>
    <mergeCell ref="T174:AA174"/>
    <mergeCell ref="AB174:AE174"/>
    <mergeCell ref="F175:K175"/>
    <mergeCell ref="L175:S175"/>
    <mergeCell ref="T175:AA175"/>
    <mergeCell ref="AB175:AE175"/>
    <mergeCell ref="F172:K172"/>
    <mergeCell ref="L172:S172"/>
    <mergeCell ref="T172:AA172"/>
    <mergeCell ref="AB172:AE172"/>
    <mergeCell ref="F173:K173"/>
    <mergeCell ref="L173:S173"/>
    <mergeCell ref="T173:AA173"/>
    <mergeCell ref="AB173:AE173"/>
    <mergeCell ref="F170:K170"/>
    <mergeCell ref="L170:S170"/>
    <mergeCell ref="T170:AA170"/>
    <mergeCell ref="AB170:AE170"/>
    <mergeCell ref="F171:K171"/>
    <mergeCell ref="L171:S171"/>
    <mergeCell ref="T171:AA171"/>
    <mergeCell ref="AB171:AE171"/>
    <mergeCell ref="F168:K168"/>
    <mergeCell ref="L168:S168"/>
    <mergeCell ref="T168:AA168"/>
    <mergeCell ref="AB168:AE168"/>
    <mergeCell ref="F169:K169"/>
    <mergeCell ref="L169:S169"/>
    <mergeCell ref="T169:AA169"/>
    <mergeCell ref="AB169:AE169"/>
    <mergeCell ref="F166:K166"/>
    <mergeCell ref="L166:S166"/>
    <mergeCell ref="T166:AA166"/>
    <mergeCell ref="AB166:AE166"/>
    <mergeCell ref="F167:K167"/>
    <mergeCell ref="L167:S167"/>
    <mergeCell ref="T167:AA167"/>
    <mergeCell ref="AB167:AE167"/>
    <mergeCell ref="F164:K164"/>
    <mergeCell ref="L164:S164"/>
    <mergeCell ref="T164:AA164"/>
    <mergeCell ref="AB164:AE164"/>
    <mergeCell ref="F165:K165"/>
    <mergeCell ref="L165:S165"/>
    <mergeCell ref="T165:AA165"/>
    <mergeCell ref="AB165:AE165"/>
    <mergeCell ref="F162:K162"/>
    <mergeCell ref="L162:S162"/>
    <mergeCell ref="T162:AA162"/>
    <mergeCell ref="AB162:AE162"/>
    <mergeCell ref="F163:K163"/>
    <mergeCell ref="L163:S163"/>
    <mergeCell ref="T163:AA163"/>
    <mergeCell ref="AB163:AE163"/>
    <mergeCell ref="F160:K160"/>
    <mergeCell ref="L160:S160"/>
    <mergeCell ref="T160:AA160"/>
    <mergeCell ref="AB160:AE160"/>
    <mergeCell ref="F161:K161"/>
    <mergeCell ref="L161:S161"/>
    <mergeCell ref="T161:AA161"/>
    <mergeCell ref="AB161:AE161"/>
    <mergeCell ref="F158:K158"/>
    <mergeCell ref="L158:S158"/>
    <mergeCell ref="T158:AA158"/>
    <mergeCell ref="AB158:AE158"/>
    <mergeCell ref="F159:K159"/>
    <mergeCell ref="L159:S159"/>
    <mergeCell ref="T159:AA159"/>
    <mergeCell ref="AB159:AE159"/>
    <mergeCell ref="F156:K156"/>
    <mergeCell ref="L156:S156"/>
    <mergeCell ref="T156:AA156"/>
    <mergeCell ref="AB156:AE156"/>
    <mergeCell ref="F157:K157"/>
    <mergeCell ref="L157:S157"/>
    <mergeCell ref="T157:AA157"/>
    <mergeCell ref="AB157:AE157"/>
    <mergeCell ref="L153:AA153"/>
    <mergeCell ref="AB153:AE154"/>
    <mergeCell ref="L154:S154"/>
    <mergeCell ref="T154:AA154"/>
    <mergeCell ref="F155:K155"/>
    <mergeCell ref="L155:S155"/>
    <mergeCell ref="T155:AA155"/>
    <mergeCell ref="AB155:AE155"/>
    <mergeCell ref="AG141:AH141"/>
    <mergeCell ref="AI141:AM141"/>
    <mergeCell ref="AN141:AO141"/>
    <mergeCell ref="X142:Z142"/>
    <mergeCell ref="AA140:AF140"/>
    <mergeCell ref="AG140:AH140"/>
    <mergeCell ref="AI140:AM140"/>
    <mergeCell ref="AN140:AO140"/>
    <mergeCell ref="C141:F141"/>
    <mergeCell ref="L141:P141"/>
    <mergeCell ref="Q141:R141"/>
    <mergeCell ref="S141:X141"/>
    <mergeCell ref="Y141:Z141"/>
    <mergeCell ref="AA141:AF141"/>
    <mergeCell ref="C140:F140"/>
    <mergeCell ref="L140:P140"/>
    <mergeCell ref="Q140:R140"/>
    <mergeCell ref="S140:X140"/>
    <mergeCell ref="Y140:Z140"/>
    <mergeCell ref="G140:K140"/>
    <mergeCell ref="AI138:AO138"/>
    <mergeCell ref="L139:P139"/>
    <mergeCell ref="Q139:R139"/>
    <mergeCell ref="S139:X139"/>
    <mergeCell ref="Y139:Z139"/>
    <mergeCell ref="AA139:AF139"/>
    <mergeCell ref="AG139:AH139"/>
    <mergeCell ref="AI139:AM139"/>
    <mergeCell ref="AN139:AO139"/>
    <mergeCell ref="AA136:AC136"/>
    <mergeCell ref="AD136:AG136"/>
    <mergeCell ref="C138:F139"/>
    <mergeCell ref="G138:K139"/>
    <mergeCell ref="L138:R138"/>
    <mergeCell ref="S138:Z138"/>
    <mergeCell ref="AA138:AH138"/>
    <mergeCell ref="D136:K136"/>
    <mergeCell ref="L136:N136"/>
    <mergeCell ref="O136:Q136"/>
    <mergeCell ref="R136:T136"/>
    <mergeCell ref="U136:W136"/>
    <mergeCell ref="X136:Z136"/>
    <mergeCell ref="U135:W135"/>
    <mergeCell ref="X135:Z135"/>
    <mergeCell ref="AA135:AC135"/>
    <mergeCell ref="AD135:AG135"/>
    <mergeCell ref="AH135:AJ135"/>
    <mergeCell ref="AK135:AM135"/>
    <mergeCell ref="D135:E135"/>
    <mergeCell ref="F135:H135"/>
    <mergeCell ref="I135:K135"/>
    <mergeCell ref="L135:N135"/>
    <mergeCell ref="O135:Q135"/>
    <mergeCell ref="R135:T135"/>
    <mergeCell ref="U134:W134"/>
    <mergeCell ref="X134:Z134"/>
    <mergeCell ref="AA134:AC134"/>
    <mergeCell ref="AD134:AG134"/>
    <mergeCell ref="AH134:AJ134"/>
    <mergeCell ref="AK134:AM134"/>
    <mergeCell ref="D134:E134"/>
    <mergeCell ref="F134:H134"/>
    <mergeCell ref="I134:K134"/>
    <mergeCell ref="L134:N134"/>
    <mergeCell ref="O134:Q134"/>
    <mergeCell ref="R134:T134"/>
    <mergeCell ref="U133:W133"/>
    <mergeCell ref="X133:Z133"/>
    <mergeCell ref="AA133:AC133"/>
    <mergeCell ref="AD133:AG133"/>
    <mergeCell ref="AH133:AJ133"/>
    <mergeCell ref="AK133:AM133"/>
    <mergeCell ref="U132:W132"/>
    <mergeCell ref="X132:Z132"/>
    <mergeCell ref="AA132:AC132"/>
    <mergeCell ref="AD132:AG132"/>
    <mergeCell ref="D133:E133"/>
    <mergeCell ref="F133:H133"/>
    <mergeCell ref="I133:K133"/>
    <mergeCell ref="L133:N133"/>
    <mergeCell ref="O133:Q133"/>
    <mergeCell ref="R133:T133"/>
    <mergeCell ref="D132:E132"/>
    <mergeCell ref="F132:H132"/>
    <mergeCell ref="I132:K132"/>
    <mergeCell ref="L132:N132"/>
    <mergeCell ref="O132:Q132"/>
    <mergeCell ref="R132:T132"/>
    <mergeCell ref="U131:W131"/>
    <mergeCell ref="X131:Z131"/>
    <mergeCell ref="AA131:AC131"/>
    <mergeCell ref="AD131:AG131"/>
    <mergeCell ref="AH131:AJ131"/>
    <mergeCell ref="AK131:AM131"/>
    <mergeCell ref="X130:Z130"/>
    <mergeCell ref="AA130:AC130"/>
    <mergeCell ref="AH130:AJ130"/>
    <mergeCell ref="AK130:AM130"/>
    <mergeCell ref="U130:W130"/>
    <mergeCell ref="D131:E131"/>
    <mergeCell ref="F131:H131"/>
    <mergeCell ref="I131:K131"/>
    <mergeCell ref="L131:N131"/>
    <mergeCell ref="O131:Q131"/>
    <mergeCell ref="R131:T131"/>
    <mergeCell ref="F130:H130"/>
    <mergeCell ref="I130:K130"/>
    <mergeCell ref="L130:N130"/>
    <mergeCell ref="O130:Q130"/>
    <mergeCell ref="R130:T130"/>
    <mergeCell ref="AA124:AF124"/>
    <mergeCell ref="AG124:AH124"/>
    <mergeCell ref="AI124:AM124"/>
    <mergeCell ref="AN124:AO124"/>
    <mergeCell ref="D128:AG128"/>
    <mergeCell ref="D129:E130"/>
    <mergeCell ref="F129:K129"/>
    <mergeCell ref="L129:T129"/>
    <mergeCell ref="U129:AC129"/>
    <mergeCell ref="AD129:AG130"/>
    <mergeCell ref="C124:F124"/>
    <mergeCell ref="G124:K124"/>
    <mergeCell ref="L124:P124"/>
    <mergeCell ref="Q124:R124"/>
    <mergeCell ref="S124:X124"/>
    <mergeCell ref="Y124:Z124"/>
    <mergeCell ref="C121:AO121"/>
    <mergeCell ref="C122:F123"/>
    <mergeCell ref="G122:K123"/>
    <mergeCell ref="L122:R122"/>
    <mergeCell ref="S122:Z122"/>
    <mergeCell ref="AA122:AH122"/>
    <mergeCell ref="AI122:AO122"/>
    <mergeCell ref="L123:P123"/>
    <mergeCell ref="Q123:R123"/>
    <mergeCell ref="S123:X123"/>
    <mergeCell ref="Y123:Z123"/>
    <mergeCell ref="AA123:AF123"/>
    <mergeCell ref="AG123:AH123"/>
    <mergeCell ref="AI123:AM123"/>
    <mergeCell ref="AN123:AO123"/>
    <mergeCell ref="AN118:AO118"/>
    <mergeCell ref="C119:F119"/>
    <mergeCell ref="G119:K119"/>
    <mergeCell ref="L119:P119"/>
    <mergeCell ref="Q119:R119"/>
    <mergeCell ref="S119:X119"/>
    <mergeCell ref="Y119:Z119"/>
    <mergeCell ref="AA119:AF119"/>
    <mergeCell ref="AG119:AH119"/>
    <mergeCell ref="AI119:AM119"/>
    <mergeCell ref="AN119:AO119"/>
    <mergeCell ref="C118:F118"/>
    <mergeCell ref="G118:K118"/>
    <mergeCell ref="L118:P118"/>
    <mergeCell ref="Q118:R118"/>
    <mergeCell ref="S118:X118"/>
    <mergeCell ref="Y118:Z118"/>
    <mergeCell ref="AA118:AF118"/>
    <mergeCell ref="AG118:AH118"/>
    <mergeCell ref="AI118:AM118"/>
    <mergeCell ref="AA116:AF116"/>
    <mergeCell ref="AG116:AH116"/>
    <mergeCell ref="AI116:AM116"/>
    <mergeCell ref="AN116:AO116"/>
    <mergeCell ref="C117:F117"/>
    <mergeCell ref="G117:K117"/>
    <mergeCell ref="L117:P117"/>
    <mergeCell ref="Q117:R117"/>
    <mergeCell ref="S117:X117"/>
    <mergeCell ref="Y117:Z117"/>
    <mergeCell ref="C116:F116"/>
    <mergeCell ref="G116:K116"/>
    <mergeCell ref="L116:P116"/>
    <mergeCell ref="Q116:R116"/>
    <mergeCell ref="S116:X116"/>
    <mergeCell ref="Y116:Z116"/>
    <mergeCell ref="AA117:AF117"/>
    <mergeCell ref="AG117:AH117"/>
    <mergeCell ref="AI117:AM117"/>
    <mergeCell ref="AN117:AO117"/>
    <mergeCell ref="C113:AO113"/>
    <mergeCell ref="C114:F115"/>
    <mergeCell ref="G114:K115"/>
    <mergeCell ref="L114:R114"/>
    <mergeCell ref="S114:Z114"/>
    <mergeCell ref="AA114:AH114"/>
    <mergeCell ref="AI114:AO114"/>
    <mergeCell ref="L115:P115"/>
    <mergeCell ref="Q115:R115"/>
    <mergeCell ref="S115:X115"/>
    <mergeCell ref="Y115:Z115"/>
    <mergeCell ref="AA115:AF115"/>
    <mergeCell ref="AG115:AH115"/>
    <mergeCell ref="AI115:AM115"/>
    <mergeCell ref="AN115:AO115"/>
    <mergeCell ref="AA110:AF110"/>
    <mergeCell ref="AG110:AH110"/>
    <mergeCell ref="AI110:AM110"/>
    <mergeCell ref="AN110:AO110"/>
    <mergeCell ref="C111:F111"/>
    <mergeCell ref="G111:K111"/>
    <mergeCell ref="L111:P111"/>
    <mergeCell ref="Q111:R111"/>
    <mergeCell ref="S111:X111"/>
    <mergeCell ref="Y111:Z111"/>
    <mergeCell ref="C110:F110"/>
    <mergeCell ref="G110:K110"/>
    <mergeCell ref="L110:P110"/>
    <mergeCell ref="Q110:R110"/>
    <mergeCell ref="S110:X110"/>
    <mergeCell ref="Y110:Z110"/>
    <mergeCell ref="AA111:AF111"/>
    <mergeCell ref="AG111:AH111"/>
    <mergeCell ref="AI111:AM111"/>
    <mergeCell ref="AN111:AO111"/>
    <mergeCell ref="AA108:AF108"/>
    <mergeCell ref="AG108:AH108"/>
    <mergeCell ref="AI108:AM108"/>
    <mergeCell ref="AN108:AO108"/>
    <mergeCell ref="C109:F109"/>
    <mergeCell ref="G109:K109"/>
    <mergeCell ref="AA107:AF107"/>
    <mergeCell ref="AG107:AH107"/>
    <mergeCell ref="AI107:AM107"/>
    <mergeCell ref="AN107:AO107"/>
    <mergeCell ref="C108:F108"/>
    <mergeCell ref="G108:K108"/>
    <mergeCell ref="L108:P108"/>
    <mergeCell ref="Q108:R108"/>
    <mergeCell ref="Y108:Z108"/>
    <mergeCell ref="C106:F107"/>
    <mergeCell ref="G106:K107"/>
    <mergeCell ref="L106:R106"/>
    <mergeCell ref="S106:Z106"/>
    <mergeCell ref="AA106:AH106"/>
    <mergeCell ref="AI106:AO106"/>
    <mergeCell ref="L107:P107"/>
    <mergeCell ref="Q107:R107"/>
    <mergeCell ref="AN101:AO101"/>
    <mergeCell ref="C102:F102"/>
    <mergeCell ref="G102:K102"/>
    <mergeCell ref="L102:P102"/>
    <mergeCell ref="Q102:R102"/>
    <mergeCell ref="Y102:Z102"/>
    <mergeCell ref="S107:X107"/>
    <mergeCell ref="Y107:Z107"/>
    <mergeCell ref="AA103:AF103"/>
    <mergeCell ref="AG103:AH103"/>
    <mergeCell ref="AI103:AM103"/>
    <mergeCell ref="AN103:AO103"/>
    <mergeCell ref="Y104:Z104"/>
    <mergeCell ref="C105:AO105"/>
    <mergeCell ref="AA102:AF102"/>
    <mergeCell ref="AG102:AH102"/>
    <mergeCell ref="AI102:AM102"/>
    <mergeCell ref="AN102:AO102"/>
    <mergeCell ref="C103:F103"/>
    <mergeCell ref="G103:K103"/>
    <mergeCell ref="L103:P103"/>
    <mergeCell ref="Q103:R103"/>
    <mergeCell ref="S103:X103"/>
    <mergeCell ref="Y103:Z103"/>
    <mergeCell ref="C101:F101"/>
    <mergeCell ref="G101:K101"/>
    <mergeCell ref="L101:P101"/>
    <mergeCell ref="Q101:R101"/>
    <mergeCell ref="Y101:Z101"/>
    <mergeCell ref="AA101:AF101"/>
    <mergeCell ref="AG101:AH101"/>
    <mergeCell ref="AI101:AM101"/>
    <mergeCell ref="S101:W101"/>
    <mergeCell ref="AN99:AO99"/>
    <mergeCell ref="C100:F100"/>
    <mergeCell ref="G100:K100"/>
    <mergeCell ref="L100:P100"/>
    <mergeCell ref="Q100:R100"/>
    <mergeCell ref="S100:W100"/>
    <mergeCell ref="Y100:Z100"/>
    <mergeCell ref="AA100:AF100"/>
    <mergeCell ref="AG100:AH100"/>
    <mergeCell ref="AI100:AM100"/>
    <mergeCell ref="AN100:AO100"/>
    <mergeCell ref="C99:F99"/>
    <mergeCell ref="G99:K99"/>
    <mergeCell ref="L99:P99"/>
    <mergeCell ref="Q99:R99"/>
    <mergeCell ref="S99:W99"/>
    <mergeCell ref="Y99:Z99"/>
    <mergeCell ref="AA99:AF99"/>
    <mergeCell ref="AG99:AH99"/>
    <mergeCell ref="AI99:AM99"/>
    <mergeCell ref="AN97:AO97"/>
    <mergeCell ref="C98:F98"/>
    <mergeCell ref="G98:K98"/>
    <mergeCell ref="L98:P98"/>
    <mergeCell ref="Q98:R98"/>
    <mergeCell ref="S98:W98"/>
    <mergeCell ref="Y98:Z98"/>
    <mergeCell ref="AA98:AF98"/>
    <mergeCell ref="AG98:AH98"/>
    <mergeCell ref="AI98:AM98"/>
    <mergeCell ref="AN98:AO98"/>
    <mergeCell ref="C97:F97"/>
    <mergeCell ref="G97:K97"/>
    <mergeCell ref="L97:P97"/>
    <mergeCell ref="Q97:R97"/>
    <mergeCell ref="S97:X97"/>
    <mergeCell ref="Y97:Z97"/>
    <mergeCell ref="AA97:AF97"/>
    <mergeCell ref="AG97:AH97"/>
    <mergeCell ref="AI97:AM97"/>
    <mergeCell ref="AN95:AO95"/>
    <mergeCell ref="C96:F96"/>
    <mergeCell ref="G96:K96"/>
    <mergeCell ref="L96:P96"/>
    <mergeCell ref="Q96:R96"/>
    <mergeCell ref="S96:X96"/>
    <mergeCell ref="Y96:Z96"/>
    <mergeCell ref="AA96:AF96"/>
    <mergeCell ref="AG96:AH96"/>
    <mergeCell ref="AI96:AM96"/>
    <mergeCell ref="AN96:AO96"/>
    <mergeCell ref="C95:F95"/>
    <mergeCell ref="G95:K95"/>
    <mergeCell ref="L95:P95"/>
    <mergeCell ref="Q95:R95"/>
    <mergeCell ref="S95:X95"/>
    <mergeCell ref="Y95:Z95"/>
    <mergeCell ref="AA95:AF95"/>
    <mergeCell ref="AG95:AH95"/>
    <mergeCell ref="AI95:AM95"/>
    <mergeCell ref="AN93:AO93"/>
    <mergeCell ref="C94:F94"/>
    <mergeCell ref="G94:K94"/>
    <mergeCell ref="L94:P94"/>
    <mergeCell ref="Q94:R94"/>
    <mergeCell ref="S94:X94"/>
    <mergeCell ref="Y94:Z94"/>
    <mergeCell ref="AA94:AF94"/>
    <mergeCell ref="AG94:AH94"/>
    <mergeCell ref="AI94:AM94"/>
    <mergeCell ref="AN94:AO94"/>
    <mergeCell ref="C93:F93"/>
    <mergeCell ref="G93:K93"/>
    <mergeCell ref="L93:P93"/>
    <mergeCell ref="Q93:R93"/>
    <mergeCell ref="S93:X93"/>
    <mergeCell ref="Y93:Z93"/>
    <mergeCell ref="AA93:AF93"/>
    <mergeCell ref="AG93:AH93"/>
    <mergeCell ref="AI93:AM93"/>
    <mergeCell ref="AN91:AO91"/>
    <mergeCell ref="C92:F92"/>
    <mergeCell ref="G92:K92"/>
    <mergeCell ref="L92:P92"/>
    <mergeCell ref="Q92:R92"/>
    <mergeCell ref="S92:X92"/>
    <mergeCell ref="Y92:Z92"/>
    <mergeCell ref="AA92:AF92"/>
    <mergeCell ref="AG92:AH92"/>
    <mergeCell ref="AI92:AM92"/>
    <mergeCell ref="AN92:AO92"/>
    <mergeCell ref="C91:F91"/>
    <mergeCell ref="G91:K91"/>
    <mergeCell ref="L91:P91"/>
    <mergeCell ref="Q91:R91"/>
    <mergeCell ref="S91:X91"/>
    <mergeCell ref="Y91:Z91"/>
    <mergeCell ref="AA91:AF91"/>
    <mergeCell ref="AG91:AH91"/>
    <mergeCell ref="AI91:AM91"/>
    <mergeCell ref="AN89:AO89"/>
    <mergeCell ref="C90:F90"/>
    <mergeCell ref="G90:K90"/>
    <mergeCell ref="L90:P90"/>
    <mergeCell ref="Q90:R90"/>
    <mergeCell ref="S90:X90"/>
    <mergeCell ref="Y90:Z90"/>
    <mergeCell ref="AA90:AF90"/>
    <mergeCell ref="AG90:AH90"/>
    <mergeCell ref="AI90:AM90"/>
    <mergeCell ref="AN90:AO90"/>
    <mergeCell ref="C89:F89"/>
    <mergeCell ref="G89:K89"/>
    <mergeCell ref="L89:P89"/>
    <mergeCell ref="Q89:R89"/>
    <mergeCell ref="S89:X89"/>
    <mergeCell ref="Y89:Z89"/>
    <mergeCell ref="AA89:AF89"/>
    <mergeCell ref="AG89:AH89"/>
    <mergeCell ref="AI89:AM89"/>
    <mergeCell ref="AG87:AH87"/>
    <mergeCell ref="AI87:AM87"/>
    <mergeCell ref="AN87:AO87"/>
    <mergeCell ref="C88:F88"/>
    <mergeCell ref="G88:K88"/>
    <mergeCell ref="L88:P88"/>
    <mergeCell ref="Q88:R88"/>
    <mergeCell ref="S88:X88"/>
    <mergeCell ref="Y88:Z88"/>
    <mergeCell ref="C86:F87"/>
    <mergeCell ref="G86:K87"/>
    <mergeCell ref="L86:R86"/>
    <mergeCell ref="S86:Z86"/>
    <mergeCell ref="AA86:AH86"/>
    <mergeCell ref="AI86:AO86"/>
    <mergeCell ref="L87:P87"/>
    <mergeCell ref="Q87:R87"/>
    <mergeCell ref="S87:X87"/>
    <mergeCell ref="Y87:Z87"/>
    <mergeCell ref="AA88:AF88"/>
    <mergeCell ref="AG88:AH88"/>
    <mergeCell ref="AI88:AM88"/>
    <mergeCell ref="AN88:AO88"/>
    <mergeCell ref="E76:AB76"/>
    <mergeCell ref="AC76:AD76"/>
    <mergeCell ref="E78:AB78"/>
    <mergeCell ref="AC78:AD78"/>
    <mergeCell ref="G63:U63"/>
    <mergeCell ref="V63:X63"/>
    <mergeCell ref="G65:U65"/>
    <mergeCell ref="V65:X65"/>
    <mergeCell ref="AA87:AF87"/>
    <mergeCell ref="D72:D75"/>
    <mergeCell ref="E72:AB75"/>
    <mergeCell ref="I59:U59"/>
    <mergeCell ref="V59:X59"/>
    <mergeCell ref="Z59:AC59"/>
    <mergeCell ref="AD59:AF59"/>
    <mergeCell ref="AG59:AI59"/>
    <mergeCell ref="AJ59:AO59"/>
    <mergeCell ref="I57:U57"/>
    <mergeCell ref="V57:X57"/>
    <mergeCell ref="Z57:AC57"/>
    <mergeCell ref="AD57:AF57"/>
    <mergeCell ref="AG57:AI57"/>
    <mergeCell ref="AJ57:AO57"/>
    <mergeCell ref="AC72:AD75"/>
    <mergeCell ref="AE72:AE75"/>
    <mergeCell ref="AF72:AK75"/>
    <mergeCell ref="AJ61:AO61"/>
    <mergeCell ref="AG61:AI61"/>
    <mergeCell ref="I61:U61"/>
    <mergeCell ref="V61:X61"/>
    <mergeCell ref="Z61:AC61"/>
    <mergeCell ref="AD61:AF61"/>
    <mergeCell ref="I55:U55"/>
    <mergeCell ref="V55:X55"/>
    <mergeCell ref="Z55:AC55"/>
    <mergeCell ref="AD55:AF55"/>
    <mergeCell ref="AG55:AI55"/>
    <mergeCell ref="AJ55:AO55"/>
    <mergeCell ref="E50:L50"/>
    <mergeCell ref="M50:T50"/>
    <mergeCell ref="U50:AB50"/>
    <mergeCell ref="AC50:AK50"/>
    <mergeCell ref="O51:V51"/>
    <mergeCell ref="G53:U53"/>
    <mergeCell ref="V53:X53"/>
    <mergeCell ref="V44:AH44"/>
    <mergeCell ref="AI44:AK44"/>
    <mergeCell ref="Z46:AC46"/>
    <mergeCell ref="E49:L49"/>
    <mergeCell ref="M49:T49"/>
    <mergeCell ref="U49:AB49"/>
    <mergeCell ref="AC49:AK49"/>
    <mergeCell ref="V42:X42"/>
    <mergeCell ref="Y42:AA42"/>
    <mergeCell ref="AB42:AD42"/>
    <mergeCell ref="AI42:AK42"/>
    <mergeCell ref="V43:X43"/>
    <mergeCell ref="Y43:AA43"/>
    <mergeCell ref="AB43:AD43"/>
    <mergeCell ref="AF43:AH43"/>
    <mergeCell ref="AI43:AK43"/>
    <mergeCell ref="V40:X40"/>
    <mergeCell ref="Y40:AA40"/>
    <mergeCell ref="AB40:AD40"/>
    <mergeCell ref="AF40:AH40"/>
    <mergeCell ref="AI40:AK40"/>
    <mergeCell ref="V41:X41"/>
    <mergeCell ref="Y41:AA41"/>
    <mergeCell ref="AB41:AD41"/>
    <mergeCell ref="AF41:AH41"/>
    <mergeCell ref="AI41:AK41"/>
    <mergeCell ref="V38:X38"/>
    <mergeCell ref="Y38:AA38"/>
    <mergeCell ref="AB38:AD38"/>
    <mergeCell ref="AF38:AH38"/>
    <mergeCell ref="AI38:AK38"/>
    <mergeCell ref="V39:X39"/>
    <mergeCell ref="Y39:AA39"/>
    <mergeCell ref="AB39:AD39"/>
    <mergeCell ref="AF39:AH39"/>
    <mergeCell ref="AI39:AK39"/>
    <mergeCell ref="M9:AO9"/>
    <mergeCell ref="M32:AN32"/>
    <mergeCell ref="F36:P36"/>
    <mergeCell ref="V36:AK36"/>
    <mergeCell ref="V37:X37"/>
    <mergeCell ref="Y37:AA37"/>
    <mergeCell ref="AB37:AD37"/>
    <mergeCell ref="AF37:AH37"/>
    <mergeCell ref="AI37:AK37"/>
    <mergeCell ref="L19:W19"/>
    <mergeCell ref="AC19:AO19"/>
    <mergeCell ref="L21:W21"/>
    <mergeCell ref="L23:AO23"/>
    <mergeCell ref="M30:AO30"/>
    <mergeCell ref="F31:G31"/>
    <mergeCell ref="M31:AN31"/>
    <mergeCell ref="F188:K188"/>
    <mergeCell ref="L188:S188"/>
    <mergeCell ref="T188:AA188"/>
    <mergeCell ref="AB188:AE188"/>
    <mergeCell ref="B1:AP1"/>
    <mergeCell ref="C2:AO2"/>
    <mergeCell ref="B3:AO3"/>
    <mergeCell ref="C5:K5"/>
    <mergeCell ref="M5:AO5"/>
    <mergeCell ref="C6:K6"/>
    <mergeCell ref="M6:AO6"/>
    <mergeCell ref="C10:K10"/>
    <mergeCell ref="M10:AO10"/>
    <mergeCell ref="C12:K12"/>
    <mergeCell ref="M12:AO12"/>
    <mergeCell ref="A13:AO13"/>
    <mergeCell ref="A14:J15"/>
    <mergeCell ref="K14:AO16"/>
    <mergeCell ref="A16:J16"/>
    <mergeCell ref="C7:K7"/>
    <mergeCell ref="M7:AO7"/>
    <mergeCell ref="C8:K8"/>
    <mergeCell ref="M8:AO8"/>
    <mergeCell ref="C9:K9"/>
    <mergeCell ref="AB190:AE190"/>
    <mergeCell ref="F192:K192"/>
    <mergeCell ref="L192:S192"/>
    <mergeCell ref="T192:AA192"/>
    <mergeCell ref="AB192:AE192"/>
    <mergeCell ref="F189:K189"/>
    <mergeCell ref="L189:S189"/>
    <mergeCell ref="T189:AA189"/>
    <mergeCell ref="AB189:AE189"/>
    <mergeCell ref="F191:K191"/>
    <mergeCell ref="L191:S191"/>
    <mergeCell ref="T191:AA191"/>
    <mergeCell ref="AB191:AE191"/>
    <mergeCell ref="F196:K196"/>
    <mergeCell ref="L196:S196"/>
    <mergeCell ref="T196:AA196"/>
    <mergeCell ref="AB196:AE196"/>
    <mergeCell ref="F198:K198"/>
    <mergeCell ref="L198:S198"/>
    <mergeCell ref="T198:AA198"/>
    <mergeCell ref="AB198:AE198"/>
    <mergeCell ref="S102:W102"/>
    <mergeCell ref="F195:K195"/>
    <mergeCell ref="L195:S195"/>
    <mergeCell ref="T195:AA195"/>
    <mergeCell ref="AB195:AE195"/>
    <mergeCell ref="F194:K194"/>
    <mergeCell ref="L194:S194"/>
    <mergeCell ref="T194:AA194"/>
    <mergeCell ref="AB194:AE194"/>
    <mergeCell ref="F193:K193"/>
    <mergeCell ref="L193:S193"/>
    <mergeCell ref="T193:AA193"/>
    <mergeCell ref="AB193:AE193"/>
    <mergeCell ref="F190:K190"/>
    <mergeCell ref="L190:S190"/>
    <mergeCell ref="T190:AA190"/>
  </mergeCells>
  <pageMargins left="0.23622047244094499" right="0.23622047244094499" top="0.74803149606299202" bottom="0.74803149606299202" header="0.31496062992126" footer="0.31496062992126"/>
  <pageSetup paperSize="9" scale="67" fitToHeight="0" orientation="landscape" r:id="rId1"/>
  <rowBreaks count="5" manualBreakCount="5">
    <brk id="44" max="40" man="1"/>
    <brk id="83" max="40" man="1"/>
    <brk id="103" max="40" man="1"/>
    <brk id="148" max="40" man="1"/>
    <brk id="150" max="40" man="1"/>
  </rowBreaks>
  <colBreaks count="1" manualBreakCount="1">
    <brk id="42" max="1048575" man="1"/>
  </colBreaks>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0000"/>
    <pageSetUpPr fitToPage="1"/>
  </sheetPr>
  <dimension ref="B1:AJ839"/>
  <sheetViews>
    <sheetView view="pageBreakPreview" topLeftCell="A497" zoomScaleNormal="85" zoomScaleSheetLayoutView="100" workbookViewId="0">
      <selection activeCell="D26" sqref="D26"/>
    </sheetView>
  </sheetViews>
  <sheetFormatPr baseColWidth="10" defaultRowHeight="13.5"/>
  <cols>
    <col min="1" max="1" width="11.5703125" style="1083"/>
    <col min="2" max="2" width="2.5703125" style="1902" customWidth="1"/>
    <col min="3" max="3" width="13.42578125" style="1083" customWidth="1"/>
    <col min="4" max="4" width="64.42578125" style="1092" customWidth="1"/>
    <col min="5" max="5" width="10.5703125" style="1085" customWidth="1"/>
    <col min="6" max="6" width="10.85546875" style="2050"/>
    <col min="7" max="7" width="2.140625" style="1083" customWidth="1"/>
    <col min="8" max="228" width="10.85546875" style="1083"/>
    <col min="229" max="229" width="8.5703125" style="1083" customWidth="1"/>
    <col min="230" max="230" width="50" style="1083" customWidth="1"/>
    <col min="231" max="231" width="6.42578125" style="1083" bestFit="1" customWidth="1"/>
    <col min="232" max="233" width="8.5703125" style="1083" customWidth="1"/>
    <col min="234" max="234" width="11.42578125" style="1083" bestFit="1" customWidth="1"/>
    <col min="235" max="235" width="7.5703125" style="1083" bestFit="1" customWidth="1"/>
    <col min="236" max="236" width="11.5703125" style="1083" bestFit="1" customWidth="1"/>
    <col min="237" max="237" width="8" style="1083" bestFit="1" customWidth="1"/>
    <col min="238" max="238" width="11.5703125" style="1083" bestFit="1" customWidth="1"/>
    <col min="239" max="239" width="8.42578125" style="1083" bestFit="1" customWidth="1"/>
    <col min="240" max="240" width="11.5703125" style="1083" bestFit="1" customWidth="1"/>
    <col min="241" max="241" width="8.42578125" style="1083" customWidth="1"/>
    <col min="242" max="242" width="7.42578125" style="1083" bestFit="1" customWidth="1"/>
    <col min="243" max="243" width="11.5703125" style="1083" bestFit="1" customWidth="1"/>
    <col min="244" max="244" width="8.42578125" style="1083" customWidth="1"/>
    <col min="245" max="245" width="13" style="1083" bestFit="1" customWidth="1"/>
    <col min="246" max="484" width="10.85546875" style="1083"/>
    <col min="485" max="485" width="8.5703125" style="1083" customWidth="1"/>
    <col min="486" max="486" width="50" style="1083" customWidth="1"/>
    <col min="487" max="487" width="6.42578125" style="1083" bestFit="1" customWidth="1"/>
    <col min="488" max="489" width="8.5703125" style="1083" customWidth="1"/>
    <col min="490" max="490" width="11.42578125" style="1083" bestFit="1" customWidth="1"/>
    <col min="491" max="491" width="7.5703125" style="1083" bestFit="1" customWidth="1"/>
    <col min="492" max="492" width="11.5703125" style="1083" bestFit="1" customWidth="1"/>
    <col min="493" max="493" width="8" style="1083" bestFit="1" customWidth="1"/>
    <col min="494" max="494" width="11.5703125" style="1083" bestFit="1" customWidth="1"/>
    <col min="495" max="495" width="8.42578125" style="1083" bestFit="1" customWidth="1"/>
    <col min="496" max="496" width="11.5703125" style="1083" bestFit="1" customWidth="1"/>
    <col min="497" max="497" width="8.42578125" style="1083" customWidth="1"/>
    <col min="498" max="498" width="7.42578125" style="1083" bestFit="1" customWidth="1"/>
    <col min="499" max="499" width="11.5703125" style="1083" bestFit="1" customWidth="1"/>
    <col min="500" max="500" width="8.42578125" style="1083" customWidth="1"/>
    <col min="501" max="501" width="13" style="1083" bestFit="1" customWidth="1"/>
    <col min="502" max="740" width="10.85546875" style="1083"/>
    <col min="741" max="741" width="8.5703125" style="1083" customWidth="1"/>
    <col min="742" max="742" width="50" style="1083" customWidth="1"/>
    <col min="743" max="743" width="6.42578125" style="1083" bestFit="1" customWidth="1"/>
    <col min="744" max="745" width="8.5703125" style="1083" customWidth="1"/>
    <col min="746" max="746" width="11.42578125" style="1083" bestFit="1" customWidth="1"/>
    <col min="747" max="747" width="7.5703125" style="1083" bestFit="1" customWidth="1"/>
    <col min="748" max="748" width="11.5703125" style="1083" bestFit="1" customWidth="1"/>
    <col min="749" max="749" width="8" style="1083" bestFit="1" customWidth="1"/>
    <col min="750" max="750" width="11.5703125" style="1083" bestFit="1" customWidth="1"/>
    <col min="751" max="751" width="8.42578125" style="1083" bestFit="1" customWidth="1"/>
    <col min="752" max="752" width="11.5703125" style="1083" bestFit="1" customWidth="1"/>
    <col min="753" max="753" width="8.42578125" style="1083" customWidth="1"/>
    <col min="754" max="754" width="7.42578125" style="1083" bestFit="1" customWidth="1"/>
    <col min="755" max="755" width="11.5703125" style="1083" bestFit="1" customWidth="1"/>
    <col min="756" max="756" width="8.42578125" style="1083" customWidth="1"/>
    <col min="757" max="757" width="13" style="1083" bestFit="1" customWidth="1"/>
    <col min="758" max="996" width="10.85546875" style="1083"/>
    <col min="997" max="997" width="8.5703125" style="1083" customWidth="1"/>
    <col min="998" max="998" width="50" style="1083" customWidth="1"/>
    <col min="999" max="999" width="6.42578125" style="1083" bestFit="1" customWidth="1"/>
    <col min="1000" max="1001" width="8.5703125" style="1083" customWidth="1"/>
    <col min="1002" max="1002" width="11.42578125" style="1083" bestFit="1" customWidth="1"/>
    <col min="1003" max="1003" width="7.5703125" style="1083" bestFit="1" customWidth="1"/>
    <col min="1004" max="1004" width="11.5703125" style="1083" bestFit="1" customWidth="1"/>
    <col min="1005" max="1005" width="8" style="1083" bestFit="1" customWidth="1"/>
    <col min="1006" max="1006" width="11.5703125" style="1083" bestFit="1" customWidth="1"/>
    <col min="1007" max="1007" width="8.42578125" style="1083" bestFit="1" customWidth="1"/>
    <col min="1008" max="1008" width="11.5703125" style="1083" bestFit="1" customWidth="1"/>
    <col min="1009" max="1009" width="8.42578125" style="1083" customWidth="1"/>
    <col min="1010" max="1010" width="7.42578125" style="1083" bestFit="1" customWidth="1"/>
    <col min="1011" max="1011" width="11.5703125" style="1083" bestFit="1" customWidth="1"/>
    <col min="1012" max="1012" width="8.42578125" style="1083" customWidth="1"/>
    <col min="1013" max="1013" width="13" style="1083" bestFit="1" customWidth="1"/>
    <col min="1014" max="1252" width="10.85546875" style="1083"/>
    <col min="1253" max="1253" width="8.5703125" style="1083" customWidth="1"/>
    <col min="1254" max="1254" width="50" style="1083" customWidth="1"/>
    <col min="1255" max="1255" width="6.42578125" style="1083" bestFit="1" customWidth="1"/>
    <col min="1256" max="1257" width="8.5703125" style="1083" customWidth="1"/>
    <col min="1258" max="1258" width="11.42578125" style="1083" bestFit="1" customWidth="1"/>
    <col min="1259" max="1259" width="7.5703125" style="1083" bestFit="1" customWidth="1"/>
    <col min="1260" max="1260" width="11.5703125" style="1083" bestFit="1" customWidth="1"/>
    <col min="1261" max="1261" width="8" style="1083" bestFit="1" customWidth="1"/>
    <col min="1262" max="1262" width="11.5703125" style="1083" bestFit="1" customWidth="1"/>
    <col min="1263" max="1263" width="8.42578125" style="1083" bestFit="1" customWidth="1"/>
    <col min="1264" max="1264" width="11.5703125" style="1083" bestFit="1" customWidth="1"/>
    <col min="1265" max="1265" width="8.42578125" style="1083" customWidth="1"/>
    <col min="1266" max="1266" width="7.42578125" style="1083" bestFit="1" customWidth="1"/>
    <col min="1267" max="1267" width="11.5703125" style="1083" bestFit="1" customWidth="1"/>
    <col min="1268" max="1268" width="8.42578125" style="1083" customWidth="1"/>
    <col min="1269" max="1269" width="13" style="1083" bestFit="1" customWidth="1"/>
    <col min="1270" max="1508" width="10.85546875" style="1083"/>
    <col min="1509" max="1509" width="8.5703125" style="1083" customWidth="1"/>
    <col min="1510" max="1510" width="50" style="1083" customWidth="1"/>
    <col min="1511" max="1511" width="6.42578125" style="1083" bestFit="1" customWidth="1"/>
    <col min="1512" max="1513" width="8.5703125" style="1083" customWidth="1"/>
    <col min="1514" max="1514" width="11.42578125" style="1083" bestFit="1" customWidth="1"/>
    <col min="1515" max="1515" width="7.5703125" style="1083" bestFit="1" customWidth="1"/>
    <col min="1516" max="1516" width="11.5703125" style="1083" bestFit="1" customWidth="1"/>
    <col min="1517" max="1517" width="8" style="1083" bestFit="1" customWidth="1"/>
    <col min="1518" max="1518" width="11.5703125" style="1083" bestFit="1" customWidth="1"/>
    <col min="1519" max="1519" width="8.42578125" style="1083" bestFit="1" customWidth="1"/>
    <col min="1520" max="1520" width="11.5703125" style="1083" bestFit="1" customWidth="1"/>
    <col min="1521" max="1521" width="8.42578125" style="1083" customWidth="1"/>
    <col min="1522" max="1522" width="7.42578125" style="1083" bestFit="1" customWidth="1"/>
    <col min="1523" max="1523" width="11.5703125" style="1083" bestFit="1" customWidth="1"/>
    <col min="1524" max="1524" width="8.42578125" style="1083" customWidth="1"/>
    <col min="1525" max="1525" width="13" style="1083" bestFit="1" customWidth="1"/>
    <col min="1526" max="1764" width="10.85546875" style="1083"/>
    <col min="1765" max="1765" width="8.5703125" style="1083" customWidth="1"/>
    <col min="1766" max="1766" width="50" style="1083" customWidth="1"/>
    <col min="1767" max="1767" width="6.42578125" style="1083" bestFit="1" customWidth="1"/>
    <col min="1768" max="1769" width="8.5703125" style="1083" customWidth="1"/>
    <col min="1770" max="1770" width="11.42578125" style="1083" bestFit="1" customWidth="1"/>
    <col min="1771" max="1771" width="7.5703125" style="1083" bestFit="1" customWidth="1"/>
    <col min="1772" max="1772" width="11.5703125" style="1083" bestFit="1" customWidth="1"/>
    <col min="1773" max="1773" width="8" style="1083" bestFit="1" customWidth="1"/>
    <col min="1774" max="1774" width="11.5703125" style="1083" bestFit="1" customWidth="1"/>
    <col min="1775" max="1775" width="8.42578125" style="1083" bestFit="1" customWidth="1"/>
    <col min="1776" max="1776" width="11.5703125" style="1083" bestFit="1" customWidth="1"/>
    <col min="1777" max="1777" width="8.42578125" style="1083" customWidth="1"/>
    <col min="1778" max="1778" width="7.42578125" style="1083" bestFit="1" customWidth="1"/>
    <col min="1779" max="1779" width="11.5703125" style="1083" bestFit="1" customWidth="1"/>
    <col min="1780" max="1780" width="8.42578125" style="1083" customWidth="1"/>
    <col min="1781" max="1781" width="13" style="1083" bestFit="1" customWidth="1"/>
    <col min="1782" max="2020" width="10.85546875" style="1083"/>
    <col min="2021" max="2021" width="8.5703125" style="1083" customWidth="1"/>
    <col min="2022" max="2022" width="50" style="1083" customWidth="1"/>
    <col min="2023" max="2023" width="6.42578125" style="1083" bestFit="1" customWidth="1"/>
    <col min="2024" max="2025" width="8.5703125" style="1083" customWidth="1"/>
    <col min="2026" max="2026" width="11.42578125" style="1083" bestFit="1" customWidth="1"/>
    <col min="2027" max="2027" width="7.5703125" style="1083" bestFit="1" customWidth="1"/>
    <col min="2028" max="2028" width="11.5703125" style="1083" bestFit="1" customWidth="1"/>
    <col min="2029" max="2029" width="8" style="1083" bestFit="1" customWidth="1"/>
    <col min="2030" max="2030" width="11.5703125" style="1083" bestFit="1" customWidth="1"/>
    <col min="2031" max="2031" width="8.42578125" style="1083" bestFit="1" customWidth="1"/>
    <col min="2032" max="2032" width="11.5703125" style="1083" bestFit="1" customWidth="1"/>
    <col min="2033" max="2033" width="8.42578125" style="1083" customWidth="1"/>
    <col min="2034" max="2034" width="7.42578125" style="1083" bestFit="1" customWidth="1"/>
    <col min="2035" max="2035" width="11.5703125" style="1083" bestFit="1" customWidth="1"/>
    <col min="2036" max="2036" width="8.42578125" style="1083" customWidth="1"/>
    <col min="2037" max="2037" width="13" style="1083" bestFit="1" customWidth="1"/>
    <col min="2038" max="2276" width="10.85546875" style="1083"/>
    <col min="2277" max="2277" width="8.5703125" style="1083" customWidth="1"/>
    <col min="2278" max="2278" width="50" style="1083" customWidth="1"/>
    <col min="2279" max="2279" width="6.42578125" style="1083" bestFit="1" customWidth="1"/>
    <col min="2280" max="2281" width="8.5703125" style="1083" customWidth="1"/>
    <col min="2282" max="2282" width="11.42578125" style="1083" bestFit="1" customWidth="1"/>
    <col min="2283" max="2283" width="7.5703125" style="1083" bestFit="1" customWidth="1"/>
    <col min="2284" max="2284" width="11.5703125" style="1083" bestFit="1" customWidth="1"/>
    <col min="2285" max="2285" width="8" style="1083" bestFit="1" customWidth="1"/>
    <col min="2286" max="2286" width="11.5703125" style="1083" bestFit="1" customWidth="1"/>
    <col min="2287" max="2287" width="8.42578125" style="1083" bestFit="1" customWidth="1"/>
    <col min="2288" max="2288" width="11.5703125" style="1083" bestFit="1" customWidth="1"/>
    <col min="2289" max="2289" width="8.42578125" style="1083" customWidth="1"/>
    <col min="2290" max="2290" width="7.42578125" style="1083" bestFit="1" customWidth="1"/>
    <col min="2291" max="2291" width="11.5703125" style="1083" bestFit="1" customWidth="1"/>
    <col min="2292" max="2292" width="8.42578125" style="1083" customWidth="1"/>
    <col min="2293" max="2293" width="13" style="1083" bestFit="1" customWidth="1"/>
    <col min="2294" max="2532" width="10.85546875" style="1083"/>
    <col min="2533" max="2533" width="8.5703125" style="1083" customWidth="1"/>
    <col min="2534" max="2534" width="50" style="1083" customWidth="1"/>
    <col min="2535" max="2535" width="6.42578125" style="1083" bestFit="1" customWidth="1"/>
    <col min="2536" max="2537" width="8.5703125" style="1083" customWidth="1"/>
    <col min="2538" max="2538" width="11.42578125" style="1083" bestFit="1" customWidth="1"/>
    <col min="2539" max="2539" width="7.5703125" style="1083" bestFit="1" customWidth="1"/>
    <col min="2540" max="2540" width="11.5703125" style="1083" bestFit="1" customWidth="1"/>
    <col min="2541" max="2541" width="8" style="1083" bestFit="1" customWidth="1"/>
    <col min="2542" max="2542" width="11.5703125" style="1083" bestFit="1" customWidth="1"/>
    <col min="2543" max="2543" width="8.42578125" style="1083" bestFit="1" customWidth="1"/>
    <col min="2544" max="2544" width="11.5703125" style="1083" bestFit="1" customWidth="1"/>
    <col min="2545" max="2545" width="8.42578125" style="1083" customWidth="1"/>
    <col min="2546" max="2546" width="7.42578125" style="1083" bestFit="1" customWidth="1"/>
    <col min="2547" max="2547" width="11.5703125" style="1083" bestFit="1" customWidth="1"/>
    <col min="2548" max="2548" width="8.42578125" style="1083" customWidth="1"/>
    <col min="2549" max="2549" width="13" style="1083" bestFit="1" customWidth="1"/>
    <col min="2550" max="2788" width="10.85546875" style="1083"/>
    <col min="2789" max="2789" width="8.5703125" style="1083" customWidth="1"/>
    <col min="2790" max="2790" width="50" style="1083" customWidth="1"/>
    <col min="2791" max="2791" width="6.42578125" style="1083" bestFit="1" customWidth="1"/>
    <col min="2792" max="2793" width="8.5703125" style="1083" customWidth="1"/>
    <col min="2794" max="2794" width="11.42578125" style="1083" bestFit="1" customWidth="1"/>
    <col min="2795" max="2795" width="7.5703125" style="1083" bestFit="1" customWidth="1"/>
    <col min="2796" max="2796" width="11.5703125" style="1083" bestFit="1" customWidth="1"/>
    <col min="2797" max="2797" width="8" style="1083" bestFit="1" customWidth="1"/>
    <col min="2798" max="2798" width="11.5703125" style="1083" bestFit="1" customWidth="1"/>
    <col min="2799" max="2799" width="8.42578125" style="1083" bestFit="1" customWidth="1"/>
    <col min="2800" max="2800" width="11.5703125" style="1083" bestFit="1" customWidth="1"/>
    <col min="2801" max="2801" width="8.42578125" style="1083" customWidth="1"/>
    <col min="2802" max="2802" width="7.42578125" style="1083" bestFit="1" customWidth="1"/>
    <col min="2803" max="2803" width="11.5703125" style="1083" bestFit="1" customWidth="1"/>
    <col min="2804" max="2804" width="8.42578125" style="1083" customWidth="1"/>
    <col min="2805" max="2805" width="13" style="1083" bestFit="1" customWidth="1"/>
    <col min="2806" max="3044" width="10.85546875" style="1083"/>
    <col min="3045" max="3045" width="8.5703125" style="1083" customWidth="1"/>
    <col min="3046" max="3046" width="50" style="1083" customWidth="1"/>
    <col min="3047" max="3047" width="6.42578125" style="1083" bestFit="1" customWidth="1"/>
    <col min="3048" max="3049" width="8.5703125" style="1083" customWidth="1"/>
    <col min="3050" max="3050" width="11.42578125" style="1083" bestFit="1" customWidth="1"/>
    <col min="3051" max="3051" width="7.5703125" style="1083" bestFit="1" customWidth="1"/>
    <col min="3052" max="3052" width="11.5703125" style="1083" bestFit="1" customWidth="1"/>
    <col min="3053" max="3053" width="8" style="1083" bestFit="1" customWidth="1"/>
    <col min="3054" max="3054" width="11.5703125" style="1083" bestFit="1" customWidth="1"/>
    <col min="3055" max="3055" width="8.42578125" style="1083" bestFit="1" customWidth="1"/>
    <col min="3056" max="3056" width="11.5703125" style="1083" bestFit="1" customWidth="1"/>
    <col min="3057" max="3057" width="8.42578125" style="1083" customWidth="1"/>
    <col min="3058" max="3058" width="7.42578125" style="1083" bestFit="1" customWidth="1"/>
    <col min="3059" max="3059" width="11.5703125" style="1083" bestFit="1" customWidth="1"/>
    <col min="3060" max="3060" width="8.42578125" style="1083" customWidth="1"/>
    <col min="3061" max="3061" width="13" style="1083" bestFit="1" customWidth="1"/>
    <col min="3062" max="3300" width="10.85546875" style="1083"/>
    <col min="3301" max="3301" width="8.5703125" style="1083" customWidth="1"/>
    <col min="3302" max="3302" width="50" style="1083" customWidth="1"/>
    <col min="3303" max="3303" width="6.42578125" style="1083" bestFit="1" customWidth="1"/>
    <col min="3304" max="3305" width="8.5703125" style="1083" customWidth="1"/>
    <col min="3306" max="3306" width="11.42578125" style="1083" bestFit="1" customWidth="1"/>
    <col min="3307" max="3307" width="7.5703125" style="1083" bestFit="1" customWidth="1"/>
    <col min="3308" max="3308" width="11.5703125" style="1083" bestFit="1" customWidth="1"/>
    <col min="3309" max="3309" width="8" style="1083" bestFit="1" customWidth="1"/>
    <col min="3310" max="3310" width="11.5703125" style="1083" bestFit="1" customWidth="1"/>
    <col min="3311" max="3311" width="8.42578125" style="1083" bestFit="1" customWidth="1"/>
    <col min="3312" max="3312" width="11.5703125" style="1083" bestFit="1" customWidth="1"/>
    <col min="3313" max="3313" width="8.42578125" style="1083" customWidth="1"/>
    <col min="3314" max="3314" width="7.42578125" style="1083" bestFit="1" customWidth="1"/>
    <col min="3315" max="3315" width="11.5703125" style="1083" bestFit="1" customWidth="1"/>
    <col min="3316" max="3316" width="8.42578125" style="1083" customWidth="1"/>
    <col min="3317" max="3317" width="13" style="1083" bestFit="1" customWidth="1"/>
    <col min="3318" max="3556" width="10.85546875" style="1083"/>
    <col min="3557" max="3557" width="8.5703125" style="1083" customWidth="1"/>
    <col min="3558" max="3558" width="50" style="1083" customWidth="1"/>
    <col min="3559" max="3559" width="6.42578125" style="1083" bestFit="1" customWidth="1"/>
    <col min="3560" max="3561" width="8.5703125" style="1083" customWidth="1"/>
    <col min="3562" max="3562" width="11.42578125" style="1083" bestFit="1" customWidth="1"/>
    <col min="3563" max="3563" width="7.5703125" style="1083" bestFit="1" customWidth="1"/>
    <col min="3564" max="3564" width="11.5703125" style="1083" bestFit="1" customWidth="1"/>
    <col min="3565" max="3565" width="8" style="1083" bestFit="1" customWidth="1"/>
    <col min="3566" max="3566" width="11.5703125" style="1083" bestFit="1" customWidth="1"/>
    <col min="3567" max="3567" width="8.42578125" style="1083" bestFit="1" customWidth="1"/>
    <col min="3568" max="3568" width="11.5703125" style="1083" bestFit="1" customWidth="1"/>
    <col min="3569" max="3569" width="8.42578125" style="1083" customWidth="1"/>
    <col min="3570" max="3570" width="7.42578125" style="1083" bestFit="1" customWidth="1"/>
    <col min="3571" max="3571" width="11.5703125" style="1083" bestFit="1" customWidth="1"/>
    <col min="3572" max="3572" width="8.42578125" style="1083" customWidth="1"/>
    <col min="3573" max="3573" width="13" style="1083" bestFit="1" customWidth="1"/>
    <col min="3574" max="3812" width="10.85546875" style="1083"/>
    <col min="3813" max="3813" width="8.5703125" style="1083" customWidth="1"/>
    <col min="3814" max="3814" width="50" style="1083" customWidth="1"/>
    <col min="3815" max="3815" width="6.42578125" style="1083" bestFit="1" customWidth="1"/>
    <col min="3816" max="3817" width="8.5703125" style="1083" customWidth="1"/>
    <col min="3818" max="3818" width="11.42578125" style="1083" bestFit="1" customWidth="1"/>
    <col min="3819" max="3819" width="7.5703125" style="1083" bestFit="1" customWidth="1"/>
    <col min="3820" max="3820" width="11.5703125" style="1083" bestFit="1" customWidth="1"/>
    <col min="3821" max="3821" width="8" style="1083" bestFit="1" customWidth="1"/>
    <col min="3822" max="3822" width="11.5703125" style="1083" bestFit="1" customWidth="1"/>
    <col min="3823" max="3823" width="8.42578125" style="1083" bestFit="1" customWidth="1"/>
    <col min="3824" max="3824" width="11.5703125" style="1083" bestFit="1" customWidth="1"/>
    <col min="3825" max="3825" width="8.42578125" style="1083" customWidth="1"/>
    <col min="3826" max="3826" width="7.42578125" style="1083" bestFit="1" customWidth="1"/>
    <col min="3827" max="3827" width="11.5703125" style="1083" bestFit="1" customWidth="1"/>
    <col min="3828" max="3828" width="8.42578125" style="1083" customWidth="1"/>
    <col min="3829" max="3829" width="13" style="1083" bestFit="1" customWidth="1"/>
    <col min="3830" max="4068" width="10.85546875" style="1083"/>
    <col min="4069" max="4069" width="8.5703125" style="1083" customWidth="1"/>
    <col min="4070" max="4070" width="50" style="1083" customWidth="1"/>
    <col min="4071" max="4071" width="6.42578125" style="1083" bestFit="1" customWidth="1"/>
    <col min="4072" max="4073" width="8.5703125" style="1083" customWidth="1"/>
    <col min="4074" max="4074" width="11.42578125" style="1083" bestFit="1" customWidth="1"/>
    <col min="4075" max="4075" width="7.5703125" style="1083" bestFit="1" customWidth="1"/>
    <col min="4076" max="4076" width="11.5703125" style="1083" bestFit="1" customWidth="1"/>
    <col min="4077" max="4077" width="8" style="1083" bestFit="1" customWidth="1"/>
    <col min="4078" max="4078" width="11.5703125" style="1083" bestFit="1" customWidth="1"/>
    <col min="4079" max="4079" width="8.42578125" style="1083" bestFit="1" customWidth="1"/>
    <col min="4080" max="4080" width="11.5703125" style="1083" bestFit="1" customWidth="1"/>
    <col min="4081" max="4081" width="8.42578125" style="1083" customWidth="1"/>
    <col min="4082" max="4082" width="7.42578125" style="1083" bestFit="1" customWidth="1"/>
    <col min="4083" max="4083" width="11.5703125" style="1083" bestFit="1" customWidth="1"/>
    <col min="4084" max="4084" width="8.42578125" style="1083" customWidth="1"/>
    <col min="4085" max="4085" width="13" style="1083" bestFit="1" customWidth="1"/>
    <col min="4086" max="4324" width="10.85546875" style="1083"/>
    <col min="4325" max="4325" width="8.5703125" style="1083" customWidth="1"/>
    <col min="4326" max="4326" width="50" style="1083" customWidth="1"/>
    <col min="4327" max="4327" width="6.42578125" style="1083" bestFit="1" customWidth="1"/>
    <col min="4328" max="4329" width="8.5703125" style="1083" customWidth="1"/>
    <col min="4330" max="4330" width="11.42578125" style="1083" bestFit="1" customWidth="1"/>
    <col min="4331" max="4331" width="7.5703125" style="1083" bestFit="1" customWidth="1"/>
    <col min="4332" max="4332" width="11.5703125" style="1083" bestFit="1" customWidth="1"/>
    <col min="4333" max="4333" width="8" style="1083" bestFit="1" customWidth="1"/>
    <col min="4334" max="4334" width="11.5703125" style="1083" bestFit="1" customWidth="1"/>
    <col min="4335" max="4335" width="8.42578125" style="1083" bestFit="1" customWidth="1"/>
    <col min="4336" max="4336" width="11.5703125" style="1083" bestFit="1" customWidth="1"/>
    <col min="4337" max="4337" width="8.42578125" style="1083" customWidth="1"/>
    <col min="4338" max="4338" width="7.42578125" style="1083" bestFit="1" customWidth="1"/>
    <col min="4339" max="4339" width="11.5703125" style="1083" bestFit="1" customWidth="1"/>
    <col min="4340" max="4340" width="8.42578125" style="1083" customWidth="1"/>
    <col min="4341" max="4341" width="13" style="1083" bestFit="1" customWidth="1"/>
    <col min="4342" max="4580" width="10.85546875" style="1083"/>
    <col min="4581" max="4581" width="8.5703125" style="1083" customWidth="1"/>
    <col min="4582" max="4582" width="50" style="1083" customWidth="1"/>
    <col min="4583" max="4583" width="6.42578125" style="1083" bestFit="1" customWidth="1"/>
    <col min="4584" max="4585" width="8.5703125" style="1083" customWidth="1"/>
    <col min="4586" max="4586" width="11.42578125" style="1083" bestFit="1" customWidth="1"/>
    <col min="4587" max="4587" width="7.5703125" style="1083" bestFit="1" customWidth="1"/>
    <col min="4588" max="4588" width="11.5703125" style="1083" bestFit="1" customWidth="1"/>
    <col min="4589" max="4589" width="8" style="1083" bestFit="1" customWidth="1"/>
    <col min="4590" max="4590" width="11.5703125" style="1083" bestFit="1" customWidth="1"/>
    <col min="4591" max="4591" width="8.42578125" style="1083" bestFit="1" customWidth="1"/>
    <col min="4592" max="4592" width="11.5703125" style="1083" bestFit="1" customWidth="1"/>
    <col min="4593" max="4593" width="8.42578125" style="1083" customWidth="1"/>
    <col min="4594" max="4594" width="7.42578125" style="1083" bestFit="1" customWidth="1"/>
    <col min="4595" max="4595" width="11.5703125" style="1083" bestFit="1" customWidth="1"/>
    <col min="4596" max="4596" width="8.42578125" style="1083" customWidth="1"/>
    <col min="4597" max="4597" width="13" style="1083" bestFit="1" customWidth="1"/>
    <col min="4598" max="4836" width="10.85546875" style="1083"/>
    <col min="4837" max="4837" width="8.5703125" style="1083" customWidth="1"/>
    <col min="4838" max="4838" width="50" style="1083" customWidth="1"/>
    <col min="4839" max="4839" width="6.42578125" style="1083" bestFit="1" customWidth="1"/>
    <col min="4840" max="4841" width="8.5703125" style="1083" customWidth="1"/>
    <col min="4842" max="4842" width="11.42578125" style="1083" bestFit="1" customWidth="1"/>
    <col min="4843" max="4843" width="7.5703125" style="1083" bestFit="1" customWidth="1"/>
    <col min="4844" max="4844" width="11.5703125" style="1083" bestFit="1" customWidth="1"/>
    <col min="4845" max="4845" width="8" style="1083" bestFit="1" customWidth="1"/>
    <col min="4846" max="4846" width="11.5703125" style="1083" bestFit="1" customWidth="1"/>
    <col min="4847" max="4847" width="8.42578125" style="1083" bestFit="1" customWidth="1"/>
    <col min="4848" max="4848" width="11.5703125" style="1083" bestFit="1" customWidth="1"/>
    <col min="4849" max="4849" width="8.42578125" style="1083" customWidth="1"/>
    <col min="4850" max="4850" width="7.42578125" style="1083" bestFit="1" customWidth="1"/>
    <col min="4851" max="4851" width="11.5703125" style="1083" bestFit="1" customWidth="1"/>
    <col min="4852" max="4852" width="8.42578125" style="1083" customWidth="1"/>
    <col min="4853" max="4853" width="13" style="1083" bestFit="1" customWidth="1"/>
    <col min="4854" max="5092" width="10.85546875" style="1083"/>
    <col min="5093" max="5093" width="8.5703125" style="1083" customWidth="1"/>
    <col min="5094" max="5094" width="50" style="1083" customWidth="1"/>
    <col min="5095" max="5095" width="6.42578125" style="1083" bestFit="1" customWidth="1"/>
    <col min="5096" max="5097" width="8.5703125" style="1083" customWidth="1"/>
    <col min="5098" max="5098" width="11.42578125" style="1083" bestFit="1" customWidth="1"/>
    <col min="5099" max="5099" width="7.5703125" style="1083" bestFit="1" customWidth="1"/>
    <col min="5100" max="5100" width="11.5703125" style="1083" bestFit="1" customWidth="1"/>
    <col min="5101" max="5101" width="8" style="1083" bestFit="1" customWidth="1"/>
    <col min="5102" max="5102" width="11.5703125" style="1083" bestFit="1" customWidth="1"/>
    <col min="5103" max="5103" width="8.42578125" style="1083" bestFit="1" customWidth="1"/>
    <col min="5104" max="5104" width="11.5703125" style="1083" bestFit="1" customWidth="1"/>
    <col min="5105" max="5105" width="8.42578125" style="1083" customWidth="1"/>
    <col min="5106" max="5106" width="7.42578125" style="1083" bestFit="1" customWidth="1"/>
    <col min="5107" max="5107" width="11.5703125" style="1083" bestFit="1" customWidth="1"/>
    <col min="5108" max="5108" width="8.42578125" style="1083" customWidth="1"/>
    <col min="5109" max="5109" width="13" style="1083" bestFit="1" customWidth="1"/>
    <col min="5110" max="5348" width="10.85546875" style="1083"/>
    <col min="5349" max="5349" width="8.5703125" style="1083" customWidth="1"/>
    <col min="5350" max="5350" width="50" style="1083" customWidth="1"/>
    <col min="5351" max="5351" width="6.42578125" style="1083" bestFit="1" customWidth="1"/>
    <col min="5352" max="5353" width="8.5703125" style="1083" customWidth="1"/>
    <col min="5354" max="5354" width="11.42578125" style="1083" bestFit="1" customWidth="1"/>
    <col min="5355" max="5355" width="7.5703125" style="1083" bestFit="1" customWidth="1"/>
    <col min="5356" max="5356" width="11.5703125" style="1083" bestFit="1" customWidth="1"/>
    <col min="5357" max="5357" width="8" style="1083" bestFit="1" customWidth="1"/>
    <col min="5358" max="5358" width="11.5703125" style="1083" bestFit="1" customWidth="1"/>
    <col min="5359" max="5359" width="8.42578125" style="1083" bestFit="1" customWidth="1"/>
    <col min="5360" max="5360" width="11.5703125" style="1083" bestFit="1" customWidth="1"/>
    <col min="5361" max="5361" width="8.42578125" style="1083" customWidth="1"/>
    <col min="5362" max="5362" width="7.42578125" style="1083" bestFit="1" customWidth="1"/>
    <col min="5363" max="5363" width="11.5703125" style="1083" bestFit="1" customWidth="1"/>
    <col min="5364" max="5364" width="8.42578125" style="1083" customWidth="1"/>
    <col min="5365" max="5365" width="13" style="1083" bestFit="1" customWidth="1"/>
    <col min="5366" max="5604" width="10.85546875" style="1083"/>
    <col min="5605" max="5605" width="8.5703125" style="1083" customWidth="1"/>
    <col min="5606" max="5606" width="50" style="1083" customWidth="1"/>
    <col min="5607" max="5607" width="6.42578125" style="1083" bestFit="1" customWidth="1"/>
    <col min="5608" max="5609" width="8.5703125" style="1083" customWidth="1"/>
    <col min="5610" max="5610" width="11.42578125" style="1083" bestFit="1" customWidth="1"/>
    <col min="5611" max="5611" width="7.5703125" style="1083" bestFit="1" customWidth="1"/>
    <col min="5612" max="5612" width="11.5703125" style="1083" bestFit="1" customWidth="1"/>
    <col min="5613" max="5613" width="8" style="1083" bestFit="1" customWidth="1"/>
    <col min="5614" max="5614" width="11.5703125" style="1083" bestFit="1" customWidth="1"/>
    <col min="5615" max="5615" width="8.42578125" style="1083" bestFit="1" customWidth="1"/>
    <col min="5616" max="5616" width="11.5703125" style="1083" bestFit="1" customWidth="1"/>
    <col min="5617" max="5617" width="8.42578125" style="1083" customWidth="1"/>
    <col min="5618" max="5618" width="7.42578125" style="1083" bestFit="1" customWidth="1"/>
    <col min="5619" max="5619" width="11.5703125" style="1083" bestFit="1" customWidth="1"/>
    <col min="5620" max="5620" width="8.42578125" style="1083" customWidth="1"/>
    <col min="5621" max="5621" width="13" style="1083" bestFit="1" customWidth="1"/>
    <col min="5622" max="5860" width="10.85546875" style="1083"/>
    <col min="5861" max="5861" width="8.5703125" style="1083" customWidth="1"/>
    <col min="5862" max="5862" width="50" style="1083" customWidth="1"/>
    <col min="5863" max="5863" width="6.42578125" style="1083" bestFit="1" customWidth="1"/>
    <col min="5864" max="5865" width="8.5703125" style="1083" customWidth="1"/>
    <col min="5866" max="5866" width="11.42578125" style="1083" bestFit="1" customWidth="1"/>
    <col min="5867" max="5867" width="7.5703125" style="1083" bestFit="1" customWidth="1"/>
    <col min="5868" max="5868" width="11.5703125" style="1083" bestFit="1" customWidth="1"/>
    <col min="5869" max="5869" width="8" style="1083" bestFit="1" customWidth="1"/>
    <col min="5870" max="5870" width="11.5703125" style="1083" bestFit="1" customWidth="1"/>
    <col min="5871" max="5871" width="8.42578125" style="1083" bestFit="1" customWidth="1"/>
    <col min="5872" max="5872" width="11.5703125" style="1083" bestFit="1" customWidth="1"/>
    <col min="5873" max="5873" width="8.42578125" style="1083" customWidth="1"/>
    <col min="5874" max="5874" width="7.42578125" style="1083" bestFit="1" customWidth="1"/>
    <col min="5875" max="5875" width="11.5703125" style="1083" bestFit="1" customWidth="1"/>
    <col min="5876" max="5876" width="8.42578125" style="1083" customWidth="1"/>
    <col min="5877" max="5877" width="13" style="1083" bestFit="1" customWidth="1"/>
    <col min="5878" max="6116" width="10.85546875" style="1083"/>
    <col min="6117" max="6117" width="8.5703125" style="1083" customWidth="1"/>
    <col min="6118" max="6118" width="50" style="1083" customWidth="1"/>
    <col min="6119" max="6119" width="6.42578125" style="1083" bestFit="1" customWidth="1"/>
    <col min="6120" max="6121" width="8.5703125" style="1083" customWidth="1"/>
    <col min="6122" max="6122" width="11.42578125" style="1083" bestFit="1" customWidth="1"/>
    <col min="6123" max="6123" width="7.5703125" style="1083" bestFit="1" customWidth="1"/>
    <col min="6124" max="6124" width="11.5703125" style="1083" bestFit="1" customWidth="1"/>
    <col min="6125" max="6125" width="8" style="1083" bestFit="1" customWidth="1"/>
    <col min="6126" max="6126" width="11.5703125" style="1083" bestFit="1" customWidth="1"/>
    <col min="6127" max="6127" width="8.42578125" style="1083" bestFit="1" customWidth="1"/>
    <col min="6128" max="6128" width="11.5703125" style="1083" bestFit="1" customWidth="1"/>
    <col min="6129" max="6129" width="8.42578125" style="1083" customWidth="1"/>
    <col min="6130" max="6130" width="7.42578125" style="1083" bestFit="1" customWidth="1"/>
    <col min="6131" max="6131" width="11.5703125" style="1083" bestFit="1" customWidth="1"/>
    <col min="6132" max="6132" width="8.42578125" style="1083" customWidth="1"/>
    <col min="6133" max="6133" width="13" style="1083" bestFit="1" customWidth="1"/>
    <col min="6134" max="6372" width="10.85546875" style="1083"/>
    <col min="6373" max="6373" width="8.5703125" style="1083" customWidth="1"/>
    <col min="6374" max="6374" width="50" style="1083" customWidth="1"/>
    <col min="6375" max="6375" width="6.42578125" style="1083" bestFit="1" customWidth="1"/>
    <col min="6376" max="6377" width="8.5703125" style="1083" customWidth="1"/>
    <col min="6378" max="6378" width="11.42578125" style="1083" bestFit="1" customWidth="1"/>
    <col min="6379" max="6379" width="7.5703125" style="1083" bestFit="1" customWidth="1"/>
    <col min="6380" max="6380" width="11.5703125" style="1083" bestFit="1" customWidth="1"/>
    <col min="6381" max="6381" width="8" style="1083" bestFit="1" customWidth="1"/>
    <col min="6382" max="6382" width="11.5703125" style="1083" bestFit="1" customWidth="1"/>
    <col min="6383" max="6383" width="8.42578125" style="1083" bestFit="1" customWidth="1"/>
    <col min="6384" max="6384" width="11.5703125" style="1083" bestFit="1" customWidth="1"/>
    <col min="6385" max="6385" width="8.42578125" style="1083" customWidth="1"/>
    <col min="6386" max="6386" width="7.42578125" style="1083" bestFit="1" customWidth="1"/>
    <col min="6387" max="6387" width="11.5703125" style="1083" bestFit="1" customWidth="1"/>
    <col min="6388" max="6388" width="8.42578125" style="1083" customWidth="1"/>
    <col min="6389" max="6389" width="13" style="1083" bestFit="1" customWidth="1"/>
    <col min="6390" max="6628" width="10.85546875" style="1083"/>
    <col min="6629" max="6629" width="8.5703125" style="1083" customWidth="1"/>
    <col min="6630" max="6630" width="50" style="1083" customWidth="1"/>
    <col min="6631" max="6631" width="6.42578125" style="1083" bestFit="1" customWidth="1"/>
    <col min="6632" max="6633" width="8.5703125" style="1083" customWidth="1"/>
    <col min="6634" max="6634" width="11.42578125" style="1083" bestFit="1" customWidth="1"/>
    <col min="6635" max="6635" width="7.5703125" style="1083" bestFit="1" customWidth="1"/>
    <col min="6636" max="6636" width="11.5703125" style="1083" bestFit="1" customWidth="1"/>
    <col min="6637" max="6637" width="8" style="1083" bestFit="1" customWidth="1"/>
    <col min="6638" max="6638" width="11.5703125" style="1083" bestFit="1" customWidth="1"/>
    <col min="6639" max="6639" width="8.42578125" style="1083" bestFit="1" customWidth="1"/>
    <col min="6640" max="6640" width="11.5703125" style="1083" bestFit="1" customWidth="1"/>
    <col min="6641" max="6641" width="8.42578125" style="1083" customWidth="1"/>
    <col min="6642" max="6642" width="7.42578125" style="1083" bestFit="1" customWidth="1"/>
    <col min="6643" max="6643" width="11.5703125" style="1083" bestFit="1" customWidth="1"/>
    <col min="6644" max="6644" width="8.42578125" style="1083" customWidth="1"/>
    <col min="6645" max="6645" width="13" style="1083" bestFit="1" customWidth="1"/>
    <col min="6646" max="6884" width="10.85546875" style="1083"/>
    <col min="6885" max="6885" width="8.5703125" style="1083" customWidth="1"/>
    <col min="6886" max="6886" width="50" style="1083" customWidth="1"/>
    <col min="6887" max="6887" width="6.42578125" style="1083" bestFit="1" customWidth="1"/>
    <col min="6888" max="6889" width="8.5703125" style="1083" customWidth="1"/>
    <col min="6890" max="6890" width="11.42578125" style="1083" bestFit="1" customWidth="1"/>
    <col min="6891" max="6891" width="7.5703125" style="1083" bestFit="1" customWidth="1"/>
    <col min="6892" max="6892" width="11.5703125" style="1083" bestFit="1" customWidth="1"/>
    <col min="6893" max="6893" width="8" style="1083" bestFit="1" customWidth="1"/>
    <col min="6894" max="6894" width="11.5703125" style="1083" bestFit="1" customWidth="1"/>
    <col min="6895" max="6895" width="8.42578125" style="1083" bestFit="1" customWidth="1"/>
    <col min="6896" max="6896" width="11.5703125" style="1083" bestFit="1" customWidth="1"/>
    <col min="6897" max="6897" width="8.42578125" style="1083" customWidth="1"/>
    <col min="6898" max="6898" width="7.42578125" style="1083" bestFit="1" customWidth="1"/>
    <col min="6899" max="6899" width="11.5703125" style="1083" bestFit="1" customWidth="1"/>
    <col min="6900" max="6900" width="8.42578125" style="1083" customWidth="1"/>
    <col min="6901" max="6901" width="13" style="1083" bestFit="1" customWidth="1"/>
    <col min="6902" max="7140" width="10.85546875" style="1083"/>
    <col min="7141" max="7141" width="8.5703125" style="1083" customWidth="1"/>
    <col min="7142" max="7142" width="50" style="1083" customWidth="1"/>
    <col min="7143" max="7143" width="6.42578125" style="1083" bestFit="1" customWidth="1"/>
    <col min="7144" max="7145" width="8.5703125" style="1083" customWidth="1"/>
    <col min="7146" max="7146" width="11.42578125" style="1083" bestFit="1" customWidth="1"/>
    <col min="7147" max="7147" width="7.5703125" style="1083" bestFit="1" customWidth="1"/>
    <col min="7148" max="7148" width="11.5703125" style="1083" bestFit="1" customWidth="1"/>
    <col min="7149" max="7149" width="8" style="1083" bestFit="1" customWidth="1"/>
    <col min="7150" max="7150" width="11.5703125" style="1083" bestFit="1" customWidth="1"/>
    <col min="7151" max="7151" width="8.42578125" style="1083" bestFit="1" customWidth="1"/>
    <col min="7152" max="7152" width="11.5703125" style="1083" bestFit="1" customWidth="1"/>
    <col min="7153" max="7153" width="8.42578125" style="1083" customWidth="1"/>
    <col min="7154" max="7154" width="7.42578125" style="1083" bestFit="1" customWidth="1"/>
    <col min="7155" max="7155" width="11.5703125" style="1083" bestFit="1" customWidth="1"/>
    <col min="7156" max="7156" width="8.42578125" style="1083" customWidth="1"/>
    <col min="7157" max="7157" width="13" style="1083" bestFit="1" customWidth="1"/>
    <col min="7158" max="7396" width="10.85546875" style="1083"/>
    <col min="7397" max="7397" width="8.5703125" style="1083" customWidth="1"/>
    <col min="7398" max="7398" width="50" style="1083" customWidth="1"/>
    <col min="7399" max="7399" width="6.42578125" style="1083" bestFit="1" customWidth="1"/>
    <col min="7400" max="7401" width="8.5703125" style="1083" customWidth="1"/>
    <col min="7402" max="7402" width="11.42578125" style="1083" bestFit="1" customWidth="1"/>
    <col min="7403" max="7403" width="7.5703125" style="1083" bestFit="1" customWidth="1"/>
    <col min="7404" max="7404" width="11.5703125" style="1083" bestFit="1" customWidth="1"/>
    <col min="7405" max="7405" width="8" style="1083" bestFit="1" customWidth="1"/>
    <col min="7406" max="7406" width="11.5703125" style="1083" bestFit="1" customWidth="1"/>
    <col min="7407" max="7407" width="8.42578125" style="1083" bestFit="1" customWidth="1"/>
    <col min="7408" max="7408" width="11.5703125" style="1083" bestFit="1" customWidth="1"/>
    <col min="7409" max="7409" width="8.42578125" style="1083" customWidth="1"/>
    <col min="7410" max="7410" width="7.42578125" style="1083" bestFit="1" customWidth="1"/>
    <col min="7411" max="7411" width="11.5703125" style="1083" bestFit="1" customWidth="1"/>
    <col min="7412" max="7412" width="8.42578125" style="1083" customWidth="1"/>
    <col min="7413" max="7413" width="13" style="1083" bestFit="1" customWidth="1"/>
    <col min="7414" max="7652" width="10.85546875" style="1083"/>
    <col min="7653" max="7653" width="8.5703125" style="1083" customWidth="1"/>
    <col min="7654" max="7654" width="50" style="1083" customWidth="1"/>
    <col min="7655" max="7655" width="6.42578125" style="1083" bestFit="1" customWidth="1"/>
    <col min="7656" max="7657" width="8.5703125" style="1083" customWidth="1"/>
    <col min="7658" max="7658" width="11.42578125" style="1083" bestFit="1" customWidth="1"/>
    <col min="7659" max="7659" width="7.5703125" style="1083" bestFit="1" customWidth="1"/>
    <col min="7660" max="7660" width="11.5703125" style="1083" bestFit="1" customWidth="1"/>
    <col min="7661" max="7661" width="8" style="1083" bestFit="1" customWidth="1"/>
    <col min="7662" max="7662" width="11.5703125" style="1083" bestFit="1" customWidth="1"/>
    <col min="7663" max="7663" width="8.42578125" style="1083" bestFit="1" customWidth="1"/>
    <col min="7664" max="7664" width="11.5703125" style="1083" bestFit="1" customWidth="1"/>
    <col min="7665" max="7665" width="8.42578125" style="1083" customWidth="1"/>
    <col min="7666" max="7666" width="7.42578125" style="1083" bestFit="1" customWidth="1"/>
    <col min="7667" max="7667" width="11.5703125" style="1083" bestFit="1" customWidth="1"/>
    <col min="7668" max="7668" width="8.42578125" style="1083" customWidth="1"/>
    <col min="7669" max="7669" width="13" style="1083" bestFit="1" customWidth="1"/>
    <col min="7670" max="7908" width="10.85546875" style="1083"/>
    <col min="7909" max="7909" width="8.5703125" style="1083" customWidth="1"/>
    <col min="7910" max="7910" width="50" style="1083" customWidth="1"/>
    <col min="7911" max="7911" width="6.42578125" style="1083" bestFit="1" customWidth="1"/>
    <col min="7912" max="7913" width="8.5703125" style="1083" customWidth="1"/>
    <col min="7914" max="7914" width="11.42578125" style="1083" bestFit="1" customWidth="1"/>
    <col min="7915" max="7915" width="7.5703125" style="1083" bestFit="1" customWidth="1"/>
    <col min="7916" max="7916" width="11.5703125" style="1083" bestFit="1" customWidth="1"/>
    <col min="7917" max="7917" width="8" style="1083" bestFit="1" customWidth="1"/>
    <col min="7918" max="7918" width="11.5703125" style="1083" bestFit="1" customWidth="1"/>
    <col min="7919" max="7919" width="8.42578125" style="1083" bestFit="1" customWidth="1"/>
    <col min="7920" max="7920" width="11.5703125" style="1083" bestFit="1" customWidth="1"/>
    <col min="7921" max="7921" width="8.42578125" style="1083" customWidth="1"/>
    <col min="7922" max="7922" width="7.42578125" style="1083" bestFit="1" customWidth="1"/>
    <col min="7923" max="7923" width="11.5703125" style="1083" bestFit="1" customWidth="1"/>
    <col min="7924" max="7924" width="8.42578125" style="1083" customWidth="1"/>
    <col min="7925" max="7925" width="13" style="1083" bestFit="1" customWidth="1"/>
    <col min="7926" max="8164" width="10.85546875" style="1083"/>
    <col min="8165" max="8165" width="8.5703125" style="1083" customWidth="1"/>
    <col min="8166" max="8166" width="50" style="1083" customWidth="1"/>
    <col min="8167" max="8167" width="6.42578125" style="1083" bestFit="1" customWidth="1"/>
    <col min="8168" max="8169" width="8.5703125" style="1083" customWidth="1"/>
    <col min="8170" max="8170" width="11.42578125" style="1083" bestFit="1" customWidth="1"/>
    <col min="8171" max="8171" width="7.5703125" style="1083" bestFit="1" customWidth="1"/>
    <col min="8172" max="8172" width="11.5703125" style="1083" bestFit="1" customWidth="1"/>
    <col min="8173" max="8173" width="8" style="1083" bestFit="1" customWidth="1"/>
    <col min="8174" max="8174" width="11.5703125" style="1083" bestFit="1" customWidth="1"/>
    <col min="8175" max="8175" width="8.42578125" style="1083" bestFit="1" customWidth="1"/>
    <col min="8176" max="8176" width="11.5703125" style="1083" bestFit="1" customWidth="1"/>
    <col min="8177" max="8177" width="8.42578125" style="1083" customWidth="1"/>
    <col min="8178" max="8178" width="7.42578125" style="1083" bestFit="1" customWidth="1"/>
    <col min="8179" max="8179" width="11.5703125" style="1083" bestFit="1" customWidth="1"/>
    <col min="8180" max="8180" width="8.42578125" style="1083" customWidth="1"/>
    <col min="8181" max="8181" width="13" style="1083" bestFit="1" customWidth="1"/>
    <col min="8182" max="8420" width="10.85546875" style="1083"/>
    <col min="8421" max="8421" width="8.5703125" style="1083" customWidth="1"/>
    <col min="8422" max="8422" width="50" style="1083" customWidth="1"/>
    <col min="8423" max="8423" width="6.42578125" style="1083" bestFit="1" customWidth="1"/>
    <col min="8424" max="8425" width="8.5703125" style="1083" customWidth="1"/>
    <col min="8426" max="8426" width="11.42578125" style="1083" bestFit="1" customWidth="1"/>
    <col min="8427" max="8427" width="7.5703125" style="1083" bestFit="1" customWidth="1"/>
    <col min="8428" max="8428" width="11.5703125" style="1083" bestFit="1" customWidth="1"/>
    <col min="8429" max="8429" width="8" style="1083" bestFit="1" customWidth="1"/>
    <col min="8430" max="8430" width="11.5703125" style="1083" bestFit="1" customWidth="1"/>
    <col min="8431" max="8431" width="8.42578125" style="1083" bestFit="1" customWidth="1"/>
    <col min="8432" max="8432" width="11.5703125" style="1083" bestFit="1" customWidth="1"/>
    <col min="8433" max="8433" width="8.42578125" style="1083" customWidth="1"/>
    <col min="8434" max="8434" width="7.42578125" style="1083" bestFit="1" customWidth="1"/>
    <col min="8435" max="8435" width="11.5703125" style="1083" bestFit="1" customWidth="1"/>
    <col min="8436" max="8436" width="8.42578125" style="1083" customWidth="1"/>
    <col min="8437" max="8437" width="13" style="1083" bestFit="1" customWidth="1"/>
    <col min="8438" max="8676" width="10.85546875" style="1083"/>
    <col min="8677" max="8677" width="8.5703125" style="1083" customWidth="1"/>
    <col min="8678" max="8678" width="50" style="1083" customWidth="1"/>
    <col min="8679" max="8679" width="6.42578125" style="1083" bestFit="1" customWidth="1"/>
    <col min="8680" max="8681" width="8.5703125" style="1083" customWidth="1"/>
    <col min="8682" max="8682" width="11.42578125" style="1083" bestFit="1" customWidth="1"/>
    <col min="8683" max="8683" width="7.5703125" style="1083" bestFit="1" customWidth="1"/>
    <col min="8684" max="8684" width="11.5703125" style="1083" bestFit="1" customWidth="1"/>
    <col min="8685" max="8685" width="8" style="1083" bestFit="1" customWidth="1"/>
    <col min="8686" max="8686" width="11.5703125" style="1083" bestFit="1" customWidth="1"/>
    <col min="8687" max="8687" width="8.42578125" style="1083" bestFit="1" customWidth="1"/>
    <col min="8688" max="8688" width="11.5703125" style="1083" bestFit="1" customWidth="1"/>
    <col min="8689" max="8689" width="8.42578125" style="1083" customWidth="1"/>
    <col min="8690" max="8690" width="7.42578125" style="1083" bestFit="1" customWidth="1"/>
    <col min="8691" max="8691" width="11.5703125" style="1083" bestFit="1" customWidth="1"/>
    <col min="8692" max="8692" width="8.42578125" style="1083" customWidth="1"/>
    <col min="8693" max="8693" width="13" style="1083" bestFit="1" customWidth="1"/>
    <col min="8694" max="8932" width="10.85546875" style="1083"/>
    <col min="8933" max="8933" width="8.5703125" style="1083" customWidth="1"/>
    <col min="8934" max="8934" width="50" style="1083" customWidth="1"/>
    <col min="8935" max="8935" width="6.42578125" style="1083" bestFit="1" customWidth="1"/>
    <col min="8936" max="8937" width="8.5703125" style="1083" customWidth="1"/>
    <col min="8938" max="8938" width="11.42578125" style="1083" bestFit="1" customWidth="1"/>
    <col min="8939" max="8939" width="7.5703125" style="1083" bestFit="1" customWidth="1"/>
    <col min="8940" max="8940" width="11.5703125" style="1083" bestFit="1" customWidth="1"/>
    <col min="8941" max="8941" width="8" style="1083" bestFit="1" customWidth="1"/>
    <col min="8942" max="8942" width="11.5703125" style="1083" bestFit="1" customWidth="1"/>
    <col min="8943" max="8943" width="8.42578125" style="1083" bestFit="1" customWidth="1"/>
    <col min="8944" max="8944" width="11.5703125" style="1083" bestFit="1" customWidth="1"/>
    <col min="8945" max="8945" width="8.42578125" style="1083" customWidth="1"/>
    <col min="8946" max="8946" width="7.42578125" style="1083" bestFit="1" customWidth="1"/>
    <col min="8947" max="8947" width="11.5703125" style="1083" bestFit="1" customWidth="1"/>
    <col min="8948" max="8948" width="8.42578125" style="1083" customWidth="1"/>
    <col min="8949" max="8949" width="13" style="1083" bestFit="1" customWidth="1"/>
    <col min="8950" max="9188" width="10.85546875" style="1083"/>
    <col min="9189" max="9189" width="8.5703125" style="1083" customWidth="1"/>
    <col min="9190" max="9190" width="50" style="1083" customWidth="1"/>
    <col min="9191" max="9191" width="6.42578125" style="1083" bestFit="1" customWidth="1"/>
    <col min="9192" max="9193" width="8.5703125" style="1083" customWidth="1"/>
    <col min="9194" max="9194" width="11.42578125" style="1083" bestFit="1" customWidth="1"/>
    <col min="9195" max="9195" width="7.5703125" style="1083" bestFit="1" customWidth="1"/>
    <col min="9196" max="9196" width="11.5703125" style="1083" bestFit="1" customWidth="1"/>
    <col min="9197" max="9197" width="8" style="1083" bestFit="1" customWidth="1"/>
    <col min="9198" max="9198" width="11.5703125" style="1083" bestFit="1" customWidth="1"/>
    <col min="9199" max="9199" width="8.42578125" style="1083" bestFit="1" customWidth="1"/>
    <col min="9200" max="9200" width="11.5703125" style="1083" bestFit="1" customWidth="1"/>
    <col min="9201" max="9201" width="8.42578125" style="1083" customWidth="1"/>
    <col min="9202" max="9202" width="7.42578125" style="1083" bestFit="1" customWidth="1"/>
    <col min="9203" max="9203" width="11.5703125" style="1083" bestFit="1" customWidth="1"/>
    <col min="9204" max="9204" width="8.42578125" style="1083" customWidth="1"/>
    <col min="9205" max="9205" width="13" style="1083" bestFit="1" customWidth="1"/>
    <col min="9206" max="9444" width="10.85546875" style="1083"/>
    <col min="9445" max="9445" width="8.5703125" style="1083" customWidth="1"/>
    <col min="9446" max="9446" width="50" style="1083" customWidth="1"/>
    <col min="9447" max="9447" width="6.42578125" style="1083" bestFit="1" customWidth="1"/>
    <col min="9448" max="9449" width="8.5703125" style="1083" customWidth="1"/>
    <col min="9450" max="9450" width="11.42578125" style="1083" bestFit="1" customWidth="1"/>
    <col min="9451" max="9451" width="7.5703125" style="1083" bestFit="1" customWidth="1"/>
    <col min="9452" max="9452" width="11.5703125" style="1083" bestFit="1" customWidth="1"/>
    <col min="9453" max="9453" width="8" style="1083" bestFit="1" customWidth="1"/>
    <col min="9454" max="9454" width="11.5703125" style="1083" bestFit="1" customWidth="1"/>
    <col min="9455" max="9455" width="8.42578125" style="1083" bestFit="1" customWidth="1"/>
    <col min="9456" max="9456" width="11.5703125" style="1083" bestFit="1" customWidth="1"/>
    <col min="9457" max="9457" width="8.42578125" style="1083" customWidth="1"/>
    <col min="9458" max="9458" width="7.42578125" style="1083" bestFit="1" customWidth="1"/>
    <col min="9459" max="9459" width="11.5703125" style="1083" bestFit="1" customWidth="1"/>
    <col min="9460" max="9460" width="8.42578125" style="1083" customWidth="1"/>
    <col min="9461" max="9461" width="13" style="1083" bestFit="1" customWidth="1"/>
    <col min="9462" max="9700" width="10.85546875" style="1083"/>
    <col min="9701" max="9701" width="8.5703125" style="1083" customWidth="1"/>
    <col min="9702" max="9702" width="50" style="1083" customWidth="1"/>
    <col min="9703" max="9703" width="6.42578125" style="1083" bestFit="1" customWidth="1"/>
    <col min="9704" max="9705" width="8.5703125" style="1083" customWidth="1"/>
    <col min="9706" max="9706" width="11.42578125" style="1083" bestFit="1" customWidth="1"/>
    <col min="9707" max="9707" width="7.5703125" style="1083" bestFit="1" customWidth="1"/>
    <col min="9708" max="9708" width="11.5703125" style="1083" bestFit="1" customWidth="1"/>
    <col min="9709" max="9709" width="8" style="1083" bestFit="1" customWidth="1"/>
    <col min="9710" max="9710" width="11.5703125" style="1083" bestFit="1" customWidth="1"/>
    <col min="9711" max="9711" width="8.42578125" style="1083" bestFit="1" customWidth="1"/>
    <col min="9712" max="9712" width="11.5703125" style="1083" bestFit="1" customWidth="1"/>
    <col min="9713" max="9713" width="8.42578125" style="1083" customWidth="1"/>
    <col min="9714" max="9714" width="7.42578125" style="1083" bestFit="1" customWidth="1"/>
    <col min="9715" max="9715" width="11.5703125" style="1083" bestFit="1" customWidth="1"/>
    <col min="9716" max="9716" width="8.42578125" style="1083" customWidth="1"/>
    <col min="9717" max="9717" width="13" style="1083" bestFit="1" customWidth="1"/>
    <col min="9718" max="9956" width="10.85546875" style="1083"/>
    <col min="9957" max="9957" width="8.5703125" style="1083" customWidth="1"/>
    <col min="9958" max="9958" width="50" style="1083" customWidth="1"/>
    <col min="9959" max="9959" width="6.42578125" style="1083" bestFit="1" customWidth="1"/>
    <col min="9960" max="9961" width="8.5703125" style="1083" customWidth="1"/>
    <col min="9962" max="9962" width="11.42578125" style="1083" bestFit="1" customWidth="1"/>
    <col min="9963" max="9963" width="7.5703125" style="1083" bestFit="1" customWidth="1"/>
    <col min="9964" max="9964" width="11.5703125" style="1083" bestFit="1" customWidth="1"/>
    <col min="9965" max="9965" width="8" style="1083" bestFit="1" customWidth="1"/>
    <col min="9966" max="9966" width="11.5703125" style="1083" bestFit="1" customWidth="1"/>
    <col min="9967" max="9967" width="8.42578125" style="1083" bestFit="1" customWidth="1"/>
    <col min="9968" max="9968" width="11.5703125" style="1083" bestFit="1" customWidth="1"/>
    <col min="9969" max="9969" width="8.42578125" style="1083" customWidth="1"/>
    <col min="9970" max="9970" width="7.42578125" style="1083" bestFit="1" customWidth="1"/>
    <col min="9971" max="9971" width="11.5703125" style="1083" bestFit="1" customWidth="1"/>
    <col min="9972" max="9972" width="8.42578125" style="1083" customWidth="1"/>
    <col min="9973" max="9973" width="13" style="1083" bestFit="1" customWidth="1"/>
    <col min="9974" max="10212" width="10.85546875" style="1083"/>
    <col min="10213" max="10213" width="8.5703125" style="1083" customWidth="1"/>
    <col min="10214" max="10214" width="50" style="1083" customWidth="1"/>
    <col min="10215" max="10215" width="6.42578125" style="1083" bestFit="1" customWidth="1"/>
    <col min="10216" max="10217" width="8.5703125" style="1083" customWidth="1"/>
    <col min="10218" max="10218" width="11.42578125" style="1083" bestFit="1" customWidth="1"/>
    <col min="10219" max="10219" width="7.5703125" style="1083" bestFit="1" customWidth="1"/>
    <col min="10220" max="10220" width="11.5703125" style="1083" bestFit="1" customWidth="1"/>
    <col min="10221" max="10221" width="8" style="1083" bestFit="1" customWidth="1"/>
    <col min="10222" max="10222" width="11.5703125" style="1083" bestFit="1" customWidth="1"/>
    <col min="10223" max="10223" width="8.42578125" style="1083" bestFit="1" customWidth="1"/>
    <col min="10224" max="10224" width="11.5703125" style="1083" bestFit="1" customWidth="1"/>
    <col min="10225" max="10225" width="8.42578125" style="1083" customWidth="1"/>
    <col min="10226" max="10226" width="7.42578125" style="1083" bestFit="1" customWidth="1"/>
    <col min="10227" max="10227" width="11.5703125" style="1083" bestFit="1" customWidth="1"/>
    <col min="10228" max="10228" width="8.42578125" style="1083" customWidth="1"/>
    <col min="10229" max="10229" width="13" style="1083" bestFit="1" customWidth="1"/>
    <col min="10230" max="10468" width="10.85546875" style="1083"/>
    <col min="10469" max="10469" width="8.5703125" style="1083" customWidth="1"/>
    <col min="10470" max="10470" width="50" style="1083" customWidth="1"/>
    <col min="10471" max="10471" width="6.42578125" style="1083" bestFit="1" customWidth="1"/>
    <col min="10472" max="10473" width="8.5703125" style="1083" customWidth="1"/>
    <col min="10474" max="10474" width="11.42578125" style="1083" bestFit="1" customWidth="1"/>
    <col min="10475" max="10475" width="7.5703125" style="1083" bestFit="1" customWidth="1"/>
    <col min="10476" max="10476" width="11.5703125" style="1083" bestFit="1" customWidth="1"/>
    <col min="10477" max="10477" width="8" style="1083" bestFit="1" customWidth="1"/>
    <col min="10478" max="10478" width="11.5703125" style="1083" bestFit="1" customWidth="1"/>
    <col min="10479" max="10479" width="8.42578125" style="1083" bestFit="1" customWidth="1"/>
    <col min="10480" max="10480" width="11.5703125" style="1083" bestFit="1" customWidth="1"/>
    <col min="10481" max="10481" width="8.42578125" style="1083" customWidth="1"/>
    <col min="10482" max="10482" width="7.42578125" style="1083" bestFit="1" customWidth="1"/>
    <col min="10483" max="10483" width="11.5703125" style="1083" bestFit="1" customWidth="1"/>
    <col min="10484" max="10484" width="8.42578125" style="1083" customWidth="1"/>
    <col min="10485" max="10485" width="13" style="1083" bestFit="1" customWidth="1"/>
    <col min="10486" max="10724" width="10.85546875" style="1083"/>
    <col min="10725" max="10725" width="8.5703125" style="1083" customWidth="1"/>
    <col min="10726" max="10726" width="50" style="1083" customWidth="1"/>
    <col min="10727" max="10727" width="6.42578125" style="1083" bestFit="1" customWidth="1"/>
    <col min="10728" max="10729" width="8.5703125" style="1083" customWidth="1"/>
    <col min="10730" max="10730" width="11.42578125" style="1083" bestFit="1" customWidth="1"/>
    <col min="10731" max="10731" width="7.5703125" style="1083" bestFit="1" customWidth="1"/>
    <col min="10732" max="10732" width="11.5703125" style="1083" bestFit="1" customWidth="1"/>
    <col min="10733" max="10733" width="8" style="1083" bestFit="1" customWidth="1"/>
    <col min="10734" max="10734" width="11.5703125" style="1083" bestFit="1" customWidth="1"/>
    <col min="10735" max="10735" width="8.42578125" style="1083" bestFit="1" customWidth="1"/>
    <col min="10736" max="10736" width="11.5703125" style="1083" bestFit="1" customWidth="1"/>
    <col min="10737" max="10737" width="8.42578125" style="1083" customWidth="1"/>
    <col min="10738" max="10738" width="7.42578125" style="1083" bestFit="1" customWidth="1"/>
    <col min="10739" max="10739" width="11.5703125" style="1083" bestFit="1" customWidth="1"/>
    <col min="10740" max="10740" width="8.42578125" style="1083" customWidth="1"/>
    <col min="10741" max="10741" width="13" style="1083" bestFit="1" customWidth="1"/>
    <col min="10742" max="10980" width="10.85546875" style="1083"/>
    <col min="10981" max="10981" width="8.5703125" style="1083" customWidth="1"/>
    <col min="10982" max="10982" width="50" style="1083" customWidth="1"/>
    <col min="10983" max="10983" width="6.42578125" style="1083" bestFit="1" customWidth="1"/>
    <col min="10984" max="10985" width="8.5703125" style="1083" customWidth="1"/>
    <col min="10986" max="10986" width="11.42578125" style="1083" bestFit="1" customWidth="1"/>
    <col min="10987" max="10987" width="7.5703125" style="1083" bestFit="1" customWidth="1"/>
    <col min="10988" max="10988" width="11.5703125" style="1083" bestFit="1" customWidth="1"/>
    <col min="10989" max="10989" width="8" style="1083" bestFit="1" customWidth="1"/>
    <col min="10990" max="10990" width="11.5703125" style="1083" bestFit="1" customWidth="1"/>
    <col min="10991" max="10991" width="8.42578125" style="1083" bestFit="1" customWidth="1"/>
    <col min="10992" max="10992" width="11.5703125" style="1083" bestFit="1" customWidth="1"/>
    <col min="10993" max="10993" width="8.42578125" style="1083" customWidth="1"/>
    <col min="10994" max="10994" width="7.42578125" style="1083" bestFit="1" customWidth="1"/>
    <col min="10995" max="10995" width="11.5703125" style="1083" bestFit="1" customWidth="1"/>
    <col min="10996" max="10996" width="8.42578125" style="1083" customWidth="1"/>
    <col min="10997" max="10997" width="13" style="1083" bestFit="1" customWidth="1"/>
    <col min="10998" max="11236" width="10.85546875" style="1083"/>
    <col min="11237" max="11237" width="8.5703125" style="1083" customWidth="1"/>
    <col min="11238" max="11238" width="50" style="1083" customWidth="1"/>
    <col min="11239" max="11239" width="6.42578125" style="1083" bestFit="1" customWidth="1"/>
    <col min="11240" max="11241" width="8.5703125" style="1083" customWidth="1"/>
    <col min="11242" max="11242" width="11.42578125" style="1083" bestFit="1" customWidth="1"/>
    <col min="11243" max="11243" width="7.5703125" style="1083" bestFit="1" customWidth="1"/>
    <col min="11244" max="11244" width="11.5703125" style="1083" bestFit="1" customWidth="1"/>
    <col min="11245" max="11245" width="8" style="1083" bestFit="1" customWidth="1"/>
    <col min="11246" max="11246" width="11.5703125" style="1083" bestFit="1" customWidth="1"/>
    <col min="11247" max="11247" width="8.42578125" style="1083" bestFit="1" customWidth="1"/>
    <col min="11248" max="11248" width="11.5703125" style="1083" bestFit="1" customWidth="1"/>
    <col min="11249" max="11249" width="8.42578125" style="1083" customWidth="1"/>
    <col min="11250" max="11250" width="7.42578125" style="1083" bestFit="1" customWidth="1"/>
    <col min="11251" max="11251" width="11.5703125" style="1083" bestFit="1" customWidth="1"/>
    <col min="11252" max="11252" width="8.42578125" style="1083" customWidth="1"/>
    <col min="11253" max="11253" width="13" style="1083" bestFit="1" customWidth="1"/>
    <col min="11254" max="11492" width="10.85546875" style="1083"/>
    <col min="11493" max="11493" width="8.5703125" style="1083" customWidth="1"/>
    <col min="11494" max="11494" width="50" style="1083" customWidth="1"/>
    <col min="11495" max="11495" width="6.42578125" style="1083" bestFit="1" customWidth="1"/>
    <col min="11496" max="11497" width="8.5703125" style="1083" customWidth="1"/>
    <col min="11498" max="11498" width="11.42578125" style="1083" bestFit="1" customWidth="1"/>
    <col min="11499" max="11499" width="7.5703125" style="1083" bestFit="1" customWidth="1"/>
    <col min="11500" max="11500" width="11.5703125" style="1083" bestFit="1" customWidth="1"/>
    <col min="11501" max="11501" width="8" style="1083" bestFit="1" customWidth="1"/>
    <col min="11502" max="11502" width="11.5703125" style="1083" bestFit="1" customWidth="1"/>
    <col min="11503" max="11503" width="8.42578125" style="1083" bestFit="1" customWidth="1"/>
    <col min="11504" max="11504" width="11.5703125" style="1083" bestFit="1" customWidth="1"/>
    <col min="11505" max="11505" width="8.42578125" style="1083" customWidth="1"/>
    <col min="11506" max="11506" width="7.42578125" style="1083" bestFit="1" customWidth="1"/>
    <col min="11507" max="11507" width="11.5703125" style="1083" bestFit="1" customWidth="1"/>
    <col min="11508" max="11508" width="8.42578125" style="1083" customWidth="1"/>
    <col min="11509" max="11509" width="13" style="1083" bestFit="1" customWidth="1"/>
    <col min="11510" max="11748" width="10.85546875" style="1083"/>
    <col min="11749" max="11749" width="8.5703125" style="1083" customWidth="1"/>
    <col min="11750" max="11750" width="50" style="1083" customWidth="1"/>
    <col min="11751" max="11751" width="6.42578125" style="1083" bestFit="1" customWidth="1"/>
    <col min="11752" max="11753" width="8.5703125" style="1083" customWidth="1"/>
    <col min="11754" max="11754" width="11.42578125" style="1083" bestFit="1" customWidth="1"/>
    <col min="11755" max="11755" width="7.5703125" style="1083" bestFit="1" customWidth="1"/>
    <col min="11756" max="11756" width="11.5703125" style="1083" bestFit="1" customWidth="1"/>
    <col min="11757" max="11757" width="8" style="1083" bestFit="1" customWidth="1"/>
    <col min="11758" max="11758" width="11.5703125" style="1083" bestFit="1" customWidth="1"/>
    <col min="11759" max="11759" width="8.42578125" style="1083" bestFit="1" customWidth="1"/>
    <col min="11760" max="11760" width="11.5703125" style="1083" bestFit="1" customWidth="1"/>
    <col min="11761" max="11761" width="8.42578125" style="1083" customWidth="1"/>
    <col min="11762" max="11762" width="7.42578125" style="1083" bestFit="1" customWidth="1"/>
    <col min="11763" max="11763" width="11.5703125" style="1083" bestFit="1" customWidth="1"/>
    <col min="11764" max="11764" width="8.42578125" style="1083" customWidth="1"/>
    <col min="11765" max="11765" width="13" style="1083" bestFit="1" customWidth="1"/>
    <col min="11766" max="12004" width="10.85546875" style="1083"/>
    <col min="12005" max="12005" width="8.5703125" style="1083" customWidth="1"/>
    <col min="12006" max="12006" width="50" style="1083" customWidth="1"/>
    <col min="12007" max="12007" width="6.42578125" style="1083" bestFit="1" customWidth="1"/>
    <col min="12008" max="12009" width="8.5703125" style="1083" customWidth="1"/>
    <col min="12010" max="12010" width="11.42578125" style="1083" bestFit="1" customWidth="1"/>
    <col min="12011" max="12011" width="7.5703125" style="1083" bestFit="1" customWidth="1"/>
    <col min="12012" max="12012" width="11.5703125" style="1083" bestFit="1" customWidth="1"/>
    <col min="12013" max="12013" width="8" style="1083" bestFit="1" customWidth="1"/>
    <col min="12014" max="12014" width="11.5703125" style="1083" bestFit="1" customWidth="1"/>
    <col min="12015" max="12015" width="8.42578125" style="1083" bestFit="1" customWidth="1"/>
    <col min="12016" max="12016" width="11.5703125" style="1083" bestFit="1" customWidth="1"/>
    <col min="12017" max="12017" width="8.42578125" style="1083" customWidth="1"/>
    <col min="12018" max="12018" width="7.42578125" style="1083" bestFit="1" customWidth="1"/>
    <col min="12019" max="12019" width="11.5703125" style="1083" bestFit="1" customWidth="1"/>
    <col min="12020" max="12020" width="8.42578125" style="1083" customWidth="1"/>
    <col min="12021" max="12021" width="13" style="1083" bestFit="1" customWidth="1"/>
    <col min="12022" max="12260" width="10.85546875" style="1083"/>
    <col min="12261" max="12261" width="8.5703125" style="1083" customWidth="1"/>
    <col min="12262" max="12262" width="50" style="1083" customWidth="1"/>
    <col min="12263" max="12263" width="6.42578125" style="1083" bestFit="1" customWidth="1"/>
    <col min="12264" max="12265" width="8.5703125" style="1083" customWidth="1"/>
    <col min="12266" max="12266" width="11.42578125" style="1083" bestFit="1" customWidth="1"/>
    <col min="12267" max="12267" width="7.5703125" style="1083" bestFit="1" customWidth="1"/>
    <col min="12268" max="12268" width="11.5703125" style="1083" bestFit="1" customWidth="1"/>
    <col min="12269" max="12269" width="8" style="1083" bestFit="1" customWidth="1"/>
    <col min="12270" max="12270" width="11.5703125" style="1083" bestFit="1" customWidth="1"/>
    <col min="12271" max="12271" width="8.42578125" style="1083" bestFit="1" customWidth="1"/>
    <col min="12272" max="12272" width="11.5703125" style="1083" bestFit="1" customWidth="1"/>
    <col min="12273" max="12273" width="8.42578125" style="1083" customWidth="1"/>
    <col min="12274" max="12274" width="7.42578125" style="1083" bestFit="1" customWidth="1"/>
    <col min="12275" max="12275" width="11.5703125" style="1083" bestFit="1" customWidth="1"/>
    <col min="12276" max="12276" width="8.42578125" style="1083" customWidth="1"/>
    <col min="12277" max="12277" width="13" style="1083" bestFit="1" customWidth="1"/>
    <col min="12278" max="12516" width="10.85546875" style="1083"/>
    <col min="12517" max="12517" width="8.5703125" style="1083" customWidth="1"/>
    <col min="12518" max="12518" width="50" style="1083" customWidth="1"/>
    <col min="12519" max="12519" width="6.42578125" style="1083" bestFit="1" customWidth="1"/>
    <col min="12520" max="12521" width="8.5703125" style="1083" customWidth="1"/>
    <col min="12522" max="12522" width="11.42578125" style="1083" bestFit="1" customWidth="1"/>
    <col min="12523" max="12523" width="7.5703125" style="1083" bestFit="1" customWidth="1"/>
    <col min="12524" max="12524" width="11.5703125" style="1083" bestFit="1" customWidth="1"/>
    <col min="12525" max="12525" width="8" style="1083" bestFit="1" customWidth="1"/>
    <col min="12526" max="12526" width="11.5703125" style="1083" bestFit="1" customWidth="1"/>
    <col min="12527" max="12527" width="8.42578125" style="1083" bestFit="1" customWidth="1"/>
    <col min="12528" max="12528" width="11.5703125" style="1083" bestFit="1" customWidth="1"/>
    <col min="12529" max="12529" width="8.42578125" style="1083" customWidth="1"/>
    <col min="12530" max="12530" width="7.42578125" style="1083" bestFit="1" customWidth="1"/>
    <col min="12531" max="12531" width="11.5703125" style="1083" bestFit="1" customWidth="1"/>
    <col min="12532" max="12532" width="8.42578125" style="1083" customWidth="1"/>
    <col min="12533" max="12533" width="13" style="1083" bestFit="1" customWidth="1"/>
    <col min="12534" max="12772" width="10.85546875" style="1083"/>
    <col min="12773" max="12773" width="8.5703125" style="1083" customWidth="1"/>
    <col min="12774" max="12774" width="50" style="1083" customWidth="1"/>
    <col min="12775" max="12775" width="6.42578125" style="1083" bestFit="1" customWidth="1"/>
    <col min="12776" max="12777" width="8.5703125" style="1083" customWidth="1"/>
    <col min="12778" max="12778" width="11.42578125" style="1083" bestFit="1" customWidth="1"/>
    <col min="12779" max="12779" width="7.5703125" style="1083" bestFit="1" customWidth="1"/>
    <col min="12780" max="12780" width="11.5703125" style="1083" bestFit="1" customWidth="1"/>
    <col min="12781" max="12781" width="8" style="1083" bestFit="1" customWidth="1"/>
    <col min="12782" max="12782" width="11.5703125" style="1083" bestFit="1" customWidth="1"/>
    <col min="12783" max="12783" width="8.42578125" style="1083" bestFit="1" customWidth="1"/>
    <col min="12784" max="12784" width="11.5703125" style="1083" bestFit="1" customWidth="1"/>
    <col min="12785" max="12785" width="8.42578125" style="1083" customWidth="1"/>
    <col min="12786" max="12786" width="7.42578125" style="1083" bestFit="1" customWidth="1"/>
    <col min="12787" max="12787" width="11.5703125" style="1083" bestFit="1" customWidth="1"/>
    <col min="12788" max="12788" width="8.42578125" style="1083" customWidth="1"/>
    <col min="12789" max="12789" width="13" style="1083" bestFit="1" customWidth="1"/>
    <col min="12790" max="13028" width="10.85546875" style="1083"/>
    <col min="13029" max="13029" width="8.5703125" style="1083" customWidth="1"/>
    <col min="13030" max="13030" width="50" style="1083" customWidth="1"/>
    <col min="13031" max="13031" width="6.42578125" style="1083" bestFit="1" customWidth="1"/>
    <col min="13032" max="13033" width="8.5703125" style="1083" customWidth="1"/>
    <col min="13034" max="13034" width="11.42578125" style="1083" bestFit="1" customWidth="1"/>
    <col min="13035" max="13035" width="7.5703125" style="1083" bestFit="1" customWidth="1"/>
    <col min="13036" max="13036" width="11.5703125" style="1083" bestFit="1" customWidth="1"/>
    <col min="13037" max="13037" width="8" style="1083" bestFit="1" customWidth="1"/>
    <col min="13038" max="13038" width="11.5703125" style="1083" bestFit="1" customWidth="1"/>
    <col min="13039" max="13039" width="8.42578125" style="1083" bestFit="1" customWidth="1"/>
    <col min="13040" max="13040" width="11.5703125" style="1083" bestFit="1" customWidth="1"/>
    <col min="13041" max="13041" width="8.42578125" style="1083" customWidth="1"/>
    <col min="13042" max="13042" width="7.42578125" style="1083" bestFit="1" customWidth="1"/>
    <col min="13043" max="13043" width="11.5703125" style="1083" bestFit="1" customWidth="1"/>
    <col min="13044" max="13044" width="8.42578125" style="1083" customWidth="1"/>
    <col min="13045" max="13045" width="13" style="1083" bestFit="1" customWidth="1"/>
    <col min="13046" max="13284" width="10.85546875" style="1083"/>
    <col min="13285" max="13285" width="8.5703125" style="1083" customWidth="1"/>
    <col min="13286" max="13286" width="50" style="1083" customWidth="1"/>
    <col min="13287" max="13287" width="6.42578125" style="1083" bestFit="1" customWidth="1"/>
    <col min="13288" max="13289" width="8.5703125" style="1083" customWidth="1"/>
    <col min="13290" max="13290" width="11.42578125" style="1083" bestFit="1" customWidth="1"/>
    <col min="13291" max="13291" width="7.5703125" style="1083" bestFit="1" customWidth="1"/>
    <col min="13292" max="13292" width="11.5703125" style="1083" bestFit="1" customWidth="1"/>
    <col min="13293" max="13293" width="8" style="1083" bestFit="1" customWidth="1"/>
    <col min="13294" max="13294" width="11.5703125" style="1083" bestFit="1" customWidth="1"/>
    <col min="13295" max="13295" width="8.42578125" style="1083" bestFit="1" customWidth="1"/>
    <col min="13296" max="13296" width="11.5703125" style="1083" bestFit="1" customWidth="1"/>
    <col min="13297" max="13297" width="8.42578125" style="1083" customWidth="1"/>
    <col min="13298" max="13298" width="7.42578125" style="1083" bestFit="1" customWidth="1"/>
    <col min="13299" max="13299" width="11.5703125" style="1083" bestFit="1" customWidth="1"/>
    <col min="13300" max="13300" width="8.42578125" style="1083" customWidth="1"/>
    <col min="13301" max="13301" width="13" style="1083" bestFit="1" customWidth="1"/>
    <col min="13302" max="13540" width="10.85546875" style="1083"/>
    <col min="13541" max="13541" width="8.5703125" style="1083" customWidth="1"/>
    <col min="13542" max="13542" width="50" style="1083" customWidth="1"/>
    <col min="13543" max="13543" width="6.42578125" style="1083" bestFit="1" customWidth="1"/>
    <col min="13544" max="13545" width="8.5703125" style="1083" customWidth="1"/>
    <col min="13546" max="13546" width="11.42578125" style="1083" bestFit="1" customWidth="1"/>
    <col min="13547" max="13547" width="7.5703125" style="1083" bestFit="1" customWidth="1"/>
    <col min="13548" max="13548" width="11.5703125" style="1083" bestFit="1" customWidth="1"/>
    <col min="13549" max="13549" width="8" style="1083" bestFit="1" customWidth="1"/>
    <col min="13550" max="13550" width="11.5703125" style="1083" bestFit="1" customWidth="1"/>
    <col min="13551" max="13551" width="8.42578125" style="1083" bestFit="1" customWidth="1"/>
    <col min="13552" max="13552" width="11.5703125" style="1083" bestFit="1" customWidth="1"/>
    <col min="13553" max="13553" width="8.42578125" style="1083" customWidth="1"/>
    <col min="13554" max="13554" width="7.42578125" style="1083" bestFit="1" customWidth="1"/>
    <col min="13555" max="13555" width="11.5703125" style="1083" bestFit="1" customWidth="1"/>
    <col min="13556" max="13556" width="8.42578125" style="1083" customWidth="1"/>
    <col min="13557" max="13557" width="13" style="1083" bestFit="1" customWidth="1"/>
    <col min="13558" max="13796" width="10.85546875" style="1083"/>
    <col min="13797" max="13797" width="8.5703125" style="1083" customWidth="1"/>
    <col min="13798" max="13798" width="50" style="1083" customWidth="1"/>
    <col min="13799" max="13799" width="6.42578125" style="1083" bestFit="1" customWidth="1"/>
    <col min="13800" max="13801" width="8.5703125" style="1083" customWidth="1"/>
    <col min="13802" max="13802" width="11.42578125" style="1083" bestFit="1" customWidth="1"/>
    <col min="13803" max="13803" width="7.5703125" style="1083" bestFit="1" customWidth="1"/>
    <col min="13804" max="13804" width="11.5703125" style="1083" bestFit="1" customWidth="1"/>
    <col min="13805" max="13805" width="8" style="1083" bestFit="1" customWidth="1"/>
    <col min="13806" max="13806" width="11.5703125" style="1083" bestFit="1" customWidth="1"/>
    <col min="13807" max="13807" width="8.42578125" style="1083" bestFit="1" customWidth="1"/>
    <col min="13808" max="13808" width="11.5703125" style="1083" bestFit="1" customWidth="1"/>
    <col min="13809" max="13809" width="8.42578125" style="1083" customWidth="1"/>
    <col min="13810" max="13810" width="7.42578125" style="1083" bestFit="1" customWidth="1"/>
    <col min="13811" max="13811" width="11.5703125" style="1083" bestFit="1" customWidth="1"/>
    <col min="13812" max="13812" width="8.42578125" style="1083" customWidth="1"/>
    <col min="13813" max="13813" width="13" style="1083" bestFit="1" customWidth="1"/>
    <col min="13814" max="14052" width="10.85546875" style="1083"/>
    <col min="14053" max="14053" width="8.5703125" style="1083" customWidth="1"/>
    <col min="14054" max="14054" width="50" style="1083" customWidth="1"/>
    <col min="14055" max="14055" width="6.42578125" style="1083" bestFit="1" customWidth="1"/>
    <col min="14056" max="14057" width="8.5703125" style="1083" customWidth="1"/>
    <col min="14058" max="14058" width="11.42578125" style="1083" bestFit="1" customWidth="1"/>
    <col min="14059" max="14059" width="7.5703125" style="1083" bestFit="1" customWidth="1"/>
    <col min="14060" max="14060" width="11.5703125" style="1083" bestFit="1" customWidth="1"/>
    <col min="14061" max="14061" width="8" style="1083" bestFit="1" customWidth="1"/>
    <col min="14062" max="14062" width="11.5703125" style="1083" bestFit="1" customWidth="1"/>
    <col min="14063" max="14063" width="8.42578125" style="1083" bestFit="1" customWidth="1"/>
    <col min="14064" max="14064" width="11.5703125" style="1083" bestFit="1" customWidth="1"/>
    <col min="14065" max="14065" width="8.42578125" style="1083" customWidth="1"/>
    <col min="14066" max="14066" width="7.42578125" style="1083" bestFit="1" customWidth="1"/>
    <col min="14067" max="14067" width="11.5703125" style="1083" bestFit="1" customWidth="1"/>
    <col min="14068" max="14068" width="8.42578125" style="1083" customWidth="1"/>
    <col min="14069" max="14069" width="13" style="1083" bestFit="1" customWidth="1"/>
    <col min="14070" max="14308" width="10.85546875" style="1083"/>
    <col min="14309" max="14309" width="8.5703125" style="1083" customWidth="1"/>
    <col min="14310" max="14310" width="50" style="1083" customWidth="1"/>
    <col min="14311" max="14311" width="6.42578125" style="1083" bestFit="1" customWidth="1"/>
    <col min="14312" max="14313" width="8.5703125" style="1083" customWidth="1"/>
    <col min="14314" max="14314" width="11.42578125" style="1083" bestFit="1" customWidth="1"/>
    <col min="14315" max="14315" width="7.5703125" style="1083" bestFit="1" customWidth="1"/>
    <col min="14316" max="14316" width="11.5703125" style="1083" bestFit="1" customWidth="1"/>
    <col min="14317" max="14317" width="8" style="1083" bestFit="1" customWidth="1"/>
    <col min="14318" max="14318" width="11.5703125" style="1083" bestFit="1" customWidth="1"/>
    <col min="14319" max="14319" width="8.42578125" style="1083" bestFit="1" customWidth="1"/>
    <col min="14320" max="14320" width="11.5703125" style="1083" bestFit="1" customWidth="1"/>
    <col min="14321" max="14321" width="8.42578125" style="1083" customWidth="1"/>
    <col min="14322" max="14322" width="7.42578125" style="1083" bestFit="1" customWidth="1"/>
    <col min="14323" max="14323" width="11.5703125" style="1083" bestFit="1" customWidth="1"/>
    <col min="14324" max="14324" width="8.42578125" style="1083" customWidth="1"/>
    <col min="14325" max="14325" width="13" style="1083" bestFit="1" customWidth="1"/>
    <col min="14326" max="14564" width="10.85546875" style="1083"/>
    <col min="14565" max="14565" width="8.5703125" style="1083" customWidth="1"/>
    <col min="14566" max="14566" width="50" style="1083" customWidth="1"/>
    <col min="14567" max="14567" width="6.42578125" style="1083" bestFit="1" customWidth="1"/>
    <col min="14568" max="14569" width="8.5703125" style="1083" customWidth="1"/>
    <col min="14570" max="14570" width="11.42578125" style="1083" bestFit="1" customWidth="1"/>
    <col min="14571" max="14571" width="7.5703125" style="1083" bestFit="1" customWidth="1"/>
    <col min="14572" max="14572" width="11.5703125" style="1083" bestFit="1" customWidth="1"/>
    <col min="14573" max="14573" width="8" style="1083" bestFit="1" customWidth="1"/>
    <col min="14574" max="14574" width="11.5703125" style="1083" bestFit="1" customWidth="1"/>
    <col min="14575" max="14575" width="8.42578125" style="1083" bestFit="1" customWidth="1"/>
    <col min="14576" max="14576" width="11.5703125" style="1083" bestFit="1" customWidth="1"/>
    <col min="14577" max="14577" width="8.42578125" style="1083" customWidth="1"/>
    <col min="14578" max="14578" width="7.42578125" style="1083" bestFit="1" customWidth="1"/>
    <col min="14579" max="14579" width="11.5703125" style="1083" bestFit="1" customWidth="1"/>
    <col min="14580" max="14580" width="8.42578125" style="1083" customWidth="1"/>
    <col min="14581" max="14581" width="13" style="1083" bestFit="1" customWidth="1"/>
    <col min="14582" max="14820" width="10.85546875" style="1083"/>
    <col min="14821" max="14821" width="8.5703125" style="1083" customWidth="1"/>
    <col min="14822" max="14822" width="50" style="1083" customWidth="1"/>
    <col min="14823" max="14823" width="6.42578125" style="1083" bestFit="1" customWidth="1"/>
    <col min="14824" max="14825" width="8.5703125" style="1083" customWidth="1"/>
    <col min="14826" max="14826" width="11.42578125" style="1083" bestFit="1" customWidth="1"/>
    <col min="14827" max="14827" width="7.5703125" style="1083" bestFit="1" customWidth="1"/>
    <col min="14828" max="14828" width="11.5703125" style="1083" bestFit="1" customWidth="1"/>
    <col min="14829" max="14829" width="8" style="1083" bestFit="1" customWidth="1"/>
    <col min="14830" max="14830" width="11.5703125" style="1083" bestFit="1" customWidth="1"/>
    <col min="14831" max="14831" width="8.42578125" style="1083" bestFit="1" customWidth="1"/>
    <col min="14832" max="14832" width="11.5703125" style="1083" bestFit="1" customWidth="1"/>
    <col min="14833" max="14833" width="8.42578125" style="1083" customWidth="1"/>
    <col min="14834" max="14834" width="7.42578125" style="1083" bestFit="1" customWidth="1"/>
    <col min="14835" max="14835" width="11.5703125" style="1083" bestFit="1" customWidth="1"/>
    <col min="14836" max="14836" width="8.42578125" style="1083" customWidth="1"/>
    <col min="14837" max="14837" width="13" style="1083" bestFit="1" customWidth="1"/>
    <col min="14838" max="15076" width="10.85546875" style="1083"/>
    <col min="15077" max="15077" width="8.5703125" style="1083" customWidth="1"/>
    <col min="15078" max="15078" width="50" style="1083" customWidth="1"/>
    <col min="15079" max="15079" width="6.42578125" style="1083" bestFit="1" customWidth="1"/>
    <col min="15080" max="15081" width="8.5703125" style="1083" customWidth="1"/>
    <col min="15082" max="15082" width="11.42578125" style="1083" bestFit="1" customWidth="1"/>
    <col min="15083" max="15083" width="7.5703125" style="1083" bestFit="1" customWidth="1"/>
    <col min="15084" max="15084" width="11.5703125" style="1083" bestFit="1" customWidth="1"/>
    <col min="15085" max="15085" width="8" style="1083" bestFit="1" customWidth="1"/>
    <col min="15086" max="15086" width="11.5703125" style="1083" bestFit="1" customWidth="1"/>
    <col min="15087" max="15087" width="8.42578125" style="1083" bestFit="1" customWidth="1"/>
    <col min="15088" max="15088" width="11.5703125" style="1083" bestFit="1" customWidth="1"/>
    <col min="15089" max="15089" width="8.42578125" style="1083" customWidth="1"/>
    <col min="15090" max="15090" width="7.42578125" style="1083" bestFit="1" customWidth="1"/>
    <col min="15091" max="15091" width="11.5703125" style="1083" bestFit="1" customWidth="1"/>
    <col min="15092" max="15092" width="8.42578125" style="1083" customWidth="1"/>
    <col min="15093" max="15093" width="13" style="1083" bestFit="1" customWidth="1"/>
    <col min="15094" max="15332" width="10.85546875" style="1083"/>
    <col min="15333" max="15333" width="8.5703125" style="1083" customWidth="1"/>
    <col min="15334" max="15334" width="50" style="1083" customWidth="1"/>
    <col min="15335" max="15335" width="6.42578125" style="1083" bestFit="1" customWidth="1"/>
    <col min="15336" max="15337" width="8.5703125" style="1083" customWidth="1"/>
    <col min="15338" max="15338" width="11.42578125" style="1083" bestFit="1" customWidth="1"/>
    <col min="15339" max="15339" width="7.5703125" style="1083" bestFit="1" customWidth="1"/>
    <col min="15340" max="15340" width="11.5703125" style="1083" bestFit="1" customWidth="1"/>
    <col min="15341" max="15341" width="8" style="1083" bestFit="1" customWidth="1"/>
    <col min="15342" max="15342" width="11.5703125" style="1083" bestFit="1" customWidth="1"/>
    <col min="15343" max="15343" width="8.42578125" style="1083" bestFit="1" customWidth="1"/>
    <col min="15344" max="15344" width="11.5703125" style="1083" bestFit="1" customWidth="1"/>
    <col min="15345" max="15345" width="8.42578125" style="1083" customWidth="1"/>
    <col min="15346" max="15346" width="7.42578125" style="1083" bestFit="1" customWidth="1"/>
    <col min="15347" max="15347" width="11.5703125" style="1083" bestFit="1" customWidth="1"/>
    <col min="15348" max="15348" width="8.42578125" style="1083" customWidth="1"/>
    <col min="15349" max="15349" width="13" style="1083" bestFit="1" customWidth="1"/>
    <col min="15350" max="15588" width="10.85546875" style="1083"/>
    <col min="15589" max="15589" width="8.5703125" style="1083" customWidth="1"/>
    <col min="15590" max="15590" width="50" style="1083" customWidth="1"/>
    <col min="15591" max="15591" width="6.42578125" style="1083" bestFit="1" customWidth="1"/>
    <col min="15592" max="15593" width="8.5703125" style="1083" customWidth="1"/>
    <col min="15594" max="15594" width="11.42578125" style="1083" bestFit="1" customWidth="1"/>
    <col min="15595" max="15595" width="7.5703125" style="1083" bestFit="1" customWidth="1"/>
    <col min="15596" max="15596" width="11.5703125" style="1083" bestFit="1" customWidth="1"/>
    <col min="15597" max="15597" width="8" style="1083" bestFit="1" customWidth="1"/>
    <col min="15598" max="15598" width="11.5703125" style="1083" bestFit="1" customWidth="1"/>
    <col min="15599" max="15599" width="8.42578125" style="1083" bestFit="1" customWidth="1"/>
    <col min="15600" max="15600" width="11.5703125" style="1083" bestFit="1" customWidth="1"/>
    <col min="15601" max="15601" width="8.42578125" style="1083" customWidth="1"/>
    <col min="15602" max="15602" width="7.42578125" style="1083" bestFit="1" customWidth="1"/>
    <col min="15603" max="15603" width="11.5703125" style="1083" bestFit="1" customWidth="1"/>
    <col min="15604" max="15604" width="8.42578125" style="1083" customWidth="1"/>
    <col min="15605" max="15605" width="13" style="1083" bestFit="1" customWidth="1"/>
    <col min="15606" max="15844" width="10.85546875" style="1083"/>
    <col min="15845" max="15845" width="8.5703125" style="1083" customWidth="1"/>
    <col min="15846" max="15846" width="50" style="1083" customWidth="1"/>
    <col min="15847" max="15847" width="6.42578125" style="1083" bestFit="1" customWidth="1"/>
    <col min="15848" max="15849" width="8.5703125" style="1083" customWidth="1"/>
    <col min="15850" max="15850" width="11.42578125" style="1083" bestFit="1" customWidth="1"/>
    <col min="15851" max="15851" width="7.5703125" style="1083" bestFit="1" customWidth="1"/>
    <col min="15852" max="15852" width="11.5703125" style="1083" bestFit="1" customWidth="1"/>
    <col min="15853" max="15853" width="8" style="1083" bestFit="1" customWidth="1"/>
    <col min="15854" max="15854" width="11.5703125" style="1083" bestFit="1" customWidth="1"/>
    <col min="15855" max="15855" width="8.42578125" style="1083" bestFit="1" customWidth="1"/>
    <col min="15856" max="15856" width="11.5703125" style="1083" bestFit="1" customWidth="1"/>
    <col min="15857" max="15857" width="8.42578125" style="1083" customWidth="1"/>
    <col min="15858" max="15858" width="7.42578125" style="1083" bestFit="1" customWidth="1"/>
    <col min="15859" max="15859" width="11.5703125" style="1083" bestFit="1" customWidth="1"/>
    <col min="15860" max="15860" width="8.42578125" style="1083" customWidth="1"/>
    <col min="15861" max="15861" width="13" style="1083" bestFit="1" customWidth="1"/>
    <col min="15862" max="16100" width="10.85546875" style="1083"/>
    <col min="16101" max="16101" width="8.5703125" style="1083" customWidth="1"/>
    <col min="16102" max="16102" width="50" style="1083" customWidth="1"/>
    <col min="16103" max="16103" width="6.42578125" style="1083" bestFit="1" customWidth="1"/>
    <col min="16104" max="16105" width="8.5703125" style="1083" customWidth="1"/>
    <col min="16106" max="16106" width="11.42578125" style="1083" bestFit="1" customWidth="1"/>
    <col min="16107" max="16107" width="7.5703125" style="1083" bestFit="1" customWidth="1"/>
    <col min="16108" max="16108" width="11.5703125" style="1083" bestFit="1" customWidth="1"/>
    <col min="16109" max="16109" width="8" style="1083" bestFit="1" customWidth="1"/>
    <col min="16110" max="16110" width="11.5703125" style="1083" bestFit="1" customWidth="1"/>
    <col min="16111" max="16111" width="8.42578125" style="1083" bestFit="1" customWidth="1"/>
    <col min="16112" max="16112" width="11.5703125" style="1083" bestFit="1" customWidth="1"/>
    <col min="16113" max="16113" width="8.42578125" style="1083" customWidth="1"/>
    <col min="16114" max="16114" width="7.42578125" style="1083" bestFit="1" customWidth="1"/>
    <col min="16115" max="16115" width="11.5703125" style="1083" bestFit="1" customWidth="1"/>
    <col min="16116" max="16116" width="8.42578125" style="1083" customWidth="1"/>
    <col min="16117" max="16117" width="13" style="1083" bestFit="1" customWidth="1"/>
    <col min="16118" max="16333" width="10.85546875" style="1083"/>
    <col min="16334" max="16383" width="11.5703125" style="1083" customWidth="1"/>
    <col min="16384" max="16384" width="11.5703125" style="1083"/>
  </cols>
  <sheetData>
    <row r="1" spans="2:10" ht="7.9" customHeight="1">
      <c r="C1" s="1950"/>
      <c r="D1" s="1950"/>
      <c r="E1" s="1950"/>
    </row>
    <row r="2" spans="2:10" ht="15">
      <c r="C2" s="1295" t="s">
        <v>2180</v>
      </c>
      <c r="D2" s="1289"/>
      <c r="E2" s="1289"/>
      <c r="F2" s="1296"/>
      <c r="G2" s="1289"/>
      <c r="H2" s="1289"/>
      <c r="I2" s="1289"/>
      <c r="J2" s="1289"/>
    </row>
    <row r="3" spans="2:10" ht="15">
      <c r="C3" s="1295"/>
      <c r="D3" s="1289"/>
      <c r="E3" s="1289"/>
      <c r="F3" s="1296"/>
      <c r="G3" s="1289"/>
      <c r="H3" s="1289"/>
      <c r="I3" s="1289"/>
      <c r="J3" s="1289"/>
    </row>
    <row r="4" spans="2:10" ht="15">
      <c r="C4" s="1295" t="s">
        <v>4330</v>
      </c>
      <c r="D4" s="1289"/>
      <c r="E4" s="1289"/>
      <c r="F4" s="1296"/>
      <c r="G4" s="1289"/>
      <c r="H4" s="1289"/>
      <c r="I4" s="1289"/>
      <c r="J4" s="1289"/>
    </row>
    <row r="5" spans="2:10" ht="15.75" thickBot="1">
      <c r="G5" s="1289"/>
    </row>
    <row r="6" spans="2:10" ht="13.35" customHeight="1">
      <c r="C6" s="2676" t="s">
        <v>20</v>
      </c>
      <c r="D6" s="2676" t="s">
        <v>21</v>
      </c>
      <c r="E6" s="2676" t="s">
        <v>4314</v>
      </c>
      <c r="F6" s="2676" t="s">
        <v>4327</v>
      </c>
      <c r="G6" s="1289"/>
    </row>
    <row r="7" spans="2:10" ht="13.35" customHeight="1">
      <c r="C7" s="2677"/>
      <c r="D7" s="2677"/>
      <c r="E7" s="2677"/>
      <c r="F7" s="2677"/>
      <c r="G7" s="1289"/>
    </row>
    <row r="8" spans="2:10" ht="12" customHeight="1">
      <c r="C8" s="2677"/>
      <c r="D8" s="2677"/>
      <c r="E8" s="2677"/>
      <c r="F8" s="2677"/>
      <c r="G8" s="1289"/>
    </row>
    <row r="9" spans="2:10" ht="28.5" customHeight="1" thickBot="1">
      <c r="C9" s="2678"/>
      <c r="D9" s="2678"/>
      <c r="E9" s="2678"/>
      <c r="F9" s="2678"/>
      <c r="G9" s="1289"/>
    </row>
    <row r="10" spans="2:10" s="1254" customFormat="1" ht="15">
      <c r="B10" s="1903" t="s">
        <v>3629</v>
      </c>
      <c r="C10" s="1369" t="s">
        <v>33</v>
      </c>
      <c r="D10" s="1370" t="s">
        <v>1132</v>
      </c>
      <c r="E10" s="1371"/>
      <c r="F10" s="2051"/>
      <c r="G10" s="1289"/>
    </row>
    <row r="11" spans="2:10" s="1255" customFormat="1" ht="15">
      <c r="B11" s="1904"/>
      <c r="C11" s="1126" t="s">
        <v>35</v>
      </c>
      <c r="D11" s="1127" t="s">
        <v>2833</v>
      </c>
      <c r="E11" s="1135"/>
      <c r="F11" s="2051"/>
      <c r="G11" s="1289"/>
    </row>
    <row r="12" spans="2:10" s="1255" customFormat="1">
      <c r="B12" s="1904"/>
      <c r="C12" s="1129" t="s">
        <v>537</v>
      </c>
      <c r="D12" s="1107" t="s">
        <v>2834</v>
      </c>
      <c r="E12" s="1109" t="s">
        <v>41</v>
      </c>
      <c r="F12" s="2051">
        <f>+'VAL. PRINC'!J16</f>
        <v>0</v>
      </c>
      <c r="G12" s="1106"/>
    </row>
    <row r="13" spans="2:10" s="1254" customFormat="1">
      <c r="B13" s="1903"/>
      <c r="C13" s="1126" t="s">
        <v>39</v>
      </c>
      <c r="D13" s="1127" t="s">
        <v>2835</v>
      </c>
      <c r="E13" s="1128"/>
      <c r="F13" s="2051"/>
      <c r="G13" s="2031"/>
    </row>
    <row r="14" spans="2:10" s="1254" customFormat="1" hidden="1">
      <c r="B14" s="1903"/>
      <c r="C14" s="1129" t="s">
        <v>542</v>
      </c>
      <c r="D14" s="1107" t="s">
        <v>2836</v>
      </c>
      <c r="E14" s="1109" t="s">
        <v>37</v>
      </c>
      <c r="F14" s="2051">
        <f>+'VAL. PRINC'!J18</f>
        <v>4</v>
      </c>
      <c r="G14" s="1106"/>
    </row>
    <row r="15" spans="2:10" s="1255" customFormat="1" hidden="1">
      <c r="B15" s="1904"/>
      <c r="C15" s="1129" t="s">
        <v>543</v>
      </c>
      <c r="D15" s="1107" t="s">
        <v>2837</v>
      </c>
      <c r="E15" s="1109" t="s">
        <v>37</v>
      </c>
      <c r="F15" s="2051">
        <f>+'VAL. PRINC'!J19</f>
        <v>1</v>
      </c>
      <c r="G15" s="1106"/>
    </row>
    <row r="16" spans="2:10" s="1254" customFormat="1" hidden="1">
      <c r="B16" s="1903"/>
      <c r="C16" s="1129" t="s">
        <v>544</v>
      </c>
      <c r="D16" s="1107" t="s">
        <v>2838</v>
      </c>
      <c r="E16" s="1109" t="s">
        <v>37</v>
      </c>
      <c r="F16" s="2051">
        <f>+'VAL. PRINC'!J20</f>
        <v>0</v>
      </c>
      <c r="G16" s="1106"/>
    </row>
    <row r="17" spans="2:7" s="1255" customFormat="1">
      <c r="B17" s="1904"/>
      <c r="C17" s="1129" t="s">
        <v>2247</v>
      </c>
      <c r="D17" s="1107" t="s">
        <v>2839</v>
      </c>
      <c r="E17" s="1109" t="s">
        <v>38</v>
      </c>
      <c r="F17" s="2051">
        <f>+'VAL. PRINC'!J21</f>
        <v>0</v>
      </c>
      <c r="G17" s="1106"/>
    </row>
    <row r="18" spans="2:7" s="1255" customFormat="1" hidden="1">
      <c r="B18" s="1904" t="s">
        <v>3629</v>
      </c>
      <c r="C18" s="1129" t="s">
        <v>2248</v>
      </c>
      <c r="D18" s="1107" t="s">
        <v>2840</v>
      </c>
      <c r="E18" s="1109" t="s">
        <v>1451</v>
      </c>
      <c r="F18" s="2051">
        <f>+'VAL. PRINC'!J22</f>
        <v>0</v>
      </c>
      <c r="G18" s="1106"/>
    </row>
    <row r="19" spans="2:7" s="1254" customFormat="1" hidden="1">
      <c r="B19" s="1903" t="s">
        <v>3629</v>
      </c>
      <c r="C19" s="1126" t="s">
        <v>545</v>
      </c>
      <c r="D19" s="1127" t="s">
        <v>2841</v>
      </c>
      <c r="E19" s="1128"/>
      <c r="F19" s="2051"/>
      <c r="G19" s="2031"/>
    </row>
    <row r="20" spans="2:7" s="1254" customFormat="1" hidden="1">
      <c r="B20" s="1903"/>
      <c r="C20" s="1129" t="s">
        <v>546</v>
      </c>
      <c r="D20" s="1107" t="s">
        <v>2842</v>
      </c>
      <c r="E20" s="1109" t="s">
        <v>41</v>
      </c>
      <c r="F20" s="2051">
        <f>+'VAL. PRINC'!J24</f>
        <v>0</v>
      </c>
      <c r="G20" s="1106"/>
    </row>
    <row r="21" spans="2:7" s="1255" customFormat="1" hidden="1">
      <c r="B21" s="1904" t="s">
        <v>3629</v>
      </c>
      <c r="C21" s="1129" t="s">
        <v>547</v>
      </c>
      <c r="D21" s="1107" t="s">
        <v>2843</v>
      </c>
      <c r="E21" s="1109" t="s">
        <v>41</v>
      </c>
      <c r="F21" s="2051">
        <f>+'VAL. PRINC'!J25</f>
        <v>0</v>
      </c>
      <c r="G21" s="1106"/>
    </row>
    <row r="22" spans="2:7" s="1255" customFormat="1" hidden="1">
      <c r="B22" s="1904" t="s">
        <v>3629</v>
      </c>
      <c r="C22" s="1129" t="s">
        <v>2249</v>
      </c>
      <c r="D22" s="1107" t="s">
        <v>2844</v>
      </c>
      <c r="E22" s="1109" t="s">
        <v>41</v>
      </c>
      <c r="F22" s="2051">
        <f>+'VAL. PRINC'!J26</f>
        <v>0</v>
      </c>
      <c r="G22" s="1106"/>
    </row>
    <row r="23" spans="2:7" s="1254" customFormat="1" hidden="1">
      <c r="B23" s="1903"/>
      <c r="C23" s="1129" t="s">
        <v>2250</v>
      </c>
      <c r="D23" s="1107" t="s">
        <v>2845</v>
      </c>
      <c r="E23" s="1109" t="s">
        <v>41</v>
      </c>
      <c r="F23" s="2051">
        <f>+'VAL. PRINC'!J27</f>
        <v>10</v>
      </c>
      <c r="G23" s="1106"/>
    </row>
    <row r="24" spans="2:7" s="1255" customFormat="1">
      <c r="B24" s="1904"/>
      <c r="C24" s="1126" t="s">
        <v>548</v>
      </c>
      <c r="D24" s="1127" t="s">
        <v>2846</v>
      </c>
      <c r="E24" s="1128"/>
      <c r="F24" s="2051"/>
      <c r="G24" s="2031"/>
    </row>
    <row r="25" spans="2:7" s="1255" customFormat="1" hidden="1">
      <c r="B25" s="1904"/>
      <c r="C25" s="1129" t="s">
        <v>549</v>
      </c>
      <c r="D25" s="1107" t="s">
        <v>2847</v>
      </c>
      <c r="E25" s="1109" t="s">
        <v>37</v>
      </c>
      <c r="F25" s="2051">
        <f>+'VAL. PRINC'!J29</f>
        <v>0</v>
      </c>
      <c r="G25" s="1106"/>
    </row>
    <row r="26" spans="2:7" s="1098" customFormat="1">
      <c r="B26" s="1905" t="s">
        <v>3629</v>
      </c>
      <c r="C26" s="1129" t="s">
        <v>550</v>
      </c>
      <c r="D26" s="1107" t="s">
        <v>2848</v>
      </c>
      <c r="E26" s="1109" t="s">
        <v>37</v>
      </c>
      <c r="F26" s="2051">
        <f>+'VAL. PRINC'!J30</f>
        <v>0</v>
      </c>
      <c r="G26" s="1106"/>
    </row>
    <row r="27" spans="2:7" s="1255" customFormat="1">
      <c r="B27" s="1904" t="s">
        <v>3629</v>
      </c>
      <c r="C27" s="1129" t="s">
        <v>2251</v>
      </c>
      <c r="D27" s="1107" t="s">
        <v>2849</v>
      </c>
      <c r="E27" s="1109" t="s">
        <v>37</v>
      </c>
      <c r="F27" s="2051">
        <f>+'VAL. PRINC'!J31</f>
        <v>0</v>
      </c>
      <c r="G27" s="1106"/>
    </row>
    <row r="28" spans="2:7" s="1098" customFormat="1" hidden="1">
      <c r="B28" s="1905" t="s">
        <v>3629</v>
      </c>
      <c r="C28" s="1126" t="s">
        <v>551</v>
      </c>
      <c r="D28" s="1127" t="s">
        <v>2850</v>
      </c>
      <c r="E28" s="1128"/>
      <c r="F28" s="2051"/>
      <c r="G28" s="2031"/>
    </row>
    <row r="29" spans="2:7" s="1098" customFormat="1" hidden="1">
      <c r="B29" s="1905" t="s">
        <v>3629</v>
      </c>
      <c r="C29" s="1129" t="s">
        <v>552</v>
      </c>
      <c r="D29" s="1107" t="s">
        <v>2851</v>
      </c>
      <c r="E29" s="1109" t="s">
        <v>36</v>
      </c>
      <c r="F29" s="2051">
        <f>+'VAL. PRINC'!J33</f>
        <v>0</v>
      </c>
      <c r="G29" s="1106"/>
    </row>
    <row r="30" spans="2:7" s="1255" customFormat="1" hidden="1">
      <c r="B30" s="1904" t="s">
        <v>3629</v>
      </c>
      <c r="C30" s="1129" t="s">
        <v>553</v>
      </c>
      <c r="D30" s="1107" t="s">
        <v>2852</v>
      </c>
      <c r="E30" s="1109" t="s">
        <v>36</v>
      </c>
      <c r="F30" s="2051">
        <f>+'VAL. PRINC'!J34</f>
        <v>0</v>
      </c>
      <c r="G30" s="1106"/>
    </row>
    <row r="31" spans="2:7" s="1255" customFormat="1" hidden="1">
      <c r="B31" s="1904"/>
      <c r="C31" s="1129" t="s">
        <v>554</v>
      </c>
      <c r="D31" s="1107" t="s">
        <v>2853</v>
      </c>
      <c r="E31" s="1109" t="s">
        <v>36</v>
      </c>
      <c r="F31" s="2051">
        <f>+'VAL. PRINC'!J35</f>
        <v>0</v>
      </c>
      <c r="G31" s="1106"/>
    </row>
    <row r="32" spans="2:7" s="1255" customFormat="1" hidden="1">
      <c r="B32" s="1904" t="s">
        <v>3629</v>
      </c>
      <c r="C32" s="1129" t="s">
        <v>555</v>
      </c>
      <c r="D32" s="1107" t="s">
        <v>2854</v>
      </c>
      <c r="E32" s="1109" t="s">
        <v>36</v>
      </c>
      <c r="F32" s="2051">
        <f>+'VAL. PRINC'!J36</f>
        <v>0</v>
      </c>
      <c r="G32" s="1106"/>
    </row>
    <row r="33" spans="2:7" s="1098" customFormat="1" hidden="1">
      <c r="B33" s="1905" t="s">
        <v>3629</v>
      </c>
      <c r="C33" s="1129" t="s">
        <v>556</v>
      </c>
      <c r="D33" s="1107" t="s">
        <v>2855</v>
      </c>
      <c r="E33" s="1109" t="s">
        <v>36</v>
      </c>
      <c r="F33" s="2051">
        <f>+'VAL. PRINC'!J37</f>
        <v>0</v>
      </c>
      <c r="G33" s="1106"/>
    </row>
    <row r="34" spans="2:7" s="1255" customFormat="1" hidden="1">
      <c r="B34" s="1904"/>
      <c r="C34" s="1129" t="s">
        <v>557</v>
      </c>
      <c r="D34" s="1107" t="s">
        <v>2856</v>
      </c>
      <c r="E34" s="1109" t="s">
        <v>36</v>
      </c>
      <c r="F34" s="2051">
        <f>+'VAL. PRINC'!J38</f>
        <v>20</v>
      </c>
      <c r="G34" s="1106"/>
    </row>
    <row r="35" spans="2:7" s="1255" customFormat="1" hidden="1">
      <c r="B35" s="1904"/>
      <c r="C35" s="1129" t="s">
        <v>2252</v>
      </c>
      <c r="D35" s="1107" t="s">
        <v>2857</v>
      </c>
      <c r="E35" s="1109" t="s">
        <v>37</v>
      </c>
      <c r="F35" s="2051">
        <f>+'VAL. PRINC'!J39</f>
        <v>5</v>
      </c>
      <c r="G35" s="1106"/>
    </row>
    <row r="36" spans="2:7" s="1254" customFormat="1" hidden="1">
      <c r="B36" s="1903" t="s">
        <v>3629</v>
      </c>
      <c r="C36" s="1129" t="s">
        <v>2253</v>
      </c>
      <c r="D36" s="1107" t="s">
        <v>2858</v>
      </c>
      <c r="E36" s="1109" t="s">
        <v>38</v>
      </c>
      <c r="F36" s="2051">
        <f>+'VAL. PRINC'!J40</f>
        <v>1</v>
      </c>
      <c r="G36" s="1106"/>
    </row>
    <row r="37" spans="2:7" s="1254" customFormat="1" hidden="1">
      <c r="B37" s="1903" t="s">
        <v>3629</v>
      </c>
      <c r="C37" s="1129" t="s">
        <v>2254</v>
      </c>
      <c r="D37" s="1107" t="s">
        <v>2859</v>
      </c>
      <c r="E37" s="1109" t="s">
        <v>36</v>
      </c>
      <c r="F37" s="2051">
        <f>+'VAL. PRINC'!J41</f>
        <v>1</v>
      </c>
      <c r="G37" s="1106"/>
    </row>
    <row r="38" spans="2:7" s="1255" customFormat="1" hidden="1">
      <c r="B38" s="1904" t="s">
        <v>3629</v>
      </c>
      <c r="C38" s="1129" t="s">
        <v>2255</v>
      </c>
      <c r="D38" s="1107" t="s">
        <v>2860</v>
      </c>
      <c r="E38" s="1109" t="s">
        <v>38</v>
      </c>
      <c r="F38" s="2051">
        <f>+'VAL. PRINC'!J42</f>
        <v>0</v>
      </c>
      <c r="G38" s="1106"/>
    </row>
    <row r="39" spans="2:7" s="1255" customFormat="1" hidden="1">
      <c r="B39" s="1904" t="s">
        <v>3629</v>
      </c>
      <c r="C39" s="1129" t="s">
        <v>2256</v>
      </c>
      <c r="D39" s="1107" t="s">
        <v>2861</v>
      </c>
      <c r="E39" s="1109" t="s">
        <v>36</v>
      </c>
      <c r="F39" s="2051">
        <f>+'VAL. PRINC'!J43</f>
        <v>0</v>
      </c>
      <c r="G39" s="1106"/>
    </row>
    <row r="40" spans="2:7" s="1255" customFormat="1" hidden="1">
      <c r="B40" s="1904" t="s">
        <v>3629</v>
      </c>
      <c r="C40" s="1129" t="s">
        <v>2257</v>
      </c>
      <c r="D40" s="1107" t="s">
        <v>2862</v>
      </c>
      <c r="E40" s="1109" t="s">
        <v>36</v>
      </c>
      <c r="F40" s="2051">
        <f>+'VAL. PRINC'!J44</f>
        <v>0</v>
      </c>
      <c r="G40" s="1106"/>
    </row>
    <row r="41" spans="2:7" s="1098" customFormat="1" hidden="1">
      <c r="B41" s="1905" t="s">
        <v>3629</v>
      </c>
      <c r="C41" s="1129" t="s">
        <v>2258</v>
      </c>
      <c r="D41" s="1107" t="s">
        <v>2863</v>
      </c>
      <c r="E41" s="1109" t="s">
        <v>36</v>
      </c>
      <c r="F41" s="2051">
        <f>+'VAL. PRINC'!J45</f>
        <v>10</v>
      </c>
      <c r="G41" s="1106"/>
    </row>
    <row r="42" spans="2:7" s="1254" customFormat="1" hidden="1">
      <c r="B42" s="1903"/>
      <c r="C42" s="1129" t="s">
        <v>2259</v>
      </c>
      <c r="D42" s="1107" t="s">
        <v>2864</v>
      </c>
      <c r="E42" s="1109" t="s">
        <v>36</v>
      </c>
      <c r="F42" s="2051" t="e">
        <f>+'VAL. PRINC'!#REF!</f>
        <v>#REF!</v>
      </c>
      <c r="G42" s="1106"/>
    </row>
    <row r="43" spans="2:7" s="1255" customFormat="1" hidden="1">
      <c r="B43" s="1904"/>
      <c r="C43" s="1129" t="s">
        <v>2260</v>
      </c>
      <c r="D43" s="1107" t="s">
        <v>2865</v>
      </c>
      <c r="E43" s="1109" t="s">
        <v>36</v>
      </c>
      <c r="F43" s="2051" t="e">
        <f>+'VAL. PRINC'!#REF!</f>
        <v>#REF!</v>
      </c>
      <c r="G43" s="1106"/>
    </row>
    <row r="44" spans="2:7" s="1255" customFormat="1" hidden="1">
      <c r="B44" s="1904"/>
      <c r="C44" s="1129" t="s">
        <v>2261</v>
      </c>
      <c r="D44" s="1107" t="s">
        <v>2866</v>
      </c>
      <c r="E44" s="1109" t="s">
        <v>36</v>
      </c>
      <c r="F44" s="2051" t="e">
        <f>+'VAL. PRINC'!#REF!</f>
        <v>#REF!</v>
      </c>
      <c r="G44" s="1106"/>
    </row>
    <row r="45" spans="2:7" s="1255" customFormat="1" hidden="1">
      <c r="B45" s="1904"/>
      <c r="C45" s="1129" t="s">
        <v>2262</v>
      </c>
      <c r="D45" s="1107" t="s">
        <v>2867</v>
      </c>
      <c r="E45" s="1109" t="s">
        <v>38</v>
      </c>
      <c r="F45" s="2051" t="e">
        <f>+'VAL. PRINC'!#REF!</f>
        <v>#REF!</v>
      </c>
      <c r="G45" s="1106"/>
    </row>
    <row r="46" spans="2:7" s="1255" customFormat="1" hidden="1">
      <c r="B46" s="1904"/>
      <c r="C46" s="1129" t="s">
        <v>2263</v>
      </c>
      <c r="D46" s="1107" t="s">
        <v>2868</v>
      </c>
      <c r="E46" s="1109" t="s">
        <v>36</v>
      </c>
      <c r="F46" s="2051" t="e">
        <f>+'VAL. PRINC'!#REF!</f>
        <v>#REF!</v>
      </c>
      <c r="G46" s="1106"/>
    </row>
    <row r="47" spans="2:7" s="1254" customFormat="1" hidden="1">
      <c r="B47" s="1903"/>
      <c r="C47" s="1929" t="s">
        <v>2264</v>
      </c>
      <c r="D47" s="1930" t="s">
        <v>2869</v>
      </c>
      <c r="E47" s="1109" t="s">
        <v>38</v>
      </c>
      <c r="F47" s="2051" t="e">
        <f>+'VAL. PRINC'!#REF!</f>
        <v>#REF!</v>
      </c>
      <c r="G47" s="1106"/>
    </row>
    <row r="48" spans="2:7" s="1255" customFormat="1" hidden="1">
      <c r="B48" s="1904"/>
      <c r="C48" s="1129" t="s">
        <v>2265</v>
      </c>
      <c r="D48" s="1107" t="s">
        <v>2870</v>
      </c>
      <c r="E48" s="1109" t="s">
        <v>38</v>
      </c>
      <c r="F48" s="2051" t="e">
        <f>+'VAL. PRINC'!#REF!</f>
        <v>#REF!</v>
      </c>
      <c r="G48" s="1106"/>
    </row>
    <row r="49" spans="2:7" s="1255" customFormat="1" hidden="1">
      <c r="B49" s="1904" t="s">
        <v>3629</v>
      </c>
      <c r="C49" s="1129" t="s">
        <v>2266</v>
      </c>
      <c r="D49" s="1107" t="s">
        <v>2871</v>
      </c>
      <c r="E49" s="1109" t="s">
        <v>37</v>
      </c>
      <c r="F49" s="2051" t="e">
        <f>+'VAL. PRINC'!#REF!</f>
        <v>#REF!</v>
      </c>
      <c r="G49" s="1106"/>
    </row>
    <row r="50" spans="2:7" s="1255" customFormat="1" hidden="1">
      <c r="B50" s="1904" t="s">
        <v>3629</v>
      </c>
      <c r="C50" s="1129" t="s">
        <v>2267</v>
      </c>
      <c r="D50" s="1107" t="s">
        <v>2872</v>
      </c>
      <c r="E50" s="1109" t="s">
        <v>37</v>
      </c>
      <c r="F50" s="2051" t="e">
        <f>+'VAL. PRINC'!#REF!</f>
        <v>#REF!</v>
      </c>
      <c r="G50" s="1106"/>
    </row>
    <row r="51" spans="2:7" s="1255" customFormat="1" hidden="1">
      <c r="B51" s="1904" t="s">
        <v>3629</v>
      </c>
      <c r="C51" s="1129" t="s">
        <v>2268</v>
      </c>
      <c r="D51" s="1107" t="s">
        <v>2873</v>
      </c>
      <c r="E51" s="1109" t="s">
        <v>40</v>
      </c>
      <c r="F51" s="2051" t="e">
        <f>+'VAL. PRINC'!#REF!</f>
        <v>#REF!</v>
      </c>
      <c r="G51" s="1106"/>
    </row>
    <row r="52" spans="2:7" s="1255" customFormat="1" hidden="1">
      <c r="B52" s="1904" t="s">
        <v>3629</v>
      </c>
      <c r="C52" s="1129" t="s">
        <v>2269</v>
      </c>
      <c r="D52" s="1107" t="s">
        <v>2874</v>
      </c>
      <c r="E52" s="1109" t="s">
        <v>40</v>
      </c>
      <c r="F52" s="2051" t="e">
        <f>+'VAL. PRINC'!#REF!</f>
        <v>#REF!</v>
      </c>
      <c r="G52" s="1106"/>
    </row>
    <row r="53" spans="2:7" s="1255" customFormat="1" hidden="1">
      <c r="B53" s="1904" t="s">
        <v>3629</v>
      </c>
      <c r="C53" s="1929" t="s">
        <v>2270</v>
      </c>
      <c r="D53" s="1930" t="s">
        <v>2875</v>
      </c>
      <c r="E53" s="2008" t="s">
        <v>40</v>
      </c>
      <c r="F53" s="2051" t="e">
        <f>+'VAL. PRINC'!#REF!</f>
        <v>#REF!</v>
      </c>
      <c r="G53" s="1106"/>
    </row>
    <row r="54" spans="2:7" s="1255" customFormat="1" hidden="1">
      <c r="B54" s="1904" t="s">
        <v>3629</v>
      </c>
      <c r="C54" s="1129" t="s">
        <v>2271</v>
      </c>
      <c r="D54" s="1107" t="s">
        <v>2876</v>
      </c>
      <c r="E54" s="1109" t="s">
        <v>40</v>
      </c>
      <c r="F54" s="2051" t="e">
        <f>+'VAL. PRINC'!#REF!</f>
        <v>#REF!</v>
      </c>
      <c r="G54" s="1106"/>
    </row>
    <row r="55" spans="2:7" s="1255" customFormat="1" ht="13.5" hidden="1" customHeight="1">
      <c r="B55" s="1904" t="s">
        <v>3629</v>
      </c>
      <c r="C55" s="1129" t="s">
        <v>2272</v>
      </c>
      <c r="D55" s="1107" t="s">
        <v>2877</v>
      </c>
      <c r="E55" s="1109" t="s">
        <v>40</v>
      </c>
      <c r="F55" s="2051" t="e">
        <f>+'VAL. PRINC'!#REF!</f>
        <v>#REF!</v>
      </c>
      <c r="G55" s="1106"/>
    </row>
    <row r="56" spans="2:7" s="1255" customFormat="1" hidden="1">
      <c r="B56" s="1904" t="s">
        <v>3629</v>
      </c>
      <c r="C56" s="1129" t="s">
        <v>2273</v>
      </c>
      <c r="D56" s="1107" t="s">
        <v>2878</v>
      </c>
      <c r="E56" s="1109" t="s">
        <v>40</v>
      </c>
      <c r="F56" s="2051" t="e">
        <f>+'VAL. PRINC'!#REF!</f>
        <v>#REF!</v>
      </c>
      <c r="G56" s="1106"/>
    </row>
    <row r="57" spans="2:7" s="1098" customFormat="1" hidden="1">
      <c r="B57" s="1905" t="s">
        <v>3629</v>
      </c>
      <c r="C57" s="1129" t="s">
        <v>2274</v>
      </c>
      <c r="D57" s="1107" t="s">
        <v>2879</v>
      </c>
      <c r="E57" s="1109" t="s">
        <v>37</v>
      </c>
      <c r="F57" s="2051" t="e">
        <f>+'VAL. PRINC'!#REF!</f>
        <v>#REF!</v>
      </c>
      <c r="G57" s="2031"/>
    </row>
    <row r="58" spans="2:7" s="1255" customFormat="1" hidden="1">
      <c r="B58" s="1904"/>
      <c r="C58" s="2007" t="s">
        <v>2275</v>
      </c>
      <c r="D58" s="1107" t="s">
        <v>2880</v>
      </c>
      <c r="E58" s="1109" t="s">
        <v>40</v>
      </c>
      <c r="F58" s="2051" t="e">
        <f>+'VAL. PRINC'!#REF!</f>
        <v>#REF!</v>
      </c>
      <c r="G58" s="1106"/>
    </row>
    <row r="59" spans="2:7" s="1255" customFormat="1" hidden="1">
      <c r="B59" s="1904" t="s">
        <v>3629</v>
      </c>
      <c r="C59" s="1129" t="s">
        <v>2276</v>
      </c>
      <c r="D59" s="1107" t="s">
        <v>2881</v>
      </c>
      <c r="E59" s="1109" t="s">
        <v>40</v>
      </c>
      <c r="F59" s="2051" t="e">
        <f>+'VAL. PRINC'!#REF!</f>
        <v>#REF!</v>
      </c>
      <c r="G59" s="1106"/>
    </row>
    <row r="60" spans="2:7" s="1255" customFormat="1" hidden="1">
      <c r="B60" s="1904"/>
      <c r="C60" s="1129" t="s">
        <v>2277</v>
      </c>
      <c r="D60" s="1107" t="s">
        <v>2882</v>
      </c>
      <c r="E60" s="1109" t="s">
        <v>37</v>
      </c>
      <c r="F60" s="2051" t="e">
        <f>+'VAL. PRINC'!#REF!</f>
        <v>#REF!</v>
      </c>
      <c r="G60" s="1106"/>
    </row>
    <row r="61" spans="2:7" s="1255" customFormat="1" hidden="1">
      <c r="B61" s="1904" t="s">
        <v>3629</v>
      </c>
      <c r="C61" s="1129" t="s">
        <v>2278</v>
      </c>
      <c r="D61" s="1107" t="s">
        <v>2883</v>
      </c>
      <c r="E61" s="1109" t="s">
        <v>40</v>
      </c>
      <c r="F61" s="2051" t="e">
        <f>+'VAL. PRINC'!#REF!</f>
        <v>#REF!</v>
      </c>
      <c r="G61" s="1106"/>
    </row>
    <row r="62" spans="2:7" s="1255" customFormat="1" hidden="1">
      <c r="B62" s="1904" t="s">
        <v>3629</v>
      </c>
      <c r="C62" s="1129" t="s">
        <v>2279</v>
      </c>
      <c r="D62" s="1107" t="s">
        <v>2884</v>
      </c>
      <c r="E62" s="1109" t="s">
        <v>37</v>
      </c>
      <c r="F62" s="2051" t="e">
        <f>+'VAL. PRINC'!#REF!</f>
        <v>#REF!</v>
      </c>
      <c r="G62" s="1106"/>
    </row>
    <row r="63" spans="2:7" s="1255" customFormat="1" hidden="1">
      <c r="B63" s="1904"/>
      <c r="C63" s="1129" t="s">
        <v>2280</v>
      </c>
      <c r="D63" s="1107" t="s">
        <v>2885</v>
      </c>
      <c r="E63" s="1109" t="s">
        <v>37</v>
      </c>
      <c r="F63" s="2051" t="e">
        <f>+'VAL. PRINC'!#REF!</f>
        <v>#REF!</v>
      </c>
      <c r="G63" s="1106"/>
    </row>
    <row r="64" spans="2:7" s="1255" customFormat="1" hidden="1">
      <c r="B64" s="1904" t="s">
        <v>3629</v>
      </c>
      <c r="C64" s="1129" t="s">
        <v>2281</v>
      </c>
      <c r="D64" s="1107" t="s">
        <v>2886</v>
      </c>
      <c r="E64" s="1109" t="s">
        <v>37</v>
      </c>
      <c r="F64" s="2051" t="e">
        <f>+'VAL. PRINC'!#REF!</f>
        <v>#REF!</v>
      </c>
      <c r="G64" s="1106"/>
    </row>
    <row r="65" spans="2:7" s="1255" customFormat="1" hidden="1">
      <c r="B65" s="1904"/>
      <c r="C65" s="1129" t="s">
        <v>2282</v>
      </c>
      <c r="D65" s="1107" t="s">
        <v>2887</v>
      </c>
      <c r="E65" s="1109" t="s">
        <v>37</v>
      </c>
      <c r="F65" s="2051" t="e">
        <f>+'VAL. PRINC'!#REF!</f>
        <v>#REF!</v>
      </c>
      <c r="G65" s="1106"/>
    </row>
    <row r="66" spans="2:7" s="1098" customFormat="1" hidden="1">
      <c r="B66" s="1905" t="s">
        <v>3629</v>
      </c>
      <c r="C66" s="1129" t="s">
        <v>2283</v>
      </c>
      <c r="D66" s="1107" t="s">
        <v>2888</v>
      </c>
      <c r="E66" s="1109" t="s">
        <v>37</v>
      </c>
      <c r="F66" s="2051" t="e">
        <f>+'VAL. PRINC'!#REF!</f>
        <v>#REF!</v>
      </c>
      <c r="G66" s="1106"/>
    </row>
    <row r="67" spans="2:7" s="1255" customFormat="1" hidden="1">
      <c r="B67" s="1904" t="s">
        <v>3629</v>
      </c>
      <c r="C67" s="1373">
        <v>1.06</v>
      </c>
      <c r="D67" s="1127" t="s">
        <v>2889</v>
      </c>
      <c r="E67" s="1128"/>
      <c r="F67" s="2051" t="e">
        <f>+'VAL. PRINC'!#REF!</f>
        <v>#REF!</v>
      </c>
      <c r="G67" s="2032"/>
    </row>
    <row r="68" spans="2:7" s="1098" customFormat="1" hidden="1">
      <c r="B68" s="1905"/>
      <c r="C68" s="1129" t="s">
        <v>2284</v>
      </c>
      <c r="D68" s="1107" t="s">
        <v>2890</v>
      </c>
      <c r="E68" s="1109" t="s">
        <v>40</v>
      </c>
      <c r="F68" s="2051" t="e">
        <f>+'VAL. PRINC'!#REF!</f>
        <v>#REF!</v>
      </c>
      <c r="G68" s="1106"/>
    </row>
    <row r="69" spans="2:7" s="1255" customFormat="1" hidden="1">
      <c r="B69" s="1904"/>
      <c r="C69" s="1126" t="s">
        <v>2285</v>
      </c>
      <c r="D69" s="1127" t="s">
        <v>2891</v>
      </c>
      <c r="E69" s="1128"/>
      <c r="F69" s="2051"/>
      <c r="G69" s="2032"/>
    </row>
    <row r="70" spans="2:7" s="1255" customFormat="1" ht="33.75" hidden="1">
      <c r="B70" s="1904"/>
      <c r="C70" s="1129" t="s">
        <v>2286</v>
      </c>
      <c r="D70" s="1374" t="s">
        <v>3607</v>
      </c>
      <c r="E70" s="1109" t="s">
        <v>41</v>
      </c>
      <c r="F70" s="2051" t="e">
        <f>+'VAL. PRINC'!#REF!</f>
        <v>#REF!</v>
      </c>
      <c r="G70" s="1106"/>
    </row>
    <row r="71" spans="2:7" s="1255" customFormat="1" hidden="1">
      <c r="B71" s="1904"/>
      <c r="C71" s="1129" t="s">
        <v>2287</v>
      </c>
      <c r="D71" s="1107" t="s">
        <v>2892</v>
      </c>
      <c r="E71" s="1109" t="s">
        <v>36</v>
      </c>
      <c r="F71" s="2051" t="e">
        <f>+'VAL. PRINC'!#REF!</f>
        <v>#REF!</v>
      </c>
      <c r="G71" s="1106"/>
    </row>
    <row r="72" spans="2:7" s="1098" customFormat="1" hidden="1">
      <c r="B72" s="1905"/>
      <c r="C72" s="1129" t="s">
        <v>2288</v>
      </c>
      <c r="D72" s="1107" t="s">
        <v>2893</v>
      </c>
      <c r="E72" s="1109" t="s">
        <v>41</v>
      </c>
      <c r="F72" s="2051" t="e">
        <f>+'VAL. PRINC'!#REF!</f>
        <v>#REF!</v>
      </c>
      <c r="G72" s="1106"/>
    </row>
    <row r="73" spans="2:7" s="1255" customFormat="1" hidden="1">
      <c r="B73" s="1904"/>
      <c r="C73" s="1129" t="s">
        <v>2289</v>
      </c>
      <c r="D73" s="1107" t="s">
        <v>2894</v>
      </c>
      <c r="E73" s="1109" t="s">
        <v>41</v>
      </c>
      <c r="F73" s="2051" t="e">
        <f>+'VAL. PRINC'!#REF!</f>
        <v>#REF!</v>
      </c>
      <c r="G73" s="1106"/>
    </row>
    <row r="74" spans="2:7" s="1255" customFormat="1" hidden="1">
      <c r="B74" s="1904"/>
      <c r="C74" s="1129" t="s">
        <v>2290</v>
      </c>
      <c r="D74" s="1107" t="s">
        <v>2895</v>
      </c>
      <c r="E74" s="1109" t="s">
        <v>41</v>
      </c>
      <c r="F74" s="2051" t="e">
        <f>+'VAL. PRINC'!#REF!</f>
        <v>#REF!</v>
      </c>
      <c r="G74" s="1106"/>
    </row>
    <row r="75" spans="2:7" s="1098" customFormat="1" hidden="1">
      <c r="B75" s="1905" t="s">
        <v>3629</v>
      </c>
      <c r="C75" s="1129" t="s">
        <v>2291</v>
      </c>
      <c r="D75" s="1107" t="s">
        <v>2896</v>
      </c>
      <c r="E75" s="1109" t="s">
        <v>41</v>
      </c>
      <c r="F75" s="2051" t="e">
        <f>+'VAL. PRINC'!#REF!</f>
        <v>#REF!</v>
      </c>
      <c r="G75" s="1106"/>
    </row>
    <row r="76" spans="2:7" s="1255" customFormat="1">
      <c r="B76" s="1904"/>
      <c r="C76" s="1130" t="s">
        <v>42</v>
      </c>
      <c r="D76" s="1131" t="s">
        <v>2897</v>
      </c>
      <c r="E76" s="1132"/>
      <c r="F76" s="2051"/>
      <c r="G76" s="2032"/>
    </row>
    <row r="77" spans="2:7" s="1098" customFormat="1" hidden="1">
      <c r="B77" s="1905" t="s">
        <v>3629</v>
      </c>
      <c r="C77" s="1126" t="s">
        <v>43</v>
      </c>
      <c r="D77" s="1127" t="s">
        <v>2898</v>
      </c>
      <c r="E77" s="1128"/>
      <c r="F77" s="2051"/>
      <c r="G77" s="2032"/>
    </row>
    <row r="78" spans="2:7" s="1098" customFormat="1" hidden="1">
      <c r="B78" s="1905" t="s">
        <v>3629</v>
      </c>
      <c r="C78" s="1375" t="s">
        <v>53</v>
      </c>
      <c r="D78" s="1376" t="s">
        <v>2899</v>
      </c>
      <c r="E78" s="1377" t="s">
        <v>40</v>
      </c>
      <c r="F78" s="2051" t="e">
        <f>+'VAL. PRINC'!#REF!</f>
        <v>#REF!</v>
      </c>
      <c r="G78" s="2033"/>
    </row>
    <row r="79" spans="2:7" s="1255" customFormat="1" hidden="1">
      <c r="B79" s="1904" t="s">
        <v>3629</v>
      </c>
      <c r="C79" s="1375" t="s">
        <v>564</v>
      </c>
      <c r="D79" s="1376" t="s">
        <v>2900</v>
      </c>
      <c r="E79" s="1377" t="s">
        <v>37</v>
      </c>
      <c r="F79" s="2051" t="e">
        <f>+'VAL. PRINC'!#REF!</f>
        <v>#REF!</v>
      </c>
      <c r="G79" s="2033"/>
    </row>
    <row r="80" spans="2:7" s="1266" customFormat="1" hidden="1">
      <c r="B80" s="2009" t="s">
        <v>3629</v>
      </c>
      <c r="C80" s="2013" t="s">
        <v>571</v>
      </c>
      <c r="D80" s="2014" t="s">
        <v>2901</v>
      </c>
      <c r="E80" s="2015" t="s">
        <v>40</v>
      </c>
      <c r="F80" s="2051" t="e">
        <f>+'VAL. PRINC'!#REF!</f>
        <v>#REF!</v>
      </c>
      <c r="G80" s="2032"/>
    </row>
    <row r="81" spans="2:7" s="1255" customFormat="1" hidden="1">
      <c r="B81" s="1904" t="s">
        <v>3629</v>
      </c>
      <c r="C81" s="1129" t="s">
        <v>600</v>
      </c>
      <c r="D81" s="1107" t="s">
        <v>2902</v>
      </c>
      <c r="E81" s="1109" t="s">
        <v>40</v>
      </c>
      <c r="F81" s="2051" t="e">
        <f>+'VAL. PRINC'!#REF!</f>
        <v>#REF!</v>
      </c>
      <c r="G81" s="2033"/>
    </row>
    <row r="82" spans="2:7" s="1255" customFormat="1" hidden="1">
      <c r="B82" s="1904" t="s">
        <v>3629</v>
      </c>
      <c r="C82" s="1129" t="s">
        <v>602</v>
      </c>
      <c r="D82" s="1107" t="s">
        <v>2903</v>
      </c>
      <c r="E82" s="1109" t="s">
        <v>40</v>
      </c>
      <c r="F82" s="2051" t="e">
        <f>+'VAL. PRINC'!#REF!</f>
        <v>#REF!</v>
      </c>
      <c r="G82" s="1106"/>
    </row>
    <row r="83" spans="2:7" s="1255" customFormat="1" hidden="1">
      <c r="B83" s="1904" t="s">
        <v>3629</v>
      </c>
      <c r="C83" s="1129" t="s">
        <v>2292</v>
      </c>
      <c r="D83" s="1107" t="s">
        <v>2904</v>
      </c>
      <c r="E83" s="1109" t="s">
        <v>40</v>
      </c>
      <c r="F83" s="2051" t="e">
        <f>+'VAL. PRINC'!#REF!</f>
        <v>#REF!</v>
      </c>
      <c r="G83" s="1106"/>
    </row>
    <row r="84" spans="2:7" s="1255" customFormat="1">
      <c r="B84" s="1904" t="s">
        <v>3629</v>
      </c>
      <c r="C84" s="1126" t="s">
        <v>44</v>
      </c>
      <c r="D84" s="1127" t="s">
        <v>2905</v>
      </c>
      <c r="E84" s="1128"/>
      <c r="F84" s="2051"/>
      <c r="G84" s="2032"/>
    </row>
    <row r="85" spans="2:7" s="1255" customFormat="1" hidden="1">
      <c r="B85" s="1904"/>
      <c r="C85" s="1133" t="s">
        <v>54</v>
      </c>
      <c r="D85" s="1125" t="s">
        <v>2906</v>
      </c>
      <c r="E85" s="1134"/>
      <c r="F85" s="2051"/>
      <c r="G85" s="1106"/>
    </row>
    <row r="86" spans="2:7" s="1255" customFormat="1" hidden="1">
      <c r="B86" s="1904"/>
      <c r="C86" s="1929" t="s">
        <v>605</v>
      </c>
      <c r="D86" s="1930" t="s">
        <v>2907</v>
      </c>
      <c r="E86" s="2008" t="s">
        <v>37</v>
      </c>
      <c r="F86" s="2051" t="e">
        <f>+'VAL. PRINC'!#REF!</f>
        <v>#REF!</v>
      </c>
      <c r="G86" s="2033"/>
    </row>
    <row r="87" spans="2:7" s="1255" customFormat="1" hidden="1">
      <c r="B87" s="1904"/>
      <c r="C87" s="1133" t="s">
        <v>55</v>
      </c>
      <c r="D87" s="1125" t="s">
        <v>2908</v>
      </c>
      <c r="E87" s="1134"/>
      <c r="F87" s="2051"/>
      <c r="G87" s="2033"/>
    </row>
    <row r="88" spans="2:7" s="1255" customFormat="1" hidden="1">
      <c r="B88" s="1904"/>
      <c r="C88" s="1129" t="s">
        <v>611</v>
      </c>
      <c r="D88" s="1107" t="s">
        <v>2909</v>
      </c>
      <c r="E88" s="1109" t="s">
        <v>40</v>
      </c>
      <c r="F88" s="2051" t="e">
        <f>+'VAL. PRINC'!#REF!</f>
        <v>#REF!</v>
      </c>
      <c r="G88" s="2033"/>
    </row>
    <row r="89" spans="2:7" s="1255" customFormat="1" hidden="1">
      <c r="B89" s="1904"/>
      <c r="C89" s="1133" t="s">
        <v>616</v>
      </c>
      <c r="D89" s="1125" t="s">
        <v>2910</v>
      </c>
      <c r="E89" s="1134"/>
      <c r="F89" s="2051"/>
      <c r="G89" s="2033"/>
    </row>
    <row r="90" spans="2:7" s="1255" customFormat="1" hidden="1">
      <c r="B90" s="1904"/>
      <c r="C90" s="1129" t="s">
        <v>617</v>
      </c>
      <c r="D90" s="1107" t="s">
        <v>2911</v>
      </c>
      <c r="E90" s="1109" t="s">
        <v>40</v>
      </c>
      <c r="F90" s="2051" t="e">
        <f>+'VAL. PRINC'!#REF!</f>
        <v>#REF!</v>
      </c>
      <c r="G90" s="2033"/>
    </row>
    <row r="91" spans="2:7" s="1255" customFormat="1" hidden="1">
      <c r="B91" s="1904"/>
      <c r="C91" s="1129" t="s">
        <v>620</v>
      </c>
      <c r="D91" s="1107" t="s">
        <v>2912</v>
      </c>
      <c r="E91" s="1109" t="s">
        <v>37</v>
      </c>
      <c r="F91" s="2051" t="e">
        <f>+'VAL. PRINC'!#REF!</f>
        <v>#REF!</v>
      </c>
      <c r="G91" s="2033"/>
    </row>
    <row r="92" spans="2:7" s="1255" customFormat="1" hidden="1">
      <c r="B92" s="1904"/>
      <c r="C92" s="1133" t="s">
        <v>645</v>
      </c>
      <c r="D92" s="1125" t="s">
        <v>2913</v>
      </c>
      <c r="E92" s="1134"/>
      <c r="F92" s="2051"/>
      <c r="G92" s="2033"/>
    </row>
    <row r="93" spans="2:7" s="1255" customFormat="1" hidden="1">
      <c r="B93" s="1904"/>
      <c r="C93" s="1129" t="s">
        <v>646</v>
      </c>
      <c r="D93" s="1107" t="s">
        <v>2914</v>
      </c>
      <c r="E93" s="1109" t="s">
        <v>40</v>
      </c>
      <c r="F93" s="2051" t="e">
        <f>+'VAL. PRINC'!#REF!</f>
        <v>#REF!</v>
      </c>
      <c r="G93" s="2033"/>
    </row>
    <row r="94" spans="2:7" s="1255" customFormat="1" hidden="1">
      <c r="B94" s="1904"/>
      <c r="C94" s="1929" t="s">
        <v>2293</v>
      </c>
      <c r="D94" s="1930" t="s">
        <v>2915</v>
      </c>
      <c r="E94" s="2008" t="s">
        <v>37</v>
      </c>
      <c r="F94" s="2051" t="e">
        <f>+'VAL. PRINC'!#REF!</f>
        <v>#REF!</v>
      </c>
      <c r="G94" s="2033"/>
    </row>
    <row r="95" spans="2:7" s="1255" customFormat="1" hidden="1">
      <c r="B95" s="1904"/>
      <c r="C95" s="2010" t="s">
        <v>647</v>
      </c>
      <c r="D95" s="2011" t="s">
        <v>2916</v>
      </c>
      <c r="E95" s="2012"/>
      <c r="F95" s="2051"/>
      <c r="G95" s="2033"/>
    </row>
    <row r="96" spans="2:7" s="1255" customFormat="1" hidden="1">
      <c r="B96" s="1904"/>
      <c r="C96" s="1929" t="s">
        <v>648</v>
      </c>
      <c r="D96" s="1930" t="s">
        <v>2917</v>
      </c>
      <c r="E96" s="2008" t="s">
        <v>40</v>
      </c>
      <c r="F96" s="2051" t="e">
        <f>+'VAL. PRINC'!#REF!</f>
        <v>#REF!</v>
      </c>
      <c r="G96" s="2033"/>
    </row>
    <row r="97" spans="2:7" s="1255" customFormat="1" hidden="1">
      <c r="B97" s="1904"/>
      <c r="C97" s="1929" t="s">
        <v>649</v>
      </c>
      <c r="D97" s="1930" t="s">
        <v>2918</v>
      </c>
      <c r="E97" s="2008" t="s">
        <v>37</v>
      </c>
      <c r="F97" s="2051" t="e">
        <f>+'VAL. PRINC'!#REF!</f>
        <v>#REF!</v>
      </c>
      <c r="G97" s="2033"/>
    </row>
    <row r="98" spans="2:7" s="1255" customFormat="1" hidden="1">
      <c r="B98" s="1904"/>
      <c r="C98" s="1129" t="s">
        <v>2294</v>
      </c>
      <c r="D98" s="1107" t="s">
        <v>2919</v>
      </c>
      <c r="E98" s="1109" t="s">
        <v>38</v>
      </c>
      <c r="F98" s="2051" t="e">
        <f>+'VAL. PRINC'!#REF!</f>
        <v>#REF!</v>
      </c>
      <c r="G98" s="2033"/>
    </row>
    <row r="99" spans="2:7" s="1255" customFormat="1" hidden="1">
      <c r="B99" s="1904"/>
      <c r="C99" s="1129" t="s">
        <v>2295</v>
      </c>
      <c r="D99" s="1107" t="s">
        <v>2920</v>
      </c>
      <c r="E99" s="1109" t="s">
        <v>40</v>
      </c>
      <c r="F99" s="2051" t="e">
        <f>+'VAL. PRINC'!#REF!</f>
        <v>#REF!</v>
      </c>
      <c r="G99" s="2033"/>
    </row>
    <row r="100" spans="2:7" s="1255" customFormat="1" hidden="1">
      <c r="B100" s="1904"/>
      <c r="C100" s="1133" t="s">
        <v>275</v>
      </c>
      <c r="D100" s="1125" t="s">
        <v>2921</v>
      </c>
      <c r="E100" s="1134"/>
      <c r="F100" s="2051"/>
      <c r="G100" s="2033"/>
    </row>
    <row r="101" spans="2:7" s="1255" customFormat="1" hidden="1">
      <c r="B101" s="1904"/>
      <c r="C101" s="1129" t="s">
        <v>2296</v>
      </c>
      <c r="D101" s="1107" t="s">
        <v>2922</v>
      </c>
      <c r="E101" s="1109" t="s">
        <v>40</v>
      </c>
      <c r="F101" s="2051" t="e">
        <f>+'VAL. PRINC'!#REF!</f>
        <v>#REF!</v>
      </c>
      <c r="G101" s="2033"/>
    </row>
    <row r="102" spans="2:7" s="1255" customFormat="1" hidden="1">
      <c r="B102" s="1904"/>
      <c r="C102" s="1129" t="s">
        <v>2297</v>
      </c>
      <c r="D102" s="1107" t="s">
        <v>2923</v>
      </c>
      <c r="E102" s="1109" t="s">
        <v>37</v>
      </c>
      <c r="F102" s="2051" t="e">
        <f>+'VAL. PRINC'!#REF!</f>
        <v>#REF!</v>
      </c>
      <c r="G102" s="1106"/>
    </row>
    <row r="103" spans="2:7" s="1255" customFormat="1" hidden="1">
      <c r="B103" s="1904"/>
      <c r="C103" s="1133" t="s">
        <v>322</v>
      </c>
      <c r="D103" s="1125" t="s">
        <v>2924</v>
      </c>
      <c r="E103" s="1134"/>
      <c r="F103" s="2051"/>
      <c r="G103" s="1106"/>
    </row>
    <row r="104" spans="2:7" s="1255" customFormat="1" hidden="1">
      <c r="B104" s="1904"/>
      <c r="C104" s="1129" t="s">
        <v>2298</v>
      </c>
      <c r="D104" s="1107" t="s">
        <v>2925</v>
      </c>
      <c r="E104" s="1109" t="s">
        <v>40</v>
      </c>
      <c r="F104" s="2051" t="e">
        <f>+'VAL. PRINC'!#REF!</f>
        <v>#REF!</v>
      </c>
      <c r="G104" s="1106"/>
    </row>
    <row r="105" spans="2:7" s="1255" customFormat="1" hidden="1">
      <c r="B105" s="1904"/>
      <c r="C105" s="1129" t="s">
        <v>2299</v>
      </c>
      <c r="D105" s="1107" t="s">
        <v>2926</v>
      </c>
      <c r="E105" s="1109" t="s">
        <v>37</v>
      </c>
      <c r="F105" s="2051" t="e">
        <f>+'VAL. PRINC'!#REF!</f>
        <v>#REF!</v>
      </c>
      <c r="G105" s="1106"/>
    </row>
    <row r="106" spans="2:7" s="1255" customFormat="1" hidden="1">
      <c r="B106" s="1904"/>
      <c r="C106" s="1133"/>
      <c r="D106" s="1125" t="s">
        <v>3707</v>
      </c>
      <c r="E106" s="1134"/>
      <c r="F106" s="2051"/>
      <c r="G106" s="1106"/>
    </row>
    <row r="107" spans="2:7" s="1255" customFormat="1" hidden="1">
      <c r="B107" s="1904"/>
      <c r="C107" s="1129" t="s">
        <v>2300</v>
      </c>
      <c r="D107" s="1107" t="s">
        <v>2927</v>
      </c>
      <c r="E107" s="1109" t="s">
        <v>40</v>
      </c>
      <c r="F107" s="2051" t="e">
        <f>+'VAL. PRINC'!#REF!</f>
        <v>#REF!</v>
      </c>
      <c r="G107" s="1106"/>
    </row>
    <row r="108" spans="2:7" s="1255" customFormat="1" hidden="1">
      <c r="B108" s="1904"/>
      <c r="C108" s="1129" t="s">
        <v>2301</v>
      </c>
      <c r="D108" s="1107" t="s">
        <v>2928</v>
      </c>
      <c r="E108" s="1109" t="s">
        <v>37</v>
      </c>
      <c r="F108" s="2051" t="e">
        <f>+'VAL. PRINC'!#REF!</f>
        <v>#REF!</v>
      </c>
      <c r="G108" s="1106"/>
    </row>
    <row r="109" spans="2:7" s="1255" customFormat="1" hidden="1">
      <c r="B109" s="1904"/>
      <c r="C109" s="1133" t="s">
        <v>2302</v>
      </c>
      <c r="D109" s="1125" t="s">
        <v>2929</v>
      </c>
      <c r="E109" s="1134"/>
      <c r="F109" s="2051"/>
      <c r="G109" s="1106"/>
    </row>
    <row r="110" spans="2:7" s="1255" customFormat="1" hidden="1">
      <c r="B110" s="1904"/>
      <c r="C110" s="1129" t="s">
        <v>2303</v>
      </c>
      <c r="D110" s="1107" t="s">
        <v>2930</v>
      </c>
      <c r="E110" s="1109" t="s">
        <v>40</v>
      </c>
      <c r="F110" s="2051" t="e">
        <f>+'VAL. PRINC'!#REF!</f>
        <v>#REF!</v>
      </c>
      <c r="G110" s="1106"/>
    </row>
    <row r="111" spans="2:7" s="1255" customFormat="1" hidden="1">
      <c r="B111" s="1904"/>
      <c r="C111" s="1129" t="s">
        <v>2304</v>
      </c>
      <c r="D111" s="1107" t="s">
        <v>2931</v>
      </c>
      <c r="E111" s="1109" t="s">
        <v>37</v>
      </c>
      <c r="F111" s="2051" t="e">
        <f>+'VAL. PRINC'!#REF!</f>
        <v>#REF!</v>
      </c>
      <c r="G111" s="1106"/>
    </row>
    <row r="112" spans="2:7" s="1098" customFormat="1">
      <c r="B112" s="1905"/>
      <c r="C112" s="1133" t="s">
        <v>2305</v>
      </c>
      <c r="D112" s="1125" t="s">
        <v>2932</v>
      </c>
      <c r="E112" s="1134"/>
      <c r="F112" s="2051"/>
      <c r="G112" s="1106"/>
    </row>
    <row r="113" spans="2:7" s="1255" customFormat="1">
      <c r="B113" s="1904"/>
      <c r="C113" s="1929" t="s">
        <v>2306</v>
      </c>
      <c r="D113" s="1930" t="s">
        <v>2933</v>
      </c>
      <c r="E113" s="2008" t="s">
        <v>37</v>
      </c>
      <c r="F113" s="2051" t="e">
        <f>+'VAL. PRINC'!#REF!</f>
        <v>#REF!</v>
      </c>
      <c r="G113" s="1106"/>
    </row>
    <row r="114" spans="2:7" s="1255" customFormat="1">
      <c r="B114" s="1904"/>
      <c r="C114" s="1126" t="s">
        <v>52</v>
      </c>
      <c r="D114" s="1127" t="s">
        <v>2934</v>
      </c>
      <c r="E114" s="1128"/>
      <c r="F114" s="2051"/>
      <c r="G114" s="2032"/>
    </row>
    <row r="115" spans="2:7" s="1255" customFormat="1" hidden="1">
      <c r="B115" s="1904"/>
      <c r="C115" s="1133" t="s">
        <v>56</v>
      </c>
      <c r="D115" s="1125" t="s">
        <v>2935</v>
      </c>
      <c r="E115" s="1134"/>
      <c r="F115" s="2051"/>
      <c r="G115" s="1106"/>
    </row>
    <row r="116" spans="2:7" s="1255" customFormat="1" hidden="1">
      <c r="B116" s="1904"/>
      <c r="C116" s="1129" t="s">
        <v>650</v>
      </c>
      <c r="D116" s="1107" t="s">
        <v>2936</v>
      </c>
      <c r="E116" s="1109" t="s">
        <v>40</v>
      </c>
      <c r="F116" s="2051" t="e">
        <f>+'VAL. PRINC'!#REF!</f>
        <v>#REF!</v>
      </c>
      <c r="G116" s="2033"/>
    </row>
    <row r="117" spans="2:7" s="1098" customFormat="1" hidden="1">
      <c r="B117" s="1905" t="s">
        <v>3629</v>
      </c>
      <c r="C117" s="1129" t="s">
        <v>651</v>
      </c>
      <c r="D117" s="1107" t="s">
        <v>2937</v>
      </c>
      <c r="E117" s="1109" t="s">
        <v>48</v>
      </c>
      <c r="F117" s="2051" t="e">
        <f>+'VAL. PRINC'!#REF!</f>
        <v>#REF!</v>
      </c>
      <c r="G117" s="2033"/>
    </row>
    <row r="118" spans="2:7" s="1255" customFormat="1" hidden="1">
      <c r="B118" s="1904"/>
      <c r="C118" s="1133" t="s">
        <v>57</v>
      </c>
      <c r="D118" s="1125" t="s">
        <v>2938</v>
      </c>
      <c r="E118" s="1134"/>
      <c r="F118" s="2051"/>
      <c r="G118" s="2033"/>
    </row>
    <row r="119" spans="2:7" s="1255" customFormat="1" hidden="1">
      <c r="B119" s="1904"/>
      <c r="C119" s="1129" t="s">
        <v>656</v>
      </c>
      <c r="D119" s="1107" t="s">
        <v>2939</v>
      </c>
      <c r="E119" s="1109" t="s">
        <v>40</v>
      </c>
      <c r="F119" s="2051" t="e">
        <f>+'VAL. PRINC'!#REF!</f>
        <v>#REF!</v>
      </c>
      <c r="G119" s="2033"/>
    </row>
    <row r="120" spans="2:7" s="1255" customFormat="1" hidden="1">
      <c r="B120" s="1904"/>
      <c r="C120" s="1129" t="s">
        <v>657</v>
      </c>
      <c r="D120" s="1107" t="s">
        <v>2940</v>
      </c>
      <c r="E120" s="1109" t="s">
        <v>37</v>
      </c>
      <c r="F120" s="2051" t="e">
        <f>+'VAL. PRINC'!#REF!</f>
        <v>#REF!</v>
      </c>
      <c r="G120" s="2033"/>
    </row>
    <row r="121" spans="2:7" s="1255" customFormat="1" hidden="1">
      <c r="B121" s="1904"/>
      <c r="C121" s="1129" t="s">
        <v>658</v>
      </c>
      <c r="D121" s="1107" t="s">
        <v>2941</v>
      </c>
      <c r="E121" s="1109" t="s">
        <v>48</v>
      </c>
      <c r="F121" s="2051" t="e">
        <f>+'VAL. PRINC'!#REF!</f>
        <v>#REF!</v>
      </c>
      <c r="G121" s="2033"/>
    </row>
    <row r="122" spans="2:7" s="1255" customFormat="1" hidden="1">
      <c r="B122" s="1904"/>
      <c r="C122" s="1133" t="s">
        <v>661</v>
      </c>
      <c r="D122" s="1125" t="s">
        <v>2942</v>
      </c>
      <c r="E122" s="1134"/>
      <c r="F122" s="2051"/>
      <c r="G122" s="2033"/>
    </row>
    <row r="123" spans="2:7" s="1098" customFormat="1" hidden="1">
      <c r="B123" s="1905"/>
      <c r="C123" s="1129" t="s">
        <v>662</v>
      </c>
      <c r="D123" s="1107" t="s">
        <v>2943</v>
      </c>
      <c r="E123" s="1109" t="s">
        <v>40</v>
      </c>
      <c r="F123" s="2051" t="e">
        <f>+'VAL. PRINC'!#REF!</f>
        <v>#REF!</v>
      </c>
      <c r="G123" s="2033"/>
    </row>
    <row r="124" spans="2:7" s="1255" customFormat="1" hidden="1">
      <c r="B124" s="1904"/>
      <c r="C124" s="1129" t="s">
        <v>665</v>
      </c>
      <c r="D124" s="1107" t="s">
        <v>2944</v>
      </c>
      <c r="E124" s="1109" t="s">
        <v>37</v>
      </c>
      <c r="F124" s="2051" t="e">
        <f>+'VAL. PRINC'!#REF!</f>
        <v>#REF!</v>
      </c>
      <c r="G124" s="2033"/>
    </row>
    <row r="125" spans="2:7" s="1255" customFormat="1" hidden="1">
      <c r="B125" s="1904"/>
      <c r="C125" s="1129" t="s">
        <v>669</v>
      </c>
      <c r="D125" s="1107" t="s">
        <v>2945</v>
      </c>
      <c r="E125" s="1109" t="s">
        <v>48</v>
      </c>
      <c r="F125" s="2051" t="e">
        <f>+'VAL. PRINC'!#REF!</f>
        <v>#REF!</v>
      </c>
      <c r="G125" s="2033"/>
    </row>
    <row r="126" spans="2:7" s="1255" customFormat="1" hidden="1">
      <c r="B126" s="1904"/>
      <c r="C126" s="1133" t="s">
        <v>690</v>
      </c>
      <c r="D126" s="1125" t="s">
        <v>2946</v>
      </c>
      <c r="E126" s="1134"/>
      <c r="F126" s="2051"/>
      <c r="G126" s="2033"/>
    </row>
    <row r="127" spans="2:7" s="1098" customFormat="1" hidden="1">
      <c r="B127" s="1905" t="s">
        <v>3629</v>
      </c>
      <c r="C127" s="1129" t="s">
        <v>691</v>
      </c>
      <c r="D127" s="1107" t="s">
        <v>2947</v>
      </c>
      <c r="E127" s="1109" t="s">
        <v>40</v>
      </c>
      <c r="F127" s="2051" t="e">
        <f>+'VAL. PRINC'!#REF!</f>
        <v>#REF!</v>
      </c>
      <c r="G127" s="1106"/>
    </row>
    <row r="128" spans="2:7" s="1255" customFormat="1" hidden="1">
      <c r="B128" s="1904"/>
      <c r="C128" s="1129" t="s">
        <v>2307</v>
      </c>
      <c r="D128" s="1107" t="s">
        <v>2948</v>
      </c>
      <c r="E128" s="1109" t="s">
        <v>37</v>
      </c>
      <c r="F128" s="2051" t="e">
        <f>+'VAL. PRINC'!#REF!</f>
        <v>#REF!</v>
      </c>
      <c r="G128" s="1106"/>
    </row>
    <row r="129" spans="2:7" s="1255" customFormat="1" hidden="1">
      <c r="B129" s="1904"/>
      <c r="C129" s="1129" t="s">
        <v>2308</v>
      </c>
      <c r="D129" s="1107" t="s">
        <v>2949</v>
      </c>
      <c r="E129" s="1109" t="s">
        <v>48</v>
      </c>
      <c r="F129" s="2051" t="e">
        <f>+'VAL. PRINC'!#REF!</f>
        <v>#REF!</v>
      </c>
      <c r="G129" s="1106"/>
    </row>
    <row r="130" spans="2:7" s="1255" customFormat="1" hidden="1">
      <c r="B130" s="1904" t="s">
        <v>3629</v>
      </c>
      <c r="C130" s="1129" t="s">
        <v>2309</v>
      </c>
      <c r="D130" s="1107" t="s">
        <v>2919</v>
      </c>
      <c r="E130" s="1109" t="s">
        <v>38</v>
      </c>
      <c r="F130" s="2051" t="e">
        <f>+'VAL. PRINC'!#REF!</f>
        <v>#REF!</v>
      </c>
      <c r="G130" s="1106"/>
    </row>
    <row r="131" spans="2:7" s="1255" customFormat="1" hidden="1">
      <c r="B131" s="1904" t="s">
        <v>3629</v>
      </c>
      <c r="C131" s="1129" t="s">
        <v>2310</v>
      </c>
      <c r="D131" s="1107" t="s">
        <v>2950</v>
      </c>
      <c r="E131" s="1109" t="s">
        <v>38</v>
      </c>
      <c r="F131" s="2051" t="e">
        <f>+'VAL. PRINC'!#REF!</f>
        <v>#REF!</v>
      </c>
      <c r="G131" s="1106"/>
    </row>
    <row r="132" spans="2:7" s="1098" customFormat="1" hidden="1">
      <c r="B132" s="1905" t="s">
        <v>3629</v>
      </c>
      <c r="C132" s="1129" t="s">
        <v>2311</v>
      </c>
      <c r="D132" s="1107" t="s">
        <v>2920</v>
      </c>
      <c r="E132" s="1109" t="s">
        <v>40</v>
      </c>
      <c r="F132" s="2051" t="e">
        <f>+'VAL. PRINC'!#REF!</f>
        <v>#REF!</v>
      </c>
      <c r="G132" s="1106"/>
    </row>
    <row r="133" spans="2:7" s="1255" customFormat="1" hidden="1">
      <c r="B133" s="1904"/>
      <c r="C133" s="1133" t="s">
        <v>692</v>
      </c>
      <c r="D133" s="1125" t="s">
        <v>2951</v>
      </c>
      <c r="E133" s="1134"/>
      <c r="F133" s="2051"/>
      <c r="G133" s="1106"/>
    </row>
    <row r="134" spans="2:7" s="1255" customFormat="1" hidden="1">
      <c r="B134" s="1904"/>
      <c r="C134" s="1129" t="s">
        <v>693</v>
      </c>
      <c r="D134" s="1107" t="s">
        <v>2952</v>
      </c>
      <c r="E134" s="1109" t="s">
        <v>40</v>
      </c>
      <c r="F134" s="2051" t="e">
        <f>+'VAL. PRINC'!#REF!</f>
        <v>#REF!</v>
      </c>
      <c r="G134" s="2033"/>
    </row>
    <row r="135" spans="2:7" s="1255" customFormat="1" hidden="1">
      <c r="B135" s="1904"/>
      <c r="C135" s="1129" t="s">
        <v>694</v>
      </c>
      <c r="D135" s="1107" t="s">
        <v>2953</v>
      </c>
      <c r="E135" s="1109" t="s">
        <v>37</v>
      </c>
      <c r="F135" s="2051" t="e">
        <f>+'VAL. PRINC'!#REF!</f>
        <v>#REF!</v>
      </c>
      <c r="G135" s="1106"/>
    </row>
    <row r="136" spans="2:7" s="1098" customFormat="1" hidden="1">
      <c r="B136" s="1905" t="s">
        <v>3629</v>
      </c>
      <c r="C136" s="1129" t="s">
        <v>2312</v>
      </c>
      <c r="D136" s="1107" t="s">
        <v>2954</v>
      </c>
      <c r="E136" s="1109" t="s">
        <v>48</v>
      </c>
      <c r="F136" s="2051" t="e">
        <f>+'VAL. PRINC'!#REF!</f>
        <v>#REF!</v>
      </c>
      <c r="G136" s="1106"/>
    </row>
    <row r="137" spans="2:7" s="1098" customFormat="1" hidden="1">
      <c r="B137" s="1905"/>
      <c r="C137" s="1133" t="s">
        <v>2313</v>
      </c>
      <c r="D137" s="1125" t="s">
        <v>2955</v>
      </c>
      <c r="E137" s="1134"/>
      <c r="F137" s="2051"/>
      <c r="G137" s="1106"/>
    </row>
    <row r="138" spans="2:7" s="1255" customFormat="1" hidden="1">
      <c r="B138" s="1904"/>
      <c r="C138" s="1129" t="s">
        <v>2314</v>
      </c>
      <c r="D138" s="1107" t="s">
        <v>2956</v>
      </c>
      <c r="E138" s="1109" t="s">
        <v>40</v>
      </c>
      <c r="F138" s="2051" t="e">
        <f>+'VAL. PRINC'!#REF!</f>
        <v>#REF!</v>
      </c>
      <c r="G138" s="1106"/>
    </row>
    <row r="139" spans="2:7" s="1098" customFormat="1" hidden="1">
      <c r="B139" s="1905"/>
      <c r="C139" s="1129" t="s">
        <v>2315</v>
      </c>
      <c r="D139" s="1107" t="s">
        <v>2957</v>
      </c>
      <c r="E139" s="1109" t="s">
        <v>37</v>
      </c>
      <c r="F139" s="2051" t="e">
        <f>+'VAL. PRINC'!#REF!</f>
        <v>#REF!</v>
      </c>
      <c r="G139" s="1106"/>
    </row>
    <row r="140" spans="2:7" s="1255" customFormat="1" hidden="1">
      <c r="B140" s="1904"/>
      <c r="C140" s="1129" t="s">
        <v>2316</v>
      </c>
      <c r="D140" s="1107" t="s">
        <v>2958</v>
      </c>
      <c r="E140" s="1109" t="s">
        <v>48</v>
      </c>
      <c r="F140" s="2051" t="e">
        <f>+'VAL. PRINC'!#REF!</f>
        <v>#REF!</v>
      </c>
      <c r="G140" s="1106"/>
    </row>
    <row r="141" spans="2:7" s="1255" customFormat="1" hidden="1">
      <c r="B141" s="1904"/>
      <c r="C141" s="1133" t="s">
        <v>2317</v>
      </c>
      <c r="D141" s="1125" t="s">
        <v>2959</v>
      </c>
      <c r="E141" s="1134"/>
      <c r="F141" s="2051"/>
      <c r="G141" s="1106"/>
    </row>
    <row r="142" spans="2:7" s="1255" customFormat="1" hidden="1">
      <c r="B142" s="1904"/>
      <c r="C142" s="1129" t="s">
        <v>2318</v>
      </c>
      <c r="D142" s="1107" t="s">
        <v>2960</v>
      </c>
      <c r="E142" s="1109" t="s">
        <v>40</v>
      </c>
      <c r="F142" s="2051" t="e">
        <f>+'VAL. PRINC'!#REF!</f>
        <v>#REF!</v>
      </c>
      <c r="G142" s="1106"/>
    </row>
    <row r="143" spans="2:7" s="1255" customFormat="1" hidden="1">
      <c r="B143" s="1904"/>
      <c r="C143" s="1129" t="s">
        <v>2319</v>
      </c>
      <c r="D143" s="1107" t="s">
        <v>2961</v>
      </c>
      <c r="E143" s="1109" t="s">
        <v>37</v>
      </c>
      <c r="F143" s="2051" t="e">
        <f>+'VAL. PRINC'!#REF!</f>
        <v>#REF!</v>
      </c>
      <c r="G143" s="1106"/>
    </row>
    <row r="144" spans="2:7" s="1255" customFormat="1" hidden="1">
      <c r="B144" s="1904"/>
      <c r="C144" s="1129" t="s">
        <v>2320</v>
      </c>
      <c r="D144" s="1107" t="s">
        <v>2962</v>
      </c>
      <c r="E144" s="1109" t="s">
        <v>48</v>
      </c>
      <c r="F144" s="2051" t="e">
        <f>+'VAL. PRINC'!#REF!</f>
        <v>#REF!</v>
      </c>
      <c r="G144" s="2031"/>
    </row>
    <row r="145" spans="2:7" s="1098" customFormat="1" hidden="1">
      <c r="B145" s="1905" t="s">
        <v>3629</v>
      </c>
      <c r="C145" s="1133" t="s">
        <v>2321</v>
      </c>
      <c r="D145" s="1125" t="s">
        <v>2963</v>
      </c>
      <c r="E145" s="1134"/>
      <c r="F145" s="2051"/>
      <c r="G145" s="2031"/>
    </row>
    <row r="146" spans="2:7" s="1255" customFormat="1" hidden="1">
      <c r="B146" s="1904"/>
      <c r="C146" s="1129" t="s">
        <v>2322</v>
      </c>
      <c r="D146" s="1107" t="s">
        <v>2964</v>
      </c>
      <c r="E146" s="1109" t="s">
        <v>40</v>
      </c>
      <c r="F146" s="2051" t="e">
        <f>+'VAL. PRINC'!#REF!</f>
        <v>#REF!</v>
      </c>
      <c r="G146" s="2031"/>
    </row>
    <row r="147" spans="2:7" s="1255" customFormat="1" hidden="1">
      <c r="B147" s="1904"/>
      <c r="C147" s="1129" t="s">
        <v>2323</v>
      </c>
      <c r="D147" s="1107" t="s">
        <v>2965</v>
      </c>
      <c r="E147" s="1109" t="s">
        <v>37</v>
      </c>
      <c r="F147" s="2051" t="e">
        <f>+'VAL. PRINC'!#REF!</f>
        <v>#REF!</v>
      </c>
      <c r="G147" s="2031"/>
    </row>
    <row r="148" spans="2:7" s="1255" customFormat="1" hidden="1">
      <c r="B148" s="1904"/>
      <c r="C148" s="1129" t="s">
        <v>2324</v>
      </c>
      <c r="D148" s="1107" t="s">
        <v>2966</v>
      </c>
      <c r="E148" s="1109" t="s">
        <v>48</v>
      </c>
      <c r="F148" s="2051" t="e">
        <f>+'VAL. PRINC'!#REF!</f>
        <v>#REF!</v>
      </c>
      <c r="G148" s="2031"/>
    </row>
    <row r="149" spans="2:7" s="1255" customFormat="1" hidden="1">
      <c r="B149" s="1904"/>
      <c r="C149" s="1133" t="s">
        <v>2325</v>
      </c>
      <c r="D149" s="1125" t="s">
        <v>2967</v>
      </c>
      <c r="E149" s="1134"/>
      <c r="F149" s="2051"/>
      <c r="G149" s="2031"/>
    </row>
    <row r="150" spans="2:7" s="1266" customFormat="1" hidden="1">
      <c r="B150" s="2009"/>
      <c r="C150" s="1929" t="s">
        <v>2326</v>
      </c>
      <c r="D150" s="1930" t="s">
        <v>2968</v>
      </c>
      <c r="E150" s="2008" t="s">
        <v>40</v>
      </c>
      <c r="F150" s="2051" t="e">
        <f>+'VAL. PRINC'!#REF!</f>
        <v>#REF!</v>
      </c>
      <c r="G150" s="2031"/>
    </row>
    <row r="151" spans="2:7" s="1266" customFormat="1" hidden="1">
      <c r="B151" s="2009"/>
      <c r="C151" s="1929" t="s">
        <v>2327</v>
      </c>
      <c r="D151" s="1930" t="s">
        <v>2969</v>
      </c>
      <c r="E151" s="2008" t="s">
        <v>37</v>
      </c>
      <c r="F151" s="2051" t="e">
        <f>+'VAL. PRINC'!#REF!</f>
        <v>#REF!</v>
      </c>
      <c r="G151" s="2031"/>
    </row>
    <row r="152" spans="2:7" s="1266" customFormat="1" hidden="1">
      <c r="B152" s="2009"/>
      <c r="C152" s="1929" t="s">
        <v>2328</v>
      </c>
      <c r="D152" s="1930" t="s">
        <v>2970</v>
      </c>
      <c r="E152" s="2008" t="s">
        <v>48</v>
      </c>
      <c r="F152" s="2051" t="e">
        <f>+'VAL. PRINC'!#REF!</f>
        <v>#REF!</v>
      </c>
      <c r="G152" s="2031"/>
    </row>
    <row r="153" spans="2:7" s="1266" customFormat="1" hidden="1">
      <c r="B153" s="2009"/>
      <c r="C153" s="1929" t="s">
        <v>2329</v>
      </c>
      <c r="D153" s="1930" t="s">
        <v>2971</v>
      </c>
      <c r="E153" s="2008" t="s">
        <v>36</v>
      </c>
      <c r="F153" s="2051" t="e">
        <f>+'VAL. PRINC'!#REF!</f>
        <v>#REF!</v>
      </c>
      <c r="G153" s="2031"/>
    </row>
    <row r="154" spans="2:7" s="1255" customFormat="1" hidden="1">
      <c r="B154" s="1904"/>
      <c r="C154" s="1133" t="s">
        <v>2330</v>
      </c>
      <c r="D154" s="1125" t="s">
        <v>2972</v>
      </c>
      <c r="E154" s="1134"/>
      <c r="F154" s="2051"/>
      <c r="G154" s="2031"/>
    </row>
    <row r="155" spans="2:7" s="1255" customFormat="1" hidden="1">
      <c r="B155" s="1904"/>
      <c r="C155" s="1129" t="s">
        <v>2331</v>
      </c>
      <c r="D155" s="1107" t="s">
        <v>2968</v>
      </c>
      <c r="E155" s="1109" t="s">
        <v>40</v>
      </c>
      <c r="F155" s="2051" t="e">
        <f>+'VAL. PRINC'!#REF!</f>
        <v>#REF!</v>
      </c>
      <c r="G155" s="2031"/>
    </row>
    <row r="156" spans="2:7" s="1098" customFormat="1" hidden="1">
      <c r="B156" s="1905"/>
      <c r="C156" s="1129" t="s">
        <v>2332</v>
      </c>
      <c r="D156" s="1107" t="s">
        <v>2969</v>
      </c>
      <c r="E156" s="1109" t="s">
        <v>37</v>
      </c>
      <c r="F156" s="2051" t="e">
        <f>+'VAL. PRINC'!#REF!</f>
        <v>#REF!</v>
      </c>
      <c r="G156" s="2031"/>
    </row>
    <row r="157" spans="2:7" s="1255" customFormat="1" hidden="1">
      <c r="B157" s="1904"/>
      <c r="C157" s="1129" t="s">
        <v>2333</v>
      </c>
      <c r="D157" s="1107" t="s">
        <v>2970</v>
      </c>
      <c r="E157" s="1109" t="s">
        <v>48</v>
      </c>
      <c r="F157" s="2051" t="e">
        <f>+'VAL. PRINC'!#REF!</f>
        <v>#REF!</v>
      </c>
      <c r="G157" s="2031"/>
    </row>
    <row r="158" spans="2:7" s="1255" customFormat="1" hidden="1">
      <c r="B158" s="1904"/>
      <c r="C158" s="1129" t="s">
        <v>2334</v>
      </c>
      <c r="D158" s="1107" t="s">
        <v>2973</v>
      </c>
      <c r="E158" s="1109" t="s">
        <v>36</v>
      </c>
      <c r="F158" s="2051" t="e">
        <f>+'VAL. PRINC'!#REF!</f>
        <v>#REF!</v>
      </c>
      <c r="G158" s="2031"/>
    </row>
    <row r="159" spans="2:7" s="1255" customFormat="1" hidden="1">
      <c r="B159" s="1904"/>
      <c r="C159" s="1133" t="s">
        <v>2335</v>
      </c>
      <c r="D159" s="1125" t="s">
        <v>2974</v>
      </c>
      <c r="E159" s="1134"/>
      <c r="F159" s="2051"/>
      <c r="G159" s="2031"/>
    </row>
    <row r="160" spans="2:7" s="1255" customFormat="1" hidden="1">
      <c r="B160" s="1904"/>
      <c r="C160" s="1129" t="s">
        <v>2336</v>
      </c>
      <c r="D160" s="1107" t="s">
        <v>2968</v>
      </c>
      <c r="E160" s="1109" t="s">
        <v>40</v>
      </c>
      <c r="F160" s="2051" t="e">
        <f>+'VAL. PRINC'!#REF!</f>
        <v>#REF!</v>
      </c>
      <c r="G160" s="2031"/>
    </row>
    <row r="161" spans="2:7" s="1255" customFormat="1" hidden="1">
      <c r="B161" s="1904"/>
      <c r="C161" s="1129" t="s">
        <v>2337</v>
      </c>
      <c r="D161" s="1107" t="s">
        <v>2969</v>
      </c>
      <c r="E161" s="1109" t="s">
        <v>37</v>
      </c>
      <c r="F161" s="2051" t="e">
        <f>+'VAL. PRINC'!#REF!</f>
        <v>#REF!</v>
      </c>
      <c r="G161" s="2031"/>
    </row>
    <row r="162" spans="2:7" s="1255" customFormat="1" hidden="1">
      <c r="B162" s="1904"/>
      <c r="C162" s="1129" t="s">
        <v>2338</v>
      </c>
      <c r="D162" s="1107" t="s">
        <v>2970</v>
      </c>
      <c r="E162" s="1109" t="s">
        <v>48</v>
      </c>
      <c r="F162" s="2051" t="e">
        <f>+'VAL. PRINC'!#REF!</f>
        <v>#REF!</v>
      </c>
      <c r="G162" s="2031"/>
    </row>
    <row r="163" spans="2:7" s="1255" customFormat="1" hidden="1">
      <c r="B163" s="1904"/>
      <c r="C163" s="1129" t="s">
        <v>2339</v>
      </c>
      <c r="D163" s="1107" t="s">
        <v>2975</v>
      </c>
      <c r="E163" s="1109" t="s">
        <v>36</v>
      </c>
      <c r="F163" s="2051" t="e">
        <f>+'VAL. PRINC'!#REF!</f>
        <v>#REF!</v>
      </c>
      <c r="G163" s="2031"/>
    </row>
    <row r="164" spans="2:7" s="1255" customFormat="1" hidden="1">
      <c r="B164" s="1904"/>
      <c r="C164" s="1133" t="s">
        <v>2340</v>
      </c>
      <c r="D164" s="1125" t="s">
        <v>2976</v>
      </c>
      <c r="E164" s="1134"/>
      <c r="F164" s="2051"/>
      <c r="G164" s="2031"/>
    </row>
    <row r="165" spans="2:7" s="1255" customFormat="1" hidden="1">
      <c r="B165" s="1904"/>
      <c r="C165" s="1129" t="s">
        <v>2341</v>
      </c>
      <c r="D165" s="1107" t="s">
        <v>2977</v>
      </c>
      <c r="E165" s="1109" t="s">
        <v>40</v>
      </c>
      <c r="F165" s="2051" t="e">
        <f>+'VAL. PRINC'!#REF!</f>
        <v>#REF!</v>
      </c>
      <c r="G165" s="2031"/>
    </row>
    <row r="166" spans="2:7" s="1255" customFormat="1" hidden="1">
      <c r="B166" s="1904"/>
      <c r="C166" s="1129" t="s">
        <v>2342</v>
      </c>
      <c r="D166" s="1107" t="s">
        <v>2978</v>
      </c>
      <c r="E166" s="1109" t="s">
        <v>37</v>
      </c>
      <c r="F166" s="2051" t="e">
        <f>+'VAL. PRINC'!#REF!</f>
        <v>#REF!</v>
      </c>
      <c r="G166" s="2031"/>
    </row>
    <row r="167" spans="2:7" s="1255" customFormat="1" hidden="1">
      <c r="B167" s="1904"/>
      <c r="C167" s="1129" t="s">
        <v>2343</v>
      </c>
      <c r="D167" s="1107" t="s">
        <v>2979</v>
      </c>
      <c r="E167" s="1109" t="s">
        <v>48</v>
      </c>
      <c r="F167" s="2051" t="e">
        <f>+'VAL. PRINC'!#REF!</f>
        <v>#REF!</v>
      </c>
      <c r="G167" s="2031"/>
    </row>
    <row r="168" spans="2:7" s="1098" customFormat="1" hidden="1">
      <c r="B168" s="1905"/>
      <c r="C168" s="1129" t="s">
        <v>2344</v>
      </c>
      <c r="D168" s="1107" t="s">
        <v>2980</v>
      </c>
      <c r="E168" s="1109" t="s">
        <v>36</v>
      </c>
      <c r="F168" s="2051" t="e">
        <f>+'VAL. PRINC'!#REF!</f>
        <v>#REF!</v>
      </c>
      <c r="G168" s="2031"/>
    </row>
    <row r="169" spans="2:7" s="1255" customFormat="1" hidden="1">
      <c r="B169" s="1904"/>
      <c r="C169" s="1133" t="s">
        <v>2345</v>
      </c>
      <c r="D169" s="1125" t="s">
        <v>2981</v>
      </c>
      <c r="E169" s="1134"/>
      <c r="F169" s="2051"/>
      <c r="G169" s="2031"/>
    </row>
    <row r="170" spans="2:7" s="1255" customFormat="1" hidden="1">
      <c r="B170" s="1904"/>
      <c r="C170" s="1129" t="s">
        <v>2346</v>
      </c>
      <c r="D170" s="1107" t="s">
        <v>2977</v>
      </c>
      <c r="E170" s="1109" t="s">
        <v>40</v>
      </c>
      <c r="F170" s="2051" t="e">
        <f>+'VAL. PRINC'!#REF!</f>
        <v>#REF!</v>
      </c>
      <c r="G170" s="2031"/>
    </row>
    <row r="171" spans="2:7" s="1255" customFormat="1" hidden="1">
      <c r="B171" s="1904"/>
      <c r="C171" s="1129" t="s">
        <v>2347</v>
      </c>
      <c r="D171" s="1107" t="s">
        <v>2978</v>
      </c>
      <c r="E171" s="1109" t="s">
        <v>37</v>
      </c>
      <c r="F171" s="2051" t="e">
        <f>+'VAL. PRINC'!#REF!</f>
        <v>#REF!</v>
      </c>
      <c r="G171" s="2031"/>
    </row>
    <row r="172" spans="2:7" s="1255" customFormat="1" hidden="1">
      <c r="B172" s="1904"/>
      <c r="C172" s="1129" t="s">
        <v>2348</v>
      </c>
      <c r="D172" s="1107" t="s">
        <v>2979</v>
      </c>
      <c r="E172" s="1109" t="s">
        <v>48</v>
      </c>
      <c r="F172" s="2051" t="e">
        <f>+'VAL. PRINC'!#REF!</f>
        <v>#REF!</v>
      </c>
      <c r="G172" s="2031"/>
    </row>
    <row r="173" spans="2:7" s="1098" customFormat="1" hidden="1">
      <c r="B173" s="1905" t="s">
        <v>3629</v>
      </c>
      <c r="C173" s="1129" t="s">
        <v>2349</v>
      </c>
      <c r="D173" s="1107" t="s">
        <v>2982</v>
      </c>
      <c r="E173" s="1109" t="s">
        <v>36</v>
      </c>
      <c r="F173" s="2051" t="e">
        <f>+'VAL. PRINC'!#REF!</f>
        <v>#REF!</v>
      </c>
      <c r="G173" s="2031"/>
    </row>
    <row r="174" spans="2:7" s="1255" customFormat="1" hidden="1">
      <c r="B174" s="1904" t="s">
        <v>3629</v>
      </c>
      <c r="C174" s="1133" t="s">
        <v>2350</v>
      </c>
      <c r="D174" s="1125" t="s">
        <v>2983</v>
      </c>
      <c r="E174" s="1134"/>
      <c r="F174" s="2051"/>
      <c r="G174" s="2031"/>
    </row>
    <row r="175" spans="2:7" s="1255" customFormat="1" hidden="1">
      <c r="B175" s="1904" t="s">
        <v>3629</v>
      </c>
      <c r="C175" s="1129" t="s">
        <v>2351</v>
      </c>
      <c r="D175" s="1107" t="s">
        <v>2977</v>
      </c>
      <c r="E175" s="1109" t="s">
        <v>40</v>
      </c>
      <c r="F175" s="2051" t="e">
        <f>+'VAL. PRINC'!#REF!</f>
        <v>#REF!</v>
      </c>
      <c r="G175" s="2031"/>
    </row>
    <row r="176" spans="2:7" hidden="1">
      <c r="C176" s="1129" t="s">
        <v>2352</v>
      </c>
      <c r="D176" s="1107" t="s">
        <v>2978</v>
      </c>
      <c r="E176" s="1109" t="s">
        <v>37</v>
      </c>
      <c r="F176" s="2051" t="e">
        <f>+'VAL. PRINC'!#REF!</f>
        <v>#REF!</v>
      </c>
      <c r="G176" s="2031"/>
    </row>
    <row r="177" spans="3:7" hidden="1">
      <c r="C177" s="1129" t="s">
        <v>2353</v>
      </c>
      <c r="D177" s="1107" t="s">
        <v>2979</v>
      </c>
      <c r="E177" s="1109" t="s">
        <v>48</v>
      </c>
      <c r="F177" s="2051" t="e">
        <f>+'VAL. PRINC'!#REF!</f>
        <v>#REF!</v>
      </c>
      <c r="G177" s="2031"/>
    </row>
    <row r="178" spans="3:7" hidden="1">
      <c r="C178" s="1129" t="s">
        <v>2354</v>
      </c>
      <c r="D178" s="1107" t="s">
        <v>2980</v>
      </c>
      <c r="E178" s="1109" t="s">
        <v>36</v>
      </c>
      <c r="F178" s="2051" t="e">
        <f>+'VAL. PRINC'!#REF!</f>
        <v>#REF!</v>
      </c>
      <c r="G178" s="2031"/>
    </row>
    <row r="179" spans="3:7" hidden="1">
      <c r="C179" s="1133" t="s">
        <v>2355</v>
      </c>
      <c r="D179" s="1125" t="s">
        <v>2984</v>
      </c>
      <c r="E179" s="1134"/>
      <c r="F179" s="2051"/>
      <c r="G179" s="2031"/>
    </row>
    <row r="180" spans="3:7" hidden="1">
      <c r="C180" s="1129" t="s">
        <v>2356</v>
      </c>
      <c r="D180" s="1107" t="s">
        <v>2985</v>
      </c>
      <c r="E180" s="1109" t="s">
        <v>40</v>
      </c>
      <c r="F180" s="2051" t="e">
        <f>+'VAL. PRINC'!#REF!</f>
        <v>#REF!</v>
      </c>
      <c r="G180" s="2031"/>
    </row>
    <row r="181" spans="3:7" hidden="1">
      <c r="C181" s="1129" t="s">
        <v>2357</v>
      </c>
      <c r="D181" s="1107" t="s">
        <v>2986</v>
      </c>
      <c r="E181" s="1109" t="s">
        <v>37</v>
      </c>
      <c r="F181" s="2051" t="e">
        <f>+'VAL. PRINC'!#REF!</f>
        <v>#REF!</v>
      </c>
      <c r="G181" s="2031"/>
    </row>
    <row r="182" spans="3:7" hidden="1">
      <c r="C182" s="1129" t="s">
        <v>2358</v>
      </c>
      <c r="D182" s="1107" t="s">
        <v>2987</v>
      </c>
      <c r="E182" s="1109" t="s">
        <v>48</v>
      </c>
      <c r="F182" s="2051" t="e">
        <f>+'VAL. PRINC'!#REF!</f>
        <v>#REF!</v>
      </c>
      <c r="G182" s="2031"/>
    </row>
    <row r="183" spans="3:7" hidden="1">
      <c r="C183" s="1133" t="s">
        <v>2359</v>
      </c>
      <c r="D183" s="1125" t="s">
        <v>2988</v>
      </c>
      <c r="E183" s="1134"/>
      <c r="F183" s="2051"/>
      <c r="G183" s="2031"/>
    </row>
    <row r="184" spans="3:7" hidden="1">
      <c r="C184" s="1129" t="s">
        <v>2360</v>
      </c>
      <c r="D184" s="1107" t="s">
        <v>2989</v>
      </c>
      <c r="E184" s="1109" t="s">
        <v>40</v>
      </c>
      <c r="F184" s="2051" t="e">
        <f>+'VAL. PRINC'!#REF!</f>
        <v>#REF!</v>
      </c>
      <c r="G184" s="2031"/>
    </row>
    <row r="185" spans="3:7" hidden="1">
      <c r="C185" s="1129" t="s">
        <v>2361</v>
      </c>
      <c r="D185" s="1107" t="s">
        <v>2990</v>
      </c>
      <c r="E185" s="1109" t="s">
        <v>37</v>
      </c>
      <c r="F185" s="2051" t="e">
        <f>+'VAL. PRINC'!#REF!</f>
        <v>#REF!</v>
      </c>
      <c r="G185" s="2031"/>
    </row>
    <row r="186" spans="3:7" hidden="1">
      <c r="C186" s="1129" t="s">
        <v>2362</v>
      </c>
      <c r="D186" s="1107" t="s">
        <v>2991</v>
      </c>
      <c r="E186" s="1109" t="s">
        <v>48</v>
      </c>
      <c r="F186" s="2051" t="e">
        <f>+'VAL. PRINC'!#REF!</f>
        <v>#REF!</v>
      </c>
      <c r="G186" s="2031"/>
    </row>
    <row r="187" spans="3:7" hidden="1">
      <c r="C187" s="1133" t="s">
        <v>2363</v>
      </c>
      <c r="D187" s="1125" t="s">
        <v>2992</v>
      </c>
      <c r="E187" s="1134"/>
      <c r="F187" s="2051"/>
      <c r="G187" s="2031"/>
    </row>
    <row r="188" spans="3:7" hidden="1">
      <c r="C188" s="1129" t="s">
        <v>2364</v>
      </c>
      <c r="D188" s="1107" t="s">
        <v>2993</v>
      </c>
      <c r="E188" s="1109" t="s">
        <v>40</v>
      </c>
      <c r="F188" s="2051" t="e">
        <f>+'VAL. PRINC'!#REF!</f>
        <v>#REF!</v>
      </c>
      <c r="G188" s="2031"/>
    </row>
    <row r="189" spans="3:7" hidden="1">
      <c r="C189" s="1129" t="s">
        <v>2365</v>
      </c>
      <c r="D189" s="1107" t="s">
        <v>2994</v>
      </c>
      <c r="E189" s="1109" t="s">
        <v>37</v>
      </c>
      <c r="F189" s="2051" t="e">
        <f>+'VAL. PRINC'!#REF!</f>
        <v>#REF!</v>
      </c>
      <c r="G189" s="2031"/>
    </row>
    <row r="190" spans="3:7" hidden="1">
      <c r="C190" s="1129" t="s">
        <v>2366</v>
      </c>
      <c r="D190" s="1107" t="s">
        <v>2995</v>
      </c>
      <c r="E190" s="1109" t="s">
        <v>48</v>
      </c>
      <c r="F190" s="2051" t="e">
        <f>+'VAL. PRINC'!#REF!</f>
        <v>#REF!</v>
      </c>
      <c r="G190" s="2031"/>
    </row>
    <row r="191" spans="3:7" hidden="1">
      <c r="C191" s="1133" t="s">
        <v>2367</v>
      </c>
      <c r="D191" s="1125" t="s">
        <v>2996</v>
      </c>
      <c r="E191" s="1134"/>
      <c r="F191" s="2051"/>
      <c r="G191" s="2031"/>
    </row>
    <row r="192" spans="3:7" hidden="1">
      <c r="C192" s="1129" t="s">
        <v>2368</v>
      </c>
      <c r="D192" s="1107" t="s">
        <v>3679</v>
      </c>
      <c r="E192" s="1109" t="s">
        <v>40</v>
      </c>
      <c r="F192" s="2051" t="e">
        <f>+'VAL. PRINC'!#REF!</f>
        <v>#REF!</v>
      </c>
      <c r="G192" s="2031"/>
    </row>
    <row r="193" spans="3:7" hidden="1">
      <c r="C193" s="1129" t="s">
        <v>2369</v>
      </c>
      <c r="D193" s="1107" t="s">
        <v>2997</v>
      </c>
      <c r="E193" s="1109" t="s">
        <v>37</v>
      </c>
      <c r="F193" s="2051" t="e">
        <f>+'VAL. PRINC'!#REF!</f>
        <v>#REF!</v>
      </c>
      <c r="G193" s="2031"/>
    </row>
    <row r="194" spans="3:7" hidden="1">
      <c r="C194" s="1129" t="s">
        <v>2370</v>
      </c>
      <c r="D194" s="1107" t="s">
        <v>2998</v>
      </c>
      <c r="E194" s="1109" t="s">
        <v>48</v>
      </c>
      <c r="F194" s="2051" t="e">
        <f>+'VAL. PRINC'!#REF!</f>
        <v>#REF!</v>
      </c>
      <c r="G194" s="2031"/>
    </row>
    <row r="195" spans="3:7">
      <c r="C195" s="1133" t="s">
        <v>2371</v>
      </c>
      <c r="D195" s="1125" t="s">
        <v>2999</v>
      </c>
      <c r="E195" s="1134"/>
      <c r="F195" s="2051"/>
      <c r="G195" s="2031"/>
    </row>
    <row r="196" spans="3:7">
      <c r="C196" s="1129" t="s">
        <v>2372</v>
      </c>
      <c r="D196" s="1107" t="s">
        <v>3000</v>
      </c>
      <c r="E196" s="1109" t="s">
        <v>40</v>
      </c>
      <c r="F196" s="2051" t="e">
        <f>+'VAL. PRINC'!#REF!</f>
        <v>#REF!</v>
      </c>
      <c r="G196" s="2031"/>
    </row>
    <row r="197" spans="3:7">
      <c r="C197" s="1129" t="s">
        <v>2373</v>
      </c>
      <c r="D197" s="1107" t="s">
        <v>3001</v>
      </c>
      <c r="E197" s="1109" t="s">
        <v>37</v>
      </c>
      <c r="F197" s="2051" t="e">
        <f>+'VAL. PRINC'!#REF!</f>
        <v>#REF!</v>
      </c>
      <c r="G197" s="2031"/>
    </row>
    <row r="198" spans="3:7">
      <c r="C198" s="1129" t="s">
        <v>2374</v>
      </c>
      <c r="D198" s="1107" t="s">
        <v>3002</v>
      </c>
      <c r="E198" s="1109" t="s">
        <v>48</v>
      </c>
      <c r="F198" s="2051" t="e">
        <f>+'VAL. PRINC'!#REF!</f>
        <v>#REF!</v>
      </c>
      <c r="G198" s="2031"/>
    </row>
    <row r="199" spans="3:7" hidden="1">
      <c r="C199" s="1133" t="s">
        <v>2375</v>
      </c>
      <c r="D199" s="1125" t="s">
        <v>2929</v>
      </c>
      <c r="E199" s="1134"/>
      <c r="F199" s="2051"/>
      <c r="G199" s="2031"/>
    </row>
    <row r="200" spans="3:7" hidden="1">
      <c r="C200" s="1129" t="s">
        <v>2376</v>
      </c>
      <c r="D200" s="1107" t="s">
        <v>3003</v>
      </c>
      <c r="E200" s="1109" t="s">
        <v>40</v>
      </c>
      <c r="F200" s="2051" t="e">
        <f>+'VAL. PRINC'!#REF!</f>
        <v>#REF!</v>
      </c>
      <c r="G200" s="2031"/>
    </row>
    <row r="201" spans="3:7" hidden="1">
      <c r="C201" s="1129" t="s">
        <v>2377</v>
      </c>
      <c r="D201" s="1107" t="s">
        <v>2931</v>
      </c>
      <c r="E201" s="1109" t="s">
        <v>37</v>
      </c>
      <c r="F201" s="2051" t="e">
        <f>+'VAL. PRINC'!#REF!</f>
        <v>#REF!</v>
      </c>
      <c r="G201" s="2031"/>
    </row>
    <row r="202" spans="3:7" hidden="1">
      <c r="C202" s="1129" t="s">
        <v>2378</v>
      </c>
      <c r="D202" s="1107" t="s">
        <v>3004</v>
      </c>
      <c r="E202" s="1109" t="s">
        <v>48</v>
      </c>
      <c r="F202" s="2051" t="e">
        <f>+'VAL. PRINC'!#REF!</f>
        <v>#REF!</v>
      </c>
      <c r="G202" s="2031"/>
    </row>
    <row r="203" spans="3:7" hidden="1">
      <c r="C203" s="1133" t="s">
        <v>2379</v>
      </c>
      <c r="D203" s="1125" t="s">
        <v>3005</v>
      </c>
      <c r="E203" s="1134"/>
      <c r="F203" s="2051"/>
      <c r="G203" s="2031"/>
    </row>
    <row r="204" spans="3:7" hidden="1">
      <c r="C204" s="1378" t="s">
        <v>2380</v>
      </c>
      <c r="D204" s="1379" t="s">
        <v>3006</v>
      </c>
      <c r="E204" s="1380"/>
      <c r="F204" s="2051"/>
      <c r="G204" s="2031"/>
    </row>
    <row r="205" spans="3:7" hidden="1">
      <c r="C205" s="1129" t="s">
        <v>2381</v>
      </c>
      <c r="D205" s="1107" t="s">
        <v>3007</v>
      </c>
      <c r="E205" s="1109" t="s">
        <v>40</v>
      </c>
      <c r="F205" s="2051" t="e">
        <f>+'VAL. PRINC'!#REF!</f>
        <v>#REF!</v>
      </c>
      <c r="G205" s="2031"/>
    </row>
    <row r="206" spans="3:7" hidden="1">
      <c r="C206" s="1129" t="s">
        <v>2382</v>
      </c>
      <c r="D206" s="1107" t="s">
        <v>3008</v>
      </c>
      <c r="E206" s="1109" t="s">
        <v>37</v>
      </c>
      <c r="F206" s="2051" t="e">
        <f>+'VAL. PRINC'!#REF!</f>
        <v>#REF!</v>
      </c>
      <c r="G206" s="2031"/>
    </row>
    <row r="207" spans="3:7" hidden="1">
      <c r="C207" s="1129" t="s">
        <v>2383</v>
      </c>
      <c r="D207" s="1107" t="s">
        <v>3009</v>
      </c>
      <c r="E207" s="1109" t="s">
        <v>48</v>
      </c>
      <c r="F207" s="2051" t="e">
        <f>+'VAL. PRINC'!#REF!</f>
        <v>#REF!</v>
      </c>
      <c r="G207" s="2031"/>
    </row>
    <row r="208" spans="3:7" hidden="1">
      <c r="C208" s="1129" t="s">
        <v>2384</v>
      </c>
      <c r="D208" s="1107" t="s">
        <v>3010</v>
      </c>
      <c r="E208" s="1109" t="s">
        <v>38</v>
      </c>
      <c r="F208" s="2051" t="e">
        <f>+'VAL. PRINC'!#REF!</f>
        <v>#REF!</v>
      </c>
      <c r="G208" s="2031"/>
    </row>
    <row r="209" spans="3:7" hidden="1">
      <c r="C209" s="1378" t="s">
        <v>2385</v>
      </c>
      <c r="D209" s="1379" t="s">
        <v>3011</v>
      </c>
      <c r="E209" s="1380"/>
      <c r="F209" s="2051"/>
      <c r="G209" s="2031"/>
    </row>
    <row r="210" spans="3:7" hidden="1">
      <c r="C210" s="1129" t="s">
        <v>2386</v>
      </c>
      <c r="D210" s="1107" t="s">
        <v>3012</v>
      </c>
      <c r="E210" s="1109" t="s">
        <v>40</v>
      </c>
      <c r="F210" s="2051" t="e">
        <f>+'VAL. PRINC'!#REF!</f>
        <v>#REF!</v>
      </c>
      <c r="G210" s="2031"/>
    </row>
    <row r="211" spans="3:7" hidden="1">
      <c r="C211" s="1129" t="s">
        <v>2387</v>
      </c>
      <c r="D211" s="1107" t="s">
        <v>3013</v>
      </c>
      <c r="E211" s="1109" t="s">
        <v>37</v>
      </c>
      <c r="F211" s="2051" t="e">
        <f>+'VAL. PRINC'!#REF!</f>
        <v>#REF!</v>
      </c>
      <c r="G211" s="2031"/>
    </row>
    <row r="212" spans="3:7" hidden="1">
      <c r="C212" s="1129" t="s">
        <v>2388</v>
      </c>
      <c r="D212" s="1107" t="s">
        <v>3014</v>
      </c>
      <c r="E212" s="1109" t="s">
        <v>48</v>
      </c>
      <c r="F212" s="2051" t="e">
        <f>+'VAL. PRINC'!#REF!</f>
        <v>#REF!</v>
      </c>
      <c r="G212" s="2031"/>
    </row>
    <row r="213" spans="3:7" hidden="1">
      <c r="C213" s="1133" t="s">
        <v>2389</v>
      </c>
      <c r="D213" s="1125" t="s">
        <v>3015</v>
      </c>
      <c r="E213" s="1134"/>
      <c r="F213" s="2051"/>
      <c r="G213" s="2031"/>
    </row>
    <row r="214" spans="3:7" hidden="1">
      <c r="C214" s="1378" t="s">
        <v>2390</v>
      </c>
      <c r="D214" s="1379" t="s">
        <v>3016</v>
      </c>
      <c r="E214" s="1380"/>
      <c r="F214" s="2051"/>
      <c r="G214" s="2031"/>
    </row>
    <row r="215" spans="3:7" hidden="1">
      <c r="C215" s="1129" t="s">
        <v>2391</v>
      </c>
      <c r="D215" s="1107" t="s">
        <v>3017</v>
      </c>
      <c r="E215" s="1109" t="s">
        <v>40</v>
      </c>
      <c r="F215" s="2051" t="e">
        <f>+'VAL. PRINC'!#REF!</f>
        <v>#REF!</v>
      </c>
      <c r="G215" s="2031"/>
    </row>
    <row r="216" spans="3:7" hidden="1">
      <c r="C216" s="1129" t="s">
        <v>2392</v>
      </c>
      <c r="D216" s="1107" t="s">
        <v>3018</v>
      </c>
      <c r="E216" s="1109" t="s">
        <v>37</v>
      </c>
      <c r="F216" s="2051" t="e">
        <f>+'VAL. PRINC'!#REF!</f>
        <v>#REF!</v>
      </c>
      <c r="G216" s="2031"/>
    </row>
    <row r="217" spans="3:7" hidden="1">
      <c r="C217" s="1129" t="s">
        <v>2393</v>
      </c>
      <c r="D217" s="1107" t="s">
        <v>3019</v>
      </c>
      <c r="E217" s="1109" t="s">
        <v>48</v>
      </c>
      <c r="F217" s="2051" t="e">
        <f>+'VAL. PRINC'!#REF!</f>
        <v>#REF!</v>
      </c>
      <c r="G217" s="2031"/>
    </row>
    <row r="218" spans="3:7" hidden="1">
      <c r="C218" s="1129" t="s">
        <v>2394</v>
      </c>
      <c r="D218" s="1107" t="s">
        <v>3020</v>
      </c>
      <c r="E218" s="1109" t="s">
        <v>38</v>
      </c>
      <c r="F218" s="2051" t="e">
        <f>+'VAL. PRINC'!#REF!</f>
        <v>#REF!</v>
      </c>
      <c r="G218" s="2031"/>
    </row>
    <row r="219" spans="3:7" hidden="1">
      <c r="C219" s="1378" t="s">
        <v>2395</v>
      </c>
      <c r="D219" s="1379" t="s">
        <v>3021</v>
      </c>
      <c r="E219" s="1380"/>
      <c r="F219" s="2051"/>
      <c r="G219" s="2031"/>
    </row>
    <row r="220" spans="3:7" hidden="1">
      <c r="C220" s="1129" t="s">
        <v>2396</v>
      </c>
      <c r="D220" s="1107" t="s">
        <v>3012</v>
      </c>
      <c r="E220" s="1109" t="s">
        <v>40</v>
      </c>
      <c r="F220" s="2051" t="e">
        <f>+'VAL. PRINC'!#REF!</f>
        <v>#REF!</v>
      </c>
      <c r="G220" s="2031"/>
    </row>
    <row r="221" spans="3:7" hidden="1">
      <c r="C221" s="1129" t="s">
        <v>2397</v>
      </c>
      <c r="D221" s="1107" t="s">
        <v>3013</v>
      </c>
      <c r="E221" s="1109" t="s">
        <v>37</v>
      </c>
      <c r="F221" s="2051" t="e">
        <f>+'VAL. PRINC'!#REF!</f>
        <v>#REF!</v>
      </c>
      <c r="G221" s="2031"/>
    </row>
    <row r="222" spans="3:7" hidden="1">
      <c r="C222" s="1129" t="s">
        <v>2398</v>
      </c>
      <c r="D222" s="1107" t="s">
        <v>3014</v>
      </c>
      <c r="E222" s="1109" t="s">
        <v>48</v>
      </c>
      <c r="F222" s="2051" t="e">
        <f>+'VAL. PRINC'!#REF!</f>
        <v>#REF!</v>
      </c>
      <c r="G222" s="2031"/>
    </row>
    <row r="223" spans="3:7" hidden="1">
      <c r="C223" s="1381" t="s">
        <v>2399</v>
      </c>
      <c r="D223" s="1382" t="s">
        <v>3022</v>
      </c>
      <c r="E223" s="1383"/>
      <c r="F223" s="2051"/>
      <c r="G223" s="2031"/>
    </row>
    <row r="224" spans="3:7" hidden="1">
      <c r="C224" s="1129" t="s">
        <v>2400</v>
      </c>
      <c r="D224" s="1107" t="s">
        <v>3023</v>
      </c>
      <c r="E224" s="1109" t="s">
        <v>2827</v>
      </c>
      <c r="F224" s="2051" t="e">
        <f>+'VAL. PRINC'!#REF!</f>
        <v>#REF!</v>
      </c>
      <c r="G224" s="2031"/>
    </row>
    <row r="225" spans="3:7">
      <c r="C225" s="1126" t="s">
        <v>516</v>
      </c>
      <c r="D225" s="1127" t="s">
        <v>3024</v>
      </c>
      <c r="E225" s="1128"/>
      <c r="F225" s="2051"/>
      <c r="G225" s="2031"/>
    </row>
    <row r="226" spans="3:7">
      <c r="C226" s="1133" t="s">
        <v>517</v>
      </c>
      <c r="D226" s="1125" t="s">
        <v>3025</v>
      </c>
      <c r="E226" s="1134"/>
      <c r="F226" s="2051"/>
      <c r="G226" s="2031"/>
    </row>
    <row r="227" spans="3:7">
      <c r="C227" s="1129" t="s">
        <v>695</v>
      </c>
      <c r="D227" s="1107" t="s">
        <v>3026</v>
      </c>
      <c r="E227" s="1109" t="s">
        <v>36</v>
      </c>
      <c r="F227" s="2051" t="e">
        <f>+'VAL. PRINC'!#REF!</f>
        <v>#REF!</v>
      </c>
      <c r="G227" s="2031"/>
    </row>
    <row r="228" spans="3:7" hidden="1">
      <c r="C228" s="1129" t="s">
        <v>696</v>
      </c>
      <c r="D228" s="1107" t="s">
        <v>3027</v>
      </c>
      <c r="E228" s="1109" t="s">
        <v>37</v>
      </c>
      <c r="F228" s="2051" t="e">
        <f>+'VAL. PRINC'!#REF!</f>
        <v>#REF!</v>
      </c>
      <c r="G228" s="2031"/>
    </row>
    <row r="229" spans="3:7" hidden="1">
      <c r="C229" s="1129" t="s">
        <v>697</v>
      </c>
      <c r="D229" s="1107" t="s">
        <v>3028</v>
      </c>
      <c r="E229" s="1109" t="s">
        <v>36</v>
      </c>
      <c r="F229" s="2051" t="e">
        <f>+'VAL. PRINC'!#REF!</f>
        <v>#REF!</v>
      </c>
      <c r="G229" s="2031"/>
    </row>
    <row r="230" spans="3:7" hidden="1">
      <c r="C230" s="1129" t="s">
        <v>698</v>
      </c>
      <c r="D230" s="1107" t="s">
        <v>3029</v>
      </c>
      <c r="E230" s="1109" t="s">
        <v>38</v>
      </c>
      <c r="F230" s="2051" t="e">
        <f>+'VAL. PRINC'!#REF!</f>
        <v>#REF!</v>
      </c>
      <c r="G230" s="2031"/>
    </row>
    <row r="231" spans="3:7" hidden="1">
      <c r="C231" s="1133" t="s">
        <v>701</v>
      </c>
      <c r="D231" s="1125" t="s">
        <v>3030</v>
      </c>
      <c r="E231" s="1134"/>
      <c r="F231" s="2051"/>
      <c r="G231" s="2031"/>
    </row>
    <row r="232" spans="3:7" hidden="1">
      <c r="C232" s="1129" t="s">
        <v>702</v>
      </c>
      <c r="D232" s="1107" t="s">
        <v>3031</v>
      </c>
      <c r="E232" s="1109" t="s">
        <v>36</v>
      </c>
      <c r="F232" s="2051" t="e">
        <f>+'VAL. PRINC'!#REF!</f>
        <v>#REF!</v>
      </c>
      <c r="G232" s="2031"/>
    </row>
    <row r="233" spans="3:7" hidden="1">
      <c r="C233" s="1129" t="s">
        <v>703</v>
      </c>
      <c r="D233" s="1107" t="s">
        <v>3032</v>
      </c>
      <c r="E233" s="1109" t="s">
        <v>36</v>
      </c>
      <c r="F233" s="2051" t="e">
        <f>+'VAL. PRINC'!#REF!</f>
        <v>#REF!</v>
      </c>
      <c r="G233" s="2031"/>
    </row>
    <row r="234" spans="3:7" hidden="1">
      <c r="C234" s="1129" t="s">
        <v>704</v>
      </c>
      <c r="D234" s="1107" t="s">
        <v>3033</v>
      </c>
      <c r="E234" s="1109" t="s">
        <v>36</v>
      </c>
      <c r="F234" s="2051" t="e">
        <f>+'VAL. PRINC'!#REF!</f>
        <v>#REF!</v>
      </c>
      <c r="G234" s="2031"/>
    </row>
    <row r="235" spans="3:7" hidden="1">
      <c r="C235" s="1129" t="s">
        <v>705</v>
      </c>
      <c r="D235" s="1107" t="s">
        <v>3034</v>
      </c>
      <c r="E235" s="1109" t="s">
        <v>36</v>
      </c>
      <c r="F235" s="2051" t="e">
        <f>+'VAL. PRINC'!#REF!</f>
        <v>#REF!</v>
      </c>
      <c r="G235" s="2031"/>
    </row>
    <row r="236" spans="3:7" hidden="1">
      <c r="C236" s="1129" t="s">
        <v>706</v>
      </c>
      <c r="D236" s="1107" t="s">
        <v>3035</v>
      </c>
      <c r="E236" s="1109" t="s">
        <v>36</v>
      </c>
      <c r="F236" s="2051" t="e">
        <f>+'VAL. PRINC'!#REF!</f>
        <v>#REF!</v>
      </c>
      <c r="G236" s="2031"/>
    </row>
    <row r="237" spans="3:7" hidden="1">
      <c r="C237" s="1129" t="s">
        <v>707</v>
      </c>
      <c r="D237" s="1107" t="s">
        <v>3036</v>
      </c>
      <c r="E237" s="1109" t="s">
        <v>36</v>
      </c>
      <c r="F237" s="2051" t="e">
        <f>+'VAL. PRINC'!#REF!</f>
        <v>#REF!</v>
      </c>
      <c r="G237" s="2031"/>
    </row>
    <row r="238" spans="3:7" hidden="1">
      <c r="C238" s="1129" t="s">
        <v>2401</v>
      </c>
      <c r="D238" s="1107" t="s">
        <v>3037</v>
      </c>
      <c r="E238" s="1109" t="s">
        <v>36</v>
      </c>
      <c r="F238" s="2051" t="e">
        <f>+'VAL. PRINC'!#REF!</f>
        <v>#REF!</v>
      </c>
      <c r="G238" s="2031"/>
    </row>
    <row r="239" spans="3:7" hidden="1">
      <c r="C239" s="1129" t="s">
        <v>2402</v>
      </c>
      <c r="D239" s="1107" t="s">
        <v>3038</v>
      </c>
      <c r="E239" s="1109" t="s">
        <v>38</v>
      </c>
      <c r="F239" s="2051" t="e">
        <f>+'VAL. PRINC'!#REF!</f>
        <v>#REF!</v>
      </c>
      <c r="G239" s="2031"/>
    </row>
    <row r="240" spans="3:7" hidden="1">
      <c r="C240" s="1133" t="s">
        <v>708</v>
      </c>
      <c r="D240" s="1125" t="s">
        <v>3039</v>
      </c>
      <c r="E240" s="1134"/>
      <c r="F240" s="2051"/>
      <c r="G240" s="2031"/>
    </row>
    <row r="241" spans="3:7" hidden="1">
      <c r="C241" s="1129" t="s">
        <v>709</v>
      </c>
      <c r="D241" s="1107" t="s">
        <v>3040</v>
      </c>
      <c r="E241" s="1109" t="s">
        <v>36</v>
      </c>
      <c r="F241" s="2051" t="e">
        <f>+'VAL. PRINC'!#REF!</f>
        <v>#REF!</v>
      </c>
      <c r="G241" s="2031"/>
    </row>
    <row r="242" spans="3:7" hidden="1">
      <c r="C242" s="1129" t="s">
        <v>712</v>
      </c>
      <c r="D242" s="1107" t="s">
        <v>3041</v>
      </c>
      <c r="E242" s="1109" t="s">
        <v>36</v>
      </c>
      <c r="F242" s="2051" t="e">
        <f>+'VAL. PRINC'!#REF!</f>
        <v>#REF!</v>
      </c>
      <c r="G242" s="2031"/>
    </row>
    <row r="243" spans="3:7" hidden="1">
      <c r="C243" s="1129" t="s">
        <v>716</v>
      </c>
      <c r="D243" s="1107" t="s">
        <v>3042</v>
      </c>
      <c r="E243" s="1109" t="s">
        <v>36</v>
      </c>
      <c r="F243" s="2051" t="e">
        <f>+'VAL. PRINC'!#REF!</f>
        <v>#REF!</v>
      </c>
      <c r="G243" s="2031"/>
    </row>
    <row r="244" spans="3:7" hidden="1">
      <c r="C244" s="1129" t="s">
        <v>720</v>
      </c>
      <c r="D244" s="1107" t="s">
        <v>3043</v>
      </c>
      <c r="E244" s="1109" t="s">
        <v>36</v>
      </c>
      <c r="F244" s="2051" t="e">
        <f>+'VAL. PRINC'!#REF!</f>
        <v>#REF!</v>
      </c>
      <c r="G244" s="2031"/>
    </row>
    <row r="245" spans="3:7" hidden="1">
      <c r="C245" s="1129" t="s">
        <v>724</v>
      </c>
      <c r="D245" s="1107" t="s">
        <v>3044</v>
      </c>
      <c r="E245" s="1109" t="s">
        <v>36</v>
      </c>
      <c r="F245" s="2051" t="e">
        <f>+'VAL. PRINC'!#REF!</f>
        <v>#REF!</v>
      </c>
      <c r="G245" s="2031"/>
    </row>
    <row r="246" spans="3:7" hidden="1">
      <c r="C246" s="1129" t="s">
        <v>728</v>
      </c>
      <c r="D246" s="1107" t="s">
        <v>3045</v>
      </c>
      <c r="E246" s="1109" t="s">
        <v>36</v>
      </c>
      <c r="F246" s="2051" t="e">
        <f>+'VAL. PRINC'!#REF!</f>
        <v>#REF!</v>
      </c>
      <c r="G246" s="2031"/>
    </row>
    <row r="247" spans="3:7" hidden="1">
      <c r="C247" s="1129" t="s">
        <v>733</v>
      </c>
      <c r="D247" s="1107" t="s">
        <v>3046</v>
      </c>
      <c r="E247" s="1109" t="s">
        <v>36</v>
      </c>
      <c r="F247" s="2051" t="e">
        <f>+'VAL. PRINC'!#REF!</f>
        <v>#REF!</v>
      </c>
      <c r="G247" s="2031"/>
    </row>
    <row r="248" spans="3:7" hidden="1">
      <c r="C248" s="1129" t="s">
        <v>2403</v>
      </c>
      <c r="D248" s="1107" t="s">
        <v>3047</v>
      </c>
      <c r="E248" s="1109" t="s">
        <v>36</v>
      </c>
      <c r="F248" s="2051" t="e">
        <f>+'VAL. PRINC'!#REF!</f>
        <v>#REF!</v>
      </c>
      <c r="G248" s="2031"/>
    </row>
    <row r="249" spans="3:7" hidden="1">
      <c r="C249" s="1129" t="s">
        <v>2404</v>
      </c>
      <c r="D249" s="1107" t="s">
        <v>3048</v>
      </c>
      <c r="E249" s="1109" t="s">
        <v>38</v>
      </c>
      <c r="F249" s="2051" t="e">
        <f>+'VAL. PRINC'!#REF!</f>
        <v>#REF!</v>
      </c>
      <c r="G249" s="2031"/>
    </row>
    <row r="250" spans="3:7" hidden="1">
      <c r="C250" s="1129" t="s">
        <v>2405</v>
      </c>
      <c r="D250" s="1107" t="s">
        <v>3049</v>
      </c>
      <c r="E250" s="1109" t="s">
        <v>38</v>
      </c>
      <c r="F250" s="2051" t="e">
        <f>+'VAL. PRINC'!#REF!</f>
        <v>#REF!</v>
      </c>
      <c r="G250" s="2031"/>
    </row>
    <row r="251" spans="3:7" hidden="1">
      <c r="C251" s="1133" t="s">
        <v>737</v>
      </c>
      <c r="D251" s="1125" t="s">
        <v>2988</v>
      </c>
      <c r="E251" s="1134"/>
      <c r="F251" s="2051"/>
      <c r="G251" s="2031"/>
    </row>
    <row r="252" spans="3:7" hidden="1">
      <c r="C252" s="1129" t="s">
        <v>738</v>
      </c>
      <c r="D252" s="1107" t="s">
        <v>3050</v>
      </c>
      <c r="E252" s="1109" t="s">
        <v>36</v>
      </c>
      <c r="F252" s="2051" t="e">
        <f>+'VAL. PRINC'!#REF!</f>
        <v>#REF!</v>
      </c>
      <c r="G252" s="2031"/>
    </row>
    <row r="253" spans="3:7" hidden="1">
      <c r="C253" s="1129" t="s">
        <v>2406</v>
      </c>
      <c r="D253" s="1107" t="s">
        <v>3051</v>
      </c>
      <c r="E253" s="1109" t="s">
        <v>38</v>
      </c>
      <c r="F253" s="2051" t="e">
        <f>+'VAL. PRINC'!#REF!</f>
        <v>#REF!</v>
      </c>
      <c r="G253" s="2031"/>
    </row>
    <row r="254" spans="3:7" hidden="1">
      <c r="C254" s="1129" t="s">
        <v>2407</v>
      </c>
      <c r="D254" s="1107" t="s">
        <v>3052</v>
      </c>
      <c r="E254" s="1109" t="s">
        <v>38</v>
      </c>
      <c r="F254" s="2051" t="e">
        <f>+'VAL. PRINC'!#REF!</f>
        <v>#REF!</v>
      </c>
      <c r="G254" s="2031"/>
    </row>
    <row r="255" spans="3:7" hidden="1">
      <c r="C255" s="1129" t="s">
        <v>2408</v>
      </c>
      <c r="D255" s="1107" t="s">
        <v>3053</v>
      </c>
      <c r="E255" s="1109" t="s">
        <v>38</v>
      </c>
      <c r="F255" s="2051" t="e">
        <f>+'VAL. PRINC'!#REF!</f>
        <v>#REF!</v>
      </c>
      <c r="G255" s="2031"/>
    </row>
    <row r="256" spans="3:7" hidden="1">
      <c r="C256" s="1129" t="s">
        <v>2409</v>
      </c>
      <c r="D256" s="1107" t="s">
        <v>3054</v>
      </c>
      <c r="E256" s="1109" t="s">
        <v>38</v>
      </c>
      <c r="F256" s="2051" t="e">
        <f>+'VAL. PRINC'!#REF!</f>
        <v>#REF!</v>
      </c>
      <c r="G256" s="2031"/>
    </row>
    <row r="257" spans="3:7" hidden="1">
      <c r="C257" s="1129" t="s">
        <v>2410</v>
      </c>
      <c r="D257" s="1107" t="s">
        <v>3055</v>
      </c>
      <c r="E257" s="1109" t="s">
        <v>36</v>
      </c>
      <c r="F257" s="2051" t="e">
        <f>+'VAL. PRINC'!#REF!</f>
        <v>#REF!</v>
      </c>
      <c r="G257" s="2031"/>
    </row>
    <row r="258" spans="3:7" hidden="1">
      <c r="C258" s="1129" t="s">
        <v>2411</v>
      </c>
      <c r="D258" s="1107" t="s">
        <v>3056</v>
      </c>
      <c r="E258" s="1109" t="s">
        <v>37</v>
      </c>
      <c r="F258" s="2051" t="e">
        <f>+'VAL. PRINC'!#REF!</f>
        <v>#REF!</v>
      </c>
      <c r="G258" s="2031"/>
    </row>
    <row r="259" spans="3:7" hidden="1">
      <c r="C259" s="1129" t="s">
        <v>2412</v>
      </c>
      <c r="D259" s="1107" t="s">
        <v>3057</v>
      </c>
      <c r="E259" s="1109" t="s">
        <v>36</v>
      </c>
      <c r="F259" s="2051" t="e">
        <f>+'VAL. PRINC'!#REF!</f>
        <v>#REF!</v>
      </c>
      <c r="G259" s="2031"/>
    </row>
    <row r="260" spans="3:7" hidden="1">
      <c r="C260" s="1129" t="s">
        <v>2413</v>
      </c>
      <c r="D260" s="1107" t="s">
        <v>3058</v>
      </c>
      <c r="E260" s="1109" t="s">
        <v>38</v>
      </c>
      <c r="F260" s="2051" t="e">
        <f>+'VAL. PRINC'!#REF!</f>
        <v>#REF!</v>
      </c>
      <c r="G260" s="2031"/>
    </row>
    <row r="261" spans="3:7" hidden="1">
      <c r="C261" s="1129" t="s">
        <v>2414</v>
      </c>
      <c r="D261" s="1107" t="s">
        <v>3059</v>
      </c>
      <c r="E261" s="1109" t="s">
        <v>37</v>
      </c>
      <c r="F261" s="2051" t="e">
        <f>+'VAL. PRINC'!#REF!</f>
        <v>#REF!</v>
      </c>
      <c r="G261" s="2031"/>
    </row>
    <row r="262" spans="3:7" hidden="1">
      <c r="C262" s="1133" t="s">
        <v>739</v>
      </c>
      <c r="D262" s="1125" t="s">
        <v>2921</v>
      </c>
      <c r="E262" s="1134"/>
      <c r="F262" s="2051"/>
      <c r="G262" s="2031"/>
    </row>
    <row r="263" spans="3:7" hidden="1">
      <c r="C263" s="1129" t="s">
        <v>740</v>
      </c>
      <c r="D263" s="1107" t="s">
        <v>3060</v>
      </c>
      <c r="E263" s="1109" t="s">
        <v>36</v>
      </c>
      <c r="F263" s="2051" t="e">
        <f>+'VAL. PRINC'!#REF!</f>
        <v>#REF!</v>
      </c>
      <c r="G263" s="2031"/>
    </row>
    <row r="264" spans="3:7" hidden="1">
      <c r="C264" s="1129" t="s">
        <v>741</v>
      </c>
      <c r="D264" s="1107" t="s">
        <v>3061</v>
      </c>
      <c r="E264" s="1109" t="s">
        <v>38</v>
      </c>
      <c r="F264" s="2051" t="e">
        <f>+'VAL. PRINC'!#REF!</f>
        <v>#REF!</v>
      </c>
      <c r="G264" s="2031"/>
    </row>
    <row r="265" spans="3:7" hidden="1">
      <c r="C265" s="1129" t="s">
        <v>2415</v>
      </c>
      <c r="D265" s="1107" t="s">
        <v>3062</v>
      </c>
      <c r="E265" s="1109" t="s">
        <v>38</v>
      </c>
      <c r="F265" s="2051" t="e">
        <f>+'VAL. PRINC'!#REF!</f>
        <v>#REF!</v>
      </c>
      <c r="G265" s="2031"/>
    </row>
    <row r="266" spans="3:7" hidden="1">
      <c r="C266" s="1126" t="s">
        <v>742</v>
      </c>
      <c r="D266" s="1127" t="s">
        <v>3063</v>
      </c>
      <c r="E266" s="1128"/>
      <c r="F266" s="2051"/>
      <c r="G266" s="2031"/>
    </row>
    <row r="267" spans="3:7" hidden="1">
      <c r="C267" s="1129" t="s">
        <v>743</v>
      </c>
      <c r="D267" s="1107" t="s">
        <v>3064</v>
      </c>
      <c r="E267" s="1109" t="s">
        <v>38</v>
      </c>
      <c r="F267" s="2051" t="e">
        <f>+'VAL. PRINC'!#REF!</f>
        <v>#REF!</v>
      </c>
      <c r="G267" s="2031"/>
    </row>
    <row r="268" spans="3:7" hidden="1">
      <c r="C268" s="1129" t="s">
        <v>746</v>
      </c>
      <c r="D268" s="1107" t="s">
        <v>3065</v>
      </c>
      <c r="E268" s="1109" t="s">
        <v>37</v>
      </c>
      <c r="F268" s="2051" t="e">
        <f>+'VAL. PRINC'!#REF!</f>
        <v>#REF!</v>
      </c>
      <c r="G268" s="2031"/>
    </row>
    <row r="269" spans="3:7" hidden="1">
      <c r="C269" s="1129" t="s">
        <v>748</v>
      </c>
      <c r="D269" s="1107" t="s">
        <v>3066</v>
      </c>
      <c r="E269" s="1109" t="s">
        <v>38</v>
      </c>
      <c r="F269" s="2051" t="e">
        <f>+'VAL. PRINC'!#REF!</f>
        <v>#REF!</v>
      </c>
      <c r="G269" s="2031"/>
    </row>
    <row r="270" spans="3:7" hidden="1">
      <c r="C270" s="1129" t="s">
        <v>761</v>
      </c>
      <c r="D270" s="1107" t="s">
        <v>3067</v>
      </c>
      <c r="E270" s="1109" t="s">
        <v>37</v>
      </c>
      <c r="F270" s="2051" t="e">
        <f>+'VAL. PRINC'!#REF!</f>
        <v>#REF!</v>
      </c>
      <c r="G270" s="2031"/>
    </row>
    <row r="271" spans="3:7" hidden="1">
      <c r="C271" s="1129" t="s">
        <v>2416</v>
      </c>
      <c r="D271" s="1107" t="s">
        <v>3068</v>
      </c>
      <c r="E271" s="1109" t="s">
        <v>37</v>
      </c>
      <c r="F271" s="2051" t="e">
        <f>+'VAL. PRINC'!#REF!</f>
        <v>#REF!</v>
      </c>
      <c r="G271" s="2031"/>
    </row>
    <row r="272" spans="3:7" hidden="1">
      <c r="C272" s="1126" t="s">
        <v>763</v>
      </c>
      <c r="D272" s="1127" t="s">
        <v>3069</v>
      </c>
      <c r="E272" s="1128"/>
      <c r="F272" s="2051"/>
      <c r="G272" s="2031"/>
    </row>
    <row r="273" spans="3:7" hidden="1">
      <c r="C273" s="1129" t="s">
        <v>764</v>
      </c>
      <c r="D273" s="1107" t="s">
        <v>3070</v>
      </c>
      <c r="E273" s="1109" t="s">
        <v>38</v>
      </c>
      <c r="F273" s="2051" t="e">
        <f>+'VAL. PRINC'!#REF!</f>
        <v>#REF!</v>
      </c>
      <c r="G273" s="2031"/>
    </row>
    <row r="274" spans="3:7" hidden="1">
      <c r="C274" s="1129" t="s">
        <v>767</v>
      </c>
      <c r="D274" s="1107" t="s">
        <v>3071</v>
      </c>
      <c r="E274" s="1109" t="s">
        <v>38</v>
      </c>
      <c r="F274" s="2051" t="e">
        <f>+'VAL. PRINC'!#REF!</f>
        <v>#REF!</v>
      </c>
      <c r="G274" s="2031"/>
    </row>
    <row r="275" spans="3:7">
      <c r="C275" s="1130" t="s">
        <v>45</v>
      </c>
      <c r="D275" s="1131" t="s">
        <v>1234</v>
      </c>
      <c r="E275" s="1132"/>
      <c r="F275" s="2051"/>
      <c r="G275" s="2031"/>
    </row>
    <row r="276" spans="3:7">
      <c r="C276" s="1126" t="s">
        <v>47</v>
      </c>
      <c r="D276" s="1127" t="s">
        <v>3072</v>
      </c>
      <c r="E276" s="1128"/>
      <c r="F276" s="2051"/>
      <c r="G276" s="2031"/>
    </row>
    <row r="277" spans="3:7" hidden="1">
      <c r="C277" s="1129" t="s">
        <v>49</v>
      </c>
      <c r="D277" s="1107" t="s">
        <v>3073</v>
      </c>
      <c r="E277" s="1109" t="s">
        <v>37</v>
      </c>
      <c r="F277" s="2051" t="e">
        <f>+'VAL. PRINC'!#REF!</f>
        <v>#REF!</v>
      </c>
      <c r="G277" s="2031"/>
    </row>
    <row r="278" spans="3:7" hidden="1">
      <c r="C278" s="1129" t="s">
        <v>50</v>
      </c>
      <c r="D278" s="1107" t="s">
        <v>3074</v>
      </c>
      <c r="E278" s="1109" t="s">
        <v>37</v>
      </c>
      <c r="F278" s="2051" t="e">
        <f>+'VAL. PRINC'!#REF!</f>
        <v>#REF!</v>
      </c>
      <c r="G278" s="2031"/>
    </row>
    <row r="279" spans="3:7" hidden="1">
      <c r="C279" s="1129" t="s">
        <v>51</v>
      </c>
      <c r="D279" s="1107" t="s">
        <v>3075</v>
      </c>
      <c r="E279" s="1109" t="s">
        <v>37</v>
      </c>
      <c r="F279" s="2051" t="e">
        <f>+'VAL. PRINC'!#REF!</f>
        <v>#REF!</v>
      </c>
      <c r="G279" s="2031"/>
    </row>
    <row r="280" spans="3:7" hidden="1">
      <c r="C280" s="1129" t="s">
        <v>277</v>
      </c>
      <c r="D280" s="1107" t="s">
        <v>3076</v>
      </c>
      <c r="E280" s="1109" t="s">
        <v>37</v>
      </c>
      <c r="F280" s="2051" t="e">
        <f>+'VAL. PRINC'!#REF!</f>
        <v>#REF!</v>
      </c>
      <c r="G280" s="2031"/>
    </row>
    <row r="281" spans="3:7">
      <c r="C281" s="1129" t="s">
        <v>279</v>
      </c>
      <c r="D281" s="1107" t="s">
        <v>3077</v>
      </c>
      <c r="E281" s="1109" t="s">
        <v>37</v>
      </c>
      <c r="F281" s="2051" t="e">
        <f>+'VAL. PRINC'!#REF!</f>
        <v>#REF!</v>
      </c>
      <c r="G281" s="2031"/>
    </row>
    <row r="282" spans="3:7">
      <c r="C282" s="1129" t="s">
        <v>280</v>
      </c>
      <c r="D282" s="1107" t="s">
        <v>3078</v>
      </c>
      <c r="E282" s="1109" t="s">
        <v>37</v>
      </c>
      <c r="F282" s="2051" t="e">
        <f>+'VAL. PRINC'!#REF!</f>
        <v>#REF!</v>
      </c>
      <c r="G282" s="2031"/>
    </row>
    <row r="283" spans="3:7" hidden="1">
      <c r="C283" s="1129" t="s">
        <v>281</v>
      </c>
      <c r="D283" s="1107" t="s">
        <v>3079</v>
      </c>
      <c r="E283" s="1109" t="s">
        <v>37</v>
      </c>
      <c r="F283" s="2051" t="e">
        <f>+'VAL. PRINC'!#REF!</f>
        <v>#REF!</v>
      </c>
      <c r="G283" s="2031"/>
    </row>
    <row r="284" spans="3:7">
      <c r="C284" s="1126" t="s">
        <v>475</v>
      </c>
      <c r="D284" s="1127" t="s">
        <v>3080</v>
      </c>
      <c r="E284" s="1128"/>
      <c r="F284" s="2051"/>
      <c r="G284" s="2031"/>
    </row>
    <row r="285" spans="3:7" hidden="1">
      <c r="C285" s="1129" t="s">
        <v>476</v>
      </c>
      <c r="D285" s="1107" t="s">
        <v>3081</v>
      </c>
      <c r="E285" s="1109" t="s">
        <v>37</v>
      </c>
      <c r="F285" s="2051" t="e">
        <f>+'VAL. PRINC'!#REF!</f>
        <v>#REF!</v>
      </c>
      <c r="G285" s="2031"/>
    </row>
    <row r="286" spans="3:7" hidden="1">
      <c r="C286" s="1129" t="s">
        <v>477</v>
      </c>
      <c r="D286" s="1107" t="s">
        <v>3082</v>
      </c>
      <c r="E286" s="1109" t="s">
        <v>37</v>
      </c>
      <c r="F286" s="2051" t="e">
        <f>+'VAL. PRINC'!#REF!</f>
        <v>#REF!</v>
      </c>
      <c r="G286" s="2031"/>
    </row>
    <row r="287" spans="3:7">
      <c r="C287" s="1129" t="s">
        <v>478</v>
      </c>
      <c r="D287" s="1107" t="s">
        <v>3083</v>
      </c>
      <c r="E287" s="1109" t="s">
        <v>37</v>
      </c>
      <c r="F287" s="2051" t="e">
        <f>+'VAL. PRINC'!#REF!</f>
        <v>#REF!</v>
      </c>
      <c r="G287" s="2031"/>
    </row>
    <row r="288" spans="3:7" hidden="1">
      <c r="C288" s="1129" t="s">
        <v>479</v>
      </c>
      <c r="D288" s="1107" t="s">
        <v>3084</v>
      </c>
      <c r="E288" s="1109" t="s">
        <v>37</v>
      </c>
      <c r="F288" s="2051" t="e">
        <f>+'VAL. PRINC'!#REF!</f>
        <v>#REF!</v>
      </c>
      <c r="G288" s="2031"/>
    </row>
    <row r="289" spans="3:7">
      <c r="C289" s="1129" t="s">
        <v>480</v>
      </c>
      <c r="D289" s="1107" t="s">
        <v>3085</v>
      </c>
      <c r="E289" s="1109" t="s">
        <v>37</v>
      </c>
      <c r="F289" s="2051" t="e">
        <f>+'VAL. PRINC'!#REF!</f>
        <v>#REF!</v>
      </c>
      <c r="G289" s="2031"/>
    </row>
    <row r="290" spans="3:7" hidden="1">
      <c r="C290" s="1129" t="s">
        <v>481</v>
      </c>
      <c r="D290" s="1107" t="s">
        <v>3086</v>
      </c>
      <c r="E290" s="1109" t="s">
        <v>37</v>
      </c>
      <c r="F290" s="2051" t="e">
        <f>+'VAL. PRINC'!#REF!</f>
        <v>#REF!</v>
      </c>
      <c r="G290" s="2031"/>
    </row>
    <row r="291" spans="3:7">
      <c r="C291" s="1129" t="s">
        <v>482</v>
      </c>
      <c r="D291" s="1107" t="s">
        <v>3087</v>
      </c>
      <c r="E291" s="1109" t="s">
        <v>37</v>
      </c>
      <c r="F291" s="2051" t="e">
        <f>+'VAL. PRINC'!#REF!</f>
        <v>#REF!</v>
      </c>
      <c r="G291" s="2031"/>
    </row>
    <row r="292" spans="3:7" hidden="1">
      <c r="C292" s="1129" t="s">
        <v>483</v>
      </c>
      <c r="D292" s="1107" t="s">
        <v>3088</v>
      </c>
      <c r="E292" s="1109" t="s">
        <v>37</v>
      </c>
      <c r="F292" s="2051" t="e">
        <f>+'VAL. PRINC'!#REF!</f>
        <v>#REF!</v>
      </c>
      <c r="G292" s="2031"/>
    </row>
    <row r="293" spans="3:7">
      <c r="C293" s="1129" t="s">
        <v>866</v>
      </c>
      <c r="D293" s="1107" t="s">
        <v>3089</v>
      </c>
      <c r="E293" s="1109" t="s">
        <v>37</v>
      </c>
      <c r="F293" s="2051" t="e">
        <f>+'VAL. PRINC'!#REF!</f>
        <v>#REF!</v>
      </c>
      <c r="G293" s="2031"/>
    </row>
    <row r="294" spans="3:7" hidden="1">
      <c r="C294" s="1129" t="s">
        <v>868</v>
      </c>
      <c r="D294" s="1107" t="s">
        <v>3090</v>
      </c>
      <c r="E294" s="1109" t="s">
        <v>37</v>
      </c>
      <c r="F294" s="2051" t="e">
        <f>+'VAL. PRINC'!#REF!</f>
        <v>#REF!</v>
      </c>
      <c r="G294" s="2031"/>
    </row>
    <row r="295" spans="3:7" hidden="1">
      <c r="C295" s="1129" t="s">
        <v>872</v>
      </c>
      <c r="D295" s="1107" t="s">
        <v>3091</v>
      </c>
      <c r="E295" s="1109" t="s">
        <v>37</v>
      </c>
      <c r="F295" s="2051" t="e">
        <f>+'VAL. PRINC'!#REF!</f>
        <v>#REF!</v>
      </c>
      <c r="G295" s="2031"/>
    </row>
    <row r="296" spans="3:7" hidden="1">
      <c r="C296" s="1129" t="s">
        <v>875</v>
      </c>
      <c r="D296" s="1107" t="s">
        <v>3092</v>
      </c>
      <c r="E296" s="1109" t="s">
        <v>37</v>
      </c>
      <c r="F296" s="2051" t="e">
        <f>+'VAL. PRINC'!#REF!</f>
        <v>#REF!</v>
      </c>
      <c r="G296" s="2031"/>
    </row>
    <row r="297" spans="3:7" hidden="1">
      <c r="C297" s="1129" t="s">
        <v>883</v>
      </c>
      <c r="D297" s="1107" t="s">
        <v>3093</v>
      </c>
      <c r="E297" s="1109" t="s">
        <v>37</v>
      </c>
      <c r="F297" s="2051" t="e">
        <f>+'VAL. PRINC'!#REF!</f>
        <v>#REF!</v>
      </c>
      <c r="G297" s="2031"/>
    </row>
    <row r="298" spans="3:7" hidden="1">
      <c r="C298" s="1129" t="s">
        <v>2417</v>
      </c>
      <c r="D298" s="1107" t="s">
        <v>3094</v>
      </c>
      <c r="E298" s="1109" t="s">
        <v>37</v>
      </c>
      <c r="F298" s="2051" t="e">
        <f>+'VAL. PRINC'!#REF!</f>
        <v>#REF!</v>
      </c>
      <c r="G298" s="2031"/>
    </row>
    <row r="299" spans="3:7" hidden="1">
      <c r="C299" s="1129" t="s">
        <v>2418</v>
      </c>
      <c r="D299" s="1107" t="s">
        <v>3095</v>
      </c>
      <c r="E299" s="1109" t="s">
        <v>37</v>
      </c>
      <c r="F299" s="2051" t="e">
        <f>+'VAL. PRINC'!#REF!</f>
        <v>#REF!</v>
      </c>
      <c r="G299" s="2031"/>
    </row>
    <row r="300" spans="3:7" hidden="1">
      <c r="C300" s="1129" t="s">
        <v>2419</v>
      </c>
      <c r="D300" s="1107" t="s">
        <v>3096</v>
      </c>
      <c r="E300" s="1109" t="s">
        <v>37</v>
      </c>
      <c r="F300" s="2051" t="e">
        <f>+'VAL. PRINC'!#REF!</f>
        <v>#REF!</v>
      </c>
      <c r="G300" s="2031"/>
    </row>
    <row r="301" spans="3:7" hidden="1">
      <c r="C301" s="1129" t="s">
        <v>2420</v>
      </c>
      <c r="D301" s="1107" t="s">
        <v>3097</v>
      </c>
      <c r="E301" s="1109" t="s">
        <v>37</v>
      </c>
      <c r="F301" s="2051" t="e">
        <f>+'VAL. PRINC'!#REF!</f>
        <v>#REF!</v>
      </c>
      <c r="G301" s="2031"/>
    </row>
    <row r="302" spans="3:7">
      <c r="C302" s="1129" t="s">
        <v>2421</v>
      </c>
      <c r="D302" s="1107" t="s">
        <v>3098</v>
      </c>
      <c r="E302" s="1109" t="s">
        <v>37</v>
      </c>
      <c r="F302" s="2051" t="e">
        <f>+'VAL. PRINC'!#REF!</f>
        <v>#REF!</v>
      </c>
      <c r="G302" s="2031"/>
    </row>
    <row r="303" spans="3:7">
      <c r="C303" s="1129" t="s">
        <v>2422</v>
      </c>
      <c r="D303" s="1107" t="s">
        <v>3099</v>
      </c>
      <c r="E303" s="1109" t="s">
        <v>38</v>
      </c>
      <c r="F303" s="2051" t="e">
        <f>+'VAL. PRINC'!#REF!</f>
        <v>#REF!</v>
      </c>
      <c r="G303" s="2031"/>
    </row>
    <row r="304" spans="3:7" hidden="1">
      <c r="C304" s="1129" t="s">
        <v>2423</v>
      </c>
      <c r="D304" s="1107" t="s">
        <v>3100</v>
      </c>
      <c r="E304" s="1109" t="s">
        <v>38</v>
      </c>
      <c r="F304" s="2051" t="e">
        <f>+'VAL. PRINC'!#REF!</f>
        <v>#REF!</v>
      </c>
      <c r="G304" s="2031"/>
    </row>
    <row r="305" spans="3:7" hidden="1">
      <c r="C305" s="1129" t="s">
        <v>2424</v>
      </c>
      <c r="D305" s="1107" t="s">
        <v>3101</v>
      </c>
      <c r="E305" s="1109" t="s">
        <v>37</v>
      </c>
      <c r="F305" s="2051" t="e">
        <f>+'VAL. PRINC'!#REF!</f>
        <v>#REF!</v>
      </c>
      <c r="G305" s="2031"/>
    </row>
    <row r="306" spans="3:7" hidden="1">
      <c r="C306" s="1129" t="s">
        <v>2425</v>
      </c>
      <c r="D306" s="1107" t="s">
        <v>3102</v>
      </c>
      <c r="E306" s="1109" t="s">
        <v>37</v>
      </c>
      <c r="F306" s="2051" t="e">
        <f>+'VAL. PRINC'!#REF!</f>
        <v>#REF!</v>
      </c>
      <c r="G306" s="2031"/>
    </row>
    <row r="307" spans="3:7">
      <c r="C307" s="1126" t="s">
        <v>484</v>
      </c>
      <c r="D307" s="1127" t="s">
        <v>3103</v>
      </c>
      <c r="E307" s="1128"/>
      <c r="F307" s="2051"/>
      <c r="G307" s="2031"/>
    </row>
    <row r="308" spans="3:7">
      <c r="C308" s="1129" t="s">
        <v>485</v>
      </c>
      <c r="D308" s="1107" t="s">
        <v>3104</v>
      </c>
      <c r="E308" s="1109" t="s">
        <v>37</v>
      </c>
      <c r="F308" s="2051" t="e">
        <f>+'VAL. PRINC'!#REF!</f>
        <v>#REF!</v>
      </c>
      <c r="G308" s="2031"/>
    </row>
    <row r="309" spans="3:7" hidden="1">
      <c r="C309" s="1129" t="s">
        <v>486</v>
      </c>
      <c r="D309" s="1107" t="s">
        <v>3105</v>
      </c>
      <c r="E309" s="1109" t="s">
        <v>37</v>
      </c>
      <c r="F309" s="2051" t="e">
        <f>+'VAL. PRINC'!#REF!</f>
        <v>#REF!</v>
      </c>
      <c r="G309" s="2031"/>
    </row>
    <row r="310" spans="3:7">
      <c r="C310" s="1126" t="s">
        <v>518</v>
      </c>
      <c r="D310" s="1127" t="s">
        <v>3106</v>
      </c>
      <c r="E310" s="1128"/>
      <c r="F310" s="2051"/>
      <c r="G310" s="2031"/>
    </row>
    <row r="311" spans="3:7" hidden="1">
      <c r="C311" s="1133" t="s">
        <v>519</v>
      </c>
      <c r="D311" s="1125" t="s">
        <v>3107</v>
      </c>
      <c r="E311" s="1134"/>
      <c r="F311" s="2051"/>
      <c r="G311" s="2031"/>
    </row>
    <row r="312" spans="3:7" hidden="1">
      <c r="C312" s="1129" t="s">
        <v>520</v>
      </c>
      <c r="D312" s="1107" t="s">
        <v>3108</v>
      </c>
      <c r="E312" s="1109" t="s">
        <v>37</v>
      </c>
      <c r="F312" s="2051" t="e">
        <f>+'VAL. PRINC'!#REF!</f>
        <v>#REF!</v>
      </c>
      <c r="G312" s="2031"/>
    </row>
    <row r="313" spans="3:7">
      <c r="C313" s="1133" t="s">
        <v>522</v>
      </c>
      <c r="D313" s="1125" t="s">
        <v>3109</v>
      </c>
      <c r="E313" s="1134"/>
      <c r="F313" s="2051"/>
      <c r="G313" s="2031"/>
    </row>
    <row r="314" spans="3:7" hidden="1">
      <c r="C314" s="1129" t="s">
        <v>523</v>
      </c>
      <c r="D314" s="1107" t="s">
        <v>3110</v>
      </c>
      <c r="E314" s="1109" t="s">
        <v>37</v>
      </c>
      <c r="F314" s="2051" t="e">
        <f>+'VAL. PRINC'!#REF!</f>
        <v>#REF!</v>
      </c>
      <c r="G314" s="2031"/>
    </row>
    <row r="315" spans="3:7" hidden="1">
      <c r="C315" s="1129" t="s">
        <v>935</v>
      </c>
      <c r="D315" s="1107" t="s">
        <v>3111</v>
      </c>
      <c r="E315" s="1109" t="s">
        <v>37</v>
      </c>
      <c r="F315" s="2051" t="e">
        <f>+'VAL. PRINC'!#REF!</f>
        <v>#REF!</v>
      </c>
      <c r="G315" s="2031"/>
    </row>
    <row r="316" spans="3:7" hidden="1">
      <c r="C316" s="1129" t="s">
        <v>936</v>
      </c>
      <c r="D316" s="1107" t="s">
        <v>3112</v>
      </c>
      <c r="E316" s="1109" t="s">
        <v>37</v>
      </c>
      <c r="F316" s="2051" t="e">
        <f>+'VAL. PRINC'!#REF!</f>
        <v>#REF!</v>
      </c>
      <c r="G316" s="2031"/>
    </row>
    <row r="317" spans="3:7" hidden="1">
      <c r="C317" s="1129" t="s">
        <v>937</v>
      </c>
      <c r="D317" s="1107" t="s">
        <v>3113</v>
      </c>
      <c r="E317" s="1109" t="s">
        <v>37</v>
      </c>
      <c r="F317" s="2051" t="e">
        <f>+'VAL. PRINC'!#REF!</f>
        <v>#REF!</v>
      </c>
      <c r="G317" s="2031"/>
    </row>
    <row r="318" spans="3:7" hidden="1">
      <c r="C318" s="1129" t="s">
        <v>938</v>
      </c>
      <c r="D318" s="1107" t="s">
        <v>3114</v>
      </c>
      <c r="E318" s="1109" t="s">
        <v>37</v>
      </c>
      <c r="F318" s="2051" t="e">
        <f>+'VAL. PRINC'!#REF!</f>
        <v>#REF!</v>
      </c>
      <c r="G318" s="2031"/>
    </row>
    <row r="319" spans="3:7" hidden="1">
      <c r="C319" s="1129" t="s">
        <v>939</v>
      </c>
      <c r="D319" s="1107" t="s">
        <v>3115</v>
      </c>
      <c r="E319" s="1109" t="s">
        <v>37</v>
      </c>
      <c r="F319" s="2051" t="e">
        <f>+'VAL. PRINC'!#REF!</f>
        <v>#REF!</v>
      </c>
      <c r="G319" s="2031"/>
    </row>
    <row r="320" spans="3:7" hidden="1">
      <c r="C320" s="1129" t="s">
        <v>940</v>
      </c>
      <c r="D320" s="1107" t="s">
        <v>3116</v>
      </c>
      <c r="E320" s="1109" t="s">
        <v>37</v>
      </c>
      <c r="F320" s="2051" t="e">
        <f>+'VAL. PRINC'!#REF!</f>
        <v>#REF!</v>
      </c>
      <c r="G320" s="2031"/>
    </row>
    <row r="321" spans="3:7" hidden="1">
      <c r="C321" s="1129" t="s">
        <v>2426</v>
      </c>
      <c r="D321" s="1107" t="s">
        <v>3117</v>
      </c>
      <c r="E321" s="1109" t="s">
        <v>37</v>
      </c>
      <c r="F321" s="2051" t="e">
        <f>+'VAL. PRINC'!#REF!</f>
        <v>#REF!</v>
      </c>
      <c r="G321" s="2031"/>
    </row>
    <row r="322" spans="3:7" hidden="1">
      <c r="C322" s="1129" t="s">
        <v>2427</v>
      </c>
      <c r="D322" s="1107" t="s">
        <v>3118</v>
      </c>
      <c r="E322" s="1109" t="s">
        <v>37</v>
      </c>
      <c r="F322" s="2051" t="e">
        <f>+'VAL. PRINC'!#REF!</f>
        <v>#REF!</v>
      </c>
      <c r="G322" s="2031"/>
    </row>
    <row r="323" spans="3:7" hidden="1">
      <c r="C323" s="1129" t="s">
        <v>2428</v>
      </c>
      <c r="D323" s="1107" t="s">
        <v>3119</v>
      </c>
      <c r="E323" s="1109" t="s">
        <v>37</v>
      </c>
      <c r="F323" s="2051" t="e">
        <f>+'VAL. PRINC'!#REF!</f>
        <v>#REF!</v>
      </c>
      <c r="G323" s="2031"/>
    </row>
    <row r="324" spans="3:7" hidden="1">
      <c r="C324" s="1129" t="s">
        <v>2429</v>
      </c>
      <c r="D324" s="1107" t="s">
        <v>3120</v>
      </c>
      <c r="E324" s="1109" t="s">
        <v>37</v>
      </c>
      <c r="F324" s="2051" t="e">
        <f>+'VAL. PRINC'!#REF!</f>
        <v>#REF!</v>
      </c>
      <c r="G324" s="2031"/>
    </row>
    <row r="325" spans="3:7">
      <c r="C325" s="1129" t="s">
        <v>2430</v>
      </c>
      <c r="D325" s="1107" t="s">
        <v>3121</v>
      </c>
      <c r="E325" s="1109" t="s">
        <v>38</v>
      </c>
      <c r="F325" s="2051" t="e">
        <f>+'VAL. PRINC'!#REF!</f>
        <v>#REF!</v>
      </c>
      <c r="G325" s="2031"/>
    </row>
    <row r="326" spans="3:7">
      <c r="C326" s="1129" t="s">
        <v>2431</v>
      </c>
      <c r="D326" s="1107" t="s">
        <v>3122</v>
      </c>
      <c r="E326" s="1109" t="s">
        <v>37</v>
      </c>
      <c r="F326" s="2051" t="e">
        <f>+'VAL. PRINC'!#REF!</f>
        <v>#REF!</v>
      </c>
      <c r="G326" s="2031"/>
    </row>
    <row r="327" spans="3:7">
      <c r="C327" s="1133" t="s">
        <v>524</v>
      </c>
      <c r="D327" s="1125" t="s">
        <v>3123</v>
      </c>
      <c r="E327" s="1134"/>
      <c r="F327" s="2051"/>
      <c r="G327" s="2031"/>
    </row>
    <row r="328" spans="3:7" hidden="1">
      <c r="C328" s="1129" t="s">
        <v>525</v>
      </c>
      <c r="D328" s="1107" t="s">
        <v>3124</v>
      </c>
      <c r="E328" s="1109" t="s">
        <v>38</v>
      </c>
      <c r="F328" s="2051" t="e">
        <f>+'VAL. PRINC'!#REF!</f>
        <v>#REF!</v>
      </c>
      <c r="G328" s="2031"/>
    </row>
    <row r="329" spans="3:7" hidden="1">
      <c r="C329" s="1129" t="s">
        <v>2432</v>
      </c>
      <c r="D329" s="1107" t="s">
        <v>3125</v>
      </c>
      <c r="E329" s="1109" t="s">
        <v>38</v>
      </c>
      <c r="F329" s="2051" t="e">
        <f>+'VAL. PRINC'!#REF!</f>
        <v>#REF!</v>
      </c>
      <c r="G329" s="2031"/>
    </row>
    <row r="330" spans="3:7">
      <c r="C330" s="1129" t="s">
        <v>2433</v>
      </c>
      <c r="D330" s="1107" t="s">
        <v>3126</v>
      </c>
      <c r="E330" s="1109" t="s">
        <v>38</v>
      </c>
      <c r="F330" s="2051" t="e">
        <f>+'VAL. PRINC'!#REF!</f>
        <v>#REF!</v>
      </c>
      <c r="G330" s="2031"/>
    </row>
    <row r="331" spans="3:7" hidden="1">
      <c r="C331" s="1129" t="s">
        <v>2434</v>
      </c>
      <c r="D331" s="1107" t="s">
        <v>3127</v>
      </c>
      <c r="E331" s="1109" t="s">
        <v>38</v>
      </c>
      <c r="F331" s="2051" t="e">
        <f>+'VAL. PRINC'!#REF!</f>
        <v>#REF!</v>
      </c>
      <c r="G331" s="2031"/>
    </row>
    <row r="332" spans="3:7" hidden="1">
      <c r="C332" s="1126" t="s">
        <v>526</v>
      </c>
      <c r="D332" s="1127" t="s">
        <v>3128</v>
      </c>
      <c r="E332" s="1128"/>
      <c r="F332" s="2051"/>
      <c r="G332" s="2031"/>
    </row>
    <row r="333" spans="3:7" hidden="1">
      <c r="C333" s="1133" t="s">
        <v>527</v>
      </c>
      <c r="D333" s="1125" t="s">
        <v>3129</v>
      </c>
      <c r="E333" s="1134"/>
      <c r="F333" s="2051"/>
      <c r="G333" s="2031"/>
    </row>
    <row r="334" spans="3:7" hidden="1">
      <c r="C334" s="1129" t="s">
        <v>528</v>
      </c>
      <c r="D334" s="1107" t="s">
        <v>3130</v>
      </c>
      <c r="E334" s="1109" t="s">
        <v>37</v>
      </c>
      <c r="F334" s="2051" t="e">
        <f>+'VAL. PRINC'!#REF!</f>
        <v>#REF!</v>
      </c>
      <c r="G334" s="2031"/>
    </row>
    <row r="335" spans="3:7" hidden="1">
      <c r="C335" s="1129" t="s">
        <v>2435</v>
      </c>
      <c r="D335" s="1107" t="s">
        <v>3131</v>
      </c>
      <c r="E335" s="1109" t="s">
        <v>37</v>
      </c>
      <c r="F335" s="2051" t="e">
        <f>+'VAL. PRINC'!#REF!</f>
        <v>#REF!</v>
      </c>
      <c r="G335" s="2031"/>
    </row>
    <row r="336" spans="3:7" hidden="1">
      <c r="C336" s="1129" t="s">
        <v>2436</v>
      </c>
      <c r="D336" s="1107" t="s">
        <v>3132</v>
      </c>
      <c r="E336" s="1109" t="s">
        <v>37</v>
      </c>
      <c r="F336" s="2051" t="e">
        <f>+'VAL. PRINC'!#REF!</f>
        <v>#REF!</v>
      </c>
      <c r="G336" s="2031"/>
    </row>
    <row r="337" spans="3:7" hidden="1">
      <c r="C337" s="1133" t="s">
        <v>977</v>
      </c>
      <c r="D337" s="1125" t="s">
        <v>3133</v>
      </c>
      <c r="E337" s="1134"/>
      <c r="F337" s="2051"/>
      <c r="G337" s="2031"/>
    </row>
    <row r="338" spans="3:7" hidden="1">
      <c r="C338" s="1129" t="s">
        <v>978</v>
      </c>
      <c r="D338" s="1107" t="s">
        <v>3134</v>
      </c>
      <c r="E338" s="1109" t="s">
        <v>38</v>
      </c>
      <c r="F338" s="2051" t="e">
        <f>+'VAL. PRINC'!#REF!</f>
        <v>#REF!</v>
      </c>
      <c r="G338" s="2031"/>
    </row>
    <row r="339" spans="3:7" hidden="1">
      <c r="C339" s="1129" t="s">
        <v>979</v>
      </c>
      <c r="D339" s="1107" t="s">
        <v>3135</v>
      </c>
      <c r="E339" s="1109" t="s">
        <v>38</v>
      </c>
      <c r="F339" s="2051" t="e">
        <f>+'VAL. PRINC'!#REF!</f>
        <v>#REF!</v>
      </c>
      <c r="G339" s="2031"/>
    </row>
    <row r="340" spans="3:7" hidden="1">
      <c r="C340" s="1126" t="s">
        <v>987</v>
      </c>
      <c r="D340" s="1127" t="s">
        <v>3136</v>
      </c>
      <c r="E340" s="1128"/>
      <c r="F340" s="2051"/>
      <c r="G340" s="2031"/>
    </row>
    <row r="341" spans="3:7" hidden="1">
      <c r="C341" s="1129" t="s">
        <v>988</v>
      </c>
      <c r="D341" s="1107" t="s">
        <v>3137</v>
      </c>
      <c r="E341" s="1109" t="s">
        <v>37</v>
      </c>
      <c r="F341" s="2051" t="e">
        <f>+'VAL. PRINC'!#REF!</f>
        <v>#REF!</v>
      </c>
      <c r="G341" s="2031"/>
    </row>
    <row r="342" spans="3:7" hidden="1">
      <c r="C342" s="1126" t="s">
        <v>990</v>
      </c>
      <c r="D342" s="1127" t="s">
        <v>3138</v>
      </c>
      <c r="E342" s="1128"/>
      <c r="F342" s="2051"/>
      <c r="G342" s="2031"/>
    </row>
    <row r="343" spans="3:7" hidden="1">
      <c r="C343" s="1129" t="s">
        <v>991</v>
      </c>
      <c r="D343" s="1107" t="s">
        <v>3139</v>
      </c>
      <c r="E343" s="1109" t="s">
        <v>37</v>
      </c>
      <c r="F343" s="2051" t="e">
        <f>+'VAL. PRINC'!#REF!</f>
        <v>#REF!</v>
      </c>
      <c r="G343" s="2031"/>
    </row>
    <row r="344" spans="3:7" hidden="1">
      <c r="C344" s="1129" t="s">
        <v>994</v>
      </c>
      <c r="D344" s="1107" t="s">
        <v>3140</v>
      </c>
      <c r="E344" s="1109" t="s">
        <v>37</v>
      </c>
      <c r="F344" s="2051" t="e">
        <f>+'VAL. PRINC'!#REF!</f>
        <v>#REF!</v>
      </c>
      <c r="G344" s="2031"/>
    </row>
    <row r="345" spans="3:7" hidden="1">
      <c r="C345" s="1129" t="s">
        <v>997</v>
      </c>
      <c r="D345" s="1107" t="s">
        <v>3141</v>
      </c>
      <c r="E345" s="1109" t="s">
        <v>37</v>
      </c>
      <c r="F345" s="2051" t="e">
        <f>+'VAL. PRINC'!#REF!</f>
        <v>#REF!</v>
      </c>
      <c r="G345" s="2031"/>
    </row>
    <row r="346" spans="3:7" hidden="1">
      <c r="C346" s="1129" t="s">
        <v>999</v>
      </c>
      <c r="D346" s="1107" t="s">
        <v>3142</v>
      </c>
      <c r="E346" s="1109" t="s">
        <v>37</v>
      </c>
      <c r="F346" s="2051" t="e">
        <f>+'VAL. PRINC'!#REF!</f>
        <v>#REF!</v>
      </c>
      <c r="G346" s="2031"/>
    </row>
    <row r="347" spans="3:7" hidden="1">
      <c r="C347" s="1129" t="s">
        <v>2437</v>
      </c>
      <c r="D347" s="1107" t="s">
        <v>3143</v>
      </c>
      <c r="E347" s="1109" t="s">
        <v>37</v>
      </c>
      <c r="F347" s="2051" t="e">
        <f>+'VAL. PRINC'!#REF!</f>
        <v>#REF!</v>
      </c>
      <c r="G347" s="2031"/>
    </row>
    <row r="348" spans="3:7" hidden="1">
      <c r="C348" s="1129" t="s">
        <v>2438</v>
      </c>
      <c r="D348" s="1107" t="s">
        <v>3144</v>
      </c>
      <c r="E348" s="1109" t="s">
        <v>37</v>
      </c>
      <c r="F348" s="2051" t="e">
        <f>+'VAL. PRINC'!#REF!</f>
        <v>#REF!</v>
      </c>
      <c r="G348" s="2031"/>
    </row>
    <row r="349" spans="3:7" hidden="1">
      <c r="C349" s="1129" t="s">
        <v>2439</v>
      </c>
      <c r="D349" s="1107" t="s">
        <v>3145</v>
      </c>
      <c r="E349" s="1109" t="s">
        <v>37</v>
      </c>
      <c r="F349" s="2051" t="e">
        <f>+'VAL. PRINC'!#REF!</f>
        <v>#REF!</v>
      </c>
      <c r="G349" s="2031"/>
    </row>
    <row r="350" spans="3:7" hidden="1">
      <c r="C350" s="1126" t="s">
        <v>1002</v>
      </c>
      <c r="D350" s="1127" t="s">
        <v>3146</v>
      </c>
      <c r="E350" s="1128"/>
      <c r="F350" s="2051"/>
      <c r="G350" s="2031"/>
    </row>
    <row r="351" spans="3:7" hidden="1">
      <c r="C351" s="1133" t="s">
        <v>1003</v>
      </c>
      <c r="D351" s="1125" t="s">
        <v>3147</v>
      </c>
      <c r="E351" s="1134"/>
      <c r="F351" s="2051"/>
      <c r="G351" s="2031"/>
    </row>
    <row r="352" spans="3:7" hidden="1">
      <c r="C352" s="1129" t="s">
        <v>1004</v>
      </c>
      <c r="D352" s="1107" t="s">
        <v>3148</v>
      </c>
      <c r="E352" s="1109" t="s">
        <v>36</v>
      </c>
      <c r="F352" s="2051" t="e">
        <f>+'VAL. PRINC'!#REF!</f>
        <v>#REF!</v>
      </c>
      <c r="G352" s="2031"/>
    </row>
    <row r="353" spans="3:7" hidden="1">
      <c r="C353" s="1129" t="s">
        <v>2440</v>
      </c>
      <c r="D353" s="1107" t="s">
        <v>3149</v>
      </c>
      <c r="E353" s="1109" t="s">
        <v>36</v>
      </c>
      <c r="F353" s="2051" t="e">
        <f>+'VAL. PRINC'!#REF!</f>
        <v>#REF!</v>
      </c>
      <c r="G353" s="2031"/>
    </row>
    <row r="354" spans="3:7" hidden="1">
      <c r="C354" s="1129" t="s">
        <v>2441</v>
      </c>
      <c r="D354" s="1107" t="s">
        <v>3150</v>
      </c>
      <c r="E354" s="1109" t="s">
        <v>37</v>
      </c>
      <c r="F354" s="2051" t="e">
        <f>+'VAL. PRINC'!#REF!</f>
        <v>#REF!</v>
      </c>
      <c r="G354" s="2031"/>
    </row>
    <row r="355" spans="3:7" hidden="1">
      <c r="C355" s="1133" t="s">
        <v>1005</v>
      </c>
      <c r="D355" s="1125" t="s">
        <v>3151</v>
      </c>
      <c r="E355" s="1134"/>
      <c r="F355" s="2051"/>
      <c r="G355" s="2031"/>
    </row>
    <row r="356" spans="3:7" hidden="1">
      <c r="C356" s="1129" t="s">
        <v>1006</v>
      </c>
      <c r="D356" s="1107" t="s">
        <v>3152</v>
      </c>
      <c r="E356" s="1109" t="s">
        <v>37</v>
      </c>
      <c r="F356" s="2051" t="e">
        <f>+'VAL. PRINC'!#REF!</f>
        <v>#REF!</v>
      </c>
      <c r="G356" s="2031"/>
    </row>
    <row r="357" spans="3:7" hidden="1">
      <c r="C357" s="1129" t="s">
        <v>1007</v>
      </c>
      <c r="D357" s="1107" t="s">
        <v>3153</v>
      </c>
      <c r="E357" s="1109" t="s">
        <v>37</v>
      </c>
      <c r="F357" s="2051" t="e">
        <f>+'VAL. PRINC'!#REF!</f>
        <v>#REF!</v>
      </c>
      <c r="G357" s="2031"/>
    </row>
    <row r="358" spans="3:7" hidden="1">
      <c r="C358" s="1129" t="s">
        <v>2442</v>
      </c>
      <c r="D358" s="1107" t="s">
        <v>3154</v>
      </c>
      <c r="E358" s="1109" t="s">
        <v>37</v>
      </c>
      <c r="F358" s="2051" t="e">
        <f>+'VAL. PRINC'!#REF!</f>
        <v>#REF!</v>
      </c>
      <c r="G358" s="2031"/>
    </row>
    <row r="359" spans="3:7" hidden="1">
      <c r="C359" s="1129" t="s">
        <v>2443</v>
      </c>
      <c r="D359" s="1107" t="s">
        <v>3155</v>
      </c>
      <c r="E359" s="1109" t="s">
        <v>37</v>
      </c>
      <c r="F359" s="2051" t="e">
        <f>+'VAL. PRINC'!#REF!</f>
        <v>#REF!</v>
      </c>
      <c r="G359" s="2031"/>
    </row>
    <row r="360" spans="3:7" hidden="1">
      <c r="C360" s="1133" t="s">
        <v>1008</v>
      </c>
      <c r="D360" s="1125" t="s">
        <v>3156</v>
      </c>
      <c r="E360" s="1134"/>
      <c r="F360" s="2051"/>
      <c r="G360" s="2031"/>
    </row>
    <row r="361" spans="3:7" hidden="1">
      <c r="C361" s="1129" t="s">
        <v>1009</v>
      </c>
      <c r="D361" s="1107" t="s">
        <v>3157</v>
      </c>
      <c r="E361" s="1109" t="s">
        <v>38</v>
      </c>
      <c r="F361" s="2051" t="e">
        <f>+'VAL. PRINC'!#REF!</f>
        <v>#REF!</v>
      </c>
      <c r="G361" s="2031"/>
    </row>
    <row r="362" spans="3:7" hidden="1">
      <c r="C362" s="1129" t="s">
        <v>2444</v>
      </c>
      <c r="D362" s="1107" t="s">
        <v>3158</v>
      </c>
      <c r="E362" s="1109" t="s">
        <v>38</v>
      </c>
      <c r="F362" s="2051" t="e">
        <f>+'VAL. PRINC'!#REF!</f>
        <v>#REF!</v>
      </c>
      <c r="G362" s="2031"/>
    </row>
    <row r="363" spans="3:7" hidden="1">
      <c r="C363" s="1129" t="s">
        <v>2445</v>
      </c>
      <c r="D363" s="1107" t="s">
        <v>3159</v>
      </c>
      <c r="E363" s="1109" t="s">
        <v>38</v>
      </c>
      <c r="F363" s="2051" t="e">
        <f>+'VAL. PRINC'!#REF!</f>
        <v>#REF!</v>
      </c>
      <c r="G363" s="2031"/>
    </row>
    <row r="364" spans="3:7" hidden="1">
      <c r="C364" s="1129" t="s">
        <v>2446</v>
      </c>
      <c r="D364" s="1107" t="s">
        <v>3160</v>
      </c>
      <c r="E364" s="1109" t="s">
        <v>38</v>
      </c>
      <c r="F364" s="2051" t="e">
        <f>+'VAL. PRINC'!#REF!</f>
        <v>#REF!</v>
      </c>
      <c r="G364" s="2031"/>
    </row>
    <row r="365" spans="3:7" hidden="1">
      <c r="C365" s="1129" t="s">
        <v>2447</v>
      </c>
      <c r="D365" s="1107" t="s">
        <v>3161</v>
      </c>
      <c r="E365" s="1109" t="s">
        <v>38</v>
      </c>
      <c r="F365" s="2051" t="e">
        <f>+'VAL. PRINC'!#REF!</f>
        <v>#REF!</v>
      </c>
      <c r="G365" s="2031"/>
    </row>
    <row r="366" spans="3:7" hidden="1">
      <c r="C366" s="1129" t="s">
        <v>2448</v>
      </c>
      <c r="D366" s="1107" t="s">
        <v>3162</v>
      </c>
      <c r="E366" s="1109" t="s">
        <v>38</v>
      </c>
      <c r="F366" s="2051" t="e">
        <f>+'VAL. PRINC'!#REF!</f>
        <v>#REF!</v>
      </c>
      <c r="G366" s="2031"/>
    </row>
    <row r="367" spans="3:7" hidden="1">
      <c r="C367" s="1129" t="s">
        <v>2449</v>
      </c>
      <c r="D367" s="1107" t="s">
        <v>3163</v>
      </c>
      <c r="E367" s="1109" t="s">
        <v>38</v>
      </c>
      <c r="F367" s="2051" t="e">
        <f>+'VAL. PRINC'!#REF!</f>
        <v>#REF!</v>
      </c>
      <c r="G367" s="2031"/>
    </row>
    <row r="368" spans="3:7" hidden="1">
      <c r="C368" s="1129" t="s">
        <v>2450</v>
      </c>
      <c r="D368" s="1107" t="s">
        <v>3164</v>
      </c>
      <c r="E368" s="1109" t="s">
        <v>38</v>
      </c>
      <c r="F368" s="2051" t="e">
        <f>+'VAL. PRINC'!#REF!</f>
        <v>#REF!</v>
      </c>
      <c r="G368" s="2031"/>
    </row>
    <row r="369" spans="3:7" hidden="1">
      <c r="C369" s="1129" t="s">
        <v>2451</v>
      </c>
      <c r="D369" s="1107" t="s">
        <v>3165</v>
      </c>
      <c r="E369" s="1109" t="s">
        <v>38</v>
      </c>
      <c r="F369" s="2051" t="e">
        <f>+'VAL. PRINC'!#REF!</f>
        <v>#REF!</v>
      </c>
      <c r="G369" s="2031"/>
    </row>
    <row r="370" spans="3:7" hidden="1">
      <c r="C370" s="1133" t="s">
        <v>1010</v>
      </c>
      <c r="D370" s="1125" t="s">
        <v>3166</v>
      </c>
      <c r="E370" s="1134"/>
      <c r="F370" s="2051"/>
      <c r="G370" s="2031"/>
    </row>
    <row r="371" spans="3:7" hidden="1">
      <c r="C371" s="1129" t="s">
        <v>1011</v>
      </c>
      <c r="D371" s="1107" t="s">
        <v>3167</v>
      </c>
      <c r="E371" s="1109" t="s">
        <v>38</v>
      </c>
      <c r="F371" s="2051" t="e">
        <f>+'VAL. PRINC'!#REF!</f>
        <v>#REF!</v>
      </c>
      <c r="G371" s="2031"/>
    </row>
    <row r="372" spans="3:7" hidden="1">
      <c r="C372" s="1129" t="s">
        <v>2452</v>
      </c>
      <c r="D372" s="1107" t="s">
        <v>3168</v>
      </c>
      <c r="E372" s="1109" t="s">
        <v>38</v>
      </c>
      <c r="F372" s="2051" t="e">
        <f>+'VAL. PRINC'!#REF!</f>
        <v>#REF!</v>
      </c>
      <c r="G372" s="2031"/>
    </row>
    <row r="373" spans="3:7" hidden="1">
      <c r="C373" s="1129" t="s">
        <v>2453</v>
      </c>
      <c r="D373" s="1107" t="s">
        <v>3169</v>
      </c>
      <c r="E373" s="1109" t="s">
        <v>36</v>
      </c>
      <c r="F373" s="2051" t="e">
        <f>+'VAL. PRINC'!#REF!</f>
        <v>#REF!</v>
      </c>
      <c r="G373" s="2031"/>
    </row>
    <row r="374" spans="3:7" hidden="1">
      <c r="C374" s="1129" t="s">
        <v>2454</v>
      </c>
      <c r="D374" s="1107" t="s">
        <v>3170</v>
      </c>
      <c r="E374" s="1109" t="s">
        <v>36</v>
      </c>
      <c r="F374" s="2051" t="e">
        <f>+'VAL. PRINC'!#REF!</f>
        <v>#REF!</v>
      </c>
      <c r="G374" s="2031"/>
    </row>
    <row r="375" spans="3:7" hidden="1">
      <c r="C375" s="1129" t="s">
        <v>2455</v>
      </c>
      <c r="D375" s="1107" t="s">
        <v>3171</v>
      </c>
      <c r="E375" s="1109" t="s">
        <v>36</v>
      </c>
      <c r="F375" s="2051" t="e">
        <f>+'VAL. PRINC'!#REF!</f>
        <v>#REF!</v>
      </c>
      <c r="G375" s="2031"/>
    </row>
    <row r="376" spans="3:7" hidden="1">
      <c r="C376" s="1129" t="s">
        <v>2456</v>
      </c>
      <c r="D376" s="1107" t="s">
        <v>3172</v>
      </c>
      <c r="E376" s="1109" t="s">
        <v>36</v>
      </c>
      <c r="F376" s="2051" t="e">
        <f>+'VAL. PRINC'!#REF!</f>
        <v>#REF!</v>
      </c>
      <c r="G376" s="2031"/>
    </row>
    <row r="377" spans="3:7" hidden="1">
      <c r="C377" s="1129" t="s">
        <v>2457</v>
      </c>
      <c r="D377" s="1107" t="s">
        <v>3173</v>
      </c>
      <c r="E377" s="1109" t="s">
        <v>36</v>
      </c>
      <c r="F377" s="2051" t="e">
        <f>+'VAL. PRINC'!#REF!</f>
        <v>#REF!</v>
      </c>
      <c r="G377" s="2031"/>
    </row>
    <row r="378" spans="3:7" hidden="1">
      <c r="C378" s="1129" t="s">
        <v>2458</v>
      </c>
      <c r="D378" s="1107" t="s">
        <v>3174</v>
      </c>
      <c r="E378" s="1109" t="s">
        <v>36</v>
      </c>
      <c r="F378" s="2051" t="e">
        <f>+'VAL. PRINC'!#REF!</f>
        <v>#REF!</v>
      </c>
      <c r="G378" s="2031"/>
    </row>
    <row r="379" spans="3:7">
      <c r="C379" s="1126" t="s">
        <v>1012</v>
      </c>
      <c r="D379" s="1127" t="s">
        <v>3175</v>
      </c>
      <c r="E379" s="1128"/>
      <c r="F379" s="2051"/>
      <c r="G379" s="2031"/>
    </row>
    <row r="380" spans="3:7">
      <c r="C380" s="1129" t="s">
        <v>1013</v>
      </c>
      <c r="D380" s="1107" t="s">
        <v>3176</v>
      </c>
      <c r="E380" s="1109" t="s">
        <v>1451</v>
      </c>
      <c r="F380" s="2051" t="e">
        <f>+'VAL. PRINC'!#REF!</f>
        <v>#REF!</v>
      </c>
      <c r="G380" s="2031"/>
    </row>
    <row r="381" spans="3:7" hidden="1">
      <c r="C381" s="1129" t="s">
        <v>2459</v>
      </c>
      <c r="D381" s="1107" t="s">
        <v>3177</v>
      </c>
      <c r="E381" s="1109" t="s">
        <v>36</v>
      </c>
      <c r="F381" s="2051" t="e">
        <f>+'VAL. PRINC'!#REF!</f>
        <v>#REF!</v>
      </c>
      <c r="G381" s="2031"/>
    </row>
    <row r="382" spans="3:7" hidden="1">
      <c r="C382" s="1129" t="s">
        <v>2460</v>
      </c>
      <c r="D382" s="1107" t="s">
        <v>3178</v>
      </c>
      <c r="E382" s="1109" t="s">
        <v>36</v>
      </c>
      <c r="F382" s="2051" t="e">
        <f>+'VAL. PRINC'!#REF!</f>
        <v>#REF!</v>
      </c>
      <c r="G382" s="2031"/>
    </row>
    <row r="383" spans="3:7">
      <c r="C383" s="1129" t="s">
        <v>2461</v>
      </c>
      <c r="D383" s="1107" t="s">
        <v>3179</v>
      </c>
      <c r="E383" s="1109" t="s">
        <v>36</v>
      </c>
      <c r="F383" s="2051" t="e">
        <f>+'VAL. PRINC'!#REF!</f>
        <v>#REF!</v>
      </c>
      <c r="G383" s="2031"/>
    </row>
    <row r="384" spans="3:7" hidden="1">
      <c r="C384" s="1129" t="s">
        <v>2462</v>
      </c>
      <c r="D384" s="1107" t="s">
        <v>3180</v>
      </c>
      <c r="E384" s="1109" t="s">
        <v>36</v>
      </c>
      <c r="F384" s="2051" t="e">
        <f>+'VAL. PRINC'!#REF!</f>
        <v>#REF!</v>
      </c>
      <c r="G384" s="2031"/>
    </row>
    <row r="385" spans="3:7" hidden="1">
      <c r="C385" s="1129" t="s">
        <v>2463</v>
      </c>
      <c r="D385" s="1107" t="s">
        <v>3181</v>
      </c>
      <c r="E385" s="1109" t="s">
        <v>36</v>
      </c>
      <c r="F385" s="2051" t="e">
        <f>+'VAL. PRINC'!#REF!</f>
        <v>#REF!</v>
      </c>
      <c r="G385" s="2031"/>
    </row>
    <row r="386" spans="3:7" hidden="1">
      <c r="C386" s="1129" t="s">
        <v>2464</v>
      </c>
      <c r="D386" s="1107" t="s">
        <v>3182</v>
      </c>
      <c r="E386" s="1109" t="s">
        <v>36</v>
      </c>
      <c r="F386" s="2051" t="e">
        <f>+'VAL. PRINC'!#REF!</f>
        <v>#REF!</v>
      </c>
      <c r="G386" s="2031"/>
    </row>
    <row r="387" spans="3:7" hidden="1">
      <c r="C387" s="1129" t="s">
        <v>2465</v>
      </c>
      <c r="D387" s="1107" t="s">
        <v>3183</v>
      </c>
      <c r="E387" s="1109" t="s">
        <v>36</v>
      </c>
      <c r="F387" s="2051" t="e">
        <f>+'VAL. PRINC'!#REF!</f>
        <v>#REF!</v>
      </c>
      <c r="G387" s="2031"/>
    </row>
    <row r="388" spans="3:7" hidden="1">
      <c r="C388" s="1129" t="s">
        <v>2466</v>
      </c>
      <c r="D388" s="1107" t="s">
        <v>3184</v>
      </c>
      <c r="E388" s="1109" t="s">
        <v>36</v>
      </c>
      <c r="F388" s="2051" t="e">
        <f>+'VAL. PRINC'!#REF!</f>
        <v>#REF!</v>
      </c>
      <c r="G388" s="2031"/>
    </row>
    <row r="389" spans="3:7" hidden="1">
      <c r="C389" s="1129" t="s">
        <v>2467</v>
      </c>
      <c r="D389" s="1107" t="s">
        <v>3185</v>
      </c>
      <c r="E389" s="1109" t="s">
        <v>36</v>
      </c>
      <c r="F389" s="2051" t="e">
        <f>+'VAL. PRINC'!#REF!</f>
        <v>#REF!</v>
      </c>
      <c r="G389" s="2031"/>
    </row>
    <row r="390" spans="3:7">
      <c r="C390" s="1126" t="s">
        <v>2468</v>
      </c>
      <c r="D390" s="1127" t="s">
        <v>3186</v>
      </c>
      <c r="E390" s="1128"/>
      <c r="F390" s="2051"/>
      <c r="G390" s="2031"/>
    </row>
    <row r="391" spans="3:7" hidden="1">
      <c r="C391" s="1129" t="s">
        <v>2469</v>
      </c>
      <c r="D391" s="1107" t="s">
        <v>3187</v>
      </c>
      <c r="E391" s="1109" t="s">
        <v>37</v>
      </c>
      <c r="F391" s="2051" t="e">
        <f>+'VAL. PRINC'!#REF!</f>
        <v>#REF!</v>
      </c>
      <c r="G391" s="2031"/>
    </row>
    <row r="392" spans="3:7" hidden="1">
      <c r="C392" s="1129" t="s">
        <v>2470</v>
      </c>
      <c r="D392" s="1107" t="s">
        <v>3188</v>
      </c>
      <c r="E392" s="1109" t="s">
        <v>37</v>
      </c>
      <c r="F392" s="2051" t="e">
        <f>+'VAL. PRINC'!#REF!</f>
        <v>#REF!</v>
      </c>
      <c r="G392" s="2031"/>
    </row>
    <row r="393" spans="3:7">
      <c r="C393" s="1129" t="s">
        <v>2471</v>
      </c>
      <c r="D393" s="1107" t="s">
        <v>3189</v>
      </c>
      <c r="E393" s="1109" t="s">
        <v>36</v>
      </c>
      <c r="F393" s="2051" t="e">
        <f>+'VAL. PRINC'!#REF!</f>
        <v>#REF!</v>
      </c>
      <c r="G393" s="2031"/>
    </row>
    <row r="394" spans="3:7">
      <c r="C394" s="1126" t="s">
        <v>2472</v>
      </c>
      <c r="D394" s="1127" t="s">
        <v>3190</v>
      </c>
      <c r="E394" s="1128"/>
      <c r="F394" s="2051"/>
      <c r="G394" s="2031"/>
    </row>
    <row r="395" spans="3:7" hidden="1">
      <c r="C395" s="1129" t="s">
        <v>2473</v>
      </c>
      <c r="D395" s="1107" t="s">
        <v>3191</v>
      </c>
      <c r="E395" s="1109" t="s">
        <v>37</v>
      </c>
      <c r="F395" s="2051" t="e">
        <f>+'VAL. PRINC'!#REF!</f>
        <v>#REF!</v>
      </c>
      <c r="G395" s="2034"/>
    </row>
    <row r="396" spans="3:7" hidden="1">
      <c r="C396" s="1129" t="s">
        <v>2474</v>
      </c>
      <c r="D396" s="1107" t="s">
        <v>3192</v>
      </c>
      <c r="E396" s="1109" t="s">
        <v>37</v>
      </c>
      <c r="F396" s="2051" t="e">
        <f>+'VAL. PRINC'!#REF!</f>
        <v>#REF!</v>
      </c>
      <c r="G396" s="2034"/>
    </row>
    <row r="397" spans="3:7" hidden="1">
      <c r="C397" s="1129" t="s">
        <v>2475</v>
      </c>
      <c r="D397" s="1107" t="s">
        <v>3193</v>
      </c>
      <c r="E397" s="1109" t="s">
        <v>37</v>
      </c>
      <c r="F397" s="2051" t="e">
        <f>+'VAL. PRINC'!#REF!</f>
        <v>#REF!</v>
      </c>
      <c r="G397" s="2034"/>
    </row>
    <row r="398" spans="3:7" hidden="1">
      <c r="C398" s="1129" t="s">
        <v>2476</v>
      </c>
      <c r="D398" s="1107" t="s">
        <v>3194</v>
      </c>
      <c r="E398" s="1109" t="s">
        <v>37</v>
      </c>
      <c r="F398" s="2051" t="e">
        <f>+'VAL. PRINC'!#REF!</f>
        <v>#REF!</v>
      </c>
      <c r="G398" s="2034"/>
    </row>
    <row r="399" spans="3:7" hidden="1">
      <c r="C399" s="1129" t="s">
        <v>2477</v>
      </c>
      <c r="D399" s="1107" t="s">
        <v>3195</v>
      </c>
      <c r="E399" s="1109" t="s">
        <v>37</v>
      </c>
      <c r="F399" s="2051" t="e">
        <f>+'VAL. PRINC'!#REF!</f>
        <v>#REF!</v>
      </c>
      <c r="G399" s="2034"/>
    </row>
    <row r="400" spans="3:7" hidden="1">
      <c r="C400" s="1129" t="s">
        <v>2478</v>
      </c>
      <c r="D400" s="1107" t="s">
        <v>3196</v>
      </c>
      <c r="E400" s="1109" t="s">
        <v>37</v>
      </c>
      <c r="F400" s="2051" t="e">
        <f>+'VAL. PRINC'!#REF!</f>
        <v>#REF!</v>
      </c>
      <c r="G400" s="2031"/>
    </row>
    <row r="401" spans="3:7" hidden="1">
      <c r="C401" s="1129" t="s">
        <v>2479</v>
      </c>
      <c r="D401" s="1107" t="s">
        <v>3197</v>
      </c>
      <c r="E401" s="1109" t="s">
        <v>37</v>
      </c>
      <c r="F401" s="2051" t="e">
        <f>+'VAL. PRINC'!#REF!</f>
        <v>#REF!</v>
      </c>
      <c r="G401" s="2031"/>
    </row>
    <row r="402" spans="3:7" hidden="1">
      <c r="C402" s="1129" t="s">
        <v>2480</v>
      </c>
      <c r="D402" s="1107" t="s">
        <v>3198</v>
      </c>
      <c r="E402" s="1109" t="s">
        <v>37</v>
      </c>
      <c r="F402" s="2051" t="e">
        <f>+'VAL. PRINC'!#REF!</f>
        <v>#REF!</v>
      </c>
      <c r="G402" s="2031"/>
    </row>
    <row r="403" spans="3:7" hidden="1">
      <c r="C403" s="1129" t="s">
        <v>2481</v>
      </c>
      <c r="D403" s="1107" t="s">
        <v>3199</v>
      </c>
      <c r="E403" s="1109" t="s">
        <v>37</v>
      </c>
      <c r="F403" s="2051" t="e">
        <f>+'VAL. PRINC'!#REF!</f>
        <v>#REF!</v>
      </c>
      <c r="G403" s="2031"/>
    </row>
    <row r="404" spans="3:7" hidden="1">
      <c r="C404" s="1129" t="s">
        <v>2482</v>
      </c>
      <c r="D404" s="1107" t="s">
        <v>3200</v>
      </c>
      <c r="E404" s="1109" t="s">
        <v>37</v>
      </c>
      <c r="F404" s="2051" t="e">
        <f>+'VAL. PRINC'!#REF!</f>
        <v>#REF!</v>
      </c>
      <c r="G404" s="2031"/>
    </row>
    <row r="405" spans="3:7">
      <c r="C405" s="1129" t="s">
        <v>2483</v>
      </c>
      <c r="D405" s="1107" t="s">
        <v>3201</v>
      </c>
      <c r="E405" s="1109" t="s">
        <v>37</v>
      </c>
      <c r="F405" s="2051" t="e">
        <f>+'VAL. PRINC'!#REF!</f>
        <v>#REF!</v>
      </c>
      <c r="G405" s="2031"/>
    </row>
    <row r="406" spans="3:7" hidden="1">
      <c r="C406" s="1129" t="s">
        <v>2484</v>
      </c>
      <c r="D406" s="1107" t="s">
        <v>3202</v>
      </c>
      <c r="E406" s="1109" t="s">
        <v>37</v>
      </c>
      <c r="F406" s="2051" t="e">
        <f>+'VAL. PRINC'!#REF!</f>
        <v>#REF!</v>
      </c>
      <c r="G406" s="2031"/>
    </row>
    <row r="407" spans="3:7" hidden="1">
      <c r="C407" s="1129" t="s">
        <v>2485</v>
      </c>
      <c r="D407" s="1107" t="s">
        <v>3203</v>
      </c>
      <c r="E407" s="1109" t="s">
        <v>37</v>
      </c>
      <c r="F407" s="2051" t="e">
        <f>+'VAL. PRINC'!#REF!</f>
        <v>#REF!</v>
      </c>
      <c r="G407" s="2031"/>
    </row>
    <row r="408" spans="3:7" hidden="1">
      <c r="C408" s="1129" t="s">
        <v>2486</v>
      </c>
      <c r="D408" s="1107" t="s">
        <v>3204</v>
      </c>
      <c r="E408" s="1109" t="s">
        <v>37</v>
      </c>
      <c r="F408" s="2051" t="e">
        <f>+'VAL. PRINC'!#REF!</f>
        <v>#REF!</v>
      </c>
      <c r="G408" s="2031"/>
    </row>
    <row r="409" spans="3:7" hidden="1">
      <c r="C409" s="1126" t="s">
        <v>2487</v>
      </c>
      <c r="D409" s="1127" t="s">
        <v>3205</v>
      </c>
      <c r="E409" s="1128"/>
      <c r="F409" s="2051"/>
      <c r="G409" s="2031"/>
    </row>
    <row r="410" spans="3:7" hidden="1">
      <c r="C410" s="1129" t="s">
        <v>2488</v>
      </c>
      <c r="D410" s="1107" t="s">
        <v>3206</v>
      </c>
      <c r="E410" s="1109" t="s">
        <v>40</v>
      </c>
      <c r="F410" s="2051" t="e">
        <f>+'VAL. PRINC'!#REF!</f>
        <v>#REF!</v>
      </c>
      <c r="G410" s="2031"/>
    </row>
    <row r="411" spans="3:7" hidden="1">
      <c r="C411" s="1129" t="s">
        <v>2489</v>
      </c>
      <c r="D411" s="1107" t="s">
        <v>3207</v>
      </c>
      <c r="E411" s="1109" t="s">
        <v>37</v>
      </c>
      <c r="F411" s="2051" t="e">
        <f>+'VAL. PRINC'!#REF!</f>
        <v>#REF!</v>
      </c>
      <c r="G411" s="2031"/>
    </row>
    <row r="412" spans="3:7" hidden="1">
      <c r="C412" s="1129" t="s">
        <v>2490</v>
      </c>
      <c r="D412" s="1107" t="s">
        <v>3208</v>
      </c>
      <c r="E412" s="1109" t="s">
        <v>41</v>
      </c>
      <c r="F412" s="2051" t="e">
        <f>+'VAL. PRINC'!#REF!</f>
        <v>#REF!</v>
      </c>
      <c r="G412" s="2031"/>
    </row>
    <row r="413" spans="3:7" hidden="1">
      <c r="C413" s="1126" t="s">
        <v>2491</v>
      </c>
      <c r="D413" s="1127" t="s">
        <v>3209</v>
      </c>
      <c r="E413" s="1128"/>
      <c r="F413" s="2051"/>
      <c r="G413" s="2031"/>
    </row>
    <row r="414" spans="3:7" hidden="1">
      <c r="C414" s="1129" t="s">
        <v>2492</v>
      </c>
      <c r="D414" s="1107" t="s">
        <v>3210</v>
      </c>
      <c r="E414" s="1109" t="s">
        <v>36</v>
      </c>
      <c r="F414" s="2051" t="e">
        <f>+'VAL. PRINC'!#REF!</f>
        <v>#REF!</v>
      </c>
      <c r="G414" s="2031"/>
    </row>
    <row r="415" spans="3:7" hidden="1">
      <c r="C415" s="1129" t="s">
        <v>2493</v>
      </c>
      <c r="D415" s="1107" t="s">
        <v>3211</v>
      </c>
      <c r="E415" s="1109" t="s">
        <v>36</v>
      </c>
      <c r="F415" s="2051" t="e">
        <f>+'VAL. PRINC'!#REF!</f>
        <v>#REF!</v>
      </c>
      <c r="G415" s="2031"/>
    </row>
    <row r="416" spans="3:7" hidden="1">
      <c r="C416" s="1129" t="s">
        <v>2494</v>
      </c>
      <c r="D416" s="1107" t="s">
        <v>3212</v>
      </c>
      <c r="E416" s="1109" t="s">
        <v>36</v>
      </c>
      <c r="F416" s="2051" t="e">
        <f>+'VAL. PRINC'!#REF!</f>
        <v>#REF!</v>
      </c>
      <c r="G416" s="2031"/>
    </row>
    <row r="417" spans="3:7" hidden="1">
      <c r="C417" s="1129" t="s">
        <v>2495</v>
      </c>
      <c r="D417" s="1107" t="s">
        <v>3213</v>
      </c>
      <c r="E417" s="1109" t="s">
        <v>36</v>
      </c>
      <c r="F417" s="2051" t="e">
        <f>+'VAL. PRINC'!#REF!</f>
        <v>#REF!</v>
      </c>
      <c r="G417" s="2031"/>
    </row>
    <row r="418" spans="3:7" hidden="1">
      <c r="C418" s="1129" t="s">
        <v>2496</v>
      </c>
      <c r="D418" s="1107" t="s">
        <v>3214</v>
      </c>
      <c r="E418" s="1109" t="s">
        <v>36</v>
      </c>
      <c r="F418" s="2051" t="e">
        <f>+'VAL. PRINC'!#REF!</f>
        <v>#REF!</v>
      </c>
      <c r="G418" s="2031"/>
    </row>
    <row r="419" spans="3:7" hidden="1">
      <c r="C419" s="1129" t="s">
        <v>2497</v>
      </c>
      <c r="D419" s="1107" t="s">
        <v>3215</v>
      </c>
      <c r="E419" s="1109" t="s">
        <v>36</v>
      </c>
      <c r="F419" s="2051" t="e">
        <f>+'VAL. PRINC'!#REF!</f>
        <v>#REF!</v>
      </c>
      <c r="G419" s="2031"/>
    </row>
    <row r="420" spans="3:7" hidden="1">
      <c r="C420" s="1126" t="s">
        <v>2498</v>
      </c>
      <c r="D420" s="1127" t="s">
        <v>3216</v>
      </c>
      <c r="E420" s="1128"/>
      <c r="F420" s="2051"/>
      <c r="G420" s="2031"/>
    </row>
    <row r="421" spans="3:7" hidden="1">
      <c r="C421" s="1129" t="s">
        <v>2499</v>
      </c>
      <c r="D421" s="1107" t="s">
        <v>3217</v>
      </c>
      <c r="E421" s="1109" t="s">
        <v>38</v>
      </c>
      <c r="F421" s="2051" t="e">
        <f>+'VAL. PRINC'!#REF!</f>
        <v>#REF!</v>
      </c>
      <c r="G421" s="2031"/>
    </row>
    <row r="422" spans="3:7" hidden="1">
      <c r="C422" s="1129" t="s">
        <v>2500</v>
      </c>
      <c r="D422" s="1107" t="s">
        <v>3218</v>
      </c>
      <c r="E422" s="1109" t="s">
        <v>38</v>
      </c>
      <c r="F422" s="2051" t="e">
        <f>+'VAL. PRINC'!#REF!</f>
        <v>#REF!</v>
      </c>
      <c r="G422" s="2031"/>
    </row>
    <row r="423" spans="3:7" hidden="1">
      <c r="C423" s="1129" t="s">
        <v>2501</v>
      </c>
      <c r="D423" s="1107" t="s">
        <v>3219</v>
      </c>
      <c r="E423" s="1109" t="s">
        <v>38</v>
      </c>
      <c r="F423" s="2051" t="e">
        <f>+'VAL. PRINC'!#REF!</f>
        <v>#REF!</v>
      </c>
      <c r="G423" s="2031"/>
    </row>
    <row r="424" spans="3:7" hidden="1">
      <c r="C424" s="1129" t="s">
        <v>2502</v>
      </c>
      <c r="D424" s="1107" t="s">
        <v>3220</v>
      </c>
      <c r="E424" s="1109" t="s">
        <v>38</v>
      </c>
      <c r="F424" s="2051" t="e">
        <f>+'VAL. PRINC'!#REF!</f>
        <v>#REF!</v>
      </c>
      <c r="G424" s="2031"/>
    </row>
    <row r="425" spans="3:7" hidden="1">
      <c r="C425" s="1129" t="s">
        <v>2503</v>
      </c>
      <c r="D425" s="1107" t="s">
        <v>3221</v>
      </c>
      <c r="E425" s="1109" t="s">
        <v>38</v>
      </c>
      <c r="F425" s="2051" t="e">
        <f>+'VAL. PRINC'!#REF!</f>
        <v>#REF!</v>
      </c>
      <c r="G425" s="2031"/>
    </row>
    <row r="426" spans="3:7" hidden="1">
      <c r="C426" s="1126" t="s">
        <v>2504</v>
      </c>
      <c r="D426" s="1127" t="s">
        <v>3069</v>
      </c>
      <c r="E426" s="1128"/>
      <c r="F426" s="2051"/>
      <c r="G426" s="2031"/>
    </row>
    <row r="427" spans="3:7" hidden="1">
      <c r="C427" s="1129" t="s">
        <v>2505</v>
      </c>
      <c r="D427" s="1107" t="s">
        <v>3222</v>
      </c>
      <c r="E427" s="1109" t="s">
        <v>40</v>
      </c>
      <c r="F427" s="2051" t="e">
        <f>+'VAL. PRINC'!#REF!</f>
        <v>#REF!</v>
      </c>
      <c r="G427" s="2031"/>
    </row>
    <row r="428" spans="3:7" hidden="1">
      <c r="C428" s="1129" t="s">
        <v>2506</v>
      </c>
      <c r="D428" s="1107" t="s">
        <v>3223</v>
      </c>
      <c r="E428" s="1109" t="s">
        <v>38</v>
      </c>
      <c r="F428" s="2051" t="e">
        <f>+'VAL. PRINC'!#REF!</f>
        <v>#REF!</v>
      </c>
      <c r="G428" s="2031"/>
    </row>
    <row r="429" spans="3:7" hidden="1">
      <c r="C429" s="1129" t="s">
        <v>2507</v>
      </c>
      <c r="D429" s="1107" t="s">
        <v>3224</v>
      </c>
      <c r="E429" s="1109" t="s">
        <v>36</v>
      </c>
      <c r="F429" s="2051" t="e">
        <f>+'VAL. PRINC'!#REF!</f>
        <v>#REF!</v>
      </c>
      <c r="G429" s="2031"/>
    </row>
    <row r="430" spans="3:7" hidden="1">
      <c r="C430" s="1129" t="s">
        <v>2508</v>
      </c>
      <c r="D430" s="1107" t="s">
        <v>3225</v>
      </c>
      <c r="E430" s="1109" t="s">
        <v>37</v>
      </c>
      <c r="F430" s="2051" t="e">
        <f>+'VAL. PRINC'!#REF!</f>
        <v>#REF!</v>
      </c>
      <c r="G430" s="2031"/>
    </row>
    <row r="431" spans="3:7" hidden="1">
      <c r="C431" s="1129" t="s">
        <v>2509</v>
      </c>
      <c r="D431" s="1107" t="s">
        <v>3226</v>
      </c>
      <c r="E431" s="1109" t="s">
        <v>40</v>
      </c>
      <c r="F431" s="2051" t="e">
        <f>+'VAL. PRINC'!#REF!</f>
        <v>#REF!</v>
      </c>
      <c r="G431" s="2031"/>
    </row>
    <row r="432" spans="3:7" hidden="1">
      <c r="C432" s="1129" t="s">
        <v>2510</v>
      </c>
      <c r="D432" s="1107" t="s">
        <v>3227</v>
      </c>
      <c r="E432" s="1109" t="s">
        <v>40</v>
      </c>
      <c r="F432" s="2051" t="e">
        <f>+'VAL. PRINC'!#REF!</f>
        <v>#REF!</v>
      </c>
      <c r="G432" s="2031"/>
    </row>
    <row r="433" spans="3:7" hidden="1">
      <c r="C433" s="1129" t="s">
        <v>2511</v>
      </c>
      <c r="D433" s="1107" t="s">
        <v>3228</v>
      </c>
      <c r="E433" s="1109" t="s">
        <v>40</v>
      </c>
      <c r="F433" s="2051" t="e">
        <f>+'VAL. PRINC'!#REF!</f>
        <v>#REF!</v>
      </c>
      <c r="G433" s="2031"/>
    </row>
    <row r="434" spans="3:7" hidden="1">
      <c r="C434" s="1129" t="s">
        <v>2512</v>
      </c>
      <c r="D434" s="1107" t="s">
        <v>3229</v>
      </c>
      <c r="E434" s="1109" t="s">
        <v>36</v>
      </c>
      <c r="F434" s="2051" t="e">
        <f>+'VAL. PRINC'!#REF!</f>
        <v>#REF!</v>
      </c>
      <c r="G434" s="2031"/>
    </row>
    <row r="435" spans="3:7" hidden="1">
      <c r="C435" s="1129" t="s">
        <v>2513</v>
      </c>
      <c r="D435" s="1107" t="s">
        <v>3230</v>
      </c>
      <c r="E435" s="1109" t="s">
        <v>36</v>
      </c>
      <c r="F435" s="2051" t="e">
        <f>+'VAL. PRINC'!#REF!</f>
        <v>#REF!</v>
      </c>
      <c r="G435" s="2031"/>
    </row>
    <row r="436" spans="3:7" hidden="1">
      <c r="C436" s="1129" t="s">
        <v>2514</v>
      </c>
      <c r="D436" s="1107" t="s">
        <v>3231</v>
      </c>
      <c r="E436" s="1109" t="s">
        <v>36</v>
      </c>
      <c r="F436" s="2051" t="e">
        <f>+'VAL. PRINC'!#REF!</f>
        <v>#REF!</v>
      </c>
      <c r="G436" s="2031"/>
    </row>
    <row r="437" spans="3:7">
      <c r="C437" s="1384" t="s">
        <v>488</v>
      </c>
      <c r="D437" s="1131" t="s">
        <v>1327</v>
      </c>
      <c r="E437" s="1132"/>
      <c r="F437" s="2051"/>
      <c r="G437" s="2031"/>
    </row>
    <row r="438" spans="3:7">
      <c r="C438" s="1126" t="s">
        <v>489</v>
      </c>
      <c r="D438" s="1127" t="s">
        <v>3232</v>
      </c>
      <c r="E438" s="1128"/>
      <c r="F438" s="2051"/>
      <c r="G438" s="2031"/>
    </row>
    <row r="439" spans="3:7" hidden="1">
      <c r="C439" s="1133" t="s">
        <v>490</v>
      </c>
      <c r="D439" s="1125" t="s">
        <v>3233</v>
      </c>
      <c r="E439" s="1134"/>
      <c r="F439" s="2051"/>
      <c r="G439" s="2031"/>
    </row>
    <row r="440" spans="3:7" hidden="1">
      <c r="C440" s="1129" t="s">
        <v>2515</v>
      </c>
      <c r="D440" s="1107" t="s">
        <v>3234</v>
      </c>
      <c r="E440" s="1109" t="s">
        <v>36</v>
      </c>
      <c r="F440" s="2051" t="e">
        <f>+'VAL. PRINC'!#REF!</f>
        <v>#REF!</v>
      </c>
      <c r="G440" s="2031"/>
    </row>
    <row r="441" spans="3:7" hidden="1">
      <c r="C441" s="1129" t="s">
        <v>2516</v>
      </c>
      <c r="D441" s="1107" t="s">
        <v>3235</v>
      </c>
      <c r="E441" s="1109" t="s">
        <v>36</v>
      </c>
      <c r="F441" s="2051" t="e">
        <f>+'VAL. PRINC'!#REF!</f>
        <v>#REF!</v>
      </c>
      <c r="G441" s="2031"/>
    </row>
    <row r="442" spans="3:7" hidden="1">
      <c r="C442" s="1129" t="s">
        <v>2517</v>
      </c>
      <c r="D442" s="1107" t="s">
        <v>3236</v>
      </c>
      <c r="E442" s="1109" t="s">
        <v>36</v>
      </c>
      <c r="F442" s="2051" t="e">
        <f>+'VAL. PRINC'!#REF!</f>
        <v>#REF!</v>
      </c>
      <c r="G442" s="2031"/>
    </row>
    <row r="443" spans="3:7" hidden="1">
      <c r="C443" s="1129" t="s">
        <v>2518</v>
      </c>
      <c r="D443" s="1107" t="s">
        <v>3237</v>
      </c>
      <c r="E443" s="1109" t="s">
        <v>36</v>
      </c>
      <c r="F443" s="2051" t="e">
        <f>+'VAL. PRINC'!#REF!</f>
        <v>#REF!</v>
      </c>
      <c r="G443" s="2031"/>
    </row>
    <row r="444" spans="3:7" hidden="1">
      <c r="C444" s="1129" t="s">
        <v>2519</v>
      </c>
      <c r="D444" s="1107" t="s">
        <v>3238</v>
      </c>
      <c r="E444" s="1109" t="s">
        <v>36</v>
      </c>
      <c r="F444" s="2051" t="e">
        <f>+'VAL. PRINC'!#REF!</f>
        <v>#REF!</v>
      </c>
      <c r="G444" s="2031"/>
    </row>
    <row r="445" spans="3:7" hidden="1">
      <c r="C445" s="1129" t="s">
        <v>2520</v>
      </c>
      <c r="D445" s="1107" t="s">
        <v>3239</v>
      </c>
      <c r="E445" s="1109" t="s">
        <v>36</v>
      </c>
      <c r="F445" s="2051" t="e">
        <f>+'VAL. PRINC'!#REF!</f>
        <v>#REF!</v>
      </c>
      <c r="G445" s="2031"/>
    </row>
    <row r="446" spans="3:7" hidden="1">
      <c r="C446" s="1129" t="s">
        <v>2521</v>
      </c>
      <c r="D446" s="1107" t="s">
        <v>3240</v>
      </c>
      <c r="E446" s="1109" t="s">
        <v>36</v>
      </c>
      <c r="F446" s="2051" t="e">
        <f>+'VAL. PRINC'!#REF!</f>
        <v>#REF!</v>
      </c>
      <c r="G446" s="2031"/>
    </row>
    <row r="447" spans="3:7" hidden="1">
      <c r="C447" s="1133" t="s">
        <v>491</v>
      </c>
      <c r="D447" s="1125" t="s">
        <v>3241</v>
      </c>
      <c r="E447" s="1134"/>
      <c r="F447" s="2051"/>
      <c r="G447" s="2031"/>
    </row>
    <row r="448" spans="3:7" hidden="1">
      <c r="C448" s="1129" t="s">
        <v>2522</v>
      </c>
      <c r="D448" s="1107" t="s">
        <v>3242</v>
      </c>
      <c r="E448" s="1109" t="s">
        <v>36</v>
      </c>
      <c r="F448" s="2051" t="e">
        <f>+'VAL. PRINC'!#REF!</f>
        <v>#REF!</v>
      </c>
      <c r="G448" s="2031"/>
    </row>
    <row r="449" spans="3:7" hidden="1">
      <c r="C449" s="1129" t="s">
        <v>2523</v>
      </c>
      <c r="D449" s="1107" t="s">
        <v>3243</v>
      </c>
      <c r="E449" s="1109" t="s">
        <v>36</v>
      </c>
      <c r="F449" s="2051" t="e">
        <f>+'VAL. PRINC'!#REF!</f>
        <v>#REF!</v>
      </c>
      <c r="G449" s="2031"/>
    </row>
    <row r="450" spans="3:7" hidden="1">
      <c r="C450" s="1129" t="s">
        <v>2524</v>
      </c>
      <c r="D450" s="1107" t="s">
        <v>3244</v>
      </c>
      <c r="E450" s="1109" t="s">
        <v>36</v>
      </c>
      <c r="F450" s="2051" t="e">
        <f>+'VAL. PRINC'!#REF!</f>
        <v>#REF!</v>
      </c>
      <c r="G450" s="2031"/>
    </row>
    <row r="451" spans="3:7" hidden="1">
      <c r="C451" s="1129" t="s">
        <v>2525</v>
      </c>
      <c r="D451" s="1107" t="s">
        <v>3245</v>
      </c>
      <c r="E451" s="1109" t="s">
        <v>36</v>
      </c>
      <c r="F451" s="2051" t="e">
        <f>+'VAL. PRINC'!#REF!</f>
        <v>#REF!</v>
      </c>
      <c r="G451" s="2031"/>
    </row>
    <row r="452" spans="3:7" hidden="1">
      <c r="C452" s="1129" t="s">
        <v>2526</v>
      </c>
      <c r="D452" s="1107" t="s">
        <v>3246</v>
      </c>
      <c r="E452" s="1109" t="s">
        <v>36</v>
      </c>
      <c r="F452" s="2051" t="e">
        <f>+'VAL. PRINC'!#REF!</f>
        <v>#REF!</v>
      </c>
      <c r="G452" s="2031"/>
    </row>
    <row r="453" spans="3:7" hidden="1">
      <c r="C453" s="1129" t="s">
        <v>2527</v>
      </c>
      <c r="D453" s="1107" t="s">
        <v>3247</v>
      </c>
      <c r="E453" s="1109" t="s">
        <v>36</v>
      </c>
      <c r="F453" s="2051" t="e">
        <f>+'VAL. PRINC'!#REF!</f>
        <v>#REF!</v>
      </c>
      <c r="G453" s="2031"/>
    </row>
    <row r="454" spans="3:7" hidden="1">
      <c r="C454" s="1129" t="s">
        <v>2528</v>
      </c>
      <c r="D454" s="1107" t="s">
        <v>3248</v>
      </c>
      <c r="E454" s="1109" t="s">
        <v>36</v>
      </c>
      <c r="F454" s="2051" t="e">
        <f>+'VAL. PRINC'!#REF!</f>
        <v>#REF!</v>
      </c>
      <c r="G454" s="2031"/>
    </row>
    <row r="455" spans="3:7" hidden="1">
      <c r="C455" s="1129" t="s">
        <v>2529</v>
      </c>
      <c r="D455" s="1107" t="s">
        <v>3249</v>
      </c>
      <c r="E455" s="1109" t="s">
        <v>36</v>
      </c>
      <c r="F455" s="2051" t="e">
        <f>+'VAL. PRINC'!#REF!</f>
        <v>#REF!</v>
      </c>
      <c r="G455" s="2031"/>
    </row>
    <row r="456" spans="3:7" hidden="1">
      <c r="C456" s="1129" t="s">
        <v>2530</v>
      </c>
      <c r="D456" s="1107" t="s">
        <v>3250</v>
      </c>
      <c r="E456" s="1109" t="s">
        <v>36</v>
      </c>
      <c r="F456" s="2051" t="e">
        <f>+'VAL. PRINC'!#REF!</f>
        <v>#REF!</v>
      </c>
      <c r="G456" s="2031"/>
    </row>
    <row r="457" spans="3:7" hidden="1">
      <c r="C457" s="1129" t="s">
        <v>2531</v>
      </c>
      <c r="D457" s="1107" t="s">
        <v>3251</v>
      </c>
      <c r="E457" s="1109" t="s">
        <v>36</v>
      </c>
      <c r="F457" s="2051" t="e">
        <f>+'VAL. PRINC'!#REF!</f>
        <v>#REF!</v>
      </c>
      <c r="G457" s="2031"/>
    </row>
    <row r="458" spans="3:7" hidden="1">
      <c r="C458" s="1129" t="s">
        <v>2532</v>
      </c>
      <c r="D458" s="1107" t="s">
        <v>3252</v>
      </c>
      <c r="E458" s="1109" t="s">
        <v>36</v>
      </c>
      <c r="F458" s="2051" t="e">
        <f>+'VAL. PRINC'!#REF!</f>
        <v>#REF!</v>
      </c>
      <c r="G458" s="2031"/>
    </row>
    <row r="459" spans="3:7" hidden="1">
      <c r="C459" s="1129" t="s">
        <v>2533</v>
      </c>
      <c r="D459" s="1107" t="s">
        <v>3253</v>
      </c>
      <c r="E459" s="1109" t="s">
        <v>36</v>
      </c>
      <c r="F459" s="2051" t="e">
        <f>+'VAL. PRINC'!#REF!</f>
        <v>#REF!</v>
      </c>
      <c r="G459" s="2031"/>
    </row>
    <row r="460" spans="3:7" hidden="1">
      <c r="C460" s="1129" t="s">
        <v>2534</v>
      </c>
      <c r="D460" s="1107" t="s">
        <v>3254</v>
      </c>
      <c r="E460" s="1109" t="s">
        <v>36</v>
      </c>
      <c r="F460" s="2051" t="e">
        <f>+'VAL. PRINC'!#REF!</f>
        <v>#REF!</v>
      </c>
      <c r="G460" s="2031"/>
    </row>
    <row r="461" spans="3:7" hidden="1">
      <c r="C461" s="1129" t="s">
        <v>2535</v>
      </c>
      <c r="D461" s="1107" t="s">
        <v>3255</v>
      </c>
      <c r="E461" s="1109" t="s">
        <v>36</v>
      </c>
      <c r="F461" s="2051" t="e">
        <f>+'VAL. PRINC'!#REF!</f>
        <v>#REF!</v>
      </c>
      <c r="G461" s="2031"/>
    </row>
    <row r="462" spans="3:7" hidden="1">
      <c r="C462" s="1129" t="s">
        <v>2536</v>
      </c>
      <c r="D462" s="1107" t="s">
        <v>3256</v>
      </c>
      <c r="E462" s="1109" t="s">
        <v>36</v>
      </c>
      <c r="F462" s="2051" t="e">
        <f>+'VAL. PRINC'!#REF!</f>
        <v>#REF!</v>
      </c>
      <c r="G462" s="2031"/>
    </row>
    <row r="463" spans="3:7" hidden="1">
      <c r="C463" s="1129" t="s">
        <v>2537</v>
      </c>
      <c r="D463" s="1107" t="s">
        <v>3257</v>
      </c>
      <c r="E463" s="1109" t="s">
        <v>36</v>
      </c>
      <c r="F463" s="2051" t="e">
        <f>+'VAL. PRINC'!#REF!</f>
        <v>#REF!</v>
      </c>
      <c r="G463" s="2031"/>
    </row>
    <row r="464" spans="3:7" hidden="1">
      <c r="C464" s="1129" t="s">
        <v>2538</v>
      </c>
      <c r="D464" s="1107" t="s">
        <v>3258</v>
      </c>
      <c r="E464" s="1109" t="s">
        <v>36</v>
      </c>
      <c r="F464" s="2051" t="e">
        <f>+'VAL. PRINC'!#REF!</f>
        <v>#REF!</v>
      </c>
      <c r="G464" s="2031"/>
    </row>
    <row r="465" spans="3:7" hidden="1">
      <c r="C465" s="1129" t="s">
        <v>2539</v>
      </c>
      <c r="D465" s="1107" t="s">
        <v>3259</v>
      </c>
      <c r="E465" s="1109" t="s">
        <v>36</v>
      </c>
      <c r="F465" s="2051" t="e">
        <f>+'VAL. PRINC'!#REF!</f>
        <v>#REF!</v>
      </c>
      <c r="G465" s="2031"/>
    </row>
    <row r="466" spans="3:7" hidden="1">
      <c r="C466" s="1129" t="s">
        <v>2540</v>
      </c>
      <c r="D466" s="1107" t="s">
        <v>3260</v>
      </c>
      <c r="E466" s="1109" t="s">
        <v>36</v>
      </c>
      <c r="F466" s="2051" t="e">
        <f>+'VAL. PRINC'!#REF!</f>
        <v>#REF!</v>
      </c>
      <c r="G466" s="2031"/>
    </row>
    <row r="467" spans="3:7" hidden="1">
      <c r="C467" s="1129" t="s">
        <v>2541</v>
      </c>
      <c r="D467" s="1107" t="s">
        <v>3261</v>
      </c>
      <c r="E467" s="1109" t="s">
        <v>36</v>
      </c>
      <c r="F467" s="2051" t="e">
        <f>+'VAL. PRINC'!#REF!</f>
        <v>#REF!</v>
      </c>
      <c r="G467" s="2031"/>
    </row>
    <row r="468" spans="3:7" hidden="1">
      <c r="C468" s="1129" t="s">
        <v>2542</v>
      </c>
      <c r="D468" s="1107" t="s">
        <v>3262</v>
      </c>
      <c r="E468" s="1109" t="s">
        <v>36</v>
      </c>
      <c r="F468" s="2051" t="e">
        <f>+'VAL. PRINC'!#REF!</f>
        <v>#REF!</v>
      </c>
      <c r="G468" s="2031"/>
    </row>
    <row r="469" spans="3:7" hidden="1">
      <c r="C469" s="1133" t="s">
        <v>492</v>
      </c>
      <c r="D469" s="1125" t="s">
        <v>3263</v>
      </c>
      <c r="E469" s="1134"/>
      <c r="F469" s="2051" t="e">
        <f>+'VAL. PRINC'!#REF!</f>
        <v>#REF!</v>
      </c>
      <c r="G469" s="2031"/>
    </row>
    <row r="470" spans="3:7" hidden="1">
      <c r="C470" s="1129" t="s">
        <v>2543</v>
      </c>
      <c r="D470" s="1107" t="s">
        <v>3264</v>
      </c>
      <c r="E470" s="1109" t="s">
        <v>36</v>
      </c>
      <c r="F470" s="2051" t="e">
        <f>+'VAL. PRINC'!#REF!</f>
        <v>#REF!</v>
      </c>
      <c r="G470" s="2031"/>
    </row>
    <row r="471" spans="3:7" hidden="1">
      <c r="C471" s="1133" t="s">
        <v>1017</v>
      </c>
      <c r="D471" s="1125" t="s">
        <v>3265</v>
      </c>
      <c r="E471" s="1134"/>
      <c r="F471" s="2051" t="e">
        <f>+'VAL. PRINC'!#REF!</f>
        <v>#REF!</v>
      </c>
      <c r="G471" s="2031"/>
    </row>
    <row r="472" spans="3:7" hidden="1">
      <c r="C472" s="1129" t="s">
        <v>2544</v>
      </c>
      <c r="D472" s="1107" t="s">
        <v>3266</v>
      </c>
      <c r="E472" s="1109" t="s">
        <v>36</v>
      </c>
      <c r="F472" s="2051" t="e">
        <f>+'VAL. PRINC'!#REF!</f>
        <v>#REF!</v>
      </c>
      <c r="G472" s="2031"/>
    </row>
    <row r="473" spans="3:7">
      <c r="C473" s="1126" t="s">
        <v>493</v>
      </c>
      <c r="D473" s="1127" t="s">
        <v>3267</v>
      </c>
      <c r="E473" s="1128"/>
      <c r="F473" s="2051"/>
      <c r="G473" s="2031"/>
    </row>
    <row r="474" spans="3:7" hidden="1">
      <c r="C474" s="1133" t="s">
        <v>494</v>
      </c>
      <c r="D474" s="1125" t="s">
        <v>3268</v>
      </c>
      <c r="E474" s="1134"/>
      <c r="F474" s="2051" t="e">
        <f>+'VAL. PRINC'!#REF!</f>
        <v>#REF!</v>
      </c>
      <c r="G474" s="2031"/>
    </row>
    <row r="475" spans="3:7" hidden="1">
      <c r="C475" s="1129" t="s">
        <v>2545</v>
      </c>
      <c r="D475" s="1107" t="s">
        <v>3269</v>
      </c>
      <c r="E475" s="1109" t="s">
        <v>1452</v>
      </c>
      <c r="F475" s="2051" t="e">
        <f>+'VAL. PRINC'!#REF!</f>
        <v>#REF!</v>
      </c>
      <c r="G475" s="2031"/>
    </row>
    <row r="476" spans="3:7" hidden="1">
      <c r="C476" s="1129" t="s">
        <v>2546</v>
      </c>
      <c r="D476" s="1107" t="s">
        <v>3270</v>
      </c>
      <c r="E476" s="1109" t="s">
        <v>1452</v>
      </c>
      <c r="F476" s="2051" t="e">
        <f>+'VAL. PRINC'!#REF!</f>
        <v>#REF!</v>
      </c>
      <c r="G476" s="2031"/>
    </row>
    <row r="477" spans="3:7">
      <c r="C477" s="1133" t="s">
        <v>495</v>
      </c>
      <c r="D477" s="1125" t="s">
        <v>3271</v>
      </c>
      <c r="E477" s="1134"/>
      <c r="F477" s="2051"/>
      <c r="G477" s="2031"/>
    </row>
    <row r="478" spans="3:7" hidden="1">
      <c r="C478" s="1129" t="s">
        <v>2547</v>
      </c>
      <c r="D478" s="1107" t="s">
        <v>3272</v>
      </c>
      <c r="E478" s="1109" t="s">
        <v>38</v>
      </c>
      <c r="F478" s="2051" t="e">
        <f>+'VAL. PRINC'!#REF!</f>
        <v>#REF!</v>
      </c>
      <c r="G478" s="2031"/>
    </row>
    <row r="479" spans="3:7" hidden="1">
      <c r="C479" s="1129" t="s">
        <v>2548</v>
      </c>
      <c r="D479" s="1107" t="s">
        <v>3273</v>
      </c>
      <c r="E479" s="1109" t="s">
        <v>38</v>
      </c>
      <c r="F479" s="2051" t="e">
        <f>+'VAL. PRINC'!#REF!</f>
        <v>#REF!</v>
      </c>
      <c r="G479" s="2031"/>
    </row>
    <row r="480" spans="3:7">
      <c r="C480" s="1129" t="s">
        <v>2549</v>
      </c>
      <c r="D480" s="1107" t="s">
        <v>3274</v>
      </c>
      <c r="E480" s="1109" t="s">
        <v>38</v>
      </c>
      <c r="F480" s="2051" t="e">
        <f>+'VAL. PRINC'!#REF!</f>
        <v>#REF!</v>
      </c>
      <c r="G480" s="2031"/>
    </row>
    <row r="481" spans="3:7">
      <c r="C481" s="1129" t="s">
        <v>2550</v>
      </c>
      <c r="D481" s="1107" t="s">
        <v>3275</v>
      </c>
      <c r="E481" s="1109" t="s">
        <v>38</v>
      </c>
      <c r="F481" s="2051" t="e">
        <f>+'VAL. PRINC'!#REF!</f>
        <v>#REF!</v>
      </c>
      <c r="G481" s="2031"/>
    </row>
    <row r="482" spans="3:7" hidden="1">
      <c r="C482" s="1129" t="s">
        <v>2551</v>
      </c>
      <c r="D482" s="1107" t="s">
        <v>3276</v>
      </c>
      <c r="E482" s="1109" t="s">
        <v>38</v>
      </c>
      <c r="F482" s="2051" t="e">
        <f>+'VAL. PRINC'!#REF!</f>
        <v>#REF!</v>
      </c>
      <c r="G482" s="2031"/>
    </row>
    <row r="483" spans="3:7" hidden="1">
      <c r="C483" s="1129" t="s">
        <v>2552</v>
      </c>
      <c r="D483" s="1107" t="s">
        <v>3277</v>
      </c>
      <c r="E483" s="1109" t="s">
        <v>38</v>
      </c>
      <c r="F483" s="2051" t="e">
        <f>+'VAL. PRINC'!#REF!</f>
        <v>#REF!</v>
      </c>
      <c r="G483" s="2031"/>
    </row>
    <row r="484" spans="3:7" hidden="1">
      <c r="C484" s="1133" t="s">
        <v>496</v>
      </c>
      <c r="D484" s="1125" t="s">
        <v>3278</v>
      </c>
      <c r="E484" s="1134"/>
      <c r="F484" s="2051" t="e">
        <f>+'VAL. PRINC'!#REF!</f>
        <v>#REF!</v>
      </c>
      <c r="G484" s="2031"/>
    </row>
    <row r="485" spans="3:7" hidden="1">
      <c r="C485" s="1129" t="s">
        <v>2553</v>
      </c>
      <c r="D485" s="1107" t="s">
        <v>3275</v>
      </c>
      <c r="E485" s="1109" t="s">
        <v>38</v>
      </c>
      <c r="F485" s="2051" t="e">
        <f>+'VAL. PRINC'!#REF!</f>
        <v>#REF!</v>
      </c>
      <c r="G485" s="2031"/>
    </row>
    <row r="486" spans="3:7">
      <c r="C486" s="1129" t="s">
        <v>2554</v>
      </c>
      <c r="D486" s="1107" t="s">
        <v>3276</v>
      </c>
      <c r="E486" s="1109" t="s">
        <v>38</v>
      </c>
      <c r="F486" s="2051" t="e">
        <f>+'VAL. PRINC'!#REF!</f>
        <v>#REF!</v>
      </c>
      <c r="G486" s="2031"/>
    </row>
    <row r="487" spans="3:7">
      <c r="C487" s="1133" t="s">
        <v>1025</v>
      </c>
      <c r="D487" s="1125" t="s">
        <v>3279</v>
      </c>
      <c r="E487" s="1134"/>
      <c r="F487" s="2051"/>
      <c r="G487" s="2031"/>
    </row>
    <row r="488" spans="3:7" hidden="1">
      <c r="C488" s="1129" t="s">
        <v>2555</v>
      </c>
      <c r="D488" s="1107" t="s">
        <v>3280</v>
      </c>
      <c r="E488" s="1109" t="s">
        <v>36</v>
      </c>
      <c r="F488" s="2051" t="e">
        <f>+'VAL. PRINC'!#REF!</f>
        <v>#REF!</v>
      </c>
      <c r="G488" s="2031"/>
    </row>
    <row r="489" spans="3:7" hidden="1">
      <c r="C489" s="1129" t="s">
        <v>2556</v>
      </c>
      <c r="D489" s="1107" t="s">
        <v>3281</v>
      </c>
      <c r="E489" s="1109" t="s">
        <v>36</v>
      </c>
      <c r="F489" s="2051" t="e">
        <f>+'VAL. PRINC'!#REF!</f>
        <v>#REF!</v>
      </c>
      <c r="G489" s="2031"/>
    </row>
    <row r="490" spans="3:7" hidden="1">
      <c r="C490" s="1129" t="s">
        <v>2557</v>
      </c>
      <c r="D490" s="1107" t="s">
        <v>3282</v>
      </c>
      <c r="E490" s="1109" t="s">
        <v>36</v>
      </c>
      <c r="F490" s="2051" t="e">
        <f>+'VAL. PRINC'!#REF!</f>
        <v>#REF!</v>
      </c>
      <c r="G490" s="2031"/>
    </row>
    <row r="491" spans="3:7">
      <c r="C491" s="1129" t="s">
        <v>2558</v>
      </c>
      <c r="D491" s="1107" t="s">
        <v>3283</v>
      </c>
      <c r="E491" s="1109" t="s">
        <v>36</v>
      </c>
      <c r="F491" s="2051" t="e">
        <f>+'VAL. PRINC'!#REF!</f>
        <v>#REF!</v>
      </c>
      <c r="G491" s="2031"/>
    </row>
    <row r="492" spans="3:7" hidden="1">
      <c r="C492" s="1129" t="s">
        <v>2559</v>
      </c>
      <c r="D492" s="1107" t="s">
        <v>3284</v>
      </c>
      <c r="E492" s="1109" t="s">
        <v>36</v>
      </c>
      <c r="F492" s="2051" t="e">
        <f>+'VAL. PRINC'!#REF!</f>
        <v>#REF!</v>
      </c>
      <c r="G492" s="2031"/>
    </row>
    <row r="493" spans="3:7" hidden="1">
      <c r="C493" s="1129" t="s">
        <v>2560</v>
      </c>
      <c r="D493" s="1107" t="s">
        <v>3285</v>
      </c>
      <c r="E493" s="1109" t="s">
        <v>36</v>
      </c>
      <c r="F493" s="2051" t="e">
        <f>+'VAL. PRINC'!#REF!</f>
        <v>#REF!</v>
      </c>
      <c r="G493" s="2031"/>
    </row>
    <row r="494" spans="3:7" hidden="1">
      <c r="C494" s="1129" t="s">
        <v>2561</v>
      </c>
      <c r="D494" s="1107" t="s">
        <v>3286</v>
      </c>
      <c r="E494" s="1109" t="s">
        <v>36</v>
      </c>
      <c r="F494" s="2051" t="e">
        <f>+'VAL. PRINC'!#REF!</f>
        <v>#REF!</v>
      </c>
      <c r="G494" s="2031"/>
    </row>
    <row r="495" spans="3:7" hidden="1">
      <c r="C495" s="1129" t="s">
        <v>2562</v>
      </c>
      <c r="D495" s="1107" t="s">
        <v>3287</v>
      </c>
      <c r="E495" s="1109" t="s">
        <v>36</v>
      </c>
      <c r="F495" s="2051" t="e">
        <f>+'VAL. PRINC'!#REF!</f>
        <v>#REF!</v>
      </c>
      <c r="G495" s="2031"/>
    </row>
    <row r="496" spans="3:7">
      <c r="C496" s="1129" t="s">
        <v>2563</v>
      </c>
      <c r="D496" s="1107" t="s">
        <v>3288</v>
      </c>
      <c r="E496" s="1109" t="s">
        <v>36</v>
      </c>
      <c r="F496" s="2051" t="e">
        <f>+'VAL. PRINC'!#REF!</f>
        <v>#REF!</v>
      </c>
      <c r="G496" s="2031"/>
    </row>
    <row r="497" spans="3:7">
      <c r="C497" s="1129" t="s">
        <v>2564</v>
      </c>
      <c r="D497" s="1107" t="s">
        <v>3289</v>
      </c>
      <c r="E497" s="1109" t="s">
        <v>36</v>
      </c>
      <c r="F497" s="2051" t="e">
        <f>+'VAL. PRINC'!#REF!</f>
        <v>#REF!</v>
      </c>
      <c r="G497" s="2031"/>
    </row>
    <row r="498" spans="3:7" hidden="1">
      <c r="C498" s="1129" t="s">
        <v>2565</v>
      </c>
      <c r="D498" s="1107" t="s">
        <v>3290</v>
      </c>
      <c r="E498" s="1109" t="s">
        <v>36</v>
      </c>
      <c r="F498" s="2051" t="e">
        <f>+'VAL. PRINC'!#REF!</f>
        <v>#REF!</v>
      </c>
      <c r="G498" s="2031"/>
    </row>
    <row r="499" spans="3:7" hidden="1">
      <c r="C499" s="1129" t="s">
        <v>2566</v>
      </c>
      <c r="D499" s="1107" t="s">
        <v>3291</v>
      </c>
      <c r="E499" s="1109" t="s">
        <v>36</v>
      </c>
      <c r="F499" s="2051" t="e">
        <f>+'VAL. PRINC'!#REF!</f>
        <v>#REF!</v>
      </c>
      <c r="G499" s="2031"/>
    </row>
    <row r="500" spans="3:7">
      <c r="C500" s="1129" t="s">
        <v>2567</v>
      </c>
      <c r="D500" s="1107" t="s">
        <v>3292</v>
      </c>
      <c r="E500" s="1109" t="s">
        <v>36</v>
      </c>
      <c r="F500" s="2051" t="e">
        <f>+'VAL. PRINC'!#REF!</f>
        <v>#REF!</v>
      </c>
      <c r="G500" s="2031"/>
    </row>
    <row r="501" spans="3:7" hidden="1">
      <c r="C501" s="1129" t="s">
        <v>2568</v>
      </c>
      <c r="D501" s="1107" t="s">
        <v>3293</v>
      </c>
      <c r="E501" s="1109" t="s">
        <v>36</v>
      </c>
      <c r="F501" s="2051" t="e">
        <f>+'VAL. PRINC'!#REF!</f>
        <v>#REF!</v>
      </c>
      <c r="G501" s="2031"/>
    </row>
    <row r="502" spans="3:7">
      <c r="C502" s="1129" t="s">
        <v>2569</v>
      </c>
      <c r="D502" s="1107" t="s">
        <v>3294</v>
      </c>
      <c r="E502" s="1109" t="s">
        <v>36</v>
      </c>
      <c r="F502" s="2051" t="e">
        <f>+'VAL. PRINC'!#REF!</f>
        <v>#REF!</v>
      </c>
      <c r="G502" s="2031"/>
    </row>
    <row r="503" spans="3:7">
      <c r="C503" s="1129" t="s">
        <v>2570</v>
      </c>
      <c r="D503" s="1107" t="s">
        <v>3295</v>
      </c>
      <c r="E503" s="1109" t="s">
        <v>36</v>
      </c>
      <c r="F503" s="2051" t="e">
        <f>+'VAL. PRINC'!#REF!</f>
        <v>#REF!</v>
      </c>
      <c r="G503" s="2031"/>
    </row>
    <row r="504" spans="3:7">
      <c r="C504" s="1129" t="s">
        <v>2571</v>
      </c>
      <c r="D504" s="1107" t="s">
        <v>3296</v>
      </c>
      <c r="E504" s="1109" t="s">
        <v>36</v>
      </c>
      <c r="F504" s="2051" t="e">
        <f>+'VAL. PRINC'!#REF!</f>
        <v>#REF!</v>
      </c>
      <c r="G504" s="2031"/>
    </row>
    <row r="505" spans="3:7">
      <c r="C505" s="1129" t="s">
        <v>2572</v>
      </c>
      <c r="D505" s="1107" t="s">
        <v>3297</v>
      </c>
      <c r="E505" s="1109" t="s">
        <v>36</v>
      </c>
      <c r="F505" s="2051" t="e">
        <f>+'VAL. PRINC'!#REF!</f>
        <v>#REF!</v>
      </c>
      <c r="G505" s="2031"/>
    </row>
    <row r="506" spans="3:7" hidden="1">
      <c r="C506" s="1129" t="s">
        <v>2573</v>
      </c>
      <c r="D506" s="1107" t="s">
        <v>3298</v>
      </c>
      <c r="E506" s="1109" t="s">
        <v>36</v>
      </c>
      <c r="F506" s="2051" t="e">
        <f>+'VAL. PRINC'!#REF!</f>
        <v>#REF!</v>
      </c>
      <c r="G506" s="2031"/>
    </row>
    <row r="507" spans="3:7" hidden="1">
      <c r="C507" s="1129" t="s">
        <v>2574</v>
      </c>
      <c r="D507" s="1107" t="s">
        <v>3299</v>
      </c>
      <c r="E507" s="1109" t="s">
        <v>36</v>
      </c>
      <c r="F507" s="2051" t="e">
        <f>+'VAL. PRINC'!#REF!</f>
        <v>#REF!</v>
      </c>
      <c r="G507" s="2031"/>
    </row>
    <row r="508" spans="3:7">
      <c r="C508" s="1129" t="s">
        <v>2575</v>
      </c>
      <c r="D508" s="1107" t="s">
        <v>3300</v>
      </c>
      <c r="E508" s="1109" t="s">
        <v>36</v>
      </c>
      <c r="F508" s="2051" t="e">
        <f>+'VAL. PRINC'!#REF!</f>
        <v>#REF!</v>
      </c>
      <c r="G508" s="2031"/>
    </row>
    <row r="509" spans="3:7" hidden="1">
      <c r="C509" s="1133" t="s">
        <v>1026</v>
      </c>
      <c r="D509" s="1125" t="s">
        <v>3301</v>
      </c>
      <c r="E509" s="1134"/>
      <c r="F509" s="2051"/>
      <c r="G509" s="2031"/>
    </row>
    <row r="510" spans="3:7" hidden="1">
      <c r="C510" s="1129" t="s">
        <v>2576</v>
      </c>
      <c r="D510" s="1107" t="s">
        <v>3302</v>
      </c>
      <c r="E510" s="1109" t="s">
        <v>1451</v>
      </c>
      <c r="F510" s="2051" t="e">
        <f>+'VAL. PRINC'!#REF!</f>
        <v>#REF!</v>
      </c>
      <c r="G510" s="2031"/>
    </row>
    <row r="511" spans="3:7" hidden="1">
      <c r="C511" s="1129" t="s">
        <v>2577</v>
      </c>
      <c r="D511" s="1107" t="s">
        <v>3303</v>
      </c>
      <c r="E511" s="1109" t="s">
        <v>1451</v>
      </c>
      <c r="F511" s="2051" t="e">
        <f>+'VAL. PRINC'!#REF!</f>
        <v>#REF!</v>
      </c>
      <c r="G511" s="2031"/>
    </row>
    <row r="512" spans="3:7" hidden="1">
      <c r="C512" s="1129" t="s">
        <v>2578</v>
      </c>
      <c r="D512" s="1107" t="s">
        <v>3304</v>
      </c>
      <c r="E512" s="1109" t="s">
        <v>1451</v>
      </c>
      <c r="F512" s="2051" t="e">
        <f>+'VAL. PRINC'!#REF!</f>
        <v>#REF!</v>
      </c>
      <c r="G512" s="2031"/>
    </row>
    <row r="513" spans="3:7" hidden="1">
      <c r="C513" s="1129" t="s">
        <v>2579</v>
      </c>
      <c r="D513" s="1107" t="s">
        <v>3305</v>
      </c>
      <c r="E513" s="1109" t="s">
        <v>1451</v>
      </c>
      <c r="F513" s="2051" t="e">
        <f>+'VAL. PRINC'!#REF!</f>
        <v>#REF!</v>
      </c>
      <c r="G513" s="2031"/>
    </row>
    <row r="514" spans="3:7" hidden="1">
      <c r="C514" s="1133" t="s">
        <v>1027</v>
      </c>
      <c r="D514" s="1125" t="s">
        <v>3306</v>
      </c>
      <c r="E514" s="1134"/>
      <c r="F514" s="2051" t="e">
        <f>+'VAL. PRINC'!#REF!</f>
        <v>#REF!</v>
      </c>
      <c r="G514" s="2031"/>
    </row>
    <row r="515" spans="3:7" hidden="1">
      <c r="C515" s="1129" t="s">
        <v>2580</v>
      </c>
      <c r="D515" s="1107" t="s">
        <v>3307</v>
      </c>
      <c r="E515" s="1109" t="s">
        <v>41</v>
      </c>
      <c r="F515" s="2051" t="e">
        <f>+'VAL. PRINC'!#REF!</f>
        <v>#REF!</v>
      </c>
      <c r="G515" s="2031"/>
    </row>
    <row r="516" spans="3:7" hidden="1">
      <c r="C516" s="1129" t="s">
        <v>2581</v>
      </c>
      <c r="D516" s="1107" t="s">
        <v>3308</v>
      </c>
      <c r="E516" s="1109" t="s">
        <v>41</v>
      </c>
      <c r="F516" s="2051" t="e">
        <f>+'VAL. PRINC'!#REF!</f>
        <v>#REF!</v>
      </c>
      <c r="G516" s="2031"/>
    </row>
    <row r="517" spans="3:7" hidden="1">
      <c r="C517" s="1133" t="s">
        <v>1028</v>
      </c>
      <c r="D517" s="1125" t="s">
        <v>3309</v>
      </c>
      <c r="E517" s="1134"/>
      <c r="F517" s="2051" t="e">
        <f>+'VAL. PRINC'!#REF!</f>
        <v>#REF!</v>
      </c>
      <c r="G517" s="2031"/>
    </row>
    <row r="518" spans="3:7" hidden="1">
      <c r="C518" s="1129" t="s">
        <v>2582</v>
      </c>
      <c r="D518" s="1107" t="s">
        <v>3310</v>
      </c>
      <c r="E518" s="1109" t="s">
        <v>36</v>
      </c>
      <c r="F518" s="2051" t="e">
        <f>+'VAL. PRINC'!#REF!</f>
        <v>#REF!</v>
      </c>
      <c r="G518" s="2031"/>
    </row>
    <row r="519" spans="3:7" hidden="1">
      <c r="C519" s="1129" t="s">
        <v>2583</v>
      </c>
      <c r="D519" s="1107" t="s">
        <v>3311</v>
      </c>
      <c r="E519" s="1109" t="s">
        <v>41</v>
      </c>
      <c r="F519" s="2051" t="e">
        <f>+'VAL. PRINC'!#REF!</f>
        <v>#REF!</v>
      </c>
      <c r="G519" s="2031"/>
    </row>
    <row r="520" spans="3:7" hidden="1">
      <c r="C520" s="1129" t="s">
        <v>2584</v>
      </c>
      <c r="D520" s="1107" t="s">
        <v>3312</v>
      </c>
      <c r="E520" s="1109" t="s">
        <v>36</v>
      </c>
      <c r="F520" s="2051" t="e">
        <f>+'VAL. PRINC'!#REF!</f>
        <v>#REF!</v>
      </c>
      <c r="G520" s="2031"/>
    </row>
    <row r="521" spans="3:7">
      <c r="C521" s="1126" t="s">
        <v>497</v>
      </c>
      <c r="D521" s="1127" t="s">
        <v>3313</v>
      </c>
      <c r="E521" s="1128"/>
      <c r="F521" s="2051"/>
      <c r="G521" s="2031"/>
    </row>
    <row r="522" spans="3:7" hidden="1">
      <c r="C522" s="1133" t="s">
        <v>498</v>
      </c>
      <c r="D522" s="1125" t="s">
        <v>3314</v>
      </c>
      <c r="E522" s="1134"/>
      <c r="F522" s="2051"/>
      <c r="G522" s="2031"/>
    </row>
    <row r="523" spans="3:7" hidden="1">
      <c r="C523" s="1129" t="s">
        <v>2585</v>
      </c>
      <c r="D523" s="1107" t="s">
        <v>3315</v>
      </c>
      <c r="E523" s="1109" t="s">
        <v>38</v>
      </c>
      <c r="F523" s="2051" t="e">
        <f>+'VAL. PRINC'!#REF!</f>
        <v>#REF!</v>
      </c>
      <c r="G523" s="2031"/>
    </row>
    <row r="524" spans="3:7" hidden="1">
      <c r="C524" s="1129" t="s">
        <v>2586</v>
      </c>
      <c r="D524" s="1107" t="s">
        <v>3316</v>
      </c>
      <c r="E524" s="1109" t="s">
        <v>38</v>
      </c>
      <c r="F524" s="2051" t="e">
        <f>+'VAL. PRINC'!#REF!</f>
        <v>#REF!</v>
      </c>
      <c r="G524" s="2031"/>
    </row>
    <row r="525" spans="3:7" hidden="1">
      <c r="C525" s="1129" t="s">
        <v>2587</v>
      </c>
      <c r="D525" s="1107" t="s">
        <v>3317</v>
      </c>
      <c r="E525" s="1109" t="s">
        <v>38</v>
      </c>
      <c r="F525" s="2051" t="e">
        <f>+'VAL. PRINC'!#REF!</f>
        <v>#REF!</v>
      </c>
      <c r="G525" s="2031"/>
    </row>
    <row r="526" spans="3:7" hidden="1">
      <c r="C526" s="1129" t="s">
        <v>2588</v>
      </c>
      <c r="D526" s="1107" t="s">
        <v>3318</v>
      </c>
      <c r="E526" s="1109" t="s">
        <v>38</v>
      </c>
      <c r="F526" s="2051" t="e">
        <f>+'VAL. PRINC'!#REF!</f>
        <v>#REF!</v>
      </c>
      <c r="G526" s="2031"/>
    </row>
    <row r="527" spans="3:7" hidden="1">
      <c r="C527" s="1129" t="s">
        <v>2589</v>
      </c>
      <c r="D527" s="1107" t="s">
        <v>3319</v>
      </c>
      <c r="E527" s="1109" t="s">
        <v>38</v>
      </c>
      <c r="F527" s="2051" t="e">
        <f>+'VAL. PRINC'!#REF!</f>
        <v>#REF!</v>
      </c>
      <c r="G527" s="2031"/>
    </row>
    <row r="528" spans="3:7" hidden="1">
      <c r="C528" s="1129" t="s">
        <v>2590</v>
      </c>
      <c r="D528" s="1107" t="s">
        <v>3320</v>
      </c>
      <c r="E528" s="1109" t="s">
        <v>38</v>
      </c>
      <c r="F528" s="2051" t="e">
        <f>+'VAL. PRINC'!#REF!</f>
        <v>#REF!</v>
      </c>
      <c r="G528" s="2031"/>
    </row>
    <row r="529" spans="3:7" hidden="1">
      <c r="C529" s="1129" t="s">
        <v>2591</v>
      </c>
      <c r="D529" s="1107" t="s">
        <v>3321</v>
      </c>
      <c r="E529" s="1109" t="s">
        <v>36</v>
      </c>
      <c r="F529" s="2051" t="e">
        <f>+'VAL. PRINC'!#REF!</f>
        <v>#REF!</v>
      </c>
      <c r="G529" s="2031"/>
    </row>
    <row r="530" spans="3:7" hidden="1">
      <c r="C530" s="1129" t="s">
        <v>2592</v>
      </c>
      <c r="D530" s="1107" t="s">
        <v>3322</v>
      </c>
      <c r="E530" s="1109" t="s">
        <v>36</v>
      </c>
      <c r="F530" s="2051" t="e">
        <f>+'VAL. PRINC'!#REF!</f>
        <v>#REF!</v>
      </c>
      <c r="G530" s="2031"/>
    </row>
    <row r="531" spans="3:7">
      <c r="C531" s="1133" t="s">
        <v>499</v>
      </c>
      <c r="D531" s="1125" t="s">
        <v>3323</v>
      </c>
      <c r="E531" s="1134"/>
      <c r="F531" s="2051"/>
      <c r="G531" s="2031"/>
    </row>
    <row r="532" spans="3:7" hidden="1">
      <c r="C532" s="1129" t="s">
        <v>2593</v>
      </c>
      <c r="D532" s="1107" t="s">
        <v>3324</v>
      </c>
      <c r="E532" s="1109" t="s">
        <v>38</v>
      </c>
      <c r="F532" s="2051" t="e">
        <f>+'VAL. PRINC'!#REF!</f>
        <v>#REF!</v>
      </c>
      <c r="G532" s="2031"/>
    </row>
    <row r="533" spans="3:7">
      <c r="C533" s="1129" t="s">
        <v>2594</v>
      </c>
      <c r="D533" s="1107" t="s">
        <v>3325</v>
      </c>
      <c r="E533" s="1109" t="s">
        <v>38</v>
      </c>
      <c r="F533" s="2051" t="e">
        <f>+'VAL. PRINC'!#REF!</f>
        <v>#REF!</v>
      </c>
      <c r="G533" s="2031"/>
    </row>
    <row r="534" spans="3:7" hidden="1">
      <c r="C534" s="1129" t="s">
        <v>2595</v>
      </c>
      <c r="D534" s="1107" t="s">
        <v>3326</v>
      </c>
      <c r="E534" s="1109" t="s">
        <v>38</v>
      </c>
      <c r="F534" s="2051" t="e">
        <f>+'VAL. PRINC'!#REF!</f>
        <v>#REF!</v>
      </c>
      <c r="G534" s="2031"/>
    </row>
    <row r="535" spans="3:7" hidden="1">
      <c r="C535" s="1129" t="s">
        <v>2596</v>
      </c>
      <c r="D535" s="1107" t="s">
        <v>3327</v>
      </c>
      <c r="E535" s="1109" t="s">
        <v>38</v>
      </c>
      <c r="F535" s="2051" t="e">
        <f>+'VAL. PRINC'!#REF!</f>
        <v>#REF!</v>
      </c>
      <c r="G535" s="2031"/>
    </row>
    <row r="536" spans="3:7" hidden="1">
      <c r="C536" s="1129" t="s">
        <v>2597</v>
      </c>
      <c r="D536" s="1107" t="s">
        <v>3328</v>
      </c>
      <c r="E536" s="1109" t="s">
        <v>38</v>
      </c>
      <c r="F536" s="2051" t="e">
        <f>+'VAL. PRINC'!#REF!</f>
        <v>#REF!</v>
      </c>
      <c r="G536" s="2031"/>
    </row>
    <row r="537" spans="3:7" hidden="1">
      <c r="C537" s="1129" t="s">
        <v>2598</v>
      </c>
      <c r="D537" s="1107" t="s">
        <v>3329</v>
      </c>
      <c r="E537" s="1109" t="s">
        <v>38</v>
      </c>
      <c r="F537" s="2051" t="e">
        <f>+'VAL. PRINC'!#REF!</f>
        <v>#REF!</v>
      </c>
      <c r="G537" s="2031"/>
    </row>
    <row r="538" spans="3:7" hidden="1">
      <c r="C538" s="1129" t="s">
        <v>2599</v>
      </c>
      <c r="D538" s="1107" t="s">
        <v>3330</v>
      </c>
      <c r="E538" s="1109" t="s">
        <v>38</v>
      </c>
      <c r="F538" s="2051" t="e">
        <f>+'VAL. PRINC'!#REF!</f>
        <v>#REF!</v>
      </c>
      <c r="G538" s="2031"/>
    </row>
    <row r="539" spans="3:7" hidden="1">
      <c r="C539" s="1129" t="s">
        <v>2600</v>
      </c>
      <c r="D539" s="1107" t="s">
        <v>3331</v>
      </c>
      <c r="E539" s="1109" t="s">
        <v>38</v>
      </c>
      <c r="F539" s="2051" t="e">
        <f>+'VAL. PRINC'!#REF!</f>
        <v>#REF!</v>
      </c>
      <c r="G539" s="2031"/>
    </row>
    <row r="540" spans="3:7">
      <c r="C540" s="1129" t="s">
        <v>2601</v>
      </c>
      <c r="D540" s="1107" t="s">
        <v>3332</v>
      </c>
      <c r="E540" s="1109" t="s">
        <v>38</v>
      </c>
      <c r="F540" s="2051" t="e">
        <f>+'VAL. PRINC'!#REF!</f>
        <v>#REF!</v>
      </c>
      <c r="G540" s="2031"/>
    </row>
    <row r="541" spans="3:7">
      <c r="C541" s="1129" t="s">
        <v>2602</v>
      </c>
      <c r="D541" s="1107" t="s">
        <v>3333</v>
      </c>
      <c r="E541" s="1109" t="s">
        <v>38</v>
      </c>
      <c r="F541" s="2051" t="e">
        <f>+'VAL. PRINC'!#REF!</f>
        <v>#REF!</v>
      </c>
      <c r="G541" s="2031"/>
    </row>
    <row r="542" spans="3:7" hidden="1">
      <c r="C542" s="1129" t="s">
        <v>2603</v>
      </c>
      <c r="D542" s="1107" t="s">
        <v>3334</v>
      </c>
      <c r="E542" s="1109" t="s">
        <v>38</v>
      </c>
      <c r="F542" s="2051" t="e">
        <f>+'VAL. PRINC'!#REF!</f>
        <v>#REF!</v>
      </c>
      <c r="G542" s="2031"/>
    </row>
    <row r="543" spans="3:7">
      <c r="C543" s="1129" t="s">
        <v>2604</v>
      </c>
      <c r="D543" s="1107" t="s">
        <v>3335</v>
      </c>
      <c r="E543" s="1109" t="s">
        <v>38</v>
      </c>
      <c r="F543" s="2051" t="e">
        <f>+'VAL. PRINC'!#REF!</f>
        <v>#REF!</v>
      </c>
      <c r="G543" s="2031"/>
    </row>
    <row r="544" spans="3:7">
      <c r="C544" s="1129" t="s">
        <v>2605</v>
      </c>
      <c r="D544" s="1107" t="s">
        <v>3336</v>
      </c>
      <c r="E544" s="1109" t="s">
        <v>36</v>
      </c>
      <c r="F544" s="2051" t="e">
        <f>+'VAL. PRINC'!#REF!</f>
        <v>#REF!</v>
      </c>
      <c r="G544" s="2031"/>
    </row>
    <row r="545" spans="3:7" hidden="1">
      <c r="C545" s="1129" t="s">
        <v>2606</v>
      </c>
      <c r="D545" s="1107" t="s">
        <v>3337</v>
      </c>
      <c r="E545" s="1109" t="s">
        <v>36</v>
      </c>
      <c r="F545" s="2051" t="e">
        <f>+'VAL. PRINC'!#REF!</f>
        <v>#REF!</v>
      </c>
      <c r="G545" s="2031"/>
    </row>
    <row r="546" spans="3:7">
      <c r="C546" s="1129" t="s">
        <v>2607</v>
      </c>
      <c r="D546" s="1107" t="s">
        <v>3338</v>
      </c>
      <c r="E546" s="1109" t="s">
        <v>36</v>
      </c>
      <c r="F546" s="2051" t="e">
        <f>+'VAL. PRINC'!#REF!</f>
        <v>#REF!</v>
      </c>
      <c r="G546" s="2031"/>
    </row>
    <row r="547" spans="3:7" hidden="1">
      <c r="C547" s="1133" t="s">
        <v>1032</v>
      </c>
      <c r="D547" s="1125" t="s">
        <v>3339</v>
      </c>
      <c r="E547" s="1134"/>
      <c r="F547" s="2051"/>
      <c r="G547" s="2031"/>
    </row>
    <row r="548" spans="3:7" hidden="1">
      <c r="C548" s="1129" t="s">
        <v>2608</v>
      </c>
      <c r="D548" s="1107" t="s">
        <v>3340</v>
      </c>
      <c r="E548" s="1109" t="s">
        <v>36</v>
      </c>
      <c r="F548" s="2051" t="e">
        <f>+'VAL. PRINC'!#REF!</f>
        <v>#REF!</v>
      </c>
      <c r="G548" s="2031"/>
    </row>
    <row r="549" spans="3:7" hidden="1">
      <c r="C549" s="1129" t="s">
        <v>2609</v>
      </c>
      <c r="D549" s="1107" t="s">
        <v>3341</v>
      </c>
      <c r="E549" s="1109" t="s">
        <v>36</v>
      </c>
      <c r="F549" s="2051" t="e">
        <f>+'VAL. PRINC'!#REF!</f>
        <v>#REF!</v>
      </c>
      <c r="G549" s="2031"/>
    </row>
    <row r="550" spans="3:7" hidden="1">
      <c r="C550" s="1129" t="s">
        <v>2610</v>
      </c>
      <c r="D550" s="1107" t="s">
        <v>3342</v>
      </c>
      <c r="E550" s="1109" t="s">
        <v>36</v>
      </c>
      <c r="F550" s="2051" t="e">
        <f>+'VAL. PRINC'!#REF!</f>
        <v>#REF!</v>
      </c>
      <c r="G550" s="2031"/>
    </row>
    <row r="551" spans="3:7" hidden="1">
      <c r="C551" s="1129" t="s">
        <v>2611</v>
      </c>
      <c r="D551" s="1107" t="s">
        <v>3343</v>
      </c>
      <c r="E551" s="1109" t="s">
        <v>36</v>
      </c>
      <c r="F551" s="2051" t="e">
        <f>+'VAL. PRINC'!#REF!</f>
        <v>#REF!</v>
      </c>
      <c r="G551" s="2031"/>
    </row>
    <row r="552" spans="3:7" hidden="1">
      <c r="C552" s="1129" t="s">
        <v>2612</v>
      </c>
      <c r="D552" s="1107" t="s">
        <v>3344</v>
      </c>
      <c r="E552" s="1109" t="s">
        <v>36</v>
      </c>
      <c r="F552" s="2051" t="e">
        <f>+'VAL. PRINC'!#REF!</f>
        <v>#REF!</v>
      </c>
      <c r="G552" s="2031"/>
    </row>
    <row r="553" spans="3:7" hidden="1">
      <c r="C553" s="1129" t="s">
        <v>2613</v>
      </c>
      <c r="D553" s="1107" t="s">
        <v>3345</v>
      </c>
      <c r="E553" s="1109" t="s">
        <v>36</v>
      </c>
      <c r="F553" s="2051" t="e">
        <f>+'VAL. PRINC'!#REF!</f>
        <v>#REF!</v>
      </c>
      <c r="G553" s="2031"/>
    </row>
    <row r="554" spans="3:7" hidden="1">
      <c r="C554" s="1129" t="s">
        <v>2614</v>
      </c>
      <c r="D554" s="1107" t="s">
        <v>3346</v>
      </c>
      <c r="E554" s="1109" t="s">
        <v>36</v>
      </c>
      <c r="F554" s="2051" t="e">
        <f>+'VAL. PRINC'!#REF!</f>
        <v>#REF!</v>
      </c>
      <c r="G554" s="2031"/>
    </row>
    <row r="555" spans="3:7">
      <c r="C555" s="1126" t="s">
        <v>500</v>
      </c>
      <c r="D555" s="1127" t="s">
        <v>3347</v>
      </c>
      <c r="E555" s="1128"/>
      <c r="F555" s="2051"/>
      <c r="G555" s="2031"/>
    </row>
    <row r="556" spans="3:7" hidden="1">
      <c r="C556" s="1133" t="s">
        <v>501</v>
      </c>
      <c r="D556" s="1125" t="s">
        <v>3348</v>
      </c>
      <c r="E556" s="1134"/>
      <c r="F556" s="2051"/>
      <c r="G556" s="2031"/>
    </row>
    <row r="557" spans="3:7" hidden="1">
      <c r="C557" s="1129" t="s">
        <v>2615</v>
      </c>
      <c r="D557" s="1107" t="s">
        <v>3349</v>
      </c>
      <c r="E557" s="1109" t="s">
        <v>1452</v>
      </c>
      <c r="F557" s="2051" t="e">
        <f>+'VAL. PRINC'!#REF!</f>
        <v>#REF!</v>
      </c>
      <c r="G557" s="2031"/>
    </row>
    <row r="558" spans="3:7" hidden="1">
      <c r="C558" s="1129" t="s">
        <v>2616</v>
      </c>
      <c r="D558" s="1107" t="s">
        <v>3350</v>
      </c>
      <c r="E558" s="1109" t="s">
        <v>1452</v>
      </c>
      <c r="F558" s="2051" t="e">
        <f>+'VAL. PRINC'!#REF!</f>
        <v>#REF!</v>
      </c>
      <c r="G558" s="2031"/>
    </row>
    <row r="559" spans="3:7" hidden="1">
      <c r="C559" s="1129" t="s">
        <v>2617</v>
      </c>
      <c r="D559" s="1107" t="s">
        <v>3351</v>
      </c>
      <c r="E559" s="1109" t="s">
        <v>1452</v>
      </c>
      <c r="F559" s="2051" t="e">
        <f>+'VAL. PRINC'!#REF!</f>
        <v>#REF!</v>
      </c>
      <c r="G559" s="2031"/>
    </row>
    <row r="560" spans="3:7" hidden="1">
      <c r="C560" s="1129" t="s">
        <v>2618</v>
      </c>
      <c r="D560" s="1107" t="s">
        <v>3352</v>
      </c>
      <c r="E560" s="1109" t="s">
        <v>1452</v>
      </c>
      <c r="F560" s="2051" t="e">
        <f>+'VAL. PRINC'!#REF!</f>
        <v>#REF!</v>
      </c>
      <c r="G560" s="2031"/>
    </row>
    <row r="561" spans="3:7" hidden="1">
      <c r="C561" s="1133" t="s">
        <v>502</v>
      </c>
      <c r="D561" s="1125" t="s">
        <v>3353</v>
      </c>
      <c r="E561" s="1134"/>
      <c r="F561" s="2051"/>
      <c r="G561" s="2031"/>
    </row>
    <row r="562" spans="3:7" hidden="1">
      <c r="C562" s="1129" t="s">
        <v>2619</v>
      </c>
      <c r="D562" s="1107" t="s">
        <v>3354</v>
      </c>
      <c r="E562" s="1109" t="s">
        <v>38</v>
      </c>
      <c r="F562" s="2051" t="e">
        <f>+'VAL. PRINC'!#REF!</f>
        <v>#REF!</v>
      </c>
      <c r="G562" s="2031"/>
    </row>
    <row r="563" spans="3:7" hidden="1">
      <c r="C563" s="1129" t="s">
        <v>2620</v>
      </c>
      <c r="D563" s="1107" t="s">
        <v>3355</v>
      </c>
      <c r="E563" s="1109" t="s">
        <v>38</v>
      </c>
      <c r="F563" s="2051" t="e">
        <f>+'VAL. PRINC'!#REF!</f>
        <v>#REF!</v>
      </c>
      <c r="G563" s="2031"/>
    </row>
    <row r="564" spans="3:7" hidden="1">
      <c r="C564" s="1129" t="s">
        <v>2621</v>
      </c>
      <c r="D564" s="1107" t="s">
        <v>3356</v>
      </c>
      <c r="E564" s="1109" t="s">
        <v>38</v>
      </c>
      <c r="F564" s="2051" t="e">
        <f>+'VAL. PRINC'!#REF!</f>
        <v>#REF!</v>
      </c>
      <c r="G564" s="2031"/>
    </row>
    <row r="565" spans="3:7" hidden="1">
      <c r="C565" s="1129" t="s">
        <v>2622</v>
      </c>
      <c r="D565" s="1107" t="s">
        <v>3357</v>
      </c>
      <c r="E565" s="1109" t="s">
        <v>38</v>
      </c>
      <c r="F565" s="2051" t="e">
        <f>+'VAL. PRINC'!#REF!</f>
        <v>#REF!</v>
      </c>
      <c r="G565" s="2031"/>
    </row>
    <row r="566" spans="3:7" hidden="1">
      <c r="C566" s="1129" t="s">
        <v>2623</v>
      </c>
      <c r="D566" s="1107" t="s">
        <v>3358</v>
      </c>
      <c r="E566" s="1109" t="s">
        <v>38</v>
      </c>
      <c r="F566" s="2051" t="e">
        <f>+'VAL. PRINC'!#REF!</f>
        <v>#REF!</v>
      </c>
      <c r="G566" s="2031"/>
    </row>
    <row r="567" spans="3:7" hidden="1">
      <c r="C567" s="1129" t="s">
        <v>2624</v>
      </c>
      <c r="D567" s="1107" t="s">
        <v>3359</v>
      </c>
      <c r="E567" s="1109" t="s">
        <v>38</v>
      </c>
      <c r="F567" s="2051" t="e">
        <f>+'VAL. PRINC'!#REF!</f>
        <v>#REF!</v>
      </c>
      <c r="G567" s="2031"/>
    </row>
    <row r="568" spans="3:7">
      <c r="C568" s="1133" t="s">
        <v>503</v>
      </c>
      <c r="D568" s="1125" t="s">
        <v>3360</v>
      </c>
      <c r="E568" s="1134"/>
      <c r="F568" s="2051"/>
      <c r="G568" s="2031"/>
    </row>
    <row r="569" spans="3:7">
      <c r="C569" s="1129" t="s">
        <v>2625</v>
      </c>
      <c r="D569" s="1107" t="s">
        <v>3356</v>
      </c>
      <c r="E569" s="1109" t="s">
        <v>38</v>
      </c>
      <c r="F569" s="2051" t="e">
        <f>+'VAL. PRINC'!#REF!</f>
        <v>#REF!</v>
      </c>
      <c r="G569" s="2031"/>
    </row>
    <row r="570" spans="3:7" hidden="1">
      <c r="C570" s="1129" t="s">
        <v>2626</v>
      </c>
      <c r="D570" s="1107" t="s">
        <v>3361</v>
      </c>
      <c r="E570" s="1109" t="s">
        <v>38</v>
      </c>
      <c r="F570" s="2051" t="e">
        <f>+'VAL. PRINC'!#REF!</f>
        <v>#REF!</v>
      </c>
      <c r="G570" s="2031"/>
    </row>
    <row r="571" spans="3:7" hidden="1">
      <c r="C571" s="1129" t="s">
        <v>2627</v>
      </c>
      <c r="D571" s="1107" t="s">
        <v>3362</v>
      </c>
      <c r="E571" s="1109" t="s">
        <v>38</v>
      </c>
      <c r="F571" s="2051" t="e">
        <f>+'VAL. PRINC'!#REF!</f>
        <v>#REF!</v>
      </c>
      <c r="G571" s="2031"/>
    </row>
    <row r="572" spans="3:7">
      <c r="C572" s="1133" t="s">
        <v>504</v>
      </c>
      <c r="D572" s="1125" t="s">
        <v>3363</v>
      </c>
      <c r="E572" s="1134"/>
      <c r="F572" s="2051"/>
      <c r="G572" s="2031"/>
    </row>
    <row r="573" spans="3:7" hidden="1">
      <c r="C573" s="1129" t="s">
        <v>2628</v>
      </c>
      <c r="D573" s="1107" t="s">
        <v>3364</v>
      </c>
      <c r="E573" s="1109" t="s">
        <v>36</v>
      </c>
      <c r="F573" s="2051" t="e">
        <f>+'VAL. PRINC'!#REF!</f>
        <v>#REF!</v>
      </c>
      <c r="G573" s="2031"/>
    </row>
    <row r="574" spans="3:7" hidden="1">
      <c r="C574" s="1129" t="s">
        <v>2629</v>
      </c>
      <c r="D574" s="1107" t="s">
        <v>3365</v>
      </c>
      <c r="E574" s="1109" t="s">
        <v>36</v>
      </c>
      <c r="F574" s="2051" t="e">
        <f>+'VAL. PRINC'!#REF!</f>
        <v>#REF!</v>
      </c>
      <c r="G574" s="2031"/>
    </row>
    <row r="575" spans="3:7" hidden="1">
      <c r="C575" s="1129" t="s">
        <v>2630</v>
      </c>
      <c r="D575" s="1107" t="s">
        <v>3366</v>
      </c>
      <c r="E575" s="1109" t="s">
        <v>36</v>
      </c>
      <c r="F575" s="2051" t="e">
        <f>+'VAL. PRINC'!#REF!</f>
        <v>#REF!</v>
      </c>
      <c r="G575" s="2031"/>
    </row>
    <row r="576" spans="3:7" hidden="1">
      <c r="C576" s="1129" t="s">
        <v>2631</v>
      </c>
      <c r="D576" s="1107" t="s">
        <v>3367</v>
      </c>
      <c r="E576" s="1109" t="s">
        <v>36</v>
      </c>
      <c r="F576" s="2051" t="e">
        <f>+'VAL. PRINC'!#REF!</f>
        <v>#REF!</v>
      </c>
      <c r="G576" s="2031"/>
    </row>
    <row r="577" spans="3:7" hidden="1">
      <c r="C577" s="1129" t="s">
        <v>2632</v>
      </c>
      <c r="D577" s="1107" t="s">
        <v>3368</v>
      </c>
      <c r="E577" s="1109" t="s">
        <v>36</v>
      </c>
      <c r="F577" s="2051" t="e">
        <f>+'VAL. PRINC'!#REF!</f>
        <v>#REF!</v>
      </c>
      <c r="G577" s="2031"/>
    </row>
    <row r="578" spans="3:7" hidden="1">
      <c r="C578" s="1129" t="s">
        <v>2633</v>
      </c>
      <c r="D578" s="1107" t="s">
        <v>3369</v>
      </c>
      <c r="E578" s="1109" t="s">
        <v>36</v>
      </c>
      <c r="F578" s="2051" t="e">
        <f>+'VAL. PRINC'!#REF!</f>
        <v>#REF!</v>
      </c>
      <c r="G578" s="2031"/>
    </row>
    <row r="579" spans="3:7" hidden="1">
      <c r="C579" s="1129" t="s">
        <v>2634</v>
      </c>
      <c r="D579" s="1107" t="s">
        <v>3370</v>
      </c>
      <c r="E579" s="1109" t="s">
        <v>36</v>
      </c>
      <c r="F579" s="2051" t="e">
        <f>+'VAL. PRINC'!#REF!</f>
        <v>#REF!</v>
      </c>
      <c r="G579" s="2031"/>
    </row>
    <row r="580" spans="3:7" hidden="1">
      <c r="C580" s="1129" t="s">
        <v>2635</v>
      </c>
      <c r="D580" s="1107" t="s">
        <v>3371</v>
      </c>
      <c r="E580" s="1109" t="s">
        <v>36</v>
      </c>
      <c r="F580" s="2051" t="e">
        <f>+'VAL. PRINC'!#REF!</f>
        <v>#REF!</v>
      </c>
      <c r="G580" s="2031"/>
    </row>
    <row r="581" spans="3:7" hidden="1">
      <c r="C581" s="1129" t="s">
        <v>2636</v>
      </c>
      <c r="D581" s="1107" t="s">
        <v>3372</v>
      </c>
      <c r="E581" s="1109" t="s">
        <v>36</v>
      </c>
      <c r="F581" s="2051" t="e">
        <f>+'VAL. PRINC'!#REF!</f>
        <v>#REF!</v>
      </c>
      <c r="G581" s="2031"/>
    </row>
    <row r="582" spans="3:7" hidden="1">
      <c r="C582" s="1129" t="s">
        <v>2637</v>
      </c>
      <c r="D582" s="1107" t="s">
        <v>3373</v>
      </c>
      <c r="E582" s="1109" t="s">
        <v>36</v>
      </c>
      <c r="F582" s="2051" t="e">
        <f>+'VAL. PRINC'!#REF!</f>
        <v>#REF!</v>
      </c>
      <c r="G582" s="2031"/>
    </row>
    <row r="583" spans="3:7">
      <c r="C583" s="1129" t="s">
        <v>2638</v>
      </c>
      <c r="D583" s="1107" t="s">
        <v>3374</v>
      </c>
      <c r="E583" s="1109" t="s">
        <v>36</v>
      </c>
      <c r="F583" s="2051" t="e">
        <f>+'VAL. PRINC'!#REF!</f>
        <v>#REF!</v>
      </c>
      <c r="G583" s="2031"/>
    </row>
    <row r="584" spans="3:7" hidden="1">
      <c r="C584" s="1129" t="s">
        <v>2639</v>
      </c>
      <c r="D584" s="1107" t="s">
        <v>3375</v>
      </c>
      <c r="E584" s="1109" t="s">
        <v>36</v>
      </c>
      <c r="F584" s="2051" t="e">
        <f>+'VAL. PRINC'!#REF!</f>
        <v>#REF!</v>
      </c>
      <c r="G584" s="2031"/>
    </row>
    <row r="585" spans="3:7" hidden="1">
      <c r="C585" s="1129" t="s">
        <v>2640</v>
      </c>
      <c r="D585" s="1107" t="s">
        <v>3376</v>
      </c>
      <c r="E585" s="1109" t="s">
        <v>36</v>
      </c>
      <c r="F585" s="2051" t="e">
        <f>+'VAL. PRINC'!#REF!</f>
        <v>#REF!</v>
      </c>
      <c r="G585" s="2031"/>
    </row>
    <row r="586" spans="3:7" hidden="1">
      <c r="C586" s="1129" t="s">
        <v>2641</v>
      </c>
      <c r="D586" s="1107" t="s">
        <v>3377</v>
      </c>
      <c r="E586" s="1109" t="s">
        <v>36</v>
      </c>
      <c r="F586" s="2051" t="e">
        <f>+'VAL. PRINC'!#REF!</f>
        <v>#REF!</v>
      </c>
      <c r="G586" s="2031"/>
    </row>
    <row r="587" spans="3:7" hidden="1">
      <c r="C587" s="1129" t="s">
        <v>2642</v>
      </c>
      <c r="D587" s="1107" t="s">
        <v>3378</v>
      </c>
      <c r="E587" s="1109" t="s">
        <v>36</v>
      </c>
      <c r="F587" s="2051" t="e">
        <f>+'VAL. PRINC'!#REF!</f>
        <v>#REF!</v>
      </c>
      <c r="G587" s="2031"/>
    </row>
    <row r="588" spans="3:7" hidden="1">
      <c r="C588" s="1129" t="s">
        <v>2643</v>
      </c>
      <c r="D588" s="1107" t="s">
        <v>3379</v>
      </c>
      <c r="E588" s="1109" t="s">
        <v>36</v>
      </c>
      <c r="F588" s="2051" t="e">
        <f>+'VAL. PRINC'!#REF!</f>
        <v>#REF!</v>
      </c>
      <c r="G588" s="2031"/>
    </row>
    <row r="589" spans="3:7" hidden="1">
      <c r="C589" s="1129" t="s">
        <v>2644</v>
      </c>
      <c r="D589" s="1107" t="s">
        <v>3380</v>
      </c>
      <c r="E589" s="1109" t="s">
        <v>36</v>
      </c>
      <c r="F589" s="2051" t="e">
        <f>+'VAL. PRINC'!#REF!</f>
        <v>#REF!</v>
      </c>
      <c r="G589" s="2031"/>
    </row>
    <row r="590" spans="3:7">
      <c r="C590" s="1133" t="s">
        <v>1034</v>
      </c>
      <c r="D590" s="1125" t="s">
        <v>3381</v>
      </c>
      <c r="E590" s="1134"/>
      <c r="F590" s="2051"/>
      <c r="G590" s="2031"/>
    </row>
    <row r="591" spans="3:7">
      <c r="C591" s="1129" t="s">
        <v>2645</v>
      </c>
      <c r="D591" s="1107" t="s">
        <v>3382</v>
      </c>
      <c r="E591" s="1109" t="s">
        <v>36</v>
      </c>
      <c r="F591" s="2051" t="e">
        <f>+'VAL. PRINC'!#REF!</f>
        <v>#REF!</v>
      </c>
      <c r="G591" s="2031"/>
    </row>
    <row r="592" spans="3:7" hidden="1">
      <c r="C592" s="1129" t="s">
        <v>2646</v>
      </c>
      <c r="D592" s="1107" t="s">
        <v>3383</v>
      </c>
      <c r="E592" s="1109" t="s">
        <v>36</v>
      </c>
      <c r="F592" s="2051" t="e">
        <f>+'VAL. PRINC'!#REF!</f>
        <v>#REF!</v>
      </c>
      <c r="G592" s="2031"/>
    </row>
    <row r="593" spans="3:7" hidden="1">
      <c r="C593" s="1129" t="s">
        <v>2647</v>
      </c>
      <c r="D593" s="1107" t="s">
        <v>3384</v>
      </c>
      <c r="E593" s="1109" t="s">
        <v>36</v>
      </c>
      <c r="F593" s="2051" t="e">
        <f>+'VAL. PRINC'!#REF!</f>
        <v>#REF!</v>
      </c>
      <c r="G593" s="2031"/>
    </row>
    <row r="594" spans="3:7">
      <c r="C594" s="1129" t="s">
        <v>2648</v>
      </c>
      <c r="D594" s="1107" t="s">
        <v>3385</v>
      </c>
      <c r="E594" s="1109" t="s">
        <v>36</v>
      </c>
      <c r="F594" s="2051" t="e">
        <f>+'VAL. PRINC'!#REF!</f>
        <v>#REF!</v>
      </c>
      <c r="G594" s="2031"/>
    </row>
    <row r="595" spans="3:7" hidden="1">
      <c r="C595" s="1133" t="s">
        <v>2649</v>
      </c>
      <c r="D595" s="1125" t="s">
        <v>3386</v>
      </c>
      <c r="E595" s="1134"/>
      <c r="F595" s="2051"/>
      <c r="G595" s="2031"/>
    </row>
    <row r="596" spans="3:7" hidden="1">
      <c r="C596" s="1129" t="s">
        <v>2650</v>
      </c>
      <c r="D596" s="1107" t="s">
        <v>3387</v>
      </c>
      <c r="E596" s="1109" t="s">
        <v>36</v>
      </c>
      <c r="F596" s="2051" t="e">
        <f>+'VAL. PRINC'!#REF!</f>
        <v>#REF!</v>
      </c>
      <c r="G596" s="2031"/>
    </row>
    <row r="597" spans="3:7">
      <c r="C597" s="1133" t="s">
        <v>2651</v>
      </c>
      <c r="D597" s="1125" t="s">
        <v>3388</v>
      </c>
      <c r="E597" s="1134"/>
      <c r="F597" s="2051"/>
      <c r="G597" s="2031"/>
    </row>
    <row r="598" spans="3:7">
      <c r="C598" s="1129" t="s">
        <v>2652</v>
      </c>
      <c r="D598" s="1107" t="s">
        <v>3389</v>
      </c>
      <c r="E598" s="1109" t="s">
        <v>41</v>
      </c>
      <c r="F598" s="2051" t="e">
        <f>+'VAL. PRINC'!#REF!</f>
        <v>#REF!</v>
      </c>
      <c r="G598" s="2031"/>
    </row>
    <row r="599" spans="3:7" hidden="1">
      <c r="C599" s="1129" t="s">
        <v>2653</v>
      </c>
      <c r="D599" s="1107" t="s">
        <v>3390</v>
      </c>
      <c r="E599" s="1109" t="s">
        <v>41</v>
      </c>
      <c r="F599" s="2051" t="e">
        <f>+'VAL. PRINC'!#REF!</f>
        <v>#REF!</v>
      </c>
      <c r="G599" s="2031"/>
    </row>
    <row r="600" spans="3:7">
      <c r="C600" s="1384" t="s">
        <v>511</v>
      </c>
      <c r="D600" s="1131" t="s">
        <v>1383</v>
      </c>
      <c r="E600" s="1132"/>
      <c r="F600" s="2051"/>
      <c r="G600" s="2031"/>
    </row>
    <row r="601" spans="3:7">
      <c r="C601" s="1126" t="s">
        <v>512</v>
      </c>
      <c r="D601" s="1127" t="s">
        <v>2898</v>
      </c>
      <c r="E601" s="1128"/>
      <c r="F601" s="2051"/>
      <c r="G601" s="2031"/>
    </row>
    <row r="602" spans="3:7">
      <c r="C602" s="1129" t="s">
        <v>1053</v>
      </c>
      <c r="D602" s="1107" t="s">
        <v>3391</v>
      </c>
      <c r="E602" s="1109" t="s">
        <v>40</v>
      </c>
      <c r="F602" s="2051" t="e">
        <f>+'VAL. PRINC'!#REF!</f>
        <v>#REF!</v>
      </c>
      <c r="G602" s="2031"/>
    </row>
    <row r="603" spans="3:7">
      <c r="C603" s="1129" t="s">
        <v>1058</v>
      </c>
      <c r="D603" s="1107" t="s">
        <v>3392</v>
      </c>
      <c r="E603" s="1109" t="s">
        <v>40</v>
      </c>
      <c r="F603" s="2051" t="e">
        <f>+'VAL. PRINC'!#REF!</f>
        <v>#REF!</v>
      </c>
      <c r="G603" s="2031"/>
    </row>
    <row r="604" spans="3:7">
      <c r="C604" s="1129" t="s">
        <v>1061</v>
      </c>
      <c r="D604" s="1107" t="s">
        <v>3393</v>
      </c>
      <c r="E604" s="1109" t="s">
        <v>40</v>
      </c>
      <c r="F604" s="2051" t="e">
        <f>+'VAL. PRINC'!#REF!</f>
        <v>#REF!</v>
      </c>
      <c r="G604" s="2031"/>
    </row>
    <row r="605" spans="3:7">
      <c r="C605" s="1129" t="s">
        <v>1067</v>
      </c>
      <c r="D605" s="1107" t="s">
        <v>3394</v>
      </c>
      <c r="E605" s="1109" t="s">
        <v>40</v>
      </c>
      <c r="F605" s="2051" t="e">
        <f>+'VAL. PRINC'!#REF!</f>
        <v>#REF!</v>
      </c>
      <c r="G605" s="2031"/>
    </row>
    <row r="606" spans="3:7">
      <c r="C606" s="1129" t="s">
        <v>1071</v>
      </c>
      <c r="D606" s="1107" t="s">
        <v>3395</v>
      </c>
      <c r="E606" s="1109" t="s">
        <v>40</v>
      </c>
      <c r="F606" s="2051" t="e">
        <f>+'VAL. PRINC'!#REF!</f>
        <v>#REF!</v>
      </c>
      <c r="G606" s="2031"/>
    </row>
    <row r="607" spans="3:7" hidden="1">
      <c r="C607" s="1126" t="s">
        <v>513</v>
      </c>
      <c r="D607" s="1127" t="s">
        <v>2905</v>
      </c>
      <c r="E607" s="1128"/>
      <c r="F607" s="2051"/>
      <c r="G607" s="2031"/>
    </row>
    <row r="608" spans="3:7" hidden="1">
      <c r="C608" s="1129" t="s">
        <v>1087</v>
      </c>
      <c r="D608" s="1107" t="s">
        <v>3396</v>
      </c>
      <c r="E608" s="1109" t="s">
        <v>36</v>
      </c>
      <c r="F608" s="2051" t="e">
        <f>+'VAL. PRINC'!#REF!</f>
        <v>#REF!</v>
      </c>
      <c r="G608" s="2031"/>
    </row>
    <row r="609" spans="3:7" hidden="1">
      <c r="C609" s="1129" t="s">
        <v>1089</v>
      </c>
      <c r="D609" s="1107" t="s">
        <v>3397</v>
      </c>
      <c r="E609" s="1109" t="s">
        <v>36</v>
      </c>
      <c r="F609" s="2051" t="e">
        <f>+'VAL. PRINC'!#REF!</f>
        <v>#REF!</v>
      </c>
      <c r="G609" s="2031"/>
    </row>
    <row r="610" spans="3:7">
      <c r="C610" s="1126" t="s">
        <v>1097</v>
      </c>
      <c r="D610" s="1127" t="s">
        <v>3398</v>
      </c>
      <c r="E610" s="1128"/>
      <c r="F610" s="2051"/>
      <c r="G610" s="2031"/>
    </row>
    <row r="611" spans="3:7">
      <c r="C611" s="1129" t="s">
        <v>1098</v>
      </c>
      <c r="D611" s="1107" t="s">
        <v>3399</v>
      </c>
      <c r="E611" s="1109" t="s">
        <v>1454</v>
      </c>
      <c r="F611" s="2051" t="e">
        <f>+'VAL. PRINC'!#REF!</f>
        <v>#REF!</v>
      </c>
      <c r="G611" s="2031"/>
    </row>
    <row r="612" spans="3:7">
      <c r="C612" s="1129" t="s">
        <v>1100</v>
      </c>
      <c r="D612" s="1107" t="s">
        <v>3400</v>
      </c>
      <c r="E612" s="1109" t="s">
        <v>36</v>
      </c>
      <c r="F612" s="2051" t="e">
        <f>+'VAL. PRINC'!#REF!</f>
        <v>#REF!</v>
      </c>
      <c r="G612" s="2031"/>
    </row>
    <row r="613" spans="3:7" hidden="1">
      <c r="C613" s="1126" t="s">
        <v>1114</v>
      </c>
      <c r="D613" s="1127" t="s">
        <v>3401</v>
      </c>
      <c r="E613" s="1128"/>
      <c r="F613" s="2051"/>
      <c r="G613" s="2031"/>
    </row>
    <row r="614" spans="3:7" hidden="1">
      <c r="C614" s="1133" t="s">
        <v>1115</v>
      </c>
      <c r="D614" s="1125" t="s">
        <v>3402</v>
      </c>
      <c r="E614" s="1134"/>
      <c r="F614" s="2051"/>
      <c r="G614" s="2031"/>
    </row>
    <row r="615" spans="3:7" hidden="1">
      <c r="C615" s="1129" t="s">
        <v>1116</v>
      </c>
      <c r="D615" s="1107" t="s">
        <v>3403</v>
      </c>
      <c r="E615" s="1109" t="s">
        <v>2828</v>
      </c>
      <c r="F615" s="2051" t="e">
        <f>+'VAL. PRINC'!#REF!</f>
        <v>#REF!</v>
      </c>
      <c r="G615" s="2031"/>
    </row>
    <row r="616" spans="3:7" hidden="1">
      <c r="C616" s="1129" t="s">
        <v>2654</v>
      </c>
      <c r="D616" s="1107" t="s">
        <v>3404</v>
      </c>
      <c r="E616" s="1109" t="s">
        <v>2828</v>
      </c>
      <c r="F616" s="2051" t="e">
        <f>+'VAL. PRINC'!#REF!</f>
        <v>#REF!</v>
      </c>
      <c r="G616" s="2031"/>
    </row>
    <row r="617" spans="3:7" hidden="1">
      <c r="C617" s="1129" t="s">
        <v>2655</v>
      </c>
      <c r="D617" s="1107" t="s">
        <v>3405</v>
      </c>
      <c r="E617" s="1109" t="s">
        <v>2828</v>
      </c>
      <c r="F617" s="2051" t="e">
        <f>+'VAL. PRINC'!#REF!</f>
        <v>#REF!</v>
      </c>
      <c r="G617" s="2031"/>
    </row>
    <row r="618" spans="3:7" hidden="1">
      <c r="C618" s="1129" t="s">
        <v>2656</v>
      </c>
      <c r="D618" s="1107" t="s">
        <v>3406</v>
      </c>
      <c r="E618" s="1109" t="s">
        <v>2828</v>
      </c>
      <c r="F618" s="2051" t="e">
        <f>+'VAL. PRINC'!#REF!</f>
        <v>#REF!</v>
      </c>
      <c r="G618" s="2031"/>
    </row>
    <row r="619" spans="3:7" hidden="1">
      <c r="C619" s="1129" t="s">
        <v>2657</v>
      </c>
      <c r="D619" s="1107" t="s">
        <v>3407</v>
      </c>
      <c r="E619" s="1109" t="s">
        <v>2828</v>
      </c>
      <c r="F619" s="2051" t="e">
        <f>+'VAL. PRINC'!#REF!</f>
        <v>#REF!</v>
      </c>
      <c r="G619" s="2031"/>
    </row>
    <row r="620" spans="3:7" hidden="1">
      <c r="C620" s="1129" t="s">
        <v>2658</v>
      </c>
      <c r="D620" s="1107" t="s">
        <v>3408</v>
      </c>
      <c r="E620" s="1109" t="s">
        <v>2828</v>
      </c>
      <c r="F620" s="2051" t="e">
        <f>+'VAL. PRINC'!#REF!</f>
        <v>#REF!</v>
      </c>
      <c r="G620" s="2031"/>
    </row>
    <row r="621" spans="3:7" hidden="1">
      <c r="C621" s="1129" t="s">
        <v>2659</v>
      </c>
      <c r="D621" s="1107" t="s">
        <v>3409</v>
      </c>
      <c r="E621" s="1109" t="s">
        <v>2828</v>
      </c>
      <c r="F621" s="2051" t="e">
        <f>+'VAL. PRINC'!#REF!</f>
        <v>#REF!</v>
      </c>
      <c r="G621" s="2031"/>
    </row>
    <row r="622" spans="3:7" hidden="1">
      <c r="C622" s="1129" t="s">
        <v>2660</v>
      </c>
      <c r="D622" s="1107" t="s">
        <v>3410</v>
      </c>
      <c r="E622" s="1109" t="s">
        <v>2828</v>
      </c>
      <c r="F622" s="2051" t="e">
        <f>+'VAL. PRINC'!#REF!</f>
        <v>#REF!</v>
      </c>
      <c r="G622" s="2031"/>
    </row>
    <row r="623" spans="3:7" hidden="1">
      <c r="C623" s="1129" t="s">
        <v>2661</v>
      </c>
      <c r="D623" s="1107" t="s">
        <v>3411</v>
      </c>
      <c r="E623" s="1109" t="s">
        <v>2828</v>
      </c>
      <c r="F623" s="2051" t="e">
        <f>+'VAL. PRINC'!#REF!</f>
        <v>#REF!</v>
      </c>
      <c r="G623" s="2031"/>
    </row>
    <row r="624" spans="3:7" hidden="1">
      <c r="C624" s="1129" t="s">
        <v>2662</v>
      </c>
      <c r="D624" s="1107" t="s">
        <v>3412</v>
      </c>
      <c r="E624" s="1109" t="s">
        <v>2828</v>
      </c>
      <c r="F624" s="2051" t="e">
        <f>+'VAL. PRINC'!#REF!</f>
        <v>#REF!</v>
      </c>
      <c r="G624" s="2031"/>
    </row>
    <row r="625" spans="3:7" hidden="1">
      <c r="C625" s="1129" t="s">
        <v>2663</v>
      </c>
      <c r="D625" s="1107" t="s">
        <v>3413</v>
      </c>
      <c r="E625" s="1109" t="s">
        <v>2828</v>
      </c>
      <c r="F625" s="2051" t="e">
        <f>+'VAL. PRINC'!#REF!</f>
        <v>#REF!</v>
      </c>
      <c r="G625" s="2031"/>
    </row>
    <row r="626" spans="3:7" hidden="1">
      <c r="C626" s="1129" t="s">
        <v>2664</v>
      </c>
      <c r="D626" s="1107" t="s">
        <v>3414</v>
      </c>
      <c r="E626" s="1109" t="s">
        <v>2828</v>
      </c>
      <c r="F626" s="2051" t="e">
        <f>+'VAL. PRINC'!#REF!</f>
        <v>#REF!</v>
      </c>
      <c r="G626" s="2031"/>
    </row>
    <row r="627" spans="3:7" hidden="1">
      <c r="C627" s="1129" t="s">
        <v>2665</v>
      </c>
      <c r="D627" s="1107" t="s">
        <v>3415</v>
      </c>
      <c r="E627" s="1109" t="s">
        <v>2828</v>
      </c>
      <c r="F627" s="2051" t="e">
        <f>+'VAL. PRINC'!#REF!</f>
        <v>#REF!</v>
      </c>
      <c r="G627" s="2031"/>
    </row>
    <row r="628" spans="3:7" hidden="1">
      <c r="C628" s="1129" t="s">
        <v>2666</v>
      </c>
      <c r="D628" s="1107" t="s">
        <v>3416</v>
      </c>
      <c r="E628" s="1109" t="s">
        <v>2828</v>
      </c>
      <c r="F628" s="2051" t="e">
        <f>+'VAL. PRINC'!#REF!</f>
        <v>#REF!</v>
      </c>
      <c r="G628" s="2031"/>
    </row>
    <row r="629" spans="3:7" hidden="1">
      <c r="C629" s="1129" t="s">
        <v>2667</v>
      </c>
      <c r="D629" s="1107" t="s">
        <v>3417</v>
      </c>
      <c r="E629" s="1109" t="s">
        <v>2828</v>
      </c>
      <c r="F629" s="2051" t="e">
        <f>+'VAL. PRINC'!#REF!</f>
        <v>#REF!</v>
      </c>
      <c r="G629" s="2031"/>
    </row>
    <row r="630" spans="3:7" hidden="1">
      <c r="C630" s="1129" t="s">
        <v>2668</v>
      </c>
      <c r="D630" s="1107" t="s">
        <v>3418</v>
      </c>
      <c r="E630" s="1109" t="s">
        <v>2828</v>
      </c>
      <c r="F630" s="2051" t="e">
        <f>+'VAL. PRINC'!#REF!</f>
        <v>#REF!</v>
      </c>
      <c r="G630" s="2031"/>
    </row>
    <row r="631" spans="3:7" hidden="1">
      <c r="C631" s="1129" t="s">
        <v>2669</v>
      </c>
      <c r="D631" s="1107" t="s">
        <v>3419</v>
      </c>
      <c r="E631" s="1109" t="s">
        <v>2828</v>
      </c>
      <c r="F631" s="2051" t="e">
        <f>+'VAL. PRINC'!#REF!</f>
        <v>#REF!</v>
      </c>
      <c r="G631" s="2031"/>
    </row>
    <row r="632" spans="3:7" hidden="1">
      <c r="C632" s="1129" t="s">
        <v>2670</v>
      </c>
      <c r="D632" s="1107" t="s">
        <v>3420</v>
      </c>
      <c r="E632" s="1109" t="s">
        <v>2828</v>
      </c>
      <c r="F632" s="2051" t="e">
        <f>+'VAL. PRINC'!#REF!</f>
        <v>#REF!</v>
      </c>
      <c r="G632" s="2031"/>
    </row>
    <row r="633" spans="3:7" hidden="1">
      <c r="C633" s="1129" t="s">
        <v>2671</v>
      </c>
      <c r="D633" s="1107" t="s">
        <v>3421</v>
      </c>
      <c r="E633" s="1109" t="s">
        <v>2828</v>
      </c>
      <c r="F633" s="2051" t="e">
        <f>+'VAL. PRINC'!#REF!</f>
        <v>#REF!</v>
      </c>
      <c r="G633" s="2031"/>
    </row>
    <row r="634" spans="3:7" hidden="1">
      <c r="C634" s="1129" t="s">
        <v>2672</v>
      </c>
      <c r="D634" s="1107" t="s">
        <v>3422</v>
      </c>
      <c r="E634" s="1109" t="s">
        <v>2828</v>
      </c>
      <c r="F634" s="2051" t="e">
        <f>+'VAL. PRINC'!#REF!</f>
        <v>#REF!</v>
      </c>
      <c r="G634" s="2031"/>
    </row>
    <row r="635" spans="3:7" hidden="1">
      <c r="C635" s="1129" t="s">
        <v>2673</v>
      </c>
      <c r="D635" s="1107" t="s">
        <v>3423</v>
      </c>
      <c r="E635" s="1109" t="s">
        <v>2828</v>
      </c>
      <c r="F635" s="2051" t="e">
        <f>+'VAL. PRINC'!#REF!</f>
        <v>#REF!</v>
      </c>
      <c r="G635" s="2031"/>
    </row>
    <row r="636" spans="3:7" hidden="1">
      <c r="C636" s="1129" t="s">
        <v>2674</v>
      </c>
      <c r="D636" s="1107" t="s">
        <v>3424</v>
      </c>
      <c r="E636" s="1109" t="s">
        <v>2828</v>
      </c>
      <c r="F636" s="2051" t="e">
        <f>+'VAL. PRINC'!#REF!</f>
        <v>#REF!</v>
      </c>
      <c r="G636" s="2031"/>
    </row>
    <row r="637" spans="3:7" hidden="1">
      <c r="C637" s="1129" t="s">
        <v>2675</v>
      </c>
      <c r="D637" s="1107" t="s">
        <v>3425</v>
      </c>
      <c r="E637" s="1109" t="s">
        <v>2828</v>
      </c>
      <c r="F637" s="2051" t="e">
        <f>+'VAL. PRINC'!#REF!</f>
        <v>#REF!</v>
      </c>
      <c r="G637" s="2031"/>
    </row>
    <row r="638" spans="3:7" hidden="1">
      <c r="C638" s="1129" t="s">
        <v>2676</v>
      </c>
      <c r="D638" s="1107" t="s">
        <v>3426</v>
      </c>
      <c r="E638" s="1109" t="s">
        <v>2828</v>
      </c>
      <c r="F638" s="2051" t="e">
        <f>+'VAL. PRINC'!#REF!</f>
        <v>#REF!</v>
      </c>
      <c r="G638" s="2031"/>
    </row>
    <row r="639" spans="3:7" hidden="1">
      <c r="C639" s="1129" t="s">
        <v>2677</v>
      </c>
      <c r="D639" s="1107" t="s">
        <v>3427</v>
      </c>
      <c r="E639" s="1109" t="s">
        <v>2828</v>
      </c>
      <c r="F639" s="2051" t="e">
        <f>+'VAL. PRINC'!#REF!</f>
        <v>#REF!</v>
      </c>
      <c r="G639" s="2031"/>
    </row>
    <row r="640" spans="3:7" hidden="1">
      <c r="C640" s="1129" t="s">
        <v>2678</v>
      </c>
      <c r="D640" s="1107" t="s">
        <v>3428</v>
      </c>
      <c r="E640" s="1109" t="s">
        <v>2828</v>
      </c>
      <c r="F640" s="2051" t="e">
        <f>+'VAL. PRINC'!#REF!</f>
        <v>#REF!</v>
      </c>
      <c r="G640" s="2031"/>
    </row>
    <row r="641" spans="3:7">
      <c r="C641" s="1133" t="s">
        <v>1117</v>
      </c>
      <c r="D641" s="1125" t="s">
        <v>3429</v>
      </c>
      <c r="E641" s="1134"/>
      <c r="F641" s="2051"/>
      <c r="G641" s="2031"/>
    </row>
    <row r="642" spans="3:7" hidden="1">
      <c r="C642" s="1129" t="s">
        <v>1118</v>
      </c>
      <c r="D642" s="1107" t="s">
        <v>3430</v>
      </c>
      <c r="E642" s="1109" t="s">
        <v>2828</v>
      </c>
      <c r="F642" s="2051" t="e">
        <f>+'VAL. PRINC'!#REF!</f>
        <v>#REF!</v>
      </c>
      <c r="G642" s="2031"/>
    </row>
    <row r="643" spans="3:7" hidden="1">
      <c r="C643" s="1129" t="s">
        <v>2679</v>
      </c>
      <c r="D643" s="1107" t="s">
        <v>3431</v>
      </c>
      <c r="E643" s="1109" t="s">
        <v>2828</v>
      </c>
      <c r="F643" s="2051" t="e">
        <f>+'VAL. PRINC'!#REF!</f>
        <v>#REF!</v>
      </c>
      <c r="G643" s="2031"/>
    </row>
    <row r="644" spans="3:7" hidden="1">
      <c r="C644" s="1129" t="s">
        <v>2680</v>
      </c>
      <c r="D644" s="1107" t="s">
        <v>3432</v>
      </c>
      <c r="E644" s="1109" t="s">
        <v>2828</v>
      </c>
      <c r="F644" s="2051" t="e">
        <f>+'VAL. PRINC'!#REF!</f>
        <v>#REF!</v>
      </c>
      <c r="G644" s="2031"/>
    </row>
    <row r="645" spans="3:7" hidden="1">
      <c r="C645" s="1129" t="s">
        <v>2681</v>
      </c>
      <c r="D645" s="1107" t="s">
        <v>3433</v>
      </c>
      <c r="E645" s="1109" t="s">
        <v>2828</v>
      </c>
      <c r="F645" s="2051" t="e">
        <f>+'VAL. PRINC'!#REF!</f>
        <v>#REF!</v>
      </c>
      <c r="G645" s="2031"/>
    </row>
    <row r="646" spans="3:7">
      <c r="C646" s="1129" t="s">
        <v>2682</v>
      </c>
      <c r="D646" s="1107" t="s">
        <v>3434</v>
      </c>
      <c r="E646" s="1109" t="s">
        <v>2828</v>
      </c>
      <c r="F646" s="2051" t="e">
        <f>+'VAL. PRINC'!#REF!</f>
        <v>#REF!</v>
      </c>
      <c r="G646" s="2031"/>
    </row>
    <row r="647" spans="3:7">
      <c r="C647" s="1129" t="s">
        <v>2683</v>
      </c>
      <c r="D647" s="1107" t="s">
        <v>3435</v>
      </c>
      <c r="E647" s="1109" t="s">
        <v>2828</v>
      </c>
      <c r="F647" s="2051" t="e">
        <f>+'VAL. PRINC'!#REF!</f>
        <v>#REF!</v>
      </c>
      <c r="G647" s="2031"/>
    </row>
    <row r="648" spans="3:7">
      <c r="C648" s="1129" t="s">
        <v>2684</v>
      </c>
      <c r="D648" s="1107" t="s">
        <v>3436</v>
      </c>
      <c r="E648" s="1109" t="s">
        <v>2828</v>
      </c>
      <c r="F648" s="2051" t="e">
        <f>+'VAL. PRINC'!#REF!</f>
        <v>#REF!</v>
      </c>
      <c r="G648" s="2031"/>
    </row>
    <row r="649" spans="3:7">
      <c r="C649" s="1129" t="s">
        <v>2685</v>
      </c>
      <c r="D649" s="1107" t="s">
        <v>3437</v>
      </c>
      <c r="E649" s="1109" t="s">
        <v>2828</v>
      </c>
      <c r="F649" s="2051" t="e">
        <f>+'VAL. PRINC'!#REF!</f>
        <v>#REF!</v>
      </c>
      <c r="G649" s="2031"/>
    </row>
    <row r="650" spans="3:7">
      <c r="C650" s="1129" t="s">
        <v>2686</v>
      </c>
      <c r="D650" s="1107" t="s">
        <v>3438</v>
      </c>
      <c r="E650" s="1109" t="s">
        <v>2828</v>
      </c>
      <c r="F650" s="2051" t="e">
        <f>+'VAL. PRINC'!#REF!</f>
        <v>#REF!</v>
      </c>
      <c r="G650" s="2031"/>
    </row>
    <row r="651" spans="3:7">
      <c r="C651" s="1129" t="s">
        <v>2687</v>
      </c>
      <c r="D651" s="1107" t="s">
        <v>3439</v>
      </c>
      <c r="E651" s="1109" t="s">
        <v>2828</v>
      </c>
      <c r="F651" s="2051" t="e">
        <f>+'VAL. PRINC'!#REF!</f>
        <v>#REF!</v>
      </c>
      <c r="G651" s="2031"/>
    </row>
    <row r="652" spans="3:7">
      <c r="C652" s="1129" t="s">
        <v>2688</v>
      </c>
      <c r="D652" s="1107" t="s">
        <v>3440</v>
      </c>
      <c r="E652" s="1109" t="s">
        <v>2828</v>
      </c>
      <c r="F652" s="2051" t="e">
        <f>+'VAL. PRINC'!#REF!</f>
        <v>#REF!</v>
      </c>
      <c r="G652" s="2031"/>
    </row>
    <row r="653" spans="3:7">
      <c r="C653" s="1129" t="s">
        <v>2689</v>
      </c>
      <c r="D653" s="1107" t="s">
        <v>3441</v>
      </c>
      <c r="E653" s="1109" t="s">
        <v>2828</v>
      </c>
      <c r="F653" s="2051" t="e">
        <f>+'VAL. PRINC'!#REF!</f>
        <v>#REF!</v>
      </c>
      <c r="G653" s="2031"/>
    </row>
    <row r="654" spans="3:7">
      <c r="C654" s="1129" t="s">
        <v>2690</v>
      </c>
      <c r="D654" s="1107" t="s">
        <v>3442</v>
      </c>
      <c r="E654" s="1109" t="s">
        <v>2828</v>
      </c>
      <c r="F654" s="2051" t="e">
        <f>+'VAL. PRINC'!#REF!</f>
        <v>#REF!</v>
      </c>
      <c r="G654" s="2031"/>
    </row>
    <row r="655" spans="3:7" hidden="1">
      <c r="C655" s="1129" t="s">
        <v>2691</v>
      </c>
      <c r="D655" s="1107" t="s">
        <v>3443</v>
      </c>
      <c r="E655" s="1109" t="s">
        <v>2828</v>
      </c>
      <c r="F655" s="2051" t="e">
        <f>+'VAL. PRINC'!#REF!</f>
        <v>#REF!</v>
      </c>
      <c r="G655" s="2031"/>
    </row>
    <row r="656" spans="3:7" hidden="1">
      <c r="C656" s="1129" t="s">
        <v>2692</v>
      </c>
      <c r="D656" s="1107" t="s">
        <v>3444</v>
      </c>
      <c r="E656" s="1109" t="s">
        <v>2828</v>
      </c>
      <c r="F656" s="2051" t="e">
        <f>+'VAL. PRINC'!#REF!</f>
        <v>#REF!</v>
      </c>
      <c r="G656" s="2031"/>
    </row>
    <row r="657" spans="3:7" hidden="1">
      <c r="C657" s="1129" t="s">
        <v>2693</v>
      </c>
      <c r="D657" s="1107" t="s">
        <v>3445</v>
      </c>
      <c r="E657" s="1109" t="s">
        <v>2828</v>
      </c>
      <c r="F657" s="2051" t="e">
        <f>+'VAL. PRINC'!#REF!</f>
        <v>#REF!</v>
      </c>
      <c r="G657" s="2031"/>
    </row>
    <row r="658" spans="3:7">
      <c r="C658" s="1129" t="s">
        <v>2694</v>
      </c>
      <c r="D658" s="1107" t="s">
        <v>3446</v>
      </c>
      <c r="E658" s="1109" t="s">
        <v>2828</v>
      </c>
      <c r="F658" s="2051" t="e">
        <f>+'VAL. PRINC'!#REF!</f>
        <v>#REF!</v>
      </c>
      <c r="G658" s="2031"/>
    </row>
    <row r="659" spans="3:7">
      <c r="C659" s="1129" t="s">
        <v>2695</v>
      </c>
      <c r="D659" s="1107" t="s">
        <v>3447</v>
      </c>
      <c r="E659" s="1109" t="s">
        <v>2828</v>
      </c>
      <c r="F659" s="2051" t="e">
        <f>+'VAL. PRINC'!#REF!</f>
        <v>#REF!</v>
      </c>
      <c r="G659" s="2031"/>
    </row>
    <row r="660" spans="3:7" hidden="1">
      <c r="C660" s="1133" t="s">
        <v>1119</v>
      </c>
      <c r="D660" s="1125" t="s">
        <v>3448</v>
      </c>
      <c r="E660" s="1134"/>
      <c r="F660" s="2051" t="e">
        <f>+'VAL. PRINC'!#REF!</f>
        <v>#REF!</v>
      </c>
      <c r="G660" s="2031"/>
    </row>
    <row r="661" spans="3:7" hidden="1">
      <c r="C661" s="1129" t="s">
        <v>1120</v>
      </c>
      <c r="D661" s="1107" t="s">
        <v>3449</v>
      </c>
      <c r="E661" s="1109" t="s">
        <v>38</v>
      </c>
      <c r="F661" s="2051" t="e">
        <f>+'VAL. PRINC'!#REF!</f>
        <v>#REF!</v>
      </c>
      <c r="G661" s="2031"/>
    </row>
    <row r="662" spans="3:7" hidden="1">
      <c r="C662" s="1129" t="s">
        <v>2696</v>
      </c>
      <c r="D662" s="1107" t="s">
        <v>3450</v>
      </c>
      <c r="E662" s="1109" t="s">
        <v>36</v>
      </c>
      <c r="F662" s="2051" t="e">
        <f>+'VAL. PRINC'!#REF!</f>
        <v>#REF!</v>
      </c>
      <c r="G662" s="2031"/>
    </row>
    <row r="663" spans="3:7" hidden="1">
      <c r="C663" s="1129" t="s">
        <v>2697</v>
      </c>
      <c r="D663" s="1107" t="s">
        <v>3451</v>
      </c>
      <c r="E663" s="1109" t="s">
        <v>36</v>
      </c>
      <c r="F663" s="2051" t="e">
        <f>+'VAL. PRINC'!#REF!</f>
        <v>#REF!</v>
      </c>
      <c r="G663" s="2031"/>
    </row>
    <row r="664" spans="3:7" hidden="1">
      <c r="C664" s="1133" t="s">
        <v>1121</v>
      </c>
      <c r="D664" s="1125" t="s">
        <v>3452</v>
      </c>
      <c r="E664" s="1134"/>
      <c r="F664" s="2051" t="e">
        <f>+'VAL. PRINC'!#REF!</f>
        <v>#REF!</v>
      </c>
      <c r="G664" s="2031"/>
    </row>
    <row r="665" spans="3:7" hidden="1">
      <c r="C665" s="1129" t="s">
        <v>1122</v>
      </c>
      <c r="D665" s="1107" t="s">
        <v>3453</v>
      </c>
      <c r="E665" s="1109" t="s">
        <v>38</v>
      </c>
      <c r="F665" s="2051" t="e">
        <f>+'VAL. PRINC'!#REF!</f>
        <v>#REF!</v>
      </c>
      <c r="G665" s="2031"/>
    </row>
    <row r="666" spans="3:7" hidden="1">
      <c r="C666" s="1129" t="s">
        <v>1123</v>
      </c>
      <c r="D666" s="1107" t="s">
        <v>3454</v>
      </c>
      <c r="E666" s="1109" t="s">
        <v>38</v>
      </c>
      <c r="F666" s="2051" t="e">
        <f>+'VAL. PRINC'!#REF!</f>
        <v>#REF!</v>
      </c>
      <c r="G666" s="2031"/>
    </row>
    <row r="667" spans="3:7" hidden="1">
      <c r="C667" s="1129" t="s">
        <v>2698</v>
      </c>
      <c r="D667" s="1107" t="s">
        <v>3455</v>
      </c>
      <c r="E667" s="1109" t="s">
        <v>38</v>
      </c>
      <c r="F667" s="2051" t="e">
        <f>+'VAL. PRINC'!#REF!</f>
        <v>#REF!</v>
      </c>
      <c r="G667" s="2031"/>
    </row>
    <row r="668" spans="3:7">
      <c r="C668" s="1126" t="s">
        <v>2699</v>
      </c>
      <c r="D668" s="1127" t="s">
        <v>3456</v>
      </c>
      <c r="E668" s="1128"/>
      <c r="F668" s="2051"/>
      <c r="G668" s="2031"/>
    </row>
    <row r="669" spans="3:7" hidden="1">
      <c r="C669" s="1133" t="s">
        <v>2700</v>
      </c>
      <c r="D669" s="1125" t="s">
        <v>3448</v>
      </c>
      <c r="E669" s="1134"/>
      <c r="F669" s="2051"/>
      <c r="G669" s="2031"/>
    </row>
    <row r="670" spans="3:7" hidden="1">
      <c r="C670" s="1129" t="s">
        <v>2701</v>
      </c>
      <c r="D670" s="1107" t="s">
        <v>3457</v>
      </c>
      <c r="E670" s="1109" t="s">
        <v>38</v>
      </c>
      <c r="F670" s="2051" t="e">
        <f>+'VAL. PRINC'!#REF!</f>
        <v>#REF!</v>
      </c>
      <c r="G670" s="2031"/>
    </row>
    <row r="671" spans="3:7" hidden="1">
      <c r="C671" s="1129" t="s">
        <v>2702</v>
      </c>
      <c r="D671" s="1107" t="s">
        <v>3458</v>
      </c>
      <c r="E671" s="1109" t="s">
        <v>38</v>
      </c>
      <c r="F671" s="2051" t="e">
        <f>+'VAL. PRINC'!#REF!</f>
        <v>#REF!</v>
      </c>
      <c r="G671" s="2031"/>
    </row>
    <row r="672" spans="3:7" hidden="1">
      <c r="C672" s="1129" t="s">
        <v>2703</v>
      </c>
      <c r="D672" s="1107" t="s">
        <v>3459</v>
      </c>
      <c r="E672" s="1109" t="s">
        <v>36</v>
      </c>
      <c r="F672" s="2051" t="e">
        <f>+'VAL. PRINC'!#REF!</f>
        <v>#REF!</v>
      </c>
      <c r="G672" s="2031"/>
    </row>
    <row r="673" spans="3:7" hidden="1">
      <c r="C673" s="1129" t="s">
        <v>2704</v>
      </c>
      <c r="D673" s="1107" t="s">
        <v>3460</v>
      </c>
      <c r="E673" s="1109" t="s">
        <v>36</v>
      </c>
      <c r="F673" s="2051" t="e">
        <f>+'VAL. PRINC'!#REF!</f>
        <v>#REF!</v>
      </c>
      <c r="G673" s="2031"/>
    </row>
    <row r="674" spans="3:7" hidden="1">
      <c r="C674" s="1133" t="s">
        <v>2705</v>
      </c>
      <c r="D674" s="1125" t="s">
        <v>3452</v>
      </c>
      <c r="E674" s="1134"/>
      <c r="F674" s="2051"/>
      <c r="G674" s="2031"/>
    </row>
    <row r="675" spans="3:7" hidden="1">
      <c r="C675" s="1129" t="s">
        <v>2706</v>
      </c>
      <c r="D675" s="1107" t="s">
        <v>3461</v>
      </c>
      <c r="E675" s="1109" t="s">
        <v>38</v>
      </c>
      <c r="F675" s="2051" t="e">
        <f>+'VAL. PRINC'!#REF!</f>
        <v>#REF!</v>
      </c>
      <c r="G675" s="2031"/>
    </row>
    <row r="676" spans="3:7" hidden="1">
      <c r="C676" s="1129" t="s">
        <v>2707</v>
      </c>
      <c r="D676" s="1107" t="s">
        <v>3462</v>
      </c>
      <c r="E676" s="1109" t="s">
        <v>38</v>
      </c>
      <c r="F676" s="2051" t="e">
        <f>+'VAL. PRINC'!#REF!</f>
        <v>#REF!</v>
      </c>
      <c r="G676" s="2031"/>
    </row>
    <row r="677" spans="3:7" hidden="1">
      <c r="C677" s="1133" t="s">
        <v>2708</v>
      </c>
      <c r="D677" s="1125" t="s">
        <v>3463</v>
      </c>
      <c r="E677" s="1134"/>
      <c r="F677" s="2051"/>
      <c r="G677" s="2031"/>
    </row>
    <row r="678" spans="3:7" hidden="1">
      <c r="C678" s="1129" t="s">
        <v>2709</v>
      </c>
      <c r="D678" s="1107" t="s">
        <v>3464</v>
      </c>
      <c r="E678" s="1109" t="s">
        <v>1452</v>
      </c>
      <c r="F678" s="2051" t="e">
        <f>+'VAL. PRINC'!#REF!</f>
        <v>#REF!</v>
      </c>
      <c r="G678" s="2031"/>
    </row>
    <row r="679" spans="3:7" hidden="1">
      <c r="C679" s="1129" t="s">
        <v>2710</v>
      </c>
      <c r="D679" s="1107" t="s">
        <v>3465</v>
      </c>
      <c r="E679" s="1109" t="s">
        <v>36</v>
      </c>
      <c r="F679" s="2051" t="e">
        <f>+'VAL. PRINC'!#REF!</f>
        <v>#REF!</v>
      </c>
      <c r="G679" s="2031"/>
    </row>
    <row r="680" spans="3:7" hidden="1">
      <c r="C680" s="1133" t="s">
        <v>2711</v>
      </c>
      <c r="D680" s="1125" t="s">
        <v>3466</v>
      </c>
      <c r="E680" s="1134"/>
      <c r="F680" s="2051" t="e">
        <f>+'VAL. PRINC'!#REF!</f>
        <v>#REF!</v>
      </c>
      <c r="G680" s="2031"/>
    </row>
    <row r="681" spans="3:7" hidden="1">
      <c r="C681" s="1378" t="s">
        <v>2712</v>
      </c>
      <c r="D681" s="1379" t="s">
        <v>3584</v>
      </c>
      <c r="E681" s="1380"/>
      <c r="F681" s="2051" t="e">
        <f>+'VAL. PRINC'!#REF!</f>
        <v>#REF!</v>
      </c>
      <c r="G681" s="2031"/>
    </row>
    <row r="682" spans="3:7" hidden="1">
      <c r="C682" s="1129" t="s">
        <v>2713</v>
      </c>
      <c r="D682" s="1107" t="s">
        <v>3467</v>
      </c>
      <c r="E682" s="1109" t="s">
        <v>36</v>
      </c>
      <c r="F682" s="2051" t="e">
        <f>+'VAL. PRINC'!#REF!</f>
        <v>#REF!</v>
      </c>
      <c r="G682" s="2031"/>
    </row>
    <row r="683" spans="3:7" hidden="1">
      <c r="C683" s="1129" t="s">
        <v>2714</v>
      </c>
      <c r="D683" s="1107" t="s">
        <v>3468</v>
      </c>
      <c r="E683" s="1109" t="s">
        <v>36</v>
      </c>
      <c r="F683" s="2051" t="e">
        <f>+'VAL. PRINC'!#REF!</f>
        <v>#REF!</v>
      </c>
      <c r="G683" s="2031"/>
    </row>
    <row r="684" spans="3:7" hidden="1">
      <c r="C684" s="1129" t="s">
        <v>2715</v>
      </c>
      <c r="D684" s="1107" t="s">
        <v>3469</v>
      </c>
      <c r="E684" s="1109" t="s">
        <v>36</v>
      </c>
      <c r="F684" s="2051" t="e">
        <f>+'VAL. PRINC'!#REF!</f>
        <v>#REF!</v>
      </c>
      <c r="G684" s="2031"/>
    </row>
    <row r="685" spans="3:7" hidden="1">
      <c r="C685" s="1129" t="s">
        <v>2716</v>
      </c>
      <c r="D685" s="1107" t="s">
        <v>3470</v>
      </c>
      <c r="E685" s="1109" t="s">
        <v>36</v>
      </c>
      <c r="F685" s="2051" t="e">
        <f>+'VAL. PRINC'!#REF!</f>
        <v>#REF!</v>
      </c>
      <c r="G685" s="2031"/>
    </row>
    <row r="686" spans="3:7" hidden="1">
      <c r="C686" s="1129" t="s">
        <v>2717</v>
      </c>
      <c r="D686" s="1107" t="s">
        <v>3471</v>
      </c>
      <c r="E686" s="1109" t="s">
        <v>36</v>
      </c>
      <c r="F686" s="2051" t="e">
        <f>+'VAL. PRINC'!#REF!</f>
        <v>#REF!</v>
      </c>
      <c r="G686" s="2031"/>
    </row>
    <row r="687" spans="3:7" hidden="1">
      <c r="C687" s="1129" t="s">
        <v>2718</v>
      </c>
      <c r="D687" s="1107" t="s">
        <v>3472</v>
      </c>
      <c r="E687" s="1109" t="s">
        <v>36</v>
      </c>
      <c r="F687" s="2051" t="e">
        <f>+'VAL. PRINC'!#REF!</f>
        <v>#REF!</v>
      </c>
      <c r="G687" s="2031"/>
    </row>
    <row r="688" spans="3:7" hidden="1">
      <c r="C688" s="1378" t="s">
        <v>2719</v>
      </c>
      <c r="D688" s="1379" t="s">
        <v>3473</v>
      </c>
      <c r="E688" s="1380"/>
      <c r="F688" s="2051"/>
      <c r="G688" s="2031"/>
    </row>
    <row r="689" spans="3:7" hidden="1">
      <c r="C689" s="1129" t="s">
        <v>2720</v>
      </c>
      <c r="D689" s="1107" t="s">
        <v>3474</v>
      </c>
      <c r="E689" s="1109" t="s">
        <v>36</v>
      </c>
      <c r="F689" s="2051" t="e">
        <f>+'VAL. PRINC'!#REF!</f>
        <v>#REF!</v>
      </c>
      <c r="G689" s="2031"/>
    </row>
    <row r="690" spans="3:7" hidden="1">
      <c r="C690" s="1129" t="s">
        <v>2721</v>
      </c>
      <c r="D690" s="1107" t="s">
        <v>3475</v>
      </c>
      <c r="E690" s="1109" t="s">
        <v>36</v>
      </c>
      <c r="F690" s="2051" t="e">
        <f>+'VAL. PRINC'!#REF!</f>
        <v>#REF!</v>
      </c>
      <c r="G690" s="2031"/>
    </row>
    <row r="691" spans="3:7" hidden="1">
      <c r="C691" s="1378" t="s">
        <v>2722</v>
      </c>
      <c r="D691" s="1379" t="s">
        <v>3476</v>
      </c>
      <c r="E691" s="1380"/>
      <c r="F691" s="2051" t="e">
        <f>+'VAL. PRINC'!#REF!</f>
        <v>#REF!</v>
      </c>
      <c r="G691" s="2031"/>
    </row>
    <row r="692" spans="3:7" hidden="1">
      <c r="C692" s="1129" t="s">
        <v>2723</v>
      </c>
      <c r="D692" s="1107" t="s">
        <v>3477</v>
      </c>
      <c r="E692" s="1109" t="s">
        <v>36</v>
      </c>
      <c r="F692" s="2051" t="e">
        <f>+'VAL. PRINC'!#REF!</f>
        <v>#REF!</v>
      </c>
      <c r="G692" s="2031"/>
    </row>
    <row r="693" spans="3:7">
      <c r="C693" s="1378" t="s">
        <v>2724</v>
      </c>
      <c r="D693" s="1379" t="s">
        <v>3478</v>
      </c>
      <c r="E693" s="1380"/>
      <c r="F693" s="2051"/>
      <c r="G693" s="2031"/>
    </row>
    <row r="694" spans="3:7" hidden="1">
      <c r="C694" s="1129" t="s">
        <v>2725</v>
      </c>
      <c r="D694" s="1107" t="s">
        <v>3479</v>
      </c>
      <c r="E694" s="1109" t="s">
        <v>36</v>
      </c>
      <c r="F694" s="2051"/>
      <c r="G694" s="2031"/>
    </row>
    <row r="695" spans="3:7" hidden="1">
      <c r="C695" s="1129" t="s">
        <v>2726</v>
      </c>
      <c r="D695" s="1107" t="s">
        <v>3480</v>
      </c>
      <c r="E695" s="1109" t="s">
        <v>36</v>
      </c>
      <c r="F695" s="2051"/>
      <c r="G695" s="2031"/>
    </row>
    <row r="696" spans="3:7" hidden="1">
      <c r="C696" s="1133" t="s">
        <v>2727</v>
      </c>
      <c r="D696" s="1125" t="s">
        <v>3481</v>
      </c>
      <c r="E696" s="1134"/>
      <c r="F696" s="2051"/>
      <c r="G696" s="2031"/>
    </row>
    <row r="697" spans="3:7" hidden="1">
      <c r="C697" s="1129" t="s">
        <v>2728</v>
      </c>
      <c r="D697" s="1107" t="s">
        <v>3482</v>
      </c>
      <c r="E697" s="1109" t="s">
        <v>1452</v>
      </c>
      <c r="F697" s="2051"/>
      <c r="G697" s="2031"/>
    </row>
    <row r="698" spans="3:7" hidden="1">
      <c r="C698" s="1129" t="s">
        <v>2729</v>
      </c>
      <c r="D698" s="1107" t="s">
        <v>3483</v>
      </c>
      <c r="E698" s="1109" t="s">
        <v>1452</v>
      </c>
      <c r="F698" s="2051"/>
      <c r="G698" s="2031"/>
    </row>
    <row r="699" spans="3:7" hidden="1">
      <c r="C699" s="1129" t="s">
        <v>2730</v>
      </c>
      <c r="D699" s="1107" t="s">
        <v>3484</v>
      </c>
      <c r="E699" s="1109" t="s">
        <v>1452</v>
      </c>
      <c r="F699" s="2051"/>
      <c r="G699" s="2031"/>
    </row>
    <row r="700" spans="3:7" hidden="1">
      <c r="C700" s="1133" t="s">
        <v>2731</v>
      </c>
      <c r="D700" s="1125" t="s">
        <v>3485</v>
      </c>
      <c r="E700" s="1134"/>
      <c r="F700" s="2051"/>
      <c r="G700" s="2031"/>
    </row>
    <row r="701" spans="3:7" hidden="1">
      <c r="C701" s="1129" t="s">
        <v>2732</v>
      </c>
      <c r="D701" s="1107" t="s">
        <v>3486</v>
      </c>
      <c r="E701" s="1109" t="s">
        <v>36</v>
      </c>
      <c r="F701" s="2051"/>
      <c r="G701" s="2031"/>
    </row>
    <row r="702" spans="3:7" hidden="1">
      <c r="C702" s="1129" t="s">
        <v>2733</v>
      </c>
      <c r="D702" s="1107" t="s">
        <v>3487</v>
      </c>
      <c r="E702" s="1109" t="s">
        <v>36</v>
      </c>
      <c r="F702" s="2051"/>
      <c r="G702" s="2031"/>
    </row>
    <row r="703" spans="3:7">
      <c r="C703" s="1133" t="s">
        <v>2734</v>
      </c>
      <c r="D703" s="1125" t="s">
        <v>3488</v>
      </c>
      <c r="E703" s="1134"/>
      <c r="F703" s="2051"/>
      <c r="G703" s="2031"/>
    </row>
    <row r="704" spans="3:7">
      <c r="C704" s="1129" t="s">
        <v>2735</v>
      </c>
      <c r="D704" s="1107" t="s">
        <v>3489</v>
      </c>
      <c r="E704" s="1109" t="s">
        <v>36</v>
      </c>
      <c r="F704" s="2051" t="e">
        <f>+'VAL. PRINC'!#REF!</f>
        <v>#REF!</v>
      </c>
      <c r="G704" s="2031"/>
    </row>
    <row r="705" spans="3:7">
      <c r="C705" s="1129" t="s">
        <v>2736</v>
      </c>
      <c r="D705" s="1107" t="s">
        <v>3490</v>
      </c>
      <c r="E705" s="1109" t="s">
        <v>36</v>
      </c>
      <c r="F705" s="2051" t="e">
        <f>+'VAL. PRINC'!#REF!</f>
        <v>#REF!</v>
      </c>
      <c r="G705" s="2031"/>
    </row>
    <row r="706" spans="3:7" hidden="1">
      <c r="C706" s="1133" t="s">
        <v>2737</v>
      </c>
      <c r="D706" s="1125" t="s">
        <v>3491</v>
      </c>
      <c r="E706" s="1134"/>
      <c r="F706" s="2051"/>
      <c r="G706" s="2031"/>
    </row>
    <row r="707" spans="3:7" hidden="1">
      <c r="C707" s="1129" t="s">
        <v>2738</v>
      </c>
      <c r="D707" s="1107" t="s">
        <v>3492</v>
      </c>
      <c r="E707" s="1109" t="s">
        <v>1452</v>
      </c>
      <c r="F707" s="2051" t="e">
        <f>+'VAL. PRINC'!#REF!</f>
        <v>#REF!</v>
      </c>
      <c r="G707" s="2031"/>
    </row>
    <row r="708" spans="3:7" hidden="1">
      <c r="C708" s="1129" t="s">
        <v>2739</v>
      </c>
      <c r="D708" s="1107" t="s">
        <v>3493</v>
      </c>
      <c r="E708" s="1109" t="s">
        <v>1452</v>
      </c>
      <c r="F708" s="2051" t="e">
        <f>+'VAL. PRINC'!#REF!</f>
        <v>#REF!</v>
      </c>
      <c r="G708" s="2031"/>
    </row>
    <row r="709" spans="3:7" hidden="1">
      <c r="C709" s="1126" t="s">
        <v>2740</v>
      </c>
      <c r="D709" s="1127" t="s">
        <v>3494</v>
      </c>
      <c r="E709" s="1128"/>
      <c r="F709" s="2051"/>
      <c r="G709" s="2031"/>
    </row>
    <row r="710" spans="3:7" hidden="1">
      <c r="C710" s="1133" t="s">
        <v>2741</v>
      </c>
      <c r="D710" s="1125" t="s">
        <v>3448</v>
      </c>
      <c r="E710" s="1134"/>
      <c r="F710" s="2051"/>
      <c r="G710" s="2031"/>
    </row>
    <row r="711" spans="3:7" hidden="1">
      <c r="C711" s="1129" t="s">
        <v>2742</v>
      </c>
      <c r="D711" s="1107" t="s">
        <v>3458</v>
      </c>
      <c r="E711" s="1109" t="s">
        <v>38</v>
      </c>
      <c r="F711" s="2051" t="e">
        <f>+'VAL. PRINC'!#REF!</f>
        <v>#REF!</v>
      </c>
      <c r="G711" s="2031"/>
    </row>
    <row r="712" spans="3:7" hidden="1">
      <c r="C712" s="1129" t="s">
        <v>2743</v>
      </c>
      <c r="D712" s="1107" t="s">
        <v>3459</v>
      </c>
      <c r="E712" s="1109" t="s">
        <v>36</v>
      </c>
      <c r="F712" s="2051" t="e">
        <f>+'VAL. PRINC'!#REF!</f>
        <v>#REF!</v>
      </c>
      <c r="G712" s="2031"/>
    </row>
    <row r="713" spans="3:7" hidden="1">
      <c r="C713" s="1133" t="s">
        <v>2744</v>
      </c>
      <c r="D713" s="1125" t="s">
        <v>3452</v>
      </c>
      <c r="E713" s="1134"/>
      <c r="F713" s="2051"/>
      <c r="G713" s="2031"/>
    </row>
    <row r="714" spans="3:7" hidden="1">
      <c r="C714" s="1129" t="s">
        <v>2745</v>
      </c>
      <c r="D714" s="1107" t="s">
        <v>3461</v>
      </c>
      <c r="E714" s="1109" t="s">
        <v>38</v>
      </c>
      <c r="F714" s="2051" t="e">
        <f>+'VAL. PRINC'!#REF!</f>
        <v>#REF!</v>
      </c>
      <c r="G714" s="2031"/>
    </row>
    <row r="715" spans="3:7" hidden="1">
      <c r="C715" s="1129" t="s">
        <v>2746</v>
      </c>
      <c r="D715" s="1107" t="s">
        <v>3462</v>
      </c>
      <c r="E715" s="1109" t="s">
        <v>38</v>
      </c>
      <c r="F715" s="2051" t="e">
        <f>+'VAL. PRINC'!#REF!</f>
        <v>#REF!</v>
      </c>
      <c r="G715" s="2031"/>
    </row>
    <row r="716" spans="3:7" hidden="1">
      <c r="C716" s="1133" t="s">
        <v>2747</v>
      </c>
      <c r="D716" s="1125" t="s">
        <v>3495</v>
      </c>
      <c r="E716" s="1134"/>
      <c r="F716" s="2051"/>
      <c r="G716" s="2031"/>
    </row>
    <row r="717" spans="3:7" hidden="1">
      <c r="C717" s="1129" t="s">
        <v>2748</v>
      </c>
      <c r="D717" s="1107" t="s">
        <v>3465</v>
      </c>
      <c r="E717" s="1109" t="s">
        <v>36</v>
      </c>
      <c r="F717" s="2051" t="e">
        <f>+'VAL. PRINC'!#REF!</f>
        <v>#REF!</v>
      </c>
      <c r="G717" s="2031"/>
    </row>
    <row r="718" spans="3:7" hidden="1">
      <c r="C718" s="1133" t="s">
        <v>2749</v>
      </c>
      <c r="D718" s="1125" t="s">
        <v>3466</v>
      </c>
      <c r="E718" s="1134"/>
      <c r="F718" s="2051"/>
      <c r="G718" s="2031"/>
    </row>
    <row r="719" spans="3:7">
      <c r="C719" s="1378" t="s">
        <v>2750</v>
      </c>
      <c r="D719" s="1379" t="s">
        <v>3473</v>
      </c>
      <c r="E719" s="1380"/>
      <c r="F719" s="2051"/>
      <c r="G719" s="2031"/>
    </row>
    <row r="720" spans="3:7" hidden="1">
      <c r="C720" s="1129" t="s">
        <v>2751</v>
      </c>
      <c r="D720" s="1107" t="s">
        <v>3496</v>
      </c>
      <c r="E720" s="1109" t="s">
        <v>36</v>
      </c>
      <c r="F720" s="2051" t="e">
        <f>+'VAL. PRINC'!#REF!</f>
        <v>#REF!</v>
      </c>
      <c r="G720" s="2031"/>
    </row>
    <row r="721" spans="3:7">
      <c r="C721" s="1133" t="s">
        <v>2752</v>
      </c>
      <c r="D721" s="1125" t="s">
        <v>3495</v>
      </c>
      <c r="E721" s="1134"/>
      <c r="F721" s="2051"/>
      <c r="G721" s="2031"/>
    </row>
    <row r="722" spans="3:7">
      <c r="C722" s="1129" t="s">
        <v>2753</v>
      </c>
      <c r="D722" s="1107" t="s">
        <v>3497</v>
      </c>
      <c r="E722" s="1109" t="s">
        <v>1452</v>
      </c>
      <c r="F722" s="2051" t="e">
        <f>+'VAL. PRINC'!#REF!</f>
        <v>#REF!</v>
      </c>
      <c r="G722" s="2031"/>
    </row>
    <row r="723" spans="3:7" hidden="1">
      <c r="C723" s="1133" t="s">
        <v>2754</v>
      </c>
      <c r="D723" s="1125" t="s">
        <v>3485</v>
      </c>
      <c r="E723" s="1134"/>
      <c r="F723" s="2051"/>
      <c r="G723" s="2031"/>
    </row>
    <row r="724" spans="3:7" hidden="1">
      <c r="C724" s="1129" t="s">
        <v>2755</v>
      </c>
      <c r="D724" s="1107" t="s">
        <v>3486</v>
      </c>
      <c r="E724" s="1109" t="s">
        <v>36</v>
      </c>
      <c r="F724" s="2051" t="e">
        <f>+'VAL. PRINC'!#REF!</f>
        <v>#REF!</v>
      </c>
      <c r="G724" s="2031"/>
    </row>
    <row r="725" spans="3:7" hidden="1">
      <c r="C725" s="1126" t="s">
        <v>2756</v>
      </c>
      <c r="D725" s="1127" t="s">
        <v>3498</v>
      </c>
      <c r="E725" s="1128"/>
      <c r="F725" s="2051" t="e">
        <f>+'VAL. PRINC'!#REF!</f>
        <v>#REF!</v>
      </c>
      <c r="G725" s="2031"/>
    </row>
    <row r="726" spans="3:7" hidden="1">
      <c r="C726" s="1129" t="s">
        <v>2757</v>
      </c>
      <c r="D726" s="1107" t="s">
        <v>3499</v>
      </c>
      <c r="E726" s="1109" t="s">
        <v>41</v>
      </c>
      <c r="F726" s="2051" t="e">
        <f>+'VAL. PRINC'!#REF!</f>
        <v>#REF!</v>
      </c>
      <c r="G726" s="2031"/>
    </row>
    <row r="727" spans="3:7">
      <c r="C727" s="1384" t="s">
        <v>514</v>
      </c>
      <c r="D727" s="1131" t="s">
        <v>2826</v>
      </c>
      <c r="E727" s="1132"/>
      <c r="F727" s="2051"/>
      <c r="G727" s="2031"/>
    </row>
    <row r="728" spans="3:7">
      <c r="C728" s="1126" t="s">
        <v>515</v>
      </c>
      <c r="D728" s="1127" t="s">
        <v>3500</v>
      </c>
      <c r="E728" s="1128"/>
      <c r="F728" s="2051"/>
      <c r="G728" s="2031"/>
    </row>
    <row r="729" spans="3:7">
      <c r="C729" s="1133" t="s">
        <v>1805</v>
      </c>
      <c r="D729" s="1125" t="s">
        <v>3501</v>
      </c>
      <c r="E729" s="1134"/>
      <c r="F729" s="2051"/>
      <c r="G729" s="2031"/>
    </row>
    <row r="730" spans="3:7">
      <c r="C730" s="1378" t="s">
        <v>2758</v>
      </c>
      <c r="D730" s="1379" t="s">
        <v>3502</v>
      </c>
      <c r="E730" s="1380"/>
      <c r="F730" s="2051"/>
      <c r="G730" s="2031"/>
    </row>
    <row r="731" spans="3:7" hidden="1">
      <c r="C731" s="1385" t="s">
        <v>2759</v>
      </c>
      <c r="D731" s="1386" t="s">
        <v>3503</v>
      </c>
      <c r="E731" s="1387"/>
      <c r="F731" s="2051"/>
      <c r="G731" s="2031"/>
    </row>
    <row r="732" spans="3:7" hidden="1">
      <c r="C732" s="1129" t="s">
        <v>2760</v>
      </c>
      <c r="D732" s="1107" t="s">
        <v>3504</v>
      </c>
      <c r="E732" s="1109" t="s">
        <v>40</v>
      </c>
      <c r="F732" s="2051" t="e">
        <f>+'VAL. PRINC'!#REF!</f>
        <v>#REF!</v>
      </c>
      <c r="G732" s="2031"/>
    </row>
    <row r="733" spans="3:7" hidden="1">
      <c r="C733" s="1129" t="s">
        <v>2761</v>
      </c>
      <c r="D733" s="1107" t="s">
        <v>3505</v>
      </c>
      <c r="E733" s="1109" t="s">
        <v>40</v>
      </c>
      <c r="F733" s="2051" t="e">
        <f>+'VAL. PRINC'!#REF!</f>
        <v>#REF!</v>
      </c>
      <c r="G733" s="2031"/>
    </row>
    <row r="734" spans="3:7" hidden="1">
      <c r="C734" s="1129" t="s">
        <v>2762</v>
      </c>
      <c r="D734" s="1107" t="s">
        <v>3506</v>
      </c>
      <c r="E734" s="1109" t="s">
        <v>40</v>
      </c>
      <c r="F734" s="2051" t="e">
        <f>+'VAL. PRINC'!#REF!</f>
        <v>#REF!</v>
      </c>
      <c r="G734" s="2031"/>
    </row>
    <row r="735" spans="3:7" hidden="1">
      <c r="C735" s="1129" t="s">
        <v>2763</v>
      </c>
      <c r="D735" s="1107" t="s">
        <v>3507</v>
      </c>
      <c r="E735" s="1109" t="s">
        <v>40</v>
      </c>
      <c r="F735" s="2051" t="e">
        <f>+'VAL. PRINC'!#REF!</f>
        <v>#REF!</v>
      </c>
      <c r="G735" s="2031"/>
    </row>
    <row r="736" spans="3:7" hidden="1">
      <c r="C736" s="1129" t="s">
        <v>2764</v>
      </c>
      <c r="D736" s="1107" t="s">
        <v>3508</v>
      </c>
      <c r="E736" s="1109" t="s">
        <v>40</v>
      </c>
      <c r="F736" s="2051" t="e">
        <f>+'VAL. PRINC'!#REF!</f>
        <v>#REF!</v>
      </c>
      <c r="G736" s="2031"/>
    </row>
    <row r="737" spans="3:7" hidden="1">
      <c r="C737" s="1129" t="s">
        <v>2765</v>
      </c>
      <c r="D737" s="1107" t="s">
        <v>3509</v>
      </c>
      <c r="E737" s="1109" t="s">
        <v>40</v>
      </c>
      <c r="F737" s="2051" t="e">
        <f>+'VAL. PRINC'!#REF!</f>
        <v>#REF!</v>
      </c>
      <c r="G737" s="2031"/>
    </row>
    <row r="738" spans="3:7" hidden="1">
      <c r="C738" s="1129" t="s">
        <v>2766</v>
      </c>
      <c r="D738" s="1107" t="s">
        <v>3510</v>
      </c>
      <c r="E738" s="1109" t="s">
        <v>40</v>
      </c>
      <c r="F738" s="2051" t="e">
        <f>+'VAL. PRINC'!#REF!</f>
        <v>#REF!</v>
      </c>
      <c r="G738" s="2031"/>
    </row>
    <row r="739" spans="3:7">
      <c r="C739" s="1385" t="s">
        <v>2767</v>
      </c>
      <c r="D739" s="1386" t="s">
        <v>3511</v>
      </c>
      <c r="E739" s="1387"/>
      <c r="F739" s="2051"/>
      <c r="G739" s="2031"/>
    </row>
    <row r="740" spans="3:7">
      <c r="C740" s="1129" t="s">
        <v>2768</v>
      </c>
      <c r="D740" s="1107" t="s">
        <v>3512</v>
      </c>
      <c r="E740" s="1109" t="s">
        <v>36</v>
      </c>
      <c r="F740" s="2051" t="e">
        <f>+'VAL. PRINC'!#REF!</f>
        <v>#REF!</v>
      </c>
      <c r="G740" s="2031"/>
    </row>
    <row r="741" spans="3:7" hidden="1">
      <c r="C741" s="1385" t="s">
        <v>2769</v>
      </c>
      <c r="D741" s="1386" t="s">
        <v>3513</v>
      </c>
      <c r="E741" s="1387"/>
      <c r="F741" s="2051"/>
      <c r="G741" s="2031"/>
    </row>
    <row r="742" spans="3:7" hidden="1">
      <c r="C742" s="1129" t="s">
        <v>2770</v>
      </c>
      <c r="D742" s="1107" t="s">
        <v>3514</v>
      </c>
      <c r="E742" s="1109" t="s">
        <v>38</v>
      </c>
      <c r="F742" s="2051" t="e">
        <f>+'VAL. PRINC'!#REF!</f>
        <v>#REF!</v>
      </c>
      <c r="G742" s="2031"/>
    </row>
    <row r="743" spans="3:7">
      <c r="C743" s="1378" t="s">
        <v>2771</v>
      </c>
      <c r="D743" s="1379" t="s">
        <v>3515</v>
      </c>
      <c r="E743" s="1380"/>
      <c r="F743" s="2051"/>
      <c r="G743" s="2031"/>
    </row>
    <row r="744" spans="3:7">
      <c r="C744" s="1129" t="s">
        <v>2772</v>
      </c>
      <c r="D744" s="1107" t="s">
        <v>3516</v>
      </c>
      <c r="E744" s="1109" t="s">
        <v>38</v>
      </c>
      <c r="F744" s="2051" t="e">
        <f>+'VAL. PRINC'!#REF!</f>
        <v>#REF!</v>
      </c>
      <c r="G744" s="2031"/>
    </row>
    <row r="745" spans="3:7" hidden="1">
      <c r="C745" s="1129" t="s">
        <v>2773</v>
      </c>
      <c r="D745" s="1107" t="s">
        <v>3517</v>
      </c>
      <c r="E745" s="1109" t="s">
        <v>38</v>
      </c>
      <c r="F745" s="2051" t="e">
        <f>+'VAL. PRINC'!#REF!</f>
        <v>#REF!</v>
      </c>
      <c r="G745" s="2031"/>
    </row>
    <row r="746" spans="3:7" hidden="1">
      <c r="C746" s="1129" t="s">
        <v>2774</v>
      </c>
      <c r="D746" s="1107" t="s">
        <v>3518</v>
      </c>
      <c r="E746" s="1109" t="s">
        <v>38</v>
      </c>
      <c r="F746" s="2051" t="e">
        <f>+'VAL. PRINC'!#REF!</f>
        <v>#REF!</v>
      </c>
      <c r="G746" s="2031"/>
    </row>
    <row r="747" spans="3:7" hidden="1">
      <c r="C747" s="1133" t="s">
        <v>1929</v>
      </c>
      <c r="D747" s="1125" t="s">
        <v>3519</v>
      </c>
      <c r="E747" s="1134"/>
      <c r="F747" s="2051"/>
      <c r="G747" s="2031"/>
    </row>
    <row r="748" spans="3:7" hidden="1">
      <c r="C748" s="1129" t="s">
        <v>2775</v>
      </c>
      <c r="D748" s="1107" t="s">
        <v>3520</v>
      </c>
      <c r="E748" s="1109" t="s">
        <v>38</v>
      </c>
      <c r="F748" s="2051" t="e">
        <f>+'VAL. PRINC'!#REF!</f>
        <v>#REF!</v>
      </c>
      <c r="G748" s="2031"/>
    </row>
    <row r="749" spans="3:7" hidden="1">
      <c r="C749" s="1129" t="s">
        <v>2776</v>
      </c>
      <c r="D749" s="1107" t="s">
        <v>3521</v>
      </c>
      <c r="E749" s="1109" t="s">
        <v>38</v>
      </c>
      <c r="F749" s="2051" t="e">
        <f>+'VAL. PRINC'!#REF!</f>
        <v>#REF!</v>
      </c>
      <c r="G749" s="2031"/>
    </row>
    <row r="750" spans="3:7" hidden="1">
      <c r="C750" s="1129" t="s">
        <v>2777</v>
      </c>
      <c r="D750" s="1107" t="s">
        <v>3522</v>
      </c>
      <c r="E750" s="1109" t="s">
        <v>38</v>
      </c>
      <c r="F750" s="2051" t="e">
        <f>+'VAL. PRINC'!#REF!</f>
        <v>#REF!</v>
      </c>
      <c r="G750" s="2031"/>
    </row>
    <row r="751" spans="3:7" hidden="1">
      <c r="C751" s="1129" t="s">
        <v>2778</v>
      </c>
      <c r="D751" s="1107" t="s">
        <v>3523</v>
      </c>
      <c r="E751" s="1109" t="s">
        <v>38</v>
      </c>
      <c r="F751" s="2051" t="e">
        <f>+'VAL. PRINC'!#REF!</f>
        <v>#REF!</v>
      </c>
      <c r="G751" s="2031"/>
    </row>
    <row r="752" spans="3:7" hidden="1">
      <c r="C752" s="1129" t="s">
        <v>2779</v>
      </c>
      <c r="D752" s="1107" t="s">
        <v>3524</v>
      </c>
      <c r="E752" s="1109" t="s">
        <v>38</v>
      </c>
      <c r="F752" s="2051" t="e">
        <f>+'VAL. PRINC'!#REF!</f>
        <v>#REF!</v>
      </c>
      <c r="G752" s="2031"/>
    </row>
    <row r="753" spans="3:7" hidden="1">
      <c r="C753" s="1133" t="s">
        <v>1931</v>
      </c>
      <c r="D753" s="1125" t="s">
        <v>3525</v>
      </c>
      <c r="E753" s="1134"/>
      <c r="F753" s="2051"/>
      <c r="G753" s="2031"/>
    </row>
    <row r="754" spans="3:7" hidden="1">
      <c r="C754" s="1129" t="s">
        <v>2780</v>
      </c>
      <c r="D754" s="1107" t="s">
        <v>3526</v>
      </c>
      <c r="E754" s="1109" t="s">
        <v>36</v>
      </c>
      <c r="F754" s="2051" t="e">
        <f>+'VAL. PRINC'!#REF!</f>
        <v>#REF!</v>
      </c>
      <c r="G754" s="2031"/>
    </row>
    <row r="755" spans="3:7" hidden="1">
      <c r="C755" s="1133" t="s">
        <v>1932</v>
      </c>
      <c r="D755" s="1125" t="s">
        <v>3527</v>
      </c>
      <c r="E755" s="1134"/>
      <c r="F755" s="2051"/>
      <c r="G755" s="2031"/>
    </row>
    <row r="756" spans="3:7" hidden="1">
      <c r="C756" s="1129" t="s">
        <v>2781</v>
      </c>
      <c r="D756" s="1107" t="s">
        <v>3528</v>
      </c>
      <c r="E756" s="1109" t="s">
        <v>36</v>
      </c>
      <c r="F756" s="2051" t="e">
        <f>+'VAL. PRINC'!#REF!</f>
        <v>#REF!</v>
      </c>
      <c r="G756" s="2031"/>
    </row>
    <row r="757" spans="3:7" hidden="1">
      <c r="C757" s="1129" t="s">
        <v>2782</v>
      </c>
      <c r="D757" s="1107" t="s">
        <v>3529</v>
      </c>
      <c r="E757" s="1109" t="s">
        <v>36</v>
      </c>
      <c r="F757" s="2051" t="e">
        <f>+'VAL. PRINC'!#REF!</f>
        <v>#REF!</v>
      </c>
      <c r="G757" s="2031"/>
    </row>
    <row r="758" spans="3:7">
      <c r="C758" s="1133" t="s">
        <v>1933</v>
      </c>
      <c r="D758" s="1125" t="s">
        <v>3530</v>
      </c>
      <c r="E758" s="1134"/>
      <c r="F758" s="2051"/>
      <c r="G758" s="2031"/>
    </row>
    <row r="759" spans="3:7" hidden="1">
      <c r="C759" s="1129" t="s">
        <v>2783</v>
      </c>
      <c r="D759" s="1107" t="s">
        <v>3531</v>
      </c>
      <c r="E759" s="1109" t="s">
        <v>36</v>
      </c>
      <c r="F759" s="2051" t="e">
        <f>+'VAL. PRINC'!#REF!</f>
        <v>#REF!</v>
      </c>
      <c r="G759" s="2031"/>
    </row>
    <row r="760" spans="3:7">
      <c r="C760" s="1129" t="s">
        <v>2784</v>
      </c>
      <c r="D760" s="1107" t="s">
        <v>3532</v>
      </c>
      <c r="E760" s="1109" t="s">
        <v>36</v>
      </c>
      <c r="F760" s="2051" t="e">
        <f>+'VAL. PRINC'!#REF!</f>
        <v>#REF!</v>
      </c>
      <c r="G760" s="2031"/>
    </row>
    <row r="761" spans="3:7" hidden="1">
      <c r="C761" s="1133" t="s">
        <v>1934</v>
      </c>
      <c r="D761" s="1125" t="s">
        <v>3533</v>
      </c>
      <c r="E761" s="1134"/>
      <c r="F761" s="2051"/>
      <c r="G761" s="2031"/>
    </row>
    <row r="762" spans="3:7" hidden="1">
      <c r="C762" s="1129" t="s">
        <v>2785</v>
      </c>
      <c r="D762" s="1107" t="s">
        <v>3534</v>
      </c>
      <c r="E762" s="1109" t="s">
        <v>36</v>
      </c>
      <c r="F762" s="2051" t="e">
        <f>+'VAL. PRINC'!#REF!</f>
        <v>#REF!</v>
      </c>
      <c r="G762" s="2031"/>
    </row>
    <row r="763" spans="3:7" hidden="1">
      <c r="C763" s="1129" t="s">
        <v>2786</v>
      </c>
      <c r="D763" s="1107" t="s">
        <v>3535</v>
      </c>
      <c r="E763" s="1109" t="s">
        <v>36</v>
      </c>
      <c r="F763" s="2051" t="e">
        <f>+'VAL. PRINC'!#REF!</f>
        <v>#REF!</v>
      </c>
      <c r="G763" s="2031"/>
    </row>
    <row r="764" spans="3:7" hidden="1">
      <c r="C764" s="1129" t="s">
        <v>2787</v>
      </c>
      <c r="D764" s="1107" t="s">
        <v>3536</v>
      </c>
      <c r="E764" s="1109" t="s">
        <v>36</v>
      </c>
      <c r="F764" s="2051" t="e">
        <f>+'VAL. PRINC'!#REF!</f>
        <v>#REF!</v>
      </c>
      <c r="G764" s="2031"/>
    </row>
    <row r="765" spans="3:7" hidden="1">
      <c r="C765" s="1129" t="s">
        <v>2788</v>
      </c>
      <c r="D765" s="1107" t="s">
        <v>3537</v>
      </c>
      <c r="E765" s="1109" t="s">
        <v>36</v>
      </c>
      <c r="F765" s="2051" t="e">
        <f>+'VAL. PRINC'!#REF!</f>
        <v>#REF!</v>
      </c>
      <c r="G765" s="2031"/>
    </row>
    <row r="766" spans="3:7" hidden="1">
      <c r="C766" s="1129" t="s">
        <v>2789</v>
      </c>
      <c r="D766" s="1107" t="s">
        <v>3538</v>
      </c>
      <c r="E766" s="1109" t="s">
        <v>36</v>
      </c>
      <c r="F766" s="2051" t="e">
        <f>+'VAL. PRINC'!#REF!</f>
        <v>#REF!</v>
      </c>
      <c r="G766" s="2031"/>
    </row>
    <row r="767" spans="3:7" hidden="1">
      <c r="C767" s="1129" t="s">
        <v>2790</v>
      </c>
      <c r="D767" s="1107" t="s">
        <v>3539</v>
      </c>
      <c r="E767" s="1109" t="s">
        <v>36</v>
      </c>
      <c r="F767" s="2051" t="e">
        <f>+'VAL. PRINC'!#REF!</f>
        <v>#REF!</v>
      </c>
      <c r="G767" s="2031"/>
    </row>
    <row r="768" spans="3:7" hidden="1">
      <c r="C768" s="1129" t="s">
        <v>2791</v>
      </c>
      <c r="D768" s="1107" t="s">
        <v>3540</v>
      </c>
      <c r="E768" s="1109" t="s">
        <v>36</v>
      </c>
      <c r="F768" s="2051" t="e">
        <f>+'VAL. PRINC'!#REF!</f>
        <v>#REF!</v>
      </c>
      <c r="G768" s="2031"/>
    </row>
    <row r="769" spans="3:7" hidden="1">
      <c r="C769" s="1129" t="s">
        <v>2792</v>
      </c>
      <c r="D769" s="1107" t="s">
        <v>3541</v>
      </c>
      <c r="E769" s="1109" t="s">
        <v>36</v>
      </c>
      <c r="F769" s="2051" t="e">
        <f>+'VAL. PRINC'!#REF!</f>
        <v>#REF!</v>
      </c>
      <c r="G769" s="2031"/>
    </row>
    <row r="770" spans="3:7">
      <c r="C770" s="1126" t="s">
        <v>2065</v>
      </c>
      <c r="D770" s="1127" t="s">
        <v>3542</v>
      </c>
      <c r="E770" s="1128"/>
      <c r="F770" s="2051"/>
      <c r="G770" s="2031"/>
    </row>
    <row r="771" spans="3:7" hidden="1">
      <c r="C771" s="1133" t="s">
        <v>2066</v>
      </c>
      <c r="D771" s="1125" t="s">
        <v>3501</v>
      </c>
      <c r="E771" s="1134"/>
      <c r="F771" s="2051"/>
      <c r="G771" s="2031"/>
    </row>
    <row r="772" spans="3:7" hidden="1">
      <c r="C772" s="1129" t="s">
        <v>2067</v>
      </c>
      <c r="D772" s="1107" t="s">
        <v>3543</v>
      </c>
      <c r="E772" s="1109" t="s">
        <v>38</v>
      </c>
      <c r="F772" s="2051" t="e">
        <f>+'VAL. PRINC'!#REF!</f>
        <v>#REF!</v>
      </c>
      <c r="G772" s="2031"/>
    </row>
    <row r="773" spans="3:7" hidden="1">
      <c r="C773" s="1129" t="s">
        <v>2793</v>
      </c>
      <c r="D773" s="1107" t="s">
        <v>3449</v>
      </c>
      <c r="E773" s="1109" t="s">
        <v>38</v>
      </c>
      <c r="F773" s="2051" t="e">
        <f>+'VAL. PRINC'!#REF!</f>
        <v>#REF!</v>
      </c>
      <c r="G773" s="2031"/>
    </row>
    <row r="774" spans="3:7" hidden="1">
      <c r="C774" s="1129" t="s">
        <v>2794</v>
      </c>
      <c r="D774" s="1107" t="s">
        <v>3544</v>
      </c>
      <c r="E774" s="1109" t="s">
        <v>38</v>
      </c>
      <c r="F774" s="2051" t="e">
        <f>+'VAL. PRINC'!#REF!</f>
        <v>#REF!</v>
      </c>
      <c r="G774" s="2031"/>
    </row>
    <row r="775" spans="3:7" hidden="1">
      <c r="C775" s="1133" t="s">
        <v>2068</v>
      </c>
      <c r="D775" s="1125" t="s">
        <v>3545</v>
      </c>
      <c r="E775" s="1134"/>
      <c r="F775" s="2051"/>
      <c r="G775" s="2031"/>
    </row>
    <row r="776" spans="3:7" hidden="1">
      <c r="C776" s="1129" t="s">
        <v>2069</v>
      </c>
      <c r="D776" s="1107" t="s">
        <v>3546</v>
      </c>
      <c r="E776" s="1109" t="s">
        <v>1452</v>
      </c>
      <c r="F776" s="2051" t="e">
        <f>+'VAL. PRINC'!#REF!</f>
        <v>#REF!</v>
      </c>
      <c r="G776" s="2031"/>
    </row>
    <row r="777" spans="3:7" hidden="1">
      <c r="C777" s="1133" t="s">
        <v>2795</v>
      </c>
      <c r="D777" s="1125" t="s">
        <v>3519</v>
      </c>
      <c r="E777" s="1134"/>
      <c r="F777" s="2051"/>
      <c r="G777" s="2031"/>
    </row>
    <row r="778" spans="3:7" hidden="1">
      <c r="C778" s="1129" t="s">
        <v>2796</v>
      </c>
      <c r="D778" s="1107" t="s">
        <v>3547</v>
      </c>
      <c r="E778" s="1109" t="s">
        <v>38</v>
      </c>
      <c r="F778" s="2051" t="e">
        <f>+'VAL. PRINC'!#REF!</f>
        <v>#REF!</v>
      </c>
      <c r="G778" s="2031"/>
    </row>
    <row r="779" spans="3:7">
      <c r="C779" s="1133" t="s">
        <v>2797</v>
      </c>
      <c r="D779" s="1125" t="s">
        <v>3525</v>
      </c>
      <c r="E779" s="1134"/>
      <c r="F779" s="2051"/>
      <c r="G779" s="2031"/>
    </row>
    <row r="780" spans="3:7">
      <c r="C780" s="1129" t="s">
        <v>2798</v>
      </c>
      <c r="D780" s="1107" t="s">
        <v>3526</v>
      </c>
      <c r="E780" s="1109" t="s">
        <v>36</v>
      </c>
      <c r="F780" s="2051" t="e">
        <f>+'VAL. PRINC'!#REF!</f>
        <v>#REF!</v>
      </c>
      <c r="G780" s="2031"/>
    </row>
    <row r="781" spans="3:7" hidden="1">
      <c r="C781" s="1133" t="s">
        <v>2799</v>
      </c>
      <c r="D781" s="1125" t="s">
        <v>3527</v>
      </c>
      <c r="E781" s="1134"/>
      <c r="F781" s="2051"/>
      <c r="G781" s="2031"/>
    </row>
    <row r="782" spans="3:7" hidden="1">
      <c r="C782" s="1129" t="s">
        <v>2800</v>
      </c>
      <c r="D782" s="1107" t="s">
        <v>3548</v>
      </c>
      <c r="E782" s="1109" t="s">
        <v>36</v>
      </c>
      <c r="F782" s="2051" t="e">
        <f>+'VAL. PRINC'!#REF!</f>
        <v>#REF!</v>
      </c>
      <c r="G782" s="2031"/>
    </row>
    <row r="783" spans="3:7">
      <c r="C783" s="1133" t="s">
        <v>2801</v>
      </c>
      <c r="D783" s="1125" t="s">
        <v>3530</v>
      </c>
      <c r="E783" s="1134"/>
      <c r="F783" s="2051"/>
      <c r="G783" s="2031"/>
    </row>
    <row r="784" spans="3:7">
      <c r="C784" s="1129" t="s">
        <v>2802</v>
      </c>
      <c r="D784" s="1107" t="s">
        <v>3531</v>
      </c>
      <c r="E784" s="1109" t="s">
        <v>36</v>
      </c>
      <c r="F784" s="2051" t="e">
        <f>+'VAL. PRINC'!#REF!</f>
        <v>#REF!</v>
      </c>
      <c r="G784" s="2031"/>
    </row>
    <row r="785" spans="3:7">
      <c r="C785" s="1129" t="s">
        <v>2803</v>
      </c>
      <c r="D785" s="1107" t="s">
        <v>3532</v>
      </c>
      <c r="E785" s="1109" t="s">
        <v>36</v>
      </c>
      <c r="F785" s="2051" t="e">
        <f>+'VAL. PRINC'!#REF!</f>
        <v>#REF!</v>
      </c>
      <c r="G785" s="2031"/>
    </row>
    <row r="786" spans="3:7" hidden="1">
      <c r="C786" s="1133" t="s">
        <v>2804</v>
      </c>
      <c r="D786" s="1125" t="s">
        <v>3533</v>
      </c>
      <c r="E786" s="1134"/>
      <c r="F786" s="2051"/>
      <c r="G786" s="2031"/>
    </row>
    <row r="787" spans="3:7" hidden="1">
      <c r="C787" s="1129" t="s">
        <v>2805</v>
      </c>
      <c r="D787" s="1107" t="s">
        <v>3549</v>
      </c>
      <c r="E787" s="1109" t="s">
        <v>36</v>
      </c>
      <c r="F787" s="2051" t="e">
        <f>+'VAL. PRINC'!#REF!</f>
        <v>#REF!</v>
      </c>
      <c r="G787" s="2031"/>
    </row>
    <row r="788" spans="3:7" hidden="1">
      <c r="C788" s="1129" t="s">
        <v>2806</v>
      </c>
      <c r="D788" s="1107" t="s">
        <v>3550</v>
      </c>
      <c r="E788" s="1109" t="s">
        <v>36</v>
      </c>
      <c r="F788" s="2051" t="e">
        <f>+'VAL. PRINC'!#REF!</f>
        <v>#REF!</v>
      </c>
      <c r="G788" s="2031"/>
    </row>
    <row r="789" spans="3:7" hidden="1">
      <c r="C789" s="1129" t="s">
        <v>2807</v>
      </c>
      <c r="D789" s="1107" t="s">
        <v>3551</v>
      </c>
      <c r="E789" s="1109" t="s">
        <v>36</v>
      </c>
      <c r="F789" s="2051" t="e">
        <f>+'VAL. PRINC'!#REF!</f>
        <v>#REF!</v>
      </c>
      <c r="G789" s="2031"/>
    </row>
    <row r="790" spans="3:7" hidden="1">
      <c r="C790" s="1129" t="s">
        <v>2808</v>
      </c>
      <c r="D790" s="1107" t="s">
        <v>3552</v>
      </c>
      <c r="E790" s="1109" t="s">
        <v>36</v>
      </c>
      <c r="F790" s="2051" t="e">
        <f>+'VAL. PRINC'!#REF!</f>
        <v>#REF!</v>
      </c>
      <c r="G790" s="2031"/>
    </row>
    <row r="791" spans="3:7" hidden="1">
      <c r="C791" s="1129" t="s">
        <v>2809</v>
      </c>
      <c r="D791" s="1107" t="s">
        <v>3553</v>
      </c>
      <c r="E791" s="1109" t="s">
        <v>36</v>
      </c>
      <c r="F791" s="2051" t="e">
        <f>+'VAL. PRINC'!#REF!</f>
        <v>#REF!</v>
      </c>
      <c r="G791" s="2031"/>
    </row>
    <row r="792" spans="3:7" hidden="1">
      <c r="C792" s="1129" t="s">
        <v>2810</v>
      </c>
      <c r="D792" s="1107" t="s">
        <v>3554</v>
      </c>
      <c r="E792" s="1109" t="s">
        <v>36</v>
      </c>
      <c r="F792" s="2051" t="e">
        <f>+'VAL. PRINC'!#REF!</f>
        <v>#REF!</v>
      </c>
      <c r="G792" s="2031"/>
    </row>
    <row r="793" spans="3:7" hidden="1">
      <c r="C793" s="1129" t="s">
        <v>2811</v>
      </c>
      <c r="D793" s="1107" t="s">
        <v>3555</v>
      </c>
      <c r="E793" s="1109" t="s">
        <v>36</v>
      </c>
      <c r="F793" s="2051" t="e">
        <f>+'VAL. PRINC'!#REF!</f>
        <v>#REF!</v>
      </c>
      <c r="G793" s="2031"/>
    </row>
    <row r="794" spans="3:7" hidden="1">
      <c r="C794" s="1129" t="s">
        <v>2812</v>
      </c>
      <c r="D794" s="1107" t="s">
        <v>3556</v>
      </c>
      <c r="E794" s="1109" t="s">
        <v>36</v>
      </c>
      <c r="F794" s="2051" t="e">
        <f>+'VAL. PRINC'!#REF!</f>
        <v>#REF!</v>
      </c>
      <c r="G794" s="2031"/>
    </row>
    <row r="795" spans="3:7" hidden="1">
      <c r="C795" s="1129" t="s">
        <v>2813</v>
      </c>
      <c r="D795" s="1107" t="s">
        <v>3557</v>
      </c>
      <c r="E795" s="1109" t="s">
        <v>36</v>
      </c>
      <c r="F795" s="2051" t="e">
        <f>+'VAL. PRINC'!#REF!</f>
        <v>#REF!</v>
      </c>
      <c r="G795" s="2031"/>
    </row>
    <row r="796" spans="3:7">
      <c r="C796" s="1126" t="s">
        <v>2077</v>
      </c>
      <c r="D796" s="1127" t="s">
        <v>3558</v>
      </c>
      <c r="E796" s="1128"/>
      <c r="F796" s="2051"/>
      <c r="G796" s="2031"/>
    </row>
    <row r="797" spans="3:7">
      <c r="C797" s="1133" t="s">
        <v>2078</v>
      </c>
      <c r="D797" s="1125" t="s">
        <v>3501</v>
      </c>
      <c r="E797" s="1134"/>
      <c r="F797" s="2051"/>
      <c r="G797" s="2031"/>
    </row>
    <row r="798" spans="3:7">
      <c r="C798" s="1129" t="s">
        <v>2079</v>
      </c>
      <c r="D798" s="1107" t="s">
        <v>3543</v>
      </c>
      <c r="E798" s="1109" t="s">
        <v>38</v>
      </c>
      <c r="F798" s="2051" t="e">
        <f>+'VAL. PRINC'!#REF!</f>
        <v>#REF!</v>
      </c>
      <c r="G798" s="2031"/>
    </row>
    <row r="799" spans="3:7" hidden="1">
      <c r="C799" s="1133" t="s">
        <v>2080</v>
      </c>
      <c r="D799" s="1125" t="s">
        <v>3545</v>
      </c>
      <c r="E799" s="1134"/>
      <c r="F799" s="2051"/>
      <c r="G799" s="2031"/>
    </row>
    <row r="800" spans="3:7" hidden="1">
      <c r="C800" s="1129" t="s">
        <v>2081</v>
      </c>
      <c r="D800" s="1107" t="s">
        <v>3559</v>
      </c>
      <c r="E800" s="1109" t="s">
        <v>1452</v>
      </c>
      <c r="F800" s="2051" t="e">
        <f>+'VAL. PRINC'!#REF!</f>
        <v>#REF!</v>
      </c>
      <c r="G800" s="2031"/>
    </row>
    <row r="801" spans="3:7" ht="14.25" hidden="1" thickBot="1">
      <c r="C801" s="2028" t="s">
        <v>2085</v>
      </c>
      <c r="D801" s="2029" t="s">
        <v>3560</v>
      </c>
      <c r="E801" s="2030" t="s">
        <v>1452</v>
      </c>
      <c r="F801" s="2051" t="e">
        <f>+'VAL. PRINC'!#REF!</f>
        <v>#REF!</v>
      </c>
      <c r="G801" s="2031"/>
    </row>
    <row r="802" spans="3:7" hidden="1">
      <c r="C802" s="2025" t="s">
        <v>2184</v>
      </c>
      <c r="D802" s="2026" t="s">
        <v>3561</v>
      </c>
      <c r="E802" s="2027" t="s">
        <v>1452</v>
      </c>
      <c r="F802" s="2051" t="e">
        <f>+'VAL. PRINC'!#REF!</f>
        <v>#REF!</v>
      </c>
      <c r="G802" s="2031"/>
    </row>
    <row r="803" spans="3:7" hidden="1">
      <c r="C803" s="1133" t="s">
        <v>2814</v>
      </c>
      <c r="D803" s="1125" t="s">
        <v>3519</v>
      </c>
      <c r="E803" s="1134"/>
      <c r="F803" s="2051" t="e">
        <f>+'VAL. PRINC'!#REF!</f>
        <v>#REF!</v>
      </c>
      <c r="G803" s="2031"/>
    </row>
    <row r="804" spans="3:7" hidden="1">
      <c r="C804" s="1129" t="s">
        <v>2815</v>
      </c>
      <c r="D804" s="1107" t="s">
        <v>3520</v>
      </c>
      <c r="E804" s="1109" t="s">
        <v>38</v>
      </c>
      <c r="F804" s="2051" t="e">
        <f>+'VAL. PRINC'!#REF!</f>
        <v>#REF!</v>
      </c>
      <c r="G804" s="2031"/>
    </row>
    <row r="805" spans="3:7">
      <c r="C805" s="1133" t="s">
        <v>2816</v>
      </c>
      <c r="D805" s="1125" t="s">
        <v>3530</v>
      </c>
      <c r="E805" s="1134"/>
      <c r="F805" s="2051"/>
      <c r="G805" s="2031"/>
    </row>
    <row r="806" spans="3:7">
      <c r="C806" s="1129" t="s">
        <v>2817</v>
      </c>
      <c r="D806" s="1107" t="s">
        <v>3531</v>
      </c>
      <c r="E806" s="1109" t="s">
        <v>36</v>
      </c>
      <c r="F806" s="2051" t="e">
        <f>+'VAL. PRINC'!#REF!</f>
        <v>#REF!</v>
      </c>
      <c r="G806" s="2031"/>
    </row>
    <row r="807" spans="3:7" hidden="1">
      <c r="C807" s="1133" t="s">
        <v>2818</v>
      </c>
      <c r="D807" s="1125" t="s">
        <v>3533</v>
      </c>
      <c r="E807" s="1134"/>
      <c r="F807" s="2051" t="e">
        <f>+'VAL. PRINC'!#REF!</f>
        <v>#REF!</v>
      </c>
      <c r="G807" s="2031"/>
    </row>
    <row r="808" spans="3:7" hidden="1">
      <c r="C808" s="1129" t="s">
        <v>2819</v>
      </c>
      <c r="D808" s="1107" t="s">
        <v>3562</v>
      </c>
      <c r="E808" s="1109" t="s">
        <v>36</v>
      </c>
      <c r="F808" s="2051" t="e">
        <f>+'VAL. PRINC'!#REF!</f>
        <v>#REF!</v>
      </c>
      <c r="G808" s="2031"/>
    </row>
    <row r="809" spans="3:7" hidden="1">
      <c r="C809" s="1129" t="s">
        <v>2820</v>
      </c>
      <c r="D809" s="1107" t="s">
        <v>3563</v>
      </c>
      <c r="E809" s="1109" t="s">
        <v>36</v>
      </c>
      <c r="F809" s="2051" t="e">
        <f>+'VAL. PRINC'!#REF!</f>
        <v>#REF!</v>
      </c>
      <c r="G809" s="2031"/>
    </row>
    <row r="810" spans="3:7" hidden="1">
      <c r="C810" s="1129" t="s">
        <v>2821</v>
      </c>
      <c r="D810" s="1107" t="s">
        <v>3564</v>
      </c>
      <c r="E810" s="1109" t="s">
        <v>36</v>
      </c>
      <c r="F810" s="2051" t="e">
        <f>+'VAL. PRINC'!#REF!</f>
        <v>#REF!</v>
      </c>
      <c r="G810" s="2031"/>
    </row>
    <row r="811" spans="3:7">
      <c r="C811" s="1126" t="s">
        <v>2089</v>
      </c>
      <c r="D811" s="1127" t="s">
        <v>3565</v>
      </c>
      <c r="E811" s="1128"/>
      <c r="F811" s="2051"/>
      <c r="G811" s="2031"/>
    </row>
    <row r="812" spans="3:7" hidden="1">
      <c r="C812" s="1133" t="s">
        <v>2090</v>
      </c>
      <c r="D812" s="1125" t="s">
        <v>3566</v>
      </c>
      <c r="E812" s="1134"/>
      <c r="F812" s="2051"/>
      <c r="G812" s="2031"/>
    </row>
    <row r="813" spans="3:7" hidden="1">
      <c r="C813" s="1129" t="s">
        <v>2091</v>
      </c>
      <c r="D813" s="1107" t="s">
        <v>3543</v>
      </c>
      <c r="E813" s="1109" t="s">
        <v>38</v>
      </c>
      <c r="F813" s="2051" t="e">
        <f>+'VAL. PRINC'!#REF!</f>
        <v>#REF!</v>
      </c>
      <c r="G813" s="2031"/>
    </row>
    <row r="814" spans="3:7" hidden="1">
      <c r="C814" s="1133" t="s">
        <v>2102</v>
      </c>
      <c r="D814" s="1125" t="s">
        <v>3519</v>
      </c>
      <c r="E814" s="1134"/>
      <c r="F814" s="2051"/>
      <c r="G814" s="2031"/>
    </row>
    <row r="815" spans="3:7" hidden="1">
      <c r="C815" s="1129" t="s">
        <v>2103</v>
      </c>
      <c r="D815" s="1107" t="s">
        <v>3524</v>
      </c>
      <c r="E815" s="1109" t="s">
        <v>38</v>
      </c>
      <c r="F815" s="2051" t="e">
        <f>+'VAL. PRINC'!#REF!</f>
        <v>#REF!</v>
      </c>
      <c r="G815" s="2031"/>
    </row>
    <row r="816" spans="3:7">
      <c r="C816" s="1133" t="s">
        <v>2116</v>
      </c>
      <c r="D816" s="1125" t="s">
        <v>3530</v>
      </c>
      <c r="E816" s="1134"/>
      <c r="F816" s="2051"/>
      <c r="G816" s="2031"/>
    </row>
    <row r="817" spans="3:7" hidden="1">
      <c r="C817" s="1129" t="s">
        <v>2117</v>
      </c>
      <c r="D817" s="1107" t="s">
        <v>3531</v>
      </c>
      <c r="E817" s="1109" t="s">
        <v>36</v>
      </c>
      <c r="F817" s="2051" t="e">
        <f>+'VAL. PRINC'!#REF!</f>
        <v>#REF!</v>
      </c>
      <c r="G817" s="2031"/>
    </row>
    <row r="818" spans="3:7">
      <c r="C818" s="1129" t="s">
        <v>2822</v>
      </c>
      <c r="D818" s="1107" t="s">
        <v>3532</v>
      </c>
      <c r="E818" s="1109" t="s">
        <v>36</v>
      </c>
      <c r="F818" s="2051" t="e">
        <f>+'VAL. PRINC'!#REF!</f>
        <v>#REF!</v>
      </c>
      <c r="G818" s="2031"/>
    </row>
    <row r="819" spans="3:7" hidden="1">
      <c r="C819" s="1133" t="s">
        <v>2230</v>
      </c>
      <c r="D819" s="1125" t="s">
        <v>3533</v>
      </c>
      <c r="E819" s="1134"/>
      <c r="F819" s="2051"/>
      <c r="G819" s="2031"/>
    </row>
    <row r="820" spans="3:7" hidden="1">
      <c r="C820" s="1129" t="s">
        <v>2231</v>
      </c>
      <c r="D820" s="1107" t="s">
        <v>3567</v>
      </c>
      <c r="E820" s="1109" t="s">
        <v>36</v>
      </c>
      <c r="F820" s="2051" t="e">
        <f>+'VAL. PRINC'!#REF!</f>
        <v>#REF!</v>
      </c>
      <c r="G820" s="2031"/>
    </row>
    <row r="821" spans="3:7" hidden="1">
      <c r="C821" s="1126" t="s">
        <v>2104</v>
      </c>
      <c r="D821" s="1127" t="s">
        <v>3568</v>
      </c>
      <c r="E821" s="1128"/>
      <c r="F821" s="2051"/>
      <c r="G821" s="2031"/>
    </row>
    <row r="822" spans="3:7" hidden="1">
      <c r="C822" s="1133" t="s">
        <v>2106</v>
      </c>
      <c r="D822" s="1125" t="s">
        <v>3501</v>
      </c>
      <c r="E822" s="1134"/>
      <c r="F822" s="2051"/>
      <c r="G822" s="2031"/>
    </row>
    <row r="823" spans="3:7" hidden="1">
      <c r="C823" s="1129" t="s">
        <v>2107</v>
      </c>
      <c r="D823" s="1107" t="s">
        <v>3543</v>
      </c>
      <c r="E823" s="1109" t="s">
        <v>38</v>
      </c>
      <c r="F823" s="2051" t="e">
        <f>+'VAL. PRINC'!#REF!</f>
        <v>#REF!</v>
      </c>
      <c r="G823" s="2031"/>
    </row>
    <row r="824" spans="3:7" hidden="1">
      <c r="C824" s="1133" t="s">
        <v>2136</v>
      </c>
      <c r="D824" s="1125" t="s">
        <v>3545</v>
      </c>
      <c r="E824" s="1134"/>
      <c r="F824" s="2051"/>
      <c r="G824" s="2031"/>
    </row>
    <row r="825" spans="3:7" hidden="1">
      <c r="C825" s="1129" t="s">
        <v>2149</v>
      </c>
      <c r="D825" s="1107" t="s">
        <v>3569</v>
      </c>
      <c r="E825" s="1109" t="s">
        <v>1452</v>
      </c>
      <c r="F825" s="2051" t="e">
        <f>+'VAL. PRINC'!#REF!</f>
        <v>#REF!</v>
      </c>
      <c r="G825" s="2031"/>
    </row>
    <row r="826" spans="3:7" hidden="1">
      <c r="C826" s="1133" t="s">
        <v>2196</v>
      </c>
      <c r="D826" s="1125" t="s">
        <v>3519</v>
      </c>
      <c r="E826" s="1134"/>
      <c r="F826" s="2051"/>
      <c r="G826" s="2031"/>
    </row>
    <row r="827" spans="3:7" hidden="1">
      <c r="C827" s="1129" t="s">
        <v>2197</v>
      </c>
      <c r="D827" s="1107" t="s">
        <v>3570</v>
      </c>
      <c r="E827" s="1109" t="s">
        <v>38</v>
      </c>
      <c r="F827" s="2051" t="e">
        <f>+'VAL. PRINC'!#REF!</f>
        <v>#REF!</v>
      </c>
      <c r="G827" s="2031"/>
    </row>
    <row r="828" spans="3:7" hidden="1">
      <c r="C828" s="1129" t="s">
        <v>2823</v>
      </c>
      <c r="D828" s="1107" t="s">
        <v>3571</v>
      </c>
      <c r="E828" s="1109" t="s">
        <v>38</v>
      </c>
      <c r="F828" s="2051" t="e">
        <f>+'VAL. PRINC'!#REF!</f>
        <v>#REF!</v>
      </c>
      <c r="G828" s="2031"/>
    </row>
    <row r="829" spans="3:7" hidden="1">
      <c r="C829" s="1129" t="s">
        <v>2824</v>
      </c>
      <c r="D829" s="1107" t="s">
        <v>3572</v>
      </c>
      <c r="E829" s="1109" t="s">
        <v>38</v>
      </c>
      <c r="F829" s="2051" t="e">
        <f>+'VAL. PRINC'!#REF!</f>
        <v>#REF!</v>
      </c>
      <c r="G829" s="2031"/>
    </row>
    <row r="830" spans="3:7" hidden="1">
      <c r="C830" s="1129" t="s">
        <v>2825</v>
      </c>
      <c r="D830" s="1107" t="s">
        <v>3547</v>
      </c>
      <c r="E830" s="1109" t="s">
        <v>38</v>
      </c>
      <c r="F830" s="2051" t="e">
        <f>+'VAL. PRINC'!#REF!</f>
        <v>#REF!</v>
      </c>
      <c r="G830" s="2031"/>
    </row>
    <row r="831" spans="3:7" hidden="1">
      <c r="C831" s="1388" t="s">
        <v>1878</v>
      </c>
      <c r="D831" s="1389" t="s">
        <v>3634</v>
      </c>
      <c r="E831" s="1109"/>
      <c r="F831" s="2051"/>
      <c r="G831" s="2031"/>
    </row>
    <row r="832" spans="3:7" hidden="1">
      <c r="C832" s="1390" t="s">
        <v>3635</v>
      </c>
      <c r="D832" s="1391" t="s">
        <v>3645</v>
      </c>
      <c r="E832" s="1109" t="s">
        <v>41</v>
      </c>
      <c r="F832" s="2051" t="e">
        <f>+'VAL. PRINC'!#REF!</f>
        <v>#REF!</v>
      </c>
      <c r="G832" s="2031"/>
    </row>
    <row r="833" spans="3:36" hidden="1">
      <c r="C833" s="1388" t="s">
        <v>3636</v>
      </c>
      <c r="D833" s="1389" t="s">
        <v>3637</v>
      </c>
      <c r="E833" s="1109"/>
      <c r="F833" s="2051"/>
      <c r="G833" s="2031"/>
    </row>
    <row r="834" spans="3:36" ht="14.25" hidden="1" thickBot="1">
      <c r="C834" s="1392" t="s">
        <v>3638</v>
      </c>
      <c r="D834" s="1393" t="s">
        <v>3639</v>
      </c>
      <c r="E834" s="1109" t="s">
        <v>41</v>
      </c>
      <c r="F834" s="2051" t="e">
        <f>+'VAL. PRINC'!#REF!</f>
        <v>#REF!</v>
      </c>
      <c r="G834" s="2031"/>
    </row>
    <row r="836" spans="3:36" ht="15" customHeight="1">
      <c r="G836" s="2056"/>
      <c r="H836" s="2056"/>
      <c r="I836" s="2056"/>
      <c r="J836" s="2056"/>
      <c r="K836" s="2056"/>
      <c r="L836" s="2056"/>
      <c r="M836" s="2056"/>
      <c r="N836" s="2056"/>
      <c r="O836" s="2056"/>
      <c r="P836" s="2056"/>
      <c r="Q836" s="2056"/>
      <c r="R836" s="2056"/>
      <c r="S836" s="2056"/>
      <c r="T836" s="2056"/>
      <c r="U836" s="2056"/>
      <c r="V836" s="2056"/>
      <c r="W836" s="2056"/>
      <c r="X836" s="2056"/>
      <c r="Y836" s="2056"/>
      <c r="Z836" s="2056"/>
      <c r="AA836" s="2056"/>
      <c r="AB836" s="2056"/>
      <c r="AC836" s="2056"/>
      <c r="AD836" s="2056"/>
      <c r="AE836" s="2056"/>
      <c r="AF836" s="2056"/>
      <c r="AG836" s="2056"/>
      <c r="AH836" s="2056"/>
      <c r="AI836" s="2056"/>
      <c r="AJ836" s="2057"/>
    </row>
    <row r="839" spans="3:36" ht="19.899999999999999" customHeight="1"/>
  </sheetData>
  <mergeCells count="4">
    <mergeCell ref="F6:F9"/>
    <mergeCell ref="C6:C9"/>
    <mergeCell ref="D6:D9"/>
    <mergeCell ref="E6:E9"/>
  </mergeCells>
  <printOptions horizontalCentered="1"/>
  <pageMargins left="3.937007874015748E-2" right="3.937007874015748E-2" top="0.59055118110236227" bottom="1.4173228346456694" header="0.31496062992125984" footer="0.31496062992125984"/>
  <pageSetup paperSize="9" scale="99" fitToHeight="0" orientation="portrait" r:id="rId1"/>
  <rowBreaks count="3" manualBreakCount="3">
    <brk id="153" min="1" max="6" man="1"/>
    <brk id="583" min="1" max="6" man="1"/>
    <brk id="742" min="1" max="6"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C2:F255"/>
  <sheetViews>
    <sheetView view="pageBreakPreview" zoomScale="115" zoomScaleNormal="100" zoomScaleSheetLayoutView="115" workbookViewId="0">
      <selection activeCell="D254" sqref="D254"/>
    </sheetView>
  </sheetViews>
  <sheetFormatPr baseColWidth="10" defaultRowHeight="12.75"/>
  <cols>
    <col min="2" max="2" width="1.28515625" customWidth="1"/>
    <col min="3" max="3" width="12" customWidth="1"/>
    <col min="4" max="4" width="64.42578125" customWidth="1"/>
    <col min="5" max="5" width="10.5703125" customWidth="1"/>
    <col min="6" max="6" width="11.5703125" style="2035"/>
    <col min="7" max="7" width="1" customWidth="1"/>
  </cols>
  <sheetData>
    <row r="2" spans="3:6" ht="15">
      <c r="C2" s="1295" t="s">
        <v>4328</v>
      </c>
      <c r="D2" s="1289"/>
      <c r="E2" s="1289"/>
      <c r="F2" s="1289"/>
    </row>
    <row r="3" spans="3:6" ht="15.75" thickBot="1">
      <c r="C3" s="1295"/>
      <c r="D3" s="1289"/>
      <c r="E3" s="1289"/>
      <c r="F3" s="1289"/>
    </row>
    <row r="4" spans="3:6">
      <c r="C4" s="2676" t="s">
        <v>20</v>
      </c>
      <c r="D4" s="2676" t="s">
        <v>21</v>
      </c>
      <c r="E4" s="2676" t="s">
        <v>4314</v>
      </c>
      <c r="F4" s="2676" t="s">
        <v>4327</v>
      </c>
    </row>
    <row r="5" spans="3:6">
      <c r="C5" s="2677"/>
      <c r="D5" s="2677"/>
      <c r="E5" s="2677"/>
      <c r="F5" s="2677"/>
    </row>
    <row r="6" spans="3:6">
      <c r="C6" s="2677"/>
      <c r="D6" s="2677"/>
      <c r="E6" s="2677"/>
      <c r="F6" s="2677"/>
    </row>
    <row r="7" spans="3:6" ht="13.5" thickBot="1">
      <c r="C7" s="2678"/>
      <c r="D7" s="2678"/>
      <c r="E7" s="2678"/>
      <c r="F7" s="2678"/>
    </row>
    <row r="8" spans="3:6" ht="13.15" customHeight="1">
      <c r="C8" s="1129" t="s">
        <v>33</v>
      </c>
      <c r="D8" s="1893" t="s">
        <v>3625</v>
      </c>
      <c r="E8" s="1438"/>
      <c r="F8" s="1653"/>
    </row>
    <row r="9" spans="3:6" ht="13.15" customHeight="1">
      <c r="C9" s="1527" t="s">
        <v>35</v>
      </c>
      <c r="D9" s="1521" t="s">
        <v>2898</v>
      </c>
      <c r="E9" s="1450"/>
      <c r="F9" s="1666"/>
    </row>
    <row r="10" spans="3:6" ht="13.15" hidden="1" customHeight="1">
      <c r="C10" s="1437" t="s">
        <v>537</v>
      </c>
      <c r="D10" s="1449" t="s">
        <v>2899</v>
      </c>
      <c r="E10" s="1450" t="s">
        <v>40</v>
      </c>
      <c r="F10" s="1666">
        <f>+'VAL AMP4 MM'!L17</f>
        <v>0</v>
      </c>
    </row>
    <row r="11" spans="3:6" ht="13.15" customHeight="1">
      <c r="C11" s="1437" t="s">
        <v>538</v>
      </c>
      <c r="D11" s="1449" t="s">
        <v>2901</v>
      </c>
      <c r="E11" s="1450" t="s">
        <v>40</v>
      </c>
      <c r="F11" s="1666">
        <f>+'VAL AMP4 MM'!L18</f>
        <v>259.54825</v>
      </c>
    </row>
    <row r="12" spans="3:6" ht="13.15" hidden="1" customHeight="1">
      <c r="C12" s="1437" t="s">
        <v>539</v>
      </c>
      <c r="D12" s="1449" t="s">
        <v>2902</v>
      </c>
      <c r="E12" s="1450" t="s">
        <v>40</v>
      </c>
      <c r="F12" s="1666">
        <f>+'VAL AMP4 MM'!L19</f>
        <v>0</v>
      </c>
    </row>
    <row r="13" spans="3:6" ht="13.15" hidden="1" customHeight="1">
      <c r="C13" s="1437" t="s">
        <v>540</v>
      </c>
      <c r="D13" s="1449" t="s">
        <v>2903</v>
      </c>
      <c r="E13" s="1450" t="s">
        <v>40</v>
      </c>
      <c r="F13" s="1666">
        <f>+'VAL AMP4 MM'!L20</f>
        <v>0</v>
      </c>
    </row>
    <row r="14" spans="3:6" ht="13.15" hidden="1" customHeight="1">
      <c r="C14" s="1437" t="s">
        <v>541</v>
      </c>
      <c r="D14" s="1449" t="s">
        <v>3721</v>
      </c>
      <c r="E14" s="1450" t="s">
        <v>40</v>
      </c>
      <c r="F14" s="1666">
        <f>+'VAL AMP4 MM'!L21</f>
        <v>0</v>
      </c>
    </row>
    <row r="15" spans="3:6" ht="13.15" hidden="1" customHeight="1">
      <c r="C15" s="1437" t="s">
        <v>3722</v>
      </c>
      <c r="D15" s="1449" t="s">
        <v>2900</v>
      </c>
      <c r="E15" s="1450" t="s">
        <v>37</v>
      </c>
      <c r="F15" s="1666">
        <f>+'VAL AMP4 MM'!L22</f>
        <v>0</v>
      </c>
    </row>
    <row r="16" spans="3:6" ht="13.15" customHeight="1">
      <c r="C16" s="1527" t="s">
        <v>39</v>
      </c>
      <c r="D16" s="1521" t="s">
        <v>3723</v>
      </c>
      <c r="E16" s="1450"/>
      <c r="F16" s="1666"/>
    </row>
    <row r="17" spans="3:6" ht="13.15" customHeight="1">
      <c r="C17" s="1527" t="s">
        <v>542</v>
      </c>
      <c r="D17" s="1521" t="s">
        <v>2906</v>
      </c>
      <c r="E17" s="1450"/>
      <c r="F17" s="1666"/>
    </row>
    <row r="18" spans="3:6" ht="13.15" customHeight="1">
      <c r="C18" s="1437" t="s">
        <v>3724</v>
      </c>
      <c r="D18" s="1449" t="s">
        <v>3725</v>
      </c>
      <c r="E18" s="1450" t="s">
        <v>37</v>
      </c>
      <c r="F18" s="1666">
        <f>+'VAL AMP4 MM'!L25</f>
        <v>436.75</v>
      </c>
    </row>
    <row r="19" spans="3:6" ht="13.15" hidden="1" customHeight="1">
      <c r="C19" s="1527" t="s">
        <v>543</v>
      </c>
      <c r="D19" s="1521" t="s">
        <v>2910</v>
      </c>
      <c r="E19" s="1450"/>
      <c r="F19" s="1666"/>
    </row>
    <row r="20" spans="3:6" ht="13.15" hidden="1" customHeight="1">
      <c r="C20" s="1437" t="s">
        <v>3726</v>
      </c>
      <c r="D20" s="1449" t="s">
        <v>3727</v>
      </c>
      <c r="E20" s="1450" t="s">
        <v>40</v>
      </c>
      <c r="F20" s="1666">
        <f>+'VAL AMP4 MM'!L27</f>
        <v>0</v>
      </c>
    </row>
    <row r="21" spans="3:6" ht="13.15" hidden="1" customHeight="1">
      <c r="C21" s="1437" t="s">
        <v>3728</v>
      </c>
      <c r="D21" s="1449" t="s">
        <v>3729</v>
      </c>
      <c r="E21" s="1450" t="s">
        <v>37</v>
      </c>
      <c r="F21" s="1666">
        <f>+'VAL AMP4 MM'!L28</f>
        <v>0</v>
      </c>
    </row>
    <row r="22" spans="3:6" ht="13.15" hidden="1" customHeight="1">
      <c r="C22" s="1527" t="s">
        <v>544</v>
      </c>
      <c r="D22" s="1521" t="s">
        <v>2913</v>
      </c>
      <c r="E22" s="1450"/>
      <c r="F22" s="1666"/>
    </row>
    <row r="23" spans="3:6" ht="13.15" hidden="1" customHeight="1">
      <c r="C23" s="1437" t="s">
        <v>3730</v>
      </c>
      <c r="D23" s="1449" t="s">
        <v>2914</v>
      </c>
      <c r="E23" s="1450" t="s">
        <v>40</v>
      </c>
      <c r="F23" s="1666">
        <f>+'VAL AMP4 MM'!L30</f>
        <v>0</v>
      </c>
    </row>
    <row r="24" spans="3:6" ht="13.15" hidden="1" customHeight="1">
      <c r="C24" s="1437" t="s">
        <v>3731</v>
      </c>
      <c r="D24" s="1449" t="s">
        <v>2915</v>
      </c>
      <c r="E24" s="1450" t="s">
        <v>37</v>
      </c>
      <c r="F24" s="1666">
        <f>+'VAL AMP4 MM'!L31</f>
        <v>0</v>
      </c>
    </row>
    <row r="25" spans="3:6" ht="13.15" customHeight="1">
      <c r="C25" s="1527" t="s">
        <v>545</v>
      </c>
      <c r="D25" s="1521" t="s">
        <v>2934</v>
      </c>
      <c r="E25" s="1450"/>
      <c r="F25" s="1666"/>
    </row>
    <row r="26" spans="3:6" ht="13.15" customHeight="1">
      <c r="C26" s="1527" t="s">
        <v>546</v>
      </c>
      <c r="D26" s="1521" t="s">
        <v>2935</v>
      </c>
      <c r="E26" s="1450"/>
      <c r="F26" s="1666"/>
    </row>
    <row r="27" spans="3:6" ht="13.15" customHeight="1">
      <c r="C27" s="1437" t="s">
        <v>3732</v>
      </c>
      <c r="D27" s="1449" t="s">
        <v>2936</v>
      </c>
      <c r="E27" s="1450" t="s">
        <v>40</v>
      </c>
      <c r="F27" s="1666">
        <f>+'VAL AMP4 MM'!L34</f>
        <v>34.108000000000004</v>
      </c>
    </row>
    <row r="28" spans="3:6" ht="13.15" customHeight="1">
      <c r="C28" s="1437" t="s">
        <v>3733</v>
      </c>
      <c r="D28" s="1449" t="s">
        <v>2937</v>
      </c>
      <c r="E28" s="1450" t="s">
        <v>48</v>
      </c>
      <c r="F28" s="1666">
        <f>+'VAL AMP4 MM'!L35</f>
        <v>1503.5530000000003</v>
      </c>
    </row>
    <row r="29" spans="3:6" ht="13.15" hidden="1" customHeight="1">
      <c r="C29" s="1527" t="s">
        <v>547</v>
      </c>
      <c r="D29" s="1521" t="s">
        <v>2938</v>
      </c>
      <c r="E29" s="1450"/>
      <c r="F29" s="1666"/>
    </row>
    <row r="30" spans="3:6" ht="13.15" hidden="1" customHeight="1">
      <c r="C30" s="1437" t="s">
        <v>3734</v>
      </c>
      <c r="D30" s="1449" t="s">
        <v>3735</v>
      </c>
      <c r="E30" s="1450" t="s">
        <v>40</v>
      </c>
      <c r="F30" s="1666">
        <f>+'VAL AMP4 MM'!L37</f>
        <v>0</v>
      </c>
    </row>
    <row r="31" spans="3:6" ht="13.15" hidden="1" customHeight="1">
      <c r="C31" s="1437" t="s">
        <v>3736</v>
      </c>
      <c r="D31" s="1449" t="s">
        <v>2940</v>
      </c>
      <c r="E31" s="1450" t="s">
        <v>37</v>
      </c>
      <c r="F31" s="1666">
        <f>+'VAL AMP4 MM'!L38</f>
        <v>0</v>
      </c>
    </row>
    <row r="32" spans="3:6" ht="13.15" hidden="1" customHeight="1">
      <c r="C32" s="1437" t="s">
        <v>3737</v>
      </c>
      <c r="D32" s="1449" t="s">
        <v>2941</v>
      </c>
      <c r="E32" s="1450" t="s">
        <v>48</v>
      </c>
      <c r="F32" s="1666">
        <f>+'VAL AMP4 MM'!L39</f>
        <v>0</v>
      </c>
    </row>
    <row r="33" spans="3:6" ht="13.15" hidden="1" customHeight="1">
      <c r="C33" s="1527" t="s">
        <v>2249</v>
      </c>
      <c r="D33" s="1521" t="s">
        <v>2946</v>
      </c>
      <c r="E33" s="1450"/>
      <c r="F33" s="1666"/>
    </row>
    <row r="34" spans="3:6" ht="13.15" hidden="1" customHeight="1">
      <c r="C34" s="1437" t="s">
        <v>3738</v>
      </c>
      <c r="D34" s="1449" t="s">
        <v>3739</v>
      </c>
      <c r="E34" s="1450" t="s">
        <v>40</v>
      </c>
      <c r="F34" s="1666">
        <f>+'VAL AMP4 MM'!L41</f>
        <v>0</v>
      </c>
    </row>
    <row r="35" spans="3:6" ht="13.15" hidden="1" customHeight="1">
      <c r="C35" s="1437" t="s">
        <v>3740</v>
      </c>
      <c r="D35" s="1449" t="s">
        <v>2948</v>
      </c>
      <c r="E35" s="1450" t="s">
        <v>37</v>
      </c>
      <c r="F35" s="1666">
        <f>+'VAL AMP4 MM'!L42</f>
        <v>0</v>
      </c>
    </row>
    <row r="36" spans="3:6" ht="13.15" hidden="1" customHeight="1">
      <c r="C36" s="1437" t="s">
        <v>3741</v>
      </c>
      <c r="D36" s="1449" t="s">
        <v>2949</v>
      </c>
      <c r="E36" s="1450" t="s">
        <v>48</v>
      </c>
      <c r="F36" s="1666">
        <f>+'VAL AMP4 MM'!L43</f>
        <v>0</v>
      </c>
    </row>
    <row r="37" spans="3:6" ht="13.15" hidden="1" customHeight="1">
      <c r="C37" s="1527" t="s">
        <v>2250</v>
      </c>
      <c r="D37" s="1521" t="s">
        <v>2951</v>
      </c>
      <c r="E37" s="1450"/>
      <c r="F37" s="1666"/>
    </row>
    <row r="38" spans="3:6" ht="13.15" hidden="1" customHeight="1">
      <c r="C38" s="1437" t="s">
        <v>3742</v>
      </c>
      <c r="D38" s="1449" t="s">
        <v>2952</v>
      </c>
      <c r="E38" s="1450" t="s">
        <v>40</v>
      </c>
      <c r="F38" s="1666">
        <f>+'VAL AMP4 MM'!L45</f>
        <v>0</v>
      </c>
    </row>
    <row r="39" spans="3:6" ht="13.15" hidden="1" customHeight="1">
      <c r="C39" s="1437" t="s">
        <v>3743</v>
      </c>
      <c r="D39" s="1449" t="s">
        <v>2953</v>
      </c>
      <c r="E39" s="1450" t="s">
        <v>37</v>
      </c>
      <c r="F39" s="1666">
        <f>+'VAL AMP4 MM'!L46</f>
        <v>0</v>
      </c>
    </row>
    <row r="40" spans="3:6" ht="13.15" hidden="1" customHeight="1">
      <c r="C40" s="1437" t="s">
        <v>3744</v>
      </c>
      <c r="D40" s="1449" t="s">
        <v>2954</v>
      </c>
      <c r="E40" s="1450" t="s">
        <v>48</v>
      </c>
      <c r="F40" s="1666">
        <f>+'VAL AMP4 MM'!L47</f>
        <v>0</v>
      </c>
    </row>
    <row r="41" spans="3:6" ht="13.15" hidden="1" customHeight="1">
      <c r="C41" s="1527" t="s">
        <v>3745</v>
      </c>
      <c r="D41" s="1521" t="s">
        <v>2959</v>
      </c>
      <c r="E41" s="1450"/>
      <c r="F41" s="1666"/>
    </row>
    <row r="42" spans="3:6" ht="13.15" hidden="1" customHeight="1">
      <c r="C42" s="1437" t="s">
        <v>3746</v>
      </c>
      <c r="D42" s="1449" t="s">
        <v>3747</v>
      </c>
      <c r="E42" s="1450" t="s">
        <v>40</v>
      </c>
      <c r="F42" s="1666">
        <f>+'VAL AMP4 MM'!L49</f>
        <v>0</v>
      </c>
    </row>
    <row r="43" spans="3:6" ht="13.15" hidden="1" customHeight="1">
      <c r="C43" s="1437" t="s">
        <v>3748</v>
      </c>
      <c r="D43" s="1449" t="s">
        <v>2961</v>
      </c>
      <c r="E43" s="1450" t="s">
        <v>37</v>
      </c>
      <c r="F43" s="1666">
        <f>+'VAL AMP4 MM'!L50</f>
        <v>0</v>
      </c>
    </row>
    <row r="44" spans="3:6" ht="13.15" hidden="1" customHeight="1">
      <c r="C44" s="1437" t="s">
        <v>3749</v>
      </c>
      <c r="D44" s="1449" t="s">
        <v>2962</v>
      </c>
      <c r="E44" s="1450" t="s">
        <v>48</v>
      </c>
      <c r="F44" s="1666">
        <f>+'VAL AMP4 MM'!L51</f>
        <v>0</v>
      </c>
    </row>
    <row r="45" spans="3:6" ht="13.15" hidden="1" customHeight="1">
      <c r="C45" s="1527" t="s">
        <v>3750</v>
      </c>
      <c r="D45" s="1521" t="s">
        <v>2963</v>
      </c>
      <c r="E45" s="1450"/>
      <c r="F45" s="1666">
        <f>+'VAL AMP4 MM'!L52</f>
        <v>0</v>
      </c>
    </row>
    <row r="46" spans="3:6" ht="13.15" hidden="1" customHeight="1">
      <c r="C46" s="1437" t="s">
        <v>3751</v>
      </c>
      <c r="D46" s="1449" t="s">
        <v>3752</v>
      </c>
      <c r="E46" s="1450" t="s">
        <v>40</v>
      </c>
      <c r="F46" s="1666">
        <f>+'VAL AMP4 MM'!L53</f>
        <v>0</v>
      </c>
    </row>
    <row r="47" spans="3:6" ht="13.15" hidden="1" customHeight="1">
      <c r="C47" s="1437" t="s">
        <v>3753</v>
      </c>
      <c r="D47" s="1449" t="s">
        <v>2965</v>
      </c>
      <c r="E47" s="1450" t="s">
        <v>37</v>
      </c>
      <c r="F47" s="1666">
        <f>+'VAL AMP4 MM'!L54</f>
        <v>0</v>
      </c>
    </row>
    <row r="48" spans="3:6" ht="13.15" hidden="1" customHeight="1">
      <c r="C48" s="1437" t="s">
        <v>3754</v>
      </c>
      <c r="D48" s="1449" t="s">
        <v>2966</v>
      </c>
      <c r="E48" s="1450" t="s">
        <v>48</v>
      </c>
      <c r="F48" s="1666">
        <f>+'VAL AMP4 MM'!L55</f>
        <v>0</v>
      </c>
    </row>
    <row r="49" spans="3:6" ht="13.15" hidden="1" customHeight="1">
      <c r="C49" s="1527" t="s">
        <v>3755</v>
      </c>
      <c r="D49" s="1521" t="s">
        <v>3756</v>
      </c>
      <c r="E49" s="1450"/>
      <c r="F49" s="1666"/>
    </row>
    <row r="50" spans="3:6" ht="13.15" hidden="1" customHeight="1">
      <c r="C50" s="1437" t="s">
        <v>3757</v>
      </c>
      <c r="D50" s="1449" t="s">
        <v>2968</v>
      </c>
      <c r="E50" s="1450" t="s">
        <v>40</v>
      </c>
      <c r="F50" s="1666">
        <f>+'VAL AMP4 MM'!L57</f>
        <v>0</v>
      </c>
    </row>
    <row r="51" spans="3:6" ht="13.15" hidden="1" customHeight="1">
      <c r="C51" s="1437" t="s">
        <v>3758</v>
      </c>
      <c r="D51" s="1449" t="s">
        <v>2969</v>
      </c>
      <c r="E51" s="1450" t="s">
        <v>37</v>
      </c>
      <c r="F51" s="1666">
        <f>+'VAL AMP4 MM'!L58</f>
        <v>0</v>
      </c>
    </row>
    <row r="52" spans="3:6" ht="13.15" hidden="1" customHeight="1">
      <c r="C52" s="1437" t="s">
        <v>3759</v>
      </c>
      <c r="D52" s="1449" t="s">
        <v>2970</v>
      </c>
      <c r="E52" s="1450" t="s">
        <v>48</v>
      </c>
      <c r="F52" s="1666">
        <f>+'VAL AMP4 MM'!L59</f>
        <v>0</v>
      </c>
    </row>
    <row r="53" spans="3:6" ht="13.15" hidden="1" customHeight="1">
      <c r="C53" s="1437" t="s">
        <v>3760</v>
      </c>
      <c r="D53" s="1449" t="s">
        <v>2971</v>
      </c>
      <c r="E53" s="1450" t="s">
        <v>36</v>
      </c>
      <c r="F53" s="1666">
        <f>+'VAL AMP4 MM'!L60</f>
        <v>0</v>
      </c>
    </row>
    <row r="54" spans="3:6" ht="13.15" hidden="1" customHeight="1">
      <c r="C54" s="1527" t="s">
        <v>3761</v>
      </c>
      <c r="D54" s="1521" t="s">
        <v>2972</v>
      </c>
      <c r="E54" s="1450"/>
      <c r="F54" s="1666"/>
    </row>
    <row r="55" spans="3:6" ht="13.15" hidden="1" customHeight="1">
      <c r="C55" s="1437" t="s">
        <v>3762</v>
      </c>
      <c r="D55" s="1449" t="s">
        <v>2968</v>
      </c>
      <c r="E55" s="1450" t="s">
        <v>40</v>
      </c>
      <c r="F55" s="1666">
        <f>+'VAL AMP4 MM'!L62</f>
        <v>0</v>
      </c>
    </row>
    <row r="56" spans="3:6" ht="13.15" hidden="1" customHeight="1">
      <c r="C56" s="1437" t="s">
        <v>3763</v>
      </c>
      <c r="D56" s="1449" t="s">
        <v>2969</v>
      </c>
      <c r="E56" s="1450" t="s">
        <v>37</v>
      </c>
      <c r="F56" s="1666">
        <f>+'VAL AMP4 MM'!L63</f>
        <v>0</v>
      </c>
    </row>
    <row r="57" spans="3:6" ht="13.15" hidden="1" customHeight="1">
      <c r="C57" s="1437" t="s">
        <v>3764</v>
      </c>
      <c r="D57" s="1449" t="s">
        <v>2970</v>
      </c>
      <c r="E57" s="1450" t="s">
        <v>48</v>
      </c>
      <c r="F57" s="1666">
        <f>+'VAL AMP4 MM'!L64</f>
        <v>0</v>
      </c>
    </row>
    <row r="58" spans="3:6" ht="13.15" hidden="1" customHeight="1">
      <c r="C58" s="1437" t="s">
        <v>3765</v>
      </c>
      <c r="D58" s="1449" t="s">
        <v>2973</v>
      </c>
      <c r="E58" s="1450" t="s">
        <v>36</v>
      </c>
      <c r="F58" s="1666">
        <f>+'VAL AMP4 MM'!L65</f>
        <v>0</v>
      </c>
    </row>
    <row r="59" spans="3:6" ht="13.15" hidden="1" customHeight="1">
      <c r="C59" s="1527" t="s">
        <v>3766</v>
      </c>
      <c r="D59" s="1521" t="s">
        <v>2976</v>
      </c>
      <c r="E59" s="1450"/>
      <c r="F59" s="1666"/>
    </row>
    <row r="60" spans="3:6" ht="13.15" hidden="1" customHeight="1">
      <c r="C60" s="1437" t="s">
        <v>3767</v>
      </c>
      <c r="D60" s="1449" t="s">
        <v>3768</v>
      </c>
      <c r="E60" s="1450" t="s">
        <v>40</v>
      </c>
      <c r="F60" s="1666">
        <f>+'VAL AMP4 MM'!L67</f>
        <v>0</v>
      </c>
    </row>
    <row r="61" spans="3:6" ht="13.15" hidden="1" customHeight="1">
      <c r="C61" s="1437" t="s">
        <v>3769</v>
      </c>
      <c r="D61" s="1449" t="s">
        <v>2978</v>
      </c>
      <c r="E61" s="1450" t="s">
        <v>37</v>
      </c>
      <c r="F61" s="1666">
        <f>+'VAL AMP4 MM'!L68</f>
        <v>0</v>
      </c>
    </row>
    <row r="62" spans="3:6" ht="13.15" hidden="1" customHeight="1">
      <c r="C62" s="1437" t="s">
        <v>3770</v>
      </c>
      <c r="D62" s="1449" t="s">
        <v>2979</v>
      </c>
      <c r="E62" s="1450" t="s">
        <v>48</v>
      </c>
      <c r="F62" s="1666">
        <f>+'VAL AMP4 MM'!L69</f>
        <v>0</v>
      </c>
    </row>
    <row r="63" spans="3:6" ht="13.15" hidden="1" customHeight="1">
      <c r="C63" s="1437" t="s">
        <v>3771</v>
      </c>
      <c r="D63" s="1449" t="s">
        <v>2980</v>
      </c>
      <c r="E63" s="1450" t="s">
        <v>36</v>
      </c>
      <c r="F63" s="1666">
        <f>+'VAL AMP4 MM'!L70</f>
        <v>0</v>
      </c>
    </row>
    <row r="64" spans="3:6" ht="13.15" hidden="1" customHeight="1">
      <c r="C64" s="1527" t="s">
        <v>3772</v>
      </c>
      <c r="D64" s="1521" t="s">
        <v>2981</v>
      </c>
      <c r="E64" s="1450"/>
      <c r="F64" s="1666"/>
    </row>
    <row r="65" spans="3:6" ht="13.15" hidden="1" customHeight="1">
      <c r="C65" s="1437" t="s">
        <v>3773</v>
      </c>
      <c r="D65" s="1449" t="s">
        <v>3768</v>
      </c>
      <c r="E65" s="1450" t="s">
        <v>40</v>
      </c>
      <c r="F65" s="1666">
        <f>+'VAL AMP4 MM'!L72</f>
        <v>0</v>
      </c>
    </row>
    <row r="66" spans="3:6" ht="13.15" hidden="1" customHeight="1">
      <c r="C66" s="1437" t="s">
        <v>3774</v>
      </c>
      <c r="D66" s="1449" t="s">
        <v>2978</v>
      </c>
      <c r="E66" s="1450" t="s">
        <v>37</v>
      </c>
      <c r="F66" s="1666">
        <f>+'VAL AMP4 MM'!L73</f>
        <v>0</v>
      </c>
    </row>
    <row r="67" spans="3:6" ht="13.15" hidden="1" customHeight="1">
      <c r="C67" s="1437" t="s">
        <v>3775</v>
      </c>
      <c r="D67" s="1449" t="s">
        <v>2979</v>
      </c>
      <c r="E67" s="1450" t="s">
        <v>48</v>
      </c>
      <c r="F67" s="1666">
        <f>+'VAL AMP4 MM'!L74</f>
        <v>0</v>
      </c>
    </row>
    <row r="68" spans="3:6" ht="13.15" hidden="1" customHeight="1">
      <c r="C68" s="1437" t="s">
        <v>3776</v>
      </c>
      <c r="D68" s="1449" t="s">
        <v>3777</v>
      </c>
      <c r="E68" s="1450" t="s">
        <v>36</v>
      </c>
      <c r="F68" s="1666">
        <f>+'VAL AMP4 MM'!L75</f>
        <v>0</v>
      </c>
    </row>
    <row r="69" spans="3:6" ht="13.15" hidden="1" customHeight="1">
      <c r="C69" s="1527" t="s">
        <v>3778</v>
      </c>
      <c r="D69" s="1521" t="s">
        <v>2984</v>
      </c>
      <c r="E69" s="1450"/>
      <c r="F69" s="1666"/>
    </row>
    <row r="70" spans="3:6" ht="13.15" hidden="1" customHeight="1">
      <c r="C70" s="1437" t="s">
        <v>3779</v>
      </c>
      <c r="D70" s="1449" t="s">
        <v>2985</v>
      </c>
      <c r="E70" s="1450" t="s">
        <v>40</v>
      </c>
      <c r="F70" s="1666">
        <f>+'VAL AMP4 MM'!L77</f>
        <v>0</v>
      </c>
    </row>
    <row r="71" spans="3:6" ht="13.15" hidden="1" customHeight="1">
      <c r="C71" s="1437" t="s">
        <v>3780</v>
      </c>
      <c r="D71" s="1449" t="s">
        <v>2986</v>
      </c>
      <c r="E71" s="1450" t="s">
        <v>37</v>
      </c>
      <c r="F71" s="1666">
        <f>+'VAL AMP4 MM'!L78</f>
        <v>0</v>
      </c>
    </row>
    <row r="72" spans="3:6" ht="13.15" hidden="1" customHeight="1">
      <c r="C72" s="1437" t="s">
        <v>3781</v>
      </c>
      <c r="D72" s="1449" t="s">
        <v>2987</v>
      </c>
      <c r="E72" s="1450" t="s">
        <v>48</v>
      </c>
      <c r="F72" s="1666">
        <f>+'VAL AMP4 MM'!L79</f>
        <v>0</v>
      </c>
    </row>
    <row r="73" spans="3:6" ht="13.15" hidden="1" customHeight="1">
      <c r="C73" s="1527" t="s">
        <v>3782</v>
      </c>
      <c r="D73" s="1521" t="s">
        <v>2992</v>
      </c>
      <c r="E73" s="1450"/>
      <c r="F73" s="1666"/>
    </row>
    <row r="74" spans="3:6" ht="13.15" hidden="1" customHeight="1">
      <c r="C74" s="1437" t="s">
        <v>3783</v>
      </c>
      <c r="D74" s="1449" t="s">
        <v>2993</v>
      </c>
      <c r="E74" s="1450" t="s">
        <v>40</v>
      </c>
      <c r="F74" s="1666">
        <f>+'VAL AMP4 MM'!L81</f>
        <v>0</v>
      </c>
    </row>
    <row r="75" spans="3:6" ht="13.15" hidden="1" customHeight="1">
      <c r="C75" s="1437" t="s">
        <v>3784</v>
      </c>
      <c r="D75" s="1449" t="s">
        <v>2994</v>
      </c>
      <c r="E75" s="1450" t="s">
        <v>37</v>
      </c>
      <c r="F75" s="1666">
        <f>+'VAL AMP4 MM'!L82</f>
        <v>0</v>
      </c>
    </row>
    <row r="76" spans="3:6" ht="13.15" hidden="1" customHeight="1">
      <c r="C76" s="1437" t="s">
        <v>3785</v>
      </c>
      <c r="D76" s="1449" t="s">
        <v>2995</v>
      </c>
      <c r="E76" s="1450" t="s">
        <v>48</v>
      </c>
      <c r="F76" s="1666">
        <f>+'VAL AMP4 MM'!L83</f>
        <v>0</v>
      </c>
    </row>
    <row r="77" spans="3:6" ht="13.15" hidden="1" customHeight="1">
      <c r="C77" s="1527" t="s">
        <v>3786</v>
      </c>
      <c r="D77" s="1521" t="s">
        <v>2996</v>
      </c>
      <c r="E77" s="1450"/>
      <c r="F77" s="1666"/>
    </row>
    <row r="78" spans="3:6" ht="13.15" hidden="1" customHeight="1">
      <c r="C78" s="1437" t="s">
        <v>3787</v>
      </c>
      <c r="D78" s="1449" t="s">
        <v>3788</v>
      </c>
      <c r="E78" s="1450" t="s">
        <v>40</v>
      </c>
      <c r="F78" s="1666">
        <f>+'VAL AMP4 MM'!L85</f>
        <v>0</v>
      </c>
    </row>
    <row r="79" spans="3:6" ht="13.15" hidden="1" customHeight="1">
      <c r="C79" s="1437" t="s">
        <v>3789</v>
      </c>
      <c r="D79" s="1449" t="s">
        <v>2997</v>
      </c>
      <c r="E79" s="1450" t="s">
        <v>37</v>
      </c>
      <c r="F79" s="1666">
        <f>+'VAL AMP4 MM'!L86</f>
        <v>0</v>
      </c>
    </row>
    <row r="80" spans="3:6" ht="13.15" hidden="1" customHeight="1">
      <c r="C80" s="1437" t="s">
        <v>3790</v>
      </c>
      <c r="D80" s="1449" t="s">
        <v>2998</v>
      </c>
      <c r="E80" s="1450" t="s">
        <v>48</v>
      </c>
      <c r="F80" s="1666">
        <f>+'VAL AMP4 MM'!L87</f>
        <v>0</v>
      </c>
    </row>
    <row r="81" spans="3:6" ht="13.15" hidden="1" customHeight="1">
      <c r="C81" s="1527" t="s">
        <v>3791</v>
      </c>
      <c r="D81" s="1521" t="s">
        <v>3022</v>
      </c>
      <c r="E81" s="1450"/>
      <c r="F81" s="1666">
        <f>+'VAL AMP4 MM'!L88</f>
        <v>0</v>
      </c>
    </row>
    <row r="82" spans="3:6" ht="13.15" hidden="1" customHeight="1">
      <c r="C82" s="1437" t="s">
        <v>3792</v>
      </c>
      <c r="D82" s="1449" t="s">
        <v>3023</v>
      </c>
      <c r="E82" s="1450" t="s">
        <v>2827</v>
      </c>
      <c r="F82" s="1666">
        <f>+'VAL AMP4 MM'!L89</f>
        <v>0</v>
      </c>
    </row>
    <row r="83" spans="3:6" ht="13.15" customHeight="1">
      <c r="C83" s="1892" t="s">
        <v>42</v>
      </c>
      <c r="D83" s="1894" t="s">
        <v>1234</v>
      </c>
      <c r="E83" s="1450"/>
      <c r="F83" s="1666"/>
    </row>
    <row r="84" spans="3:6" ht="13.15" hidden="1" customHeight="1">
      <c r="C84" s="1527" t="s">
        <v>43</v>
      </c>
      <c r="D84" s="1521" t="s">
        <v>3072</v>
      </c>
      <c r="E84" s="1450"/>
      <c r="F84" s="1666"/>
    </row>
    <row r="85" spans="3:6" ht="13.15" hidden="1" customHeight="1">
      <c r="C85" s="1437" t="s">
        <v>53</v>
      </c>
      <c r="D85" s="1449" t="s">
        <v>3793</v>
      </c>
      <c r="E85" s="1450" t="s">
        <v>37</v>
      </c>
      <c r="F85" s="1666">
        <f>+'VAL AMP4 MM'!L92</f>
        <v>0</v>
      </c>
    </row>
    <row r="86" spans="3:6" ht="13.15" hidden="1" customHeight="1">
      <c r="C86" s="1437" t="s">
        <v>564</v>
      </c>
      <c r="D86" s="1449" t="s">
        <v>3794</v>
      </c>
      <c r="E86" s="1450" t="s">
        <v>37</v>
      </c>
      <c r="F86" s="1666">
        <f>+'VAL AMP4 MM'!L93</f>
        <v>0</v>
      </c>
    </row>
    <row r="87" spans="3:6" ht="13.15" hidden="1" customHeight="1">
      <c r="C87" s="1437" t="s">
        <v>571</v>
      </c>
      <c r="D87" s="1449" t="s">
        <v>3795</v>
      </c>
      <c r="E87" s="1450" t="s">
        <v>37</v>
      </c>
      <c r="F87" s="1666">
        <f>+'VAL AMP4 MM'!L94</f>
        <v>0</v>
      </c>
    </row>
    <row r="88" spans="3:6" ht="13.15" customHeight="1">
      <c r="C88" s="1527" t="s">
        <v>44</v>
      </c>
      <c r="D88" s="1521" t="s">
        <v>3080</v>
      </c>
      <c r="E88" s="1450"/>
      <c r="F88" s="1666"/>
    </row>
    <row r="89" spans="3:6" ht="13.15" customHeight="1">
      <c r="C89" s="1437" t="s">
        <v>54</v>
      </c>
      <c r="D89" s="1449" t="s">
        <v>3081</v>
      </c>
      <c r="E89" s="1450" t="s">
        <v>37</v>
      </c>
      <c r="F89" s="1666">
        <f>+'VAL AMP4 MM'!L96</f>
        <v>17.442</v>
      </c>
    </row>
    <row r="90" spans="3:6" ht="13.15" customHeight="1">
      <c r="C90" s="1437" t="s">
        <v>55</v>
      </c>
      <c r="D90" s="1449" t="s">
        <v>3796</v>
      </c>
      <c r="E90" s="1450" t="s">
        <v>37</v>
      </c>
      <c r="F90" s="1666">
        <f>+'VAL AMP4 MM'!L97</f>
        <v>68.603999999999999</v>
      </c>
    </row>
    <row r="91" spans="3:6" ht="13.15" hidden="1" customHeight="1">
      <c r="C91" s="1437" t="s">
        <v>616</v>
      </c>
      <c r="D91" s="1449" t="s">
        <v>3797</v>
      </c>
      <c r="E91" s="1450" t="s">
        <v>37</v>
      </c>
      <c r="F91" s="1666">
        <f>+'VAL AMP4 MM'!L98</f>
        <v>0</v>
      </c>
    </row>
    <row r="92" spans="3:6" ht="13.15" hidden="1" customHeight="1">
      <c r="C92" s="1437" t="s">
        <v>645</v>
      </c>
      <c r="D92" s="1449" t="s">
        <v>3798</v>
      </c>
      <c r="E92" s="1450" t="s">
        <v>37</v>
      </c>
      <c r="F92" s="1666">
        <f>+'VAL AMP4 MM'!L99</f>
        <v>0</v>
      </c>
    </row>
    <row r="93" spans="3:6" ht="13.15" hidden="1" customHeight="1">
      <c r="C93" s="1437" t="s">
        <v>647</v>
      </c>
      <c r="D93" s="1449" t="s">
        <v>3799</v>
      </c>
      <c r="E93" s="1450" t="s">
        <v>37</v>
      </c>
      <c r="F93" s="1666">
        <f>+'VAL AMP4 MM'!L100</f>
        <v>0</v>
      </c>
    </row>
    <row r="94" spans="3:6" ht="13.15" customHeight="1">
      <c r="C94" s="1437" t="s">
        <v>275</v>
      </c>
      <c r="D94" s="1449" t="s">
        <v>3800</v>
      </c>
      <c r="E94" s="1450" t="s">
        <v>37</v>
      </c>
      <c r="F94" s="1666">
        <f>+'VAL AMP4 MM'!L101</f>
        <v>258.70829999999989</v>
      </c>
    </row>
    <row r="95" spans="3:6" ht="13.15" hidden="1" customHeight="1">
      <c r="C95" s="1437" t="s">
        <v>322</v>
      </c>
      <c r="D95" s="1449" t="s">
        <v>3801</v>
      </c>
      <c r="E95" s="1450" t="s">
        <v>37</v>
      </c>
      <c r="F95" s="1666">
        <f>+'VAL AMP4 MM'!L102</f>
        <v>0</v>
      </c>
    </row>
    <row r="96" spans="3:6" ht="13.15" hidden="1" customHeight="1">
      <c r="C96" s="1437" t="s">
        <v>3802</v>
      </c>
      <c r="D96" s="1449" t="s">
        <v>3803</v>
      </c>
      <c r="E96" s="1450" t="s">
        <v>37</v>
      </c>
      <c r="F96" s="1666">
        <f>+'VAL AMP4 MM'!L103</f>
        <v>0</v>
      </c>
    </row>
    <row r="97" spans="3:6" ht="13.15" hidden="1" customHeight="1">
      <c r="C97" s="1437" t="s">
        <v>2302</v>
      </c>
      <c r="D97" s="1449" t="s">
        <v>3090</v>
      </c>
      <c r="E97" s="1450" t="s">
        <v>37</v>
      </c>
      <c r="F97" s="1666">
        <f>+'VAL AMP4 MM'!L104</f>
        <v>0</v>
      </c>
    </row>
    <row r="98" spans="3:6" ht="13.15" hidden="1" customHeight="1">
      <c r="C98" s="1437" t="s">
        <v>2305</v>
      </c>
      <c r="D98" s="1449" t="s">
        <v>3804</v>
      </c>
      <c r="E98" s="1450" t="s">
        <v>37</v>
      </c>
      <c r="F98" s="1666">
        <f>+'VAL AMP4 MM'!L105</f>
        <v>0</v>
      </c>
    </row>
    <row r="99" spans="3:6" ht="13.15" hidden="1" customHeight="1">
      <c r="C99" s="1437" t="s">
        <v>3805</v>
      </c>
      <c r="D99" s="1449" t="s">
        <v>3098</v>
      </c>
      <c r="E99" s="1450" t="s">
        <v>37</v>
      </c>
      <c r="F99" s="1666">
        <f>+'VAL AMP4 MM'!L106</f>
        <v>0</v>
      </c>
    </row>
    <row r="100" spans="3:6" ht="13.15" hidden="1" customHeight="1">
      <c r="C100" s="1437" t="s">
        <v>3806</v>
      </c>
      <c r="D100" s="1449" t="s">
        <v>3807</v>
      </c>
      <c r="E100" s="1450" t="s">
        <v>38</v>
      </c>
      <c r="F100" s="1666">
        <f>+'VAL AMP4 MM'!L107</f>
        <v>0</v>
      </c>
    </row>
    <row r="101" spans="3:6" ht="13.15" hidden="1" customHeight="1">
      <c r="C101" s="1437" t="s">
        <v>3808</v>
      </c>
      <c r="D101" s="1449" t="s">
        <v>3809</v>
      </c>
      <c r="E101" s="1450" t="s">
        <v>38</v>
      </c>
      <c r="F101" s="1666">
        <f>+'VAL AMP4 MM'!L108</f>
        <v>0</v>
      </c>
    </row>
    <row r="102" spans="3:6" ht="13.15" hidden="1" customHeight="1">
      <c r="C102" s="1527" t="s">
        <v>52</v>
      </c>
      <c r="D102" s="1521" t="s">
        <v>3103</v>
      </c>
      <c r="E102" s="1450"/>
      <c r="F102" s="1666"/>
    </row>
    <row r="103" spans="3:6" ht="13.15" hidden="1" customHeight="1">
      <c r="C103" s="1437" t="s">
        <v>56</v>
      </c>
      <c r="D103" s="1449" t="s">
        <v>3810</v>
      </c>
      <c r="E103" s="1450" t="s">
        <v>37</v>
      </c>
      <c r="F103" s="1666">
        <f>+'VAL AMP4 MM'!L110</f>
        <v>0</v>
      </c>
    </row>
    <row r="104" spans="3:6" ht="13.15" customHeight="1">
      <c r="C104" s="1527" t="s">
        <v>516</v>
      </c>
      <c r="D104" s="1521" t="s">
        <v>3106</v>
      </c>
      <c r="E104" s="1450"/>
      <c r="F104" s="1666"/>
    </row>
    <row r="105" spans="3:6" ht="13.15" customHeight="1">
      <c r="C105" s="1527" t="s">
        <v>517</v>
      </c>
      <c r="D105" s="1521" t="s">
        <v>3107</v>
      </c>
      <c r="E105" s="1450"/>
      <c r="F105" s="1666"/>
    </row>
    <row r="106" spans="3:6" ht="13.15" customHeight="1">
      <c r="C106" s="1437" t="s">
        <v>695</v>
      </c>
      <c r="D106" s="1449" t="s">
        <v>3811</v>
      </c>
      <c r="E106" s="1450" t="s">
        <v>37</v>
      </c>
      <c r="F106" s="1666">
        <f>+'VAL AMP4 MM'!L113</f>
        <v>586.42000000000007</v>
      </c>
    </row>
    <row r="107" spans="3:6" ht="13.15" hidden="1" customHeight="1">
      <c r="C107" s="1527" t="s">
        <v>701</v>
      </c>
      <c r="D107" s="1521" t="s">
        <v>3109</v>
      </c>
      <c r="E107" s="1450"/>
      <c r="F107" s="1666"/>
    </row>
    <row r="108" spans="3:6" ht="13.15" hidden="1" customHeight="1">
      <c r="C108" s="1437" t="s">
        <v>702</v>
      </c>
      <c r="D108" s="1449" t="s">
        <v>3118</v>
      </c>
      <c r="E108" s="1450" t="s">
        <v>37</v>
      </c>
      <c r="F108" s="1666">
        <f>+'VAL AMP4 MM'!L115</f>
        <v>0</v>
      </c>
    </row>
    <row r="109" spans="3:6" ht="13.15" hidden="1" customHeight="1">
      <c r="C109" s="1437" t="s">
        <v>703</v>
      </c>
      <c r="D109" s="1449" t="s">
        <v>3119</v>
      </c>
      <c r="E109" s="1450" t="s">
        <v>37</v>
      </c>
      <c r="F109" s="1666">
        <f>+'VAL AMP4 MM'!L116</f>
        <v>0</v>
      </c>
    </row>
    <row r="110" spans="3:6" ht="13.15" hidden="1" customHeight="1">
      <c r="C110" s="1437" t="s">
        <v>704</v>
      </c>
      <c r="D110" s="1449" t="s">
        <v>3122</v>
      </c>
      <c r="E110" s="1450" t="s">
        <v>37</v>
      </c>
      <c r="F110" s="1666">
        <f>+'VAL AMP4 MM'!L117</f>
        <v>0</v>
      </c>
    </row>
    <row r="111" spans="3:6" ht="13.15" hidden="1" customHeight="1">
      <c r="C111" s="1527" t="s">
        <v>742</v>
      </c>
      <c r="D111" s="1521" t="s">
        <v>3128</v>
      </c>
      <c r="E111" s="1450"/>
      <c r="F111" s="1666"/>
    </row>
    <row r="112" spans="3:6" ht="13.15" hidden="1" customHeight="1">
      <c r="C112" s="1527" t="s">
        <v>743</v>
      </c>
      <c r="D112" s="1521" t="s">
        <v>3129</v>
      </c>
      <c r="E112" s="1450"/>
      <c r="F112" s="1666"/>
    </row>
    <row r="113" spans="3:6" ht="13.15" hidden="1" customHeight="1">
      <c r="C113" s="1437" t="s">
        <v>744</v>
      </c>
      <c r="D113" s="1449" t="s">
        <v>3812</v>
      </c>
      <c r="E113" s="1450" t="s">
        <v>37</v>
      </c>
      <c r="F113" s="1666">
        <f>+'VAL AMP4 MM'!L120</f>
        <v>0</v>
      </c>
    </row>
    <row r="114" spans="3:6" ht="13.15" hidden="1" customHeight="1">
      <c r="C114" s="1527" t="s">
        <v>763</v>
      </c>
      <c r="D114" s="1521" t="s">
        <v>3138</v>
      </c>
      <c r="E114" s="1450"/>
      <c r="F114" s="1666"/>
    </row>
    <row r="115" spans="3:6" ht="13.15" hidden="1" customHeight="1">
      <c r="C115" s="1437" t="s">
        <v>764</v>
      </c>
      <c r="D115" s="1449" t="s">
        <v>3139</v>
      </c>
      <c r="E115" s="1450" t="s">
        <v>37</v>
      </c>
      <c r="F115" s="1666">
        <f>+'VAL AMP4 MM'!L122</f>
        <v>0</v>
      </c>
    </row>
    <row r="116" spans="3:6" ht="13.15" hidden="1" customHeight="1">
      <c r="C116" s="1437" t="s">
        <v>767</v>
      </c>
      <c r="D116" s="1449" t="s">
        <v>3140</v>
      </c>
      <c r="E116" s="1450" t="s">
        <v>37</v>
      </c>
      <c r="F116" s="1666">
        <f>+'VAL AMP4 MM'!L123</f>
        <v>0</v>
      </c>
    </row>
    <row r="117" spans="3:6" ht="13.15" hidden="1" customHeight="1">
      <c r="C117" s="1437" t="s">
        <v>771</v>
      </c>
      <c r="D117" s="1449" t="s">
        <v>3142</v>
      </c>
      <c r="E117" s="1450" t="s">
        <v>37</v>
      </c>
      <c r="F117" s="1666">
        <f>+'VAL AMP4 MM'!L124</f>
        <v>0</v>
      </c>
    </row>
    <row r="118" spans="3:6" ht="13.15" hidden="1" customHeight="1">
      <c r="C118" s="1437" t="s">
        <v>3813</v>
      </c>
      <c r="D118" s="1449" t="s">
        <v>3814</v>
      </c>
      <c r="E118" s="1450" t="s">
        <v>37</v>
      </c>
      <c r="F118" s="1666">
        <f>+'VAL AMP4 MM'!L125</f>
        <v>0</v>
      </c>
    </row>
    <row r="119" spans="3:6" ht="13.15" hidden="1" customHeight="1">
      <c r="C119" s="1527" t="s">
        <v>774</v>
      </c>
      <c r="D119" s="1521" t="s">
        <v>3815</v>
      </c>
      <c r="E119" s="1450"/>
      <c r="F119" s="1666"/>
    </row>
    <row r="120" spans="3:6" ht="13.15" hidden="1" customHeight="1">
      <c r="C120" s="1527" t="s">
        <v>775</v>
      </c>
      <c r="D120" s="1521" t="s">
        <v>3816</v>
      </c>
      <c r="E120" s="1450"/>
      <c r="F120" s="1666"/>
    </row>
    <row r="121" spans="3:6" ht="13.15" hidden="1" customHeight="1">
      <c r="C121" s="1437" t="s">
        <v>776</v>
      </c>
      <c r="D121" s="1449" t="s">
        <v>3149</v>
      </c>
      <c r="E121" s="1450" t="s">
        <v>36</v>
      </c>
      <c r="F121" s="1666">
        <f>+'VAL AMP4 MM'!L128</f>
        <v>0</v>
      </c>
    </row>
    <row r="122" spans="3:6" ht="13.15" hidden="1" customHeight="1">
      <c r="C122" s="1527" t="s">
        <v>778</v>
      </c>
      <c r="D122" s="1521" t="s">
        <v>3151</v>
      </c>
      <c r="E122" s="1450"/>
      <c r="F122" s="1666">
        <f>+'VAL AMP4 MM'!L129</f>
        <v>0</v>
      </c>
    </row>
    <row r="123" spans="3:6" ht="13.15" hidden="1" customHeight="1">
      <c r="C123" s="1437" t="s">
        <v>779</v>
      </c>
      <c r="D123" s="1449" t="s">
        <v>3152</v>
      </c>
      <c r="E123" s="1450" t="s">
        <v>37</v>
      </c>
      <c r="F123" s="1666">
        <f>+'VAL AMP4 MM'!L130</f>
        <v>0</v>
      </c>
    </row>
    <row r="124" spans="3:6" ht="13.15" hidden="1" customHeight="1">
      <c r="C124" s="1527" t="s">
        <v>3817</v>
      </c>
      <c r="D124" s="1521" t="s">
        <v>3156</v>
      </c>
      <c r="E124" s="1450"/>
      <c r="F124" s="1666">
        <f>+'VAL AMP4 MM'!L131</f>
        <v>0</v>
      </c>
    </row>
    <row r="125" spans="3:6" ht="13.15" hidden="1" customHeight="1">
      <c r="C125" s="1437" t="s">
        <v>3818</v>
      </c>
      <c r="D125" s="1449" t="s">
        <v>3158</v>
      </c>
      <c r="E125" s="1450" t="s">
        <v>38</v>
      </c>
      <c r="F125" s="1666">
        <f>+'VAL AMP4 MM'!L132</f>
        <v>0</v>
      </c>
    </row>
    <row r="126" spans="3:6" ht="13.15" hidden="1" customHeight="1">
      <c r="C126" s="1437" t="s">
        <v>3819</v>
      </c>
      <c r="D126" s="1449" t="s">
        <v>3820</v>
      </c>
      <c r="E126" s="1450" t="s">
        <v>38</v>
      </c>
      <c r="F126" s="1666">
        <f>+'VAL AMP4 MM'!L133</f>
        <v>0</v>
      </c>
    </row>
    <row r="127" spans="3:6" ht="13.15" hidden="1" customHeight="1">
      <c r="C127" s="1527" t="s">
        <v>781</v>
      </c>
      <c r="D127" s="1521" t="s">
        <v>3175</v>
      </c>
      <c r="E127" s="1450"/>
      <c r="F127" s="1666"/>
    </row>
    <row r="128" spans="3:6" ht="13.15" hidden="1" customHeight="1">
      <c r="C128" s="1437" t="s">
        <v>782</v>
      </c>
      <c r="D128" s="1449" t="s">
        <v>3176</v>
      </c>
      <c r="E128" s="1450" t="s">
        <v>36</v>
      </c>
      <c r="F128" s="1666">
        <f>+'VAL AMP4 MM'!L135</f>
        <v>0</v>
      </c>
    </row>
    <row r="129" spans="3:6" ht="13.15" hidden="1" customHeight="1">
      <c r="C129" s="1437" t="s">
        <v>786</v>
      </c>
      <c r="D129" s="1449" t="s">
        <v>3821</v>
      </c>
      <c r="E129" s="1450" t="s">
        <v>36</v>
      </c>
      <c r="F129" s="1666">
        <f>+'VAL AMP4 MM'!L136</f>
        <v>0</v>
      </c>
    </row>
    <row r="130" spans="3:6" ht="13.15" hidden="1" customHeight="1">
      <c r="C130" s="1437" t="s">
        <v>789</v>
      </c>
      <c r="D130" s="1449" t="s">
        <v>3179</v>
      </c>
      <c r="E130" s="1450" t="s">
        <v>36</v>
      </c>
      <c r="F130" s="1666">
        <f>+'VAL AMP4 MM'!L137</f>
        <v>0</v>
      </c>
    </row>
    <row r="131" spans="3:6" ht="13.15" hidden="1" customHeight="1">
      <c r="C131" s="1437" t="s">
        <v>793</v>
      </c>
      <c r="D131" s="1449" t="s">
        <v>3180</v>
      </c>
      <c r="E131" s="1450" t="s">
        <v>36</v>
      </c>
      <c r="F131" s="1666">
        <f>+'VAL AMP4 MM'!L138</f>
        <v>0</v>
      </c>
    </row>
    <row r="132" spans="3:6" ht="13.15" hidden="1" customHeight="1">
      <c r="C132" s="1437" t="s">
        <v>799</v>
      </c>
      <c r="D132" s="1449" t="s">
        <v>3181</v>
      </c>
      <c r="E132" s="1450" t="s">
        <v>36</v>
      </c>
      <c r="F132" s="1666">
        <f>+'VAL AMP4 MM'!L139</f>
        <v>0</v>
      </c>
    </row>
    <row r="133" spans="3:6" ht="13.15" hidden="1" customHeight="1">
      <c r="C133" s="1437" t="s">
        <v>3822</v>
      </c>
      <c r="D133" s="1449" t="s">
        <v>3184</v>
      </c>
      <c r="E133" s="1450" t="s">
        <v>36</v>
      </c>
      <c r="F133" s="1666">
        <f>+'VAL AMP4 MM'!L140</f>
        <v>0</v>
      </c>
    </row>
    <row r="134" spans="3:6" ht="13.15" hidden="1" customHeight="1">
      <c r="C134" s="1527" t="s">
        <v>3823</v>
      </c>
      <c r="D134" s="1521" t="s">
        <v>3186</v>
      </c>
      <c r="E134" s="1450"/>
      <c r="F134" s="1666"/>
    </row>
    <row r="135" spans="3:6" ht="13.15" hidden="1" customHeight="1">
      <c r="C135" s="1437" t="s">
        <v>3824</v>
      </c>
      <c r="D135" s="1449" t="s">
        <v>3189</v>
      </c>
      <c r="E135" s="1450" t="s">
        <v>36</v>
      </c>
      <c r="F135" s="1666">
        <f>+'VAL AMP4 MM'!L142</f>
        <v>0</v>
      </c>
    </row>
    <row r="136" spans="3:6" ht="13.15" hidden="1" customHeight="1">
      <c r="C136" s="1437" t="s">
        <v>3825</v>
      </c>
      <c r="D136" s="1449" t="s">
        <v>3187</v>
      </c>
      <c r="E136" s="1450" t="s">
        <v>37</v>
      </c>
      <c r="F136" s="1666">
        <f>+'VAL AMP4 MM'!L143</f>
        <v>0</v>
      </c>
    </row>
    <row r="137" spans="3:6" ht="13.15" hidden="1" customHeight="1">
      <c r="C137" s="1527" t="s">
        <v>3826</v>
      </c>
      <c r="D137" s="1521" t="s">
        <v>3205</v>
      </c>
      <c r="E137" s="1450"/>
      <c r="F137" s="1666"/>
    </row>
    <row r="138" spans="3:6" ht="13.15" hidden="1" customHeight="1">
      <c r="C138" s="1437" t="s">
        <v>3827</v>
      </c>
      <c r="D138" s="1449" t="s">
        <v>3206</v>
      </c>
      <c r="E138" s="1450" t="s">
        <v>40</v>
      </c>
      <c r="F138" s="1666">
        <f>+'VAL AMP4 MM'!L145</f>
        <v>0</v>
      </c>
    </row>
    <row r="139" spans="3:6" ht="13.15" hidden="1" customHeight="1">
      <c r="C139" s="1437" t="s">
        <v>3828</v>
      </c>
      <c r="D139" s="1449" t="s">
        <v>3207</v>
      </c>
      <c r="E139" s="1450" t="s">
        <v>37</v>
      </c>
      <c r="F139" s="1666">
        <f>+'VAL AMP4 MM'!L146</f>
        <v>0</v>
      </c>
    </row>
    <row r="140" spans="3:6" ht="13.15" hidden="1" customHeight="1">
      <c r="C140" s="1527" t="s">
        <v>3829</v>
      </c>
      <c r="D140" s="1521" t="s">
        <v>3216</v>
      </c>
      <c r="E140" s="1450"/>
      <c r="F140" s="1666"/>
    </row>
    <row r="141" spans="3:6" ht="13.15" hidden="1" customHeight="1">
      <c r="C141" s="1437" t="s">
        <v>3830</v>
      </c>
      <c r="D141" s="1449" t="s">
        <v>3218</v>
      </c>
      <c r="E141" s="1450" t="s">
        <v>38</v>
      </c>
      <c r="F141" s="1666">
        <f>+'VAL AMP4 MM'!L148</f>
        <v>0</v>
      </c>
    </row>
    <row r="142" spans="3:6" ht="13.15" hidden="1" customHeight="1">
      <c r="C142" s="1527" t="s">
        <v>3831</v>
      </c>
      <c r="D142" s="1521" t="s">
        <v>3069</v>
      </c>
      <c r="E142" s="1450"/>
      <c r="F142" s="1666"/>
    </row>
    <row r="143" spans="3:6" ht="13.15" hidden="1" customHeight="1">
      <c r="C143" s="1437" t="s">
        <v>3832</v>
      </c>
      <c r="D143" s="1449" t="s">
        <v>3833</v>
      </c>
      <c r="E143" s="1450" t="s">
        <v>36</v>
      </c>
      <c r="F143" s="1666">
        <f>+'VAL AMP4 MM'!L150</f>
        <v>0</v>
      </c>
    </row>
    <row r="144" spans="3:6" ht="13.15" customHeight="1">
      <c r="C144" s="1892" t="s">
        <v>45</v>
      </c>
      <c r="D144" s="1894" t="s">
        <v>1327</v>
      </c>
      <c r="E144" s="1450"/>
      <c r="F144" s="1666"/>
    </row>
    <row r="145" spans="3:6" ht="13.15" hidden="1" customHeight="1">
      <c r="C145" s="1527" t="s">
        <v>47</v>
      </c>
      <c r="D145" s="1521" t="s">
        <v>3232</v>
      </c>
      <c r="E145" s="1450"/>
      <c r="F145" s="1666"/>
    </row>
    <row r="146" spans="3:6" ht="13.15" hidden="1" customHeight="1">
      <c r="C146" s="1527" t="s">
        <v>49</v>
      </c>
      <c r="D146" s="1521" t="s">
        <v>3233</v>
      </c>
      <c r="E146" s="1450"/>
      <c r="F146" s="1666"/>
    </row>
    <row r="147" spans="3:6" ht="13.15" hidden="1" customHeight="1">
      <c r="C147" s="1437" t="s">
        <v>801</v>
      </c>
      <c r="D147" s="1449" t="s">
        <v>3834</v>
      </c>
      <c r="E147" s="1450" t="s">
        <v>36</v>
      </c>
      <c r="F147" s="1666">
        <f>+'VAL AMP4 MM'!L154</f>
        <v>0</v>
      </c>
    </row>
    <row r="148" spans="3:6" ht="13.15" hidden="1" customHeight="1">
      <c r="C148" s="1437" t="s">
        <v>802</v>
      </c>
      <c r="D148" s="1449" t="s">
        <v>3235</v>
      </c>
      <c r="E148" s="1450" t="s">
        <v>36</v>
      </c>
      <c r="F148" s="1666">
        <f>+'VAL AMP4 MM'!L155</f>
        <v>0</v>
      </c>
    </row>
    <row r="149" spans="3:6" ht="13.15" hidden="1" customHeight="1">
      <c r="C149" s="1437" t="s">
        <v>3835</v>
      </c>
      <c r="D149" s="1449" t="s">
        <v>3836</v>
      </c>
      <c r="E149" s="1450" t="s">
        <v>36</v>
      </c>
      <c r="F149" s="1666">
        <f>+'VAL AMP4 MM'!L156</f>
        <v>0</v>
      </c>
    </row>
    <row r="150" spans="3:6" ht="13.15" hidden="1" customHeight="1">
      <c r="C150" s="1437" t="s">
        <v>3837</v>
      </c>
      <c r="D150" s="1449" t="s">
        <v>3237</v>
      </c>
      <c r="E150" s="1450" t="s">
        <v>36</v>
      </c>
      <c r="F150" s="1666">
        <f>+'VAL AMP4 MM'!L157</f>
        <v>0</v>
      </c>
    </row>
    <row r="151" spans="3:6" ht="13.15" hidden="1" customHeight="1">
      <c r="C151" s="1437" t="s">
        <v>3838</v>
      </c>
      <c r="D151" s="1449" t="s">
        <v>3839</v>
      </c>
      <c r="E151" s="1450" t="s">
        <v>36</v>
      </c>
      <c r="F151" s="1666">
        <f>+'VAL AMP4 MM'!L158</f>
        <v>0</v>
      </c>
    </row>
    <row r="152" spans="3:6" ht="13.15" hidden="1" customHeight="1">
      <c r="C152" s="1527" t="s">
        <v>50</v>
      </c>
      <c r="D152" s="1521" t="s">
        <v>3241</v>
      </c>
      <c r="E152" s="1450"/>
      <c r="F152" s="1666">
        <f>+'VAL AMP4 MM'!L159</f>
        <v>0</v>
      </c>
    </row>
    <row r="153" spans="3:6" ht="13.15" hidden="1" customHeight="1">
      <c r="C153" s="1437" t="s">
        <v>803</v>
      </c>
      <c r="D153" s="1449" t="s">
        <v>3242</v>
      </c>
      <c r="E153" s="1450" t="s">
        <v>36</v>
      </c>
      <c r="F153" s="1666">
        <f>+'VAL AMP4 MM'!L160</f>
        <v>0</v>
      </c>
    </row>
    <row r="154" spans="3:6" ht="13.15" hidden="1" customHeight="1">
      <c r="C154" s="1437" t="s">
        <v>804</v>
      </c>
      <c r="D154" s="1449" t="s">
        <v>3840</v>
      </c>
      <c r="E154" s="1450" t="s">
        <v>36</v>
      </c>
      <c r="F154" s="1666">
        <f>+'VAL AMP4 MM'!L161</f>
        <v>0</v>
      </c>
    </row>
    <row r="155" spans="3:6" ht="13.15" hidden="1" customHeight="1">
      <c r="C155" s="1437" t="s">
        <v>805</v>
      </c>
      <c r="D155" s="1449" t="s">
        <v>3841</v>
      </c>
      <c r="E155" s="1450" t="s">
        <v>36</v>
      </c>
      <c r="F155" s="1666">
        <f>+'VAL AMP4 MM'!L162</f>
        <v>0</v>
      </c>
    </row>
    <row r="156" spans="3:6" ht="13.15" hidden="1" customHeight="1">
      <c r="C156" s="1437" t="s">
        <v>806</v>
      </c>
      <c r="D156" s="1449" t="s">
        <v>3250</v>
      </c>
      <c r="E156" s="1450" t="s">
        <v>36</v>
      </c>
      <c r="F156" s="1666">
        <f>+'VAL AMP4 MM'!L163</f>
        <v>0</v>
      </c>
    </row>
    <row r="157" spans="3:6" ht="13.15" hidden="1" customHeight="1">
      <c r="C157" s="1437" t="s">
        <v>807</v>
      </c>
      <c r="D157" s="1449" t="s">
        <v>3251</v>
      </c>
      <c r="E157" s="1450" t="s">
        <v>36</v>
      </c>
      <c r="F157" s="1666">
        <f>+'VAL AMP4 MM'!L164</f>
        <v>0</v>
      </c>
    </row>
    <row r="158" spans="3:6" ht="13.15" hidden="1" customHeight="1">
      <c r="C158" s="1437" t="s">
        <v>808</v>
      </c>
      <c r="D158" s="1449" t="s">
        <v>3252</v>
      </c>
      <c r="E158" s="1450" t="s">
        <v>36</v>
      </c>
      <c r="F158" s="1666">
        <f>+'VAL AMP4 MM'!L165</f>
        <v>0</v>
      </c>
    </row>
    <row r="159" spans="3:6" ht="13.15" hidden="1" customHeight="1">
      <c r="C159" s="1437" t="s">
        <v>809</v>
      </c>
      <c r="D159" s="1449" t="s">
        <v>3842</v>
      </c>
      <c r="E159" s="1450" t="s">
        <v>36</v>
      </c>
      <c r="F159" s="1666">
        <f>+'VAL AMP4 MM'!L166</f>
        <v>0</v>
      </c>
    </row>
    <row r="160" spans="3:6" ht="13.15" hidden="1" customHeight="1">
      <c r="C160" s="1437" t="s">
        <v>3843</v>
      </c>
      <c r="D160" s="1449" t="s">
        <v>3254</v>
      </c>
      <c r="E160" s="1450" t="s">
        <v>36</v>
      </c>
      <c r="F160" s="1666">
        <f>+'VAL AMP4 MM'!L167</f>
        <v>0</v>
      </c>
    </row>
    <row r="161" spans="3:6" ht="13.15" hidden="1" customHeight="1">
      <c r="C161" s="1437" t="s">
        <v>3844</v>
      </c>
      <c r="D161" s="1449" t="s">
        <v>3255</v>
      </c>
      <c r="E161" s="1450" t="s">
        <v>36</v>
      </c>
      <c r="F161" s="1666">
        <f>+'VAL AMP4 MM'!L168</f>
        <v>0</v>
      </c>
    </row>
    <row r="162" spans="3:6" ht="13.15" hidden="1" customHeight="1">
      <c r="C162" s="1437" t="s">
        <v>3845</v>
      </c>
      <c r="D162" s="1449" t="s">
        <v>3257</v>
      </c>
      <c r="E162" s="1450" t="s">
        <v>36</v>
      </c>
      <c r="F162" s="1666">
        <f>+'VAL AMP4 MM'!L169</f>
        <v>0</v>
      </c>
    </row>
    <row r="163" spans="3:6" ht="13.15" hidden="1" customHeight="1">
      <c r="C163" s="1437" t="s">
        <v>3846</v>
      </c>
      <c r="D163" s="1449" t="s">
        <v>3258</v>
      </c>
      <c r="E163" s="1450" t="s">
        <v>36</v>
      </c>
      <c r="F163" s="1666">
        <f>+'VAL AMP4 MM'!L170</f>
        <v>0</v>
      </c>
    </row>
    <row r="164" spans="3:6" ht="13.15" hidden="1" customHeight="1">
      <c r="C164" s="1437" t="s">
        <v>3847</v>
      </c>
      <c r="D164" s="1449" t="s">
        <v>3259</v>
      </c>
      <c r="E164" s="1450" t="s">
        <v>36</v>
      </c>
      <c r="F164" s="1666">
        <f>+'VAL AMP4 MM'!L171</f>
        <v>0</v>
      </c>
    </row>
    <row r="165" spans="3:6" ht="13.15" hidden="1" customHeight="1">
      <c r="C165" s="1527" t="s">
        <v>51</v>
      </c>
      <c r="D165" s="1521" t="s">
        <v>3263</v>
      </c>
      <c r="E165" s="1450"/>
      <c r="F165" s="1666"/>
    </row>
    <row r="166" spans="3:6" ht="13.15" hidden="1" customHeight="1">
      <c r="C166" s="1437" t="s">
        <v>810</v>
      </c>
      <c r="D166" s="1449" t="s">
        <v>3264</v>
      </c>
      <c r="E166" s="1450" t="s">
        <v>36</v>
      </c>
      <c r="F166" s="1666">
        <f>+'VAL AMP4 MM'!L173</f>
        <v>0</v>
      </c>
    </row>
    <row r="167" spans="3:6" ht="13.15" hidden="1" customHeight="1">
      <c r="C167" s="1527" t="s">
        <v>277</v>
      </c>
      <c r="D167" s="1521" t="s">
        <v>3265</v>
      </c>
      <c r="E167" s="1450"/>
      <c r="F167" s="1666">
        <f>+'VAL AMP4 MM'!L174</f>
        <v>0</v>
      </c>
    </row>
    <row r="168" spans="3:6" ht="13.15" hidden="1" customHeight="1">
      <c r="C168" s="1437" t="s">
        <v>811</v>
      </c>
      <c r="D168" s="1449" t="s">
        <v>3266</v>
      </c>
      <c r="E168" s="1450" t="s">
        <v>36</v>
      </c>
      <c r="F168" s="1666">
        <f>+'VAL AMP4 MM'!L175</f>
        <v>0</v>
      </c>
    </row>
    <row r="169" spans="3:6" ht="13.15" customHeight="1">
      <c r="C169" s="1999" t="s">
        <v>475</v>
      </c>
      <c r="D169" s="2000" t="s">
        <v>3267</v>
      </c>
      <c r="E169" s="1450"/>
      <c r="F169" s="1666"/>
    </row>
    <row r="170" spans="3:6" ht="13.15" hidden="1" customHeight="1">
      <c r="C170" s="1527" t="s">
        <v>476</v>
      </c>
      <c r="D170" s="1521" t="s">
        <v>3268</v>
      </c>
      <c r="E170" s="1450"/>
      <c r="F170" s="1666"/>
    </row>
    <row r="171" spans="3:6" ht="13.15" hidden="1" customHeight="1">
      <c r="C171" s="1437" t="s">
        <v>842</v>
      </c>
      <c r="D171" s="1449" t="s">
        <v>3848</v>
      </c>
      <c r="E171" s="1450" t="s">
        <v>1452</v>
      </c>
      <c r="F171" s="1666">
        <f>+'VAL AMP4 MM'!L178</f>
        <v>0</v>
      </c>
    </row>
    <row r="172" spans="3:6" ht="13.15" hidden="1" customHeight="1">
      <c r="C172" s="1437" t="s">
        <v>843</v>
      </c>
      <c r="D172" s="1449" t="s">
        <v>3849</v>
      </c>
      <c r="E172" s="1450" t="s">
        <v>1452</v>
      </c>
      <c r="F172" s="1666">
        <f>+'VAL AMP4 MM'!L179</f>
        <v>0</v>
      </c>
    </row>
    <row r="173" spans="3:6" ht="13.15" hidden="1" customHeight="1">
      <c r="C173" s="1527" t="s">
        <v>477</v>
      </c>
      <c r="D173" s="1521" t="s">
        <v>3850</v>
      </c>
      <c r="E173" s="1450"/>
      <c r="F173" s="1666"/>
    </row>
    <row r="174" spans="3:6" ht="13.15" hidden="1" customHeight="1">
      <c r="C174" s="1437" t="s">
        <v>844</v>
      </c>
      <c r="D174" s="1449" t="s">
        <v>3272</v>
      </c>
      <c r="E174" s="1450" t="s">
        <v>38</v>
      </c>
      <c r="F174" s="1666">
        <f>+'VAL AMP4 MM'!L181</f>
        <v>0</v>
      </c>
    </row>
    <row r="175" spans="3:6" ht="13.15" hidden="1" customHeight="1">
      <c r="C175" s="1437" t="s">
        <v>845</v>
      </c>
      <c r="D175" s="1449" t="s">
        <v>3273</v>
      </c>
      <c r="E175" s="1450" t="s">
        <v>38</v>
      </c>
      <c r="F175" s="1666">
        <f>+'VAL AMP4 MM'!L182</f>
        <v>0</v>
      </c>
    </row>
    <row r="176" spans="3:6" ht="13.15" hidden="1" customHeight="1">
      <c r="C176" s="1437" t="s">
        <v>846</v>
      </c>
      <c r="D176" s="1449" t="s">
        <v>3274</v>
      </c>
      <c r="E176" s="1450" t="s">
        <v>38</v>
      </c>
      <c r="F176" s="1666">
        <f>+'VAL AMP4 MM'!L183</f>
        <v>0</v>
      </c>
    </row>
    <row r="177" spans="3:6" ht="13.15" customHeight="1">
      <c r="C177" s="1437" t="s">
        <v>847</v>
      </c>
      <c r="D177" s="1449" t="s">
        <v>3275</v>
      </c>
      <c r="E177" s="1450" t="s">
        <v>38</v>
      </c>
      <c r="F177" s="1666">
        <f>+'VAL AMP4 MM'!L184</f>
        <v>9</v>
      </c>
    </row>
    <row r="178" spans="3:6" ht="13.15" hidden="1" customHeight="1">
      <c r="C178" s="1527" t="s">
        <v>478</v>
      </c>
      <c r="D178" s="1521" t="s">
        <v>3851</v>
      </c>
      <c r="E178" s="1450"/>
      <c r="F178" s="1666"/>
    </row>
    <row r="179" spans="3:6" ht="13.15" hidden="1" customHeight="1">
      <c r="C179" s="1437" t="s">
        <v>851</v>
      </c>
      <c r="D179" s="1449" t="s">
        <v>3280</v>
      </c>
      <c r="E179" s="1450" t="s">
        <v>36</v>
      </c>
      <c r="F179" s="1666">
        <f>+'VAL AMP4 MM'!L186</f>
        <v>0</v>
      </c>
    </row>
    <row r="180" spans="3:6" ht="13.15" hidden="1" customHeight="1">
      <c r="C180" s="1437" t="s">
        <v>3852</v>
      </c>
      <c r="D180" s="1449" t="s">
        <v>3281</v>
      </c>
      <c r="E180" s="1450" t="s">
        <v>36</v>
      </c>
      <c r="F180" s="1666">
        <f>+'VAL AMP4 MM'!L187</f>
        <v>0</v>
      </c>
    </row>
    <row r="181" spans="3:6" ht="13.15" hidden="1" customHeight="1">
      <c r="C181" s="1437" t="s">
        <v>3853</v>
      </c>
      <c r="D181" s="1449" t="s">
        <v>3282</v>
      </c>
      <c r="E181" s="1450" t="s">
        <v>36</v>
      </c>
      <c r="F181" s="1666">
        <f>+'VAL AMP4 MM'!L188</f>
        <v>0</v>
      </c>
    </row>
    <row r="182" spans="3:6" ht="13.15" hidden="1" customHeight="1">
      <c r="C182" s="1437" t="s">
        <v>3854</v>
      </c>
      <c r="D182" s="1449" t="s">
        <v>3286</v>
      </c>
      <c r="E182" s="1450" t="s">
        <v>36</v>
      </c>
      <c r="F182" s="1666">
        <f>+'VAL AMP4 MM'!L189</f>
        <v>0</v>
      </c>
    </row>
    <row r="183" spans="3:6" ht="13.15" hidden="1" customHeight="1">
      <c r="C183" s="1437" t="s">
        <v>3855</v>
      </c>
      <c r="D183" s="1449" t="s">
        <v>3287</v>
      </c>
      <c r="E183" s="1450" t="s">
        <v>36</v>
      </c>
      <c r="F183" s="1666">
        <f>+'VAL AMP4 MM'!L190</f>
        <v>0</v>
      </c>
    </row>
    <row r="184" spans="3:6" ht="13.15" hidden="1" customHeight="1">
      <c r="C184" s="1437" t="s">
        <v>3856</v>
      </c>
      <c r="D184" s="1449" t="s">
        <v>3288</v>
      </c>
      <c r="E184" s="1450" t="s">
        <v>36</v>
      </c>
      <c r="F184" s="1666">
        <f>+'VAL AMP4 MM'!L191</f>
        <v>0</v>
      </c>
    </row>
    <row r="185" spans="3:6" ht="13.15" hidden="1" customHeight="1">
      <c r="C185" s="1437" t="s">
        <v>3857</v>
      </c>
      <c r="D185" s="1449" t="s">
        <v>3291</v>
      </c>
      <c r="E185" s="1450" t="s">
        <v>36</v>
      </c>
      <c r="F185" s="1666">
        <f>+'VAL AMP4 MM'!L192</f>
        <v>0</v>
      </c>
    </row>
    <row r="186" spans="3:6" ht="13.15" hidden="1" customHeight="1">
      <c r="C186" s="1437" t="s">
        <v>3858</v>
      </c>
      <c r="D186" s="1449" t="s">
        <v>3292</v>
      </c>
      <c r="E186" s="1450" t="s">
        <v>36</v>
      </c>
      <c r="F186" s="1666">
        <f>+'VAL AMP4 MM'!L193</f>
        <v>0</v>
      </c>
    </row>
    <row r="187" spans="3:6" ht="13.15" hidden="1" customHeight="1">
      <c r="C187" s="1437" t="s">
        <v>3859</v>
      </c>
      <c r="D187" s="1449" t="s">
        <v>3293</v>
      </c>
      <c r="E187" s="1450" t="s">
        <v>36</v>
      </c>
      <c r="F187" s="1666">
        <f>+'VAL AMP4 MM'!L194</f>
        <v>0</v>
      </c>
    </row>
    <row r="188" spans="3:6" ht="13.15" hidden="1" customHeight="1">
      <c r="C188" s="1437" t="s">
        <v>3860</v>
      </c>
      <c r="D188" s="1449" t="s">
        <v>3296</v>
      </c>
      <c r="E188" s="1450" t="s">
        <v>36</v>
      </c>
      <c r="F188" s="1666">
        <f>+'VAL AMP4 MM'!L195</f>
        <v>0</v>
      </c>
    </row>
    <row r="189" spans="3:6" ht="13.15" hidden="1" customHeight="1">
      <c r="C189" s="1437" t="s">
        <v>3861</v>
      </c>
      <c r="D189" s="1449" t="s">
        <v>3297</v>
      </c>
      <c r="E189" s="1450" t="s">
        <v>36</v>
      </c>
      <c r="F189" s="1666">
        <f>+'VAL AMP4 MM'!L196</f>
        <v>0</v>
      </c>
    </row>
    <row r="190" spans="3:6" ht="13.15" hidden="1" customHeight="1">
      <c r="C190" s="1527" t="s">
        <v>479</v>
      </c>
      <c r="D190" s="1521" t="s">
        <v>3301</v>
      </c>
      <c r="E190" s="1450"/>
      <c r="F190" s="1666"/>
    </row>
    <row r="191" spans="3:6" ht="13.15" hidden="1" customHeight="1">
      <c r="C191" s="1437" t="s">
        <v>852</v>
      </c>
      <c r="D191" s="1449" t="s">
        <v>3302</v>
      </c>
      <c r="E191" s="1450" t="s">
        <v>1451</v>
      </c>
      <c r="F191" s="1666">
        <f>+'VAL AMP4 MM'!L198</f>
        <v>0</v>
      </c>
    </row>
    <row r="192" spans="3:6" ht="13.15" hidden="1" customHeight="1">
      <c r="C192" s="1437" t="s">
        <v>853</v>
      </c>
      <c r="D192" s="1449" t="s">
        <v>3303</v>
      </c>
      <c r="E192" s="1450" t="s">
        <v>1451</v>
      </c>
      <c r="F192" s="1666">
        <f>+'VAL AMP4 MM'!L199</f>
        <v>0</v>
      </c>
    </row>
    <row r="193" spans="3:6" ht="13.15" hidden="1" customHeight="1">
      <c r="C193" s="1437" t="s">
        <v>854</v>
      </c>
      <c r="D193" s="1449" t="s">
        <v>3304</v>
      </c>
      <c r="E193" s="1450" t="s">
        <v>1451</v>
      </c>
      <c r="F193" s="1666">
        <f>+'VAL AMP4 MM'!L200</f>
        <v>0</v>
      </c>
    </row>
    <row r="194" spans="3:6" ht="13.15" hidden="1" customHeight="1">
      <c r="C194" s="1892" t="s">
        <v>488</v>
      </c>
      <c r="D194" s="1894" t="s">
        <v>1383</v>
      </c>
      <c r="E194" s="1450"/>
      <c r="F194" s="1666"/>
    </row>
    <row r="195" spans="3:6" ht="13.15" hidden="1" customHeight="1">
      <c r="C195" s="1527" t="s">
        <v>489</v>
      </c>
      <c r="D195" s="1521" t="s">
        <v>2898</v>
      </c>
      <c r="E195" s="1450"/>
      <c r="F195" s="1666"/>
    </row>
    <row r="196" spans="3:6" ht="13.15" hidden="1" customHeight="1">
      <c r="C196" s="1437" t="s">
        <v>490</v>
      </c>
      <c r="D196" s="1449" t="s">
        <v>3862</v>
      </c>
      <c r="E196" s="1450" t="s">
        <v>40</v>
      </c>
      <c r="F196" s="1666">
        <f>+'VAL AMP4 MM'!L203</f>
        <v>0</v>
      </c>
    </row>
    <row r="197" spans="3:6" ht="13.15" hidden="1" customHeight="1">
      <c r="C197" s="1437" t="s">
        <v>491</v>
      </c>
      <c r="D197" s="1449" t="s">
        <v>3863</v>
      </c>
      <c r="E197" s="1450" t="s">
        <v>40</v>
      </c>
      <c r="F197" s="1666">
        <f>+'VAL AMP4 MM'!L204</f>
        <v>0</v>
      </c>
    </row>
    <row r="198" spans="3:6" ht="13.15" hidden="1" customHeight="1">
      <c r="C198" s="1437" t="s">
        <v>492</v>
      </c>
      <c r="D198" s="1449" t="s">
        <v>3864</v>
      </c>
      <c r="E198" s="1450" t="s">
        <v>40</v>
      </c>
      <c r="F198" s="1666">
        <f>+'VAL AMP4 MM'!L205</f>
        <v>0</v>
      </c>
    </row>
    <row r="199" spans="3:6" ht="13.15" hidden="1" customHeight="1">
      <c r="C199" s="1437" t="s">
        <v>1017</v>
      </c>
      <c r="D199" s="1449" t="s">
        <v>3865</v>
      </c>
      <c r="E199" s="1450" t="s">
        <v>40</v>
      </c>
      <c r="F199" s="1666">
        <f>+'VAL AMP4 MM'!L206</f>
        <v>0</v>
      </c>
    </row>
    <row r="200" spans="3:6" ht="13.15" hidden="1" customHeight="1">
      <c r="C200" s="1437" t="s">
        <v>493</v>
      </c>
      <c r="D200" s="1449" t="s">
        <v>2905</v>
      </c>
      <c r="E200" s="1450"/>
      <c r="F200" s="1666"/>
    </row>
    <row r="201" spans="3:6" ht="13.15" hidden="1" customHeight="1">
      <c r="C201" s="1437" t="s">
        <v>494</v>
      </c>
      <c r="D201" s="1449" t="s">
        <v>3396</v>
      </c>
      <c r="E201" s="1450" t="s">
        <v>36</v>
      </c>
      <c r="F201" s="1666">
        <f>+'VAL AMP4 MM'!L208</f>
        <v>0</v>
      </c>
    </row>
    <row r="202" spans="3:6" ht="13.15" hidden="1" customHeight="1">
      <c r="C202" s="1437" t="s">
        <v>495</v>
      </c>
      <c r="D202" s="1449" t="s">
        <v>3866</v>
      </c>
      <c r="E202" s="1450" t="s">
        <v>36</v>
      </c>
      <c r="F202" s="1666">
        <f>+'VAL AMP4 MM'!L209</f>
        <v>0</v>
      </c>
    </row>
    <row r="203" spans="3:6" ht="13.15" hidden="1" customHeight="1">
      <c r="C203" s="1527" t="s">
        <v>497</v>
      </c>
      <c r="D203" s="1521" t="s">
        <v>3867</v>
      </c>
      <c r="E203" s="1450"/>
      <c r="F203" s="1666"/>
    </row>
    <row r="204" spans="3:6" ht="13.15" hidden="1" customHeight="1">
      <c r="C204" s="1437" t="s">
        <v>498</v>
      </c>
      <c r="D204" s="1449" t="s">
        <v>3868</v>
      </c>
      <c r="E204" s="1450"/>
      <c r="F204" s="1666"/>
    </row>
    <row r="205" spans="3:6" ht="13.15" hidden="1" customHeight="1">
      <c r="C205" s="1437" t="s">
        <v>2585</v>
      </c>
      <c r="D205" s="1449" t="s">
        <v>3869</v>
      </c>
      <c r="E205" s="1450" t="s">
        <v>2828</v>
      </c>
      <c r="F205" s="1666">
        <f>+'VAL AMP4 MM'!L212</f>
        <v>0</v>
      </c>
    </row>
    <row r="206" spans="3:6" ht="13.15" hidden="1" customHeight="1">
      <c r="C206" s="1437" t="s">
        <v>499</v>
      </c>
      <c r="D206" s="1449" t="s">
        <v>3429</v>
      </c>
      <c r="E206" s="1450"/>
      <c r="F206" s="1666">
        <f>+'VAL AMP4 MM'!L213</f>
        <v>0</v>
      </c>
    </row>
    <row r="207" spans="3:6" ht="13.15" hidden="1" customHeight="1">
      <c r="C207" s="1437" t="s">
        <v>2593</v>
      </c>
      <c r="D207" s="1449" t="s">
        <v>3440</v>
      </c>
      <c r="E207" s="1450" t="s">
        <v>2828</v>
      </c>
      <c r="F207" s="1666">
        <f>+'VAL AMP4 MM'!L214</f>
        <v>0</v>
      </c>
    </row>
    <row r="208" spans="3:6" ht="13.15" hidden="1" customHeight="1">
      <c r="C208" s="1437" t="s">
        <v>2594</v>
      </c>
      <c r="D208" s="1449" t="s">
        <v>3445</v>
      </c>
      <c r="E208" s="1450" t="s">
        <v>2828</v>
      </c>
      <c r="F208" s="1666">
        <f>+'VAL AMP4 MM'!L215</f>
        <v>0</v>
      </c>
    </row>
    <row r="209" spans="3:6" ht="13.15" hidden="1" customHeight="1">
      <c r="C209" s="1527" t="s">
        <v>1032</v>
      </c>
      <c r="D209" s="1521" t="s">
        <v>3870</v>
      </c>
      <c r="E209" s="1450"/>
      <c r="F209" s="1666"/>
    </row>
    <row r="210" spans="3:6" ht="13.15" hidden="1" customHeight="1">
      <c r="C210" s="1437" t="s">
        <v>2608</v>
      </c>
      <c r="D210" s="1449" t="s">
        <v>3449</v>
      </c>
      <c r="E210" s="1450" t="s">
        <v>38</v>
      </c>
      <c r="F210" s="1666">
        <f>+'VAL AMP4 MM'!L217</f>
        <v>0</v>
      </c>
    </row>
    <row r="211" spans="3:6" ht="13.15" hidden="1" customHeight="1">
      <c r="C211" s="1437" t="s">
        <v>2609</v>
      </c>
      <c r="D211" s="1449" t="s">
        <v>3871</v>
      </c>
      <c r="E211" s="1450" t="s">
        <v>36</v>
      </c>
      <c r="F211" s="1666">
        <f>+'VAL AMP4 MM'!L218</f>
        <v>0</v>
      </c>
    </row>
    <row r="212" spans="3:6" ht="13.15" hidden="1" customHeight="1">
      <c r="C212" s="1437" t="s">
        <v>2610</v>
      </c>
      <c r="D212" s="1449" t="s">
        <v>3872</v>
      </c>
      <c r="E212" s="1450" t="s">
        <v>36</v>
      </c>
      <c r="F212" s="1666">
        <f>+'VAL AMP4 MM'!L219</f>
        <v>0</v>
      </c>
    </row>
    <row r="213" spans="3:6" ht="13.15" hidden="1" customHeight="1">
      <c r="C213" s="1527" t="s">
        <v>1033</v>
      </c>
      <c r="D213" s="1521" t="s">
        <v>3873</v>
      </c>
      <c r="E213" s="1450"/>
      <c r="F213" s="1666"/>
    </row>
    <row r="214" spans="3:6" ht="13.15" hidden="1" customHeight="1">
      <c r="C214" s="1437" t="s">
        <v>3874</v>
      </c>
      <c r="D214" s="1449" t="s">
        <v>3875</v>
      </c>
      <c r="E214" s="1450" t="s">
        <v>3876</v>
      </c>
      <c r="F214" s="1666">
        <f>+'VAL AMP4 MM'!L221</f>
        <v>0</v>
      </c>
    </row>
    <row r="215" spans="3:6" ht="13.15" hidden="1" customHeight="1">
      <c r="C215" s="1437" t="s">
        <v>3877</v>
      </c>
      <c r="D215" s="1449" t="s">
        <v>3878</v>
      </c>
      <c r="E215" s="1450" t="s">
        <v>3876</v>
      </c>
      <c r="F215" s="1666">
        <f>+'VAL AMP4 MM'!L222</f>
        <v>0</v>
      </c>
    </row>
    <row r="216" spans="3:6" ht="13.15" hidden="1" customHeight="1">
      <c r="C216" s="1527" t="s">
        <v>500</v>
      </c>
      <c r="D216" s="1521" t="s">
        <v>3879</v>
      </c>
      <c r="E216" s="1450"/>
      <c r="F216" s="1666"/>
    </row>
    <row r="217" spans="3:6" ht="13.15" hidden="1" customHeight="1">
      <c r="C217" s="1527" t="s">
        <v>501</v>
      </c>
      <c r="D217" s="1521" t="s">
        <v>3880</v>
      </c>
      <c r="E217" s="1450"/>
      <c r="F217" s="1666"/>
    </row>
    <row r="218" spans="3:6" ht="13.15" hidden="1" customHeight="1">
      <c r="C218" s="1437" t="s">
        <v>2615</v>
      </c>
      <c r="D218" s="1449" t="s">
        <v>3881</v>
      </c>
      <c r="E218" s="1450" t="s">
        <v>36</v>
      </c>
      <c r="F218" s="1666">
        <f>+'VAL AMP4 MM'!L225</f>
        <v>0</v>
      </c>
    </row>
    <row r="219" spans="3:6" ht="13.15" hidden="1" customHeight="1">
      <c r="C219" s="1437" t="s">
        <v>2616</v>
      </c>
      <c r="D219" s="1449" t="s">
        <v>3882</v>
      </c>
      <c r="E219" s="1450" t="s">
        <v>36</v>
      </c>
      <c r="F219" s="1666">
        <f>+'VAL AMP4 MM'!L226</f>
        <v>0</v>
      </c>
    </row>
    <row r="220" spans="3:6" ht="13.15" hidden="1" customHeight="1">
      <c r="C220" s="1527" t="s">
        <v>502</v>
      </c>
      <c r="D220" s="1521" t="s">
        <v>3873</v>
      </c>
      <c r="E220" s="1450"/>
      <c r="F220" s="1666"/>
    </row>
    <row r="221" spans="3:6" ht="13.15" hidden="1" customHeight="1">
      <c r="C221" s="1437" t="s">
        <v>2619</v>
      </c>
      <c r="D221" s="1449" t="s">
        <v>3461</v>
      </c>
      <c r="E221" s="1450" t="s">
        <v>3876</v>
      </c>
      <c r="F221" s="1666">
        <f>+'VAL AMP4 MM'!L228</f>
        <v>0</v>
      </c>
    </row>
    <row r="222" spans="3:6" ht="13.15" hidden="1" customHeight="1">
      <c r="C222" s="1437" t="s">
        <v>2620</v>
      </c>
      <c r="D222" s="1449" t="s">
        <v>3462</v>
      </c>
      <c r="E222" s="1450" t="s">
        <v>3876</v>
      </c>
      <c r="F222" s="1666">
        <f>+'VAL AMP4 MM'!L229</f>
        <v>0</v>
      </c>
    </row>
    <row r="223" spans="3:6" ht="13.15" hidden="1" customHeight="1">
      <c r="C223" s="1527" t="s">
        <v>503</v>
      </c>
      <c r="D223" s="1521" t="s">
        <v>3883</v>
      </c>
      <c r="E223" s="1450"/>
      <c r="F223" s="1666"/>
    </row>
    <row r="224" spans="3:6" ht="13.15" hidden="1" customHeight="1">
      <c r="C224" s="1437" t="s">
        <v>2625</v>
      </c>
      <c r="D224" s="1449" t="s">
        <v>3464</v>
      </c>
      <c r="E224" s="1450" t="s">
        <v>1452</v>
      </c>
      <c r="F224" s="1666">
        <f>+'VAL AMP4 MM'!L231</f>
        <v>0</v>
      </c>
    </row>
    <row r="225" spans="3:6" ht="13.15" hidden="1" customHeight="1">
      <c r="C225" s="1437" t="s">
        <v>2626</v>
      </c>
      <c r="D225" s="1449" t="s">
        <v>3884</v>
      </c>
      <c r="E225" s="1450" t="s">
        <v>36</v>
      </c>
      <c r="F225" s="1666">
        <f>+'VAL AMP4 MM'!L232</f>
        <v>0</v>
      </c>
    </row>
    <row r="226" spans="3:6" ht="13.15" hidden="1" customHeight="1">
      <c r="C226" s="1527" t="s">
        <v>505</v>
      </c>
      <c r="D226" s="1521" t="s">
        <v>3885</v>
      </c>
      <c r="E226" s="1450"/>
      <c r="F226" s="1666"/>
    </row>
    <row r="227" spans="3:6" ht="13.15" hidden="1" customHeight="1">
      <c r="C227" s="1527" t="s">
        <v>506</v>
      </c>
      <c r="D227" s="1521" t="s">
        <v>3886</v>
      </c>
      <c r="E227" s="1450"/>
      <c r="F227" s="1666"/>
    </row>
    <row r="228" spans="3:6" ht="13.15" hidden="1" customHeight="1">
      <c r="C228" s="1437" t="s">
        <v>3887</v>
      </c>
      <c r="D228" s="1449" t="s">
        <v>3888</v>
      </c>
      <c r="E228" s="1450" t="s">
        <v>36</v>
      </c>
      <c r="F228" s="1666">
        <f>+'VAL AMP4 MM'!L235</f>
        <v>0</v>
      </c>
    </row>
    <row r="229" spans="3:6" ht="13.15" hidden="1" customHeight="1">
      <c r="C229" s="1437" t="s">
        <v>3889</v>
      </c>
      <c r="D229" s="1449" t="s">
        <v>3890</v>
      </c>
      <c r="E229" s="1450" t="s">
        <v>36</v>
      </c>
      <c r="F229" s="1666">
        <f>+'VAL AMP4 MM'!L236</f>
        <v>0</v>
      </c>
    </row>
    <row r="230" spans="3:6" ht="13.15" hidden="1" customHeight="1">
      <c r="C230" s="1437" t="s">
        <v>3891</v>
      </c>
      <c r="D230" s="1449" t="s">
        <v>3892</v>
      </c>
      <c r="E230" s="1450" t="s">
        <v>36</v>
      </c>
      <c r="F230" s="1666">
        <f>+'VAL AMP4 MM'!L237</f>
        <v>0</v>
      </c>
    </row>
    <row r="231" spans="3:6" ht="13.15" hidden="1" customHeight="1">
      <c r="C231" s="1437" t="s">
        <v>507</v>
      </c>
      <c r="D231" s="1449" t="s">
        <v>3893</v>
      </c>
      <c r="E231" s="1450"/>
      <c r="F231" s="1666">
        <f>+'VAL AMP4 MM'!L238</f>
        <v>0</v>
      </c>
    </row>
    <row r="232" spans="3:6" ht="13.15" hidden="1" customHeight="1">
      <c r="C232" s="1437" t="s">
        <v>3894</v>
      </c>
      <c r="D232" s="1449" t="s">
        <v>3895</v>
      </c>
      <c r="E232" s="1450" t="s">
        <v>36</v>
      </c>
      <c r="F232" s="1666">
        <f>+'VAL AMP4 MM'!L239</f>
        <v>0</v>
      </c>
    </row>
    <row r="233" spans="3:6" ht="13.15" hidden="1" customHeight="1">
      <c r="C233" s="1437" t="s">
        <v>3896</v>
      </c>
      <c r="D233" s="1449" t="s">
        <v>3897</v>
      </c>
      <c r="E233" s="1450" t="s">
        <v>36</v>
      </c>
      <c r="F233" s="1666">
        <f>+'VAL AMP4 MM'!L240</f>
        <v>0</v>
      </c>
    </row>
    <row r="234" spans="3:6" ht="13.15" hidden="1" customHeight="1">
      <c r="C234" s="1527" t="s">
        <v>508</v>
      </c>
      <c r="D234" s="1521" t="s">
        <v>3898</v>
      </c>
      <c r="E234" s="1450"/>
      <c r="F234" s="1666"/>
    </row>
    <row r="235" spans="3:6" ht="13.15" hidden="1" customHeight="1">
      <c r="C235" s="1437" t="s">
        <v>3899</v>
      </c>
      <c r="D235" s="1449" t="s">
        <v>3482</v>
      </c>
      <c r="E235" s="1450" t="s">
        <v>1452</v>
      </c>
      <c r="F235" s="1666">
        <f>+'VAL AMP4 MM'!L242</f>
        <v>0</v>
      </c>
    </row>
    <row r="236" spans="3:6" ht="13.15" hidden="1" customHeight="1">
      <c r="C236" s="1437" t="s">
        <v>3900</v>
      </c>
      <c r="D236" s="1449" t="s">
        <v>3483</v>
      </c>
      <c r="E236" s="1450" t="s">
        <v>1452</v>
      </c>
      <c r="F236" s="1666">
        <f>+'VAL AMP4 MM'!L243</f>
        <v>0</v>
      </c>
    </row>
    <row r="237" spans="3:6" ht="13.15" hidden="1" customHeight="1">
      <c r="C237" s="1437" t="s">
        <v>3901</v>
      </c>
      <c r="D237" s="1449" t="s">
        <v>3484</v>
      </c>
      <c r="E237" s="1450" t="s">
        <v>1452</v>
      </c>
      <c r="F237" s="1666">
        <f>+'VAL AMP4 MM'!L244</f>
        <v>0</v>
      </c>
    </row>
    <row r="238" spans="3:6" ht="13.15" hidden="1" customHeight="1">
      <c r="C238" s="1527" t="s">
        <v>1038</v>
      </c>
      <c r="D238" s="1521" t="s">
        <v>3902</v>
      </c>
      <c r="E238" s="1450"/>
      <c r="F238" s="1666"/>
    </row>
    <row r="239" spans="3:6" ht="13.15" hidden="1" customHeight="1">
      <c r="C239" s="1527" t="s">
        <v>509</v>
      </c>
      <c r="D239" s="1521" t="s">
        <v>3880</v>
      </c>
      <c r="E239" s="1450"/>
      <c r="F239" s="1666"/>
    </row>
    <row r="240" spans="3:6" ht="13.15" hidden="1" customHeight="1">
      <c r="C240" s="1437" t="s">
        <v>3903</v>
      </c>
      <c r="D240" s="1449" t="s">
        <v>3881</v>
      </c>
      <c r="E240" s="1450" t="s">
        <v>36</v>
      </c>
      <c r="F240" s="1666">
        <f>+'VAL AMP4 MM'!L247</f>
        <v>0</v>
      </c>
    </row>
    <row r="241" spans="3:6" ht="13.15" hidden="1" customHeight="1">
      <c r="C241" s="1437" t="s">
        <v>3904</v>
      </c>
      <c r="D241" s="1449" t="s">
        <v>3882</v>
      </c>
      <c r="E241" s="1450" t="s">
        <v>36</v>
      </c>
      <c r="F241" s="1666">
        <f>+'VAL AMP4 MM'!L248</f>
        <v>0</v>
      </c>
    </row>
    <row r="242" spans="3:6" ht="13.15" hidden="1" customHeight="1">
      <c r="C242" s="1527" t="s">
        <v>510</v>
      </c>
      <c r="D242" s="1521" t="s">
        <v>3873</v>
      </c>
      <c r="E242" s="1450"/>
      <c r="F242" s="1666"/>
    </row>
    <row r="243" spans="3:6" ht="13.15" hidden="1" customHeight="1">
      <c r="C243" s="1437" t="s">
        <v>3905</v>
      </c>
      <c r="D243" s="1449" t="s">
        <v>3461</v>
      </c>
      <c r="E243" s="1450" t="s">
        <v>3876</v>
      </c>
      <c r="F243" s="1666">
        <f>+'VAL AMP4 MM'!L250</f>
        <v>0</v>
      </c>
    </row>
    <row r="244" spans="3:6" ht="13.15" hidden="1" customHeight="1">
      <c r="C244" s="1437" t="s">
        <v>3906</v>
      </c>
      <c r="D244" s="1449" t="s">
        <v>3462</v>
      </c>
      <c r="E244" s="1450" t="s">
        <v>3876</v>
      </c>
      <c r="F244" s="1666">
        <f>+'VAL AMP4 MM'!L251</f>
        <v>0</v>
      </c>
    </row>
    <row r="245" spans="3:6" ht="13.15" hidden="1" customHeight="1">
      <c r="C245" s="1527" t="s">
        <v>3907</v>
      </c>
      <c r="D245" s="1521" t="s">
        <v>3908</v>
      </c>
      <c r="E245" s="1450"/>
      <c r="F245" s="1666"/>
    </row>
    <row r="246" spans="3:6" ht="13.15" hidden="1" customHeight="1">
      <c r="C246" s="1437" t="s">
        <v>3909</v>
      </c>
      <c r="D246" s="1449" t="s">
        <v>3884</v>
      </c>
      <c r="E246" s="1450" t="s">
        <v>36</v>
      </c>
      <c r="F246" s="1666">
        <f>+'VAL AMP4 MM'!L253</f>
        <v>0</v>
      </c>
    </row>
    <row r="247" spans="3:6" ht="13.15" hidden="1" customHeight="1">
      <c r="C247" s="1527" t="s">
        <v>3910</v>
      </c>
      <c r="D247" s="1521" t="s">
        <v>3911</v>
      </c>
      <c r="E247" s="1450"/>
      <c r="F247" s="1666"/>
    </row>
    <row r="248" spans="3:6" ht="13.15" hidden="1" customHeight="1">
      <c r="C248" s="1437" t="s">
        <v>3912</v>
      </c>
      <c r="D248" s="1449" t="s">
        <v>3913</v>
      </c>
      <c r="E248" s="1450" t="s">
        <v>36</v>
      </c>
      <c r="F248" s="1666">
        <f>+'VAL AMP4 MM'!L255</f>
        <v>0</v>
      </c>
    </row>
    <row r="249" spans="3:6" ht="13.15" hidden="1" customHeight="1">
      <c r="C249" s="1527" t="s">
        <v>3914</v>
      </c>
      <c r="D249" s="1521" t="s">
        <v>3915</v>
      </c>
      <c r="E249" s="1450"/>
      <c r="F249" s="1666"/>
    </row>
    <row r="250" spans="3:6" ht="13.15" hidden="1" customHeight="1" thickBot="1">
      <c r="C250" s="1463" t="s">
        <v>3916</v>
      </c>
      <c r="D250" s="1464" t="s">
        <v>3917</v>
      </c>
      <c r="E250" s="1465" t="s">
        <v>36</v>
      </c>
      <c r="F250" s="1666">
        <f>+'VAL AMP4 MM'!L257</f>
        <v>0</v>
      </c>
    </row>
    <row r="251" spans="3:6" ht="13.15" customHeight="1">
      <c r="C251" s="1083"/>
      <c r="D251" s="1092"/>
      <c r="E251" s="1085"/>
    </row>
    <row r="252" spans="3:6" ht="13.15" customHeight="1">
      <c r="C252" s="1083"/>
      <c r="D252" s="1092"/>
      <c r="E252" s="1085"/>
    </row>
    <row r="253" spans="3:6" ht="13.15" customHeight="1"/>
    <row r="254" spans="3:6" ht="13.15" customHeight="1"/>
    <row r="255" spans="3:6" ht="13.15" customHeight="1"/>
  </sheetData>
  <mergeCells count="4">
    <mergeCell ref="C4:C7"/>
    <mergeCell ref="D4:D7"/>
    <mergeCell ref="E4:E7"/>
    <mergeCell ref="F4:F7"/>
  </mergeCells>
  <printOptions horizontalCentered="1"/>
  <pageMargins left="0.70866141732283472" right="0.70866141732283472" top="0.74803149606299213" bottom="0.74803149606299213" header="0.31496062992125984" footer="0.31496062992125984"/>
  <pageSetup paperSize="9" scale="88"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C1:H264"/>
  <sheetViews>
    <sheetView view="pageBreakPreview" zoomScale="115" zoomScaleNormal="100" zoomScaleSheetLayoutView="115" workbookViewId="0">
      <selection activeCell="J182" sqref="J182"/>
    </sheetView>
  </sheetViews>
  <sheetFormatPr baseColWidth="10" defaultRowHeight="12.75"/>
  <cols>
    <col min="2" max="2" width="1.5703125" customWidth="1"/>
    <col min="3" max="3" width="13.28515625" customWidth="1"/>
    <col min="4" max="4" width="64.42578125" customWidth="1"/>
    <col min="5" max="5" width="10.5703125" customWidth="1"/>
    <col min="7" max="7" width="1.28515625" customWidth="1"/>
    <col min="8" max="8" width="13" bestFit="1" customWidth="1"/>
  </cols>
  <sheetData>
    <row r="1" spans="3:6" ht="15">
      <c r="C1" s="1295" t="s">
        <v>4329</v>
      </c>
      <c r="D1" s="1289"/>
      <c r="E1" s="1289"/>
      <c r="F1" s="1289"/>
    </row>
    <row r="2" spans="3:6" ht="15.75" thickBot="1">
      <c r="C2" s="1295"/>
      <c r="D2" s="1289"/>
      <c r="E2" s="1289"/>
      <c r="F2" s="1289"/>
    </row>
    <row r="3" spans="3:6">
      <c r="C3" s="2676" t="s">
        <v>20</v>
      </c>
      <c r="D3" s="2676" t="s">
        <v>21</v>
      </c>
      <c r="E3" s="2676" t="s">
        <v>4314</v>
      </c>
      <c r="F3" s="2676" t="s">
        <v>4327</v>
      </c>
    </row>
    <row r="4" spans="3:6">
      <c r="C4" s="2677"/>
      <c r="D4" s="2677"/>
      <c r="E4" s="2677"/>
      <c r="F4" s="2677"/>
    </row>
    <row r="5" spans="3:6">
      <c r="C5" s="2677"/>
      <c r="D5" s="2677"/>
      <c r="E5" s="2677"/>
      <c r="F5" s="2677"/>
    </row>
    <row r="6" spans="3:6" ht="13.5" thickBot="1">
      <c r="C6" s="2678"/>
      <c r="D6" s="2678"/>
      <c r="E6" s="2678"/>
      <c r="F6" s="2678"/>
    </row>
    <row r="7" spans="3:6">
      <c r="C7" s="1644" t="s">
        <v>33</v>
      </c>
      <c r="D7" s="1645" t="s">
        <v>3625</v>
      </c>
      <c r="E7" s="1646"/>
      <c r="F7" s="1653"/>
    </row>
    <row r="8" spans="3:6" hidden="1">
      <c r="C8" s="1658" t="s">
        <v>35</v>
      </c>
      <c r="D8" s="1659" t="s">
        <v>2898</v>
      </c>
      <c r="E8" s="1660"/>
      <c r="F8" s="1666"/>
    </row>
    <row r="9" spans="3:6" hidden="1">
      <c r="C9" s="1673" t="s">
        <v>537</v>
      </c>
      <c r="D9" s="1674" t="s">
        <v>3964</v>
      </c>
      <c r="E9" s="1660" t="s">
        <v>40</v>
      </c>
      <c r="F9" s="1666">
        <f>+'VAL AMP 4 PN'!L18</f>
        <v>0</v>
      </c>
    </row>
    <row r="10" spans="3:6" hidden="1">
      <c r="C10" s="1658" t="s">
        <v>39</v>
      </c>
      <c r="D10" s="1659" t="s">
        <v>2934</v>
      </c>
      <c r="E10" s="1660"/>
      <c r="F10" s="1666">
        <f>+'VAL AMP 4 PN'!L19</f>
        <v>0</v>
      </c>
    </row>
    <row r="11" spans="3:6" hidden="1">
      <c r="C11" s="1675" t="s">
        <v>542</v>
      </c>
      <c r="D11" s="1676" t="s">
        <v>2935</v>
      </c>
      <c r="E11" s="1660"/>
      <c r="F11" s="1666">
        <f>+'VAL AMP 4 PN'!L20</f>
        <v>0</v>
      </c>
    </row>
    <row r="12" spans="3:6" hidden="1">
      <c r="C12" s="1673" t="s">
        <v>3724</v>
      </c>
      <c r="D12" s="1674" t="s">
        <v>3965</v>
      </c>
      <c r="E12" s="1660" t="s">
        <v>37</v>
      </c>
      <c r="F12" s="1666">
        <f>+'VAL AMP 4 PN'!L21</f>
        <v>0</v>
      </c>
    </row>
    <row r="13" spans="3:6" hidden="1">
      <c r="C13" s="1675" t="s">
        <v>543</v>
      </c>
      <c r="D13" s="1676" t="s">
        <v>3966</v>
      </c>
      <c r="E13" s="1660"/>
      <c r="F13" s="1666"/>
    </row>
    <row r="14" spans="3:6" hidden="1">
      <c r="C14" s="1673" t="s">
        <v>3726</v>
      </c>
      <c r="D14" s="1674" t="s">
        <v>3967</v>
      </c>
      <c r="E14" s="1660" t="s">
        <v>40</v>
      </c>
      <c r="F14" s="1666">
        <f>+'VAL AMP 4 PN'!L23</f>
        <v>0</v>
      </c>
    </row>
    <row r="15" spans="3:6" hidden="1">
      <c r="C15" s="1673" t="s">
        <v>3728</v>
      </c>
      <c r="D15" s="1674" t="s">
        <v>3968</v>
      </c>
      <c r="E15" s="1660" t="s">
        <v>37</v>
      </c>
      <c r="F15" s="1666">
        <f>+'VAL AMP 4 PN'!L24</f>
        <v>0</v>
      </c>
    </row>
    <row r="16" spans="3:6" hidden="1">
      <c r="C16" s="1673" t="s">
        <v>3969</v>
      </c>
      <c r="D16" s="1674" t="s">
        <v>3970</v>
      </c>
      <c r="E16" s="1660" t="s">
        <v>48</v>
      </c>
      <c r="F16" s="1666">
        <f>+'VAL AMP 4 PN'!L25</f>
        <v>0</v>
      </c>
    </row>
    <row r="17" spans="3:6" hidden="1">
      <c r="C17" s="1658" t="s">
        <v>545</v>
      </c>
      <c r="D17" s="1659" t="s">
        <v>3971</v>
      </c>
      <c r="E17" s="1660"/>
      <c r="F17" s="1666"/>
    </row>
    <row r="18" spans="3:6" hidden="1">
      <c r="C18" s="1673" t="s">
        <v>546</v>
      </c>
      <c r="D18" s="1674" t="s">
        <v>3972</v>
      </c>
      <c r="E18" s="1660" t="s">
        <v>40</v>
      </c>
      <c r="F18" s="1666">
        <f>+'VAL AMP 4 PN'!L27</f>
        <v>0</v>
      </c>
    </row>
    <row r="19" spans="3:6" hidden="1">
      <c r="C19" s="1673" t="s">
        <v>547</v>
      </c>
      <c r="D19" s="1674" t="s">
        <v>3973</v>
      </c>
      <c r="E19" s="1660" t="s">
        <v>37</v>
      </c>
      <c r="F19" s="1666">
        <f>+'VAL AMP 4 PN'!L28</f>
        <v>0</v>
      </c>
    </row>
    <row r="20" spans="3:6" hidden="1">
      <c r="C20" s="1673" t="s">
        <v>2249</v>
      </c>
      <c r="D20" s="1674" t="s">
        <v>3974</v>
      </c>
      <c r="E20" s="1660" t="s">
        <v>36</v>
      </c>
      <c r="F20" s="1666">
        <f>+'VAL AMP 4 PN'!L29</f>
        <v>0</v>
      </c>
    </row>
    <row r="21" spans="3:6" hidden="1">
      <c r="C21" s="1673" t="s">
        <v>2250</v>
      </c>
      <c r="D21" s="1674" t="s">
        <v>3975</v>
      </c>
      <c r="E21" s="1660" t="s">
        <v>3876</v>
      </c>
      <c r="F21" s="1666">
        <f>+'VAL AMP 4 PN'!L30</f>
        <v>0</v>
      </c>
    </row>
    <row r="22" spans="3:6" hidden="1">
      <c r="C22" s="1673" t="s">
        <v>3745</v>
      </c>
      <c r="D22" s="1674" t="s">
        <v>3976</v>
      </c>
      <c r="E22" s="1660" t="s">
        <v>2827</v>
      </c>
      <c r="F22" s="1666">
        <f>+'VAL AMP 4 PN'!L31</f>
        <v>0</v>
      </c>
    </row>
    <row r="23" spans="3:6" hidden="1">
      <c r="C23" s="1673" t="s">
        <v>3750</v>
      </c>
      <c r="D23" s="1674" t="s">
        <v>3977</v>
      </c>
      <c r="E23" s="1660" t="s">
        <v>3876</v>
      </c>
      <c r="F23" s="1666">
        <f>+'VAL AMP 4 PN'!L32</f>
        <v>0</v>
      </c>
    </row>
    <row r="24" spans="3:6" hidden="1">
      <c r="C24" s="1658" t="s">
        <v>548</v>
      </c>
      <c r="D24" s="1659" t="s">
        <v>3024</v>
      </c>
      <c r="E24" s="1660"/>
      <c r="F24" s="1666"/>
    </row>
    <row r="25" spans="3:6" hidden="1">
      <c r="C25" s="1675" t="s">
        <v>549</v>
      </c>
      <c r="D25" s="1676" t="s">
        <v>3978</v>
      </c>
      <c r="E25" s="1660"/>
      <c r="F25" s="1666"/>
    </row>
    <row r="26" spans="3:6" hidden="1">
      <c r="C26" s="1673" t="s">
        <v>3979</v>
      </c>
      <c r="D26" s="1674" t="s">
        <v>3980</v>
      </c>
      <c r="E26" s="1660" t="s">
        <v>36</v>
      </c>
      <c r="F26" s="1666">
        <f>+'VAL AMP 4 PN'!L35</f>
        <v>0</v>
      </c>
    </row>
    <row r="27" spans="3:6" hidden="1">
      <c r="C27" s="1673" t="s">
        <v>3981</v>
      </c>
      <c r="D27" s="1674" t="s">
        <v>3982</v>
      </c>
      <c r="E27" s="1660" t="s">
        <v>36</v>
      </c>
      <c r="F27" s="1666">
        <f>+'VAL AMP 4 PN'!L36</f>
        <v>0</v>
      </c>
    </row>
    <row r="28" spans="3:6" hidden="1">
      <c r="C28" s="1673" t="s">
        <v>3983</v>
      </c>
      <c r="D28" s="1674" t="s">
        <v>3984</v>
      </c>
      <c r="E28" s="1660" t="s">
        <v>38</v>
      </c>
      <c r="F28" s="1666">
        <f>+'VAL AMP 4 PN'!L37</f>
        <v>0</v>
      </c>
    </row>
    <row r="29" spans="3:6" hidden="1">
      <c r="C29" s="1673" t="s">
        <v>3985</v>
      </c>
      <c r="D29" s="1674" t="s">
        <v>3986</v>
      </c>
      <c r="E29" s="1660" t="s">
        <v>37</v>
      </c>
      <c r="F29" s="1666">
        <f>+'VAL AMP 4 PN'!L38</f>
        <v>0</v>
      </c>
    </row>
    <row r="30" spans="3:6" hidden="1">
      <c r="C30" s="1673" t="s">
        <v>3987</v>
      </c>
      <c r="D30" s="1674" t="s">
        <v>3988</v>
      </c>
      <c r="E30" s="1660" t="s">
        <v>36</v>
      </c>
      <c r="F30" s="1666">
        <f>+'VAL AMP 4 PN'!L39</f>
        <v>0</v>
      </c>
    </row>
    <row r="31" spans="3:6" hidden="1">
      <c r="C31" s="1673" t="s">
        <v>3989</v>
      </c>
      <c r="D31" s="1674" t="s">
        <v>3990</v>
      </c>
      <c r="E31" s="1660" t="s">
        <v>36</v>
      </c>
      <c r="F31" s="1666">
        <f>+'VAL AMP 4 PN'!L40</f>
        <v>0</v>
      </c>
    </row>
    <row r="32" spans="3:6" hidden="1">
      <c r="C32" s="1673" t="s">
        <v>3991</v>
      </c>
      <c r="D32" s="1674" t="s">
        <v>3992</v>
      </c>
      <c r="E32" s="1660" t="s">
        <v>36</v>
      </c>
      <c r="F32" s="1666">
        <f>+'VAL AMP 4 PN'!L41</f>
        <v>0</v>
      </c>
    </row>
    <row r="33" spans="3:6" hidden="1">
      <c r="C33" s="1673" t="s">
        <v>3993</v>
      </c>
      <c r="D33" s="1674" t="s">
        <v>3994</v>
      </c>
      <c r="E33" s="1660" t="s">
        <v>38</v>
      </c>
      <c r="F33" s="1666">
        <f>+'VAL AMP 4 PN'!L42</f>
        <v>0</v>
      </c>
    </row>
    <row r="34" spans="3:6" hidden="1">
      <c r="C34" s="1673" t="s">
        <v>3995</v>
      </c>
      <c r="D34" s="1674" t="s">
        <v>3996</v>
      </c>
      <c r="E34" s="1660" t="s">
        <v>38</v>
      </c>
      <c r="F34" s="1666">
        <f>+'VAL AMP 4 PN'!L43</f>
        <v>0</v>
      </c>
    </row>
    <row r="35" spans="3:6" hidden="1">
      <c r="C35" s="1673" t="s">
        <v>3997</v>
      </c>
      <c r="D35" s="1674" t="s">
        <v>3998</v>
      </c>
      <c r="E35" s="1660" t="s">
        <v>38</v>
      </c>
      <c r="F35" s="1666">
        <f>+'VAL AMP 4 PN'!L44</f>
        <v>0</v>
      </c>
    </row>
    <row r="36" spans="3:6" hidden="1">
      <c r="C36" s="1673" t="s">
        <v>3999</v>
      </c>
      <c r="D36" s="1674" t="s">
        <v>4000</v>
      </c>
      <c r="E36" s="1660" t="s">
        <v>38</v>
      </c>
      <c r="F36" s="1666">
        <f>+'VAL AMP 4 PN'!L45</f>
        <v>0</v>
      </c>
    </row>
    <row r="37" spans="3:6" hidden="1">
      <c r="C37" s="1673" t="s">
        <v>4001</v>
      </c>
      <c r="D37" s="1674" t="s">
        <v>4002</v>
      </c>
      <c r="E37" s="1660" t="s">
        <v>38</v>
      </c>
      <c r="F37" s="1666">
        <f>+'VAL AMP 4 PN'!L46</f>
        <v>0</v>
      </c>
    </row>
    <row r="38" spans="3:6" hidden="1">
      <c r="C38" s="1673" t="s">
        <v>4003</v>
      </c>
      <c r="D38" s="1674" t="s">
        <v>4004</v>
      </c>
      <c r="E38" s="1660" t="s">
        <v>37</v>
      </c>
      <c r="F38" s="1666">
        <f>+'VAL AMP 4 PN'!L47</f>
        <v>0</v>
      </c>
    </row>
    <row r="39" spans="3:6" hidden="1">
      <c r="C39" s="1677" t="s">
        <v>4005</v>
      </c>
      <c r="D39" s="1678" t="s">
        <v>4006</v>
      </c>
      <c r="E39" s="1660"/>
      <c r="F39" s="1666">
        <f>+'VAL AMP 4 PN'!L48</f>
        <v>0</v>
      </c>
    </row>
    <row r="40" spans="3:6" hidden="1">
      <c r="C40" s="1673" t="s">
        <v>4007</v>
      </c>
      <c r="D40" s="1674" t="s">
        <v>4008</v>
      </c>
      <c r="E40" s="1660" t="s">
        <v>36</v>
      </c>
      <c r="F40" s="1666">
        <f>+'VAL AMP 4 PN'!L49</f>
        <v>0</v>
      </c>
    </row>
    <row r="41" spans="3:6" hidden="1">
      <c r="C41" s="1675" t="s">
        <v>550</v>
      </c>
      <c r="D41" s="1676" t="s">
        <v>4009</v>
      </c>
      <c r="E41" s="1660"/>
      <c r="F41" s="1666">
        <f>+'VAL AMP 4 PN'!L50</f>
        <v>0</v>
      </c>
    </row>
    <row r="42" spans="3:6" hidden="1">
      <c r="C42" s="1673" t="s">
        <v>4010</v>
      </c>
      <c r="D42" s="1674" t="s">
        <v>4011</v>
      </c>
      <c r="E42" s="1660" t="s">
        <v>36</v>
      </c>
      <c r="F42" s="1666">
        <f>+'VAL AMP 4 PN'!L51</f>
        <v>0</v>
      </c>
    </row>
    <row r="43" spans="3:6" hidden="1">
      <c r="C43" s="1673" t="s">
        <v>4012</v>
      </c>
      <c r="D43" s="1674" t="s">
        <v>4013</v>
      </c>
      <c r="E43" s="1660" t="s">
        <v>36</v>
      </c>
      <c r="F43" s="1666">
        <f>+'VAL AMP 4 PN'!L52</f>
        <v>0</v>
      </c>
    </row>
    <row r="44" spans="3:6" hidden="1">
      <c r="C44" s="1673" t="s">
        <v>4014</v>
      </c>
      <c r="D44" s="1674" t="s">
        <v>3984</v>
      </c>
      <c r="E44" s="1660" t="s">
        <v>38</v>
      </c>
      <c r="F44" s="1666">
        <f>+'VAL AMP 4 PN'!L53</f>
        <v>0</v>
      </c>
    </row>
    <row r="45" spans="3:6" hidden="1">
      <c r="C45" s="1673" t="s">
        <v>4015</v>
      </c>
      <c r="D45" s="1674" t="s">
        <v>4016</v>
      </c>
      <c r="E45" s="1660" t="s">
        <v>37</v>
      </c>
      <c r="F45" s="1666">
        <f>+'VAL AMP 4 PN'!L54</f>
        <v>0</v>
      </c>
    </row>
    <row r="46" spans="3:6" hidden="1">
      <c r="C46" s="1673" t="s">
        <v>4017</v>
      </c>
      <c r="D46" s="1674" t="s">
        <v>4018</v>
      </c>
      <c r="E46" s="1660" t="s">
        <v>38</v>
      </c>
      <c r="F46" s="1666">
        <f>+'VAL AMP 4 PN'!L55</f>
        <v>0</v>
      </c>
    </row>
    <row r="47" spans="3:6" hidden="1">
      <c r="C47" s="1673" t="s">
        <v>4019</v>
      </c>
      <c r="D47" s="1674" t="s">
        <v>3996</v>
      </c>
      <c r="E47" s="1660" t="s">
        <v>38</v>
      </c>
      <c r="F47" s="1666">
        <f>+'VAL AMP 4 PN'!L56</f>
        <v>0</v>
      </c>
    </row>
    <row r="48" spans="3:6" hidden="1">
      <c r="C48" s="1673" t="s">
        <v>4020</v>
      </c>
      <c r="D48" s="1674" t="s">
        <v>4021</v>
      </c>
      <c r="E48" s="1660" t="s">
        <v>38</v>
      </c>
      <c r="F48" s="1666">
        <f>+'VAL AMP 4 PN'!L57</f>
        <v>0</v>
      </c>
    </row>
    <row r="49" spans="3:6" hidden="1">
      <c r="C49" s="1673" t="s">
        <v>4022</v>
      </c>
      <c r="D49" s="1674" t="s">
        <v>4023</v>
      </c>
      <c r="E49" s="1660" t="s">
        <v>38</v>
      </c>
      <c r="F49" s="1666">
        <f>+'VAL AMP 4 PN'!L58</f>
        <v>0</v>
      </c>
    </row>
    <row r="50" spans="3:6" hidden="1">
      <c r="C50" s="1673" t="s">
        <v>4024</v>
      </c>
      <c r="D50" s="1674" t="s">
        <v>4025</v>
      </c>
      <c r="E50" s="1660" t="s">
        <v>38</v>
      </c>
      <c r="F50" s="1666">
        <f>+'VAL AMP 4 PN'!L59</f>
        <v>0</v>
      </c>
    </row>
    <row r="51" spans="3:6" hidden="1">
      <c r="C51" s="1673" t="s">
        <v>4026</v>
      </c>
      <c r="D51" s="1674" t="s">
        <v>4004</v>
      </c>
      <c r="E51" s="1660" t="s">
        <v>37</v>
      </c>
      <c r="F51" s="1666">
        <f>+'VAL AMP 4 PN'!L60</f>
        <v>0</v>
      </c>
    </row>
    <row r="52" spans="3:6" hidden="1">
      <c r="C52" s="1677" t="s">
        <v>4027</v>
      </c>
      <c r="D52" s="1678" t="s">
        <v>4006</v>
      </c>
      <c r="E52" s="1660"/>
      <c r="F52" s="1666">
        <f>+'VAL AMP 4 PN'!L61</f>
        <v>0</v>
      </c>
    </row>
    <row r="53" spans="3:6" hidden="1">
      <c r="C53" s="1673" t="s">
        <v>4028</v>
      </c>
      <c r="D53" s="1674" t="s">
        <v>4029</v>
      </c>
      <c r="E53" s="1660" t="s">
        <v>36</v>
      </c>
      <c r="F53" s="1666">
        <f>+'VAL AMP 4 PN'!L62</f>
        <v>0</v>
      </c>
    </row>
    <row r="54" spans="3:6" hidden="1">
      <c r="C54" s="1675" t="s">
        <v>2251</v>
      </c>
      <c r="D54" s="1676" t="s">
        <v>4030</v>
      </c>
      <c r="E54" s="1660"/>
      <c r="F54" s="1666">
        <f>+'VAL AMP 4 PN'!L63</f>
        <v>0</v>
      </c>
    </row>
    <row r="55" spans="3:6" hidden="1">
      <c r="C55" s="1673" t="s">
        <v>4031</v>
      </c>
      <c r="D55" s="1674" t="s">
        <v>4032</v>
      </c>
      <c r="E55" s="1660" t="s">
        <v>36</v>
      </c>
      <c r="F55" s="1666">
        <f>+'VAL AMP 4 PN'!L64</f>
        <v>0</v>
      </c>
    </row>
    <row r="56" spans="3:6" hidden="1">
      <c r="C56" s="1673" t="s">
        <v>4033</v>
      </c>
      <c r="D56" s="1674" t="s">
        <v>4034</v>
      </c>
      <c r="E56" s="1660" t="s">
        <v>36</v>
      </c>
      <c r="F56" s="1666">
        <f>+'VAL AMP 4 PN'!L65</f>
        <v>0</v>
      </c>
    </row>
    <row r="57" spans="3:6" hidden="1">
      <c r="C57" s="1673" t="s">
        <v>4035</v>
      </c>
      <c r="D57" s="1674" t="s">
        <v>3984</v>
      </c>
      <c r="E57" s="1660" t="s">
        <v>38</v>
      </c>
      <c r="F57" s="1666">
        <f>+'VAL AMP 4 PN'!L66</f>
        <v>0</v>
      </c>
    </row>
    <row r="58" spans="3:6" hidden="1">
      <c r="C58" s="1673" t="s">
        <v>4036</v>
      </c>
      <c r="D58" s="1674" t="s">
        <v>4037</v>
      </c>
      <c r="E58" s="1660" t="s">
        <v>37</v>
      </c>
      <c r="F58" s="1666">
        <f>+'VAL AMP 4 PN'!L67</f>
        <v>0</v>
      </c>
    </row>
    <row r="59" spans="3:6" hidden="1">
      <c r="C59" s="1673" t="s">
        <v>4038</v>
      </c>
      <c r="D59" s="1674" t="s">
        <v>4039</v>
      </c>
      <c r="E59" s="1660" t="s">
        <v>38</v>
      </c>
      <c r="F59" s="1666">
        <f>+'VAL AMP 4 PN'!L68</f>
        <v>0</v>
      </c>
    </row>
    <row r="60" spans="3:6" hidden="1">
      <c r="C60" s="1673" t="s">
        <v>4040</v>
      </c>
      <c r="D60" s="1674" t="s">
        <v>3996</v>
      </c>
      <c r="E60" s="1660" t="s">
        <v>38</v>
      </c>
      <c r="F60" s="1666">
        <f>+'VAL AMP 4 PN'!L69</f>
        <v>0</v>
      </c>
    </row>
    <row r="61" spans="3:6" hidden="1">
      <c r="C61" s="1673" t="s">
        <v>4041</v>
      </c>
      <c r="D61" s="1674" t="s">
        <v>4042</v>
      </c>
      <c r="E61" s="1660" t="s">
        <v>38</v>
      </c>
      <c r="F61" s="1666">
        <f>+'VAL AMP 4 PN'!L70</f>
        <v>0</v>
      </c>
    </row>
    <row r="62" spans="3:6" hidden="1">
      <c r="C62" s="1673" t="s">
        <v>4043</v>
      </c>
      <c r="D62" s="1674" t="s">
        <v>4044</v>
      </c>
      <c r="E62" s="1660" t="s">
        <v>38</v>
      </c>
      <c r="F62" s="1666">
        <f>+'VAL AMP 4 PN'!L71</f>
        <v>0</v>
      </c>
    </row>
    <row r="63" spans="3:6" hidden="1">
      <c r="C63" s="1673" t="s">
        <v>4045</v>
      </c>
      <c r="D63" s="1674" t="s">
        <v>4046</v>
      </c>
      <c r="E63" s="1660" t="s">
        <v>38</v>
      </c>
      <c r="F63" s="1666">
        <f>+'VAL AMP 4 PN'!L72</f>
        <v>0</v>
      </c>
    </row>
    <row r="64" spans="3:6" hidden="1">
      <c r="C64" s="1673" t="s">
        <v>4047</v>
      </c>
      <c r="D64" s="1674" t="s">
        <v>4004</v>
      </c>
      <c r="E64" s="1660" t="s">
        <v>37</v>
      </c>
      <c r="F64" s="1666">
        <f>+'VAL AMP 4 PN'!L73</f>
        <v>0</v>
      </c>
    </row>
    <row r="65" spans="3:6" hidden="1">
      <c r="C65" s="1677" t="s">
        <v>4048</v>
      </c>
      <c r="D65" s="1678" t="s">
        <v>4006</v>
      </c>
      <c r="E65" s="1660"/>
      <c r="F65" s="1666">
        <f>+'VAL AMP 4 PN'!L74</f>
        <v>0</v>
      </c>
    </row>
    <row r="66" spans="3:6" hidden="1">
      <c r="C66" s="1673" t="s">
        <v>4049</v>
      </c>
      <c r="D66" s="1674" t="s">
        <v>4050</v>
      </c>
      <c r="E66" s="1660" t="s">
        <v>36</v>
      </c>
      <c r="F66" s="1666">
        <f>+'VAL AMP 4 PN'!L75</f>
        <v>0</v>
      </c>
    </row>
    <row r="67" spans="3:6" hidden="1">
      <c r="C67" s="1675" t="s">
        <v>4051</v>
      </c>
      <c r="D67" s="1676" t="s">
        <v>4052</v>
      </c>
      <c r="E67" s="1660"/>
      <c r="F67" s="1666">
        <f>+'VAL AMP 4 PN'!L76</f>
        <v>0</v>
      </c>
    </row>
    <row r="68" spans="3:6" hidden="1">
      <c r="C68" s="1673" t="s">
        <v>4053</v>
      </c>
      <c r="D68" s="1674" t="s">
        <v>4054</v>
      </c>
      <c r="E68" s="1660" t="s">
        <v>36</v>
      </c>
      <c r="F68" s="1666">
        <f>+'VAL AMP 4 PN'!L77</f>
        <v>0</v>
      </c>
    </row>
    <row r="69" spans="3:6" hidden="1">
      <c r="C69" s="1673" t="s">
        <v>4055</v>
      </c>
      <c r="D69" s="1674" t="s">
        <v>4056</v>
      </c>
      <c r="E69" s="1660" t="s">
        <v>36</v>
      </c>
      <c r="F69" s="1666">
        <f>+'VAL AMP 4 PN'!L78</f>
        <v>0</v>
      </c>
    </row>
    <row r="70" spans="3:6" hidden="1">
      <c r="C70" s="1673" t="s">
        <v>4057</v>
      </c>
      <c r="D70" s="1674" t="s">
        <v>4058</v>
      </c>
      <c r="E70" s="1660" t="s">
        <v>36</v>
      </c>
      <c r="F70" s="1666">
        <f>+'VAL AMP 4 PN'!L79</f>
        <v>0</v>
      </c>
    </row>
    <row r="71" spans="3:6" hidden="1">
      <c r="C71" s="1673" t="s">
        <v>4059</v>
      </c>
      <c r="D71" s="1674" t="s">
        <v>4060</v>
      </c>
      <c r="E71" s="1660" t="s">
        <v>36</v>
      </c>
      <c r="F71" s="1666">
        <f>+'VAL AMP 4 PN'!L80</f>
        <v>0</v>
      </c>
    </row>
    <row r="72" spans="3:6" hidden="1">
      <c r="C72" s="1673" t="s">
        <v>4061</v>
      </c>
      <c r="D72" s="1674" t="s">
        <v>4062</v>
      </c>
      <c r="E72" s="1660" t="s">
        <v>38</v>
      </c>
      <c r="F72" s="1666">
        <f>+'VAL AMP 4 PN'!L81</f>
        <v>0</v>
      </c>
    </row>
    <row r="73" spans="3:6" hidden="1">
      <c r="C73" s="1673" t="s">
        <v>4063</v>
      </c>
      <c r="D73" s="1674" t="s">
        <v>4064</v>
      </c>
      <c r="E73" s="1660" t="s">
        <v>38</v>
      </c>
      <c r="F73" s="1666">
        <f>+'VAL AMP 4 PN'!L82</f>
        <v>0</v>
      </c>
    </row>
    <row r="74" spans="3:6" hidden="1">
      <c r="C74" s="1673" t="s">
        <v>4065</v>
      </c>
      <c r="D74" s="1674" t="s">
        <v>4066</v>
      </c>
      <c r="E74" s="1660" t="s">
        <v>37</v>
      </c>
      <c r="F74" s="1666">
        <f>+'VAL AMP 4 PN'!L83</f>
        <v>0</v>
      </c>
    </row>
    <row r="75" spans="3:6" hidden="1">
      <c r="C75" s="1673" t="s">
        <v>4067</v>
      </c>
      <c r="D75" s="1674" t="s">
        <v>3988</v>
      </c>
      <c r="E75" s="1660" t="s">
        <v>36</v>
      </c>
      <c r="F75" s="1666">
        <f>+'VAL AMP 4 PN'!L84</f>
        <v>0</v>
      </c>
    </row>
    <row r="76" spans="3:6" hidden="1">
      <c r="C76" s="1673" t="s">
        <v>4068</v>
      </c>
      <c r="D76" s="1674" t="s">
        <v>3990</v>
      </c>
      <c r="E76" s="1660" t="s">
        <v>36</v>
      </c>
      <c r="F76" s="1666">
        <f>+'VAL AMP 4 PN'!L85</f>
        <v>0</v>
      </c>
    </row>
    <row r="77" spans="3:6" hidden="1">
      <c r="C77" s="1673" t="s">
        <v>4069</v>
      </c>
      <c r="D77" s="1674" t="s">
        <v>3992</v>
      </c>
      <c r="E77" s="1660" t="s">
        <v>36</v>
      </c>
      <c r="F77" s="1666">
        <f>+'VAL AMP 4 PN'!L86</f>
        <v>0</v>
      </c>
    </row>
    <row r="78" spans="3:6" hidden="1">
      <c r="C78" s="1673" t="s">
        <v>4070</v>
      </c>
      <c r="D78" s="1674" t="s">
        <v>4071</v>
      </c>
      <c r="E78" s="1660" t="s">
        <v>38</v>
      </c>
      <c r="F78" s="1666">
        <f>+'VAL AMP 4 PN'!L87</f>
        <v>0</v>
      </c>
    </row>
    <row r="79" spans="3:6" hidden="1">
      <c r="C79" s="1673" t="s">
        <v>4072</v>
      </c>
      <c r="D79" s="1674" t="s">
        <v>4073</v>
      </c>
      <c r="E79" s="1660" t="s">
        <v>38</v>
      </c>
      <c r="F79" s="1666">
        <f>+'VAL AMP 4 PN'!L88</f>
        <v>0</v>
      </c>
    </row>
    <row r="80" spans="3:6" hidden="1">
      <c r="C80" s="1673" t="s">
        <v>4074</v>
      </c>
      <c r="D80" s="1674" t="s">
        <v>4075</v>
      </c>
      <c r="E80" s="1660" t="s">
        <v>38</v>
      </c>
      <c r="F80" s="1666">
        <f>+'VAL AMP 4 PN'!L89</f>
        <v>0</v>
      </c>
    </row>
    <row r="81" spans="3:6" hidden="1">
      <c r="C81" s="1673" t="s">
        <v>4076</v>
      </c>
      <c r="D81" s="1674" t="s">
        <v>4077</v>
      </c>
      <c r="E81" s="1660" t="s">
        <v>38</v>
      </c>
      <c r="F81" s="1666">
        <f>+'VAL AMP 4 PN'!L90</f>
        <v>0</v>
      </c>
    </row>
    <row r="82" spans="3:6" hidden="1">
      <c r="C82" s="1673" t="s">
        <v>4078</v>
      </c>
      <c r="D82" s="1674" t="s">
        <v>4079</v>
      </c>
      <c r="E82" s="1660" t="s">
        <v>38</v>
      </c>
      <c r="F82" s="1666">
        <f>+'VAL AMP 4 PN'!L91</f>
        <v>0</v>
      </c>
    </row>
    <row r="83" spans="3:6" hidden="1">
      <c r="C83" s="1673" t="s">
        <v>4080</v>
      </c>
      <c r="D83" s="1674" t="s">
        <v>4004</v>
      </c>
      <c r="E83" s="1660" t="s">
        <v>37</v>
      </c>
      <c r="F83" s="1666">
        <f>+'VAL AMP 4 PN'!L92</f>
        <v>0</v>
      </c>
    </row>
    <row r="84" spans="3:6" hidden="1">
      <c r="C84" s="1677" t="s">
        <v>4081</v>
      </c>
      <c r="D84" s="1678" t="s">
        <v>4006</v>
      </c>
      <c r="E84" s="1660"/>
      <c r="F84" s="1666">
        <f>+'VAL AMP 4 PN'!L93</f>
        <v>0</v>
      </c>
    </row>
    <row r="85" spans="3:6" hidden="1">
      <c r="C85" s="1673" t="s">
        <v>4082</v>
      </c>
      <c r="D85" s="1674" t="s">
        <v>4083</v>
      </c>
      <c r="E85" s="1660" t="s">
        <v>36</v>
      </c>
      <c r="F85" s="1666">
        <f>+'VAL AMP 4 PN'!L94</f>
        <v>0</v>
      </c>
    </row>
    <row r="86" spans="3:6" hidden="1">
      <c r="C86" s="1675" t="s">
        <v>4084</v>
      </c>
      <c r="D86" s="1676" t="s">
        <v>4085</v>
      </c>
      <c r="E86" s="1660"/>
      <c r="F86" s="1666">
        <f>+'VAL AMP 4 PN'!L95</f>
        <v>0</v>
      </c>
    </row>
    <row r="87" spans="3:6" hidden="1">
      <c r="C87" s="1673" t="s">
        <v>4086</v>
      </c>
      <c r="D87" s="1674" t="s">
        <v>4087</v>
      </c>
      <c r="E87" s="1660" t="s">
        <v>36</v>
      </c>
      <c r="F87" s="1666">
        <f>+'VAL AMP 4 PN'!L96</f>
        <v>0</v>
      </c>
    </row>
    <row r="88" spans="3:6" hidden="1">
      <c r="C88" s="1673" t="s">
        <v>4088</v>
      </c>
      <c r="D88" s="1674" t="s">
        <v>4089</v>
      </c>
      <c r="E88" s="1660" t="s">
        <v>36</v>
      </c>
      <c r="F88" s="1666">
        <f>+'VAL AMP 4 PN'!L97</f>
        <v>0</v>
      </c>
    </row>
    <row r="89" spans="3:6" hidden="1">
      <c r="C89" s="1673" t="s">
        <v>4090</v>
      </c>
      <c r="D89" s="1674" t="s">
        <v>4091</v>
      </c>
      <c r="E89" s="1660" t="s">
        <v>38</v>
      </c>
      <c r="F89" s="1666">
        <f>+'VAL AMP 4 PN'!L98</f>
        <v>0</v>
      </c>
    </row>
    <row r="90" spans="3:6" hidden="1">
      <c r="C90" s="1673" t="s">
        <v>4092</v>
      </c>
      <c r="D90" s="1674" t="s">
        <v>4093</v>
      </c>
      <c r="E90" s="1660" t="s">
        <v>37</v>
      </c>
      <c r="F90" s="1666">
        <f>+'VAL AMP 4 PN'!L99</f>
        <v>0</v>
      </c>
    </row>
    <row r="91" spans="3:6" hidden="1">
      <c r="C91" s="1673" t="s">
        <v>4094</v>
      </c>
      <c r="D91" s="1674" t="s">
        <v>4095</v>
      </c>
      <c r="E91" s="1660" t="s">
        <v>36</v>
      </c>
      <c r="F91" s="1666">
        <f>+'VAL AMP 4 PN'!L100</f>
        <v>0</v>
      </c>
    </row>
    <row r="92" spans="3:6" hidden="1">
      <c r="C92" s="1673" t="s">
        <v>4096</v>
      </c>
      <c r="D92" s="1674" t="s">
        <v>4097</v>
      </c>
      <c r="E92" s="1660" t="s">
        <v>36</v>
      </c>
      <c r="F92" s="1666">
        <f>+'VAL AMP 4 PN'!L101</f>
        <v>0</v>
      </c>
    </row>
    <row r="93" spans="3:6" hidden="1">
      <c r="C93" s="1673" t="s">
        <v>4098</v>
      </c>
      <c r="D93" s="1674" t="s">
        <v>4099</v>
      </c>
      <c r="E93" s="1660" t="s">
        <v>38</v>
      </c>
      <c r="F93" s="1666">
        <f>+'VAL AMP 4 PN'!L102</f>
        <v>0</v>
      </c>
    </row>
    <row r="94" spans="3:6" hidden="1">
      <c r="C94" s="1673" t="s">
        <v>4100</v>
      </c>
      <c r="D94" s="1674" t="s">
        <v>4101</v>
      </c>
      <c r="E94" s="1660" t="s">
        <v>38</v>
      </c>
      <c r="F94" s="1666">
        <f>+'VAL AMP 4 PN'!L103</f>
        <v>0</v>
      </c>
    </row>
    <row r="95" spans="3:6" hidden="1">
      <c r="C95" s="1673" t="s">
        <v>4102</v>
      </c>
      <c r="D95" s="1674" t="s">
        <v>4103</v>
      </c>
      <c r="E95" s="1660" t="s">
        <v>38</v>
      </c>
      <c r="F95" s="1666">
        <f>+'VAL AMP 4 PN'!L104</f>
        <v>0</v>
      </c>
    </row>
    <row r="96" spans="3:6" hidden="1">
      <c r="C96" s="1673" t="s">
        <v>4104</v>
      </c>
      <c r="D96" s="1674" t="s">
        <v>4044</v>
      </c>
      <c r="E96" s="1660" t="s">
        <v>38</v>
      </c>
      <c r="F96" s="1666">
        <f>+'VAL AMP 4 PN'!L105</f>
        <v>0</v>
      </c>
    </row>
    <row r="97" spans="3:6" hidden="1">
      <c r="C97" s="1673" t="s">
        <v>4105</v>
      </c>
      <c r="D97" s="1674" t="s">
        <v>4106</v>
      </c>
      <c r="E97" s="1660" t="s">
        <v>38</v>
      </c>
      <c r="F97" s="1666">
        <f>+'VAL AMP 4 PN'!L106</f>
        <v>0</v>
      </c>
    </row>
    <row r="98" spans="3:6" hidden="1">
      <c r="C98" s="1673" t="s">
        <v>4107</v>
      </c>
      <c r="D98" s="1674" t="s">
        <v>4004</v>
      </c>
      <c r="E98" s="1660" t="s">
        <v>37</v>
      </c>
      <c r="F98" s="1666">
        <f>+'VAL AMP 4 PN'!L107</f>
        <v>0</v>
      </c>
    </row>
    <row r="99" spans="3:6" hidden="1">
      <c r="C99" s="1677" t="s">
        <v>4108</v>
      </c>
      <c r="D99" s="1678" t="s">
        <v>4006</v>
      </c>
      <c r="E99" s="1660"/>
      <c r="F99" s="1666">
        <f>+'VAL AMP 4 PN'!L108</f>
        <v>0</v>
      </c>
    </row>
    <row r="100" spans="3:6" hidden="1">
      <c r="C100" s="1673" t="s">
        <v>4109</v>
      </c>
      <c r="D100" s="1674" t="s">
        <v>4110</v>
      </c>
      <c r="E100" s="1660" t="s">
        <v>36</v>
      </c>
      <c r="F100" s="1666">
        <f>+'VAL AMP 4 PN'!L109</f>
        <v>0</v>
      </c>
    </row>
    <row r="101" spans="3:6" hidden="1">
      <c r="C101" s="1675" t="s">
        <v>4111</v>
      </c>
      <c r="D101" s="1676" t="s">
        <v>4112</v>
      </c>
      <c r="E101" s="1660"/>
      <c r="F101" s="1666">
        <f>+'VAL AMP 4 PN'!L110</f>
        <v>0</v>
      </c>
    </row>
    <row r="102" spans="3:6" hidden="1">
      <c r="C102" s="1673" t="s">
        <v>4113</v>
      </c>
      <c r="D102" s="1674" t="s">
        <v>4114</v>
      </c>
      <c r="E102" s="1660" t="s">
        <v>36</v>
      </c>
      <c r="F102" s="1666">
        <f>+'VAL AMP 4 PN'!L111</f>
        <v>0</v>
      </c>
    </row>
    <row r="103" spans="3:6" hidden="1">
      <c r="C103" s="1673" t="s">
        <v>4115</v>
      </c>
      <c r="D103" s="1674" t="s">
        <v>4116</v>
      </c>
      <c r="E103" s="1660" t="s">
        <v>36</v>
      </c>
      <c r="F103" s="1666">
        <f>+'VAL AMP 4 PN'!L112</f>
        <v>0</v>
      </c>
    </row>
    <row r="104" spans="3:6" hidden="1">
      <c r="C104" s="1673" t="s">
        <v>4117</v>
      </c>
      <c r="D104" s="1674" t="s">
        <v>4118</v>
      </c>
      <c r="E104" s="1660" t="s">
        <v>36</v>
      </c>
      <c r="F104" s="1666">
        <f>+'VAL AMP 4 PN'!L113</f>
        <v>0</v>
      </c>
    </row>
    <row r="105" spans="3:6" hidden="1">
      <c r="C105" s="1673" t="s">
        <v>4119</v>
      </c>
      <c r="D105" s="1674" t="s">
        <v>4120</v>
      </c>
      <c r="E105" s="1660" t="s">
        <v>38</v>
      </c>
      <c r="F105" s="1666">
        <f>+'VAL AMP 4 PN'!L114</f>
        <v>0</v>
      </c>
    </row>
    <row r="106" spans="3:6" hidden="1">
      <c r="C106" s="1673" t="s">
        <v>4121</v>
      </c>
      <c r="D106" s="1674" t="s">
        <v>4122</v>
      </c>
      <c r="E106" s="1660" t="s">
        <v>38</v>
      </c>
      <c r="F106" s="1666">
        <f>+'VAL AMP 4 PN'!L115</f>
        <v>0</v>
      </c>
    </row>
    <row r="107" spans="3:6" hidden="1">
      <c r="C107" s="1677" t="s">
        <v>4123</v>
      </c>
      <c r="D107" s="1678" t="s">
        <v>4006</v>
      </c>
      <c r="E107" s="1660"/>
      <c r="F107" s="1666">
        <f>+'VAL AMP 4 PN'!L116</f>
        <v>0</v>
      </c>
    </row>
    <row r="108" spans="3:6" hidden="1">
      <c r="C108" s="1673" t="s">
        <v>4124</v>
      </c>
      <c r="D108" s="1674" t="s">
        <v>4125</v>
      </c>
      <c r="E108" s="1660" t="s">
        <v>36</v>
      </c>
      <c r="F108" s="1666">
        <f>+'VAL AMP 4 PN'!L117</f>
        <v>0</v>
      </c>
    </row>
    <row r="109" spans="3:6" hidden="1">
      <c r="C109" s="1673" t="s">
        <v>4126</v>
      </c>
      <c r="D109" s="1674" t="s">
        <v>4127</v>
      </c>
      <c r="E109" s="1660" t="s">
        <v>38</v>
      </c>
      <c r="F109" s="1666">
        <f>+'VAL AMP 4 PN'!L118</f>
        <v>0</v>
      </c>
    </row>
    <row r="110" spans="3:6" hidden="1">
      <c r="C110" s="1675" t="s">
        <v>4128</v>
      </c>
      <c r="D110" s="1676" t="s">
        <v>4129</v>
      </c>
      <c r="E110" s="1660"/>
      <c r="F110" s="1666">
        <f>+'VAL AMP 4 PN'!L119</f>
        <v>0</v>
      </c>
    </row>
    <row r="111" spans="3:6" hidden="1">
      <c r="C111" s="1673" t="s">
        <v>4130</v>
      </c>
      <c r="D111" s="1674" t="s">
        <v>4131</v>
      </c>
      <c r="E111" s="1660" t="s">
        <v>36</v>
      </c>
      <c r="F111" s="1666">
        <f>+'VAL AMP 4 PN'!L120</f>
        <v>0</v>
      </c>
    </row>
    <row r="112" spans="3:6" hidden="1">
      <c r="C112" s="1673" t="s">
        <v>4132</v>
      </c>
      <c r="D112" s="1674" t="s">
        <v>4133</v>
      </c>
      <c r="E112" s="1660" t="s">
        <v>36</v>
      </c>
      <c r="F112" s="1666">
        <f>+'VAL AMP 4 PN'!L121</f>
        <v>0</v>
      </c>
    </row>
    <row r="113" spans="3:6" hidden="1">
      <c r="C113" s="1673" t="s">
        <v>4134</v>
      </c>
      <c r="D113" s="1674" t="s">
        <v>4135</v>
      </c>
      <c r="E113" s="1660" t="s">
        <v>36</v>
      </c>
      <c r="F113" s="1666">
        <f>+'VAL AMP 4 PN'!L122</f>
        <v>0</v>
      </c>
    </row>
    <row r="114" spans="3:6" hidden="1">
      <c r="C114" s="1673" t="s">
        <v>4136</v>
      </c>
      <c r="D114" s="1674" t="s">
        <v>4137</v>
      </c>
      <c r="E114" s="1660" t="s">
        <v>36</v>
      </c>
      <c r="F114" s="1666">
        <f>+'VAL AMP 4 PN'!L123</f>
        <v>0</v>
      </c>
    </row>
    <row r="115" spans="3:6" hidden="1">
      <c r="C115" s="1673" t="s">
        <v>4138</v>
      </c>
      <c r="D115" s="1674" t="s">
        <v>4139</v>
      </c>
      <c r="E115" s="1660" t="s">
        <v>36</v>
      </c>
      <c r="F115" s="1666">
        <f>+'VAL AMP 4 PN'!L124</f>
        <v>0</v>
      </c>
    </row>
    <row r="116" spans="3:6" hidden="1">
      <c r="C116" s="1673" t="s">
        <v>4140</v>
      </c>
      <c r="D116" s="1674" t="s">
        <v>4141</v>
      </c>
      <c r="E116" s="1660" t="s">
        <v>38</v>
      </c>
      <c r="F116" s="1666">
        <f>+'VAL AMP 4 PN'!L125</f>
        <v>0</v>
      </c>
    </row>
    <row r="117" spans="3:6" hidden="1">
      <c r="C117" s="1673" t="s">
        <v>4142</v>
      </c>
      <c r="D117" s="1674" t="s">
        <v>4143</v>
      </c>
      <c r="E117" s="1660" t="s">
        <v>36</v>
      </c>
      <c r="F117" s="1666">
        <f>+'VAL AMP 4 PN'!L126</f>
        <v>0</v>
      </c>
    </row>
    <row r="118" spans="3:6" hidden="1">
      <c r="C118" s="1673" t="s">
        <v>4144</v>
      </c>
      <c r="D118" s="1674" t="s">
        <v>4122</v>
      </c>
      <c r="E118" s="1660" t="s">
        <v>38</v>
      </c>
      <c r="F118" s="1666">
        <f>+'VAL AMP 4 PN'!L127</f>
        <v>0</v>
      </c>
    </row>
    <row r="119" spans="3:6" hidden="1">
      <c r="C119" s="1673" t="s">
        <v>4145</v>
      </c>
      <c r="D119" s="1674" t="s">
        <v>4006</v>
      </c>
      <c r="E119" s="1660"/>
      <c r="F119" s="1666">
        <f>+'VAL AMP 4 PN'!L128</f>
        <v>0</v>
      </c>
    </row>
    <row r="120" spans="3:6" hidden="1">
      <c r="C120" s="1673" t="s">
        <v>4146</v>
      </c>
      <c r="D120" s="1674" t="s">
        <v>4147</v>
      </c>
      <c r="E120" s="1660" t="s">
        <v>36</v>
      </c>
      <c r="F120" s="1666">
        <f>+'VAL AMP 4 PN'!L129</f>
        <v>0</v>
      </c>
    </row>
    <row r="121" spans="3:6" hidden="1">
      <c r="C121" s="1675" t="s">
        <v>4148</v>
      </c>
      <c r="D121" s="1676" t="s">
        <v>4149</v>
      </c>
      <c r="E121" s="1660"/>
      <c r="F121" s="1666">
        <f>+'VAL AMP 4 PN'!L130</f>
        <v>0</v>
      </c>
    </row>
    <row r="122" spans="3:6" hidden="1">
      <c r="C122" s="1673" t="s">
        <v>4150</v>
      </c>
      <c r="D122" s="1674" t="s">
        <v>4151</v>
      </c>
      <c r="E122" s="1660" t="s">
        <v>36</v>
      </c>
      <c r="F122" s="1666">
        <f>+'VAL AMP 4 PN'!L131</f>
        <v>0</v>
      </c>
    </row>
    <row r="123" spans="3:6" hidden="1">
      <c r="C123" s="1673" t="s">
        <v>4152</v>
      </c>
      <c r="D123" s="1674" t="s">
        <v>4153</v>
      </c>
      <c r="E123" s="1660" t="s">
        <v>36</v>
      </c>
      <c r="F123" s="1666">
        <f>+'VAL AMP 4 PN'!L132</f>
        <v>0</v>
      </c>
    </row>
    <row r="124" spans="3:6" hidden="1">
      <c r="C124" s="1673" t="s">
        <v>4154</v>
      </c>
      <c r="D124" s="1674" t="s">
        <v>4155</v>
      </c>
      <c r="E124" s="1660" t="s">
        <v>36</v>
      </c>
      <c r="F124" s="1666">
        <f>+'VAL AMP 4 PN'!L133</f>
        <v>0</v>
      </c>
    </row>
    <row r="125" spans="3:6" hidden="1">
      <c r="C125" s="1673" t="s">
        <v>4156</v>
      </c>
      <c r="D125" s="1674" t="s">
        <v>4157</v>
      </c>
      <c r="E125" s="1660" t="s">
        <v>38</v>
      </c>
      <c r="F125" s="1666">
        <f>+'VAL AMP 4 PN'!L134</f>
        <v>0</v>
      </c>
    </row>
    <row r="126" spans="3:6" hidden="1">
      <c r="C126" s="1673" t="s">
        <v>4158</v>
      </c>
      <c r="D126" s="1674" t="s">
        <v>4122</v>
      </c>
      <c r="E126" s="1660" t="s">
        <v>38</v>
      </c>
      <c r="F126" s="1666">
        <f>+'VAL AMP 4 PN'!L135</f>
        <v>0</v>
      </c>
    </row>
    <row r="127" spans="3:6" hidden="1">
      <c r="C127" s="1677" t="s">
        <v>4159</v>
      </c>
      <c r="D127" s="1678" t="s">
        <v>4006</v>
      </c>
      <c r="E127" s="1660"/>
      <c r="F127" s="1666">
        <f>+'VAL AMP 4 PN'!L136</f>
        <v>0</v>
      </c>
    </row>
    <row r="128" spans="3:6" hidden="1">
      <c r="C128" s="1673" t="s">
        <v>4160</v>
      </c>
      <c r="D128" s="1674" t="s">
        <v>4161</v>
      </c>
      <c r="E128" s="1660" t="s">
        <v>36</v>
      </c>
      <c r="F128" s="1666">
        <f>+'VAL AMP 4 PN'!L137</f>
        <v>0</v>
      </c>
    </row>
    <row r="129" spans="3:6" hidden="1">
      <c r="C129" s="1673" t="s">
        <v>4162</v>
      </c>
      <c r="D129" s="1674" t="s">
        <v>4163</v>
      </c>
      <c r="E129" s="1660" t="s">
        <v>38</v>
      </c>
      <c r="F129" s="1666">
        <f>+'VAL AMP 4 PN'!L138</f>
        <v>0</v>
      </c>
    </row>
    <row r="130" spans="3:6" hidden="1">
      <c r="C130" s="1675" t="s">
        <v>4164</v>
      </c>
      <c r="D130" s="1676" t="s">
        <v>4165</v>
      </c>
      <c r="E130" s="1660"/>
      <c r="F130" s="1666">
        <f>+'VAL AMP 4 PN'!L139</f>
        <v>0</v>
      </c>
    </row>
    <row r="131" spans="3:6" hidden="1">
      <c r="C131" s="1673" t="s">
        <v>4166</v>
      </c>
      <c r="D131" s="1674" t="s">
        <v>4167</v>
      </c>
      <c r="E131" s="1660" t="s">
        <v>36</v>
      </c>
      <c r="F131" s="1666">
        <f>+'VAL AMP 4 PN'!L140</f>
        <v>0</v>
      </c>
    </row>
    <row r="132" spans="3:6" hidden="1">
      <c r="C132" s="1673" t="s">
        <v>4168</v>
      </c>
      <c r="D132" s="1674" t="s">
        <v>4169</v>
      </c>
      <c r="E132" s="1660" t="s">
        <v>36</v>
      </c>
      <c r="F132" s="1666">
        <f>+'VAL AMP 4 PN'!L141</f>
        <v>0</v>
      </c>
    </row>
    <row r="133" spans="3:6" hidden="1">
      <c r="C133" s="1673" t="s">
        <v>4170</v>
      </c>
      <c r="D133" s="1674" t="s">
        <v>4171</v>
      </c>
      <c r="E133" s="1660" t="s">
        <v>36</v>
      </c>
      <c r="F133" s="1666">
        <f>+'VAL AMP 4 PN'!L142</f>
        <v>0</v>
      </c>
    </row>
    <row r="134" spans="3:6" hidden="1">
      <c r="C134" s="1673" t="s">
        <v>4172</v>
      </c>
      <c r="D134" s="1674" t="s">
        <v>4173</v>
      </c>
      <c r="E134" s="1660" t="s">
        <v>38</v>
      </c>
      <c r="F134" s="1666">
        <f>+'VAL AMP 4 PN'!L143</f>
        <v>0</v>
      </c>
    </row>
    <row r="135" spans="3:6" hidden="1">
      <c r="C135" s="1673" t="s">
        <v>4174</v>
      </c>
      <c r="D135" s="1674" t="s">
        <v>4175</v>
      </c>
      <c r="E135" s="1660" t="s">
        <v>38</v>
      </c>
      <c r="F135" s="1666">
        <f>+'VAL AMP 4 PN'!L144</f>
        <v>0</v>
      </c>
    </row>
    <row r="136" spans="3:6" hidden="1">
      <c r="C136" s="1677" t="s">
        <v>4176</v>
      </c>
      <c r="D136" s="1678" t="s">
        <v>4006</v>
      </c>
      <c r="E136" s="1660"/>
      <c r="F136" s="1666">
        <f>+'VAL AMP 4 PN'!L145</f>
        <v>0</v>
      </c>
    </row>
    <row r="137" spans="3:6" hidden="1">
      <c r="C137" s="1673" t="s">
        <v>4177</v>
      </c>
      <c r="D137" s="1674" t="s">
        <v>4178</v>
      </c>
      <c r="E137" s="1660" t="s">
        <v>36</v>
      </c>
      <c r="F137" s="1666">
        <f>+'VAL AMP 4 PN'!L146</f>
        <v>0</v>
      </c>
    </row>
    <row r="138" spans="3:6" hidden="1">
      <c r="C138" s="1658" t="s">
        <v>551</v>
      </c>
      <c r="D138" s="1659" t="s">
        <v>3136</v>
      </c>
      <c r="E138" s="1660"/>
      <c r="F138" s="1666">
        <f>+'VAL AMP 4 PN'!L147</f>
        <v>0</v>
      </c>
    </row>
    <row r="139" spans="3:6" hidden="1">
      <c r="C139" s="1673" t="s">
        <v>552</v>
      </c>
      <c r="D139" s="1674" t="s">
        <v>4179</v>
      </c>
      <c r="E139" s="1660" t="s">
        <v>37</v>
      </c>
      <c r="F139" s="1666">
        <f>+'VAL AMP 4 PN'!L148</f>
        <v>0</v>
      </c>
    </row>
    <row r="140" spans="3:6" hidden="1">
      <c r="C140" s="1658" t="s">
        <v>4180</v>
      </c>
      <c r="D140" s="1659" t="s">
        <v>4181</v>
      </c>
      <c r="E140" s="1660"/>
      <c r="F140" s="1666">
        <f>+'VAL AMP 4 PN'!L149</f>
        <v>0</v>
      </c>
    </row>
    <row r="141" spans="3:6" hidden="1">
      <c r="C141" s="1673" t="s">
        <v>2284</v>
      </c>
      <c r="D141" s="1674" t="s">
        <v>4182</v>
      </c>
      <c r="E141" s="1660" t="s">
        <v>41</v>
      </c>
      <c r="F141" s="1666">
        <f>+'VAL AMP 4 PN'!L150</f>
        <v>0</v>
      </c>
    </row>
    <row r="142" spans="3:6">
      <c r="C142" s="1679" t="s">
        <v>42</v>
      </c>
      <c r="D142" s="1680" t="s">
        <v>1234</v>
      </c>
      <c r="E142" s="1660"/>
      <c r="F142" s="1666"/>
    </row>
    <row r="143" spans="3:6" hidden="1">
      <c r="C143" s="1658" t="s">
        <v>43</v>
      </c>
      <c r="D143" s="1659" t="s">
        <v>3072</v>
      </c>
      <c r="E143" s="1660"/>
      <c r="F143" s="1666"/>
    </row>
    <row r="144" spans="3:6" hidden="1">
      <c r="C144" s="1673" t="s">
        <v>53</v>
      </c>
      <c r="D144" s="1674" t="s">
        <v>4183</v>
      </c>
      <c r="E144" s="1660" t="s">
        <v>37</v>
      </c>
      <c r="F144" s="1666">
        <f>+'VAL AMP 4 PN'!L153</f>
        <v>0</v>
      </c>
    </row>
    <row r="145" spans="3:6">
      <c r="C145" s="1658" t="s">
        <v>44</v>
      </c>
      <c r="D145" s="1659" t="s">
        <v>3103</v>
      </c>
      <c r="E145" s="1660"/>
      <c r="F145" s="1666"/>
    </row>
    <row r="146" spans="3:6">
      <c r="C146" s="1673" t="s">
        <v>54</v>
      </c>
      <c r="D146" s="1674" t="s">
        <v>4184</v>
      </c>
      <c r="E146" s="1660" t="s">
        <v>37</v>
      </c>
      <c r="F146" s="1666">
        <f>+'VAL AMP 4 PN'!L155</f>
        <v>158.27100000000002</v>
      </c>
    </row>
    <row r="147" spans="3:6">
      <c r="C147" s="1673" t="s">
        <v>55</v>
      </c>
      <c r="D147" s="1674" t="s">
        <v>4185</v>
      </c>
      <c r="E147" s="1660" t="s">
        <v>37</v>
      </c>
      <c r="F147" s="1666">
        <f>+'VAL AMP 4 PN'!L156</f>
        <v>125.70999999999998</v>
      </c>
    </row>
    <row r="148" spans="3:6">
      <c r="C148" s="1658" t="s">
        <v>52</v>
      </c>
      <c r="D148" s="1659" t="s">
        <v>3106</v>
      </c>
      <c r="E148" s="1660"/>
      <c r="F148" s="1666"/>
    </row>
    <row r="149" spans="3:6" hidden="1">
      <c r="C149" s="1673" t="s">
        <v>56</v>
      </c>
      <c r="D149" s="1674" t="s">
        <v>4186</v>
      </c>
      <c r="E149" s="1660" t="s">
        <v>37</v>
      </c>
      <c r="F149" s="1666">
        <f>+'VAL AMP 4 PN'!L158</f>
        <v>0</v>
      </c>
    </row>
    <row r="150" spans="3:6">
      <c r="C150" s="1673" t="s">
        <v>57</v>
      </c>
      <c r="D150" s="1674" t="s">
        <v>4187</v>
      </c>
      <c r="E150" s="1660" t="s">
        <v>37</v>
      </c>
      <c r="F150" s="1666">
        <f>+'VAL AMP 4 PN'!L159</f>
        <v>71.293400000000005</v>
      </c>
    </row>
    <row r="151" spans="3:6">
      <c r="C151" s="1673" t="s">
        <v>661</v>
      </c>
      <c r="D151" s="1674" t="s">
        <v>4188</v>
      </c>
      <c r="E151" s="1660" t="s">
        <v>37</v>
      </c>
      <c r="F151" s="1666">
        <f>+'VAL AMP 4 PN'!L160</f>
        <v>553.86</v>
      </c>
    </row>
    <row r="152" spans="3:6" hidden="1">
      <c r="C152" s="1673" t="s">
        <v>690</v>
      </c>
      <c r="D152" s="1674" t="s">
        <v>4189</v>
      </c>
      <c r="E152" s="1660" t="s">
        <v>37</v>
      </c>
      <c r="F152" s="1666">
        <f>+'VAL AMP 4 PN'!L161</f>
        <v>0</v>
      </c>
    </row>
    <row r="153" spans="3:6" hidden="1">
      <c r="C153" s="1673" t="s">
        <v>692</v>
      </c>
      <c r="D153" s="1674" t="s">
        <v>4190</v>
      </c>
      <c r="E153" s="1660" t="s">
        <v>38</v>
      </c>
      <c r="F153" s="1666">
        <f>+'VAL AMP 4 PN'!L162</f>
        <v>0</v>
      </c>
    </row>
    <row r="154" spans="3:6">
      <c r="C154" s="1658" t="s">
        <v>516</v>
      </c>
      <c r="D154" s="1659" t="s">
        <v>3128</v>
      </c>
      <c r="E154" s="1660"/>
      <c r="F154" s="1666"/>
    </row>
    <row r="155" spans="3:6">
      <c r="C155" s="1675" t="s">
        <v>517</v>
      </c>
      <c r="D155" s="1676" t="s">
        <v>3129</v>
      </c>
      <c r="E155" s="1660"/>
      <c r="F155" s="1666"/>
    </row>
    <row r="156" spans="3:6">
      <c r="C156" s="1673" t="s">
        <v>695</v>
      </c>
      <c r="D156" s="1674" t="s">
        <v>3812</v>
      </c>
      <c r="E156" s="1660" t="s">
        <v>37</v>
      </c>
      <c r="F156" s="1666">
        <f>+'VAL AMP 4 PN'!L165</f>
        <v>640.93900000000008</v>
      </c>
    </row>
    <row r="157" spans="3:6">
      <c r="C157" s="1675" t="s">
        <v>701</v>
      </c>
      <c r="D157" s="1676" t="s">
        <v>3133</v>
      </c>
      <c r="E157" s="1660"/>
      <c r="F157" s="1666"/>
    </row>
    <row r="158" spans="3:6" hidden="1">
      <c r="C158" s="1673" t="s">
        <v>702</v>
      </c>
      <c r="D158" s="1674" t="s">
        <v>4191</v>
      </c>
      <c r="E158" s="1660" t="s">
        <v>38</v>
      </c>
      <c r="F158" s="1666">
        <f>+'VAL AMP 4 PN'!L167</f>
        <v>0</v>
      </c>
    </row>
    <row r="159" spans="3:6">
      <c r="C159" s="1673" t="s">
        <v>703</v>
      </c>
      <c r="D159" s="1674" t="s">
        <v>4192</v>
      </c>
      <c r="E159" s="1660" t="s">
        <v>38</v>
      </c>
      <c r="F159" s="1666">
        <f>+'VAL AMP 4 PN'!L168</f>
        <v>54.620000000000005</v>
      </c>
    </row>
    <row r="160" spans="3:6">
      <c r="C160" s="1673" t="s">
        <v>704</v>
      </c>
      <c r="D160" s="1674" t="s">
        <v>4193</v>
      </c>
      <c r="E160" s="1660" t="s">
        <v>38</v>
      </c>
      <c r="F160" s="1666">
        <f>+'VAL AMP 4 PN'!L169</f>
        <v>546.14</v>
      </c>
    </row>
    <row r="161" spans="3:6" hidden="1">
      <c r="C161" s="1658" t="s">
        <v>742</v>
      </c>
      <c r="D161" s="1659" t="s">
        <v>3815</v>
      </c>
      <c r="E161" s="1660"/>
      <c r="F161" s="1666"/>
    </row>
    <row r="162" spans="3:6" hidden="1">
      <c r="C162" s="1675" t="s">
        <v>743</v>
      </c>
      <c r="D162" s="1676" t="s">
        <v>4194</v>
      </c>
      <c r="E162" s="1660"/>
      <c r="F162" s="1666"/>
    </row>
    <row r="163" spans="3:6" hidden="1">
      <c r="C163" s="1673" t="s">
        <v>744</v>
      </c>
      <c r="D163" s="1674" t="s">
        <v>4195</v>
      </c>
      <c r="E163" s="1660" t="s">
        <v>37</v>
      </c>
      <c r="F163" s="1666">
        <f>+'VAL AMP 4 PN'!L172</f>
        <v>0</v>
      </c>
    </row>
    <row r="164" spans="3:6" hidden="1">
      <c r="C164" s="1681" t="s">
        <v>745</v>
      </c>
      <c r="D164" s="1682" t="s">
        <v>4196</v>
      </c>
      <c r="E164" s="1660" t="s">
        <v>37</v>
      </c>
      <c r="F164" s="1666">
        <f>+'VAL AMP 4 PN'!L173</f>
        <v>0</v>
      </c>
    </row>
    <row r="165" spans="3:6" hidden="1">
      <c r="C165" s="1675" t="s">
        <v>746</v>
      </c>
      <c r="D165" s="1676" t="s">
        <v>3156</v>
      </c>
      <c r="E165" s="1660"/>
      <c r="F165" s="1666">
        <f>+'VAL AMP 4 PN'!L174</f>
        <v>0</v>
      </c>
    </row>
    <row r="166" spans="3:6" hidden="1">
      <c r="C166" s="1673" t="s">
        <v>747</v>
      </c>
      <c r="D166" s="1674" t="s">
        <v>4197</v>
      </c>
      <c r="E166" s="1660" t="s">
        <v>38</v>
      </c>
      <c r="F166" s="1666">
        <f>+'VAL AMP 4 PN'!L175</f>
        <v>0</v>
      </c>
    </row>
    <row r="167" spans="3:6">
      <c r="C167" s="1658" t="s">
        <v>763</v>
      </c>
      <c r="D167" s="1659" t="s">
        <v>3190</v>
      </c>
      <c r="E167" s="1660"/>
      <c r="F167" s="1666"/>
    </row>
    <row r="168" spans="3:6">
      <c r="C168" s="1673" t="s">
        <v>764</v>
      </c>
      <c r="D168" s="1674" t="s">
        <v>4198</v>
      </c>
      <c r="E168" s="1660" t="s">
        <v>37</v>
      </c>
      <c r="F168" s="1666">
        <f>+'VAL AMP 4 PN'!L177</f>
        <v>53.4</v>
      </c>
    </row>
    <row r="169" spans="3:6">
      <c r="C169" s="1673" t="s">
        <v>767</v>
      </c>
      <c r="D169" s="1674" t="s">
        <v>4199</v>
      </c>
      <c r="E169" s="1660" t="s">
        <v>37</v>
      </c>
      <c r="F169" s="1666">
        <f>+'VAL AMP 4 PN'!L178</f>
        <v>103.09532000000002</v>
      </c>
    </row>
    <row r="170" spans="3:6">
      <c r="C170" s="1673" t="s">
        <v>771</v>
      </c>
      <c r="D170" s="1674" t="s">
        <v>4200</v>
      </c>
      <c r="E170" s="1660" t="s">
        <v>37</v>
      </c>
      <c r="F170" s="1666">
        <f>+'VAL AMP 4 PN'!L179</f>
        <v>103.09532000000002</v>
      </c>
    </row>
    <row r="171" spans="3:6">
      <c r="C171" s="1673" t="s">
        <v>3813</v>
      </c>
      <c r="D171" s="1674" t="s">
        <v>4201</v>
      </c>
      <c r="E171" s="1660" t="s">
        <v>37</v>
      </c>
      <c r="F171" s="1666">
        <f>+'VAL AMP 4 PN'!L180</f>
        <v>34.302</v>
      </c>
    </row>
    <row r="172" spans="3:6">
      <c r="C172" s="1673" t="s">
        <v>4202</v>
      </c>
      <c r="D172" s="1674" t="s">
        <v>4203</v>
      </c>
      <c r="E172" s="1660" t="s">
        <v>37</v>
      </c>
      <c r="F172" s="1666">
        <f>+'VAL AMP 4 PN'!L181</f>
        <v>22.806750000000005</v>
      </c>
    </row>
    <row r="173" spans="3:6" hidden="1">
      <c r="C173" s="1673" t="s">
        <v>4204</v>
      </c>
      <c r="D173" s="1674" t="s">
        <v>4205</v>
      </c>
      <c r="E173" s="1660" t="s">
        <v>37</v>
      </c>
      <c r="F173" s="1666">
        <f>+'VAL AMP 4 PN'!L182</f>
        <v>0</v>
      </c>
    </row>
    <row r="174" spans="3:6" hidden="1">
      <c r="C174" s="1673" t="s">
        <v>4206</v>
      </c>
      <c r="D174" s="1674" t="s">
        <v>4207</v>
      </c>
      <c r="E174" s="1660" t="s">
        <v>37</v>
      </c>
      <c r="F174" s="1666">
        <f>+'VAL AMP 4 PN'!L183</f>
        <v>0</v>
      </c>
    </row>
    <row r="175" spans="3:6">
      <c r="C175" s="1673" t="s">
        <v>4208</v>
      </c>
      <c r="D175" s="1674" t="s">
        <v>4209</v>
      </c>
      <c r="E175" s="1660" t="s">
        <v>37</v>
      </c>
      <c r="F175" s="1666">
        <f>+'VAL AMP 4 PN'!L184</f>
        <v>72.750000000000014</v>
      </c>
    </row>
    <row r="176" spans="3:6" hidden="1">
      <c r="C176" s="1658" t="s">
        <v>774</v>
      </c>
      <c r="D176" s="1659" t="s">
        <v>3069</v>
      </c>
      <c r="E176" s="1660"/>
      <c r="F176" s="1666">
        <f>+'VAL AMP 4 PN'!L185</f>
        <v>0</v>
      </c>
    </row>
    <row r="177" spans="3:6" hidden="1">
      <c r="C177" s="1673" t="s">
        <v>775</v>
      </c>
      <c r="D177" s="1674" t="s">
        <v>4210</v>
      </c>
      <c r="E177" s="1660" t="s">
        <v>36</v>
      </c>
      <c r="F177" s="1666">
        <f>+'VAL AMP 4 PN'!L186</f>
        <v>0</v>
      </c>
    </row>
    <row r="178" spans="3:6" hidden="1">
      <c r="C178" s="1673" t="s">
        <v>778</v>
      </c>
      <c r="D178" s="1674" t="s">
        <v>4211</v>
      </c>
      <c r="E178" s="1660" t="s">
        <v>36</v>
      </c>
      <c r="F178" s="1666">
        <f>+'VAL AMP 4 PN'!L187</f>
        <v>0</v>
      </c>
    </row>
    <row r="179" spans="3:6" hidden="1">
      <c r="C179" s="1673" t="s">
        <v>3817</v>
      </c>
      <c r="D179" s="1674" t="s">
        <v>4212</v>
      </c>
      <c r="E179" s="1660" t="s">
        <v>36</v>
      </c>
      <c r="F179" s="1666">
        <f>+'VAL AMP 4 PN'!L188</f>
        <v>0</v>
      </c>
    </row>
    <row r="180" spans="3:6" hidden="1">
      <c r="C180" s="1658" t="s">
        <v>781</v>
      </c>
      <c r="D180" s="1659" t="s">
        <v>4213</v>
      </c>
      <c r="E180" s="1660"/>
      <c r="F180" s="1666">
        <f>+'VAL AMP 4 PN'!L189</f>
        <v>0</v>
      </c>
    </row>
    <row r="181" spans="3:6" ht="13.5" hidden="1" thickBot="1">
      <c r="C181" s="1683" t="s">
        <v>782</v>
      </c>
      <c r="D181" s="1684" t="s">
        <v>4214</v>
      </c>
      <c r="E181" s="1685" t="s">
        <v>36</v>
      </c>
      <c r="F181" s="1666">
        <f>+'VAL AMP 4 PN'!L190</f>
        <v>0</v>
      </c>
    </row>
    <row r="183" spans="3:6" ht="15">
      <c r="C183" s="1295" t="s">
        <v>4336</v>
      </c>
      <c r="D183" s="1289"/>
    </row>
    <row r="184" spans="3:6" ht="13.5" thickBot="1"/>
    <row r="185" spans="3:6">
      <c r="C185" s="2676" t="s">
        <v>20</v>
      </c>
      <c r="D185" s="2676" t="s">
        <v>21</v>
      </c>
      <c r="E185" s="2676" t="s">
        <v>4314</v>
      </c>
      <c r="F185" s="2676" t="s">
        <v>4327</v>
      </c>
    </row>
    <row r="186" spans="3:6">
      <c r="C186" s="2677"/>
      <c r="D186" s="2677"/>
      <c r="E186" s="2677"/>
      <c r="F186" s="2677"/>
    </row>
    <row r="187" spans="3:6">
      <c r="C187" s="2677"/>
      <c r="D187" s="2677"/>
      <c r="E187" s="2677"/>
      <c r="F187" s="2677"/>
    </row>
    <row r="188" spans="3:6" ht="13.5" thickBot="1">
      <c r="C188" s="2678"/>
      <c r="D188" s="2678"/>
      <c r="E188" s="2678"/>
      <c r="F188" s="2678"/>
    </row>
    <row r="189" spans="3:6">
      <c r="C189" s="2054" t="str">
        <f>+'VAL AMP 3'!B51</f>
        <v>03</v>
      </c>
      <c r="D189" s="2053" t="str">
        <f>+'VAL AMP 3'!C51</f>
        <v>INSTALACIONES ELECTRICAS</v>
      </c>
      <c r="E189" s="1660"/>
      <c r="F189" s="2058"/>
    </row>
    <row r="190" spans="3:6">
      <c r="C190" s="2054" t="str">
        <f>+'VAL AMP 3'!B52</f>
        <v>03.01</v>
      </c>
      <c r="D190" s="2053" t="str">
        <f>+'VAL AMP 3'!C52</f>
        <v xml:space="preserve">   PARARRAYOS</v>
      </c>
      <c r="E190" s="1660"/>
      <c r="F190" s="2058"/>
    </row>
    <row r="191" spans="3:6">
      <c r="C191" s="1673" t="str">
        <f>+'VAL AMP 3'!B53</f>
        <v>03.01.01</v>
      </c>
      <c r="D191" s="1674" t="str">
        <f>+'VAL AMP 3'!C53</f>
        <v xml:space="preserve">      PARARRAYOS PDC CON DISPOSITIVO DE CEBADO NO RADIOACTIVO R=100M.</v>
      </c>
      <c r="E191" s="2055" t="str">
        <f>+'VAL AMP 3'!D53</f>
        <v>jgo</v>
      </c>
      <c r="F191" s="2058">
        <f>+'VAL AMP 3'!L53</f>
        <v>1</v>
      </c>
    </row>
    <row r="192" spans="3:6" ht="13.5" thickBot="1">
      <c r="C192" s="1683"/>
      <c r="D192" s="1684"/>
      <c r="E192" s="2059"/>
      <c r="F192" s="2060"/>
    </row>
    <row r="194" spans="3:8" ht="13.15" customHeight="1">
      <c r="C194" s="2680" t="s">
        <v>4338</v>
      </c>
      <c r="D194" s="2680"/>
      <c r="E194" s="2680"/>
      <c r="F194" s="2680"/>
    </row>
    <row r="196" spans="3:8" ht="13.15" customHeight="1">
      <c r="C196" s="2679" t="s">
        <v>4340</v>
      </c>
      <c r="D196" s="2679"/>
      <c r="E196" s="2679"/>
      <c r="F196" s="2679"/>
    </row>
    <row r="197" spans="3:8" ht="13.15" customHeight="1">
      <c r="C197" s="2679"/>
      <c r="D197" s="2679"/>
      <c r="E197" s="2679"/>
      <c r="F197" s="2679"/>
    </row>
    <row r="198" spans="3:8" ht="13.15" customHeight="1">
      <c r="C198" s="2679"/>
      <c r="D198" s="2679"/>
      <c r="E198" s="2679"/>
      <c r="F198" s="2679"/>
    </row>
    <row r="199" spans="3:8" ht="22.9" customHeight="1">
      <c r="C199" s="2679"/>
      <c r="D199" s="2679"/>
      <c r="E199" s="2679"/>
      <c r="F199" s="2679"/>
    </row>
    <row r="200" spans="3:8" ht="13.9" customHeight="1">
      <c r="C200" s="119"/>
      <c r="D200" s="2062" t="s">
        <v>1234</v>
      </c>
      <c r="E200" s="2063"/>
      <c r="F200" s="2063"/>
    </row>
    <row r="201" spans="3:8">
      <c r="C201" s="1930" t="str">
        <f>+'[32]RESUMEN DE METRADOS '!$C$8</f>
        <v>03.01.02</v>
      </c>
      <c r="D201" s="1930" t="str">
        <f>+'[32]RESUMEN DE METRADOS '!$D$8</f>
        <v>MURO DE LADRILLO KK TIPO IV SOGA, M 1:4, E=1.50 cm</v>
      </c>
      <c r="E201" s="2061" t="str">
        <f>+'[32]RESUMEN DE METRADOS '!$E$8</f>
        <v>m2</v>
      </c>
      <c r="F201" s="1666">
        <f>+'[32]RESUMEN DE METRADOS '!$H$8</f>
        <v>14.930999999999999</v>
      </c>
    </row>
    <row r="202" spans="3:8">
      <c r="C202" s="1930" t="str">
        <f>+'[32]RESUMEN DE METRADOS '!$C$10</f>
        <v>03.01.04</v>
      </c>
      <c r="D202" s="1930" t="str">
        <f>+'[32]RESUMEN DE METRADOS '!$D$10</f>
        <v>MURO DE LADRILLO CARAVISTA TIPO SOGA, M: 1:4, E=1.5cm</v>
      </c>
      <c r="E202" s="2061" t="str">
        <f>+'[32]RESUMEN DE METRADOS '!$E$10</f>
        <v>m2</v>
      </c>
      <c r="F202" s="1666">
        <f>+'[32]RESUMEN DE METRADOS '!$H$10</f>
        <v>3.4839999999999947</v>
      </c>
    </row>
    <row r="203" spans="3:8">
      <c r="C203" s="1930" t="str">
        <f>+'[32]RESUMEN DE METRADOS '!$C$15</f>
        <v>03.02.04</v>
      </c>
      <c r="D203" s="1930" t="str">
        <f>+'[32]RESUMEN DE METRADOS '!$D$15</f>
        <v>TARRAJEO DE SUPERFICIE DE COLUMNAS INCL. ARISTAS MEZCLA 1:4 CEMENTO:ARENA</v>
      </c>
      <c r="E203" s="2061" t="str">
        <f>+'[32]RESUMEN DE METRADOS '!$E$15</f>
        <v>m2</v>
      </c>
      <c r="F203" s="1666">
        <f>+'[32]RESUMEN DE METRADOS '!$H$15</f>
        <v>131.98700000000002</v>
      </c>
    </row>
    <row r="204" spans="3:8">
      <c r="C204" s="1930" t="str">
        <f>+'[32]RESUMEN DE METRADOS '!$C$18</f>
        <v>03.02.17</v>
      </c>
      <c r="D204" s="1930" t="str">
        <f>+'[32]RESUMEN DE METRADOS '!$D$18</f>
        <v>MESA DE CONCRETO CON ACABADO CERAMICO 30x30cm EN SS.HH. E=0.15cm</v>
      </c>
      <c r="E204" s="2061" t="str">
        <f>+'[32]RESUMEN DE METRADOS '!$E$18</f>
        <v>m2</v>
      </c>
      <c r="F204" s="1666">
        <v>0.7</v>
      </c>
    </row>
    <row r="205" spans="3:8">
      <c r="C205" s="1930" t="str">
        <f>+'[32]RESUMEN DE METRADOS '!$C$21</f>
        <v>03.02.20</v>
      </c>
      <c r="D205" s="1930" t="str">
        <f>+'[32]RESUMEN DE METRADOS '!$D$21</f>
        <v>BRUÑAS DE 1CM ENTRE MUROS Y ESTRUCTURAS</v>
      </c>
      <c r="E205" s="2061" t="str">
        <f>+'[32]RESUMEN DE METRADOS '!$E$21</f>
        <v>m</v>
      </c>
      <c r="F205" s="1666">
        <f>+'[32]RESUMEN DE METRADOS '!$H$21</f>
        <v>97.840000000000032</v>
      </c>
    </row>
    <row r="206" spans="3:8">
      <c r="C206" s="1930" t="str">
        <f>+'[32]RESUMEN DE METRADOS '!$C$27</f>
        <v>02.02.01</v>
      </c>
      <c r="D206" s="1930" t="str">
        <f>+'[32]RESUMEN DE METRADOS '!$D$27</f>
        <v>CIELO RASO SUSPENDIDO CON SISTEMA DRYWALL PANEL GYPLAC 1/2"</v>
      </c>
      <c r="E206" s="2061" t="str">
        <f>+'[32]RESUMEN DE METRADOS '!$E$27</f>
        <v>m2</v>
      </c>
      <c r="F206" s="1666">
        <v>6.76</v>
      </c>
    </row>
    <row r="207" spans="3:8">
      <c r="C207" s="1930" t="str">
        <f>+'[32]RESUMEN DE METRADOS '!$C$37</f>
        <v>02.04.02.02</v>
      </c>
      <c r="D207" s="1930" t="str">
        <f>+'[32]RESUMEN DE METRADOS '!$D$37</f>
        <v>CONTRAZOCALO DE CEMENTO PULIDO C/MORTERO 1:5 DE 2CM, H=30CM</v>
      </c>
      <c r="E207" s="2061" t="str">
        <f>+'[32]RESUMEN DE METRADOS '!$E$37</f>
        <v>m2</v>
      </c>
      <c r="F207" s="1666">
        <f>+'[32]RESUMEN DE METRADOS '!$H$37</f>
        <v>6.9</v>
      </c>
    </row>
    <row r="208" spans="3:8">
      <c r="C208" s="1930" t="str">
        <f>+'[32]RESUMEN DE METRADOS '!$C$52</f>
        <v>03.15.01</v>
      </c>
      <c r="D208" s="1930" t="str">
        <f>+'[32]RESUMEN DE METRADOS '!$D$52</f>
        <v>PODIO DE CONCRETO C:A 1:10 , H= 10 cm</v>
      </c>
      <c r="E208" s="2061" t="str">
        <f>+'[32]RESUMEN DE METRADOS '!$E$52</f>
        <v>m3</v>
      </c>
      <c r="F208" s="1666">
        <f>+'[32]RESUMEN DE METRADOS '!$H$52</f>
        <v>0.98439999999999994</v>
      </c>
      <c r="H208" s="2052">
        <f>+'[32]RESUMEN DE METRADOS '!$M$53</f>
        <v>9093.2233780000024</v>
      </c>
    </row>
    <row r="209" spans="3:8">
      <c r="C209" s="119"/>
      <c r="D209" s="2062" t="s">
        <v>1327</v>
      </c>
      <c r="E209" s="119"/>
      <c r="F209" s="1666"/>
    </row>
    <row r="210" spans="3:8">
      <c r="C210" s="1930" t="str">
        <f>+[33]EXP!$B$46</f>
        <v>04.02.01.01</v>
      </c>
      <c r="D210" s="1930" t="str">
        <f>+[33]EXP!$C$46</f>
        <v xml:space="preserve">         SALIDA DE AGUA FRIA CON TUBERÍA DE PVC SAP C-10 Ø 1/2"</v>
      </c>
      <c r="E210" s="2061" t="s">
        <v>1452</v>
      </c>
      <c r="F210" s="1666">
        <v>16</v>
      </c>
    </row>
    <row r="211" spans="3:8">
      <c r="C211" s="1930" t="str">
        <f>+[33]EXP!$B$60</f>
        <v>04.02.02.01</v>
      </c>
      <c r="D211" s="1930" t="s">
        <v>3272</v>
      </c>
      <c r="E211" s="2061" t="s">
        <v>38</v>
      </c>
      <c r="F211" s="1666">
        <v>66.22999999999999</v>
      </c>
    </row>
    <row r="212" spans="3:8">
      <c r="C212" s="1930" t="str">
        <f>+[33]EXP!$B$64</f>
        <v>04.02.02.02</v>
      </c>
      <c r="D212" s="1930" t="str">
        <f>+[33]EXP!$C$64</f>
        <v xml:space="preserve">         TUBERIA DE PVC C-10 Ø 3/4" SP</v>
      </c>
      <c r="E212" s="2061" t="s">
        <v>38</v>
      </c>
      <c r="F212" s="1666">
        <v>4.4000000000000004</v>
      </c>
    </row>
    <row r="213" spans="3:8">
      <c r="C213" s="1930" t="str">
        <f>+[33]EXP!$B$76</f>
        <v>04.02.04.01</v>
      </c>
      <c r="D213" s="1107" t="s">
        <v>3280</v>
      </c>
      <c r="E213" s="2061" t="s">
        <v>36</v>
      </c>
      <c r="F213" s="1666">
        <v>30</v>
      </c>
    </row>
    <row r="214" spans="3:8">
      <c r="C214" s="1930" t="str">
        <f>+[33]EXP!$B$80</f>
        <v>04.02.04.02</v>
      </c>
      <c r="D214" s="1930" t="str">
        <f>+[33]EXP!$C$80</f>
        <v xml:space="preserve">         CODO DE PVC Ø 3/4" x 90° SP</v>
      </c>
      <c r="E214" s="2061" t="s">
        <v>36</v>
      </c>
      <c r="F214" s="1666">
        <v>1</v>
      </c>
    </row>
    <row r="215" spans="3:8">
      <c r="C215" s="1930" t="str">
        <f>+[33]EXP!$B$82</f>
        <v>04.02.04.03</v>
      </c>
      <c r="D215" s="1930" t="str">
        <f>+[33]EXP!$C$82</f>
        <v xml:space="preserve">         CODO DE PVC Ø 1" x 90° SP</v>
      </c>
      <c r="E215" s="2061" t="s">
        <v>36</v>
      </c>
      <c r="F215" s="1666">
        <v>19</v>
      </c>
    </row>
    <row r="216" spans="3:8">
      <c r="C216" s="1930" t="str">
        <f>+[33]EXP!$B$88</f>
        <v>04.02.04.07</v>
      </c>
      <c r="D216" s="1930" t="str">
        <f>+[33]EXP!$C$88</f>
        <v xml:space="preserve">         TEE DE PVC Ø 1/2" SP</v>
      </c>
      <c r="E216" s="2061" t="s">
        <v>36</v>
      </c>
      <c r="F216" s="1666">
        <v>3</v>
      </c>
    </row>
    <row r="217" spans="3:8">
      <c r="C217" s="1930" t="str">
        <f>+[33]EXP!$B$91</f>
        <v>04.02.04.08</v>
      </c>
      <c r="D217" s="1930" t="str">
        <f>+[33]EXP!$C$91</f>
        <v xml:space="preserve">         TEE DE PVC Ø 3/4" SP</v>
      </c>
      <c r="E217" s="2061" t="s">
        <v>36</v>
      </c>
      <c r="F217" s="1666">
        <v>4</v>
      </c>
    </row>
    <row r="218" spans="3:8">
      <c r="C218" s="1930" t="str">
        <f>+[33]EXP!$B$97</f>
        <v>04.02.04.12</v>
      </c>
      <c r="D218" s="1107" t="s">
        <v>3291</v>
      </c>
      <c r="E218" s="2061" t="s">
        <v>36</v>
      </c>
      <c r="F218" s="1666">
        <v>9</v>
      </c>
    </row>
    <row r="219" spans="3:8">
      <c r="C219" s="1930" t="str">
        <f>+[33]EXP!$B$100</f>
        <v>04.02.04.14</v>
      </c>
      <c r="D219" s="1107" t="s">
        <v>3293</v>
      </c>
      <c r="E219" s="2061" t="s">
        <v>36</v>
      </c>
      <c r="F219" s="1666">
        <v>2</v>
      </c>
    </row>
    <row r="220" spans="3:8">
      <c r="C220" s="1930" t="str">
        <f>+[33]EXP!$B$110</f>
        <v>04.02.05.01</v>
      </c>
      <c r="D220" s="1107" t="s">
        <v>3302</v>
      </c>
      <c r="E220" s="2061" t="s">
        <v>36</v>
      </c>
      <c r="F220" s="1666">
        <v>2</v>
      </c>
    </row>
    <row r="221" spans="3:8">
      <c r="C221" s="1930" t="str">
        <f>+[33]EXP!$B$114</f>
        <v>04.02.05.03</v>
      </c>
      <c r="D221" s="1107" t="s">
        <v>3304</v>
      </c>
      <c r="E221" s="2061" t="s">
        <v>36</v>
      </c>
      <c r="F221" s="1666">
        <v>2</v>
      </c>
      <c r="H221" s="2052">
        <f>+[33]EXP!$M$317</f>
        <v>4117.414499999999</v>
      </c>
    </row>
    <row r="222" spans="3:8">
      <c r="C222" s="119"/>
      <c r="D222" s="2062" t="s">
        <v>1383</v>
      </c>
      <c r="E222" s="119"/>
      <c r="F222" s="1666"/>
    </row>
    <row r="223" spans="3:8">
      <c r="C223" s="119"/>
      <c r="D223" s="1930" t="s">
        <v>3458</v>
      </c>
      <c r="E223" s="2061" t="s">
        <v>38</v>
      </c>
      <c r="F223" s="1666">
        <v>753.53</v>
      </c>
    </row>
    <row r="224" spans="3:8">
      <c r="C224" s="119"/>
      <c r="D224" s="1930" t="s">
        <v>3459</v>
      </c>
      <c r="E224" s="2061" t="s">
        <v>36</v>
      </c>
      <c r="F224" s="1666">
        <v>463</v>
      </c>
    </row>
    <row r="225" spans="3:8">
      <c r="C225" s="119"/>
      <c r="D225" s="1930" t="s">
        <v>3460</v>
      </c>
      <c r="E225" s="2061" t="s">
        <v>36</v>
      </c>
      <c r="F225" s="1666">
        <v>882</v>
      </c>
    </row>
    <row r="226" spans="3:8">
      <c r="C226" s="119"/>
      <c r="D226" s="1930" t="s">
        <v>3482</v>
      </c>
      <c r="E226" s="2061" t="s">
        <v>1452</v>
      </c>
      <c r="F226" s="1666">
        <v>54</v>
      </c>
    </row>
    <row r="227" spans="3:8">
      <c r="C227" s="119"/>
      <c r="D227" s="1930" t="s">
        <v>3483</v>
      </c>
      <c r="E227" s="2061" t="s">
        <v>1452</v>
      </c>
      <c r="F227" s="1666">
        <v>10</v>
      </c>
    </row>
    <row r="228" spans="3:8">
      <c r="C228" s="119"/>
      <c r="D228" s="1930" t="s">
        <v>3484</v>
      </c>
      <c r="E228" s="2061" t="s">
        <v>1452</v>
      </c>
      <c r="F228" s="1666">
        <v>4</v>
      </c>
    </row>
    <row r="229" spans="3:8">
      <c r="C229" s="119"/>
      <c r="D229" s="1930" t="s">
        <v>3487</v>
      </c>
      <c r="E229" s="2061" t="s">
        <v>36</v>
      </c>
      <c r="F229" s="1666">
        <v>5</v>
      </c>
    </row>
    <row r="230" spans="3:8">
      <c r="C230" s="119"/>
      <c r="D230" s="1930" t="s">
        <v>3458</v>
      </c>
      <c r="E230" s="2061" t="s">
        <v>38</v>
      </c>
      <c r="F230" s="1666">
        <v>244.38000000000011</v>
      </c>
    </row>
    <row r="231" spans="3:8">
      <c r="C231" s="119"/>
      <c r="D231" s="1930" t="s">
        <v>3459</v>
      </c>
      <c r="E231" s="2061" t="s">
        <v>36</v>
      </c>
      <c r="F231" s="1666">
        <v>500</v>
      </c>
    </row>
    <row r="232" spans="3:8">
      <c r="C232" s="119"/>
      <c r="D232" s="1930" t="s">
        <v>3465</v>
      </c>
      <c r="E232" s="2061" t="s">
        <v>36</v>
      </c>
      <c r="F232" s="1666">
        <v>11</v>
      </c>
      <c r="H232" s="2052">
        <f>+'[34]VAL. PRINC'!$X$148</f>
        <v>22346.663200000003</v>
      </c>
    </row>
    <row r="233" spans="3:8">
      <c r="C233" s="119"/>
      <c r="D233" s="1930" t="s">
        <v>3449</v>
      </c>
      <c r="E233" s="2061" t="s">
        <v>38</v>
      </c>
      <c r="F233" s="1666">
        <v>50</v>
      </c>
    </row>
    <row r="234" spans="3:8">
      <c r="C234" s="119"/>
      <c r="D234" s="1930" t="s">
        <v>3871</v>
      </c>
      <c r="E234" s="2061" t="s">
        <v>36</v>
      </c>
      <c r="F234" s="1666">
        <v>15</v>
      </c>
    </row>
    <row r="235" spans="3:8">
      <c r="C235" s="119"/>
      <c r="D235" s="1930" t="s">
        <v>3872</v>
      </c>
      <c r="E235" s="2061" t="s">
        <v>36</v>
      </c>
      <c r="F235" s="1666">
        <v>20</v>
      </c>
    </row>
    <row r="236" spans="3:8">
      <c r="C236" s="119"/>
      <c r="D236" s="1930" t="s">
        <v>3875</v>
      </c>
      <c r="E236" s="2061" t="s">
        <v>3876</v>
      </c>
      <c r="F236" s="1666">
        <v>464</v>
      </c>
    </row>
    <row r="237" spans="3:8">
      <c r="C237" s="119"/>
      <c r="D237" s="1930" t="s">
        <v>3878</v>
      </c>
      <c r="E237" s="2061" t="s">
        <v>3876</v>
      </c>
      <c r="F237" s="1666">
        <v>461</v>
      </c>
    </row>
    <row r="238" spans="3:8">
      <c r="C238" s="119"/>
      <c r="D238" s="1930" t="s">
        <v>3881</v>
      </c>
      <c r="E238" s="2061" t="s">
        <v>36</v>
      </c>
      <c r="F238" s="1666">
        <v>468.34</v>
      </c>
    </row>
    <row r="239" spans="3:8">
      <c r="C239" s="119"/>
      <c r="D239" s="1930" t="s">
        <v>3882</v>
      </c>
      <c r="E239" s="2061" t="s">
        <v>36</v>
      </c>
      <c r="F239" s="1666">
        <v>235</v>
      </c>
    </row>
    <row r="240" spans="3:8">
      <c r="C240" s="119"/>
      <c r="D240" s="1930" t="s">
        <v>3461</v>
      </c>
      <c r="E240" s="2061" t="s">
        <v>3876</v>
      </c>
      <c r="F240" s="1666">
        <v>536.38</v>
      </c>
    </row>
    <row r="241" spans="3:8">
      <c r="C241" s="119"/>
      <c r="D241" s="1930" t="s">
        <v>3462</v>
      </c>
      <c r="E241" s="2061" t="s">
        <v>3876</v>
      </c>
      <c r="F241" s="1666">
        <v>268.33999999999997</v>
      </c>
    </row>
    <row r="242" spans="3:8">
      <c r="C242" s="119"/>
      <c r="D242" s="1930" t="s">
        <v>3464</v>
      </c>
      <c r="E242" s="2061" t="s">
        <v>1452</v>
      </c>
      <c r="F242" s="1666">
        <v>97</v>
      </c>
    </row>
    <row r="243" spans="3:8">
      <c r="C243" s="119"/>
      <c r="D243" s="1930" t="s">
        <v>3884</v>
      </c>
      <c r="E243" s="2061" t="s">
        <v>36</v>
      </c>
      <c r="F243" s="1666">
        <v>97</v>
      </c>
    </row>
    <row r="244" spans="3:8">
      <c r="C244" s="119"/>
      <c r="D244" s="1930" t="s">
        <v>3881</v>
      </c>
      <c r="E244" s="2061" t="s">
        <v>36</v>
      </c>
      <c r="F244" s="1666">
        <v>161</v>
      </c>
    </row>
    <row r="245" spans="3:8">
      <c r="C245" s="119"/>
      <c r="D245" s="1930" t="s">
        <v>3882</v>
      </c>
      <c r="E245" s="2061" t="s">
        <v>36</v>
      </c>
      <c r="F245" s="1666">
        <v>80</v>
      </c>
    </row>
    <row r="246" spans="3:8">
      <c r="C246" s="119"/>
      <c r="D246" s="1930" t="s">
        <v>3461</v>
      </c>
      <c r="E246" s="2061" t="s">
        <v>3876</v>
      </c>
      <c r="F246" s="1666">
        <v>322</v>
      </c>
    </row>
    <row r="247" spans="3:8">
      <c r="C247" s="119"/>
      <c r="D247" s="1930" t="s">
        <v>3884</v>
      </c>
      <c r="E247" s="2061" t="s">
        <v>36</v>
      </c>
      <c r="F247" s="1666">
        <v>38</v>
      </c>
    </row>
    <row r="248" spans="3:8">
      <c r="C248" s="119"/>
      <c r="D248" s="1930" t="s">
        <v>3913</v>
      </c>
      <c r="E248" s="2061" t="s">
        <v>36</v>
      </c>
      <c r="F248" s="1666">
        <v>38</v>
      </c>
      <c r="H248" s="2052">
        <f>+'[34]VAL AMP4 MM'!$P$72</f>
        <v>55202.606599999992</v>
      </c>
    </row>
    <row r="249" spans="3:8">
      <c r="C249" s="119"/>
      <c r="D249" s="2062" t="s">
        <v>2826</v>
      </c>
      <c r="E249" s="119"/>
      <c r="F249" s="1666"/>
    </row>
    <row r="250" spans="3:8">
      <c r="C250" s="119"/>
      <c r="D250" s="1930" t="str">
        <f>+[35]Hoja13!$G$15</f>
        <v xml:space="preserve">               RELLENO Y COMPACTADO CON ARENA FINA (0.6m x 0.05m x L)</v>
      </c>
      <c r="E250" s="2061" t="str">
        <f>+[35]Hoja13!$H$15</f>
        <v>m3</v>
      </c>
      <c r="F250" s="1666">
        <f>+[35]Hoja13!$P$15</f>
        <v>2.9699999999999998</v>
      </c>
    </row>
    <row r="251" spans="3:8">
      <c r="C251" s="119"/>
      <c r="D251" s="1930" t="str">
        <f>+[35]Hoja13!$G$16</f>
        <v xml:space="preserve">               RELLENO Y COMPACTADO CON MATERIAL PROPIO CERNIDO (0.60m x 0.25m x L)</v>
      </c>
      <c r="E251" s="2061" t="str">
        <f>+[35]Hoja13!$H$15</f>
        <v>m3</v>
      </c>
      <c r="F251" s="1666">
        <f>+[35]Hoja13!$P$16</f>
        <v>26.86</v>
      </c>
    </row>
    <row r="252" spans="3:8">
      <c r="C252" s="119"/>
      <c r="D252" s="1930" t="str">
        <f>+[35]Hoja13!$G$17</f>
        <v xml:space="preserve">               RELLENO Y COMPACTADO CON MATERIAL PROPIO SIN TRATAR (0.60m x 0.30m x L)</v>
      </c>
      <c r="E252" s="2061" t="str">
        <f>+[35]Hoja13!$H$15</f>
        <v>m3</v>
      </c>
      <c r="F252" s="1666">
        <f>+[35]Hoja13!$P$17</f>
        <v>39.83</v>
      </c>
    </row>
    <row r="253" spans="3:8">
      <c r="C253" s="119"/>
      <c r="D253" s="1930" t="str">
        <f>+[35]Hoja13!$G$17</f>
        <v xml:space="preserve">               RELLENO Y COMPACTADO CON MATERIAL PROPIO SIN TRATAR (0.60m x 0.30m x L)</v>
      </c>
      <c r="E253" s="2061" t="str">
        <f>+[35]Hoja13!$H$15</f>
        <v>m3</v>
      </c>
      <c r="F253" s="1666">
        <f>+[35]Hoja13!$P$18</f>
        <v>0.1399999999999999</v>
      </c>
    </row>
    <row r="254" spans="3:8">
      <c r="C254" s="119"/>
      <c r="D254" s="1930" t="str">
        <f>+[35]Hoja13!$G$19</f>
        <v xml:space="preserve">               ELIMINACIÓN DE MATERIAL EXCEDENTE</v>
      </c>
      <c r="E254" s="2061" t="str">
        <f>+[35]Hoja13!$H$15</f>
        <v>m3</v>
      </c>
      <c r="F254" s="1666">
        <f>+[35]Hoja13!$P$19</f>
        <v>4.8800000000000008</v>
      </c>
    </row>
    <row r="255" spans="3:8">
      <c r="C255" s="119"/>
      <c r="D255" s="1930" t="str">
        <f>+[35]Hoja13!$G$23</f>
        <v xml:space="preserve">               CINTA DE SEÑALIZACIÓN RIESGO ELÉCTRICO ENTERRADA (Según detalle)</v>
      </c>
      <c r="E255" s="2061" t="str">
        <f>+[35]Hoja13!$H$23</f>
        <v>m</v>
      </c>
      <c r="F255" s="1666">
        <f>+[35]Hoja13!$P$23</f>
        <v>10.75</v>
      </c>
    </row>
    <row r="256" spans="3:8">
      <c r="C256" s="119"/>
      <c r="D256" s="1930" t="str">
        <f>+[35]Hoja13!$G$53</f>
        <v xml:space="preserve">         TUBERIA PVC SAP-P Ø 20mm</v>
      </c>
      <c r="E256" s="2061" t="str">
        <f>+[35]Hoja13!$H$53</f>
        <v>m</v>
      </c>
      <c r="F256" s="1666">
        <f>+[35]Hoja13!$P$53</f>
        <v>200</v>
      </c>
    </row>
    <row r="257" spans="3:8">
      <c r="C257" s="119"/>
      <c r="D257" s="1930" t="str">
        <f>+[35]Hoja13!$G$55</f>
        <v xml:space="preserve">         TUBERIA PVC SAP-P Ø 35mm</v>
      </c>
      <c r="E257" s="2061" t="str">
        <f>+[35]Hoja13!$H$53</f>
        <v>m</v>
      </c>
      <c r="F257" s="1666">
        <f>+[35]Hoja13!$P$55</f>
        <v>11.569999999999993</v>
      </c>
    </row>
    <row r="258" spans="3:8">
      <c r="C258" s="119"/>
      <c r="D258" s="1930" t="str">
        <f>+[35]Hoja13!$G$57</f>
        <v xml:space="preserve">         SALIDA DE PUNTOS DE RED DE DATOS CAT 6</v>
      </c>
      <c r="E258" s="2061" t="str">
        <f>+[35]Hoja13!$H$57</f>
        <v>pto</v>
      </c>
      <c r="F258" s="1666">
        <f>+[35]Hoja13!$P$57</f>
        <v>3</v>
      </c>
      <c r="H258" s="2052">
        <f>+[35]Hoja13!$Q$113</f>
        <v>3545.8791000000001</v>
      </c>
    </row>
    <row r="262" spans="3:8">
      <c r="H262" s="2052">
        <f>SUM(H190:H258)</f>
        <v>94305.786777999994</v>
      </c>
    </row>
    <row r="263" spans="3:8">
      <c r="H263" s="2052">
        <f>+'VAL. PRINC'!F46</f>
        <v>0</v>
      </c>
    </row>
    <row r="264" spans="3:8">
      <c r="H264" s="2064" t="e">
        <f>+H262/H263</f>
        <v>#DIV/0!</v>
      </c>
    </row>
  </sheetData>
  <mergeCells count="10">
    <mergeCell ref="C196:F199"/>
    <mergeCell ref="C194:F194"/>
    <mergeCell ref="C3:C6"/>
    <mergeCell ref="D3:D6"/>
    <mergeCell ref="E3:E6"/>
    <mergeCell ref="F3:F6"/>
    <mergeCell ref="C185:C188"/>
    <mergeCell ref="D185:D188"/>
    <mergeCell ref="E185:E188"/>
    <mergeCell ref="F185:F188"/>
  </mergeCells>
  <pageMargins left="0.70866141732283472" right="0.70866141732283472" top="0.74803149606299213" bottom="0.74803149606299213" header="0.31496062992125984" footer="0.31496062992125984"/>
  <pageSetup paperSize="9" scale="86" orientation="portrait" r:id="rId1"/>
  <colBreaks count="1" manualBreakCount="1">
    <brk id="1"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2D050"/>
    <pageSetUpPr fitToPage="1"/>
  </sheetPr>
  <dimension ref="A1:R86"/>
  <sheetViews>
    <sheetView view="pageBreakPreview" zoomScaleNormal="100" zoomScaleSheetLayoutView="100" workbookViewId="0">
      <selection activeCell="D74" sqref="D74"/>
    </sheetView>
  </sheetViews>
  <sheetFormatPr baseColWidth="10" defaultColWidth="11.42578125" defaultRowHeight="15.75"/>
  <cols>
    <col min="1" max="1" width="11.5703125" style="1883" customWidth="1"/>
    <col min="2" max="2" width="49" style="1751" customWidth="1"/>
    <col min="3" max="3" width="16" style="1770" customWidth="1"/>
    <col min="4" max="4" width="15.42578125" style="1751" customWidth="1"/>
    <col min="5" max="5" width="9.140625" style="1751" customWidth="1"/>
    <col min="6" max="6" width="14" style="1755" customWidth="1"/>
    <col min="7" max="7" width="8.5703125" style="1751" customWidth="1"/>
    <col min="8" max="8" width="13.85546875" style="1751" customWidth="1"/>
    <col min="9" max="9" width="9" style="1751" customWidth="1"/>
    <col min="10" max="10" width="13.85546875" style="1751" customWidth="1"/>
    <col min="11" max="11" width="10" style="1751" customWidth="1"/>
    <col min="12" max="12" width="1.85546875" style="1751" customWidth="1"/>
    <col min="13" max="13" width="10.42578125" style="1751" customWidth="1"/>
    <col min="14" max="14" width="14.140625" style="1751" customWidth="1"/>
    <col min="15" max="15" width="12.85546875" style="1751" customWidth="1"/>
    <col min="16" max="16" width="12.42578125" style="1751" customWidth="1"/>
    <col min="17" max="17" width="11.42578125" style="1751" customWidth="1"/>
    <col min="18" max="18" width="11.42578125" style="1901" customWidth="1"/>
    <col min="19" max="20" width="11.42578125" style="1751" customWidth="1"/>
    <col min="21" max="16384" width="11.42578125" style="1751"/>
  </cols>
  <sheetData>
    <row r="1" spans="1:18">
      <c r="A1" s="2691"/>
      <c r="B1" s="2691"/>
      <c r="C1" s="2691"/>
      <c r="D1" s="2691"/>
      <c r="E1" s="2691"/>
      <c r="F1" s="2691"/>
      <c r="G1" s="2691"/>
      <c r="H1" s="2691"/>
      <c r="I1" s="2691"/>
      <c r="J1" s="2691"/>
      <c r="K1" s="2691"/>
    </row>
    <row r="2" spans="1:18">
      <c r="A2" s="2692" t="s">
        <v>4267</v>
      </c>
      <c r="B2" s="2692"/>
      <c r="C2" s="2692"/>
      <c r="D2" s="2692"/>
      <c r="E2" s="2692"/>
      <c r="F2" s="2692"/>
      <c r="G2" s="2692"/>
      <c r="H2" s="2692"/>
      <c r="I2" s="2692"/>
      <c r="J2" s="2692"/>
      <c r="K2" s="2692"/>
    </row>
    <row r="3" spans="1:18" ht="16.7" customHeight="1">
      <c r="A3" s="2692" t="s">
        <v>4347</v>
      </c>
      <c r="B3" s="2692"/>
      <c r="C3" s="2692"/>
      <c r="D3" s="2692"/>
      <c r="E3" s="2692"/>
      <c r="F3" s="2692"/>
      <c r="G3" s="2692"/>
      <c r="H3" s="2692"/>
      <c r="I3" s="2692"/>
      <c r="J3" s="2692"/>
      <c r="K3" s="2692"/>
    </row>
    <row r="4" spans="1:18" ht="19.5" customHeight="1">
      <c r="A4" s="2693" t="s">
        <v>6</v>
      </c>
      <c r="B4" s="2694" t="s">
        <v>2236</v>
      </c>
      <c r="C4" s="2694"/>
      <c r="D4" s="2694"/>
      <c r="E4" s="2694"/>
      <c r="F4" s="2694"/>
      <c r="G4" s="2694"/>
      <c r="H4" s="2694"/>
      <c r="I4" s="2694"/>
    </row>
    <row r="5" spans="1:18" ht="16.7" customHeight="1">
      <c r="A5" s="2693"/>
      <c r="B5" s="2694"/>
      <c r="C5" s="2694"/>
      <c r="D5" s="2694"/>
      <c r="E5" s="2694"/>
      <c r="F5" s="2694"/>
      <c r="G5" s="2694"/>
      <c r="H5" s="2694"/>
      <c r="I5" s="2694"/>
    </row>
    <row r="6" spans="1:18">
      <c r="A6" s="1752" t="s">
        <v>15</v>
      </c>
      <c r="B6" s="1753" t="s">
        <v>4241</v>
      </c>
      <c r="C6" s="1754"/>
      <c r="G6" s="1756"/>
    </row>
    <row r="7" spans="1:18">
      <c r="A7" s="1752" t="s">
        <v>17</v>
      </c>
      <c r="B7" s="1753" t="s">
        <v>4242</v>
      </c>
      <c r="C7" s="1754"/>
      <c r="D7" s="1754"/>
      <c r="E7" s="1756"/>
      <c r="F7" s="1757"/>
      <c r="G7" s="1756"/>
      <c r="H7" s="1758"/>
      <c r="I7" s="1756"/>
      <c r="J7" s="1756"/>
      <c r="K7" s="1756"/>
    </row>
    <row r="8" spans="1:18" ht="11.45" customHeight="1">
      <c r="A8" s="1759"/>
      <c r="B8" s="1760"/>
      <c r="C8" s="1761"/>
      <c r="D8" s="1762"/>
      <c r="E8" s="1762"/>
      <c r="F8" s="1763"/>
      <c r="G8" s="1762"/>
      <c r="H8" s="1762"/>
      <c r="I8" s="1762"/>
      <c r="J8" s="1762"/>
      <c r="K8" s="1762"/>
    </row>
    <row r="9" spans="1:18">
      <c r="A9" s="1759"/>
      <c r="B9" s="1760"/>
      <c r="C9" s="1761"/>
      <c r="D9" s="1762"/>
      <c r="E9" s="1762"/>
      <c r="F9" s="1763"/>
      <c r="G9" s="1762"/>
      <c r="H9" s="1762"/>
      <c r="I9" s="1762"/>
      <c r="J9" s="1762"/>
      <c r="K9" s="1762"/>
    </row>
    <row r="10" spans="1:18">
      <c r="A10" s="2689" t="s">
        <v>4243</v>
      </c>
      <c r="B10" s="2690" t="s">
        <v>72</v>
      </c>
      <c r="C10" s="2684" t="s">
        <v>23</v>
      </c>
      <c r="D10" s="2686" t="s">
        <v>4244</v>
      </c>
      <c r="E10" s="2686"/>
      <c r="F10" s="2686"/>
      <c r="G10" s="2686"/>
      <c r="H10" s="2686"/>
      <c r="I10" s="2686"/>
      <c r="J10" s="2684" t="s">
        <v>25</v>
      </c>
      <c r="K10" s="2684"/>
    </row>
    <row r="11" spans="1:18">
      <c r="A11" s="2689"/>
      <c r="B11" s="2690"/>
      <c r="C11" s="2684"/>
      <c r="D11" s="2686" t="s">
        <v>26</v>
      </c>
      <c r="E11" s="2686"/>
      <c r="F11" s="2686" t="s">
        <v>27</v>
      </c>
      <c r="G11" s="2686"/>
      <c r="H11" s="2686" t="s">
        <v>28</v>
      </c>
      <c r="I11" s="2686"/>
      <c r="J11" s="2685"/>
      <c r="K11" s="2685"/>
    </row>
    <row r="12" spans="1:18">
      <c r="A12" s="2689"/>
      <c r="B12" s="2690"/>
      <c r="C12" s="2684"/>
      <c r="D12" s="1765" t="s">
        <v>4245</v>
      </c>
      <c r="E12" s="1765" t="s">
        <v>0</v>
      </c>
      <c r="F12" s="1765" t="str">
        <f>+D12</f>
        <v>VALORIZADO</v>
      </c>
      <c r="G12" s="1765" t="s">
        <v>0</v>
      </c>
      <c r="H12" s="1765" t="str">
        <f>+F12</f>
        <v>VALORIZADO</v>
      </c>
      <c r="I12" s="1765" t="s">
        <v>0</v>
      </c>
      <c r="J12" s="1765" t="str">
        <f>+H12</f>
        <v>VALORIZADO</v>
      </c>
      <c r="K12" s="1765" t="s">
        <v>0</v>
      </c>
    </row>
    <row r="13" spans="1:18" ht="15.6" customHeight="1">
      <c r="A13" s="1766">
        <v>1</v>
      </c>
      <c r="B13" s="1767" t="s">
        <v>4246</v>
      </c>
      <c r="C13" s="1768" t="e">
        <f>SUM(C14:C20)</f>
        <v>#REF!</v>
      </c>
      <c r="D13" s="1768" t="e">
        <f>SUM(D14:D20)</f>
        <v>#REF!</v>
      </c>
      <c r="E13" s="1769" t="e">
        <f t="shared" ref="E13:E21" si="0">+D13/C13</f>
        <v>#REF!</v>
      </c>
      <c r="F13" s="1768" t="e">
        <f>SUM(F14:F20)</f>
        <v>#REF!</v>
      </c>
      <c r="G13" s="1769" t="e">
        <f>+$F$13/C13</f>
        <v>#REF!</v>
      </c>
      <c r="H13" s="1768" t="e">
        <f>SUM(H14:H20)</f>
        <v>#REF!</v>
      </c>
      <c r="I13" s="1769" t="e">
        <f>+H13/C13</f>
        <v>#REF!</v>
      </c>
      <c r="J13" s="1768" t="e">
        <f>SUM(J14:J20)</f>
        <v>#REF!</v>
      </c>
      <c r="K13" s="1769" t="e">
        <f>+J13/C13</f>
        <v>#REF!</v>
      </c>
      <c r="M13" s="1770"/>
      <c r="N13" s="1771" t="e">
        <f>+J13+H13</f>
        <v>#REF!</v>
      </c>
      <c r="O13" s="1772" t="e">
        <f>+C13-N13</f>
        <v>#REF!</v>
      </c>
      <c r="P13" s="1895">
        <v>6805604.1507246634</v>
      </c>
      <c r="Q13" s="1771" t="e">
        <f>+P13-D13</f>
        <v>#REF!</v>
      </c>
      <c r="R13" s="1901" t="e">
        <f>+H13+J13-C13</f>
        <v>#REF!</v>
      </c>
    </row>
    <row r="14" spans="1:18" ht="15.6" customHeight="1">
      <c r="A14" s="1774"/>
      <c r="B14" s="1775" t="s">
        <v>1132</v>
      </c>
      <c r="C14" s="1776">
        <f>+'VAL. PRINC'!Z27</f>
        <v>52672.289999999986</v>
      </c>
      <c r="D14" s="1776">
        <f>SUM('VAL. PRINC'!I16:I45)</f>
        <v>229863.35000000006</v>
      </c>
      <c r="E14" s="1804">
        <f t="shared" si="0"/>
        <v>4.3640280306779928</v>
      </c>
      <c r="F14" s="1776">
        <f>SUM('VAL. PRINC'!K16:K45)</f>
        <v>57296.899999999994</v>
      </c>
      <c r="G14" s="1804">
        <f t="shared" ref="G14:G21" si="1">+F14/C14</f>
        <v>1.0877996760725612</v>
      </c>
      <c r="H14" s="1776">
        <f>SUM('VAL. PRINC'!M16:M45)</f>
        <v>287160.25</v>
      </c>
      <c r="I14" s="1778">
        <f>+H14/C14</f>
        <v>5.4518277067505529</v>
      </c>
      <c r="J14" s="1776">
        <f>SUM('VAL. PRINC'!P16:P45)</f>
        <v>176282.39999999997</v>
      </c>
      <c r="K14" s="1779">
        <f>+J14/C14</f>
        <v>3.3467768346506297</v>
      </c>
      <c r="L14" s="1771"/>
      <c r="M14" s="1770"/>
      <c r="N14" s="1780"/>
      <c r="O14" s="1772"/>
      <c r="P14" s="1895">
        <v>322833.54325000005</v>
      </c>
      <c r="Q14" s="1771">
        <f t="shared" ref="Q14:Q41" si="2">+P14-D14</f>
        <v>92970.193249999982</v>
      </c>
      <c r="R14" s="1901">
        <f>+H14+J14-C14</f>
        <v>410770.36</v>
      </c>
    </row>
    <row r="15" spans="1:18" ht="15.6" customHeight="1">
      <c r="A15" s="1774"/>
      <c r="B15" s="1775" t="s">
        <v>1154</v>
      </c>
      <c r="C15" s="1776" t="e">
        <f>+'VAL. PRINC'!Z28</f>
        <v>#REF!</v>
      </c>
      <c r="D15" s="1776" t="e">
        <f>SUM('VAL. PRINC'!#REF!)</f>
        <v>#REF!</v>
      </c>
      <c r="E15" s="1804" t="e">
        <f t="shared" si="0"/>
        <v>#REF!</v>
      </c>
      <c r="F15" s="1776" t="e">
        <f>SUM('VAL. PRINC'!#REF!)</f>
        <v>#REF!</v>
      </c>
      <c r="G15" s="1804" t="e">
        <f t="shared" si="1"/>
        <v>#REF!</v>
      </c>
      <c r="H15" s="1776" t="e">
        <f>SUM('VAL. PRINC'!#REF!)</f>
        <v>#REF!</v>
      </c>
      <c r="I15" s="1778" t="e">
        <f>+H15/C15</f>
        <v>#REF!</v>
      </c>
      <c r="J15" s="1776" t="e">
        <f>SUM('VAL. PRINC'!#REF!)+0.06</f>
        <v>#REF!</v>
      </c>
      <c r="K15" s="1779" t="e">
        <f>+J15/C15</f>
        <v>#REF!</v>
      </c>
      <c r="M15" s="1781">
        <f>1300000+1000000</f>
        <v>2300000</v>
      </c>
      <c r="N15" s="1770"/>
      <c r="O15" s="1772"/>
      <c r="P15" s="1895">
        <v>4953015.5347446641</v>
      </c>
      <c r="Q15" s="1771" t="e">
        <f t="shared" si="2"/>
        <v>#REF!</v>
      </c>
      <c r="R15" s="1901" t="e">
        <f>+H15+J15-C15</f>
        <v>#REF!</v>
      </c>
    </row>
    <row r="16" spans="1:18" ht="15.6" customHeight="1">
      <c r="A16" s="1774"/>
      <c r="B16" s="1775" t="s">
        <v>1234</v>
      </c>
      <c r="C16" s="1776" t="e">
        <f>+'VAL. PRINC'!Z29</f>
        <v>#REF!</v>
      </c>
      <c r="D16" s="1776" t="e">
        <f>SUM('VAL. PRINC'!#REF!)</f>
        <v>#REF!</v>
      </c>
      <c r="E16" s="1804" t="e">
        <f t="shared" si="0"/>
        <v>#REF!</v>
      </c>
      <c r="F16" s="1776" t="e">
        <f>SUM('VAL. PRINC'!#REF!)</f>
        <v>#REF!</v>
      </c>
      <c r="G16" s="1804" t="e">
        <f t="shared" si="1"/>
        <v>#REF!</v>
      </c>
      <c r="H16" s="1776" t="e">
        <f>SUM('VAL. PRINC'!#REF!)</f>
        <v>#REF!</v>
      </c>
      <c r="I16" s="1778" t="e">
        <f t="shared" ref="I16:I20" si="3">+H16/C16</f>
        <v>#REF!</v>
      </c>
      <c r="J16" s="1776" t="e">
        <f>SUM('VAL. PRINC'!#REF!)+0.0037</f>
        <v>#REF!</v>
      </c>
      <c r="K16" s="1779" t="e">
        <f t="shared" ref="K16:K20" si="4">+J16/C16</f>
        <v>#REF!</v>
      </c>
      <c r="M16" s="1770"/>
      <c r="N16" s="1780"/>
      <c r="O16" s="1772"/>
      <c r="P16" s="1895">
        <v>1196166.16713</v>
      </c>
      <c r="Q16" s="1771" t="e">
        <f t="shared" si="2"/>
        <v>#REF!</v>
      </c>
      <c r="R16" s="1901" t="e">
        <f t="shared" ref="R16:R40" si="5">+H16+J16-C16</f>
        <v>#REF!</v>
      </c>
    </row>
    <row r="17" spans="1:18" ht="15.6" customHeight="1">
      <c r="A17" s="1774"/>
      <c r="B17" s="1775" t="s">
        <v>1327</v>
      </c>
      <c r="C17" s="1776" t="e">
        <f>+'VAL. PRINC'!Z30</f>
        <v>#REF!</v>
      </c>
      <c r="D17" s="1776" t="e">
        <f>SUM('VAL. PRINC'!#REF!)</f>
        <v>#REF!</v>
      </c>
      <c r="E17" s="1804" t="e">
        <f t="shared" si="0"/>
        <v>#REF!</v>
      </c>
      <c r="F17" s="1927" t="e">
        <f>SUM('VAL. PRINC'!#REF!)</f>
        <v>#REF!</v>
      </c>
      <c r="G17" s="1804" t="e">
        <f t="shared" si="1"/>
        <v>#REF!</v>
      </c>
      <c r="H17" s="1776" t="e">
        <f>SUM('VAL. PRINC'!#REF!)</f>
        <v>#REF!</v>
      </c>
      <c r="I17" s="1778" t="e">
        <f t="shared" si="3"/>
        <v>#REF!</v>
      </c>
      <c r="J17" s="1776" t="e">
        <f>SUM('VAL. PRINC'!#REF!)</f>
        <v>#REF!</v>
      </c>
      <c r="K17" s="1779" t="e">
        <f t="shared" si="4"/>
        <v>#REF!</v>
      </c>
      <c r="M17" s="1781" t="e">
        <f>+J15-M15</f>
        <v>#REF!</v>
      </c>
      <c r="N17" s="1780"/>
      <c r="O17" s="1772"/>
      <c r="P17" s="1895">
        <v>122059.33359999997</v>
      </c>
      <c r="Q17" s="1771" t="e">
        <f t="shared" si="2"/>
        <v>#REF!</v>
      </c>
      <c r="R17" s="1901" t="e">
        <f t="shared" si="5"/>
        <v>#REF!</v>
      </c>
    </row>
    <row r="18" spans="1:18" ht="15.6" customHeight="1">
      <c r="A18" s="1774"/>
      <c r="B18" s="1775" t="s">
        <v>1383</v>
      </c>
      <c r="C18" s="1776" t="e">
        <f>+'VAL. PRINC'!Z31</f>
        <v>#REF!</v>
      </c>
      <c r="D18" s="1776" t="e">
        <f>SUM('VAL. PRINC'!#REF!)</f>
        <v>#REF!</v>
      </c>
      <c r="E18" s="1804" t="e">
        <f t="shared" si="0"/>
        <v>#REF!</v>
      </c>
      <c r="F18" s="1776" t="e">
        <f>SUM('VAL. PRINC'!#REF!)</f>
        <v>#REF!</v>
      </c>
      <c r="G18" s="1804" t="e">
        <f t="shared" si="1"/>
        <v>#REF!</v>
      </c>
      <c r="H18" s="1776" t="e">
        <f>SUM('VAL. PRINC'!#REF!)</f>
        <v>#REF!</v>
      </c>
      <c r="I18" s="1778" t="e">
        <f t="shared" si="3"/>
        <v>#REF!</v>
      </c>
      <c r="J18" s="1776" t="e">
        <f>SUM('VAL. PRINC'!#REF!)</f>
        <v>#REF!</v>
      </c>
      <c r="K18" s="1779" t="e">
        <f t="shared" si="4"/>
        <v>#REF!</v>
      </c>
      <c r="M18" s="1770"/>
      <c r="N18" s="1782"/>
      <c r="O18" s="1772"/>
      <c r="P18" s="1895">
        <v>147432.61199999999</v>
      </c>
      <c r="Q18" s="1771" t="e">
        <f>+P18-D18</f>
        <v>#REF!</v>
      </c>
      <c r="R18" s="1901" t="e">
        <f t="shared" si="5"/>
        <v>#REF!</v>
      </c>
    </row>
    <row r="19" spans="1:18" s="1978" customFormat="1" ht="15.6" customHeight="1">
      <c r="A19" s="1774"/>
      <c r="B19" s="1775" t="s">
        <v>2826</v>
      </c>
      <c r="C19" s="1776" t="e">
        <f>+'VAL. PRINC'!Z32</f>
        <v>#REF!</v>
      </c>
      <c r="D19" s="1776" t="e">
        <f>SUM('VAL. PRINC'!#REF!)</f>
        <v>#REF!</v>
      </c>
      <c r="E19" s="1778" t="e">
        <f t="shared" si="0"/>
        <v>#REF!</v>
      </c>
      <c r="F19" s="1776" t="e">
        <f>SUM('VAL. PRINC'!#REF!)</f>
        <v>#REF!</v>
      </c>
      <c r="G19" s="1778" t="e">
        <f t="shared" si="1"/>
        <v>#REF!</v>
      </c>
      <c r="H19" s="1776" t="e">
        <f>SUM('VAL. PRINC'!#REF!)</f>
        <v>#REF!</v>
      </c>
      <c r="I19" s="1778" t="e">
        <f t="shared" si="3"/>
        <v>#REF!</v>
      </c>
      <c r="J19" s="1776" t="e">
        <f>SUM('VAL. PRINC'!#REF!)+0.02</f>
        <v>#REF!</v>
      </c>
      <c r="K19" s="1779" t="e">
        <f t="shared" si="4"/>
        <v>#REF!</v>
      </c>
      <c r="M19" s="1979">
        <v>1500000</v>
      </c>
      <c r="N19" s="1980">
        <v>375000</v>
      </c>
      <c r="O19" s="1981"/>
      <c r="P19" s="1982">
        <v>27466.960000000003</v>
      </c>
      <c r="Q19" s="1983" t="e">
        <f t="shared" si="2"/>
        <v>#REF!</v>
      </c>
      <c r="R19" s="1984" t="e">
        <f t="shared" si="5"/>
        <v>#REF!</v>
      </c>
    </row>
    <row r="20" spans="1:18" ht="15.6" customHeight="1">
      <c r="A20" s="1774"/>
      <c r="B20" s="1775" t="s">
        <v>3643</v>
      </c>
      <c r="C20" s="1776" t="e">
        <f>SUM('VAL. PRINC'!#REF!)</f>
        <v>#REF!</v>
      </c>
      <c r="D20" s="1776" t="e">
        <f>SUM('VAL. PRINC'!#REF!)</f>
        <v>#REF!</v>
      </c>
      <c r="E20" s="1804" t="e">
        <f t="shared" si="0"/>
        <v>#REF!</v>
      </c>
      <c r="F20" s="1776" t="e">
        <f>SUM('VAL. PRINC'!#REF!)</f>
        <v>#REF!</v>
      </c>
      <c r="G20" s="1804" t="e">
        <f t="shared" si="1"/>
        <v>#REF!</v>
      </c>
      <c r="H20" s="1776" t="e">
        <f>SUM('VAL. PRINC'!#REF!)</f>
        <v>#REF!</v>
      </c>
      <c r="I20" s="1778" t="e">
        <f t="shared" si="3"/>
        <v>#REF!</v>
      </c>
      <c r="J20" s="1776" t="e">
        <f>SUM('VAL. PRINC'!#REF!)</f>
        <v>#REF!</v>
      </c>
      <c r="K20" s="1779" t="e">
        <f t="shared" si="4"/>
        <v>#REF!</v>
      </c>
      <c r="M20" s="1780">
        <f>+N19/M19</f>
        <v>0.25</v>
      </c>
      <c r="N20" s="1780"/>
      <c r="O20" s="1772"/>
      <c r="P20" s="1895">
        <v>36630</v>
      </c>
      <c r="Q20" s="1771" t="e">
        <f t="shared" si="2"/>
        <v>#REF!</v>
      </c>
      <c r="R20" s="1901" t="e">
        <f t="shared" si="5"/>
        <v>#REF!</v>
      </c>
    </row>
    <row r="21" spans="1:18" ht="15.6" customHeight="1">
      <c r="A21" s="1783"/>
      <c r="B21" s="1784" t="s">
        <v>4247</v>
      </c>
      <c r="C21" s="1785">
        <f>+C26+C31+C36+C39+C23</f>
        <v>4845416.3800000008</v>
      </c>
      <c r="D21" s="1785">
        <f>+D26+D31+D36+D39+D23</f>
        <v>3378841.5858097002</v>
      </c>
      <c r="E21" s="1786">
        <f t="shared" si="0"/>
        <v>0.69732739579538461</v>
      </c>
      <c r="F21" s="1785">
        <f>+F26+F31+F36+F39+F23</f>
        <v>267048.02719270007</v>
      </c>
      <c r="G21" s="1786">
        <f t="shared" si="1"/>
        <v>5.5113535401203236E-2</v>
      </c>
      <c r="H21" s="1785">
        <f>+H26+H31+H36+H39+H23</f>
        <v>3645889.6130024004</v>
      </c>
      <c r="I21" s="1786">
        <f>+H21/C21</f>
        <v>0.75244093119658784</v>
      </c>
      <c r="J21" s="1787">
        <f>+C21-H21</f>
        <v>1199526.7669976004</v>
      </c>
      <c r="K21" s="1788">
        <f>+J21/C21</f>
        <v>0.24755906880341216</v>
      </c>
      <c r="M21" s="1770"/>
      <c r="N21" s="1780"/>
      <c r="O21" s="1772"/>
      <c r="P21" s="1895">
        <v>1925586.6208940002</v>
      </c>
      <c r="Q21" s="1771">
        <f t="shared" si="2"/>
        <v>-1453254.9649157</v>
      </c>
      <c r="R21" s="1901">
        <f t="shared" si="5"/>
        <v>0</v>
      </c>
    </row>
    <row r="22" spans="1:18" ht="15.6" customHeight="1">
      <c r="A22" s="1789">
        <v>2</v>
      </c>
      <c r="B22" s="1790" t="s">
        <v>4265</v>
      </c>
      <c r="C22" s="1791"/>
      <c r="D22" s="1792"/>
      <c r="E22" s="1793"/>
      <c r="F22" s="1794"/>
      <c r="G22" s="1793"/>
      <c r="H22" s="1794"/>
      <c r="I22" s="1793"/>
      <c r="J22" s="1794"/>
      <c r="K22" s="1795"/>
      <c r="M22" s="1770"/>
      <c r="N22" s="1780"/>
      <c r="O22" s="1772"/>
      <c r="P22" s="1895"/>
      <c r="Q22" s="1771">
        <f t="shared" si="2"/>
        <v>0</v>
      </c>
      <c r="R22" s="1901">
        <f t="shared" si="5"/>
        <v>0</v>
      </c>
    </row>
    <row r="23" spans="1:18" s="1755" customFormat="1" ht="15.6" customHeight="1">
      <c r="A23" s="1796">
        <v>2.1</v>
      </c>
      <c r="B23" s="1797" t="s">
        <v>4266</v>
      </c>
      <c r="C23" s="1798">
        <f>+'VAL. AMP.2 COVID'!I37</f>
        <v>165006.5</v>
      </c>
      <c r="D23" s="1798">
        <f>+'VAL. AMP.2 COVID'!K37</f>
        <v>165006.5</v>
      </c>
      <c r="E23" s="1799">
        <f>+D23/C23</f>
        <v>1</v>
      </c>
      <c r="F23" s="1798">
        <f>+'VAL. AMP.2 COVID'!M37</f>
        <v>0</v>
      </c>
      <c r="G23" s="1799">
        <f>+F23/C23</f>
        <v>0</v>
      </c>
      <c r="H23" s="1798">
        <f>+'VAL. AMP.2 COVID'!O37</f>
        <v>165006.5</v>
      </c>
      <c r="I23" s="1799">
        <f>+H23/C23</f>
        <v>1</v>
      </c>
      <c r="J23" s="1798">
        <f>+'VAL. AMP.2 COVID'!R37</f>
        <v>0</v>
      </c>
      <c r="K23" s="1799">
        <f>+J23/C23</f>
        <v>0</v>
      </c>
      <c r="M23" s="1889"/>
      <c r="N23" s="1890"/>
      <c r="O23" s="1891"/>
      <c r="P23" s="1896">
        <v>165006.5</v>
      </c>
      <c r="Q23" s="1771">
        <f t="shared" si="2"/>
        <v>0</v>
      </c>
      <c r="R23" s="1901">
        <f t="shared" si="5"/>
        <v>0</v>
      </c>
    </row>
    <row r="24" spans="1:18" s="1755" customFormat="1" ht="15.6" customHeight="1">
      <c r="A24" s="1774"/>
      <c r="B24" s="1885"/>
      <c r="C24" s="1886"/>
      <c r="D24" s="1886"/>
      <c r="E24" s="1777"/>
      <c r="F24" s="1886"/>
      <c r="G24" s="1777"/>
      <c r="H24" s="1886"/>
      <c r="I24" s="1777"/>
      <c r="J24" s="1887"/>
      <c r="K24" s="1888"/>
      <c r="M24" s="1889"/>
      <c r="N24" s="1890"/>
      <c r="O24" s="1891"/>
      <c r="P24" s="1896"/>
      <c r="Q24" s="1771">
        <f t="shared" si="2"/>
        <v>0</v>
      </c>
      <c r="R24" s="1901">
        <f t="shared" si="5"/>
        <v>0</v>
      </c>
    </row>
    <row r="25" spans="1:18" ht="15.6" customHeight="1">
      <c r="A25" s="1789">
        <v>3</v>
      </c>
      <c r="B25" s="1790" t="s">
        <v>4260</v>
      </c>
      <c r="C25" s="1791"/>
      <c r="D25" s="1792"/>
      <c r="E25" s="1793"/>
      <c r="F25" s="1794"/>
      <c r="G25" s="1793"/>
      <c r="H25" s="1794"/>
      <c r="I25" s="1793"/>
      <c r="J25" s="1794"/>
      <c r="K25" s="1795"/>
      <c r="M25" s="1770"/>
      <c r="N25" s="1780"/>
      <c r="O25" s="1772"/>
      <c r="P25" s="1895"/>
      <c r="Q25" s="1771">
        <f t="shared" si="2"/>
        <v>0</v>
      </c>
      <c r="R25" s="1901">
        <f t="shared" si="5"/>
        <v>0</v>
      </c>
    </row>
    <row r="26" spans="1:18" ht="15.6" customHeight="1">
      <c r="A26" s="1796">
        <v>3.1</v>
      </c>
      <c r="B26" s="1797" t="s">
        <v>4248</v>
      </c>
      <c r="C26" s="1798">
        <f>SUM(C27:C29)</f>
        <v>587707.12</v>
      </c>
      <c r="D26" s="1798">
        <f>+D27+D28+D29</f>
        <v>552702.85560000001</v>
      </c>
      <c r="E26" s="1799" t="e">
        <f>+D26/C41</f>
        <v>#REF!</v>
      </c>
      <c r="F26" s="1798">
        <f>+F27+F28+F29</f>
        <v>11114.7</v>
      </c>
      <c r="G26" s="1799">
        <f>+F26/C26</f>
        <v>1.8911970983097839E-2</v>
      </c>
      <c r="H26" s="1798">
        <f>+H27+H28+H29</f>
        <v>563817.55560000008</v>
      </c>
      <c r="I26" s="1799">
        <f>+H26/C26</f>
        <v>0.95935124216293333</v>
      </c>
      <c r="J26" s="1798">
        <f>+J27+J28+J29</f>
        <v>23889.564400000025</v>
      </c>
      <c r="K26" s="1799">
        <f>+J26/C26</f>
        <v>4.0648757837066916E-2</v>
      </c>
      <c r="M26" s="1770"/>
      <c r="N26" s="1780"/>
      <c r="O26" s="1772"/>
      <c r="P26" s="1895">
        <v>552702.8456</v>
      </c>
      <c r="Q26" s="1771">
        <f t="shared" si="2"/>
        <v>-1.0000000009313226E-2</v>
      </c>
      <c r="R26" s="1901">
        <f t="shared" si="5"/>
        <v>0</v>
      </c>
    </row>
    <row r="27" spans="1:18" ht="15.6" customHeight="1">
      <c r="A27" s="1801"/>
      <c r="B27" s="1802" t="s">
        <v>1132</v>
      </c>
      <c r="C27" s="1803">
        <f>SUM('VAL AMP 3'!I17:I32)</f>
        <v>222650.80000000002</v>
      </c>
      <c r="D27" s="1803">
        <f>SUM('VAL AMP 3'!K17:K32)+0.01</f>
        <v>222650.80160000001</v>
      </c>
      <c r="E27" s="1804">
        <f>+D27/C27</f>
        <v>1.0000000071861408</v>
      </c>
      <c r="F27" s="1803">
        <f>SUM('VAL AMP 3'!M17:M32)</f>
        <v>0</v>
      </c>
      <c r="G27" s="1804">
        <f>+F27/C27</f>
        <v>0</v>
      </c>
      <c r="H27" s="1803">
        <f>SUM('VAL AMP 3'!O17:O32)+0.01</f>
        <v>222650.80160000001</v>
      </c>
      <c r="I27" s="1804">
        <f>+H27/C27</f>
        <v>1.0000000071861408</v>
      </c>
      <c r="J27" s="1805">
        <f>+C27-H27</f>
        <v>-1.5999999886844307E-3</v>
      </c>
      <c r="K27" s="1804">
        <f t="shared" ref="K27:K29" si="6">+J27/C27</f>
        <v>-7.1861407580140318E-9</v>
      </c>
      <c r="M27" s="1770"/>
      <c r="N27" s="1780"/>
      <c r="O27" s="1772"/>
      <c r="P27" s="1895">
        <v>222650.7916</v>
      </c>
      <c r="Q27" s="1771">
        <f t="shared" si="2"/>
        <v>-1.0000000009313226E-2</v>
      </c>
      <c r="R27" s="1901">
        <f>+H27+J27-C27</f>
        <v>0</v>
      </c>
    </row>
    <row r="28" spans="1:18" ht="15.6" customHeight="1">
      <c r="A28" s="1801"/>
      <c r="B28" s="1802" t="s">
        <v>2897</v>
      </c>
      <c r="C28" s="1803">
        <f>SUM('VAL AMP 3'!I35:I50)</f>
        <v>348439.10000000003</v>
      </c>
      <c r="D28" s="1803">
        <f>SUM('VAL AMP 3'!K35:K50)</f>
        <v>326618.57640000002</v>
      </c>
      <c r="E28" s="1804">
        <f>+D28/C28</f>
        <v>0.93737636333006247</v>
      </c>
      <c r="F28" s="1803">
        <f>SUM('VAL AMP 3'!M35:M50)</f>
        <v>0</v>
      </c>
      <c r="G28" s="1804">
        <f>+F28/C28</f>
        <v>0</v>
      </c>
      <c r="H28" s="1803">
        <f>SUM('VAL AMP 3'!O35:O50)</f>
        <v>326618.57640000002</v>
      </c>
      <c r="I28" s="1804">
        <f>+H28/C28</f>
        <v>0.93737636333006247</v>
      </c>
      <c r="J28" s="1805">
        <f t="shared" ref="J28:J29" si="7">+C28-H28</f>
        <v>21820.523600000015</v>
      </c>
      <c r="K28" s="1804">
        <f t="shared" si="6"/>
        <v>6.2623636669937477E-2</v>
      </c>
      <c r="M28" s="1770"/>
      <c r="N28" s="1780"/>
      <c r="O28" s="1772"/>
      <c r="P28" s="1895">
        <v>326618.57640000002</v>
      </c>
      <c r="Q28" s="1771">
        <f t="shared" si="2"/>
        <v>0</v>
      </c>
      <c r="R28" s="1901">
        <f t="shared" si="5"/>
        <v>0</v>
      </c>
    </row>
    <row r="29" spans="1:18" ht="15.6" customHeight="1">
      <c r="A29" s="1801"/>
      <c r="B29" s="1802" t="s">
        <v>1383</v>
      </c>
      <c r="C29" s="1803">
        <f>SUM('VAL AMP 3'!I53:I59)</f>
        <v>16617.22</v>
      </c>
      <c r="D29" s="1803">
        <f>SUM('VAL AMP 3'!K53:K59)</f>
        <v>3433.4776000000002</v>
      </c>
      <c r="E29" s="1804">
        <f>+D29/C29</f>
        <v>0.20662166114428285</v>
      </c>
      <c r="F29" s="1803">
        <f>SUM('VAL AMP 3'!M53:M59)</f>
        <v>11114.7</v>
      </c>
      <c r="G29" s="1804">
        <f>+F29/C29</f>
        <v>0.66886639281420113</v>
      </c>
      <c r="H29" s="1803">
        <f>SUM('VAL AMP 3'!O53:O59)</f>
        <v>14548.177600000001</v>
      </c>
      <c r="I29" s="1804">
        <f>+H29/C29</f>
        <v>0.87548805395848406</v>
      </c>
      <c r="J29" s="1805">
        <f t="shared" si="7"/>
        <v>2069.0424000000003</v>
      </c>
      <c r="K29" s="1804">
        <f t="shared" si="6"/>
        <v>0.12451194604151598</v>
      </c>
      <c r="M29" s="1770"/>
      <c r="N29" s="1780"/>
      <c r="O29" s="1772"/>
      <c r="P29" s="1895">
        <v>3433.4776000000002</v>
      </c>
      <c r="Q29" s="1771">
        <f t="shared" si="2"/>
        <v>0</v>
      </c>
      <c r="R29" s="1901">
        <f t="shared" si="5"/>
        <v>0</v>
      </c>
    </row>
    <row r="30" spans="1:18" ht="15.6" customHeight="1">
      <c r="A30" s="1789">
        <v>4</v>
      </c>
      <c r="B30" s="1790" t="s">
        <v>4261</v>
      </c>
      <c r="C30" s="1791"/>
      <c r="D30" s="1791"/>
      <c r="E30" s="1793"/>
      <c r="F30" s="1791"/>
      <c r="G30" s="1793"/>
      <c r="H30" s="1791"/>
      <c r="I30" s="1793"/>
      <c r="J30" s="1794"/>
      <c r="K30" s="1793"/>
      <c r="M30" s="1770"/>
      <c r="N30" s="1780"/>
      <c r="O30" s="1772"/>
      <c r="P30" s="1895"/>
      <c r="Q30" s="1771">
        <f t="shared" si="2"/>
        <v>0</v>
      </c>
      <c r="R30" s="1901">
        <f t="shared" si="5"/>
        <v>0</v>
      </c>
    </row>
    <row r="31" spans="1:18" s="1764" customFormat="1" ht="15.6" customHeight="1">
      <c r="A31" s="1796">
        <v>4.0999999999999996</v>
      </c>
      <c r="B31" s="1797" t="s">
        <v>4249</v>
      </c>
      <c r="C31" s="1798">
        <f>SUM(C32:C35)</f>
        <v>3433797.0500000007</v>
      </c>
      <c r="D31" s="1798">
        <f>SUM(D32:D35)</f>
        <v>2017765.2001352001</v>
      </c>
      <c r="E31" s="1799">
        <f t="shared" ref="E31:E36" si="8">+D31/C31</f>
        <v>0.58761923630145807</v>
      </c>
      <c r="F31" s="1798">
        <f>SUM(F32:F35)</f>
        <v>83706.038454500012</v>
      </c>
      <c r="G31" s="1799">
        <f t="shared" ref="G31:G39" si="9">+F31/C31</f>
        <v>2.4377107102034466E-2</v>
      </c>
      <c r="H31" s="1798">
        <f>SUM(H32:H35)</f>
        <v>2101471.2385897003</v>
      </c>
      <c r="I31" s="1799">
        <f t="shared" ref="I31:I39" si="10">+H31/C31</f>
        <v>0.61199634340349263</v>
      </c>
      <c r="J31" s="1800">
        <f t="shared" ref="J31:J36" si="11">+C31-H31</f>
        <v>1332325.8114103004</v>
      </c>
      <c r="K31" s="1799">
        <f>+J31/$C$31</f>
        <v>0.38800365659650737</v>
      </c>
      <c r="M31" s="1806"/>
      <c r="N31" s="1773"/>
      <c r="O31" s="1772"/>
      <c r="P31" s="1895">
        <v>1131099.6684940001</v>
      </c>
      <c r="Q31" s="1771">
        <f t="shared" si="2"/>
        <v>-886665.53164119995</v>
      </c>
      <c r="R31" s="1901">
        <f t="shared" si="5"/>
        <v>0</v>
      </c>
    </row>
    <row r="32" spans="1:18" ht="15.6" customHeight="1">
      <c r="A32" s="1801"/>
      <c r="B32" s="1802" t="s">
        <v>2897</v>
      </c>
      <c r="C32" s="1803">
        <f>SUM('VAL AMP4 MM'!I17:I89)</f>
        <v>2196577.560000001</v>
      </c>
      <c r="D32" s="1803">
        <f>SUM('VAL AMP4 MM'!K17:K89)</f>
        <v>1813481.3754462001</v>
      </c>
      <c r="E32" s="1804">
        <f t="shared" si="8"/>
        <v>0.82559405525666907</v>
      </c>
      <c r="F32" s="1803">
        <f>SUM('VAL AMP4 MM'!M17:M89)</f>
        <v>50458.914272500006</v>
      </c>
      <c r="G32" s="1804">
        <f t="shared" si="9"/>
        <v>2.2971606007165066E-2</v>
      </c>
      <c r="H32" s="1803">
        <f>SUM('VAL AMP4 MM'!O17:O89)</f>
        <v>1863940.2897187003</v>
      </c>
      <c r="I32" s="1804">
        <f t="shared" si="10"/>
        <v>0.84856566126383426</v>
      </c>
      <c r="J32" s="1803">
        <f>SUM('VAL AMP4 MM'!R17:R89)+0.04</f>
        <v>332637.3</v>
      </c>
      <c r="K32" s="1804">
        <f t="shared" ref="K32:K38" si="12">+J32/C32</f>
        <v>0.15143435226571278</v>
      </c>
      <c r="M32" s="1770"/>
      <c r="N32" s="1780"/>
      <c r="O32" s="1772"/>
      <c r="P32" s="1895">
        <v>1095401.3892940001</v>
      </c>
      <c r="Q32" s="1771">
        <f t="shared" si="2"/>
        <v>-718079.98615220003</v>
      </c>
      <c r="R32" s="1901">
        <f t="shared" si="5"/>
        <v>2.9718699399381876E-2</v>
      </c>
    </row>
    <row r="33" spans="1:18" ht="15.6" customHeight="1">
      <c r="A33" s="1801"/>
      <c r="B33" s="1807" t="s">
        <v>1234</v>
      </c>
      <c r="C33" s="1803">
        <f>SUM('VAL AMP4 MM'!I92:I150)</f>
        <v>958916.75999999966</v>
      </c>
      <c r="D33" s="1803">
        <f>SUM('VAL AMP4 MM'!K92:K150)</f>
        <v>137538.13808900001</v>
      </c>
      <c r="E33" s="1804">
        <f t="shared" si="8"/>
        <v>0.14343073750113625</v>
      </c>
      <c r="F33" s="1803">
        <f>SUM('VAL AMP4 MM'!M92:M150)</f>
        <v>33116.174182000002</v>
      </c>
      <c r="G33" s="1804">
        <f t="shared" si="9"/>
        <v>3.4534983184567568E-2</v>
      </c>
      <c r="H33" s="1803">
        <f>SUM('VAL AMP4 MM'!O92:O150)</f>
        <v>170654.312271</v>
      </c>
      <c r="I33" s="1804">
        <f t="shared" si="10"/>
        <v>0.17796572068570379</v>
      </c>
      <c r="J33" s="1803">
        <f>SUM('VAL AMP4 MM'!R92:R150)+0.01</f>
        <v>788262.47</v>
      </c>
      <c r="K33" s="1804">
        <f t="shared" si="12"/>
        <v>0.82203430253946153</v>
      </c>
      <c r="M33" s="1770"/>
      <c r="N33" s="1780"/>
      <c r="O33" s="1772"/>
      <c r="P33" s="1895">
        <v>35698.279199999997</v>
      </c>
      <c r="Q33" s="1771">
        <f t="shared" si="2"/>
        <v>-101839.85888900002</v>
      </c>
      <c r="R33" s="1901">
        <f t="shared" si="5"/>
        <v>2.2271000314503908E-2</v>
      </c>
    </row>
    <row r="34" spans="1:18" ht="15.6" customHeight="1">
      <c r="A34" s="1801"/>
      <c r="B34" s="1807" t="s">
        <v>1327</v>
      </c>
      <c r="C34" s="1803">
        <f>SUM('VAL AMP4 MM'!I154:I200)</f>
        <v>25445.080000000005</v>
      </c>
      <c r="D34" s="1803">
        <f>SUM('VAL AMP4 MM'!K154:K200)</f>
        <v>9757.23</v>
      </c>
      <c r="E34" s="1804">
        <f t="shared" si="8"/>
        <v>0.38346234321133976</v>
      </c>
      <c r="F34" s="1803">
        <f>SUM('VAL AMP4 MM'!M154:M200)</f>
        <v>130.95000000000002</v>
      </c>
      <c r="G34" s="1804">
        <f t="shared" si="9"/>
        <v>5.1463780031345933E-3</v>
      </c>
      <c r="H34" s="1803">
        <f>SUM('VAL AMP4 MM'!O154:O200)</f>
        <v>9888.1799999999985</v>
      </c>
      <c r="I34" s="1804">
        <f t="shared" si="10"/>
        <v>0.38860872121447432</v>
      </c>
      <c r="J34" s="1803">
        <f>SUM('VAL AMP4 MM'!R154:R200)</f>
        <v>15556.9</v>
      </c>
      <c r="K34" s="1804">
        <f t="shared" si="12"/>
        <v>0.61139127878552535</v>
      </c>
      <c r="M34" s="1770"/>
      <c r="N34" s="1780"/>
      <c r="O34" s="1772"/>
      <c r="P34" s="1895">
        <v>0</v>
      </c>
      <c r="Q34" s="1771">
        <f t="shared" si="2"/>
        <v>-9757.23</v>
      </c>
      <c r="R34" s="1901">
        <f t="shared" si="5"/>
        <v>0</v>
      </c>
    </row>
    <row r="35" spans="1:18" ht="15.6" customHeight="1">
      <c r="A35" s="1801"/>
      <c r="B35" s="1802" t="s">
        <v>1383</v>
      </c>
      <c r="C35" s="1803">
        <f>SUM('VAL AMP4 MM'!I203:I257)</f>
        <v>252857.65</v>
      </c>
      <c r="D35" s="1803">
        <f>SUM('VAL AMP4 MM'!K203:K257)</f>
        <v>56988.456599999998</v>
      </c>
      <c r="E35" s="1804">
        <f t="shared" si="8"/>
        <v>0.22537762492058278</v>
      </c>
      <c r="F35" s="1803">
        <f>SUM('VAL AMP4 MM'!M203:M257)</f>
        <v>0</v>
      </c>
      <c r="G35" s="1804">
        <f t="shared" si="9"/>
        <v>0</v>
      </c>
      <c r="H35" s="1803">
        <f>SUM('VAL AMP4 MM'!O203:O257)</f>
        <v>56988.456599999998</v>
      </c>
      <c r="I35" s="1804">
        <f t="shared" si="10"/>
        <v>0.22537762492058278</v>
      </c>
      <c r="J35" s="1803">
        <f>SUM('VAL AMP4 MM'!R203:R257)</f>
        <v>195869.18999999997</v>
      </c>
      <c r="K35" s="1804">
        <f t="shared" si="12"/>
        <v>0.77462236163311637</v>
      </c>
      <c r="M35" s="1770"/>
      <c r="N35" s="1780"/>
      <c r="O35" s="1772"/>
      <c r="P35" s="1895">
        <v>0</v>
      </c>
      <c r="Q35" s="1771">
        <f t="shared" si="2"/>
        <v>-56988.456599999998</v>
      </c>
      <c r="R35" s="1901">
        <f t="shared" si="5"/>
        <v>-3.4000000159721822E-3</v>
      </c>
    </row>
    <row r="36" spans="1:18" s="1764" customFormat="1" ht="15.6" customHeight="1">
      <c r="A36" s="1796">
        <v>4.2</v>
      </c>
      <c r="B36" s="1797" t="s">
        <v>4248</v>
      </c>
      <c r="C36" s="1798">
        <f>SUM(C37:C38)</f>
        <v>2917415.5299999993</v>
      </c>
      <c r="D36" s="1798">
        <f>SUM(D37:D38)</f>
        <v>643367.03007450001</v>
      </c>
      <c r="E36" s="1799">
        <f t="shared" si="8"/>
        <v>0.2205263609035838</v>
      </c>
      <c r="F36" s="1798">
        <f>SUM(F37:F38)</f>
        <v>172227.28873820006</v>
      </c>
      <c r="G36" s="1799">
        <f t="shared" si="9"/>
        <v>5.9034198922702008E-2</v>
      </c>
      <c r="H36" s="1798">
        <f>SUM(H37:H38)</f>
        <v>815594.31881269999</v>
      </c>
      <c r="I36" s="1799">
        <f t="shared" si="10"/>
        <v>0.27956055982628575</v>
      </c>
      <c r="J36" s="1800">
        <f t="shared" si="11"/>
        <v>2101821.2111872993</v>
      </c>
      <c r="K36" s="1799">
        <f>+J36/$C$36</f>
        <v>0.7204394401737142</v>
      </c>
      <c r="L36" s="1808"/>
      <c r="M36" s="1806"/>
      <c r="N36" s="1773"/>
      <c r="O36" s="1772"/>
      <c r="P36" s="1895">
        <v>76777.606800000009</v>
      </c>
      <c r="Q36" s="1771">
        <f t="shared" si="2"/>
        <v>-566589.42327450006</v>
      </c>
      <c r="R36" s="1901">
        <f t="shared" si="5"/>
        <v>0</v>
      </c>
    </row>
    <row r="37" spans="1:18" s="1764" customFormat="1" ht="15.6" customHeight="1">
      <c r="A37" s="1809"/>
      <c r="B37" s="1802" t="s">
        <v>2897</v>
      </c>
      <c r="C37" s="1803">
        <f>SUM('VAL AMP 4 PN'!I18:I150)</f>
        <v>1385311.6099999994</v>
      </c>
      <c r="D37" s="1803">
        <f>SUM('VAL AMP 4 PN'!K18:K150)</f>
        <v>132419.1532</v>
      </c>
      <c r="E37" s="1810"/>
      <c r="F37" s="1803">
        <f>SUM('VAL AMP 4 PN'!M18:M150)</f>
        <v>0</v>
      </c>
      <c r="G37" s="1804">
        <f t="shared" si="9"/>
        <v>0</v>
      </c>
      <c r="H37" s="1803">
        <f>SUM('VAL AMP 4 PN'!O18:O150)</f>
        <v>132419.1532</v>
      </c>
      <c r="I37" s="1804">
        <f t="shared" si="10"/>
        <v>9.5587990632663544E-2</v>
      </c>
      <c r="J37" s="1803">
        <f>SUM('VAL AMP 4 PN'!R18:R150)</f>
        <v>1252892.46</v>
      </c>
      <c r="K37" s="1804">
        <f t="shared" si="12"/>
        <v>0.90441201167728646</v>
      </c>
      <c r="L37" s="1808"/>
      <c r="M37" s="1806"/>
      <c r="N37" s="1773"/>
      <c r="O37" s="1772"/>
      <c r="P37" s="1895">
        <v>76777.606800000009</v>
      </c>
      <c r="Q37" s="1771">
        <f t="shared" si="2"/>
        <v>-55641.546399999992</v>
      </c>
      <c r="R37" s="1901">
        <f t="shared" si="5"/>
        <v>3.2000006176531315E-3</v>
      </c>
    </row>
    <row r="38" spans="1:18" s="1764" customFormat="1" ht="15.6" customHeight="1">
      <c r="A38" s="1809"/>
      <c r="B38" s="1807" t="s">
        <v>1234</v>
      </c>
      <c r="C38" s="1803">
        <f>SUM('VAL AMP 4 PN'!I152:I190)</f>
        <v>1532103.92</v>
      </c>
      <c r="D38" s="1803">
        <f>SUM('VAL AMP 4 PN'!K153:K190)</f>
        <v>510947.87687450001</v>
      </c>
      <c r="E38" s="1804"/>
      <c r="F38" s="1803">
        <f>SUM('VAL AMP 4 PN'!M153:M190)</f>
        <v>172227.28873820006</v>
      </c>
      <c r="G38" s="1804">
        <f t="shared" si="9"/>
        <v>0.11241227601467142</v>
      </c>
      <c r="H38" s="1803">
        <f>SUM('VAL AMP 4 PN'!O153:O190)</f>
        <v>683175.16561270005</v>
      </c>
      <c r="I38" s="1804">
        <f t="shared" si="10"/>
        <v>0.44590654504212746</v>
      </c>
      <c r="J38" s="1803">
        <f>SUM('VAL AMP 4 PN'!R153:R190)</f>
        <v>848928.75</v>
      </c>
      <c r="K38" s="1804">
        <f t="shared" si="12"/>
        <v>0.55409345209429395</v>
      </c>
      <c r="L38" s="1808"/>
      <c r="M38" s="1806"/>
      <c r="N38" s="1773"/>
      <c r="O38" s="1772"/>
      <c r="P38" s="1895">
        <v>0</v>
      </c>
      <c r="Q38" s="1771">
        <f t="shared" si="2"/>
        <v>-510947.87687450001</v>
      </c>
      <c r="R38" s="1901">
        <f t="shared" si="5"/>
        <v>-4.3872999958693981E-3</v>
      </c>
    </row>
    <row r="39" spans="1:18" s="1764" customFormat="1" ht="15" customHeight="1">
      <c r="A39" s="1811">
        <v>4.3</v>
      </c>
      <c r="B39" s="1812" t="s">
        <v>4250</v>
      </c>
      <c r="C39" s="1813">
        <v>-2258509.8199999998</v>
      </c>
      <c r="D39" s="1813">
        <f>+'[36]Val(F3-5)DEDUC MP2'!H31</f>
        <v>0</v>
      </c>
      <c r="E39" s="1814">
        <f>+D39/C39</f>
        <v>0</v>
      </c>
      <c r="F39" s="1815">
        <f>+'[36]Val(F3-5)DEDUC MP2'!K31</f>
        <v>0</v>
      </c>
      <c r="G39" s="1814">
        <f t="shared" si="9"/>
        <v>0</v>
      </c>
      <c r="H39" s="1815">
        <f>+D39+F39</f>
        <v>0</v>
      </c>
      <c r="I39" s="1814">
        <f t="shared" si="10"/>
        <v>0</v>
      </c>
      <c r="J39" s="1815">
        <f>+C39-H39</f>
        <v>-2258509.8199999998</v>
      </c>
      <c r="K39" s="1814">
        <f>+J39/$C$39</f>
        <v>1</v>
      </c>
      <c r="M39" s="1806"/>
      <c r="N39" s="1806"/>
      <c r="O39" s="1772"/>
      <c r="P39" s="1895">
        <v>0</v>
      </c>
      <c r="Q39" s="1771">
        <f t="shared" si="2"/>
        <v>0</v>
      </c>
      <c r="R39" s="1901">
        <f t="shared" si="5"/>
        <v>0</v>
      </c>
    </row>
    <row r="40" spans="1:18" ht="4.7" customHeight="1">
      <c r="A40" s="1816"/>
      <c r="B40" s="1817"/>
      <c r="C40" s="1818"/>
      <c r="D40" s="1818"/>
      <c r="E40" s="1819"/>
      <c r="F40" s="1820"/>
      <c r="G40" s="1819"/>
      <c r="H40" s="1820"/>
      <c r="I40" s="1819"/>
      <c r="J40" s="1820"/>
      <c r="K40" s="1819"/>
      <c r="M40" s="1770"/>
      <c r="N40" s="1821"/>
      <c r="P40" s="1895"/>
      <c r="Q40" s="1771">
        <f t="shared" si="2"/>
        <v>0</v>
      </c>
      <c r="R40" s="1901">
        <f t="shared" si="5"/>
        <v>0</v>
      </c>
    </row>
    <row r="41" spans="1:18">
      <c r="A41" s="2687" t="s">
        <v>4251</v>
      </c>
      <c r="B41" s="2687"/>
      <c r="C41" s="1822" t="e">
        <f>+C13+C26+C31+C36+C39+C23</f>
        <v>#REF!</v>
      </c>
      <c r="D41" s="1822" t="e">
        <f>+D13+D26+D31+D36+D39+D23</f>
        <v>#REF!</v>
      </c>
      <c r="E41" s="1823" t="e">
        <f>+D41/C41</f>
        <v>#REF!</v>
      </c>
      <c r="F41" s="1822" t="e">
        <f>+F13+F26+F31+F36+F39+F23</f>
        <v>#REF!</v>
      </c>
      <c r="G41" s="1823" t="e">
        <f>+F41/C41</f>
        <v>#REF!</v>
      </c>
      <c r="H41" s="1822" t="e">
        <f>+H13+H26+H31+H36+H39+H23</f>
        <v>#REF!</v>
      </c>
      <c r="I41" s="1823" t="e">
        <f>+H41/C41</f>
        <v>#REF!</v>
      </c>
      <c r="J41" s="1822" t="e">
        <f>+J13+J26+J31+J36+J39</f>
        <v>#REF!</v>
      </c>
      <c r="K41" s="1823" t="e">
        <f>+J41/C41</f>
        <v>#REF!</v>
      </c>
      <c r="L41" s="1771"/>
      <c r="M41" s="1824"/>
      <c r="N41" s="1824" t="e">
        <f>+J41+H41</f>
        <v>#REF!</v>
      </c>
      <c r="O41" s="1772"/>
      <c r="P41" s="1897">
        <v>8731190.7716186605</v>
      </c>
      <c r="Q41" s="1771" t="e">
        <f t="shared" si="2"/>
        <v>#REF!</v>
      </c>
      <c r="R41" s="1901" t="e">
        <f>+H41+J41-C41</f>
        <v>#REF!</v>
      </c>
    </row>
    <row r="42" spans="1:18">
      <c r="A42" s="1825"/>
      <c r="B42" s="1826"/>
      <c r="C42" s="1827"/>
      <c r="D42" s="1828"/>
      <c r="E42" s="1828"/>
      <c r="F42" s="1828"/>
      <c r="G42" s="1829"/>
      <c r="H42" s="1828"/>
      <c r="I42" s="1829"/>
      <c r="J42" s="1828"/>
      <c r="K42" s="1829"/>
      <c r="M42" s="1771"/>
      <c r="N42" s="1770" t="e">
        <f>+C41-N41</f>
        <v>#REF!</v>
      </c>
      <c r="O42" s="1772"/>
      <c r="R42" s="1901">
        <f>20.18-20.64</f>
        <v>-0.46000000000000085</v>
      </c>
    </row>
    <row r="43" spans="1:18" ht="19.350000000000001" hidden="1" customHeight="1">
      <c r="A43" s="2688" t="s">
        <v>4252</v>
      </c>
      <c r="B43" s="2688"/>
      <c r="C43" s="1830">
        <f>SUM(C44:C53)</f>
        <v>5594400.9700000007</v>
      </c>
      <c r="D43" s="1831">
        <f>SUM(D44:D53)</f>
        <v>2259810.2899510004</v>
      </c>
      <c r="E43" s="1832">
        <f>+D43/C43</f>
        <v>0.40394142323177096</v>
      </c>
      <c r="F43" s="1831">
        <f>SUM(F44:F53)</f>
        <v>82207.815900000001</v>
      </c>
      <c r="G43" s="1832">
        <f>+F43/C43</f>
        <v>1.4694659238914009E-2</v>
      </c>
      <c r="H43" s="1831">
        <f>SUM(H44:H53)</f>
        <v>2324294.2558510001</v>
      </c>
      <c r="I43" s="1832">
        <f>+H43/C43</f>
        <v>0.41546794166436013</v>
      </c>
      <c r="J43" s="1831">
        <f>SUM(J44:J53)</f>
        <v>3270106.7141489997</v>
      </c>
      <c r="K43" s="1833">
        <f>+J43/C43</f>
        <v>0.5845320583356397</v>
      </c>
      <c r="L43" s="1771"/>
      <c r="M43" s="1771"/>
      <c r="N43" s="1770" t="e">
        <f>+D41+F41</f>
        <v>#REF!</v>
      </c>
      <c r="O43" s="1771"/>
    </row>
    <row r="44" spans="1:18" ht="15.6" hidden="1" customHeight="1">
      <c r="A44" s="1834"/>
      <c r="B44" s="1835" t="s">
        <v>2829</v>
      </c>
      <c r="C44" s="1836">
        <v>281600</v>
      </c>
      <c r="D44" s="1837">
        <f>+'[37]VAL. PRINC'!R840</f>
        <v>0</v>
      </c>
      <c r="E44" s="1838">
        <f>+D44/C44</f>
        <v>0</v>
      </c>
      <c r="F44" s="1839">
        <f>+'[37]VAL. PRINC'!T840</f>
        <v>0</v>
      </c>
      <c r="G44" s="1838">
        <f>+F44/C44</f>
        <v>0</v>
      </c>
      <c r="H44" s="1840">
        <f>+'[37]VAL. PRINC'!V840</f>
        <v>0</v>
      </c>
      <c r="I44" s="1841">
        <f>+H44/C44</f>
        <v>0</v>
      </c>
      <c r="J44" s="1840">
        <f>+C44-H44</f>
        <v>281600</v>
      </c>
      <c r="K44" s="1838">
        <f>+J44/C44</f>
        <v>1</v>
      </c>
      <c r="L44" s="1771"/>
      <c r="M44" s="1771">
        <f>+J44+H44</f>
        <v>281600</v>
      </c>
      <c r="N44" s="1842">
        <f>+M44+M56+M59+M66</f>
        <v>592269.29378381593</v>
      </c>
      <c r="O44" s="1771"/>
    </row>
    <row r="45" spans="1:18" ht="15.6" hidden="1" customHeight="1">
      <c r="A45" s="1809"/>
      <c r="B45" s="1843" t="s">
        <v>2830</v>
      </c>
      <c r="C45" s="1844">
        <v>633159.44999999995</v>
      </c>
      <c r="D45" s="1837">
        <f>+'[37]VAL. PRINC'!R841</f>
        <v>633159.44999999995</v>
      </c>
      <c r="E45" s="1838">
        <f t="shared" ref="E45:E53" si="13">+D45/C45</f>
        <v>1</v>
      </c>
      <c r="F45" s="1839">
        <f>+'[37]VAL. PRINC'!T841</f>
        <v>0</v>
      </c>
      <c r="G45" s="1838">
        <f t="shared" ref="G45:G53" si="14">+F45/C45</f>
        <v>0</v>
      </c>
      <c r="H45" s="1840">
        <f>+'[37]VAL. PRINC'!V841</f>
        <v>633159.44999999995</v>
      </c>
      <c r="I45" s="1841">
        <f t="shared" ref="I45:I53" si="15">+H45/C45</f>
        <v>1</v>
      </c>
      <c r="J45" s="1840">
        <f t="shared" ref="J45:J53" si="16">+C45-H45</f>
        <v>0</v>
      </c>
      <c r="K45" s="1838">
        <f t="shared" ref="K45:K53" si="17">+J45/C45</f>
        <v>0</v>
      </c>
      <c r="M45" s="1771">
        <f t="shared" ref="M45:M53" si="18">+J45+H45</f>
        <v>633159.44999999995</v>
      </c>
      <c r="N45" s="1771">
        <f>+M49+M57+M67</f>
        <v>144639.03</v>
      </c>
      <c r="O45" s="1772"/>
    </row>
    <row r="46" spans="1:18" ht="15.6" hidden="1" customHeight="1">
      <c r="A46" s="1809"/>
      <c r="B46" s="1843" t="s">
        <v>256</v>
      </c>
      <c r="C46" s="1844">
        <v>1537902.87</v>
      </c>
      <c r="D46" s="1837">
        <f>+'[37]VAL. PRINC'!R842</f>
        <v>1089912.4699510001</v>
      </c>
      <c r="E46" s="1838">
        <f t="shared" si="13"/>
        <v>0.70870045905499868</v>
      </c>
      <c r="F46" s="1839">
        <f>+'[37]VAL. PRINC'!T842</f>
        <v>65284.065900000001</v>
      </c>
      <c r="G46" s="1838">
        <f t="shared" si="14"/>
        <v>4.2450057915556137E-2</v>
      </c>
      <c r="H46" s="1840">
        <f>+'[37]VAL. PRINC'!V842</f>
        <v>1155196.5358510001</v>
      </c>
      <c r="I46" s="1841">
        <f t="shared" si="15"/>
        <v>0.7511505169705549</v>
      </c>
      <c r="J46" s="1840">
        <f t="shared" si="16"/>
        <v>382706.334149</v>
      </c>
      <c r="K46" s="1838">
        <f t="shared" si="17"/>
        <v>0.24884948302944515</v>
      </c>
      <c r="M46" s="1771">
        <f t="shared" si="18"/>
        <v>1537902.87</v>
      </c>
      <c r="N46" s="1771">
        <f>+M48</f>
        <v>486143.77</v>
      </c>
      <c r="O46" s="1772"/>
    </row>
    <row r="47" spans="1:18" ht="15.6" hidden="1" customHeight="1">
      <c r="A47" s="1809"/>
      <c r="B47" s="1843" t="s">
        <v>361</v>
      </c>
      <c r="C47" s="1844">
        <v>134176.26999999999</v>
      </c>
      <c r="D47" s="1837">
        <f>+'[37]VAL. PRINC'!R843</f>
        <v>134406.38</v>
      </c>
      <c r="E47" s="1838">
        <f t="shared" si="13"/>
        <v>1.0017149828356386</v>
      </c>
      <c r="F47" s="1839">
        <f>+'[37]VAL. PRINC'!T843</f>
        <v>0</v>
      </c>
      <c r="G47" s="1838">
        <f t="shared" si="14"/>
        <v>0</v>
      </c>
      <c r="H47" s="1840">
        <f>+'[37]VAL. PRINC'!V843</f>
        <v>134406.38</v>
      </c>
      <c r="I47" s="1841">
        <f t="shared" si="15"/>
        <v>1.0017149828356386</v>
      </c>
      <c r="J47" s="1840">
        <f t="shared" si="16"/>
        <v>-230.11000000001513</v>
      </c>
      <c r="K47" s="1838">
        <f t="shared" si="17"/>
        <v>-1.7149828356386352E-3</v>
      </c>
      <c r="M47" s="1771">
        <f t="shared" si="18"/>
        <v>134176.26999999999</v>
      </c>
      <c r="N47" s="1771">
        <f>+M46</f>
        <v>1537902.87</v>
      </c>
      <c r="O47" s="1845"/>
    </row>
    <row r="48" spans="1:18" ht="15.6" hidden="1" customHeight="1">
      <c r="A48" s="1809"/>
      <c r="B48" s="1843" t="s">
        <v>1817</v>
      </c>
      <c r="C48" s="1844">
        <v>486143.77</v>
      </c>
      <c r="D48" s="1837">
        <f>+'[37]VAL. PRINC'!R844</f>
        <v>199392.45000000004</v>
      </c>
      <c r="E48" s="1838">
        <f t="shared" si="13"/>
        <v>0.41015119868758171</v>
      </c>
      <c r="F48" s="1839">
        <f>+'[37]VAL. PRINC'!T844</f>
        <v>15370</v>
      </c>
      <c r="G48" s="1838">
        <f t="shared" si="14"/>
        <v>3.1616161614083829E-2</v>
      </c>
      <c r="H48" s="1840">
        <f>+'[37]VAL. PRINC'!V844</f>
        <v>214762.45000000004</v>
      </c>
      <c r="I48" s="1841">
        <f t="shared" si="15"/>
        <v>0.44176736030166558</v>
      </c>
      <c r="J48" s="1840">
        <f t="shared" si="16"/>
        <v>271381.31999999995</v>
      </c>
      <c r="K48" s="1838">
        <f t="shared" si="17"/>
        <v>0.55823263969833437</v>
      </c>
      <c r="M48" s="1771">
        <f t="shared" si="18"/>
        <v>486143.77</v>
      </c>
      <c r="N48" s="1771">
        <f>+M45</f>
        <v>633159.44999999995</v>
      </c>
      <c r="O48" s="1772"/>
    </row>
    <row r="49" spans="1:15" ht="15.6" hidden="1" customHeight="1">
      <c r="A49" s="1809"/>
      <c r="B49" s="1843" t="s">
        <v>255</v>
      </c>
      <c r="C49" s="1844">
        <v>95831.08</v>
      </c>
      <c r="D49" s="1837">
        <f>+'[37]VAL. PRINC'!R845</f>
        <v>0</v>
      </c>
      <c r="E49" s="1838">
        <f t="shared" si="13"/>
        <v>0</v>
      </c>
      <c r="F49" s="1839">
        <f>+'[37]VAL. PRINC'!T845</f>
        <v>0</v>
      </c>
      <c r="G49" s="1838">
        <f t="shared" si="14"/>
        <v>0</v>
      </c>
      <c r="H49" s="1840">
        <f>+'[37]VAL. PRINC'!V845</f>
        <v>0</v>
      </c>
      <c r="I49" s="1841">
        <f t="shared" si="15"/>
        <v>0</v>
      </c>
      <c r="J49" s="1840">
        <f t="shared" si="16"/>
        <v>95831.08</v>
      </c>
      <c r="K49" s="1838">
        <f t="shared" si="17"/>
        <v>1</v>
      </c>
      <c r="M49" s="1771">
        <f t="shared" si="18"/>
        <v>95831.08</v>
      </c>
      <c r="N49" s="1771">
        <f>+M47</f>
        <v>134176.26999999999</v>
      </c>
      <c r="O49" s="1772"/>
    </row>
    <row r="50" spans="1:15" ht="15.6" hidden="1" customHeight="1">
      <c r="A50" s="1809"/>
      <c r="B50" s="1843" t="s">
        <v>60</v>
      </c>
      <c r="C50" s="1844">
        <v>185215.69</v>
      </c>
      <c r="D50" s="1837">
        <f>+'[37]VAL. PRINC'!R846</f>
        <v>185215.69</v>
      </c>
      <c r="E50" s="1838">
        <f t="shared" si="13"/>
        <v>1</v>
      </c>
      <c r="F50" s="1839">
        <f>+'[37]VAL. PRINC'!T846</f>
        <v>0</v>
      </c>
      <c r="G50" s="1838">
        <f t="shared" si="14"/>
        <v>0</v>
      </c>
      <c r="H50" s="1840">
        <f>+'[37]VAL. PRINC'!V846</f>
        <v>185215.69</v>
      </c>
      <c r="I50" s="1841">
        <f t="shared" si="15"/>
        <v>1</v>
      </c>
      <c r="J50" s="1840">
        <f t="shared" si="16"/>
        <v>0</v>
      </c>
      <c r="K50" s="1838">
        <f t="shared" si="17"/>
        <v>0</v>
      </c>
      <c r="M50" s="1771">
        <f t="shared" si="18"/>
        <v>185215.69</v>
      </c>
      <c r="N50" s="1771" t="e">
        <f>+M50+#REF!</f>
        <v>#REF!</v>
      </c>
      <c r="O50" s="1772"/>
    </row>
    <row r="51" spans="1:15" ht="15.6" hidden="1" customHeight="1">
      <c r="A51" s="1809"/>
      <c r="B51" s="1843" t="s">
        <v>2831</v>
      </c>
      <c r="C51" s="1844">
        <v>1946691</v>
      </c>
      <c r="D51" s="1846">
        <f>+'[37]VAL. PRINC'!R849</f>
        <v>0</v>
      </c>
      <c r="E51" s="1838">
        <f t="shared" si="13"/>
        <v>0</v>
      </c>
      <c r="F51" s="1839">
        <f>+'[37]VAL. PRINC'!T849</f>
        <v>0</v>
      </c>
      <c r="G51" s="1838">
        <f t="shared" si="14"/>
        <v>0</v>
      </c>
      <c r="H51" s="1845">
        <f>+'[37]VAL. PRINC'!T849</f>
        <v>0</v>
      </c>
      <c r="I51" s="1841">
        <f t="shared" si="15"/>
        <v>0</v>
      </c>
      <c r="J51" s="1840">
        <f t="shared" si="16"/>
        <v>1946691</v>
      </c>
      <c r="K51" s="1838">
        <f t="shared" si="17"/>
        <v>1</v>
      </c>
      <c r="M51" s="1771"/>
      <c r="N51" s="1771"/>
      <c r="O51" s="1772"/>
    </row>
    <row r="52" spans="1:15" ht="15.6" hidden="1" customHeight="1">
      <c r="A52" s="1809"/>
      <c r="B52" s="1847" t="s">
        <v>1815</v>
      </c>
      <c r="C52" s="1844">
        <v>203328.92</v>
      </c>
      <c r="D52" s="1846">
        <f>+'[37]VAL. PRINC'!R850</f>
        <v>0</v>
      </c>
      <c r="E52" s="1838">
        <f t="shared" si="13"/>
        <v>0</v>
      </c>
      <c r="F52" s="1839">
        <f>+'[37]VAL. PRINC'!T850</f>
        <v>0</v>
      </c>
      <c r="G52" s="1838">
        <f t="shared" si="14"/>
        <v>0</v>
      </c>
      <c r="H52" s="1845">
        <f>+'[37]VAL. PRINC'!T850</f>
        <v>0</v>
      </c>
      <c r="I52" s="1841">
        <f t="shared" si="15"/>
        <v>0</v>
      </c>
      <c r="J52" s="1840">
        <f t="shared" si="16"/>
        <v>203328.92</v>
      </c>
      <c r="K52" s="1838">
        <f t="shared" si="17"/>
        <v>1</v>
      </c>
      <c r="M52" s="1771">
        <f t="shared" si="18"/>
        <v>203328.92</v>
      </c>
      <c r="N52" s="1771">
        <f>+M53</f>
        <v>90351.92</v>
      </c>
      <c r="O52" s="1772"/>
    </row>
    <row r="53" spans="1:15" ht="15.6" hidden="1" customHeight="1">
      <c r="A53" s="1848"/>
      <c r="B53" s="1849" t="s">
        <v>1812</v>
      </c>
      <c r="C53" s="1850">
        <v>90351.92</v>
      </c>
      <c r="D53" s="1846">
        <f>+'[37]VAL. PRINC'!R851</f>
        <v>17723.849999999999</v>
      </c>
      <c r="E53" s="1838">
        <f t="shared" si="13"/>
        <v>0.19616461941262564</v>
      </c>
      <c r="F53" s="1839">
        <f>+'[37]VAL. PRINC'!T851</f>
        <v>1553.75</v>
      </c>
      <c r="G53" s="1838">
        <f t="shared" si="14"/>
        <v>1.7196646180844856E-2</v>
      </c>
      <c r="H53" s="1845">
        <f>+'[37]VAL. PRINC'!T851</f>
        <v>1553.75</v>
      </c>
      <c r="I53" s="1841">
        <f t="shared" si="15"/>
        <v>1.7196646180844856E-2</v>
      </c>
      <c r="J53" s="1840">
        <f t="shared" si="16"/>
        <v>88798.17</v>
      </c>
      <c r="K53" s="1838">
        <f t="shared" si="17"/>
        <v>0.98280335381915518</v>
      </c>
      <c r="M53" s="1771">
        <f t="shared" si="18"/>
        <v>90351.92</v>
      </c>
      <c r="N53" s="1771" t="e">
        <f>+M52+#REF!</f>
        <v>#REF!</v>
      </c>
      <c r="O53" s="1772"/>
    </row>
    <row r="54" spans="1:15" ht="15.6" hidden="1" customHeight="1">
      <c r="A54" s="2681" t="s">
        <v>4253</v>
      </c>
      <c r="B54" s="2681"/>
      <c r="C54" s="1851">
        <f>+C55+C58+C65</f>
        <v>359477.24378381588</v>
      </c>
      <c r="D54" s="1851">
        <f>+D55+D58+D65</f>
        <v>58567.01596963816</v>
      </c>
      <c r="E54" s="1832">
        <f>+D54/C54</f>
        <v>0.16292273567352561</v>
      </c>
      <c r="F54" s="1851">
        <f>+F55+F58+F65</f>
        <v>0</v>
      </c>
      <c r="G54" s="1832">
        <f>+F54/C54</f>
        <v>0</v>
      </c>
      <c r="H54" s="1851">
        <f>+H55+H58+H65</f>
        <v>58567.01596963816</v>
      </c>
      <c r="I54" s="1832">
        <f>+H54/C54</f>
        <v>0.16292273567352561</v>
      </c>
      <c r="J54" s="1851">
        <f>+J55+J58+J65</f>
        <v>300910.22781417769</v>
      </c>
      <c r="K54" s="1833">
        <f>+J54/C54</f>
        <v>0.83707726432647434</v>
      </c>
      <c r="N54" s="1770" t="e">
        <f>SUM(N44:N53)</f>
        <v>#REF!</v>
      </c>
      <c r="O54" s="1845"/>
    </row>
    <row r="55" spans="1:15" ht="15.6" hidden="1" customHeight="1">
      <c r="A55" s="1852"/>
      <c r="B55" s="1853" t="s">
        <v>4254</v>
      </c>
      <c r="C55" s="1854">
        <f>SUM(C56:C57)</f>
        <v>60115.31</v>
      </c>
      <c r="D55" s="1854">
        <f>SUM(D56:D57)</f>
        <v>55029.742846971581</v>
      </c>
      <c r="E55" s="1855"/>
      <c r="F55" s="1854">
        <f>SUM(F56:F57)</f>
        <v>0</v>
      </c>
      <c r="G55" s="1856"/>
      <c r="H55" s="1854">
        <f t="shared" ref="H55:H67" si="19">+F55+D55</f>
        <v>55029.742846971581</v>
      </c>
      <c r="I55" s="1856"/>
      <c r="J55" s="1854">
        <f>SUM(J56:J57)</f>
        <v>5085.5671530284235</v>
      </c>
      <c r="K55" s="1856"/>
      <c r="N55" s="1771" t="e">
        <f>+N54+C41</f>
        <v>#REF!</v>
      </c>
      <c r="O55" s="1772"/>
    </row>
    <row r="56" spans="1:15" ht="15.6" hidden="1" customHeight="1">
      <c r="A56" s="1809"/>
      <c r="B56" s="1847" t="s">
        <v>256</v>
      </c>
      <c r="C56" s="1845">
        <f>+'[37]VALORIZ. 3'!G61</f>
        <v>45201.65</v>
      </c>
      <c r="D56" s="1846">
        <f>+'[37]VALORIZ. 3'!I61</f>
        <v>41377.731825034469</v>
      </c>
      <c r="E56" s="1857">
        <f>+D56/C56</f>
        <v>0.91540312853699957</v>
      </c>
      <c r="F56" s="1846">
        <f>+'[37]VALORIZ. 3'!K61</f>
        <v>0</v>
      </c>
      <c r="G56" s="1857">
        <f>+F56/C56</f>
        <v>0</v>
      </c>
      <c r="H56" s="1845">
        <f t="shared" si="19"/>
        <v>41377.731825034469</v>
      </c>
      <c r="I56" s="1857">
        <f>+H56/C56</f>
        <v>0.91540312853699957</v>
      </c>
      <c r="J56" s="1845">
        <f>+C56-H56</f>
        <v>3823.9181749655327</v>
      </c>
      <c r="K56" s="1779">
        <f>+J56/C56</f>
        <v>8.4596871463000406E-2</v>
      </c>
      <c r="M56" s="1771">
        <f t="shared" ref="M56:M57" si="20">+J56+H56</f>
        <v>45201.65</v>
      </c>
      <c r="O56" s="1772"/>
    </row>
    <row r="57" spans="1:15" ht="15.6" hidden="1" customHeight="1">
      <c r="A57" s="1809"/>
      <c r="B57" s="1847" t="s">
        <v>1817</v>
      </c>
      <c r="C57" s="1845">
        <f>+'[37]VALORIZ. 3'!G62</f>
        <v>14913.66</v>
      </c>
      <c r="D57" s="1846">
        <f>+'[37]VALORIZ. 3'!I62</f>
        <v>13652.011021937109</v>
      </c>
      <c r="E57" s="1857">
        <f>+D57/C57</f>
        <v>0.91540312853699957</v>
      </c>
      <c r="F57" s="1846">
        <f>+'[37]VALORIZ. 3'!K62</f>
        <v>0</v>
      </c>
      <c r="G57" s="1857">
        <f>+F57/C57</f>
        <v>0</v>
      </c>
      <c r="H57" s="1845">
        <f t="shared" si="19"/>
        <v>13652.011021937109</v>
      </c>
      <c r="I57" s="1857">
        <f>+H57/C57</f>
        <v>0.91540312853699957</v>
      </c>
      <c r="J57" s="1845">
        <f t="shared" ref="J57" si="21">+C57-H57</f>
        <v>1261.6489780628908</v>
      </c>
      <c r="K57" s="1779">
        <f>+J57/C57</f>
        <v>8.459687146300042E-2</v>
      </c>
      <c r="M57" s="1771">
        <f t="shared" si="20"/>
        <v>14913.66</v>
      </c>
      <c r="O57" s="1772"/>
    </row>
    <row r="58" spans="1:15" ht="15.6" hidden="1" customHeight="1">
      <c r="A58" s="1809"/>
      <c r="B58" s="1853" t="s">
        <v>4255</v>
      </c>
      <c r="C58" s="1858">
        <f>+C59</f>
        <v>179125.35378381587</v>
      </c>
      <c r="D58" s="1858">
        <f>+D59</f>
        <v>3537.2731226665815</v>
      </c>
      <c r="E58" s="1859"/>
      <c r="F58" s="1858">
        <f>+F59</f>
        <v>0</v>
      </c>
      <c r="G58" s="1860"/>
      <c r="H58" s="1858">
        <f>+H59</f>
        <v>3537.2731226665815</v>
      </c>
      <c r="I58" s="1860"/>
      <c r="J58" s="1858">
        <f>+J59</f>
        <v>175588.08066114929</v>
      </c>
      <c r="K58" s="1860"/>
      <c r="O58" s="1845"/>
    </row>
    <row r="59" spans="1:15" ht="15.6" hidden="1" customHeight="1">
      <c r="A59" s="1809"/>
      <c r="B59" s="1861" t="s">
        <v>4256</v>
      </c>
      <c r="C59" s="1862">
        <f>SUM(C60:C62)</f>
        <v>179125.35378381587</v>
      </c>
      <c r="D59" s="1863">
        <f>SUM(D60:D62)</f>
        <v>3537.2731226665815</v>
      </c>
      <c r="E59" s="1859"/>
      <c r="F59" s="1839">
        <v>0</v>
      </c>
      <c r="G59" s="1860"/>
      <c r="H59" s="1845">
        <f t="shared" si="19"/>
        <v>3537.2731226665815</v>
      </c>
      <c r="I59" s="1860"/>
      <c r="J59" s="1845">
        <f t="shared" ref="J59" si="22">+C59-H59</f>
        <v>175588.08066114929</v>
      </c>
      <c r="K59" s="1860"/>
      <c r="M59" s="1771">
        <f t="shared" ref="M59" si="23">+J59+H59</f>
        <v>179125.35378381587</v>
      </c>
      <c r="O59" s="1772"/>
    </row>
    <row r="60" spans="1:15" ht="15.6" hidden="1" customHeight="1">
      <c r="A60" s="1809"/>
      <c r="B60" s="1847" t="s">
        <v>256</v>
      </c>
      <c r="C60" s="1845">
        <f>+'[37]VAL 5 AMP4 MM'!G259</f>
        <v>141516.06656581606</v>
      </c>
      <c r="D60" s="1839">
        <f>+'[37]VAL 5 AMP4 MM'!K259</f>
        <v>2794.5847313881704</v>
      </c>
      <c r="E60" s="1857">
        <f t="shared" ref="E60:E61" si="24">+D60/C60</f>
        <v>1.974747319653963E-2</v>
      </c>
      <c r="F60" s="1839">
        <f>+'[37]VAL 5 AMP4 MM'!K259</f>
        <v>2794.5847313881704</v>
      </c>
      <c r="G60" s="1857">
        <f>+F60/C60</f>
        <v>1.974747319653963E-2</v>
      </c>
      <c r="H60" s="1845"/>
      <c r="I60" s="1860"/>
      <c r="J60" s="1845"/>
      <c r="K60" s="1860"/>
      <c r="M60" s="1771"/>
      <c r="O60" s="1772"/>
    </row>
    <row r="61" spans="1:15" ht="15.6" hidden="1" customHeight="1">
      <c r="A61" s="1809"/>
      <c r="B61" s="1847" t="s">
        <v>1817</v>
      </c>
      <c r="C61" s="1845">
        <f>+'[37]VAL 5 AMP4 MM'!G260</f>
        <v>32001.683836142925</v>
      </c>
      <c r="D61" s="1839">
        <f>+'[37]VAL 5 AMP4 MM'!K260</f>
        <v>631.95239379836789</v>
      </c>
      <c r="E61" s="1857">
        <f t="shared" si="24"/>
        <v>1.974747319653963E-2</v>
      </c>
      <c r="F61" s="1839">
        <f>+'[37]VAL 5 AMP4 MM'!K260</f>
        <v>631.95239379836789</v>
      </c>
      <c r="G61" s="1857">
        <f t="shared" ref="G61:G62" si="25">+F61/C61</f>
        <v>1.974747319653963E-2</v>
      </c>
      <c r="H61" s="1845"/>
      <c r="I61" s="1860"/>
      <c r="J61" s="1845"/>
      <c r="K61" s="1860"/>
      <c r="M61" s="1771"/>
      <c r="O61" s="1772"/>
    </row>
    <row r="62" spans="1:15" ht="15.6" hidden="1" customHeight="1">
      <c r="A62" s="1809"/>
      <c r="B62" s="1847" t="s">
        <v>3918</v>
      </c>
      <c r="C62" s="1845">
        <f>+'[37]VAL 5 AMP4 MM'!G261</f>
        <v>5607.6033818568603</v>
      </c>
      <c r="D62" s="1839">
        <f>+'[37]VAL 5 AMP4 MM'!K261</f>
        <v>110.73599748004334</v>
      </c>
      <c r="E62" s="1857">
        <f>+D62/C62</f>
        <v>1.974747319653963E-2</v>
      </c>
      <c r="F62" s="1839">
        <f>+'[37]VAL 5 AMP4 MM'!K261</f>
        <v>110.73599748004334</v>
      </c>
      <c r="G62" s="1857">
        <f t="shared" si="25"/>
        <v>1.974747319653963E-2</v>
      </c>
      <c r="H62" s="1845"/>
      <c r="I62" s="1860"/>
      <c r="J62" s="1845"/>
      <c r="K62" s="1860"/>
      <c r="M62" s="1771"/>
      <c r="O62" s="1772"/>
    </row>
    <row r="63" spans="1:15" ht="15.6" hidden="1" customHeight="1">
      <c r="A63" s="1809"/>
      <c r="B63" s="1847"/>
      <c r="C63" s="1845"/>
      <c r="D63" s="1839"/>
      <c r="E63" s="1859"/>
      <c r="F63" s="1839"/>
      <c r="G63" s="1860"/>
      <c r="H63" s="1845"/>
      <c r="I63" s="1860"/>
      <c r="J63" s="1845"/>
      <c r="K63" s="1860"/>
      <c r="M63" s="1771"/>
      <c r="O63" s="1772"/>
    </row>
    <row r="64" spans="1:15" ht="15.6" hidden="1" customHeight="1">
      <c r="A64" s="1809"/>
      <c r="B64" s="1847"/>
      <c r="C64" s="1845"/>
      <c r="D64" s="1839"/>
      <c r="E64" s="1859"/>
      <c r="F64" s="1839"/>
      <c r="G64" s="1860"/>
      <c r="H64" s="1845"/>
      <c r="I64" s="1860"/>
      <c r="J64" s="1845"/>
      <c r="K64" s="1860"/>
      <c r="M64" s="1771"/>
      <c r="O64" s="1772"/>
    </row>
    <row r="65" spans="1:15" ht="15.6" hidden="1" customHeight="1">
      <c r="A65" s="1809"/>
      <c r="B65" s="1864" t="s">
        <v>4257</v>
      </c>
      <c r="C65" s="1858">
        <f>SUM(C66:C67)</f>
        <v>120236.57999999999</v>
      </c>
      <c r="D65" s="1858">
        <f>SUM(D66:D67)</f>
        <v>0</v>
      </c>
      <c r="E65" s="1859"/>
      <c r="F65" s="1858">
        <f>SUM(F66:F67)</f>
        <v>0</v>
      </c>
      <c r="G65" s="1860"/>
      <c r="H65" s="1858">
        <f>SUM(H66:H67)</f>
        <v>0</v>
      </c>
      <c r="I65" s="1860"/>
      <c r="J65" s="1858">
        <f>SUM(J66:J67)</f>
        <v>120236.57999999999</v>
      </c>
      <c r="K65" s="1860"/>
      <c r="O65" s="1772"/>
    </row>
    <row r="66" spans="1:15" ht="15.6" hidden="1" customHeight="1">
      <c r="A66" s="1809"/>
      <c r="B66" s="1847" t="s">
        <v>256</v>
      </c>
      <c r="C66" s="1845">
        <v>86342.29</v>
      </c>
      <c r="D66" s="1839">
        <v>0</v>
      </c>
      <c r="E66" s="1859"/>
      <c r="F66" s="1839">
        <v>0</v>
      </c>
      <c r="G66" s="1860"/>
      <c r="H66" s="1845">
        <f t="shared" si="19"/>
        <v>0</v>
      </c>
      <c r="I66" s="1860"/>
      <c r="J66" s="1845">
        <f t="shared" ref="J66:J67" si="26">+C66-H66</f>
        <v>86342.29</v>
      </c>
      <c r="K66" s="1860"/>
      <c r="M66" s="1771">
        <f t="shared" ref="M66:M67" si="27">+J66+H66</f>
        <v>86342.29</v>
      </c>
      <c r="O66" s="1772"/>
    </row>
    <row r="67" spans="1:15" ht="15.6" hidden="1" customHeight="1">
      <c r="A67" s="1865"/>
      <c r="B67" s="1866" t="s">
        <v>1817</v>
      </c>
      <c r="C67" s="1867">
        <v>33894.29</v>
      </c>
      <c r="D67" s="1839">
        <v>0</v>
      </c>
      <c r="E67" s="1868"/>
      <c r="F67" s="1839">
        <v>0</v>
      </c>
      <c r="G67" s="1869"/>
      <c r="H67" s="1867">
        <f t="shared" si="19"/>
        <v>0</v>
      </c>
      <c r="I67" s="1869"/>
      <c r="J67" s="1867">
        <f t="shared" si="26"/>
        <v>33894.29</v>
      </c>
      <c r="K67" s="1869"/>
      <c r="M67" s="1771">
        <f t="shared" si="27"/>
        <v>33894.29</v>
      </c>
      <c r="O67" s="1772"/>
    </row>
    <row r="68" spans="1:15" ht="15.6" hidden="1" customHeight="1">
      <c r="A68" s="2682" t="s">
        <v>4258</v>
      </c>
      <c r="B68" s="2682"/>
      <c r="C68" s="1870">
        <f>+C43+C54</f>
        <v>5953878.2137838164</v>
      </c>
      <c r="D68" s="1870">
        <f>+D43+D54</f>
        <v>2318377.3059206386</v>
      </c>
      <c r="E68" s="1832">
        <f>+D68/C68</f>
        <v>0.38938944040765999</v>
      </c>
      <c r="F68" s="1870">
        <f>+F43+F54</f>
        <v>82207.815900000001</v>
      </c>
      <c r="G68" s="1832">
        <f>+F68/C68</f>
        <v>1.3807439948919477E-2</v>
      </c>
      <c r="H68" s="1870">
        <f>+H43+H54</f>
        <v>2382861.2718206383</v>
      </c>
      <c r="I68" s="1832">
        <f>+H68/C68</f>
        <v>0.40022002235519011</v>
      </c>
      <c r="J68" s="1870">
        <f>+J43+J54</f>
        <v>3571016.9419631772</v>
      </c>
      <c r="K68" s="1833">
        <f>+J68/C68</f>
        <v>0.59977997764480973</v>
      </c>
      <c r="O68" s="1772"/>
    </row>
    <row r="69" spans="1:15" ht="9.6" hidden="1" customHeight="1">
      <c r="A69" s="1871"/>
      <c r="B69" s="1872"/>
      <c r="C69" s="1873"/>
      <c r="D69" s="1874"/>
      <c r="E69" s="1875"/>
      <c r="F69" s="1874"/>
      <c r="G69" s="1876"/>
      <c r="H69" s="1874"/>
      <c r="I69" s="1876"/>
      <c r="J69" s="1874"/>
      <c r="K69" s="1876"/>
      <c r="O69" s="1772"/>
    </row>
    <row r="70" spans="1:15" ht="16.7" hidden="1" customHeight="1">
      <c r="A70" s="2683" t="s">
        <v>4259</v>
      </c>
      <c r="B70" s="2683"/>
      <c r="C70" s="1877" t="e">
        <f>+C68+C41</f>
        <v>#REF!</v>
      </c>
      <c r="D70" s="1877" t="e">
        <f>+D68+D41</f>
        <v>#REF!</v>
      </c>
      <c r="E70" s="1878" t="e">
        <f>+D70/C70</f>
        <v>#REF!</v>
      </c>
      <c r="F70" s="1877" t="e">
        <f>+F68+F41</f>
        <v>#REF!</v>
      </c>
      <c r="G70" s="1879" t="e">
        <f>+F70/C70</f>
        <v>#REF!</v>
      </c>
      <c r="H70" s="1877" t="e">
        <f>+H68+H41</f>
        <v>#REF!</v>
      </c>
      <c r="I70" s="1879" t="e">
        <f>+H70/C70</f>
        <v>#REF!</v>
      </c>
      <c r="J70" s="1877" t="e">
        <f>+J68+J41</f>
        <v>#REF!</v>
      </c>
      <c r="K70" s="1879" t="e">
        <f>+J70/C70</f>
        <v>#REF!</v>
      </c>
      <c r="O70" s="1772"/>
    </row>
    <row r="71" spans="1:15" ht="12" hidden="1" customHeight="1">
      <c r="A71" s="1880"/>
      <c r="B71" s="1880"/>
      <c r="C71" s="1880"/>
      <c r="D71" s="1881"/>
      <c r="E71" s="1881"/>
      <c r="F71" s="1881"/>
      <c r="G71" s="1882"/>
      <c r="H71" s="1881"/>
      <c r="I71" s="1882"/>
      <c r="J71" s="1881"/>
      <c r="K71" s="1882"/>
      <c r="O71" s="1772"/>
    </row>
    <row r="72" spans="1:15" hidden="1"/>
    <row r="73" spans="1:15">
      <c r="C73" s="1770">
        <f>+C54+C43</f>
        <v>5953878.2137838164</v>
      </c>
      <c r="J73" s="1884" t="e">
        <f>+J70+H70</f>
        <v>#REF!</v>
      </c>
    </row>
    <row r="74" spans="1:15">
      <c r="F74" s="2006" t="e">
        <f>+F13+F21</f>
        <v>#REF!</v>
      </c>
      <c r="G74" s="1751">
        <v>229164.22</v>
      </c>
      <c r="H74" s="1823" t="e">
        <f>+G74/F74</f>
        <v>#REF!</v>
      </c>
      <c r="J74" s="1884">
        <f>+J68+H68</f>
        <v>5953878.2137838155</v>
      </c>
    </row>
    <row r="76" spans="1:15">
      <c r="C76" s="1822" t="e">
        <f>+C21+C13</f>
        <v>#REF!</v>
      </c>
      <c r="D76" s="1771" t="e">
        <f>+D41+F41</f>
        <v>#REF!</v>
      </c>
      <c r="F76" s="2006">
        <v>550000</v>
      </c>
      <c r="G76" s="2006">
        <f>+G74*0.6</f>
        <v>137498.53200000001</v>
      </c>
      <c r="H76" s="2006"/>
    </row>
    <row r="77" spans="1:15">
      <c r="C77" s="1822"/>
      <c r="D77" s="1771" t="e">
        <f>+D76+J41</f>
        <v>#REF!</v>
      </c>
      <c r="F77" s="2006" t="e">
        <f>+F76-F41</f>
        <v>#REF!</v>
      </c>
      <c r="G77" s="2006">
        <f>+G76/0.4</f>
        <v>343746.33</v>
      </c>
    </row>
    <row r="78" spans="1:15">
      <c r="C78" s="1822"/>
      <c r="F78" s="2006" t="e">
        <f>+F41*0.4</f>
        <v>#REF!</v>
      </c>
      <c r="H78" s="2006"/>
    </row>
    <row r="79" spans="1:15">
      <c r="C79" s="1822">
        <f>+C31+C36+C26</f>
        <v>6938919.7000000002</v>
      </c>
      <c r="H79" s="2006">
        <f>+G74*1.6</f>
        <v>366662.75200000004</v>
      </c>
    </row>
    <row r="80" spans="1:15">
      <c r="C80" s="1822"/>
      <c r="F80" s="1755">
        <v>11114.7</v>
      </c>
      <c r="H80" s="2006">
        <f>+H79+G74</f>
        <v>595826.97200000007</v>
      </c>
      <c r="I80" s="1751">
        <f>+H80*0.4</f>
        <v>238330.78880000004</v>
      </c>
    </row>
    <row r="81" spans="3:9">
      <c r="C81" s="1822">
        <f>+'[38]valorizado HASTA SETIEMBRE 2021'!$F$887</f>
        <v>21937862.799199998</v>
      </c>
      <c r="F81" s="2006" t="e">
        <f>+F80+F41</f>
        <v>#REF!</v>
      </c>
    </row>
    <row r="82" spans="3:9">
      <c r="C82" s="1822" t="e">
        <f>+C81-C41</f>
        <v>#REF!</v>
      </c>
    </row>
    <row r="83" spans="3:9">
      <c r="I83" s="1771" t="e">
        <f>+F41-60000</f>
        <v>#REF!</v>
      </c>
    </row>
    <row r="84" spans="3:9">
      <c r="F84" s="2006">
        <f>+'[39]RESUMEN GENERAL'!$F$41</f>
        <v>497223.53694383334</v>
      </c>
    </row>
    <row r="85" spans="3:9">
      <c r="F85" s="2006" t="e">
        <f>+F41</f>
        <v>#REF!</v>
      </c>
    </row>
    <row r="86" spans="3:9">
      <c r="F86" s="2006" t="e">
        <f>+F84-F85</f>
        <v>#REF!</v>
      </c>
    </row>
  </sheetData>
  <mergeCells count="18">
    <mergeCell ref="A1:K1"/>
    <mergeCell ref="A2:K2"/>
    <mergeCell ref="A3:K3"/>
    <mergeCell ref="A4:A5"/>
    <mergeCell ref="B4:I5"/>
    <mergeCell ref="A54:B54"/>
    <mergeCell ref="A68:B68"/>
    <mergeCell ref="A70:B70"/>
    <mergeCell ref="J10:K11"/>
    <mergeCell ref="D11:E11"/>
    <mergeCell ref="F11:G11"/>
    <mergeCell ref="H11:I11"/>
    <mergeCell ref="A41:B41"/>
    <mergeCell ref="A43:B43"/>
    <mergeCell ref="A10:A12"/>
    <mergeCell ref="B10:B12"/>
    <mergeCell ref="C10:C12"/>
    <mergeCell ref="D10:I10"/>
  </mergeCells>
  <printOptions horizontalCentered="1"/>
  <pageMargins left="0.17" right="0.11811023622047245" top="0.59055118110236227" bottom="0.41" header="0.31496062992125984" footer="0.31496062992125984"/>
  <pageSetup paperSize="9" scale="83"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pageSetUpPr fitToPage="1"/>
  </sheetPr>
  <dimension ref="A1:BC130"/>
  <sheetViews>
    <sheetView view="pageBreakPreview" topLeftCell="A82" zoomScale="85" zoomScaleNormal="40" zoomScaleSheetLayoutView="85" workbookViewId="0">
      <selection activeCell="H121" sqref="H121"/>
    </sheetView>
  </sheetViews>
  <sheetFormatPr baseColWidth="10" defaultColWidth="6.5703125" defaultRowHeight="12.75"/>
  <cols>
    <col min="1" max="1" width="11" style="263" customWidth="1"/>
    <col min="2" max="2" width="15" style="263" customWidth="1"/>
    <col min="3" max="3" width="9.28515625" style="263" customWidth="1"/>
    <col min="4" max="4" width="9.140625" style="263" customWidth="1"/>
    <col min="5" max="5" width="8.140625" style="263" customWidth="1"/>
    <col min="6" max="6" width="13.5703125" style="263" customWidth="1"/>
    <col min="7" max="7" width="17.5703125" style="263" customWidth="1"/>
    <col min="8" max="8" width="14.42578125" style="263" bestFit="1" customWidth="1"/>
    <col min="9" max="9" width="13.140625" style="263" customWidth="1"/>
    <col min="10" max="10" width="8.42578125" style="263" customWidth="1"/>
    <col min="11" max="11" width="11.42578125" style="263" bestFit="1" customWidth="1"/>
    <col min="12" max="12" width="18.5703125" style="263" customWidth="1"/>
    <col min="13" max="13" width="12.5703125" style="263" customWidth="1"/>
    <col min="14" max="14" width="7.140625" style="263" customWidth="1"/>
    <col min="15" max="26" width="16.42578125" style="263" customWidth="1"/>
    <col min="27" max="40" width="12.5703125" style="263" customWidth="1"/>
    <col min="41" max="41" width="11.42578125" style="263" customWidth="1"/>
    <col min="42" max="42" width="11.5703125" style="263" bestFit="1" customWidth="1"/>
    <col min="43" max="43" width="13" style="263" customWidth="1"/>
    <col min="44" max="278" width="11.42578125" style="263" customWidth="1"/>
    <col min="279" max="279" width="2.5703125" style="263" customWidth="1"/>
    <col min="280" max="16384" width="6.5703125" style="263"/>
  </cols>
  <sheetData>
    <row r="1" spans="1:55" s="267" customFormat="1" ht="18.75">
      <c r="A1" s="1148"/>
      <c r="B1" s="2695" t="s">
        <v>4295</v>
      </c>
      <c r="C1" s="2695"/>
      <c r="D1" s="2695"/>
      <c r="E1" s="2695"/>
      <c r="F1" s="2695"/>
      <c r="G1" s="2695"/>
      <c r="H1" s="2695"/>
      <c r="I1" s="2695"/>
      <c r="J1" s="2695"/>
      <c r="K1" s="2695"/>
      <c r="L1" s="2695"/>
      <c r="M1" s="2695"/>
      <c r="N1" s="2695"/>
      <c r="O1" s="1953"/>
      <c r="P1" s="1953"/>
      <c r="Q1" s="1953"/>
      <c r="R1" s="1953"/>
      <c r="S1" s="1953"/>
      <c r="T1" s="1953"/>
      <c r="U1" s="1953"/>
      <c r="V1" s="1953"/>
      <c r="W1" s="1953"/>
      <c r="X1" s="1953"/>
      <c r="Y1" s="1953"/>
      <c r="Z1" s="1953"/>
      <c r="AA1" s="1953"/>
      <c r="AB1" s="1953"/>
      <c r="AC1" s="1953"/>
      <c r="AD1" s="1953"/>
      <c r="AE1" s="1953"/>
      <c r="AF1" s="1953"/>
      <c r="AG1" s="1953"/>
      <c r="AH1" s="1953"/>
      <c r="AI1" s="1953"/>
      <c r="AJ1" s="1953"/>
      <c r="AK1" s="1953"/>
      <c r="AL1" s="1953"/>
      <c r="AM1" s="1953"/>
      <c r="AN1" s="1953"/>
      <c r="AQ1" s="2695"/>
      <c r="AR1" s="2695"/>
      <c r="AS1" s="2695"/>
      <c r="AT1" s="2695"/>
      <c r="AU1" s="2695"/>
      <c r="AV1" s="2695"/>
      <c r="AW1" s="2695"/>
      <c r="AX1" s="2695"/>
      <c r="AY1" s="2695"/>
      <c r="AZ1" s="2695"/>
      <c r="BA1" s="2695"/>
      <c r="BB1" s="2695"/>
      <c r="BC1" s="2695"/>
    </row>
    <row r="2" spans="1:55" s="267" customFormat="1" ht="16.5">
      <c r="A2" s="1148"/>
      <c r="B2" s="2696" t="s">
        <v>4348</v>
      </c>
      <c r="C2" s="2697"/>
      <c r="D2" s="2697"/>
      <c r="E2" s="2697"/>
      <c r="F2" s="2697"/>
      <c r="G2" s="2697"/>
      <c r="H2" s="2697"/>
      <c r="I2" s="2697"/>
      <c r="J2" s="2697"/>
      <c r="K2" s="2697"/>
      <c r="L2" s="2697"/>
      <c r="M2" s="2697"/>
      <c r="N2" s="2697"/>
      <c r="O2" s="1954"/>
      <c r="P2" s="1954"/>
      <c r="Q2" s="1954"/>
      <c r="R2" s="1954"/>
      <c r="S2" s="1954"/>
      <c r="T2" s="1954"/>
      <c r="U2" s="1954"/>
      <c r="V2" s="1954"/>
      <c r="W2" s="1954"/>
      <c r="X2" s="1954"/>
      <c r="Y2" s="1954"/>
      <c r="Z2" s="1954"/>
      <c r="AA2" s="1954"/>
      <c r="AB2" s="1954"/>
      <c r="AC2" s="1954"/>
      <c r="AD2" s="1954"/>
      <c r="AE2" s="1954"/>
      <c r="AF2" s="1954"/>
      <c r="AG2" s="1954"/>
      <c r="AH2" s="1954"/>
      <c r="AI2" s="1954"/>
      <c r="AJ2" s="1954"/>
      <c r="AK2" s="1954"/>
      <c r="AL2" s="1954"/>
      <c r="AM2" s="1954"/>
      <c r="AN2" s="1954"/>
      <c r="AQ2" s="2698"/>
      <c r="AR2" s="2699"/>
      <c r="AS2" s="2699"/>
      <c r="AT2" s="2699"/>
      <c r="AU2" s="2699"/>
      <c r="AV2" s="2699"/>
      <c r="AW2" s="2699"/>
      <c r="AX2" s="2699"/>
      <c r="AY2" s="2699"/>
      <c r="AZ2" s="2699"/>
      <c r="BA2" s="2699"/>
      <c r="BB2" s="2699"/>
      <c r="BC2" s="2699"/>
    </row>
    <row r="3" spans="1:55" s="267" customFormat="1" ht="14.25">
      <c r="A3" s="1148"/>
      <c r="B3" s="2696"/>
      <c r="C3" s="2697"/>
      <c r="D3" s="2697"/>
      <c r="E3" s="2697"/>
      <c r="F3" s="2697"/>
      <c r="G3" s="2697"/>
      <c r="H3" s="2697"/>
      <c r="I3" s="2697"/>
      <c r="J3" s="2697"/>
      <c r="K3" s="2697"/>
      <c r="L3" s="2697"/>
      <c r="M3" s="2697"/>
      <c r="N3" s="2697"/>
      <c r="O3" s="1954"/>
      <c r="P3" s="1954"/>
      <c r="Q3" s="1954"/>
      <c r="R3" s="1954"/>
      <c r="S3" s="1954"/>
      <c r="T3" s="1954"/>
      <c r="U3" s="1954"/>
      <c r="V3" s="1954"/>
      <c r="W3" s="1954"/>
      <c r="X3" s="1954"/>
      <c r="Y3" s="1954"/>
      <c r="Z3" s="1954"/>
      <c r="AA3" s="1954"/>
      <c r="AB3" s="1954"/>
      <c r="AC3" s="1954"/>
      <c r="AD3" s="1954"/>
      <c r="AE3" s="1954"/>
      <c r="AF3" s="1954"/>
      <c r="AG3" s="1954"/>
      <c r="AH3" s="1954"/>
      <c r="AI3" s="1954"/>
      <c r="AJ3" s="1954"/>
      <c r="AK3" s="1954"/>
      <c r="AL3" s="1954"/>
      <c r="AM3" s="1954"/>
      <c r="AN3" s="1954"/>
      <c r="AQ3" s="2696"/>
      <c r="AR3" s="2697"/>
      <c r="AS3" s="2697"/>
      <c r="AT3" s="2697"/>
      <c r="AU3" s="2697"/>
      <c r="AV3" s="2697"/>
      <c r="AW3" s="2697"/>
      <c r="AX3" s="2697"/>
      <c r="AY3" s="2697"/>
      <c r="AZ3" s="2697"/>
      <c r="BA3" s="2697"/>
      <c r="BB3" s="2697"/>
      <c r="BC3" s="2697"/>
    </row>
    <row r="4" spans="1:55" s="267" customFormat="1" ht="35.25" customHeight="1">
      <c r="A4" s="1148"/>
      <c r="B4" s="1222" t="s">
        <v>291</v>
      </c>
      <c r="C4" s="1149"/>
      <c r="D4" s="2703" t="str">
        <f>'[40]VAL. PRINC'!D4:M4</f>
        <v>MEJORAMIENTO DEL SERVICIO EDUCATIVO EN LA IEP N° 54002 SANTA ROSA E IES SANTA ROSA DEL DISTRITO DE ABANCAY, PROVINCIA DE ABANCAY - REGIÓN APURÍMAC</v>
      </c>
      <c r="E4" s="2703"/>
      <c r="F4" s="2703"/>
      <c r="G4" s="2703"/>
      <c r="H4" s="2703"/>
      <c r="I4" s="2703"/>
      <c r="J4" s="2703"/>
      <c r="K4" s="2703"/>
      <c r="L4" s="2703"/>
      <c r="M4" s="2703"/>
      <c r="N4" s="1222"/>
      <c r="O4" s="1222"/>
      <c r="P4" s="1222"/>
      <c r="Q4" s="1222"/>
      <c r="R4" s="1222"/>
      <c r="S4" s="1222"/>
      <c r="T4" s="1222"/>
      <c r="U4" s="1222"/>
      <c r="V4" s="1222"/>
      <c r="W4" s="1222"/>
      <c r="X4" s="1222"/>
      <c r="Y4" s="1222"/>
      <c r="Z4" s="1222"/>
      <c r="AA4" s="1222"/>
      <c r="AB4" s="1222"/>
      <c r="AC4" s="1222"/>
      <c r="AD4" s="1222"/>
      <c r="AE4" s="1222"/>
      <c r="AF4" s="1222"/>
      <c r="AG4" s="1222"/>
      <c r="AH4" s="1222"/>
      <c r="AI4" s="1222"/>
      <c r="AJ4" s="1222"/>
      <c r="AK4" s="1222"/>
      <c r="AL4" s="1222"/>
      <c r="AM4" s="1222"/>
      <c r="AN4" s="1222"/>
    </row>
    <row r="5" spans="1:55" s="267" customFormat="1" ht="15.75" customHeight="1">
      <c r="A5" s="1148"/>
      <c r="B5" s="1223" t="s">
        <v>292</v>
      </c>
      <c r="C5" s="1150"/>
      <c r="D5" s="2704">
        <f>+'[40]VAL. PRINC'!F848</f>
        <v>19902744.010000005</v>
      </c>
      <c r="E5" s="2704"/>
      <c r="F5" s="2704"/>
      <c r="G5" s="1300"/>
      <c r="H5" s="1300"/>
      <c r="I5" s="1300"/>
      <c r="J5" s="1300"/>
      <c r="K5" s="1300"/>
      <c r="L5" s="1300"/>
      <c r="M5" s="1300"/>
      <c r="N5" s="1300"/>
      <c r="O5" s="1300"/>
      <c r="P5" s="1300"/>
      <c r="Q5" s="1300"/>
      <c r="R5" s="1300"/>
      <c r="S5" s="1300"/>
      <c r="T5" s="1300"/>
      <c r="U5" s="1300"/>
      <c r="V5" s="1300"/>
      <c r="W5" s="1300"/>
      <c r="X5" s="1300"/>
      <c r="Y5" s="1300"/>
      <c r="Z5" s="1300"/>
      <c r="AA5" s="1300"/>
      <c r="AB5" s="1300"/>
      <c r="AC5" s="1300"/>
      <c r="AD5" s="1300"/>
      <c r="AE5" s="1300"/>
      <c r="AF5" s="1300"/>
      <c r="AG5" s="1300"/>
      <c r="AH5" s="1300"/>
      <c r="AI5" s="1300"/>
      <c r="AJ5" s="1300"/>
      <c r="AK5" s="1300"/>
      <c r="AL5" s="1300"/>
      <c r="AM5" s="1300"/>
      <c r="AN5" s="1300"/>
    </row>
    <row r="6" spans="1:55" s="267" customFormat="1" ht="15.75" customHeight="1">
      <c r="A6" s="1148"/>
      <c r="B6" s="1223" t="s">
        <v>3704</v>
      </c>
      <c r="C6" s="1150"/>
      <c r="D6" s="2705">
        <v>26822242.739999998</v>
      </c>
      <c r="E6" s="2705"/>
      <c r="F6" s="2705"/>
      <c r="G6" s="1300"/>
      <c r="H6" s="1300"/>
      <c r="I6" s="1300"/>
      <c r="J6" s="1300"/>
      <c r="K6" s="1300"/>
      <c r="L6" s="1300"/>
      <c r="M6" s="1300"/>
      <c r="N6" s="1300"/>
      <c r="O6" s="1300"/>
      <c r="P6" s="1300"/>
      <c r="Q6" s="1300"/>
      <c r="R6" s="1300"/>
      <c r="S6" s="1300"/>
      <c r="T6" s="1300"/>
      <c r="U6" s="1300"/>
      <c r="V6" s="1300"/>
      <c r="W6" s="1300"/>
      <c r="X6" s="1300"/>
      <c r="Y6" s="1300"/>
      <c r="Z6" s="1300"/>
      <c r="AA6" s="1300"/>
      <c r="AB6" s="1300"/>
      <c r="AC6" s="1300"/>
      <c r="AD6" s="1300"/>
      <c r="AE6" s="1300"/>
      <c r="AF6" s="1300"/>
      <c r="AG6" s="1300"/>
      <c r="AH6" s="1300"/>
      <c r="AI6" s="1300"/>
      <c r="AJ6" s="1300"/>
      <c r="AK6" s="1300"/>
      <c r="AL6" s="1300"/>
      <c r="AM6" s="1300"/>
      <c r="AN6" s="1300"/>
    </row>
    <row r="7" spans="1:55" s="267" customFormat="1" ht="15.75" customHeight="1">
      <c r="A7" s="1148"/>
      <c r="B7" s="1223" t="s">
        <v>293</v>
      </c>
      <c r="C7" s="1150"/>
      <c r="D7" s="1301" t="s">
        <v>294</v>
      </c>
      <c r="E7" s="1301"/>
      <c r="F7" s="1301"/>
      <c r="G7" s="1301"/>
      <c r="H7" s="1301"/>
      <c r="I7" s="1301"/>
      <c r="J7" s="1301"/>
      <c r="K7" s="1301"/>
      <c r="L7" s="1301"/>
      <c r="M7" s="1301"/>
      <c r="N7" s="1301"/>
      <c r="O7" s="1301"/>
      <c r="P7" s="1301"/>
      <c r="Q7" s="1301"/>
      <c r="R7" s="1301"/>
      <c r="S7" s="1301"/>
      <c r="T7" s="1301"/>
      <c r="U7" s="1301"/>
      <c r="V7" s="1301"/>
      <c r="W7" s="1301"/>
      <c r="X7" s="1301"/>
      <c r="Y7" s="1301"/>
      <c r="Z7" s="1301"/>
      <c r="AA7" s="1301"/>
      <c r="AB7" s="1301"/>
      <c r="AC7" s="1301"/>
      <c r="AD7" s="1301"/>
      <c r="AE7" s="1301"/>
      <c r="AF7" s="1301"/>
      <c r="AG7" s="1301"/>
      <c r="AH7" s="1301"/>
      <c r="AI7" s="1301"/>
      <c r="AJ7" s="1301"/>
      <c r="AK7" s="1301"/>
      <c r="AL7" s="1301"/>
      <c r="AM7" s="1301"/>
      <c r="AN7" s="1301"/>
    </row>
    <row r="8" spans="1:55" s="267" customFormat="1" ht="15.75" customHeight="1">
      <c r="A8" s="1148"/>
      <c r="B8" s="1223" t="s">
        <v>295</v>
      </c>
      <c r="C8" s="1150"/>
      <c r="D8" s="1301" t="s">
        <v>3577</v>
      </c>
      <c r="E8" s="1301"/>
      <c r="F8" s="1301"/>
      <c r="G8" s="1301"/>
      <c r="H8" s="1301"/>
      <c r="I8" s="1301"/>
      <c r="J8" s="1301"/>
      <c r="K8" s="1301"/>
      <c r="L8" s="1301"/>
      <c r="M8" s="1301"/>
      <c r="N8" s="1301"/>
      <c r="O8" s="1301"/>
      <c r="P8" s="1301"/>
      <c r="Q8" s="1301"/>
      <c r="R8" s="1301"/>
      <c r="S8" s="1301"/>
      <c r="T8" s="1301"/>
      <c r="U8" s="1301"/>
      <c r="V8" s="1301"/>
      <c r="W8" s="1301"/>
      <c r="X8" s="1301"/>
      <c r="Y8" s="1301"/>
      <c r="Z8" s="1301"/>
      <c r="AA8" s="1301"/>
      <c r="AB8" s="1301"/>
      <c r="AC8" s="1301"/>
      <c r="AD8" s="1301"/>
      <c r="AE8" s="1301"/>
      <c r="AF8" s="1301"/>
      <c r="AG8" s="1301"/>
      <c r="AH8" s="1301"/>
      <c r="AI8" s="1301"/>
      <c r="AJ8" s="1301"/>
      <c r="AK8" s="1301"/>
      <c r="AL8" s="1301"/>
      <c r="AM8" s="1301"/>
      <c r="AN8" s="1301"/>
    </row>
    <row r="9" spans="1:55" s="267" customFormat="1" ht="15.75" customHeight="1">
      <c r="A9" s="1148"/>
      <c r="B9" s="1223" t="s">
        <v>296</v>
      </c>
      <c r="C9" s="1150"/>
      <c r="D9" s="1302" t="s">
        <v>4349</v>
      </c>
      <c r="E9" s="1302"/>
      <c r="F9" s="1302"/>
      <c r="G9" s="1302"/>
      <c r="H9" s="1302"/>
      <c r="I9" s="1302"/>
      <c r="J9" s="1302"/>
      <c r="K9" s="1302"/>
      <c r="L9" s="1302"/>
      <c r="M9" s="1302"/>
      <c r="N9" s="1302"/>
      <c r="O9" s="1302"/>
      <c r="P9" s="1302"/>
      <c r="Q9" s="1302"/>
      <c r="R9" s="1302"/>
      <c r="S9" s="1302"/>
      <c r="T9" s="1302"/>
      <c r="U9" s="1302"/>
      <c r="V9" s="1302"/>
      <c r="W9" s="1302"/>
      <c r="X9" s="1302"/>
      <c r="Y9" s="1302"/>
      <c r="Z9" s="1302"/>
      <c r="AA9" s="1302"/>
      <c r="AB9" s="1302"/>
      <c r="AC9" s="1302"/>
      <c r="AD9" s="1302"/>
      <c r="AE9" s="1302"/>
      <c r="AF9" s="1302"/>
      <c r="AG9" s="1302"/>
      <c r="AH9" s="1302"/>
      <c r="AI9" s="1302"/>
      <c r="AJ9" s="1302"/>
      <c r="AK9" s="1302"/>
      <c r="AL9" s="1302"/>
      <c r="AM9" s="1302"/>
      <c r="AN9" s="1302"/>
    </row>
    <row r="10" spans="1:55" s="267" customFormat="1" ht="15.75" customHeight="1">
      <c r="A10" s="1148"/>
      <c r="B10" s="1223" t="s">
        <v>297</v>
      </c>
      <c r="C10" s="1151"/>
      <c r="D10" s="1301" t="s">
        <v>3578</v>
      </c>
      <c r="E10" s="1301"/>
      <c r="F10" s="1301"/>
      <c r="G10" s="1301"/>
      <c r="H10" s="1301"/>
      <c r="I10" s="1301"/>
      <c r="J10" s="1301"/>
      <c r="K10" s="1301"/>
      <c r="L10" s="1301"/>
      <c r="M10" s="1301"/>
      <c r="N10" s="1301"/>
      <c r="O10" s="1301"/>
      <c r="P10" s="1301"/>
      <c r="Q10" s="1301"/>
      <c r="R10" s="1301"/>
      <c r="S10" s="1301"/>
      <c r="T10" s="1301"/>
      <c r="U10" s="1301"/>
      <c r="V10" s="1301"/>
      <c r="W10" s="1301"/>
      <c r="X10" s="1301"/>
      <c r="Y10" s="1301"/>
      <c r="Z10" s="1301"/>
      <c r="AA10" s="1301"/>
      <c r="AB10" s="1301"/>
      <c r="AC10" s="1301"/>
      <c r="AD10" s="1301"/>
      <c r="AE10" s="1301"/>
      <c r="AF10" s="1301"/>
      <c r="AG10" s="1301"/>
      <c r="AH10" s="1301"/>
      <c r="AI10" s="1301"/>
      <c r="AJ10" s="1301"/>
      <c r="AK10" s="1301"/>
      <c r="AL10" s="1301"/>
      <c r="AM10" s="1301"/>
      <c r="AN10" s="1301"/>
    </row>
    <row r="11" spans="1:55" s="267" customFormat="1" ht="15.75" customHeight="1">
      <c r="A11" s="1148"/>
      <c r="B11" s="1223" t="s">
        <v>298</v>
      </c>
      <c r="C11" s="1152"/>
      <c r="D11" s="1299" t="s">
        <v>3576</v>
      </c>
      <c r="E11" s="1299"/>
      <c r="F11" s="1299"/>
      <c r="G11" s="1299"/>
      <c r="H11" s="1299"/>
      <c r="I11" s="1299"/>
      <c r="J11" s="1299"/>
      <c r="K11" s="1299"/>
      <c r="L11" s="1299"/>
      <c r="M11" s="1299"/>
      <c r="N11" s="1299"/>
      <c r="O11" s="1299"/>
      <c r="P11" s="1299"/>
      <c r="Q11" s="1299"/>
      <c r="R11" s="1299"/>
      <c r="S11" s="1299"/>
      <c r="T11" s="1299"/>
      <c r="U11" s="1299"/>
      <c r="V11" s="1299"/>
      <c r="W11" s="1299"/>
      <c r="X11" s="1299"/>
      <c r="Y11" s="1299"/>
      <c r="Z11" s="1299"/>
      <c r="AA11" s="1299"/>
      <c r="AB11" s="1299"/>
      <c r="AC11" s="1299"/>
      <c r="AD11" s="1299"/>
      <c r="AE11" s="1299"/>
      <c r="AF11" s="1299"/>
      <c r="AG11" s="1299"/>
      <c r="AH11" s="1299"/>
      <c r="AI11" s="1299"/>
      <c r="AJ11" s="1299"/>
      <c r="AK11" s="1299"/>
      <c r="AL11" s="1299"/>
      <c r="AM11" s="1299"/>
      <c r="AN11" s="1299"/>
    </row>
    <row r="12" spans="1:55" s="266" customFormat="1" ht="15.75" customHeight="1">
      <c r="B12" s="1223" t="s">
        <v>3705</v>
      </c>
      <c r="D12" s="2706" t="s">
        <v>3648</v>
      </c>
      <c r="E12" s="2706"/>
      <c r="F12" s="2706"/>
      <c r="G12" s="2706"/>
      <c r="H12" s="2706"/>
      <c r="I12" s="2706"/>
      <c r="J12" s="2706"/>
      <c r="K12" s="2706"/>
      <c r="L12" s="2706"/>
      <c r="M12" s="2706"/>
      <c r="N12" s="1299"/>
      <c r="O12" s="1299"/>
      <c r="P12" s="1299"/>
      <c r="Q12" s="1299"/>
      <c r="R12" s="1299"/>
      <c r="S12" s="1299"/>
      <c r="T12" s="1299"/>
      <c r="U12" s="1299"/>
      <c r="V12" s="1299"/>
      <c r="W12" s="1299"/>
      <c r="X12" s="1299"/>
      <c r="Y12" s="1299"/>
      <c r="Z12" s="1299"/>
      <c r="AA12" s="1299"/>
      <c r="AB12" s="1299"/>
      <c r="AC12" s="1299"/>
      <c r="AD12" s="1299"/>
      <c r="AE12" s="1299"/>
      <c r="AF12" s="1299"/>
      <c r="AG12" s="1299"/>
      <c r="AH12" s="1299"/>
      <c r="AI12" s="1299"/>
      <c r="AJ12" s="1299"/>
      <c r="AK12" s="1299"/>
      <c r="AL12" s="1299"/>
      <c r="AM12" s="1299"/>
      <c r="AN12" s="1299"/>
    </row>
    <row r="13" spans="1:55" s="266" customFormat="1" ht="15.75" customHeight="1">
      <c r="B13" s="1223" t="s">
        <v>3706</v>
      </c>
      <c r="D13" s="1956" t="s">
        <v>4331</v>
      </c>
      <c r="E13" s="1956"/>
      <c r="F13" s="1956"/>
      <c r="G13" s="1956"/>
      <c r="H13" s="1956"/>
      <c r="I13" s="1956"/>
      <c r="J13" s="1956"/>
      <c r="K13" s="1956"/>
      <c r="L13" s="1956"/>
      <c r="M13" s="1956"/>
      <c r="N13" s="1299"/>
      <c r="O13" s="1299"/>
      <c r="P13" s="1299"/>
      <c r="Q13" s="1299"/>
      <c r="R13" s="1299"/>
      <c r="S13" s="1299"/>
      <c r="T13" s="1299"/>
      <c r="U13" s="1299"/>
      <c r="V13" s="1299"/>
      <c r="W13" s="1299"/>
      <c r="X13" s="1299"/>
      <c r="Y13" s="1299"/>
      <c r="Z13" s="1299"/>
      <c r="AA13" s="1299"/>
      <c r="AB13" s="1299"/>
      <c r="AC13" s="1299"/>
      <c r="AD13" s="1299"/>
      <c r="AE13" s="1299"/>
      <c r="AF13" s="1299"/>
      <c r="AG13" s="1299"/>
      <c r="AH13" s="1299"/>
      <c r="AI13" s="1299"/>
      <c r="AJ13" s="1299"/>
      <c r="AK13" s="1299"/>
      <c r="AL13" s="1299"/>
      <c r="AM13" s="1299"/>
      <c r="AN13" s="1299"/>
    </row>
    <row r="56" spans="1:40">
      <c r="O56" s="1234"/>
      <c r="P56" s="2700">
        <v>2019</v>
      </c>
      <c r="Q56" s="2701"/>
      <c r="R56" s="2701"/>
      <c r="S56" s="2701"/>
      <c r="T56" s="2701"/>
      <c r="U56" s="2702"/>
      <c r="V56" s="2708">
        <v>2020</v>
      </c>
      <c r="W56" s="2709"/>
      <c r="X56" s="2709"/>
      <c r="Y56" s="2709"/>
      <c r="Z56" s="2709"/>
      <c r="AA56" s="2709"/>
      <c r="AB56" s="2709"/>
      <c r="AC56" s="2709"/>
      <c r="AD56" s="2709"/>
      <c r="AE56" s="2710"/>
      <c r="AF56" s="2700">
        <v>2021</v>
      </c>
      <c r="AG56" s="2701"/>
      <c r="AH56" s="2701"/>
      <c r="AI56" s="2701"/>
      <c r="AJ56" s="2701"/>
      <c r="AK56" s="2702"/>
    </row>
    <row r="57" spans="1:40" s="1224" customFormat="1">
      <c r="O57" s="1959"/>
      <c r="P57" s="1959" t="s">
        <v>529</v>
      </c>
      <c r="Q57" s="1959" t="s">
        <v>531</v>
      </c>
      <c r="R57" s="1959" t="s">
        <v>4280</v>
      </c>
      <c r="S57" s="1959" t="s">
        <v>4281</v>
      </c>
      <c r="T57" s="1959" t="s">
        <v>2155</v>
      </c>
      <c r="U57" s="1959" t="s">
        <v>4282</v>
      </c>
      <c r="V57" s="1959" t="s">
        <v>4283</v>
      </c>
      <c r="W57" s="1959" t="s">
        <v>4284</v>
      </c>
      <c r="X57" s="1959" t="s">
        <v>4289</v>
      </c>
      <c r="Y57" s="1959" t="s">
        <v>448</v>
      </c>
      <c r="Z57" s="1959" t="s">
        <v>529</v>
      </c>
      <c r="AA57" s="1959" t="s">
        <v>4277</v>
      </c>
      <c r="AB57" s="1959" t="s">
        <v>4280</v>
      </c>
      <c r="AC57" s="1959" t="s">
        <v>4281</v>
      </c>
      <c r="AD57" s="1959" t="s">
        <v>2155</v>
      </c>
      <c r="AE57" s="1959" t="s">
        <v>4282</v>
      </c>
      <c r="AF57" s="1959" t="s">
        <v>4283</v>
      </c>
      <c r="AG57" s="1959" t="s">
        <v>4284</v>
      </c>
      <c r="AH57" s="1959" t="s">
        <v>4285</v>
      </c>
      <c r="AI57" s="1959" t="s">
        <v>1798</v>
      </c>
      <c r="AJ57" s="1959" t="s">
        <v>449</v>
      </c>
      <c r="AK57" s="1959" t="s">
        <v>448</v>
      </c>
    </row>
    <row r="58" spans="1:40">
      <c r="O58" s="1234" t="s">
        <v>4286</v>
      </c>
      <c r="P58" s="1236">
        <f>+I69</f>
        <v>163335.85083333339</v>
      </c>
      <c r="Q58" s="1236">
        <f>+I70</f>
        <v>198250.70737759999</v>
      </c>
      <c r="R58" s="1236">
        <f>+I71</f>
        <v>515145.37920035288</v>
      </c>
      <c r="S58" s="1236">
        <f>+I72</f>
        <v>509571.72485879995</v>
      </c>
      <c r="T58" s="1236">
        <f>+I73</f>
        <v>548883.38561104971</v>
      </c>
      <c r="U58" s="1236">
        <f>+I74</f>
        <v>566686.0553353033</v>
      </c>
      <c r="V58" s="1236">
        <f>+I75</f>
        <v>150231.86396299998</v>
      </c>
      <c r="W58" s="1236">
        <f>+I76</f>
        <v>362432.44625150017</v>
      </c>
      <c r="X58" s="1236">
        <f>+I77</f>
        <v>278985.27599320019</v>
      </c>
      <c r="Y58" s="1960"/>
      <c r="Z58" s="1960">
        <v>599332.04767999949</v>
      </c>
      <c r="AA58" s="1960">
        <v>614710.61599999992</v>
      </c>
      <c r="AB58" s="1960">
        <v>398967.69059099996</v>
      </c>
      <c r="AC58" s="1960">
        <v>537925.3792812482</v>
      </c>
      <c r="AD58" s="1960">
        <v>435855.97540000005</v>
      </c>
      <c r="AE58" s="1960">
        <f>184138.5666</f>
        <v>184138.56659999999</v>
      </c>
      <c r="AF58" s="1960">
        <f>191923.4705+57565.518622172</f>
        <v>249488.989122172</v>
      </c>
      <c r="AG58" s="1960"/>
      <c r="AH58" s="1960">
        <v>491662.19662610599</v>
      </c>
      <c r="AI58" s="1960">
        <v>622162.79332784051</v>
      </c>
      <c r="AJ58" s="1960">
        <v>614449.08968906011</v>
      </c>
      <c r="AK58" s="1960">
        <v>435125.62085304008</v>
      </c>
      <c r="AL58" s="1963"/>
      <c r="AM58" s="1963"/>
      <c r="AN58" s="1963"/>
    </row>
    <row r="59" spans="1:40">
      <c r="O59" s="1234" t="s">
        <v>4278</v>
      </c>
      <c r="P59" s="1234"/>
      <c r="Q59" s="1234"/>
      <c r="R59" s="1234"/>
      <c r="S59" s="1234"/>
      <c r="T59" s="1234"/>
      <c r="U59" s="1234"/>
      <c r="V59" s="1234"/>
      <c r="W59" s="1234"/>
      <c r="X59" s="1234"/>
      <c r="Y59" s="1960">
        <v>10883.300000000001</v>
      </c>
      <c r="Z59" s="1960">
        <v>119400</v>
      </c>
      <c r="AA59" s="1960">
        <v>444</v>
      </c>
      <c r="AB59" s="1960">
        <f>34170</f>
        <v>34170</v>
      </c>
      <c r="AC59" s="1960"/>
      <c r="AD59" s="1960"/>
      <c r="AE59" s="1960"/>
      <c r="AF59" s="1960">
        <f>109.200000000012</f>
        <v>109.200000000012</v>
      </c>
      <c r="AG59" s="1960"/>
      <c r="AH59" s="1960"/>
      <c r="AI59" s="1960"/>
      <c r="AJ59" s="1960"/>
      <c r="AK59" s="1960"/>
      <c r="AL59" s="1963"/>
      <c r="AM59" s="1963"/>
      <c r="AN59" s="1963"/>
    </row>
    <row r="60" spans="1:40">
      <c r="O60" s="1234" t="s">
        <v>4279</v>
      </c>
      <c r="P60" s="1234"/>
      <c r="Q60" s="1234"/>
      <c r="R60" s="1234"/>
      <c r="S60" s="1234"/>
      <c r="T60" s="1234"/>
      <c r="U60" s="1234"/>
      <c r="V60" s="1234"/>
      <c r="W60" s="1234"/>
      <c r="X60" s="1234"/>
      <c r="Y60" s="1960"/>
      <c r="Z60" s="1960"/>
      <c r="AA60" s="1960"/>
      <c r="AB60" s="1960"/>
      <c r="AC60" s="1960"/>
      <c r="AD60" s="1960">
        <v>457948.8995</v>
      </c>
      <c r="AE60" s="1960">
        <v>69155.92730000001</v>
      </c>
      <c r="AF60" s="1960">
        <f>5927.856+10654.1627999999</f>
        <v>16582.0187999999</v>
      </c>
      <c r="AG60" s="1960"/>
      <c r="AH60" s="1960">
        <v>9016</v>
      </c>
      <c r="AI60" s="1960">
        <v>0</v>
      </c>
      <c r="AJ60" s="1960"/>
      <c r="AK60" s="1960"/>
      <c r="AL60" s="1963"/>
      <c r="AM60" s="1963"/>
      <c r="AN60" s="1963"/>
    </row>
    <row r="61" spans="1:40">
      <c r="O61" s="1234" t="s">
        <v>4287</v>
      </c>
      <c r="P61" s="1234"/>
      <c r="Q61" s="1234"/>
      <c r="R61" s="1234"/>
      <c r="S61" s="1234"/>
      <c r="T61" s="1234"/>
      <c r="U61" s="1234"/>
      <c r="V61" s="1234"/>
      <c r="W61" s="1234"/>
      <c r="X61" s="1234"/>
      <c r="Y61" s="1960"/>
      <c r="Z61" s="1960"/>
      <c r="AA61" s="1960"/>
      <c r="AB61" s="1960"/>
      <c r="AC61" s="1960"/>
      <c r="AD61" s="1960"/>
      <c r="AE61" s="1960">
        <v>888036.85309999983</v>
      </c>
      <c r="AF61" s="1960">
        <f>12225.826996+11167.8308140003</f>
        <v>23393.657810000299</v>
      </c>
      <c r="AG61" s="1960"/>
      <c r="AH61" s="1960">
        <v>219669.15758399997</v>
      </c>
      <c r="AI61" s="1960">
        <v>161365.83375679998</v>
      </c>
      <c r="AJ61" s="1960">
        <v>17986.787199999999</v>
      </c>
      <c r="AK61" s="1960">
        <v>242224.28167059997</v>
      </c>
      <c r="AL61" s="1963"/>
      <c r="AM61" s="1963"/>
      <c r="AN61" s="1963"/>
    </row>
    <row r="62" spans="1:40">
      <c r="O62" s="1234" t="s">
        <v>4288</v>
      </c>
      <c r="P62" s="1234"/>
      <c r="Q62" s="1234"/>
      <c r="R62" s="1234"/>
      <c r="S62" s="1234"/>
      <c r="T62" s="1234"/>
      <c r="U62" s="1234"/>
      <c r="V62" s="1234"/>
      <c r="W62" s="1234"/>
      <c r="X62" s="1234"/>
      <c r="Y62" s="1960"/>
      <c r="Z62" s="1960"/>
      <c r="AA62" s="1960"/>
      <c r="AB62" s="1960"/>
      <c r="AC62" s="1960"/>
      <c r="AD62" s="1960"/>
      <c r="AE62" s="1960">
        <v>56971.901399999995</v>
      </c>
      <c r="AF62" s="1960">
        <v>601.96020000000897</v>
      </c>
      <c r="AG62" s="1960"/>
      <c r="AH62" s="1960">
        <v>19203.745200000001</v>
      </c>
      <c r="AI62" s="1960">
        <v>3458.1701999999996</v>
      </c>
      <c r="AJ62" s="1960">
        <v>116076.48023850001</v>
      </c>
      <c r="AK62" s="1960">
        <v>56754.928524999988</v>
      </c>
      <c r="AL62" s="1963"/>
      <c r="AM62" s="1963"/>
      <c r="AN62" s="1963"/>
    </row>
    <row r="63" spans="1:40" ht="16.5" thickBot="1">
      <c r="A63" s="2711" t="s">
        <v>299</v>
      </c>
      <c r="B63" s="2711"/>
      <c r="C63" s="2711"/>
      <c r="D63" s="2711"/>
      <c r="E63" s="2711"/>
      <c r="F63" s="2711"/>
      <c r="G63" s="2711"/>
      <c r="H63" s="2711"/>
      <c r="I63" s="2711"/>
      <c r="J63" s="2711"/>
      <c r="K63" s="2711"/>
      <c r="L63" s="2711"/>
      <c r="M63" s="2712"/>
      <c r="N63" s="2712"/>
      <c r="O63" s="1961" t="s">
        <v>359</v>
      </c>
      <c r="P63" s="1961"/>
      <c r="Q63" s="1961"/>
      <c r="R63" s="1961"/>
      <c r="S63" s="1961"/>
      <c r="T63" s="1961"/>
      <c r="U63" s="1961"/>
      <c r="V63" s="1961"/>
      <c r="W63" s="1961"/>
      <c r="X63" s="1961"/>
      <c r="Y63" s="1962">
        <f>SUM(Y58:Y62)</f>
        <v>10883.300000000001</v>
      </c>
      <c r="Z63" s="1962">
        <f t="shared" ref="Z63:AH63" si="0">SUM(Z58:Z62)</f>
        <v>718732.04767999949</v>
      </c>
      <c r="AA63" s="1962">
        <f t="shared" si="0"/>
        <v>615154.61599999992</v>
      </c>
      <c r="AB63" s="1962">
        <f t="shared" si="0"/>
        <v>433137.69059099996</v>
      </c>
      <c r="AC63" s="1962">
        <f t="shared" si="0"/>
        <v>537925.3792812482</v>
      </c>
      <c r="AD63" s="1962">
        <f t="shared" si="0"/>
        <v>893804.87490000005</v>
      </c>
      <c r="AE63" s="1962">
        <f t="shared" si="0"/>
        <v>1198303.2483999999</v>
      </c>
      <c r="AF63" s="1962">
        <f t="shared" si="0"/>
        <v>290175.82593217224</v>
      </c>
      <c r="AG63" s="1962">
        <f t="shared" si="0"/>
        <v>0</v>
      </c>
      <c r="AH63" s="1962">
        <f t="shared" si="0"/>
        <v>739551.09941010596</v>
      </c>
      <c r="AI63" s="1962">
        <f t="shared" ref="AI63" si="1">SUM(AI58:AI62)</f>
        <v>786986.7972846406</v>
      </c>
      <c r="AJ63" s="1962">
        <f t="shared" ref="AJ63" si="2">SUM(AJ58:AJ62)</f>
        <v>748512.35712756019</v>
      </c>
      <c r="AK63" s="1962">
        <f t="shared" ref="AK63" si="3">SUM(AK58:AK62)</f>
        <v>734104.83104864007</v>
      </c>
      <c r="AL63" s="1964"/>
      <c r="AM63" s="1964"/>
      <c r="AN63" s="1964"/>
    </row>
    <row r="64" spans="1:40" ht="13.15" customHeight="1">
      <c r="A64" s="2719" t="s">
        <v>4322</v>
      </c>
      <c r="B64" s="2720"/>
      <c r="C64" s="2722" t="s">
        <v>1922</v>
      </c>
      <c r="D64" s="2717"/>
      <c r="E64" s="2718"/>
      <c r="F64" s="2716" t="s">
        <v>1923</v>
      </c>
      <c r="G64" s="2717"/>
      <c r="H64" s="2718"/>
      <c r="I64" s="2716" t="s">
        <v>1924</v>
      </c>
      <c r="J64" s="2717"/>
      <c r="K64" s="2718"/>
      <c r="L64" s="2723" t="s">
        <v>300</v>
      </c>
      <c r="M64" s="2724"/>
      <c r="N64" s="1224"/>
      <c r="O64" s="1224"/>
      <c r="P64" s="1224"/>
      <c r="Q64" s="1224"/>
      <c r="R64" s="1224"/>
      <c r="S64" s="1959"/>
      <c r="T64" s="1224"/>
      <c r="U64" s="1224"/>
      <c r="V64" s="1224"/>
      <c r="W64" s="1224"/>
      <c r="X64" s="1224"/>
      <c r="Y64" s="1224"/>
      <c r="Z64" s="1224"/>
      <c r="AA64" s="1224"/>
      <c r="AB64" s="1224"/>
      <c r="AC64" s="1224"/>
      <c r="AD64" s="1224"/>
      <c r="AE64" s="1224"/>
      <c r="AF64" s="1224"/>
      <c r="AG64" s="1224"/>
      <c r="AH64" s="1224"/>
      <c r="AI64" s="1224"/>
      <c r="AJ64" s="1224"/>
      <c r="AK64" s="1224"/>
      <c r="AL64" s="1224"/>
      <c r="AM64" s="1224"/>
      <c r="AN64" s="1224"/>
    </row>
    <row r="65" spans="1:44" ht="16.149999999999999" customHeight="1">
      <c r="A65" s="2721" t="s">
        <v>4323</v>
      </c>
      <c r="B65" s="2727" t="s">
        <v>301</v>
      </c>
      <c r="C65" s="1225" t="s">
        <v>82</v>
      </c>
      <c r="D65" s="1226" t="s">
        <v>82</v>
      </c>
      <c r="E65" s="1227" t="s">
        <v>302</v>
      </c>
      <c r="F65" s="1225" t="s">
        <v>82</v>
      </c>
      <c r="G65" s="1226" t="s">
        <v>82</v>
      </c>
      <c r="H65" s="1227" t="s">
        <v>302</v>
      </c>
      <c r="I65" s="1225" t="s">
        <v>82</v>
      </c>
      <c r="J65" s="1226" t="s">
        <v>82</v>
      </c>
      <c r="K65" s="1227" t="s">
        <v>302</v>
      </c>
      <c r="L65" s="2725" t="s">
        <v>303</v>
      </c>
      <c r="M65" s="2725" t="s">
        <v>304</v>
      </c>
      <c r="N65" s="2707"/>
      <c r="O65" s="1955"/>
      <c r="P65" s="1970" t="s">
        <v>4290</v>
      </c>
      <c r="Q65" s="1976" t="s">
        <v>4293</v>
      </c>
      <c r="R65" s="1977" t="s">
        <v>4294</v>
      </c>
      <c r="S65" s="1976" t="s">
        <v>4292</v>
      </c>
      <c r="T65" s="1973"/>
      <c r="U65" s="1973"/>
      <c r="V65" s="1973"/>
      <c r="W65" s="1969"/>
      <c r="X65" s="1969"/>
      <c r="Y65" s="1969"/>
      <c r="Z65" s="1969"/>
      <c r="AA65" s="1955"/>
      <c r="AB65" s="1955"/>
      <c r="AC65" s="1955"/>
      <c r="AD65" s="1955"/>
      <c r="AE65" s="1955"/>
      <c r="AF65" s="1955"/>
      <c r="AG65" s="1965"/>
      <c r="AH65" s="1955"/>
      <c r="AI65" s="1955"/>
      <c r="AJ65" s="1955"/>
      <c r="AK65" s="1955"/>
      <c r="AL65" s="1955"/>
      <c r="AM65" s="1955"/>
      <c r="AN65" s="1955"/>
    </row>
    <row r="66" spans="1:44" ht="13.15" customHeight="1">
      <c r="A66" s="2721"/>
      <c r="B66" s="2728"/>
      <c r="C66" s="1228" t="s">
        <v>1</v>
      </c>
      <c r="D66" s="1229" t="s">
        <v>0</v>
      </c>
      <c r="E66" s="1230" t="s">
        <v>0</v>
      </c>
      <c r="F66" s="1228" t="s">
        <v>1</v>
      </c>
      <c r="G66" s="1229" t="s">
        <v>0</v>
      </c>
      <c r="H66" s="1230" t="s">
        <v>0</v>
      </c>
      <c r="I66" s="1228" t="s">
        <v>1</v>
      </c>
      <c r="J66" s="1229" t="s">
        <v>0</v>
      </c>
      <c r="K66" s="1230" t="s">
        <v>0</v>
      </c>
      <c r="L66" s="2726"/>
      <c r="M66" s="2726"/>
      <c r="N66" s="2707"/>
      <c r="O66" s="1234" t="s">
        <v>4286</v>
      </c>
      <c r="P66" s="1970">
        <v>15398736.547100004</v>
      </c>
      <c r="Q66" s="1974">
        <f>+P66</f>
        <v>15398736.547100004</v>
      </c>
      <c r="R66" s="1974">
        <f>+Q66</f>
        <v>15398736.547100004</v>
      </c>
      <c r="S66" s="1970">
        <v>15586650.219999997</v>
      </c>
      <c r="T66" s="1969"/>
      <c r="U66" s="1969"/>
      <c r="V66" s="1969"/>
      <c r="W66" s="1969"/>
      <c r="X66" s="1969"/>
      <c r="Y66" s="1969"/>
      <c r="Z66" s="1969"/>
      <c r="AA66" s="1955"/>
      <c r="AB66" s="1955"/>
      <c r="AC66" s="1955"/>
      <c r="AD66" s="1955"/>
      <c r="AE66" s="1955"/>
      <c r="AF66" s="1967"/>
      <c r="AG66" s="1955"/>
      <c r="AH66" s="1955"/>
      <c r="AI66" s="1955"/>
      <c r="AJ66" s="1955"/>
      <c r="AK66" s="1955"/>
      <c r="AL66" s="1955"/>
      <c r="AM66" s="1955"/>
      <c r="AN66" s="1955"/>
    </row>
    <row r="67" spans="1:44">
      <c r="A67" s="1234"/>
      <c r="B67" s="1220"/>
      <c r="C67" s="1234"/>
      <c r="D67" s="1234"/>
      <c r="E67" s="1234"/>
      <c r="F67" s="1234"/>
      <c r="G67" s="1234"/>
      <c r="H67" s="1234">
        <v>0</v>
      </c>
      <c r="I67" s="1234"/>
      <c r="J67" s="1234"/>
      <c r="K67" s="1234">
        <v>0</v>
      </c>
      <c r="L67" s="1220"/>
      <c r="M67" s="1220"/>
      <c r="N67" s="1231"/>
      <c r="O67" s="1234" t="s">
        <v>4278</v>
      </c>
      <c r="P67" s="1971">
        <v>164897.29999999999</v>
      </c>
      <c r="Q67" s="1975">
        <f>+P67</f>
        <v>164897.29999999999</v>
      </c>
      <c r="R67" s="1975">
        <f>+Q67</f>
        <v>164897.29999999999</v>
      </c>
      <c r="S67" s="1971">
        <v>165006.5</v>
      </c>
      <c r="T67" s="1968"/>
      <c r="U67" s="1968"/>
      <c r="V67" s="1968"/>
      <c r="W67" s="1968"/>
      <c r="X67" s="1968"/>
      <c r="Y67" s="1968"/>
      <c r="Z67" s="1968"/>
      <c r="AA67" s="1231"/>
      <c r="AB67" s="1957"/>
      <c r="AC67" s="1231"/>
      <c r="AD67" s="1231"/>
      <c r="AE67" s="1231"/>
      <c r="AF67" s="1231"/>
      <c r="AG67" s="1966"/>
      <c r="AH67" s="1966"/>
      <c r="AI67" s="1231"/>
      <c r="AJ67" s="1231"/>
      <c r="AK67" s="1231"/>
      <c r="AL67" s="1231"/>
      <c r="AM67" s="1231"/>
      <c r="AN67" s="1231"/>
    </row>
    <row r="68" spans="1:44">
      <c r="A68" s="1220"/>
      <c r="B68" s="1235"/>
      <c r="C68" s="1236"/>
      <c r="D68" s="1237"/>
      <c r="E68" s="1238"/>
      <c r="F68" s="1236"/>
      <c r="G68" s="1237"/>
      <c r="H68" s="1238"/>
      <c r="I68" s="1236"/>
      <c r="J68" s="1237"/>
      <c r="K68" s="1238"/>
      <c r="L68" s="1232"/>
      <c r="M68" s="1232"/>
      <c r="N68" s="1198" t="str">
        <f>IF(K68&gt;E68,K68/E68,"")</f>
        <v/>
      </c>
      <c r="O68" s="1234" t="s">
        <v>4279</v>
      </c>
      <c r="P68" s="1971"/>
      <c r="Q68" s="1975">
        <v>575817.15679999988</v>
      </c>
      <c r="R68" s="1975">
        <f>+Q68</f>
        <v>575817.15679999988</v>
      </c>
      <c r="S68" s="1971">
        <v>587707.12</v>
      </c>
      <c r="T68" s="1968"/>
      <c r="U68" s="1968"/>
      <c r="V68" s="1968"/>
      <c r="W68" s="1968"/>
      <c r="X68" s="1968"/>
      <c r="Y68" s="1968"/>
      <c r="Z68" s="1968"/>
      <c r="AA68" s="1198"/>
      <c r="AB68" s="1198"/>
      <c r="AC68" s="1198"/>
      <c r="AD68" s="1198"/>
      <c r="AE68" s="1198"/>
      <c r="AF68" s="1968"/>
      <c r="AG68" s="1968"/>
      <c r="AH68" s="1198"/>
      <c r="AI68" s="1198"/>
      <c r="AJ68" s="1198"/>
      <c r="AK68" s="1198"/>
      <c r="AL68" s="1198"/>
      <c r="AM68" s="1198"/>
      <c r="AN68" s="1198"/>
      <c r="AP68" s="265"/>
    </row>
    <row r="69" spans="1:44">
      <c r="A69" s="1220">
        <v>1</v>
      </c>
      <c r="B69" s="1235">
        <v>43677</v>
      </c>
      <c r="C69" s="1236"/>
      <c r="D69" s="1237"/>
      <c r="E69" s="1238"/>
      <c r="F69" s="1236">
        <v>163335.85083333339</v>
      </c>
      <c r="G69" s="1237">
        <f t="shared" ref="G69:G99" si="4">+F69/$F$101</f>
        <v>7.2095222060975022E-3</v>
      </c>
      <c r="H69" s="1238">
        <f>G69</f>
        <v>7.2095222060975022E-3</v>
      </c>
      <c r="I69" s="1236">
        <v>163335.85083333339</v>
      </c>
      <c r="J69" s="1237">
        <f t="shared" ref="J69:J99" si="5">+I69/F$101</f>
        <v>7.2095222060975022E-3</v>
      </c>
      <c r="K69" s="1238">
        <f>J69</f>
        <v>7.2095222060975022E-3</v>
      </c>
      <c r="L69" s="1232" t="str">
        <f t="shared" ref="L69:M71" si="6">IF(J69&gt;=G69,"ADELANTADO","ATRASADO")</f>
        <v>ADELANTADO</v>
      </c>
      <c r="M69" s="1232" t="str">
        <f t="shared" si="6"/>
        <v>ADELANTADO</v>
      </c>
      <c r="N69" s="1198" t="e">
        <f>IF(K69&gt;E69,K69/E69,"")</f>
        <v>#DIV/0!</v>
      </c>
      <c r="O69" s="1234" t="s">
        <v>4287</v>
      </c>
      <c r="P69" s="1971"/>
      <c r="Q69" s="1975"/>
      <c r="R69" s="1975">
        <v>3388063.5096000014</v>
      </c>
      <c r="S69" s="1971">
        <v>3433797.0500000007</v>
      </c>
      <c r="T69" s="1968"/>
      <c r="U69" s="1968"/>
      <c r="V69" s="1968"/>
      <c r="W69" s="1968"/>
      <c r="X69" s="1968"/>
      <c r="Y69" s="1968"/>
      <c r="Z69" s="1968"/>
      <c r="AA69" s="1198"/>
      <c r="AB69" s="1958"/>
      <c r="AC69" s="1198"/>
      <c r="AD69" s="1198"/>
      <c r="AE69" s="1198"/>
      <c r="AF69" s="1198"/>
      <c r="AG69" s="1198"/>
      <c r="AH69" s="1198"/>
      <c r="AI69" s="1198"/>
      <c r="AJ69" s="1198"/>
      <c r="AK69" s="1198"/>
      <c r="AL69" s="1198"/>
      <c r="AM69" s="1198"/>
      <c r="AN69" s="1198"/>
      <c r="AO69" s="1154">
        <v>566463.24800000002</v>
      </c>
      <c r="AP69" s="1154">
        <f>I69</f>
        <v>163335.85083333339</v>
      </c>
      <c r="AQ69" s="1154">
        <f>F69</f>
        <v>163335.85083333339</v>
      </c>
    </row>
    <row r="70" spans="1:44">
      <c r="A70" s="1220">
        <f>+A69+1</f>
        <v>2</v>
      </c>
      <c r="B70" s="1235">
        <v>43707</v>
      </c>
      <c r="C70" s="1236"/>
      <c r="D70" s="1237"/>
      <c r="E70" s="1238"/>
      <c r="F70" s="1236">
        <v>198250.70737759999</v>
      </c>
      <c r="G70" s="1237">
        <f t="shared" si="4"/>
        <v>8.7506378417300697E-3</v>
      </c>
      <c r="H70" s="1237">
        <f>+G70+H69</f>
        <v>1.5960160047827573E-2</v>
      </c>
      <c r="I70" s="1236">
        <v>198250.70737759999</v>
      </c>
      <c r="J70" s="1237">
        <f t="shared" si="5"/>
        <v>8.7506378417300697E-3</v>
      </c>
      <c r="K70" s="1238">
        <f t="shared" ref="K70:K92" si="7">J70+K69</f>
        <v>1.5960160047827573E-2</v>
      </c>
      <c r="L70" s="1232" t="str">
        <f t="shared" si="6"/>
        <v>ADELANTADO</v>
      </c>
      <c r="M70" s="1232" t="str">
        <f t="shared" si="6"/>
        <v>ADELANTADO</v>
      </c>
      <c r="N70" s="1198"/>
      <c r="O70" s="1234" t="s">
        <v>4288</v>
      </c>
      <c r="P70" s="1971"/>
      <c r="Q70" s="1971"/>
      <c r="R70" s="1975">
        <v>2866473.4419000009</v>
      </c>
      <c r="S70" s="1971">
        <v>2917415.5299999993</v>
      </c>
      <c r="T70" s="1968"/>
      <c r="U70" s="1968"/>
      <c r="V70" s="1968"/>
      <c r="W70" s="1968"/>
      <c r="X70" s="1968"/>
      <c r="Y70" s="1968"/>
      <c r="Z70" s="1968"/>
      <c r="AA70" s="1198"/>
      <c r="AB70" s="1198"/>
      <c r="AC70" s="1198"/>
      <c r="AD70" s="1198"/>
      <c r="AE70" s="1198"/>
      <c r="AF70" s="1198"/>
      <c r="AG70" s="1198"/>
      <c r="AH70" s="1198"/>
      <c r="AI70" s="1198"/>
      <c r="AJ70" s="1198"/>
      <c r="AK70" s="1198"/>
      <c r="AL70" s="1198"/>
      <c r="AM70" s="1198"/>
      <c r="AN70" s="1198"/>
      <c r="AO70" s="1154">
        <v>764713.95799999998</v>
      </c>
      <c r="AP70" s="1154">
        <f t="shared" ref="AP70:AP77" si="8">AP69+I70</f>
        <v>361586.55821093335</v>
      </c>
      <c r="AQ70" s="1154">
        <f t="shared" ref="AQ70:AQ77" si="9">AQ69+F70</f>
        <v>361586.55821093335</v>
      </c>
    </row>
    <row r="71" spans="1:44">
      <c r="A71" s="1220">
        <f t="shared" ref="A71:A99" si="10">+A70+1</f>
        <v>3</v>
      </c>
      <c r="B71" s="1235">
        <v>43738</v>
      </c>
      <c r="C71" s="1236"/>
      <c r="D71" s="1237"/>
      <c r="E71" s="1238"/>
      <c r="F71" s="1236">
        <v>515145.37920035288</v>
      </c>
      <c r="G71" s="1237">
        <f t="shared" si="4"/>
        <v>2.2738131474290661E-2</v>
      </c>
      <c r="H71" s="1238">
        <f t="shared" ref="H71:H90" si="11">G71+H70</f>
        <v>3.8698291522118233E-2</v>
      </c>
      <c r="I71" s="1236">
        <v>515145.37920035288</v>
      </c>
      <c r="J71" s="1237">
        <f t="shared" si="5"/>
        <v>2.2738131474290661E-2</v>
      </c>
      <c r="K71" s="1238">
        <f t="shared" si="7"/>
        <v>3.8698291522118233E-2</v>
      </c>
      <c r="L71" s="1232" t="str">
        <f t="shared" si="6"/>
        <v>ADELANTADO</v>
      </c>
      <c r="M71" s="1232" t="str">
        <f t="shared" si="6"/>
        <v>ADELANTADO</v>
      </c>
      <c r="N71" s="1198"/>
      <c r="O71" s="1234" t="s">
        <v>4291</v>
      </c>
      <c r="P71" s="1234"/>
      <c r="Q71" s="1234"/>
      <c r="R71" s="1975">
        <v>-2223144.83</v>
      </c>
      <c r="S71" s="1971">
        <v>-2258509.8199999998</v>
      </c>
      <c r="T71" s="1968"/>
      <c r="U71" s="1968"/>
      <c r="V71" s="1968"/>
      <c r="W71" s="1968"/>
      <c r="X71" s="1968"/>
      <c r="Y71" s="1968"/>
      <c r="Z71" s="1968"/>
      <c r="AA71" s="1198"/>
      <c r="AB71" s="1198"/>
      <c r="AC71" s="1198"/>
      <c r="AD71" s="1198"/>
      <c r="AE71" s="1198"/>
      <c r="AF71" s="1198"/>
      <c r="AG71" s="1198"/>
      <c r="AH71" s="1198"/>
      <c r="AI71" s="1198"/>
      <c r="AJ71" s="1198"/>
      <c r="AK71" s="1198"/>
      <c r="AL71" s="1198"/>
      <c r="AM71" s="1198"/>
      <c r="AN71" s="1198"/>
      <c r="AO71" s="1154">
        <v>764713.95799999998</v>
      </c>
      <c r="AP71" s="1154">
        <f t="shared" si="8"/>
        <v>876731.93741128617</v>
      </c>
      <c r="AQ71" s="1154">
        <f t="shared" si="9"/>
        <v>876731.93741128617</v>
      </c>
    </row>
    <row r="72" spans="1:44">
      <c r="A72" s="1220">
        <f t="shared" si="10"/>
        <v>4</v>
      </c>
      <c r="B72" s="1235">
        <v>43769</v>
      </c>
      <c r="C72" s="1236"/>
      <c r="D72" s="1237"/>
      <c r="E72" s="1238"/>
      <c r="F72" s="1236">
        <v>509571.72485879995</v>
      </c>
      <c r="G72" s="1237">
        <f t="shared" si="4"/>
        <v>2.2492114543289147E-2</v>
      </c>
      <c r="H72" s="1238">
        <f t="shared" si="11"/>
        <v>6.1190406065407377E-2</v>
      </c>
      <c r="I72" s="1236">
        <v>509571.72485879995</v>
      </c>
      <c r="J72" s="1237">
        <f t="shared" si="5"/>
        <v>2.2492114543289147E-2</v>
      </c>
      <c r="K72" s="1238">
        <f t="shared" si="7"/>
        <v>6.1190406065407377E-2</v>
      </c>
      <c r="L72" s="1232" t="str">
        <f t="shared" ref="L72:M87" si="12">IF(J72&gt;=G72,"ADELANTADO","ATRASADO")</f>
        <v>ADELANTADO</v>
      </c>
      <c r="M72" s="1232" t="str">
        <f t="shared" si="12"/>
        <v>ADELANTADO</v>
      </c>
      <c r="N72" s="1198"/>
      <c r="O72" s="1198"/>
      <c r="P72" s="1968"/>
      <c r="Q72" s="1968"/>
      <c r="R72" s="1968"/>
      <c r="S72" s="1968"/>
      <c r="T72" s="1968"/>
      <c r="U72" s="1968"/>
      <c r="V72" s="1968"/>
      <c r="W72" s="1968"/>
      <c r="X72" s="1968"/>
      <c r="Y72" s="1968"/>
      <c r="Z72" s="1968"/>
      <c r="AA72" s="1198"/>
      <c r="AB72" s="1198"/>
      <c r="AC72" s="1198"/>
      <c r="AD72" s="1198"/>
      <c r="AE72" s="1198"/>
      <c r="AF72" s="1198"/>
      <c r="AG72" s="1198"/>
      <c r="AH72" s="1198"/>
      <c r="AI72" s="1198"/>
      <c r="AJ72" s="1198"/>
      <c r="AK72" s="1198"/>
      <c r="AL72" s="1198"/>
      <c r="AM72" s="1198"/>
      <c r="AN72" s="1198"/>
      <c r="AP72" s="1154">
        <f t="shared" si="8"/>
        <v>1386303.6622700861</v>
      </c>
      <c r="AQ72" s="1154">
        <f t="shared" si="9"/>
        <v>1386303.6622700861</v>
      </c>
    </row>
    <row r="73" spans="1:44" ht="15.75">
      <c r="A73" s="1220">
        <f t="shared" si="10"/>
        <v>5</v>
      </c>
      <c r="B73" s="1235">
        <v>43799</v>
      </c>
      <c r="C73" s="1236"/>
      <c r="D73" s="1237"/>
      <c r="E73" s="1238"/>
      <c r="F73" s="1236">
        <v>548883.38561104971</v>
      </c>
      <c r="G73" s="1237">
        <f t="shared" si="4"/>
        <v>2.4227301825847918E-2</v>
      </c>
      <c r="H73" s="1238">
        <f t="shared" si="11"/>
        <v>8.5417707891255301E-2</v>
      </c>
      <c r="I73" s="1236">
        <v>548883.38561104971</v>
      </c>
      <c r="J73" s="1237">
        <f t="shared" si="5"/>
        <v>2.4227301825847918E-2</v>
      </c>
      <c r="K73" s="1238">
        <f t="shared" si="7"/>
        <v>8.5417707891255301E-2</v>
      </c>
      <c r="L73" s="1232" t="str">
        <f t="shared" si="12"/>
        <v>ADELANTADO</v>
      </c>
      <c r="M73" s="1232" t="str">
        <f t="shared" si="12"/>
        <v>ADELANTADO</v>
      </c>
      <c r="N73" s="1198"/>
      <c r="O73" s="1961" t="s">
        <v>359</v>
      </c>
      <c r="P73" s="1972">
        <f>SUM(P66:P70)</f>
        <v>15563633.847100005</v>
      </c>
      <c r="Q73" s="1972">
        <f>SUM(Q66:Q70)</f>
        <v>16139451.003900005</v>
      </c>
      <c r="R73" s="1972">
        <f>SUM(R66:R71)</f>
        <v>20170843.125400007</v>
      </c>
      <c r="S73" s="1972">
        <f>SUM(S66:S71)</f>
        <v>20432066.599999994</v>
      </c>
      <c r="T73" s="1968"/>
      <c r="U73" s="1968"/>
      <c r="V73" s="1968"/>
      <c r="W73" s="1968"/>
      <c r="X73" s="1968"/>
      <c r="Y73" s="1968"/>
      <c r="Z73" s="1968"/>
      <c r="AA73" s="1198"/>
      <c r="AB73" s="1198"/>
      <c r="AC73" s="1198"/>
      <c r="AD73" s="1198"/>
      <c r="AE73" s="1198"/>
      <c r="AF73" s="1198"/>
      <c r="AG73" s="1198"/>
      <c r="AH73" s="1198"/>
      <c r="AI73" s="1198"/>
      <c r="AJ73" s="1198"/>
      <c r="AK73" s="1198"/>
      <c r="AL73" s="1198"/>
      <c r="AM73" s="1198"/>
      <c r="AN73" s="1198"/>
      <c r="AP73" s="1154">
        <f t="shared" si="8"/>
        <v>1935187.0478811357</v>
      </c>
      <c r="AQ73" s="1154">
        <f t="shared" si="9"/>
        <v>1935187.0478811357</v>
      </c>
    </row>
    <row r="74" spans="1:44">
      <c r="A74" s="1220">
        <f t="shared" si="10"/>
        <v>6</v>
      </c>
      <c r="B74" s="1235">
        <v>43830</v>
      </c>
      <c r="C74" s="1236"/>
      <c r="D74" s="1237"/>
      <c r="E74" s="1238"/>
      <c r="F74" s="1236">
        <v>566686.0553353033</v>
      </c>
      <c r="G74" s="1237">
        <f t="shared" si="4"/>
        <v>2.5013098342962777E-2</v>
      </c>
      <c r="H74" s="1238">
        <f t="shared" si="11"/>
        <v>0.11043080623421808</v>
      </c>
      <c r="I74" s="1236">
        <v>566686.0553353033</v>
      </c>
      <c r="J74" s="1237">
        <f t="shared" si="5"/>
        <v>2.5013098342962777E-2</v>
      </c>
      <c r="K74" s="1238">
        <f t="shared" si="7"/>
        <v>0.11043080623421808</v>
      </c>
      <c r="L74" s="1232" t="str">
        <f t="shared" si="12"/>
        <v>ADELANTADO</v>
      </c>
      <c r="M74" s="1232" t="str">
        <f t="shared" si="12"/>
        <v>ADELANTADO</v>
      </c>
      <c r="N74" s="1198"/>
      <c r="O74" s="1198"/>
      <c r="P74" s="1198"/>
      <c r="Q74" s="1198"/>
      <c r="R74" s="1198"/>
      <c r="S74" s="1198"/>
      <c r="T74" s="1198"/>
      <c r="U74" s="1198"/>
      <c r="V74" s="1198"/>
      <c r="W74" s="1198"/>
      <c r="X74" s="1198"/>
      <c r="Y74" s="1198"/>
      <c r="Z74" s="1198"/>
      <c r="AA74" s="1198"/>
      <c r="AB74" s="1198"/>
      <c r="AC74" s="1198"/>
      <c r="AD74" s="1198"/>
      <c r="AE74" s="1198"/>
      <c r="AF74" s="1198"/>
      <c r="AG74" s="1198"/>
      <c r="AH74" s="1198"/>
      <c r="AI74" s="1198"/>
      <c r="AJ74" s="1198"/>
      <c r="AK74" s="1198"/>
      <c r="AL74" s="1198"/>
      <c r="AM74" s="1198"/>
      <c r="AN74" s="1198"/>
      <c r="AP74" s="1154">
        <f t="shared" si="8"/>
        <v>2501873.103216439</v>
      </c>
      <c r="AQ74" s="1154">
        <f t="shared" si="9"/>
        <v>2501873.103216439</v>
      </c>
      <c r="AR74" s="1154">
        <f>AQ74-AP74</f>
        <v>0</v>
      </c>
    </row>
    <row r="75" spans="1:44">
      <c r="A75" s="1220">
        <f t="shared" si="10"/>
        <v>7</v>
      </c>
      <c r="B75" s="1235">
        <v>43861</v>
      </c>
      <c r="C75" s="1236"/>
      <c r="D75" s="1237"/>
      <c r="E75" s="1238"/>
      <c r="F75" s="1236">
        <v>150231.86396299998</v>
      </c>
      <c r="G75" s="1237">
        <f t="shared" si="4"/>
        <v>6.6311220333976411E-3</v>
      </c>
      <c r="H75" s="1238">
        <f t="shared" si="11"/>
        <v>0.11706192826761572</v>
      </c>
      <c r="I75" s="1236">
        <v>150231.86396299998</v>
      </c>
      <c r="J75" s="1237">
        <f t="shared" si="5"/>
        <v>6.6311220333976411E-3</v>
      </c>
      <c r="K75" s="1238">
        <f t="shared" si="7"/>
        <v>0.11706192826761572</v>
      </c>
      <c r="L75" s="1232" t="str">
        <f t="shared" si="12"/>
        <v>ADELANTADO</v>
      </c>
      <c r="M75" s="1232" t="str">
        <f t="shared" si="12"/>
        <v>ADELANTADO</v>
      </c>
      <c r="N75" s="1198"/>
      <c r="O75" s="1198"/>
      <c r="P75" s="1198"/>
      <c r="Q75" s="1198"/>
      <c r="R75" s="1198"/>
      <c r="S75" s="1198"/>
      <c r="T75" s="1198"/>
      <c r="U75" s="1198"/>
      <c r="V75" s="1198"/>
      <c r="W75" s="1198"/>
      <c r="X75" s="1198"/>
      <c r="Y75" s="1198"/>
      <c r="Z75" s="1198"/>
      <c r="AA75" s="1198"/>
      <c r="AB75" s="1198"/>
      <c r="AC75" s="1198"/>
      <c r="AD75" s="1198"/>
      <c r="AE75" s="1198"/>
      <c r="AF75" s="1198"/>
      <c r="AG75" s="1198"/>
      <c r="AH75" s="1198"/>
      <c r="AI75" s="1198"/>
      <c r="AJ75" s="1198"/>
      <c r="AK75" s="1198"/>
      <c r="AL75" s="1198"/>
      <c r="AM75" s="1198"/>
      <c r="AN75" s="1198"/>
      <c r="AP75" s="1154">
        <f t="shared" si="8"/>
        <v>2652104.967179439</v>
      </c>
      <c r="AQ75" s="1154">
        <f t="shared" si="9"/>
        <v>2652104.967179439</v>
      </c>
    </row>
    <row r="76" spans="1:44">
      <c r="A76" s="1220">
        <f t="shared" si="10"/>
        <v>8</v>
      </c>
      <c r="B76" s="1235">
        <v>43890</v>
      </c>
      <c r="C76" s="1236"/>
      <c r="D76" s="1237"/>
      <c r="E76" s="1238"/>
      <c r="F76" s="1236">
        <v>362432.44625150017</v>
      </c>
      <c r="G76" s="1237">
        <f t="shared" si="4"/>
        <v>1.5997496912828271E-2</v>
      </c>
      <c r="H76" s="1238">
        <f t="shared" si="11"/>
        <v>0.133059425180444</v>
      </c>
      <c r="I76" s="1236">
        <v>362432.44625150017</v>
      </c>
      <c r="J76" s="1237">
        <f t="shared" si="5"/>
        <v>1.5997496912828271E-2</v>
      </c>
      <c r="K76" s="1238">
        <f t="shared" si="7"/>
        <v>0.133059425180444</v>
      </c>
      <c r="L76" s="1233" t="str">
        <f t="shared" si="12"/>
        <v>ADELANTADO</v>
      </c>
      <c r="M76" s="1233" t="str">
        <f t="shared" si="12"/>
        <v>ADELANTADO</v>
      </c>
      <c r="N76" s="1198"/>
      <c r="O76" s="1198"/>
      <c r="P76" s="1198"/>
      <c r="Q76" s="1198"/>
      <c r="R76" s="1198"/>
      <c r="S76" s="1198"/>
      <c r="T76" s="1198"/>
      <c r="U76" s="1198"/>
      <c r="V76" s="1198"/>
      <c r="W76" s="1198"/>
      <c r="X76" s="1198"/>
      <c r="Y76" s="1198"/>
      <c r="Z76" s="1198"/>
      <c r="AA76" s="1198"/>
      <c r="AB76" s="1198"/>
      <c r="AC76" s="1198"/>
      <c r="AD76" s="1198"/>
      <c r="AE76" s="1198"/>
      <c r="AF76" s="1198"/>
      <c r="AG76" s="1198"/>
      <c r="AH76" s="1198"/>
      <c r="AI76" s="1198"/>
      <c r="AJ76" s="1198"/>
      <c r="AK76" s="1198"/>
      <c r="AL76" s="1198"/>
      <c r="AM76" s="1198"/>
      <c r="AN76" s="1198"/>
      <c r="AP76" s="1154">
        <f t="shared" si="8"/>
        <v>3014537.4134309394</v>
      </c>
      <c r="AQ76" s="1154">
        <f t="shared" si="9"/>
        <v>3014537.4134309394</v>
      </c>
    </row>
    <row r="77" spans="1:44">
      <c r="A77" s="1220">
        <f t="shared" si="10"/>
        <v>9</v>
      </c>
      <c r="B77" s="1235">
        <v>43921</v>
      </c>
      <c r="C77" s="1236"/>
      <c r="D77" s="1237"/>
      <c r="E77" s="1238"/>
      <c r="F77" s="1236">
        <v>278985.27599320019</v>
      </c>
      <c r="G77" s="1237">
        <f t="shared" si="4"/>
        <v>1.2314201274156176E-2</v>
      </c>
      <c r="H77" s="1238">
        <f>+G77+H76</f>
        <v>0.14537362645460017</v>
      </c>
      <c r="I77" s="1236">
        <v>278985.27599320019</v>
      </c>
      <c r="J77" s="1237">
        <f t="shared" si="5"/>
        <v>1.2314201274156176E-2</v>
      </c>
      <c r="K77" s="1238">
        <f t="shared" si="7"/>
        <v>0.14537362645460017</v>
      </c>
      <c r="L77" s="1233" t="str">
        <f t="shared" si="12"/>
        <v>ADELANTADO</v>
      </c>
      <c r="M77" s="1233" t="str">
        <f t="shared" si="12"/>
        <v>ADELANTADO</v>
      </c>
      <c r="N77" s="1198"/>
      <c r="O77" s="1198"/>
      <c r="P77" s="1198"/>
      <c r="Q77" s="1198"/>
      <c r="R77" s="1198"/>
      <c r="S77" s="1198"/>
      <c r="T77" s="1198"/>
      <c r="U77" s="1198"/>
      <c r="V77" s="1198"/>
      <c r="W77" s="1198"/>
      <c r="X77" s="1198"/>
      <c r="Y77" s="1198"/>
      <c r="Z77" s="1198"/>
      <c r="AA77" s="1198"/>
      <c r="AB77" s="1198"/>
      <c r="AC77" s="1198"/>
      <c r="AD77" s="1198"/>
      <c r="AE77" s="1198"/>
      <c r="AF77" s="1198"/>
      <c r="AG77" s="1198"/>
      <c r="AH77" s="1198"/>
      <c r="AI77" s="1198"/>
      <c r="AJ77" s="1198"/>
      <c r="AK77" s="1198"/>
      <c r="AL77" s="1198"/>
      <c r="AM77" s="1198"/>
      <c r="AN77" s="1198"/>
      <c r="AP77" s="1154">
        <f t="shared" si="8"/>
        <v>3293522.6894241394</v>
      </c>
      <c r="AQ77" s="1154">
        <f t="shared" si="9"/>
        <v>3293522.6894241394</v>
      </c>
    </row>
    <row r="78" spans="1:44">
      <c r="A78" s="1220">
        <f t="shared" si="10"/>
        <v>10</v>
      </c>
      <c r="B78" s="1235">
        <v>43951</v>
      </c>
      <c r="C78" s="1236"/>
      <c r="D78" s="1237"/>
      <c r="E78" s="1238"/>
      <c r="F78" s="1236">
        <v>0</v>
      </c>
      <c r="G78" s="1237">
        <f t="shared" si="4"/>
        <v>0</v>
      </c>
      <c r="H78" s="1238">
        <f t="shared" si="11"/>
        <v>0.14537362645460017</v>
      </c>
      <c r="I78" s="1236">
        <v>0</v>
      </c>
      <c r="J78" s="1237">
        <f t="shared" si="5"/>
        <v>0</v>
      </c>
      <c r="K78" s="1238">
        <f t="shared" si="7"/>
        <v>0.14537362645460017</v>
      </c>
      <c r="L78" s="1233" t="str">
        <f t="shared" si="12"/>
        <v>ADELANTADO</v>
      </c>
      <c r="M78" s="1233" t="str">
        <f t="shared" si="12"/>
        <v>ADELANTADO</v>
      </c>
      <c r="N78" s="1198"/>
      <c r="O78" s="1198"/>
      <c r="P78" s="1198"/>
      <c r="Q78" s="1198"/>
      <c r="R78" s="1198"/>
      <c r="S78" s="1198"/>
      <c r="T78" s="1198"/>
      <c r="U78" s="1198"/>
      <c r="V78" s="1198"/>
      <c r="W78" s="1198"/>
      <c r="X78" s="1198"/>
      <c r="Y78" s="1198"/>
      <c r="Z78" s="1198"/>
      <c r="AA78" s="1198"/>
      <c r="AB78" s="1198"/>
      <c r="AC78" s="1198"/>
      <c r="AD78" s="1198"/>
      <c r="AE78" s="1198"/>
      <c r="AF78" s="1198"/>
      <c r="AG78" s="1198"/>
      <c r="AH78" s="1198"/>
      <c r="AI78" s="1198"/>
      <c r="AJ78" s="1198"/>
      <c r="AK78" s="1198"/>
      <c r="AL78" s="1198"/>
      <c r="AM78" s="1198"/>
      <c r="AN78" s="1198"/>
      <c r="AP78" s="1154"/>
      <c r="AQ78" s="1154"/>
    </row>
    <row r="79" spans="1:44">
      <c r="A79" s="1220">
        <f t="shared" si="10"/>
        <v>11</v>
      </c>
      <c r="B79" s="1235">
        <v>43982</v>
      </c>
      <c r="C79" s="1236"/>
      <c r="D79" s="1237"/>
      <c r="E79" s="1238"/>
      <c r="F79" s="1236">
        <v>0</v>
      </c>
      <c r="G79" s="1237">
        <f t="shared" si="4"/>
        <v>0</v>
      </c>
      <c r="H79" s="1238">
        <f t="shared" si="11"/>
        <v>0.14537362645460017</v>
      </c>
      <c r="I79" s="1236">
        <v>0</v>
      </c>
      <c r="J79" s="1237">
        <f t="shared" si="5"/>
        <v>0</v>
      </c>
      <c r="K79" s="1238">
        <f t="shared" si="7"/>
        <v>0.14537362645460017</v>
      </c>
      <c r="L79" s="1233" t="str">
        <f t="shared" si="12"/>
        <v>ADELANTADO</v>
      </c>
      <c r="M79" s="1233" t="str">
        <f t="shared" si="12"/>
        <v>ADELANTADO</v>
      </c>
      <c r="N79" s="1198"/>
      <c r="O79" s="1198"/>
      <c r="P79" s="1198"/>
      <c r="Q79" s="1198"/>
      <c r="R79" s="1198"/>
      <c r="S79" s="1198"/>
      <c r="T79" s="1198"/>
      <c r="U79" s="1198"/>
      <c r="V79" s="1198"/>
      <c r="W79" s="1198"/>
      <c r="X79" s="1198"/>
      <c r="Y79" s="1198"/>
      <c r="Z79" s="1198"/>
      <c r="AA79" s="1198"/>
      <c r="AB79" s="1198"/>
      <c r="AC79" s="1198"/>
      <c r="AD79" s="1198"/>
      <c r="AE79" s="1198"/>
      <c r="AF79" s="1198"/>
      <c r="AG79" s="1198"/>
      <c r="AH79" s="1198"/>
      <c r="AI79" s="1198"/>
      <c r="AJ79" s="1198"/>
      <c r="AK79" s="1198"/>
      <c r="AL79" s="1198"/>
      <c r="AM79" s="1198"/>
      <c r="AN79" s="1198"/>
      <c r="AP79" s="1154"/>
      <c r="AQ79" s="1154"/>
    </row>
    <row r="80" spans="1:44">
      <c r="A80" s="1220">
        <f t="shared" si="10"/>
        <v>12</v>
      </c>
      <c r="B80" s="1235">
        <v>44012</v>
      </c>
      <c r="C80" s="1236"/>
      <c r="D80" s="1237"/>
      <c r="E80" s="1238"/>
      <c r="F80" s="1236">
        <v>10883.300000000001</v>
      </c>
      <c r="G80" s="1237">
        <f t="shared" si="4"/>
        <v>4.8038071632959734E-4</v>
      </c>
      <c r="H80" s="1238">
        <f t="shared" si="11"/>
        <v>0.14585400717092978</v>
      </c>
      <c r="I80" s="1236">
        <f>+Y63</f>
        <v>10883.300000000001</v>
      </c>
      <c r="J80" s="1237">
        <f t="shared" si="5"/>
        <v>4.8038071632959734E-4</v>
      </c>
      <c r="K80" s="1238">
        <f t="shared" si="7"/>
        <v>0.14585400717092978</v>
      </c>
      <c r="L80" s="1233" t="str">
        <f t="shared" si="12"/>
        <v>ADELANTADO</v>
      </c>
      <c r="M80" s="1233" t="str">
        <f t="shared" si="12"/>
        <v>ADELANTADO</v>
      </c>
      <c r="N80" s="1198"/>
      <c r="O80" s="1198"/>
      <c r="P80" s="1198"/>
      <c r="Q80" s="1198"/>
      <c r="R80" s="1198"/>
      <c r="S80" s="1198"/>
      <c r="T80" s="1198"/>
      <c r="U80" s="1198"/>
      <c r="V80" s="1198"/>
      <c r="W80" s="1198"/>
      <c r="X80" s="1198"/>
      <c r="Y80" s="1198"/>
      <c r="Z80" s="1198"/>
      <c r="AA80" s="1198"/>
      <c r="AB80" s="1198"/>
      <c r="AC80" s="1198"/>
      <c r="AD80" s="1198"/>
      <c r="AE80" s="1198"/>
      <c r="AF80" s="1198"/>
      <c r="AG80" s="1198"/>
      <c r="AH80" s="1198"/>
      <c r="AI80" s="1198"/>
      <c r="AJ80" s="1198"/>
      <c r="AK80" s="1198"/>
      <c r="AL80" s="1198"/>
      <c r="AM80" s="1198"/>
      <c r="AN80" s="1198"/>
      <c r="AP80" s="1154"/>
      <c r="AQ80" s="1154"/>
    </row>
    <row r="81" spans="1:43">
      <c r="A81" s="1220">
        <f t="shared" si="10"/>
        <v>13</v>
      </c>
      <c r="B81" s="1235">
        <v>44043</v>
      </c>
      <c r="C81" s="1236"/>
      <c r="D81" s="1237"/>
      <c r="E81" s="1238"/>
      <c r="F81" s="1236">
        <v>718732.04767999949</v>
      </c>
      <c r="G81" s="1237">
        <f t="shared" si="4"/>
        <v>3.1724294645333349E-2</v>
      </c>
      <c r="H81" s="1238">
        <f t="shared" si="11"/>
        <v>0.17757830181626313</v>
      </c>
      <c r="I81" s="1236">
        <f>+Z63</f>
        <v>718732.04767999949</v>
      </c>
      <c r="J81" s="1237">
        <f t="shared" si="5"/>
        <v>3.1724294645333349E-2</v>
      </c>
      <c r="K81" s="1238">
        <f t="shared" si="7"/>
        <v>0.17757830181626313</v>
      </c>
      <c r="L81" s="1233" t="str">
        <f t="shared" si="12"/>
        <v>ADELANTADO</v>
      </c>
      <c r="M81" s="1233" t="str">
        <f t="shared" si="12"/>
        <v>ADELANTADO</v>
      </c>
      <c r="N81" s="1198"/>
      <c r="O81" s="1198"/>
      <c r="P81" s="1198"/>
      <c r="Q81" s="1198"/>
      <c r="R81" s="1198"/>
      <c r="S81" s="1198"/>
      <c r="T81" s="1198"/>
      <c r="U81" s="1198"/>
      <c r="V81" s="1198"/>
      <c r="W81" s="1198"/>
      <c r="X81" s="1198"/>
      <c r="Y81" s="1198"/>
      <c r="Z81" s="1198"/>
      <c r="AA81" s="1198"/>
      <c r="AB81" s="1198"/>
      <c r="AC81" s="1198"/>
      <c r="AD81" s="1198"/>
      <c r="AE81" s="1198"/>
      <c r="AF81" s="1198"/>
      <c r="AG81" s="1198"/>
      <c r="AH81" s="1198"/>
      <c r="AI81" s="1198"/>
      <c r="AJ81" s="1198"/>
      <c r="AK81" s="1198"/>
      <c r="AL81" s="1198"/>
      <c r="AM81" s="1198"/>
      <c r="AN81" s="1198"/>
      <c r="AP81" s="1154"/>
      <c r="AQ81" s="1154"/>
    </row>
    <row r="82" spans="1:43">
      <c r="A82" s="1220">
        <f t="shared" si="10"/>
        <v>14</v>
      </c>
      <c r="B82" s="1235">
        <v>44074</v>
      </c>
      <c r="C82" s="1236"/>
      <c r="D82" s="1237"/>
      <c r="E82" s="1238"/>
      <c r="F82" s="1236">
        <v>615154.61599999992</v>
      </c>
      <c r="G82" s="1237">
        <f t="shared" si="4"/>
        <v>2.715246433412093E-2</v>
      </c>
      <c r="H82" s="1238">
        <f t="shared" si="11"/>
        <v>0.20473076615038407</v>
      </c>
      <c r="I82" s="1236">
        <f>+AA63</f>
        <v>615154.61599999992</v>
      </c>
      <c r="J82" s="1237">
        <f t="shared" si="5"/>
        <v>2.715246433412093E-2</v>
      </c>
      <c r="K82" s="1238">
        <f t="shared" si="7"/>
        <v>0.20473076615038407</v>
      </c>
      <c r="L82" s="1233" t="str">
        <f t="shared" si="12"/>
        <v>ADELANTADO</v>
      </c>
      <c r="M82" s="1233" t="str">
        <f t="shared" si="12"/>
        <v>ADELANTADO</v>
      </c>
      <c r="N82" s="1198"/>
      <c r="O82" s="1198"/>
      <c r="P82" s="1198"/>
      <c r="Q82" s="1198"/>
      <c r="R82" s="1198"/>
      <c r="S82" s="1198"/>
      <c r="T82" s="1198"/>
      <c r="U82" s="1198"/>
      <c r="V82" s="1198"/>
      <c r="W82" s="1198"/>
      <c r="X82" s="1198"/>
      <c r="Y82" s="1198"/>
      <c r="Z82" s="1198"/>
      <c r="AA82" s="1198"/>
      <c r="AB82" s="1198"/>
      <c r="AC82" s="1198"/>
      <c r="AD82" s="1198"/>
      <c r="AE82" s="1198"/>
      <c r="AF82" s="1198"/>
      <c r="AG82" s="1198"/>
      <c r="AH82" s="1198"/>
      <c r="AI82" s="1198"/>
      <c r="AJ82" s="1198"/>
      <c r="AK82" s="1198"/>
      <c r="AL82" s="1198"/>
      <c r="AM82" s="1198"/>
      <c r="AN82" s="1198"/>
      <c r="AP82" s="1154"/>
      <c r="AQ82" s="1154"/>
    </row>
    <row r="83" spans="1:43">
      <c r="A83" s="1220">
        <f t="shared" si="10"/>
        <v>15</v>
      </c>
      <c r="B83" s="1235">
        <v>44104</v>
      </c>
      <c r="C83" s="1236"/>
      <c r="D83" s="1237"/>
      <c r="E83" s="1238"/>
      <c r="F83" s="1236">
        <v>433137.69059099996</v>
      </c>
      <c r="G83" s="1237">
        <f t="shared" si="4"/>
        <v>1.9118373478214514E-2</v>
      </c>
      <c r="H83" s="1238">
        <f t="shared" si="11"/>
        <v>0.22384913962859859</v>
      </c>
      <c r="I83" s="1236">
        <f>+AB63</f>
        <v>433137.69059099996</v>
      </c>
      <c r="J83" s="1237">
        <f t="shared" si="5"/>
        <v>1.9118373478214514E-2</v>
      </c>
      <c r="K83" s="1238">
        <f t="shared" si="7"/>
        <v>0.22384913962859859</v>
      </c>
      <c r="L83" s="1233" t="str">
        <f t="shared" si="12"/>
        <v>ADELANTADO</v>
      </c>
      <c r="M83" s="1233" t="str">
        <f t="shared" si="12"/>
        <v>ADELANTADO</v>
      </c>
      <c r="N83" s="1198"/>
      <c r="O83" s="1198"/>
      <c r="P83" s="1198"/>
      <c r="Q83" s="1198"/>
      <c r="R83" s="1198"/>
      <c r="S83" s="1198"/>
      <c r="T83" s="1198"/>
      <c r="U83" s="1198"/>
      <c r="V83" s="1198"/>
      <c r="W83" s="1198"/>
      <c r="X83" s="1198"/>
      <c r="Y83" s="1198"/>
      <c r="Z83" s="1198"/>
      <c r="AA83" s="1198"/>
      <c r="AB83" s="1198"/>
      <c r="AC83" s="1198"/>
      <c r="AD83" s="1198"/>
      <c r="AE83" s="1198"/>
      <c r="AF83" s="1198"/>
      <c r="AG83" s="1198"/>
      <c r="AH83" s="1198"/>
      <c r="AI83" s="1198"/>
      <c r="AJ83" s="1198"/>
      <c r="AK83" s="1198"/>
      <c r="AL83" s="1198"/>
      <c r="AM83" s="1198"/>
      <c r="AN83" s="1198"/>
      <c r="AP83" s="1154"/>
      <c r="AQ83" s="1154"/>
    </row>
    <row r="84" spans="1:43" s="1284" customFormat="1">
      <c r="A84" s="1220">
        <f t="shared" si="10"/>
        <v>16</v>
      </c>
      <c r="B84" s="1278">
        <v>44135</v>
      </c>
      <c r="C84" s="1279"/>
      <c r="D84" s="1280"/>
      <c r="E84" s="1281"/>
      <c r="F84" s="1279">
        <v>537925.3792812482</v>
      </c>
      <c r="G84" s="1237">
        <f t="shared" si="4"/>
        <v>2.3743623628035275E-2</v>
      </c>
      <c r="H84" s="1281">
        <f t="shared" si="11"/>
        <v>0.24759276325663387</v>
      </c>
      <c r="I84" s="1279">
        <f>+AC63</f>
        <v>537925.3792812482</v>
      </c>
      <c r="J84" s="1237">
        <f t="shared" si="5"/>
        <v>2.3743623628035275E-2</v>
      </c>
      <c r="K84" s="1281">
        <f t="shared" si="7"/>
        <v>0.24759276325663387</v>
      </c>
      <c r="L84" s="1282" t="str">
        <f t="shared" si="12"/>
        <v>ADELANTADO</v>
      </c>
      <c r="M84" s="1282" t="str">
        <f t="shared" si="12"/>
        <v>ADELANTADO</v>
      </c>
      <c r="N84" s="1283"/>
      <c r="O84" s="1283"/>
      <c r="P84" s="1283"/>
      <c r="Q84" s="1283"/>
      <c r="R84" s="1283"/>
      <c r="S84" s="1283"/>
      <c r="T84" s="1283"/>
      <c r="U84" s="1283"/>
      <c r="V84" s="1283"/>
      <c r="W84" s="1283"/>
      <c r="X84" s="1283"/>
      <c r="Y84" s="1283"/>
      <c r="Z84" s="1283"/>
      <c r="AA84" s="1283"/>
      <c r="AB84" s="1283"/>
      <c r="AC84" s="1283"/>
      <c r="AD84" s="1283"/>
      <c r="AE84" s="1283"/>
      <c r="AF84" s="1283"/>
      <c r="AG84" s="1283"/>
      <c r="AH84" s="1283"/>
      <c r="AI84" s="1283"/>
      <c r="AJ84" s="1283"/>
      <c r="AK84" s="1283"/>
      <c r="AL84" s="1283"/>
      <c r="AM84" s="1283"/>
      <c r="AN84" s="1283"/>
      <c r="AP84" s="1285"/>
      <c r="AQ84" s="1285"/>
    </row>
    <row r="85" spans="1:43">
      <c r="A85" s="1220">
        <f t="shared" si="10"/>
        <v>17</v>
      </c>
      <c r="B85" s="1278">
        <v>44165</v>
      </c>
      <c r="C85" s="1279"/>
      <c r="D85" s="1280"/>
      <c r="E85" s="1281"/>
      <c r="F85" s="1279">
        <v>893804.87490000005</v>
      </c>
      <c r="G85" s="1237">
        <f t="shared" si="4"/>
        <v>3.9451878204528786E-2</v>
      </c>
      <c r="H85" s="1238">
        <f t="shared" si="11"/>
        <v>0.28704464146116265</v>
      </c>
      <c r="I85" s="1279">
        <f>+AD63</f>
        <v>893804.87490000005</v>
      </c>
      <c r="J85" s="1237">
        <f t="shared" si="5"/>
        <v>3.9451878204528786E-2</v>
      </c>
      <c r="K85" s="1281">
        <f t="shared" si="7"/>
        <v>0.28704464146116265</v>
      </c>
      <c r="L85" s="1282" t="str">
        <f t="shared" si="12"/>
        <v>ADELANTADO</v>
      </c>
      <c r="M85" s="1282" t="str">
        <f t="shared" si="12"/>
        <v>ADELANTADO</v>
      </c>
      <c r="N85" s="1198"/>
      <c r="O85" s="1198"/>
      <c r="P85" s="1198"/>
      <c r="Q85" s="1198"/>
      <c r="R85" s="1198"/>
      <c r="S85" s="1198"/>
      <c r="T85" s="1198"/>
      <c r="U85" s="1198"/>
      <c r="V85" s="1198"/>
      <c r="W85" s="1198"/>
      <c r="X85" s="1198"/>
      <c r="Y85" s="1198"/>
      <c r="Z85" s="1198"/>
      <c r="AA85" s="1198"/>
      <c r="AB85" s="1198"/>
      <c r="AC85" s="1198"/>
      <c r="AD85" s="1198"/>
      <c r="AE85" s="1198"/>
      <c r="AF85" s="1198"/>
      <c r="AG85" s="1198"/>
      <c r="AH85" s="1198"/>
      <c r="AI85" s="1198"/>
      <c r="AJ85" s="1198"/>
      <c r="AK85" s="1198"/>
      <c r="AL85" s="1198"/>
      <c r="AM85" s="1198"/>
      <c r="AN85" s="1198"/>
      <c r="AP85" s="1154"/>
      <c r="AQ85" s="1154"/>
    </row>
    <row r="86" spans="1:43">
      <c r="A86" s="1220">
        <f t="shared" si="10"/>
        <v>18</v>
      </c>
      <c r="B86" s="1278">
        <v>44196</v>
      </c>
      <c r="C86" s="1279"/>
      <c r="D86" s="1280"/>
      <c r="E86" s="1281"/>
      <c r="F86" s="1279">
        <v>1198303.2483999999</v>
      </c>
      <c r="G86" s="1237">
        <f t="shared" si="4"/>
        <v>5.2892208507206023E-2</v>
      </c>
      <c r="H86" s="1238">
        <f t="shared" si="11"/>
        <v>0.3399368499683687</v>
      </c>
      <c r="I86" s="1279">
        <f>+AE63</f>
        <v>1198303.2483999999</v>
      </c>
      <c r="J86" s="1237">
        <f t="shared" si="5"/>
        <v>5.2892208507206023E-2</v>
      </c>
      <c r="K86" s="1281">
        <f t="shared" si="7"/>
        <v>0.3399368499683687</v>
      </c>
      <c r="L86" s="1282" t="str">
        <f t="shared" si="12"/>
        <v>ADELANTADO</v>
      </c>
      <c r="M86" s="1282" t="str">
        <f t="shared" si="12"/>
        <v>ADELANTADO</v>
      </c>
      <c r="N86" s="1198"/>
      <c r="O86" s="1198"/>
      <c r="P86" s="1198"/>
      <c r="Q86" s="1198"/>
      <c r="R86" s="1198"/>
      <c r="S86" s="1198"/>
      <c r="T86" s="1198"/>
      <c r="U86" s="1198"/>
      <c r="V86" s="1198"/>
      <c r="W86" s="1198"/>
      <c r="X86" s="1198"/>
      <c r="Y86" s="1198"/>
      <c r="Z86" s="1198"/>
      <c r="AA86" s="1198"/>
      <c r="AB86" s="1198"/>
      <c r="AC86" s="1198"/>
      <c r="AD86" s="1198"/>
      <c r="AE86" s="1198"/>
      <c r="AF86" s="1198"/>
      <c r="AG86" s="1198"/>
      <c r="AH86" s="1198"/>
      <c r="AI86" s="1198"/>
      <c r="AJ86" s="1198"/>
      <c r="AK86" s="1198"/>
      <c r="AL86" s="1198"/>
      <c r="AM86" s="1198"/>
      <c r="AN86" s="1198"/>
      <c r="AP86" s="1154"/>
      <c r="AQ86" s="1154"/>
    </row>
    <row r="87" spans="1:43">
      <c r="A87" s="1220">
        <f t="shared" si="10"/>
        <v>19</v>
      </c>
      <c r="B87" s="1278">
        <v>44227</v>
      </c>
      <c r="C87" s="1279"/>
      <c r="D87" s="1280"/>
      <c r="E87" s="1281"/>
      <c r="F87" s="1279">
        <v>290175.82593217224</v>
      </c>
      <c r="G87" s="1237">
        <f t="shared" si="4"/>
        <v>1.2808143772828962E-2</v>
      </c>
      <c r="H87" s="1281">
        <f>G87+H86</f>
        <v>0.35274499374119767</v>
      </c>
      <c r="I87" s="1279">
        <f>+AF63</f>
        <v>290175.82593217224</v>
      </c>
      <c r="J87" s="1237">
        <f t="shared" si="5"/>
        <v>1.2808143772828962E-2</v>
      </c>
      <c r="K87" s="1281">
        <f>J87+K86</f>
        <v>0.35274499374119767</v>
      </c>
      <c r="L87" s="1282" t="str">
        <f>IF(J87&gt;=G87,"ADELANTADO","ATRASADO")</f>
        <v>ADELANTADO</v>
      </c>
      <c r="M87" s="1282" t="str">
        <f t="shared" si="12"/>
        <v>ADELANTADO</v>
      </c>
      <c r="N87" s="1198"/>
      <c r="O87" s="1198"/>
      <c r="P87" s="1198"/>
      <c r="Q87" s="1198"/>
      <c r="R87" s="1198"/>
      <c r="S87" s="1198"/>
      <c r="T87" s="1198"/>
      <c r="U87" s="1198"/>
      <c r="V87" s="1198"/>
      <c r="W87" s="1198"/>
      <c r="X87" s="1198"/>
      <c r="Y87" s="1198"/>
      <c r="Z87" s="1198"/>
      <c r="AA87" s="1198"/>
      <c r="AB87" s="1198"/>
      <c r="AC87" s="1198"/>
      <c r="AD87" s="1198"/>
      <c r="AE87" s="1198"/>
      <c r="AF87" s="1198"/>
      <c r="AG87" s="1198"/>
      <c r="AH87" s="1198"/>
      <c r="AI87" s="1198"/>
      <c r="AJ87" s="1198"/>
      <c r="AK87" s="1198"/>
      <c r="AL87" s="1198"/>
      <c r="AM87" s="1198"/>
      <c r="AN87" s="1198"/>
      <c r="AP87" s="1154"/>
      <c r="AQ87" s="1154"/>
    </row>
    <row r="88" spans="1:43">
      <c r="A88" s="1220">
        <f t="shared" si="10"/>
        <v>20</v>
      </c>
      <c r="B88" s="1278">
        <v>44255</v>
      </c>
      <c r="C88" s="1279"/>
      <c r="D88" s="1280"/>
      <c r="E88" s="1281"/>
      <c r="F88" s="1279">
        <v>0</v>
      </c>
      <c r="G88" s="1237">
        <f t="shared" si="4"/>
        <v>0</v>
      </c>
      <c r="H88" s="1281">
        <f t="shared" si="11"/>
        <v>0.35274499374119767</v>
      </c>
      <c r="I88" s="1279">
        <v>0</v>
      </c>
      <c r="J88" s="1237">
        <f t="shared" si="5"/>
        <v>0</v>
      </c>
      <c r="K88" s="1281">
        <f t="shared" si="7"/>
        <v>0.35274499374119767</v>
      </c>
      <c r="L88" s="1282" t="str">
        <f>IF(J88&gt;=G88,"ADELANTADO","ATRASADO")</f>
        <v>ADELANTADO</v>
      </c>
      <c r="M88" s="1282" t="str">
        <f t="shared" ref="M88:M90" si="13">IF(K88&gt;=H88,"ADELANTADO","ATRASADO")</f>
        <v>ADELANTADO</v>
      </c>
      <c r="N88" s="1198"/>
      <c r="O88" s="1198"/>
      <c r="P88" s="1198"/>
      <c r="Q88" s="1198"/>
      <c r="R88" s="1198"/>
      <c r="S88" s="1198"/>
      <c r="T88" s="1198"/>
      <c r="U88" s="1198"/>
      <c r="V88" s="1198"/>
      <c r="W88" s="1198"/>
      <c r="X88" s="1198"/>
      <c r="Y88" s="1198"/>
      <c r="Z88" s="1198"/>
      <c r="AA88" s="1198"/>
      <c r="AB88" s="1198"/>
      <c r="AC88" s="1198"/>
      <c r="AD88" s="1198"/>
      <c r="AE88" s="1198"/>
      <c r="AF88" s="1198"/>
      <c r="AG88" s="1198"/>
      <c r="AH88" s="1198"/>
      <c r="AI88" s="1198"/>
      <c r="AJ88" s="1198"/>
      <c r="AK88" s="1198"/>
      <c r="AL88" s="1198"/>
      <c r="AM88" s="1198"/>
      <c r="AN88" s="1198"/>
      <c r="AP88" s="1154"/>
      <c r="AQ88" s="1154"/>
    </row>
    <row r="89" spans="1:43">
      <c r="A89" s="1220">
        <f t="shared" si="10"/>
        <v>21</v>
      </c>
      <c r="B89" s="1278">
        <v>44286</v>
      </c>
      <c r="C89" s="1279"/>
      <c r="D89" s="1280"/>
      <c r="E89" s="1281"/>
      <c r="F89" s="1279">
        <v>739551.09941010596</v>
      </c>
      <c r="G89" s="1237">
        <f t="shared" si="4"/>
        <v>3.2643232006557561E-2</v>
      </c>
      <c r="H89" s="1281">
        <f t="shared" si="11"/>
        <v>0.38538822574775522</v>
      </c>
      <c r="I89" s="1279">
        <f>+AH63</f>
        <v>739551.09941010596</v>
      </c>
      <c r="J89" s="1237">
        <f t="shared" si="5"/>
        <v>3.2643232006557561E-2</v>
      </c>
      <c r="K89" s="1281">
        <f t="shared" si="7"/>
        <v>0.38538822574775522</v>
      </c>
      <c r="L89" s="1282" t="str">
        <f>IF(J89&gt;=G89,"ADELANTADO","ATRASADO")</f>
        <v>ADELANTADO</v>
      </c>
      <c r="M89" s="1282" t="str">
        <f t="shared" si="13"/>
        <v>ADELANTADO</v>
      </c>
      <c r="N89" s="1198"/>
      <c r="O89" s="1198"/>
      <c r="P89" s="1198"/>
      <c r="Q89" s="1198"/>
      <c r="R89" s="1198"/>
      <c r="S89" s="1198"/>
      <c r="T89" s="1198"/>
      <c r="U89" s="1198"/>
      <c r="V89" s="1198"/>
      <c r="W89" s="1198"/>
      <c r="X89" s="1198"/>
      <c r="Y89" s="1198"/>
      <c r="Z89" s="1198"/>
      <c r="AA89" s="1198"/>
      <c r="AB89" s="1198"/>
      <c r="AC89" s="1198"/>
      <c r="AD89" s="1198"/>
      <c r="AE89" s="1198"/>
      <c r="AF89" s="1198"/>
      <c r="AG89" s="1198"/>
      <c r="AH89" s="1198"/>
      <c r="AI89" s="1198"/>
      <c r="AJ89" s="1198"/>
      <c r="AK89" s="1198"/>
      <c r="AL89" s="1198"/>
      <c r="AM89" s="1198"/>
      <c r="AN89" s="1198"/>
      <c r="AP89" s="1154"/>
      <c r="AQ89" s="1154"/>
    </row>
    <row r="90" spans="1:43">
      <c r="A90" s="1220">
        <f t="shared" si="10"/>
        <v>22</v>
      </c>
      <c r="B90" s="1278">
        <v>44316</v>
      </c>
      <c r="C90" s="1279"/>
      <c r="D90" s="1280"/>
      <c r="E90" s="1281"/>
      <c r="F90" s="1279">
        <v>786986.7972846406</v>
      </c>
      <c r="G90" s="1237">
        <f t="shared" si="4"/>
        <v>3.4737008207210242E-2</v>
      </c>
      <c r="H90" s="1281">
        <f t="shared" si="11"/>
        <v>0.42012523395496548</v>
      </c>
      <c r="I90" s="1279">
        <f>+AI63</f>
        <v>786986.7972846406</v>
      </c>
      <c r="J90" s="1237">
        <f t="shared" si="5"/>
        <v>3.4737008207210242E-2</v>
      </c>
      <c r="K90" s="1281">
        <f t="shared" si="7"/>
        <v>0.42012523395496548</v>
      </c>
      <c r="L90" s="1282" t="str">
        <f>IF(J90&gt;=G90,"ADELANTADO","ATRASADO")</f>
        <v>ADELANTADO</v>
      </c>
      <c r="M90" s="1282" t="str">
        <f t="shared" si="13"/>
        <v>ADELANTADO</v>
      </c>
      <c r="N90" s="1198"/>
      <c r="O90" s="1198"/>
      <c r="P90" s="1198"/>
      <c r="Q90" s="1198"/>
      <c r="R90" s="1198"/>
      <c r="S90" s="1198"/>
      <c r="T90" s="1198"/>
      <c r="U90" s="1198"/>
      <c r="V90" s="1198"/>
      <c r="W90" s="1198"/>
      <c r="X90" s="1198"/>
      <c r="Y90" s="1198"/>
      <c r="Z90" s="1198"/>
      <c r="AA90" s="1198"/>
      <c r="AB90" s="1198"/>
      <c r="AC90" s="1198"/>
      <c r="AD90" s="1198"/>
      <c r="AE90" s="1198"/>
      <c r="AF90" s="1198"/>
      <c r="AG90" s="1198"/>
      <c r="AH90" s="1198"/>
      <c r="AI90" s="1198"/>
      <c r="AJ90" s="1198"/>
      <c r="AK90" s="1198"/>
      <c r="AL90" s="1198"/>
      <c r="AM90" s="1198"/>
      <c r="AN90" s="1198"/>
      <c r="AP90" s="1154"/>
      <c r="AQ90" s="1154"/>
    </row>
    <row r="91" spans="1:43">
      <c r="A91" s="1220">
        <f t="shared" si="10"/>
        <v>23</v>
      </c>
      <c r="B91" s="1278">
        <v>44346</v>
      </c>
      <c r="C91" s="1279"/>
      <c r="D91" s="1280"/>
      <c r="E91" s="1281"/>
      <c r="F91" s="1279">
        <v>748512.35712756019</v>
      </c>
      <c r="G91" s="1237">
        <f t="shared" si="4"/>
        <v>3.3038775215099528E-2</v>
      </c>
      <c r="H91" s="1281">
        <f t="shared" ref="H91:H92" si="14">G91+H90</f>
        <v>0.453164009170065</v>
      </c>
      <c r="I91" s="1279">
        <f>+AJ63</f>
        <v>748512.35712756019</v>
      </c>
      <c r="J91" s="1237">
        <f t="shared" si="5"/>
        <v>3.3038775215099528E-2</v>
      </c>
      <c r="K91" s="1281">
        <f t="shared" si="7"/>
        <v>0.453164009170065</v>
      </c>
      <c r="L91" s="1282" t="str">
        <f t="shared" ref="L91:L92" si="15">IF(J91&gt;=G91,"ADELANTADO","ATRASADO")</f>
        <v>ADELANTADO</v>
      </c>
      <c r="M91" s="1282" t="str">
        <f t="shared" ref="M91:M92" si="16">IF(K91&gt;=H91,"ADELANTADO","ATRASADO")</f>
        <v>ADELANTADO</v>
      </c>
      <c r="N91" s="1198"/>
      <c r="O91" s="1198"/>
      <c r="P91" s="1198"/>
      <c r="Q91" s="1198"/>
      <c r="R91" s="1198"/>
      <c r="S91" s="1198"/>
      <c r="T91" s="1198"/>
      <c r="U91" s="1198"/>
      <c r="V91" s="1198"/>
      <c r="W91" s="1198"/>
      <c r="X91" s="1198"/>
      <c r="Y91" s="1198"/>
      <c r="Z91" s="1198"/>
      <c r="AA91" s="1198"/>
      <c r="AB91" s="1198"/>
      <c r="AC91" s="1198"/>
      <c r="AD91" s="1198"/>
      <c r="AE91" s="1198"/>
      <c r="AF91" s="1198"/>
      <c r="AG91" s="1198"/>
      <c r="AH91" s="1198"/>
      <c r="AI91" s="1198"/>
      <c r="AJ91" s="1198"/>
      <c r="AK91" s="1198"/>
      <c r="AL91" s="1198"/>
      <c r="AM91" s="1198"/>
      <c r="AN91" s="1198"/>
      <c r="AP91" s="1154"/>
      <c r="AQ91" s="1154"/>
    </row>
    <row r="92" spans="1:43">
      <c r="A92" s="1220">
        <f t="shared" si="10"/>
        <v>24</v>
      </c>
      <c r="B92" s="1278">
        <v>44377</v>
      </c>
      <c r="C92" s="1279"/>
      <c r="D92" s="1280"/>
      <c r="E92" s="1281"/>
      <c r="F92" s="1279">
        <v>734104.83104864007</v>
      </c>
      <c r="G92" s="1237">
        <f t="shared" si="4"/>
        <v>3.2402837797374302E-2</v>
      </c>
      <c r="H92" s="1281">
        <f t="shared" si="14"/>
        <v>0.48556684696743929</v>
      </c>
      <c r="I92" s="1279">
        <v>734104.83104864007</v>
      </c>
      <c r="J92" s="1237">
        <f t="shared" si="5"/>
        <v>3.2402837797374302E-2</v>
      </c>
      <c r="K92" s="1281">
        <f t="shared" si="7"/>
        <v>0.48556684696743929</v>
      </c>
      <c r="L92" s="1282" t="str">
        <f t="shared" si="15"/>
        <v>ADELANTADO</v>
      </c>
      <c r="M92" s="1282" t="str">
        <f t="shared" si="16"/>
        <v>ADELANTADO</v>
      </c>
      <c r="N92" s="1198"/>
      <c r="O92" s="1198"/>
      <c r="P92" s="1198"/>
      <c r="Q92" s="1198"/>
      <c r="R92" s="1198"/>
      <c r="S92" s="1198"/>
      <c r="T92" s="1198"/>
      <c r="U92" s="1198"/>
      <c r="V92" s="1198"/>
      <c r="W92" s="1198"/>
      <c r="X92" s="1198"/>
      <c r="Y92" s="1198"/>
      <c r="Z92" s="1198"/>
      <c r="AA92" s="1198"/>
      <c r="AB92" s="1198"/>
      <c r="AC92" s="1198"/>
      <c r="AD92" s="1198"/>
      <c r="AE92" s="1198"/>
      <c r="AF92" s="1198"/>
      <c r="AG92" s="1198"/>
      <c r="AH92" s="1198"/>
      <c r="AI92" s="1198"/>
      <c r="AJ92" s="1198"/>
      <c r="AK92" s="1198"/>
      <c r="AL92" s="1198"/>
      <c r="AM92" s="1198"/>
      <c r="AN92" s="1198"/>
      <c r="AP92" s="1154"/>
      <c r="AQ92" s="1154"/>
    </row>
    <row r="93" spans="1:43">
      <c r="A93" s="1220">
        <f t="shared" si="10"/>
        <v>25</v>
      </c>
      <c r="B93" s="1278">
        <v>44408</v>
      </c>
      <c r="C93" s="1279"/>
      <c r="D93" s="1280"/>
      <c r="E93" s="1281"/>
      <c r="F93" s="1279">
        <v>722254.07459729782</v>
      </c>
      <c r="G93" s="1237">
        <f t="shared" si="4"/>
        <v>3.1879754277380969E-2</v>
      </c>
      <c r="H93" s="1281">
        <f t="shared" ref="H93" si="17">G93+H92</f>
        <v>0.51744660124482023</v>
      </c>
      <c r="I93" s="1279">
        <v>722254.07459729782</v>
      </c>
      <c r="J93" s="1237">
        <f t="shared" si="5"/>
        <v>3.1879754277380969E-2</v>
      </c>
      <c r="K93" s="1281">
        <f t="shared" ref="K93" si="18">J93+K92</f>
        <v>0.51744660124482023</v>
      </c>
      <c r="L93" s="1282" t="str">
        <f t="shared" ref="L93" si="19">IF(J93&gt;=G93,"ADELANTADO","ATRASADO")</f>
        <v>ADELANTADO</v>
      </c>
      <c r="M93" s="1282" t="str">
        <f t="shared" ref="M93" si="20">IF(K93&gt;=H93,"ADELANTADO","ATRASADO")</f>
        <v>ADELANTADO</v>
      </c>
      <c r="N93" s="1198"/>
      <c r="O93" s="1198"/>
      <c r="P93" s="1198"/>
      <c r="Q93" s="1198"/>
      <c r="R93" s="1198"/>
      <c r="S93" s="1198"/>
      <c r="T93" s="1198"/>
      <c r="U93" s="1198"/>
      <c r="V93" s="1198"/>
      <c r="W93" s="1198"/>
      <c r="X93" s="1198"/>
      <c r="Y93" s="1198"/>
      <c r="Z93" s="1198"/>
      <c r="AA93" s="1198"/>
      <c r="AB93" s="1198"/>
      <c r="AC93" s="1198"/>
      <c r="AD93" s="1198"/>
      <c r="AE93" s="1198"/>
      <c r="AF93" s="1198"/>
      <c r="AG93" s="1198"/>
      <c r="AH93" s="1198"/>
      <c r="AI93" s="1198"/>
      <c r="AJ93" s="1198"/>
      <c r="AK93" s="1198"/>
      <c r="AL93" s="1198"/>
      <c r="AM93" s="1198"/>
      <c r="AN93" s="1198"/>
      <c r="AP93" s="1154"/>
      <c r="AQ93" s="1154"/>
    </row>
    <row r="94" spans="1:43">
      <c r="A94" s="1220">
        <f t="shared" si="10"/>
        <v>26</v>
      </c>
      <c r="B94" s="1278">
        <v>44439</v>
      </c>
      <c r="C94" s="1279"/>
      <c r="D94" s="1280"/>
      <c r="E94" s="1281"/>
      <c r="F94" s="1279">
        <v>0</v>
      </c>
      <c r="G94" s="1237">
        <f t="shared" si="4"/>
        <v>0</v>
      </c>
      <c r="H94" s="1281">
        <f t="shared" ref="H94" si="21">G94+H93</f>
        <v>0.51744660124482023</v>
      </c>
      <c r="I94" s="1279">
        <v>0</v>
      </c>
      <c r="J94" s="1237">
        <f t="shared" si="5"/>
        <v>0</v>
      </c>
      <c r="K94" s="1281">
        <f t="shared" ref="K94" si="22">J94+K93</f>
        <v>0.51744660124482023</v>
      </c>
      <c r="L94" s="1282" t="str">
        <f t="shared" ref="L94" si="23">IF(J94&gt;=G94,"ADELANTADO","ATRASADO")</f>
        <v>ADELANTADO</v>
      </c>
      <c r="M94" s="1282" t="str">
        <f t="shared" ref="M94" si="24">IF(K94&gt;=H94,"ADELANTADO","ATRASADO")</f>
        <v>ADELANTADO</v>
      </c>
      <c r="N94" s="1198"/>
      <c r="O94" s="1198"/>
      <c r="P94" s="1198"/>
      <c r="Q94" s="1198"/>
      <c r="R94" s="1198"/>
      <c r="S94" s="1198"/>
      <c r="T94" s="1198"/>
      <c r="U94" s="1198"/>
      <c r="V94" s="1198"/>
      <c r="W94" s="1198"/>
      <c r="X94" s="1198"/>
      <c r="Y94" s="1198"/>
      <c r="Z94" s="1198"/>
      <c r="AA94" s="1198"/>
      <c r="AB94" s="1198"/>
      <c r="AC94" s="1198"/>
      <c r="AD94" s="1198"/>
      <c r="AE94" s="1198"/>
      <c r="AF94" s="1198"/>
      <c r="AG94" s="1198"/>
      <c r="AH94" s="1198"/>
      <c r="AI94" s="1198"/>
      <c r="AJ94" s="1198"/>
      <c r="AK94" s="1198"/>
      <c r="AL94" s="1198"/>
      <c r="AM94" s="1198"/>
      <c r="AN94" s="1198"/>
      <c r="AP94" s="1154"/>
      <c r="AQ94" s="1154"/>
    </row>
    <row r="95" spans="1:43">
      <c r="A95" s="1220">
        <f t="shared" si="10"/>
        <v>27</v>
      </c>
      <c r="B95" s="1278">
        <v>44469</v>
      </c>
      <c r="C95" s="1279"/>
      <c r="D95" s="1280"/>
      <c r="E95" s="1281"/>
      <c r="F95" s="1279">
        <v>0</v>
      </c>
      <c r="G95" s="1237">
        <f t="shared" si="4"/>
        <v>0</v>
      </c>
      <c r="H95" s="1281">
        <f t="shared" ref="H95" si="25">G95+H94</f>
        <v>0.51744660124482023</v>
      </c>
      <c r="I95" s="1279">
        <v>0</v>
      </c>
      <c r="J95" s="1237">
        <f t="shared" si="5"/>
        <v>0</v>
      </c>
      <c r="K95" s="1281">
        <f t="shared" ref="K95" si="26">J95+K94</f>
        <v>0.51744660124482023</v>
      </c>
      <c r="L95" s="1282" t="str">
        <f t="shared" ref="L95" si="27">IF(J95&gt;=G95,"ADELANTADO","ATRASADO")</f>
        <v>ADELANTADO</v>
      </c>
      <c r="M95" s="1282" t="str">
        <f t="shared" ref="M95" si="28">IF(K95&gt;=H95,"ADELANTADO","ATRASADO")</f>
        <v>ADELANTADO</v>
      </c>
      <c r="N95" s="1198"/>
      <c r="O95" s="1198"/>
      <c r="P95" s="1198"/>
      <c r="Q95" s="1198"/>
      <c r="R95" s="1198"/>
      <c r="S95" s="1198"/>
      <c r="T95" s="1198"/>
      <c r="U95" s="1198"/>
      <c r="V95" s="1198"/>
      <c r="W95" s="1198"/>
      <c r="X95" s="1198"/>
      <c r="Y95" s="1198"/>
      <c r="Z95" s="1198"/>
      <c r="AA95" s="1198"/>
      <c r="AB95" s="1198"/>
      <c r="AC95" s="1198"/>
      <c r="AD95" s="1198"/>
      <c r="AE95" s="1198"/>
      <c r="AF95" s="1198"/>
      <c r="AG95" s="1198"/>
      <c r="AH95" s="1198"/>
      <c r="AI95" s="1198"/>
      <c r="AJ95" s="1198"/>
      <c r="AK95" s="1198"/>
      <c r="AL95" s="1198"/>
      <c r="AM95" s="1198"/>
      <c r="AN95" s="1198"/>
      <c r="AP95" s="1154"/>
      <c r="AQ95" s="1154"/>
    </row>
    <row r="96" spans="1:43">
      <c r="A96" s="1220">
        <f t="shared" si="10"/>
        <v>28</v>
      </c>
      <c r="B96" s="1278">
        <v>44500</v>
      </c>
      <c r="C96" s="1279"/>
      <c r="D96" s="1280"/>
      <c r="E96" s="1281"/>
      <c r="F96" s="1279">
        <v>793790.43433117657</v>
      </c>
      <c r="G96" s="1237">
        <f t="shared" si="4"/>
        <v>3.5037315654221857E-2</v>
      </c>
      <c r="H96" s="1281">
        <f>G96+H94</f>
        <v>0.55248391689904208</v>
      </c>
      <c r="I96" s="1279">
        <v>402439.05875293631</v>
      </c>
      <c r="J96" s="1237">
        <f t="shared" si="5"/>
        <v>1.7763358845455372E-2</v>
      </c>
      <c r="K96" s="1281">
        <f>J96+K94</f>
        <v>0.53520996009027555</v>
      </c>
      <c r="L96" s="1282" t="str">
        <f t="shared" ref="L96:L97" si="29">IF(J96&gt;=G96,"ADELANTADO","ATRASADO")</f>
        <v>ATRASADO</v>
      </c>
      <c r="M96" s="1282" t="str">
        <f t="shared" ref="M96:M97" si="30">IF(K96&gt;=H96,"ADELANTADO","ATRASADO")</f>
        <v>ATRASADO</v>
      </c>
      <c r="N96" s="1198"/>
      <c r="O96" s="1198"/>
      <c r="P96" s="1198"/>
      <c r="Q96" s="1198"/>
      <c r="R96" s="1198"/>
      <c r="S96" s="1198"/>
      <c r="T96" s="1198"/>
      <c r="U96" s="1198"/>
      <c r="V96" s="1198"/>
      <c r="W96" s="1198"/>
      <c r="X96" s="1198"/>
      <c r="Y96" s="1198"/>
      <c r="Z96" s="1198"/>
      <c r="AA96" s="1198"/>
      <c r="AB96" s="1198"/>
      <c r="AC96" s="1198"/>
      <c r="AD96" s="1198"/>
      <c r="AE96" s="1198"/>
      <c r="AF96" s="1198"/>
      <c r="AG96" s="1198"/>
      <c r="AH96" s="1198"/>
      <c r="AI96" s="1198"/>
      <c r="AJ96" s="1198"/>
      <c r="AK96" s="1198"/>
      <c r="AL96" s="1198"/>
      <c r="AM96" s="1198"/>
      <c r="AN96" s="1198"/>
      <c r="AP96" s="1154"/>
      <c r="AQ96" s="1154"/>
    </row>
    <row r="97" spans="1:43">
      <c r="A97" s="1220">
        <f t="shared" si="10"/>
        <v>29</v>
      </c>
      <c r="B97" s="1278">
        <v>44530</v>
      </c>
      <c r="C97" s="1279"/>
      <c r="D97" s="1280"/>
      <c r="E97" s="1281"/>
      <c r="F97" s="1279">
        <v>1288775.8327739933</v>
      </c>
      <c r="G97" s="1237">
        <f t="shared" si="4"/>
        <v>5.6885600666731984E-2</v>
      </c>
      <c r="H97" s="1281">
        <f t="shared" ref="H97" si="31">G97+H96</f>
        <v>0.60936951756577407</v>
      </c>
      <c r="I97" s="1279">
        <v>422157.39032383333</v>
      </c>
      <c r="J97" s="1237">
        <f t="shared" si="5"/>
        <v>1.8633711242692606E-2</v>
      </c>
      <c r="K97" s="1281">
        <f t="shared" ref="K97" si="32">J97+K96</f>
        <v>0.55384367133296819</v>
      </c>
      <c r="L97" s="1282" t="str">
        <f t="shared" si="29"/>
        <v>ATRASADO</v>
      </c>
      <c r="M97" s="1282" t="str">
        <f t="shared" si="30"/>
        <v>ATRASADO</v>
      </c>
      <c r="N97" s="1198"/>
      <c r="O97" s="1198"/>
      <c r="P97" s="1198"/>
      <c r="Q97" s="1198"/>
      <c r="R97" s="1198"/>
      <c r="S97" s="1198"/>
      <c r="T97" s="1198"/>
      <c r="U97" s="1198"/>
      <c r="V97" s="1198"/>
      <c r="W97" s="1198"/>
      <c r="X97" s="1198"/>
      <c r="Y97" s="1198"/>
      <c r="Z97" s="1198"/>
      <c r="AA97" s="1198"/>
      <c r="AB97" s="1198"/>
      <c r="AC97" s="1198"/>
      <c r="AD97" s="1198"/>
      <c r="AE97" s="1198"/>
      <c r="AF97" s="1198"/>
      <c r="AG97" s="1198"/>
      <c r="AH97" s="1198"/>
      <c r="AI97" s="1198"/>
      <c r="AJ97" s="1198"/>
      <c r="AK97" s="1198"/>
      <c r="AL97" s="1198"/>
      <c r="AM97" s="1198"/>
      <c r="AN97" s="1198"/>
      <c r="AP97" s="1154"/>
      <c r="AQ97" s="1154"/>
    </row>
    <row r="98" spans="1:43">
      <c r="A98" s="1220">
        <f t="shared" si="10"/>
        <v>30</v>
      </c>
      <c r="B98" s="1278">
        <v>44561</v>
      </c>
      <c r="C98" s="1279"/>
      <c r="D98" s="1280"/>
      <c r="E98" s="1281"/>
      <c r="F98" s="1279">
        <v>1509272.1980750002</v>
      </c>
      <c r="G98" s="1237">
        <f t="shared" si="4"/>
        <v>6.6618145199306686E-2</v>
      </c>
      <c r="H98" s="1281">
        <f t="shared" ref="H98:H99" si="33">G98+H97</f>
        <v>0.67598766276508071</v>
      </c>
      <c r="I98" s="1279" t="e">
        <f>+'RESUMEN GENERAL'!F41</f>
        <v>#REF!</v>
      </c>
      <c r="J98" s="1237" t="e">
        <f t="shared" si="5"/>
        <v>#REF!</v>
      </c>
      <c r="K98" s="1281" t="e">
        <f t="shared" ref="K98:K99" si="34">J98+K97</f>
        <v>#REF!</v>
      </c>
      <c r="L98" s="1282" t="e">
        <f t="shared" ref="L98:L99" si="35">IF(J98&gt;=G98,"ADELANTADO","ATRASADO")</f>
        <v>#REF!</v>
      </c>
      <c r="M98" s="1282" t="e">
        <f t="shared" ref="M98:M99" si="36">IF(K98&gt;=H98,"ADELANTADO","ATRASADO")</f>
        <v>#REF!</v>
      </c>
      <c r="N98" s="1198"/>
      <c r="O98" s="1198"/>
      <c r="P98" s="1198"/>
      <c r="Q98" s="1198"/>
      <c r="R98" s="1198"/>
      <c r="S98" s="1198"/>
      <c r="T98" s="1198"/>
      <c r="U98" s="1198"/>
      <c r="V98" s="1198"/>
      <c r="W98" s="1198"/>
      <c r="X98" s="1198"/>
      <c r="Y98" s="1198"/>
      <c r="Z98" s="1198"/>
      <c r="AA98" s="1198"/>
      <c r="AB98" s="1198"/>
      <c r="AC98" s="1198"/>
      <c r="AD98" s="1198"/>
      <c r="AE98" s="1198"/>
      <c r="AF98" s="1198"/>
      <c r="AG98" s="1198"/>
      <c r="AH98" s="1198"/>
      <c r="AI98" s="1198"/>
      <c r="AJ98" s="1198"/>
      <c r="AK98" s="1198"/>
      <c r="AL98" s="1198"/>
      <c r="AM98" s="1198"/>
      <c r="AN98" s="1198"/>
      <c r="AP98" s="1154"/>
      <c r="AQ98" s="1154"/>
    </row>
    <row r="99" spans="1:43">
      <c r="A99" s="1220">
        <f t="shared" si="10"/>
        <v>31</v>
      </c>
      <c r="B99" s="1278">
        <v>44586</v>
      </c>
      <c r="C99" s="1279"/>
      <c r="D99" s="1280"/>
      <c r="E99" s="1281"/>
      <c r="F99" s="1279">
        <v>7340684.8983699176</v>
      </c>
      <c r="G99" s="1237">
        <f t="shared" si="4"/>
        <v>0.3240123372349194</v>
      </c>
      <c r="H99" s="1281">
        <f t="shared" si="33"/>
        <v>1</v>
      </c>
      <c r="I99" s="1279">
        <v>0</v>
      </c>
      <c r="J99" s="1237">
        <f t="shared" si="5"/>
        <v>0</v>
      </c>
      <c r="K99" s="1281" t="e">
        <f t="shared" si="34"/>
        <v>#REF!</v>
      </c>
      <c r="L99" s="1282" t="str">
        <f t="shared" si="35"/>
        <v>ATRASADO</v>
      </c>
      <c r="M99" s="1282" t="e">
        <f t="shared" si="36"/>
        <v>#REF!</v>
      </c>
      <c r="N99" s="1198"/>
      <c r="O99" s="1198"/>
      <c r="P99" s="1198"/>
      <c r="Q99" s="1198"/>
      <c r="R99" s="1198"/>
      <c r="S99" s="1198"/>
      <c r="T99" s="1198"/>
      <c r="U99" s="1198"/>
      <c r="V99" s="1198"/>
      <c r="W99" s="1198"/>
      <c r="X99" s="1198"/>
      <c r="Y99" s="1198"/>
      <c r="Z99" s="1198"/>
      <c r="AA99" s="1198"/>
      <c r="AB99" s="1198"/>
      <c r="AC99" s="1198"/>
      <c r="AD99" s="1198"/>
      <c r="AE99" s="1198"/>
      <c r="AF99" s="1198"/>
      <c r="AG99" s="1198"/>
      <c r="AH99" s="1198"/>
      <c r="AI99" s="1198"/>
      <c r="AJ99" s="1198"/>
      <c r="AK99" s="1198"/>
      <c r="AL99" s="1198"/>
      <c r="AM99" s="1198"/>
      <c r="AN99" s="1198"/>
      <c r="AP99" s="1154"/>
      <c r="AQ99" s="1154"/>
    </row>
    <row r="100" spans="1:43">
      <c r="A100" s="1235"/>
      <c r="B100" s="1209"/>
      <c r="C100" s="1210"/>
      <c r="D100" s="1211"/>
      <c r="E100" s="1209"/>
      <c r="F100" s="1210"/>
      <c r="G100" s="1211"/>
      <c r="H100" s="1209"/>
      <c r="I100" s="1210"/>
      <c r="J100" s="1211"/>
      <c r="K100" s="1212"/>
      <c r="L100" s="1212"/>
      <c r="M100" s="1198"/>
      <c r="N100" s="1368">
        <v>11780058.5096162</v>
      </c>
      <c r="O100" s="1368"/>
      <c r="P100" s="1368"/>
      <c r="Q100" s="1368"/>
      <c r="R100" s="1368"/>
      <c r="S100" s="1368"/>
      <c r="T100" s="1368"/>
      <c r="U100" s="1368"/>
      <c r="V100" s="1368"/>
      <c r="W100" s="1368"/>
      <c r="X100" s="1368"/>
      <c r="Y100" s="1368"/>
      <c r="Z100" s="1368"/>
      <c r="AA100" s="1368"/>
      <c r="AB100" s="1368"/>
      <c r="AC100" s="1368"/>
      <c r="AD100" s="1368"/>
      <c r="AE100" s="1368"/>
      <c r="AF100" s="1368"/>
      <c r="AG100" s="1368"/>
      <c r="AH100" s="1368"/>
      <c r="AI100" s="1368"/>
      <c r="AJ100" s="1368"/>
      <c r="AK100" s="1368"/>
      <c r="AL100" s="1368"/>
      <c r="AM100" s="1368"/>
      <c r="AN100" s="1368"/>
      <c r="AP100" s="1154"/>
      <c r="AQ100" s="1154" t="e">
        <f>#REF!+E100</f>
        <v>#REF!</v>
      </c>
    </row>
    <row r="101" spans="1:43" ht="18" customHeight="1">
      <c r="A101" s="1252"/>
      <c r="B101" s="2713" t="s">
        <v>4321</v>
      </c>
      <c r="C101" s="2714"/>
      <c r="D101" s="2714"/>
      <c r="E101" s="2715"/>
      <c r="F101" s="1996">
        <f>SUM(F69:F99)</f>
        <v>22655572.195226889</v>
      </c>
      <c r="G101" s="1997">
        <f>SUM(G68:G100)</f>
        <v>1</v>
      </c>
      <c r="H101" s="1996"/>
      <c r="I101" s="1996" t="e">
        <f>SUM(I68:I100)+0.01</f>
        <v>#REF!</v>
      </c>
      <c r="J101" s="1997" t="e">
        <f>+K99</f>
        <v>#REF!</v>
      </c>
      <c r="L101" s="1154"/>
    </row>
    <row r="102" spans="1:43">
      <c r="B102" s="2713" t="s">
        <v>4332</v>
      </c>
      <c r="C102" s="2714"/>
      <c r="D102" s="2714"/>
      <c r="E102" s="2715"/>
      <c r="F102" s="1236">
        <f>+'RESUMEN GENERAL'!C39</f>
        <v>-2258509.8199999998</v>
      </c>
      <c r="G102" s="1997">
        <f>(+F102/F101)*-1</f>
        <v>9.9688933059736459E-2</v>
      </c>
      <c r="H102" s="1234"/>
      <c r="I102" s="1234"/>
      <c r="J102" s="1234"/>
      <c r="L102" s="263" t="s">
        <v>9</v>
      </c>
    </row>
    <row r="103" spans="1:43">
      <c r="B103" s="2713" t="s">
        <v>4333</v>
      </c>
      <c r="C103" s="2714"/>
      <c r="D103" s="2714"/>
      <c r="E103" s="2715"/>
      <c r="F103" s="2017">
        <f>+F101+F102</f>
        <v>20397062.375226889</v>
      </c>
      <c r="G103" s="1997">
        <f>+F103/F101</f>
        <v>0.90031106694026353</v>
      </c>
      <c r="H103" s="1236"/>
      <c r="I103" s="2017" t="e">
        <f>+I101</f>
        <v>#REF!</v>
      </c>
      <c r="J103" s="1997" t="e">
        <f>+I103/F103</f>
        <v>#REF!</v>
      </c>
    </row>
    <row r="104" spans="1:43">
      <c r="H104" s="1154"/>
    </row>
    <row r="105" spans="1:43">
      <c r="F105" s="1154">
        <f>SUM(F68:F93)</f>
        <v>11723048.831676802</v>
      </c>
      <c r="G105" s="1154" t="e">
        <f>+'RESUMEN GENERAL'!D41</f>
        <v>#REF!</v>
      </c>
      <c r="H105" s="1154" t="e">
        <f>+F105-G105</f>
        <v>#REF!</v>
      </c>
      <c r="I105" s="1154" t="e">
        <f>+'RESUMEN GENERAL'!H41</f>
        <v>#REF!</v>
      </c>
      <c r="J105" s="1154" t="e">
        <f>+I101-I105</f>
        <v>#REF!</v>
      </c>
    </row>
    <row r="106" spans="1:43">
      <c r="E106" s="1154"/>
      <c r="F106" s="2016">
        <f>+'[41]valorizado HASTA SETIEMBRE 2021'!$AB$883</f>
        <v>10932523.363550087</v>
      </c>
    </row>
    <row r="107" spans="1:43">
      <c r="E107" s="1154"/>
      <c r="F107" s="1154">
        <f>SUM(F105:F106)</f>
        <v>22655572.195226889</v>
      </c>
      <c r="G107" s="1154">
        <f>SUM(F68:F99)</f>
        <v>22655572.195226889</v>
      </c>
    </row>
    <row r="108" spans="1:43">
      <c r="E108" s="1154"/>
      <c r="F108" s="1154">
        <f>SUM(F68:F98)</f>
        <v>15314887.296856971</v>
      </c>
      <c r="G108" s="1154" t="e">
        <f>+'RESUMEN GENERAL'!C41</f>
        <v>#REF!</v>
      </c>
      <c r="H108" s="1154" t="e">
        <f>+G108-F108</f>
        <v>#REF!</v>
      </c>
    </row>
    <row r="109" spans="1:43">
      <c r="F109" s="1154">
        <v>21937862.799199998</v>
      </c>
      <c r="L109" s="263">
        <v>15398736.547100004</v>
      </c>
    </row>
    <row r="110" spans="1:43">
      <c r="F110" s="1154">
        <f>+F101-F109</f>
        <v>717709.39602689072</v>
      </c>
      <c r="L110" s="263">
        <v>15943790.338447237</v>
      </c>
    </row>
    <row r="111" spans="1:43">
      <c r="B111" s="263">
        <v>14829505.383399989</v>
      </c>
      <c r="L111" s="263">
        <v>15586650.219999999</v>
      </c>
    </row>
    <row r="112" spans="1:43">
      <c r="F112" s="1154">
        <f>+F99-F110</f>
        <v>6622975.5023430269</v>
      </c>
    </row>
    <row r="114" spans="2:9">
      <c r="B114" s="264"/>
      <c r="C114" s="1153"/>
      <c r="D114" s="264"/>
      <c r="E114" s="264"/>
      <c r="F114" s="1153"/>
      <c r="G114" s="264"/>
      <c r="H114" s="264"/>
      <c r="I114" s="264"/>
    </row>
    <row r="115" spans="2:9">
      <c r="B115" s="264"/>
      <c r="C115" s="1153"/>
      <c r="D115" s="264"/>
      <c r="E115" s="264"/>
      <c r="F115" s="264"/>
      <c r="G115" s="264"/>
      <c r="H115" s="264"/>
    </row>
    <row r="116" spans="2:9">
      <c r="B116" s="264"/>
      <c r="C116" s="1153"/>
      <c r="D116" s="264"/>
      <c r="E116" s="1154"/>
      <c r="F116" s="1155"/>
      <c r="G116" s="265"/>
    </row>
    <row r="117" spans="2:9">
      <c r="B117" s="1154"/>
      <c r="C117" s="1153"/>
      <c r="D117" s="264"/>
    </row>
    <row r="118" spans="2:9">
      <c r="B118" s="264"/>
      <c r="C118" s="1153"/>
      <c r="D118" s="264"/>
    </row>
    <row r="119" spans="2:9">
      <c r="B119" s="264"/>
      <c r="C119" s="1153"/>
      <c r="D119" s="264"/>
    </row>
    <row r="120" spans="2:9">
      <c r="B120" s="264"/>
      <c r="C120" s="1153"/>
      <c r="D120" s="264"/>
    </row>
    <row r="121" spans="2:9">
      <c r="B121" s="264"/>
      <c r="C121" s="1153"/>
      <c r="D121" s="264"/>
    </row>
    <row r="122" spans="2:9">
      <c r="B122" s="264"/>
      <c r="C122" s="1153"/>
      <c r="D122" s="264"/>
    </row>
    <row r="123" spans="2:9">
      <c r="B123" s="264"/>
      <c r="C123" s="1153"/>
      <c r="D123" s="264"/>
    </row>
    <row r="124" spans="2:9" ht="15">
      <c r="B124" s="264"/>
      <c r="C124" s="1153"/>
      <c r="D124" s="264"/>
      <c r="E124" s="1156"/>
      <c r="F124" s="1156"/>
    </row>
    <row r="125" spans="2:9">
      <c r="B125" s="264"/>
      <c r="C125" s="1153"/>
      <c r="D125" s="264"/>
    </row>
    <row r="126" spans="2:9">
      <c r="B126" s="264"/>
      <c r="C126" s="1153"/>
      <c r="D126" s="264"/>
    </row>
    <row r="127" spans="2:9">
      <c r="B127" s="264"/>
      <c r="C127" s="1153"/>
      <c r="D127" s="264"/>
    </row>
    <row r="128" spans="2:9">
      <c r="B128" s="264"/>
      <c r="C128" s="1153"/>
      <c r="D128" s="264"/>
    </row>
    <row r="129" spans="2:2">
      <c r="B129" s="263">
        <f>+B122/1.18</f>
        <v>0</v>
      </c>
    </row>
    <row r="130" spans="2:2">
      <c r="B130" s="263">
        <f>+B123/1.18</f>
        <v>0</v>
      </c>
    </row>
  </sheetData>
  <mergeCells count="27">
    <mergeCell ref="N65:N66"/>
    <mergeCell ref="V56:AE56"/>
    <mergeCell ref="A63:N63"/>
    <mergeCell ref="B102:E102"/>
    <mergeCell ref="B103:E103"/>
    <mergeCell ref="I64:K64"/>
    <mergeCell ref="A64:B64"/>
    <mergeCell ref="A65:A66"/>
    <mergeCell ref="F64:H64"/>
    <mergeCell ref="B101:E101"/>
    <mergeCell ref="C64:E64"/>
    <mergeCell ref="L64:M64"/>
    <mergeCell ref="L65:L66"/>
    <mergeCell ref="M65:M66"/>
    <mergeCell ref="B65:B66"/>
    <mergeCell ref="AF56:AK56"/>
    <mergeCell ref="P56:U56"/>
    <mergeCell ref="D4:M4"/>
    <mergeCell ref="D5:F5"/>
    <mergeCell ref="D6:F6"/>
    <mergeCell ref="D12:M12"/>
    <mergeCell ref="B1:N1"/>
    <mergeCell ref="AQ1:BC1"/>
    <mergeCell ref="B2:N2"/>
    <mergeCell ref="AQ2:BC2"/>
    <mergeCell ref="B3:N3"/>
    <mergeCell ref="AQ3:BC3"/>
  </mergeCells>
  <pageMargins left="0.96118110236220478" right="0.35433070866141736" top="0.74803149606299213" bottom="0.74803149606299213" header="0.31496062992125984" footer="0.31496062992125984"/>
  <pageSetup paperSize="9" scale="53" orientation="portrait" r:id="rId1"/>
  <rowBreaks count="1" manualBreakCount="1">
    <brk id="116" max="12" man="1"/>
  </rowBreaks>
  <colBreaks count="1" manualBreakCount="1">
    <brk id="13" max="1048575" man="1"/>
  </colBreaks>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2060"/>
    <pageSetUpPr fitToPage="1"/>
  </sheetPr>
  <dimension ref="A1:BN53"/>
  <sheetViews>
    <sheetView view="pageBreakPreview" topLeftCell="A10" zoomScaleNormal="100" zoomScaleSheetLayoutView="100" workbookViewId="0">
      <selection activeCell="F29" sqref="F29"/>
    </sheetView>
  </sheetViews>
  <sheetFormatPr baseColWidth="10" defaultRowHeight="12.75"/>
  <cols>
    <col min="1" max="1" width="3.42578125" style="16" customWidth="1"/>
    <col min="2" max="2" width="5.42578125" style="16" bestFit="1" customWidth="1"/>
    <col min="3" max="3" width="48.5703125" style="16" customWidth="1"/>
    <col min="4" max="4" width="7.5703125" style="16" customWidth="1"/>
    <col min="5" max="5" width="14.42578125" style="16" customWidth="1"/>
    <col min="6" max="6" width="13.42578125" style="23" customWidth="1"/>
    <col min="7" max="7" width="13" style="23" customWidth="1"/>
    <col min="8" max="8" width="12.85546875" style="23" customWidth="1"/>
    <col min="9" max="9" width="11.42578125" style="16" customWidth="1"/>
    <col min="10" max="10" width="14" style="16" customWidth="1"/>
    <col min="11" max="11" width="10.42578125" style="16" customWidth="1"/>
    <col min="12" max="12" width="7.42578125" style="16" bestFit="1" customWidth="1"/>
    <col min="13" max="13" width="11.5703125" style="16" customWidth="1"/>
    <col min="14" max="14" width="19.42578125" style="16" bestFit="1" customWidth="1"/>
    <col min="15" max="256" width="11.42578125" style="16"/>
    <col min="257" max="257" width="3.42578125" style="16" customWidth="1"/>
    <col min="258" max="258" width="5.42578125" style="16" bestFit="1" customWidth="1"/>
    <col min="259" max="259" width="43.42578125" style="16" customWidth="1"/>
    <col min="260" max="260" width="7.5703125" style="16" customWidth="1"/>
    <col min="261" max="261" width="14.42578125" style="16" customWidth="1"/>
    <col min="262" max="262" width="12.42578125" style="16" customWidth="1"/>
    <col min="263" max="263" width="13" style="16" customWidth="1"/>
    <col min="264" max="264" width="11.5703125" style="16" customWidth="1"/>
    <col min="265" max="265" width="11.42578125" style="16" customWidth="1"/>
    <col min="266" max="266" width="14" style="16" customWidth="1"/>
    <col min="267" max="267" width="8.42578125" style="16" customWidth="1"/>
    <col min="268" max="268" width="7.42578125" style="16" bestFit="1" customWidth="1"/>
    <col min="269" max="269" width="5.5703125" style="16" customWidth="1"/>
    <col min="270" max="270" width="19.42578125" style="16" bestFit="1" customWidth="1"/>
    <col min="271" max="512" width="11.42578125" style="16"/>
    <col min="513" max="513" width="3.42578125" style="16" customWidth="1"/>
    <col min="514" max="514" width="5.42578125" style="16" bestFit="1" customWidth="1"/>
    <col min="515" max="515" width="43.42578125" style="16" customWidth="1"/>
    <col min="516" max="516" width="7.5703125" style="16" customWidth="1"/>
    <col min="517" max="517" width="14.42578125" style="16" customWidth="1"/>
    <col min="518" max="518" width="12.42578125" style="16" customWidth="1"/>
    <col min="519" max="519" width="13" style="16" customWidth="1"/>
    <col min="520" max="520" width="11.5703125" style="16" customWidth="1"/>
    <col min="521" max="521" width="11.42578125" style="16" customWidth="1"/>
    <col min="522" max="522" width="14" style="16" customWidth="1"/>
    <col min="523" max="523" width="8.42578125" style="16" customWidth="1"/>
    <col min="524" max="524" width="7.42578125" style="16" bestFit="1" customWidth="1"/>
    <col min="525" max="525" width="5.5703125" style="16" customWidth="1"/>
    <col min="526" max="526" width="19.42578125" style="16" bestFit="1" customWidth="1"/>
    <col min="527" max="768" width="11.42578125" style="16"/>
    <col min="769" max="769" width="3.42578125" style="16" customWidth="1"/>
    <col min="770" max="770" width="5.42578125" style="16" bestFit="1" customWidth="1"/>
    <col min="771" max="771" width="43.42578125" style="16" customWidth="1"/>
    <col min="772" max="772" width="7.5703125" style="16" customWidth="1"/>
    <col min="773" max="773" width="14.42578125" style="16" customWidth="1"/>
    <col min="774" max="774" width="12.42578125" style="16" customWidth="1"/>
    <col min="775" max="775" width="13" style="16" customWidth="1"/>
    <col min="776" max="776" width="11.5703125" style="16" customWidth="1"/>
    <col min="777" max="777" width="11.42578125" style="16" customWidth="1"/>
    <col min="778" max="778" width="14" style="16" customWidth="1"/>
    <col min="779" max="779" width="8.42578125" style="16" customWidth="1"/>
    <col min="780" max="780" width="7.42578125" style="16" bestFit="1" customWidth="1"/>
    <col min="781" max="781" width="5.5703125" style="16" customWidth="1"/>
    <col min="782" max="782" width="19.42578125" style="16" bestFit="1" customWidth="1"/>
    <col min="783" max="1024" width="11.42578125" style="16"/>
    <col min="1025" max="1025" width="3.42578125" style="16" customWidth="1"/>
    <col min="1026" max="1026" width="5.42578125" style="16" bestFit="1" customWidth="1"/>
    <col min="1027" max="1027" width="43.42578125" style="16" customWidth="1"/>
    <col min="1028" max="1028" width="7.5703125" style="16" customWidth="1"/>
    <col min="1029" max="1029" width="14.42578125" style="16" customWidth="1"/>
    <col min="1030" max="1030" width="12.42578125" style="16" customWidth="1"/>
    <col min="1031" max="1031" width="13" style="16" customWidth="1"/>
    <col min="1032" max="1032" width="11.5703125" style="16" customWidth="1"/>
    <col min="1033" max="1033" width="11.42578125" style="16" customWidth="1"/>
    <col min="1034" max="1034" width="14" style="16" customWidth="1"/>
    <col min="1035" max="1035" width="8.42578125" style="16" customWidth="1"/>
    <col min="1036" max="1036" width="7.42578125" style="16" bestFit="1" customWidth="1"/>
    <col min="1037" max="1037" width="5.5703125" style="16" customWidth="1"/>
    <col min="1038" max="1038" width="19.42578125" style="16" bestFit="1" customWidth="1"/>
    <col min="1039" max="1280" width="11.42578125" style="16"/>
    <col min="1281" max="1281" width="3.42578125" style="16" customWidth="1"/>
    <col min="1282" max="1282" width="5.42578125" style="16" bestFit="1" customWidth="1"/>
    <col min="1283" max="1283" width="43.42578125" style="16" customWidth="1"/>
    <col min="1284" max="1284" width="7.5703125" style="16" customWidth="1"/>
    <col min="1285" max="1285" width="14.42578125" style="16" customWidth="1"/>
    <col min="1286" max="1286" width="12.42578125" style="16" customWidth="1"/>
    <col min="1287" max="1287" width="13" style="16" customWidth="1"/>
    <col min="1288" max="1288" width="11.5703125" style="16" customWidth="1"/>
    <col min="1289" max="1289" width="11.42578125" style="16" customWidth="1"/>
    <col min="1290" max="1290" width="14" style="16" customWidth="1"/>
    <col min="1291" max="1291" width="8.42578125" style="16" customWidth="1"/>
    <col min="1292" max="1292" width="7.42578125" style="16" bestFit="1" customWidth="1"/>
    <col min="1293" max="1293" width="5.5703125" style="16" customWidth="1"/>
    <col min="1294" max="1294" width="19.42578125" style="16" bestFit="1" customWidth="1"/>
    <col min="1295" max="1536" width="11.42578125" style="16"/>
    <col min="1537" max="1537" width="3.42578125" style="16" customWidth="1"/>
    <col min="1538" max="1538" width="5.42578125" style="16" bestFit="1" customWidth="1"/>
    <col min="1539" max="1539" width="43.42578125" style="16" customWidth="1"/>
    <col min="1540" max="1540" width="7.5703125" style="16" customWidth="1"/>
    <col min="1541" max="1541" width="14.42578125" style="16" customWidth="1"/>
    <col min="1542" max="1542" width="12.42578125" style="16" customWidth="1"/>
    <col min="1543" max="1543" width="13" style="16" customWidth="1"/>
    <col min="1544" max="1544" width="11.5703125" style="16" customWidth="1"/>
    <col min="1545" max="1545" width="11.42578125" style="16" customWidth="1"/>
    <col min="1546" max="1546" width="14" style="16" customWidth="1"/>
    <col min="1547" max="1547" width="8.42578125" style="16" customWidth="1"/>
    <col min="1548" max="1548" width="7.42578125" style="16" bestFit="1" customWidth="1"/>
    <col min="1549" max="1549" width="5.5703125" style="16" customWidth="1"/>
    <col min="1550" max="1550" width="19.42578125" style="16" bestFit="1" customWidth="1"/>
    <col min="1551" max="1792" width="11.42578125" style="16"/>
    <col min="1793" max="1793" width="3.42578125" style="16" customWidth="1"/>
    <col min="1794" max="1794" width="5.42578125" style="16" bestFit="1" customWidth="1"/>
    <col min="1795" max="1795" width="43.42578125" style="16" customWidth="1"/>
    <col min="1796" max="1796" width="7.5703125" style="16" customWidth="1"/>
    <col min="1797" max="1797" width="14.42578125" style="16" customWidth="1"/>
    <col min="1798" max="1798" width="12.42578125" style="16" customWidth="1"/>
    <col min="1799" max="1799" width="13" style="16" customWidth="1"/>
    <col min="1800" max="1800" width="11.5703125" style="16" customWidth="1"/>
    <col min="1801" max="1801" width="11.42578125" style="16" customWidth="1"/>
    <col min="1802" max="1802" width="14" style="16" customWidth="1"/>
    <col min="1803" max="1803" width="8.42578125" style="16" customWidth="1"/>
    <col min="1804" max="1804" width="7.42578125" style="16" bestFit="1" customWidth="1"/>
    <col min="1805" max="1805" width="5.5703125" style="16" customWidth="1"/>
    <col min="1806" max="1806" width="19.42578125" style="16" bestFit="1" customWidth="1"/>
    <col min="1807" max="2048" width="11.42578125" style="16"/>
    <col min="2049" max="2049" width="3.42578125" style="16" customWidth="1"/>
    <col min="2050" max="2050" width="5.42578125" style="16" bestFit="1" customWidth="1"/>
    <col min="2051" max="2051" width="43.42578125" style="16" customWidth="1"/>
    <col min="2052" max="2052" width="7.5703125" style="16" customWidth="1"/>
    <col min="2053" max="2053" width="14.42578125" style="16" customWidth="1"/>
    <col min="2054" max="2054" width="12.42578125" style="16" customWidth="1"/>
    <col min="2055" max="2055" width="13" style="16" customWidth="1"/>
    <col min="2056" max="2056" width="11.5703125" style="16" customWidth="1"/>
    <col min="2057" max="2057" width="11.42578125" style="16" customWidth="1"/>
    <col min="2058" max="2058" width="14" style="16" customWidth="1"/>
    <col min="2059" max="2059" width="8.42578125" style="16" customWidth="1"/>
    <col min="2060" max="2060" width="7.42578125" style="16" bestFit="1" customWidth="1"/>
    <col min="2061" max="2061" width="5.5703125" style="16" customWidth="1"/>
    <col min="2062" max="2062" width="19.42578125" style="16" bestFit="1" customWidth="1"/>
    <col min="2063" max="2304" width="11.42578125" style="16"/>
    <col min="2305" max="2305" width="3.42578125" style="16" customWidth="1"/>
    <col min="2306" max="2306" width="5.42578125" style="16" bestFit="1" customWidth="1"/>
    <col min="2307" max="2307" width="43.42578125" style="16" customWidth="1"/>
    <col min="2308" max="2308" width="7.5703125" style="16" customWidth="1"/>
    <col min="2309" max="2309" width="14.42578125" style="16" customWidth="1"/>
    <col min="2310" max="2310" width="12.42578125" style="16" customWidth="1"/>
    <col min="2311" max="2311" width="13" style="16" customWidth="1"/>
    <col min="2312" max="2312" width="11.5703125" style="16" customWidth="1"/>
    <col min="2313" max="2313" width="11.42578125" style="16" customWidth="1"/>
    <col min="2314" max="2314" width="14" style="16" customWidth="1"/>
    <col min="2315" max="2315" width="8.42578125" style="16" customWidth="1"/>
    <col min="2316" max="2316" width="7.42578125" style="16" bestFit="1" customWidth="1"/>
    <col min="2317" max="2317" width="5.5703125" style="16" customWidth="1"/>
    <col min="2318" max="2318" width="19.42578125" style="16" bestFit="1" customWidth="1"/>
    <col min="2319" max="2560" width="11.42578125" style="16"/>
    <col min="2561" max="2561" width="3.42578125" style="16" customWidth="1"/>
    <col min="2562" max="2562" width="5.42578125" style="16" bestFit="1" customWidth="1"/>
    <col min="2563" max="2563" width="43.42578125" style="16" customWidth="1"/>
    <col min="2564" max="2564" width="7.5703125" style="16" customWidth="1"/>
    <col min="2565" max="2565" width="14.42578125" style="16" customWidth="1"/>
    <col min="2566" max="2566" width="12.42578125" style="16" customWidth="1"/>
    <col min="2567" max="2567" width="13" style="16" customWidth="1"/>
    <col min="2568" max="2568" width="11.5703125" style="16" customWidth="1"/>
    <col min="2569" max="2569" width="11.42578125" style="16" customWidth="1"/>
    <col min="2570" max="2570" width="14" style="16" customWidth="1"/>
    <col min="2571" max="2571" width="8.42578125" style="16" customWidth="1"/>
    <col min="2572" max="2572" width="7.42578125" style="16" bestFit="1" customWidth="1"/>
    <col min="2573" max="2573" width="5.5703125" style="16" customWidth="1"/>
    <col min="2574" max="2574" width="19.42578125" style="16" bestFit="1" customWidth="1"/>
    <col min="2575" max="2816" width="11.42578125" style="16"/>
    <col min="2817" max="2817" width="3.42578125" style="16" customWidth="1"/>
    <col min="2818" max="2818" width="5.42578125" style="16" bestFit="1" customWidth="1"/>
    <col min="2819" max="2819" width="43.42578125" style="16" customWidth="1"/>
    <col min="2820" max="2820" width="7.5703125" style="16" customWidth="1"/>
    <col min="2821" max="2821" width="14.42578125" style="16" customWidth="1"/>
    <col min="2822" max="2822" width="12.42578125" style="16" customWidth="1"/>
    <col min="2823" max="2823" width="13" style="16" customWidth="1"/>
    <col min="2824" max="2824" width="11.5703125" style="16" customWidth="1"/>
    <col min="2825" max="2825" width="11.42578125" style="16" customWidth="1"/>
    <col min="2826" max="2826" width="14" style="16" customWidth="1"/>
    <col min="2827" max="2827" width="8.42578125" style="16" customWidth="1"/>
    <col min="2828" max="2828" width="7.42578125" style="16" bestFit="1" customWidth="1"/>
    <col min="2829" max="2829" width="5.5703125" style="16" customWidth="1"/>
    <col min="2830" max="2830" width="19.42578125" style="16" bestFit="1" customWidth="1"/>
    <col min="2831" max="3072" width="11.42578125" style="16"/>
    <col min="3073" max="3073" width="3.42578125" style="16" customWidth="1"/>
    <col min="3074" max="3074" width="5.42578125" style="16" bestFit="1" customWidth="1"/>
    <col min="3075" max="3075" width="43.42578125" style="16" customWidth="1"/>
    <col min="3076" max="3076" width="7.5703125" style="16" customWidth="1"/>
    <col min="3077" max="3077" width="14.42578125" style="16" customWidth="1"/>
    <col min="3078" max="3078" width="12.42578125" style="16" customWidth="1"/>
    <col min="3079" max="3079" width="13" style="16" customWidth="1"/>
    <col min="3080" max="3080" width="11.5703125" style="16" customWidth="1"/>
    <col min="3081" max="3081" width="11.42578125" style="16" customWidth="1"/>
    <col min="3082" max="3082" width="14" style="16" customWidth="1"/>
    <col min="3083" max="3083" width="8.42578125" style="16" customWidth="1"/>
    <col min="3084" max="3084" width="7.42578125" style="16" bestFit="1" customWidth="1"/>
    <col min="3085" max="3085" width="5.5703125" style="16" customWidth="1"/>
    <col min="3086" max="3086" width="19.42578125" style="16" bestFit="1" customWidth="1"/>
    <col min="3087" max="3328" width="11.42578125" style="16"/>
    <col min="3329" max="3329" width="3.42578125" style="16" customWidth="1"/>
    <col min="3330" max="3330" width="5.42578125" style="16" bestFit="1" customWidth="1"/>
    <col min="3331" max="3331" width="43.42578125" style="16" customWidth="1"/>
    <col min="3332" max="3332" width="7.5703125" style="16" customWidth="1"/>
    <col min="3333" max="3333" width="14.42578125" style="16" customWidth="1"/>
    <col min="3334" max="3334" width="12.42578125" style="16" customWidth="1"/>
    <col min="3335" max="3335" width="13" style="16" customWidth="1"/>
    <col min="3336" max="3336" width="11.5703125" style="16" customWidth="1"/>
    <col min="3337" max="3337" width="11.42578125" style="16" customWidth="1"/>
    <col min="3338" max="3338" width="14" style="16" customWidth="1"/>
    <col min="3339" max="3339" width="8.42578125" style="16" customWidth="1"/>
    <col min="3340" max="3340" width="7.42578125" style="16" bestFit="1" customWidth="1"/>
    <col min="3341" max="3341" width="5.5703125" style="16" customWidth="1"/>
    <col min="3342" max="3342" width="19.42578125" style="16" bestFit="1" customWidth="1"/>
    <col min="3343" max="3584" width="11.42578125" style="16"/>
    <col min="3585" max="3585" width="3.42578125" style="16" customWidth="1"/>
    <col min="3586" max="3586" width="5.42578125" style="16" bestFit="1" customWidth="1"/>
    <col min="3587" max="3587" width="43.42578125" style="16" customWidth="1"/>
    <col min="3588" max="3588" width="7.5703125" style="16" customWidth="1"/>
    <col min="3589" max="3589" width="14.42578125" style="16" customWidth="1"/>
    <col min="3590" max="3590" width="12.42578125" style="16" customWidth="1"/>
    <col min="3591" max="3591" width="13" style="16" customWidth="1"/>
    <col min="3592" max="3592" width="11.5703125" style="16" customWidth="1"/>
    <col min="3593" max="3593" width="11.42578125" style="16" customWidth="1"/>
    <col min="3594" max="3594" width="14" style="16" customWidth="1"/>
    <col min="3595" max="3595" width="8.42578125" style="16" customWidth="1"/>
    <col min="3596" max="3596" width="7.42578125" style="16" bestFit="1" customWidth="1"/>
    <col min="3597" max="3597" width="5.5703125" style="16" customWidth="1"/>
    <col min="3598" max="3598" width="19.42578125" style="16" bestFit="1" customWidth="1"/>
    <col min="3599" max="3840" width="11.42578125" style="16"/>
    <col min="3841" max="3841" width="3.42578125" style="16" customWidth="1"/>
    <col min="3842" max="3842" width="5.42578125" style="16" bestFit="1" customWidth="1"/>
    <col min="3843" max="3843" width="43.42578125" style="16" customWidth="1"/>
    <col min="3844" max="3844" width="7.5703125" style="16" customWidth="1"/>
    <col min="3845" max="3845" width="14.42578125" style="16" customWidth="1"/>
    <col min="3846" max="3846" width="12.42578125" style="16" customWidth="1"/>
    <col min="3847" max="3847" width="13" style="16" customWidth="1"/>
    <col min="3848" max="3848" width="11.5703125" style="16" customWidth="1"/>
    <col min="3849" max="3849" width="11.42578125" style="16" customWidth="1"/>
    <col min="3850" max="3850" width="14" style="16" customWidth="1"/>
    <col min="3851" max="3851" width="8.42578125" style="16" customWidth="1"/>
    <col min="3852" max="3852" width="7.42578125" style="16" bestFit="1" customWidth="1"/>
    <col min="3853" max="3853" width="5.5703125" style="16" customWidth="1"/>
    <col min="3854" max="3854" width="19.42578125" style="16" bestFit="1" customWidth="1"/>
    <col min="3855" max="4096" width="11.42578125" style="16"/>
    <col min="4097" max="4097" width="3.42578125" style="16" customWidth="1"/>
    <col min="4098" max="4098" width="5.42578125" style="16" bestFit="1" customWidth="1"/>
    <col min="4099" max="4099" width="43.42578125" style="16" customWidth="1"/>
    <col min="4100" max="4100" width="7.5703125" style="16" customWidth="1"/>
    <col min="4101" max="4101" width="14.42578125" style="16" customWidth="1"/>
    <col min="4102" max="4102" width="12.42578125" style="16" customWidth="1"/>
    <col min="4103" max="4103" width="13" style="16" customWidth="1"/>
    <col min="4104" max="4104" width="11.5703125" style="16" customWidth="1"/>
    <col min="4105" max="4105" width="11.42578125" style="16" customWidth="1"/>
    <col min="4106" max="4106" width="14" style="16" customWidth="1"/>
    <col min="4107" max="4107" width="8.42578125" style="16" customWidth="1"/>
    <col min="4108" max="4108" width="7.42578125" style="16" bestFit="1" customWidth="1"/>
    <col min="4109" max="4109" width="5.5703125" style="16" customWidth="1"/>
    <col min="4110" max="4110" width="19.42578125" style="16" bestFit="1" customWidth="1"/>
    <col min="4111" max="4352" width="11.42578125" style="16"/>
    <col min="4353" max="4353" width="3.42578125" style="16" customWidth="1"/>
    <col min="4354" max="4354" width="5.42578125" style="16" bestFit="1" customWidth="1"/>
    <col min="4355" max="4355" width="43.42578125" style="16" customWidth="1"/>
    <col min="4356" max="4356" width="7.5703125" style="16" customWidth="1"/>
    <col min="4357" max="4357" width="14.42578125" style="16" customWidth="1"/>
    <col min="4358" max="4358" width="12.42578125" style="16" customWidth="1"/>
    <col min="4359" max="4359" width="13" style="16" customWidth="1"/>
    <col min="4360" max="4360" width="11.5703125" style="16" customWidth="1"/>
    <col min="4361" max="4361" width="11.42578125" style="16" customWidth="1"/>
    <col min="4362" max="4362" width="14" style="16" customWidth="1"/>
    <col min="4363" max="4363" width="8.42578125" style="16" customWidth="1"/>
    <col min="4364" max="4364" width="7.42578125" style="16" bestFit="1" customWidth="1"/>
    <col min="4365" max="4365" width="5.5703125" style="16" customWidth="1"/>
    <col min="4366" max="4366" width="19.42578125" style="16" bestFit="1" customWidth="1"/>
    <col min="4367" max="4608" width="11.42578125" style="16"/>
    <col min="4609" max="4609" width="3.42578125" style="16" customWidth="1"/>
    <col min="4610" max="4610" width="5.42578125" style="16" bestFit="1" customWidth="1"/>
    <col min="4611" max="4611" width="43.42578125" style="16" customWidth="1"/>
    <col min="4612" max="4612" width="7.5703125" style="16" customWidth="1"/>
    <col min="4613" max="4613" width="14.42578125" style="16" customWidth="1"/>
    <col min="4614" max="4614" width="12.42578125" style="16" customWidth="1"/>
    <col min="4615" max="4615" width="13" style="16" customWidth="1"/>
    <col min="4616" max="4616" width="11.5703125" style="16" customWidth="1"/>
    <col min="4617" max="4617" width="11.42578125" style="16" customWidth="1"/>
    <col min="4618" max="4618" width="14" style="16" customWidth="1"/>
    <col min="4619" max="4619" width="8.42578125" style="16" customWidth="1"/>
    <col min="4620" max="4620" width="7.42578125" style="16" bestFit="1" customWidth="1"/>
    <col min="4621" max="4621" width="5.5703125" style="16" customWidth="1"/>
    <col min="4622" max="4622" width="19.42578125" style="16" bestFit="1" customWidth="1"/>
    <col min="4623" max="4864" width="11.42578125" style="16"/>
    <col min="4865" max="4865" width="3.42578125" style="16" customWidth="1"/>
    <col min="4866" max="4866" width="5.42578125" style="16" bestFit="1" customWidth="1"/>
    <col min="4867" max="4867" width="43.42578125" style="16" customWidth="1"/>
    <col min="4868" max="4868" width="7.5703125" style="16" customWidth="1"/>
    <col min="4869" max="4869" width="14.42578125" style="16" customWidth="1"/>
    <col min="4870" max="4870" width="12.42578125" style="16" customWidth="1"/>
    <col min="4871" max="4871" width="13" style="16" customWidth="1"/>
    <col min="4872" max="4872" width="11.5703125" style="16" customWidth="1"/>
    <col min="4873" max="4873" width="11.42578125" style="16" customWidth="1"/>
    <col min="4874" max="4874" width="14" style="16" customWidth="1"/>
    <col min="4875" max="4875" width="8.42578125" style="16" customWidth="1"/>
    <col min="4876" max="4876" width="7.42578125" style="16" bestFit="1" customWidth="1"/>
    <col min="4877" max="4877" width="5.5703125" style="16" customWidth="1"/>
    <col min="4878" max="4878" width="19.42578125" style="16" bestFit="1" customWidth="1"/>
    <col min="4879" max="5120" width="11.42578125" style="16"/>
    <col min="5121" max="5121" width="3.42578125" style="16" customWidth="1"/>
    <col min="5122" max="5122" width="5.42578125" style="16" bestFit="1" customWidth="1"/>
    <col min="5123" max="5123" width="43.42578125" style="16" customWidth="1"/>
    <col min="5124" max="5124" width="7.5703125" style="16" customWidth="1"/>
    <col min="5125" max="5125" width="14.42578125" style="16" customWidth="1"/>
    <col min="5126" max="5126" width="12.42578125" style="16" customWidth="1"/>
    <col min="5127" max="5127" width="13" style="16" customWidth="1"/>
    <col min="5128" max="5128" width="11.5703125" style="16" customWidth="1"/>
    <col min="5129" max="5129" width="11.42578125" style="16" customWidth="1"/>
    <col min="5130" max="5130" width="14" style="16" customWidth="1"/>
    <col min="5131" max="5131" width="8.42578125" style="16" customWidth="1"/>
    <col min="5132" max="5132" width="7.42578125" style="16" bestFit="1" customWidth="1"/>
    <col min="5133" max="5133" width="5.5703125" style="16" customWidth="1"/>
    <col min="5134" max="5134" width="19.42578125" style="16" bestFit="1" customWidth="1"/>
    <col min="5135" max="5376" width="11.42578125" style="16"/>
    <col min="5377" max="5377" width="3.42578125" style="16" customWidth="1"/>
    <col min="5378" max="5378" width="5.42578125" style="16" bestFit="1" customWidth="1"/>
    <col min="5379" max="5379" width="43.42578125" style="16" customWidth="1"/>
    <col min="5380" max="5380" width="7.5703125" style="16" customWidth="1"/>
    <col min="5381" max="5381" width="14.42578125" style="16" customWidth="1"/>
    <col min="5382" max="5382" width="12.42578125" style="16" customWidth="1"/>
    <col min="5383" max="5383" width="13" style="16" customWidth="1"/>
    <col min="5384" max="5384" width="11.5703125" style="16" customWidth="1"/>
    <col min="5385" max="5385" width="11.42578125" style="16" customWidth="1"/>
    <col min="5386" max="5386" width="14" style="16" customWidth="1"/>
    <col min="5387" max="5387" width="8.42578125" style="16" customWidth="1"/>
    <col min="5388" max="5388" width="7.42578125" style="16" bestFit="1" customWidth="1"/>
    <col min="5389" max="5389" width="5.5703125" style="16" customWidth="1"/>
    <col min="5390" max="5390" width="19.42578125" style="16" bestFit="1" customWidth="1"/>
    <col min="5391" max="5632" width="11.42578125" style="16"/>
    <col min="5633" max="5633" width="3.42578125" style="16" customWidth="1"/>
    <col min="5634" max="5634" width="5.42578125" style="16" bestFit="1" customWidth="1"/>
    <col min="5635" max="5635" width="43.42578125" style="16" customWidth="1"/>
    <col min="5636" max="5636" width="7.5703125" style="16" customWidth="1"/>
    <col min="5637" max="5637" width="14.42578125" style="16" customWidth="1"/>
    <col min="5638" max="5638" width="12.42578125" style="16" customWidth="1"/>
    <col min="5639" max="5639" width="13" style="16" customWidth="1"/>
    <col min="5640" max="5640" width="11.5703125" style="16" customWidth="1"/>
    <col min="5641" max="5641" width="11.42578125" style="16" customWidth="1"/>
    <col min="5642" max="5642" width="14" style="16" customWidth="1"/>
    <col min="5643" max="5643" width="8.42578125" style="16" customWidth="1"/>
    <col min="5644" max="5644" width="7.42578125" style="16" bestFit="1" customWidth="1"/>
    <col min="5645" max="5645" width="5.5703125" style="16" customWidth="1"/>
    <col min="5646" max="5646" width="19.42578125" style="16" bestFit="1" customWidth="1"/>
    <col min="5647" max="5888" width="11.42578125" style="16"/>
    <col min="5889" max="5889" width="3.42578125" style="16" customWidth="1"/>
    <col min="5890" max="5890" width="5.42578125" style="16" bestFit="1" customWidth="1"/>
    <col min="5891" max="5891" width="43.42578125" style="16" customWidth="1"/>
    <col min="5892" max="5892" width="7.5703125" style="16" customWidth="1"/>
    <col min="5893" max="5893" width="14.42578125" style="16" customWidth="1"/>
    <col min="5894" max="5894" width="12.42578125" style="16" customWidth="1"/>
    <col min="5895" max="5895" width="13" style="16" customWidth="1"/>
    <col min="5896" max="5896" width="11.5703125" style="16" customWidth="1"/>
    <col min="5897" max="5897" width="11.42578125" style="16" customWidth="1"/>
    <col min="5898" max="5898" width="14" style="16" customWidth="1"/>
    <col min="5899" max="5899" width="8.42578125" style="16" customWidth="1"/>
    <col min="5900" max="5900" width="7.42578125" style="16" bestFit="1" customWidth="1"/>
    <col min="5901" max="5901" width="5.5703125" style="16" customWidth="1"/>
    <col min="5902" max="5902" width="19.42578125" style="16" bestFit="1" customWidth="1"/>
    <col min="5903" max="6144" width="11.42578125" style="16"/>
    <col min="6145" max="6145" width="3.42578125" style="16" customWidth="1"/>
    <col min="6146" max="6146" width="5.42578125" style="16" bestFit="1" customWidth="1"/>
    <col min="6147" max="6147" width="43.42578125" style="16" customWidth="1"/>
    <col min="6148" max="6148" width="7.5703125" style="16" customWidth="1"/>
    <col min="6149" max="6149" width="14.42578125" style="16" customWidth="1"/>
    <col min="6150" max="6150" width="12.42578125" style="16" customWidth="1"/>
    <col min="6151" max="6151" width="13" style="16" customWidth="1"/>
    <col min="6152" max="6152" width="11.5703125" style="16" customWidth="1"/>
    <col min="6153" max="6153" width="11.42578125" style="16" customWidth="1"/>
    <col min="6154" max="6154" width="14" style="16" customWidth="1"/>
    <col min="6155" max="6155" width="8.42578125" style="16" customWidth="1"/>
    <col min="6156" max="6156" width="7.42578125" style="16" bestFit="1" customWidth="1"/>
    <col min="6157" max="6157" width="5.5703125" style="16" customWidth="1"/>
    <col min="6158" max="6158" width="19.42578125" style="16" bestFit="1" customWidth="1"/>
    <col min="6159" max="6400" width="11.42578125" style="16"/>
    <col min="6401" max="6401" width="3.42578125" style="16" customWidth="1"/>
    <col min="6402" max="6402" width="5.42578125" style="16" bestFit="1" customWidth="1"/>
    <col min="6403" max="6403" width="43.42578125" style="16" customWidth="1"/>
    <col min="6404" max="6404" width="7.5703125" style="16" customWidth="1"/>
    <col min="6405" max="6405" width="14.42578125" style="16" customWidth="1"/>
    <col min="6406" max="6406" width="12.42578125" style="16" customWidth="1"/>
    <col min="6407" max="6407" width="13" style="16" customWidth="1"/>
    <col min="6408" max="6408" width="11.5703125" style="16" customWidth="1"/>
    <col min="6409" max="6409" width="11.42578125" style="16" customWidth="1"/>
    <col min="6410" max="6410" width="14" style="16" customWidth="1"/>
    <col min="6411" max="6411" width="8.42578125" style="16" customWidth="1"/>
    <col min="6412" max="6412" width="7.42578125" style="16" bestFit="1" customWidth="1"/>
    <col min="6413" max="6413" width="5.5703125" style="16" customWidth="1"/>
    <col min="6414" max="6414" width="19.42578125" style="16" bestFit="1" customWidth="1"/>
    <col min="6415" max="6656" width="11.42578125" style="16"/>
    <col min="6657" max="6657" width="3.42578125" style="16" customWidth="1"/>
    <col min="6658" max="6658" width="5.42578125" style="16" bestFit="1" customWidth="1"/>
    <col min="6659" max="6659" width="43.42578125" style="16" customWidth="1"/>
    <col min="6660" max="6660" width="7.5703125" style="16" customWidth="1"/>
    <col min="6661" max="6661" width="14.42578125" style="16" customWidth="1"/>
    <col min="6662" max="6662" width="12.42578125" style="16" customWidth="1"/>
    <col min="6663" max="6663" width="13" style="16" customWidth="1"/>
    <col min="6664" max="6664" width="11.5703125" style="16" customWidth="1"/>
    <col min="6665" max="6665" width="11.42578125" style="16" customWidth="1"/>
    <col min="6666" max="6666" width="14" style="16" customWidth="1"/>
    <col min="6667" max="6667" width="8.42578125" style="16" customWidth="1"/>
    <col min="6668" max="6668" width="7.42578125" style="16" bestFit="1" customWidth="1"/>
    <col min="6669" max="6669" width="5.5703125" style="16" customWidth="1"/>
    <col min="6670" max="6670" width="19.42578125" style="16" bestFit="1" customWidth="1"/>
    <col min="6671" max="6912" width="11.42578125" style="16"/>
    <col min="6913" max="6913" width="3.42578125" style="16" customWidth="1"/>
    <col min="6914" max="6914" width="5.42578125" style="16" bestFit="1" customWidth="1"/>
    <col min="6915" max="6915" width="43.42578125" style="16" customWidth="1"/>
    <col min="6916" max="6916" width="7.5703125" style="16" customWidth="1"/>
    <col min="6917" max="6917" width="14.42578125" style="16" customWidth="1"/>
    <col min="6918" max="6918" width="12.42578125" style="16" customWidth="1"/>
    <col min="6919" max="6919" width="13" style="16" customWidth="1"/>
    <col min="6920" max="6920" width="11.5703125" style="16" customWidth="1"/>
    <col min="6921" max="6921" width="11.42578125" style="16" customWidth="1"/>
    <col min="6922" max="6922" width="14" style="16" customWidth="1"/>
    <col min="6923" max="6923" width="8.42578125" style="16" customWidth="1"/>
    <col min="6924" max="6924" width="7.42578125" style="16" bestFit="1" customWidth="1"/>
    <col min="6925" max="6925" width="5.5703125" style="16" customWidth="1"/>
    <col min="6926" max="6926" width="19.42578125" style="16" bestFit="1" customWidth="1"/>
    <col min="6927" max="7168" width="11.42578125" style="16"/>
    <col min="7169" max="7169" width="3.42578125" style="16" customWidth="1"/>
    <col min="7170" max="7170" width="5.42578125" style="16" bestFit="1" customWidth="1"/>
    <col min="7171" max="7171" width="43.42578125" style="16" customWidth="1"/>
    <col min="7172" max="7172" width="7.5703125" style="16" customWidth="1"/>
    <col min="7173" max="7173" width="14.42578125" style="16" customWidth="1"/>
    <col min="7174" max="7174" width="12.42578125" style="16" customWidth="1"/>
    <col min="7175" max="7175" width="13" style="16" customWidth="1"/>
    <col min="7176" max="7176" width="11.5703125" style="16" customWidth="1"/>
    <col min="7177" max="7177" width="11.42578125" style="16" customWidth="1"/>
    <col min="7178" max="7178" width="14" style="16" customWidth="1"/>
    <col min="7179" max="7179" width="8.42578125" style="16" customWidth="1"/>
    <col min="7180" max="7180" width="7.42578125" style="16" bestFit="1" customWidth="1"/>
    <col min="7181" max="7181" width="5.5703125" style="16" customWidth="1"/>
    <col min="7182" max="7182" width="19.42578125" style="16" bestFit="1" customWidth="1"/>
    <col min="7183" max="7424" width="11.42578125" style="16"/>
    <col min="7425" max="7425" width="3.42578125" style="16" customWidth="1"/>
    <col min="7426" max="7426" width="5.42578125" style="16" bestFit="1" customWidth="1"/>
    <col min="7427" max="7427" width="43.42578125" style="16" customWidth="1"/>
    <col min="7428" max="7428" width="7.5703125" style="16" customWidth="1"/>
    <col min="7429" max="7429" width="14.42578125" style="16" customWidth="1"/>
    <col min="7430" max="7430" width="12.42578125" style="16" customWidth="1"/>
    <col min="7431" max="7431" width="13" style="16" customWidth="1"/>
    <col min="7432" max="7432" width="11.5703125" style="16" customWidth="1"/>
    <col min="7433" max="7433" width="11.42578125" style="16" customWidth="1"/>
    <col min="7434" max="7434" width="14" style="16" customWidth="1"/>
    <col min="7435" max="7435" width="8.42578125" style="16" customWidth="1"/>
    <col min="7436" max="7436" width="7.42578125" style="16" bestFit="1" customWidth="1"/>
    <col min="7437" max="7437" width="5.5703125" style="16" customWidth="1"/>
    <col min="7438" max="7438" width="19.42578125" style="16" bestFit="1" customWidth="1"/>
    <col min="7439" max="7680" width="11.42578125" style="16"/>
    <col min="7681" max="7681" width="3.42578125" style="16" customWidth="1"/>
    <col min="7682" max="7682" width="5.42578125" style="16" bestFit="1" customWidth="1"/>
    <col min="7683" max="7683" width="43.42578125" style="16" customWidth="1"/>
    <col min="7684" max="7684" width="7.5703125" style="16" customWidth="1"/>
    <col min="7685" max="7685" width="14.42578125" style="16" customWidth="1"/>
    <col min="7686" max="7686" width="12.42578125" style="16" customWidth="1"/>
    <col min="7687" max="7687" width="13" style="16" customWidth="1"/>
    <col min="7688" max="7688" width="11.5703125" style="16" customWidth="1"/>
    <col min="7689" max="7689" width="11.42578125" style="16" customWidth="1"/>
    <col min="7690" max="7690" width="14" style="16" customWidth="1"/>
    <col min="7691" max="7691" width="8.42578125" style="16" customWidth="1"/>
    <col min="7692" max="7692" width="7.42578125" style="16" bestFit="1" customWidth="1"/>
    <col min="7693" max="7693" width="5.5703125" style="16" customWidth="1"/>
    <col min="7694" max="7694" width="19.42578125" style="16" bestFit="1" customWidth="1"/>
    <col min="7695" max="7936" width="11.42578125" style="16"/>
    <col min="7937" max="7937" width="3.42578125" style="16" customWidth="1"/>
    <col min="7938" max="7938" width="5.42578125" style="16" bestFit="1" customWidth="1"/>
    <col min="7939" max="7939" width="43.42578125" style="16" customWidth="1"/>
    <col min="7940" max="7940" width="7.5703125" style="16" customWidth="1"/>
    <col min="7941" max="7941" width="14.42578125" style="16" customWidth="1"/>
    <col min="7942" max="7942" width="12.42578125" style="16" customWidth="1"/>
    <col min="7943" max="7943" width="13" style="16" customWidth="1"/>
    <col min="7944" max="7944" width="11.5703125" style="16" customWidth="1"/>
    <col min="7945" max="7945" width="11.42578125" style="16" customWidth="1"/>
    <col min="7946" max="7946" width="14" style="16" customWidth="1"/>
    <col min="7947" max="7947" width="8.42578125" style="16" customWidth="1"/>
    <col min="7948" max="7948" width="7.42578125" style="16" bestFit="1" customWidth="1"/>
    <col min="7949" max="7949" width="5.5703125" style="16" customWidth="1"/>
    <col min="7950" max="7950" width="19.42578125" style="16" bestFit="1" customWidth="1"/>
    <col min="7951" max="8192" width="11.42578125" style="16"/>
    <col min="8193" max="8193" width="3.42578125" style="16" customWidth="1"/>
    <col min="8194" max="8194" width="5.42578125" style="16" bestFit="1" customWidth="1"/>
    <col min="8195" max="8195" width="43.42578125" style="16" customWidth="1"/>
    <col min="8196" max="8196" width="7.5703125" style="16" customWidth="1"/>
    <col min="8197" max="8197" width="14.42578125" style="16" customWidth="1"/>
    <col min="8198" max="8198" width="12.42578125" style="16" customWidth="1"/>
    <col min="8199" max="8199" width="13" style="16" customWidth="1"/>
    <col min="8200" max="8200" width="11.5703125" style="16" customWidth="1"/>
    <col min="8201" max="8201" width="11.42578125" style="16" customWidth="1"/>
    <col min="8202" max="8202" width="14" style="16" customWidth="1"/>
    <col min="8203" max="8203" width="8.42578125" style="16" customWidth="1"/>
    <col min="8204" max="8204" width="7.42578125" style="16" bestFit="1" customWidth="1"/>
    <col min="8205" max="8205" width="5.5703125" style="16" customWidth="1"/>
    <col min="8206" max="8206" width="19.42578125" style="16" bestFit="1" customWidth="1"/>
    <col min="8207" max="8448" width="11.42578125" style="16"/>
    <col min="8449" max="8449" width="3.42578125" style="16" customWidth="1"/>
    <col min="8450" max="8450" width="5.42578125" style="16" bestFit="1" customWidth="1"/>
    <col min="8451" max="8451" width="43.42578125" style="16" customWidth="1"/>
    <col min="8452" max="8452" width="7.5703125" style="16" customWidth="1"/>
    <col min="8453" max="8453" width="14.42578125" style="16" customWidth="1"/>
    <col min="8454" max="8454" width="12.42578125" style="16" customWidth="1"/>
    <col min="8455" max="8455" width="13" style="16" customWidth="1"/>
    <col min="8456" max="8456" width="11.5703125" style="16" customWidth="1"/>
    <col min="8457" max="8457" width="11.42578125" style="16" customWidth="1"/>
    <col min="8458" max="8458" width="14" style="16" customWidth="1"/>
    <col min="8459" max="8459" width="8.42578125" style="16" customWidth="1"/>
    <col min="8460" max="8460" width="7.42578125" style="16" bestFit="1" customWidth="1"/>
    <col min="8461" max="8461" width="5.5703125" style="16" customWidth="1"/>
    <col min="8462" max="8462" width="19.42578125" style="16" bestFit="1" customWidth="1"/>
    <col min="8463" max="8704" width="11.42578125" style="16"/>
    <col min="8705" max="8705" width="3.42578125" style="16" customWidth="1"/>
    <col min="8706" max="8706" width="5.42578125" style="16" bestFit="1" customWidth="1"/>
    <col min="8707" max="8707" width="43.42578125" style="16" customWidth="1"/>
    <col min="8708" max="8708" width="7.5703125" style="16" customWidth="1"/>
    <col min="8709" max="8709" width="14.42578125" style="16" customWidth="1"/>
    <col min="8710" max="8710" width="12.42578125" style="16" customWidth="1"/>
    <col min="8711" max="8711" width="13" style="16" customWidth="1"/>
    <col min="8712" max="8712" width="11.5703125" style="16" customWidth="1"/>
    <col min="8713" max="8713" width="11.42578125" style="16" customWidth="1"/>
    <col min="8714" max="8714" width="14" style="16" customWidth="1"/>
    <col min="8715" max="8715" width="8.42578125" style="16" customWidth="1"/>
    <col min="8716" max="8716" width="7.42578125" style="16" bestFit="1" customWidth="1"/>
    <col min="8717" max="8717" width="5.5703125" style="16" customWidth="1"/>
    <col min="8718" max="8718" width="19.42578125" style="16" bestFit="1" customWidth="1"/>
    <col min="8719" max="8960" width="11.42578125" style="16"/>
    <col min="8961" max="8961" width="3.42578125" style="16" customWidth="1"/>
    <col min="8962" max="8962" width="5.42578125" style="16" bestFit="1" customWidth="1"/>
    <col min="8963" max="8963" width="43.42578125" style="16" customWidth="1"/>
    <col min="8964" max="8964" width="7.5703125" style="16" customWidth="1"/>
    <col min="8965" max="8965" width="14.42578125" style="16" customWidth="1"/>
    <col min="8966" max="8966" width="12.42578125" style="16" customWidth="1"/>
    <col min="8967" max="8967" width="13" style="16" customWidth="1"/>
    <col min="8968" max="8968" width="11.5703125" style="16" customWidth="1"/>
    <col min="8969" max="8969" width="11.42578125" style="16" customWidth="1"/>
    <col min="8970" max="8970" width="14" style="16" customWidth="1"/>
    <col min="8971" max="8971" width="8.42578125" style="16" customWidth="1"/>
    <col min="8972" max="8972" width="7.42578125" style="16" bestFit="1" customWidth="1"/>
    <col min="8973" max="8973" width="5.5703125" style="16" customWidth="1"/>
    <col min="8974" max="8974" width="19.42578125" style="16" bestFit="1" customWidth="1"/>
    <col min="8975" max="9216" width="11.42578125" style="16"/>
    <col min="9217" max="9217" width="3.42578125" style="16" customWidth="1"/>
    <col min="9218" max="9218" width="5.42578125" style="16" bestFit="1" customWidth="1"/>
    <col min="9219" max="9219" width="43.42578125" style="16" customWidth="1"/>
    <col min="9220" max="9220" width="7.5703125" style="16" customWidth="1"/>
    <col min="9221" max="9221" width="14.42578125" style="16" customWidth="1"/>
    <col min="9222" max="9222" width="12.42578125" style="16" customWidth="1"/>
    <col min="9223" max="9223" width="13" style="16" customWidth="1"/>
    <col min="9224" max="9224" width="11.5703125" style="16" customWidth="1"/>
    <col min="9225" max="9225" width="11.42578125" style="16" customWidth="1"/>
    <col min="9226" max="9226" width="14" style="16" customWidth="1"/>
    <col min="9227" max="9227" width="8.42578125" style="16" customWidth="1"/>
    <col min="9228" max="9228" width="7.42578125" style="16" bestFit="1" customWidth="1"/>
    <col min="9229" max="9229" width="5.5703125" style="16" customWidth="1"/>
    <col min="9230" max="9230" width="19.42578125" style="16" bestFit="1" customWidth="1"/>
    <col min="9231" max="9472" width="11.42578125" style="16"/>
    <col min="9473" max="9473" width="3.42578125" style="16" customWidth="1"/>
    <col min="9474" max="9474" width="5.42578125" style="16" bestFit="1" customWidth="1"/>
    <col min="9475" max="9475" width="43.42578125" style="16" customWidth="1"/>
    <col min="9476" max="9476" width="7.5703125" style="16" customWidth="1"/>
    <col min="9477" max="9477" width="14.42578125" style="16" customWidth="1"/>
    <col min="9478" max="9478" width="12.42578125" style="16" customWidth="1"/>
    <col min="9479" max="9479" width="13" style="16" customWidth="1"/>
    <col min="9480" max="9480" width="11.5703125" style="16" customWidth="1"/>
    <col min="9481" max="9481" width="11.42578125" style="16" customWidth="1"/>
    <col min="9482" max="9482" width="14" style="16" customWidth="1"/>
    <col min="9483" max="9483" width="8.42578125" style="16" customWidth="1"/>
    <col min="9484" max="9484" width="7.42578125" style="16" bestFit="1" customWidth="1"/>
    <col min="9485" max="9485" width="5.5703125" style="16" customWidth="1"/>
    <col min="9486" max="9486" width="19.42578125" style="16" bestFit="1" customWidth="1"/>
    <col min="9487" max="9728" width="11.42578125" style="16"/>
    <col min="9729" max="9729" width="3.42578125" style="16" customWidth="1"/>
    <col min="9730" max="9730" width="5.42578125" style="16" bestFit="1" customWidth="1"/>
    <col min="9731" max="9731" width="43.42578125" style="16" customWidth="1"/>
    <col min="9732" max="9732" width="7.5703125" style="16" customWidth="1"/>
    <col min="9733" max="9733" width="14.42578125" style="16" customWidth="1"/>
    <col min="9734" max="9734" width="12.42578125" style="16" customWidth="1"/>
    <col min="9735" max="9735" width="13" style="16" customWidth="1"/>
    <col min="9736" max="9736" width="11.5703125" style="16" customWidth="1"/>
    <col min="9737" max="9737" width="11.42578125" style="16" customWidth="1"/>
    <col min="9738" max="9738" width="14" style="16" customWidth="1"/>
    <col min="9739" max="9739" width="8.42578125" style="16" customWidth="1"/>
    <col min="9740" max="9740" width="7.42578125" style="16" bestFit="1" customWidth="1"/>
    <col min="9741" max="9741" width="5.5703125" style="16" customWidth="1"/>
    <col min="9742" max="9742" width="19.42578125" style="16" bestFit="1" customWidth="1"/>
    <col min="9743" max="9984" width="11.42578125" style="16"/>
    <col min="9985" max="9985" width="3.42578125" style="16" customWidth="1"/>
    <col min="9986" max="9986" width="5.42578125" style="16" bestFit="1" customWidth="1"/>
    <col min="9987" max="9987" width="43.42578125" style="16" customWidth="1"/>
    <col min="9988" max="9988" width="7.5703125" style="16" customWidth="1"/>
    <col min="9989" max="9989" width="14.42578125" style="16" customWidth="1"/>
    <col min="9990" max="9990" width="12.42578125" style="16" customWidth="1"/>
    <col min="9991" max="9991" width="13" style="16" customWidth="1"/>
    <col min="9992" max="9992" width="11.5703125" style="16" customWidth="1"/>
    <col min="9993" max="9993" width="11.42578125" style="16" customWidth="1"/>
    <col min="9994" max="9994" width="14" style="16" customWidth="1"/>
    <col min="9995" max="9995" width="8.42578125" style="16" customWidth="1"/>
    <col min="9996" max="9996" width="7.42578125" style="16" bestFit="1" customWidth="1"/>
    <col min="9997" max="9997" width="5.5703125" style="16" customWidth="1"/>
    <col min="9998" max="9998" width="19.42578125" style="16" bestFit="1" customWidth="1"/>
    <col min="9999" max="10240" width="11.42578125" style="16"/>
    <col min="10241" max="10241" width="3.42578125" style="16" customWidth="1"/>
    <col min="10242" max="10242" width="5.42578125" style="16" bestFit="1" customWidth="1"/>
    <col min="10243" max="10243" width="43.42578125" style="16" customWidth="1"/>
    <col min="10244" max="10244" width="7.5703125" style="16" customWidth="1"/>
    <col min="10245" max="10245" width="14.42578125" style="16" customWidth="1"/>
    <col min="10246" max="10246" width="12.42578125" style="16" customWidth="1"/>
    <col min="10247" max="10247" width="13" style="16" customWidth="1"/>
    <col min="10248" max="10248" width="11.5703125" style="16" customWidth="1"/>
    <col min="10249" max="10249" width="11.42578125" style="16" customWidth="1"/>
    <col min="10250" max="10250" width="14" style="16" customWidth="1"/>
    <col min="10251" max="10251" width="8.42578125" style="16" customWidth="1"/>
    <col min="10252" max="10252" width="7.42578125" style="16" bestFit="1" customWidth="1"/>
    <col min="10253" max="10253" width="5.5703125" style="16" customWidth="1"/>
    <col min="10254" max="10254" width="19.42578125" style="16" bestFit="1" customWidth="1"/>
    <col min="10255" max="10496" width="11.42578125" style="16"/>
    <col min="10497" max="10497" width="3.42578125" style="16" customWidth="1"/>
    <col min="10498" max="10498" width="5.42578125" style="16" bestFit="1" customWidth="1"/>
    <col min="10499" max="10499" width="43.42578125" style="16" customWidth="1"/>
    <col min="10500" max="10500" width="7.5703125" style="16" customWidth="1"/>
    <col min="10501" max="10501" width="14.42578125" style="16" customWidth="1"/>
    <col min="10502" max="10502" width="12.42578125" style="16" customWidth="1"/>
    <col min="10503" max="10503" width="13" style="16" customWidth="1"/>
    <col min="10504" max="10504" width="11.5703125" style="16" customWidth="1"/>
    <col min="10505" max="10505" width="11.42578125" style="16" customWidth="1"/>
    <col min="10506" max="10506" width="14" style="16" customWidth="1"/>
    <col min="10507" max="10507" width="8.42578125" style="16" customWidth="1"/>
    <col min="10508" max="10508" width="7.42578125" style="16" bestFit="1" customWidth="1"/>
    <col min="10509" max="10509" width="5.5703125" style="16" customWidth="1"/>
    <col min="10510" max="10510" width="19.42578125" style="16" bestFit="1" customWidth="1"/>
    <col min="10511" max="10752" width="11.42578125" style="16"/>
    <col min="10753" max="10753" width="3.42578125" style="16" customWidth="1"/>
    <col min="10754" max="10754" width="5.42578125" style="16" bestFit="1" customWidth="1"/>
    <col min="10755" max="10755" width="43.42578125" style="16" customWidth="1"/>
    <col min="10756" max="10756" width="7.5703125" style="16" customWidth="1"/>
    <col min="10757" max="10757" width="14.42578125" style="16" customWidth="1"/>
    <col min="10758" max="10758" width="12.42578125" style="16" customWidth="1"/>
    <col min="10759" max="10759" width="13" style="16" customWidth="1"/>
    <col min="10760" max="10760" width="11.5703125" style="16" customWidth="1"/>
    <col min="10761" max="10761" width="11.42578125" style="16" customWidth="1"/>
    <col min="10762" max="10762" width="14" style="16" customWidth="1"/>
    <col min="10763" max="10763" width="8.42578125" style="16" customWidth="1"/>
    <col min="10764" max="10764" width="7.42578125" style="16" bestFit="1" customWidth="1"/>
    <col min="10765" max="10765" width="5.5703125" style="16" customWidth="1"/>
    <col min="10766" max="10766" width="19.42578125" style="16" bestFit="1" customWidth="1"/>
    <col min="10767" max="11008" width="11.42578125" style="16"/>
    <col min="11009" max="11009" width="3.42578125" style="16" customWidth="1"/>
    <col min="11010" max="11010" width="5.42578125" style="16" bestFit="1" customWidth="1"/>
    <col min="11011" max="11011" width="43.42578125" style="16" customWidth="1"/>
    <col min="11012" max="11012" width="7.5703125" style="16" customWidth="1"/>
    <col min="11013" max="11013" width="14.42578125" style="16" customWidth="1"/>
    <col min="11014" max="11014" width="12.42578125" style="16" customWidth="1"/>
    <col min="11015" max="11015" width="13" style="16" customWidth="1"/>
    <col min="11016" max="11016" width="11.5703125" style="16" customWidth="1"/>
    <col min="11017" max="11017" width="11.42578125" style="16" customWidth="1"/>
    <col min="11018" max="11018" width="14" style="16" customWidth="1"/>
    <col min="11019" max="11019" width="8.42578125" style="16" customWidth="1"/>
    <col min="11020" max="11020" width="7.42578125" style="16" bestFit="1" customWidth="1"/>
    <col min="11021" max="11021" width="5.5703125" style="16" customWidth="1"/>
    <col min="11022" max="11022" width="19.42578125" style="16" bestFit="1" customWidth="1"/>
    <col min="11023" max="11264" width="11.42578125" style="16"/>
    <col min="11265" max="11265" width="3.42578125" style="16" customWidth="1"/>
    <col min="11266" max="11266" width="5.42578125" style="16" bestFit="1" customWidth="1"/>
    <col min="11267" max="11267" width="43.42578125" style="16" customWidth="1"/>
    <col min="11268" max="11268" width="7.5703125" style="16" customWidth="1"/>
    <col min="11269" max="11269" width="14.42578125" style="16" customWidth="1"/>
    <col min="11270" max="11270" width="12.42578125" style="16" customWidth="1"/>
    <col min="11271" max="11271" width="13" style="16" customWidth="1"/>
    <col min="11272" max="11272" width="11.5703125" style="16" customWidth="1"/>
    <col min="11273" max="11273" width="11.42578125" style="16" customWidth="1"/>
    <col min="11274" max="11274" width="14" style="16" customWidth="1"/>
    <col min="11275" max="11275" width="8.42578125" style="16" customWidth="1"/>
    <col min="11276" max="11276" width="7.42578125" style="16" bestFit="1" customWidth="1"/>
    <col min="11277" max="11277" width="5.5703125" style="16" customWidth="1"/>
    <col min="11278" max="11278" width="19.42578125" style="16" bestFit="1" customWidth="1"/>
    <col min="11279" max="11520" width="11.42578125" style="16"/>
    <col min="11521" max="11521" width="3.42578125" style="16" customWidth="1"/>
    <col min="11522" max="11522" width="5.42578125" style="16" bestFit="1" customWidth="1"/>
    <col min="11523" max="11523" width="43.42578125" style="16" customWidth="1"/>
    <col min="11524" max="11524" width="7.5703125" style="16" customWidth="1"/>
    <col min="11525" max="11525" width="14.42578125" style="16" customWidth="1"/>
    <col min="11526" max="11526" width="12.42578125" style="16" customWidth="1"/>
    <col min="11527" max="11527" width="13" style="16" customWidth="1"/>
    <col min="11528" max="11528" width="11.5703125" style="16" customWidth="1"/>
    <col min="11529" max="11529" width="11.42578125" style="16" customWidth="1"/>
    <col min="11530" max="11530" width="14" style="16" customWidth="1"/>
    <col min="11531" max="11531" width="8.42578125" style="16" customWidth="1"/>
    <col min="11532" max="11532" width="7.42578125" style="16" bestFit="1" customWidth="1"/>
    <col min="11533" max="11533" width="5.5703125" style="16" customWidth="1"/>
    <col min="11534" max="11534" width="19.42578125" style="16" bestFit="1" customWidth="1"/>
    <col min="11535" max="11776" width="11.42578125" style="16"/>
    <col min="11777" max="11777" width="3.42578125" style="16" customWidth="1"/>
    <col min="11778" max="11778" width="5.42578125" style="16" bestFit="1" customWidth="1"/>
    <col min="11779" max="11779" width="43.42578125" style="16" customWidth="1"/>
    <col min="11780" max="11780" width="7.5703125" style="16" customWidth="1"/>
    <col min="11781" max="11781" width="14.42578125" style="16" customWidth="1"/>
    <col min="11782" max="11782" width="12.42578125" style="16" customWidth="1"/>
    <col min="11783" max="11783" width="13" style="16" customWidth="1"/>
    <col min="11784" max="11784" width="11.5703125" style="16" customWidth="1"/>
    <col min="11785" max="11785" width="11.42578125" style="16" customWidth="1"/>
    <col min="11786" max="11786" width="14" style="16" customWidth="1"/>
    <col min="11787" max="11787" width="8.42578125" style="16" customWidth="1"/>
    <col min="11788" max="11788" width="7.42578125" style="16" bestFit="1" customWidth="1"/>
    <col min="11789" max="11789" width="5.5703125" style="16" customWidth="1"/>
    <col min="11790" max="11790" width="19.42578125" style="16" bestFit="1" customWidth="1"/>
    <col min="11791" max="12032" width="11.42578125" style="16"/>
    <col min="12033" max="12033" width="3.42578125" style="16" customWidth="1"/>
    <col min="12034" max="12034" width="5.42578125" style="16" bestFit="1" customWidth="1"/>
    <col min="12035" max="12035" width="43.42578125" style="16" customWidth="1"/>
    <col min="12036" max="12036" width="7.5703125" style="16" customWidth="1"/>
    <col min="12037" max="12037" width="14.42578125" style="16" customWidth="1"/>
    <col min="12038" max="12038" width="12.42578125" style="16" customWidth="1"/>
    <col min="12039" max="12039" width="13" style="16" customWidth="1"/>
    <col min="12040" max="12040" width="11.5703125" style="16" customWidth="1"/>
    <col min="12041" max="12041" width="11.42578125" style="16" customWidth="1"/>
    <col min="12042" max="12042" width="14" style="16" customWidth="1"/>
    <col min="12043" max="12043" width="8.42578125" style="16" customWidth="1"/>
    <col min="12044" max="12044" width="7.42578125" style="16" bestFit="1" customWidth="1"/>
    <col min="12045" max="12045" width="5.5703125" style="16" customWidth="1"/>
    <col min="12046" max="12046" width="19.42578125" style="16" bestFit="1" customWidth="1"/>
    <col min="12047" max="12288" width="11.42578125" style="16"/>
    <col min="12289" max="12289" width="3.42578125" style="16" customWidth="1"/>
    <col min="12290" max="12290" width="5.42578125" style="16" bestFit="1" customWidth="1"/>
    <col min="12291" max="12291" width="43.42578125" style="16" customWidth="1"/>
    <col min="12292" max="12292" width="7.5703125" style="16" customWidth="1"/>
    <col min="12293" max="12293" width="14.42578125" style="16" customWidth="1"/>
    <col min="12294" max="12294" width="12.42578125" style="16" customWidth="1"/>
    <col min="12295" max="12295" width="13" style="16" customWidth="1"/>
    <col min="12296" max="12296" width="11.5703125" style="16" customWidth="1"/>
    <col min="12297" max="12297" width="11.42578125" style="16" customWidth="1"/>
    <col min="12298" max="12298" width="14" style="16" customWidth="1"/>
    <col min="12299" max="12299" width="8.42578125" style="16" customWidth="1"/>
    <col min="12300" max="12300" width="7.42578125" style="16" bestFit="1" customWidth="1"/>
    <col min="12301" max="12301" width="5.5703125" style="16" customWidth="1"/>
    <col min="12302" max="12302" width="19.42578125" style="16" bestFit="1" customWidth="1"/>
    <col min="12303" max="12544" width="11.42578125" style="16"/>
    <col min="12545" max="12545" width="3.42578125" style="16" customWidth="1"/>
    <col min="12546" max="12546" width="5.42578125" style="16" bestFit="1" customWidth="1"/>
    <col min="12547" max="12547" width="43.42578125" style="16" customWidth="1"/>
    <col min="12548" max="12548" width="7.5703125" style="16" customWidth="1"/>
    <col min="12549" max="12549" width="14.42578125" style="16" customWidth="1"/>
    <col min="12550" max="12550" width="12.42578125" style="16" customWidth="1"/>
    <col min="12551" max="12551" width="13" style="16" customWidth="1"/>
    <col min="12552" max="12552" width="11.5703125" style="16" customWidth="1"/>
    <col min="12553" max="12553" width="11.42578125" style="16" customWidth="1"/>
    <col min="12554" max="12554" width="14" style="16" customWidth="1"/>
    <col min="12555" max="12555" width="8.42578125" style="16" customWidth="1"/>
    <col min="12556" max="12556" width="7.42578125" style="16" bestFit="1" customWidth="1"/>
    <col min="12557" max="12557" width="5.5703125" style="16" customWidth="1"/>
    <col min="12558" max="12558" width="19.42578125" style="16" bestFit="1" customWidth="1"/>
    <col min="12559" max="12800" width="11.42578125" style="16"/>
    <col min="12801" max="12801" width="3.42578125" style="16" customWidth="1"/>
    <col min="12802" max="12802" width="5.42578125" style="16" bestFit="1" customWidth="1"/>
    <col min="12803" max="12803" width="43.42578125" style="16" customWidth="1"/>
    <col min="12804" max="12804" width="7.5703125" style="16" customWidth="1"/>
    <col min="12805" max="12805" width="14.42578125" style="16" customWidth="1"/>
    <col min="12806" max="12806" width="12.42578125" style="16" customWidth="1"/>
    <col min="12807" max="12807" width="13" style="16" customWidth="1"/>
    <col min="12808" max="12808" width="11.5703125" style="16" customWidth="1"/>
    <col min="12809" max="12809" width="11.42578125" style="16" customWidth="1"/>
    <col min="12810" max="12810" width="14" style="16" customWidth="1"/>
    <col min="12811" max="12811" width="8.42578125" style="16" customWidth="1"/>
    <col min="12812" max="12812" width="7.42578125" style="16" bestFit="1" customWidth="1"/>
    <col min="12813" max="12813" width="5.5703125" style="16" customWidth="1"/>
    <col min="12814" max="12814" width="19.42578125" style="16" bestFit="1" customWidth="1"/>
    <col min="12815" max="13056" width="11.42578125" style="16"/>
    <col min="13057" max="13057" width="3.42578125" style="16" customWidth="1"/>
    <col min="13058" max="13058" width="5.42578125" style="16" bestFit="1" customWidth="1"/>
    <col min="13059" max="13059" width="43.42578125" style="16" customWidth="1"/>
    <col min="13060" max="13060" width="7.5703125" style="16" customWidth="1"/>
    <col min="13061" max="13061" width="14.42578125" style="16" customWidth="1"/>
    <col min="13062" max="13062" width="12.42578125" style="16" customWidth="1"/>
    <col min="13063" max="13063" width="13" style="16" customWidth="1"/>
    <col min="13064" max="13064" width="11.5703125" style="16" customWidth="1"/>
    <col min="13065" max="13065" width="11.42578125" style="16" customWidth="1"/>
    <col min="13066" max="13066" width="14" style="16" customWidth="1"/>
    <col min="13067" max="13067" width="8.42578125" style="16" customWidth="1"/>
    <col min="13068" max="13068" width="7.42578125" style="16" bestFit="1" customWidth="1"/>
    <col min="13069" max="13069" width="5.5703125" style="16" customWidth="1"/>
    <col min="13070" max="13070" width="19.42578125" style="16" bestFit="1" customWidth="1"/>
    <col min="13071" max="13312" width="11.42578125" style="16"/>
    <col min="13313" max="13313" width="3.42578125" style="16" customWidth="1"/>
    <col min="13314" max="13314" width="5.42578125" style="16" bestFit="1" customWidth="1"/>
    <col min="13315" max="13315" width="43.42578125" style="16" customWidth="1"/>
    <col min="13316" max="13316" width="7.5703125" style="16" customWidth="1"/>
    <col min="13317" max="13317" width="14.42578125" style="16" customWidth="1"/>
    <col min="13318" max="13318" width="12.42578125" style="16" customWidth="1"/>
    <col min="13319" max="13319" width="13" style="16" customWidth="1"/>
    <col min="13320" max="13320" width="11.5703125" style="16" customWidth="1"/>
    <col min="13321" max="13321" width="11.42578125" style="16" customWidth="1"/>
    <col min="13322" max="13322" width="14" style="16" customWidth="1"/>
    <col min="13323" max="13323" width="8.42578125" style="16" customWidth="1"/>
    <col min="13324" max="13324" width="7.42578125" style="16" bestFit="1" customWidth="1"/>
    <col min="13325" max="13325" width="5.5703125" style="16" customWidth="1"/>
    <col min="13326" max="13326" width="19.42578125" style="16" bestFit="1" customWidth="1"/>
    <col min="13327" max="13568" width="11.42578125" style="16"/>
    <col min="13569" max="13569" width="3.42578125" style="16" customWidth="1"/>
    <col min="13570" max="13570" width="5.42578125" style="16" bestFit="1" customWidth="1"/>
    <col min="13571" max="13571" width="43.42578125" style="16" customWidth="1"/>
    <col min="13572" max="13572" width="7.5703125" style="16" customWidth="1"/>
    <col min="13573" max="13573" width="14.42578125" style="16" customWidth="1"/>
    <col min="13574" max="13574" width="12.42578125" style="16" customWidth="1"/>
    <col min="13575" max="13575" width="13" style="16" customWidth="1"/>
    <col min="13576" max="13576" width="11.5703125" style="16" customWidth="1"/>
    <col min="13577" max="13577" width="11.42578125" style="16" customWidth="1"/>
    <col min="13578" max="13578" width="14" style="16" customWidth="1"/>
    <col min="13579" max="13579" width="8.42578125" style="16" customWidth="1"/>
    <col min="13580" max="13580" width="7.42578125" style="16" bestFit="1" customWidth="1"/>
    <col min="13581" max="13581" width="5.5703125" style="16" customWidth="1"/>
    <col min="13582" max="13582" width="19.42578125" style="16" bestFit="1" customWidth="1"/>
    <col min="13583" max="13824" width="11.42578125" style="16"/>
    <col min="13825" max="13825" width="3.42578125" style="16" customWidth="1"/>
    <col min="13826" max="13826" width="5.42578125" style="16" bestFit="1" customWidth="1"/>
    <col min="13827" max="13827" width="43.42578125" style="16" customWidth="1"/>
    <col min="13828" max="13828" width="7.5703125" style="16" customWidth="1"/>
    <col min="13829" max="13829" width="14.42578125" style="16" customWidth="1"/>
    <col min="13830" max="13830" width="12.42578125" style="16" customWidth="1"/>
    <col min="13831" max="13831" width="13" style="16" customWidth="1"/>
    <col min="13832" max="13832" width="11.5703125" style="16" customWidth="1"/>
    <col min="13833" max="13833" width="11.42578125" style="16" customWidth="1"/>
    <col min="13834" max="13834" width="14" style="16" customWidth="1"/>
    <col min="13835" max="13835" width="8.42578125" style="16" customWidth="1"/>
    <col min="13836" max="13836" width="7.42578125" style="16" bestFit="1" customWidth="1"/>
    <col min="13837" max="13837" width="5.5703125" style="16" customWidth="1"/>
    <col min="13838" max="13838" width="19.42578125" style="16" bestFit="1" customWidth="1"/>
    <col min="13839" max="14080" width="11.42578125" style="16"/>
    <col min="14081" max="14081" width="3.42578125" style="16" customWidth="1"/>
    <col min="14082" max="14082" width="5.42578125" style="16" bestFit="1" customWidth="1"/>
    <col min="14083" max="14083" width="43.42578125" style="16" customWidth="1"/>
    <col min="14084" max="14084" width="7.5703125" style="16" customWidth="1"/>
    <col min="14085" max="14085" width="14.42578125" style="16" customWidth="1"/>
    <col min="14086" max="14086" width="12.42578125" style="16" customWidth="1"/>
    <col min="14087" max="14087" width="13" style="16" customWidth="1"/>
    <col min="14088" max="14088" width="11.5703125" style="16" customWidth="1"/>
    <col min="14089" max="14089" width="11.42578125" style="16" customWidth="1"/>
    <col min="14090" max="14090" width="14" style="16" customWidth="1"/>
    <col min="14091" max="14091" width="8.42578125" style="16" customWidth="1"/>
    <col min="14092" max="14092" width="7.42578125" style="16" bestFit="1" customWidth="1"/>
    <col min="14093" max="14093" width="5.5703125" style="16" customWidth="1"/>
    <col min="14094" max="14094" width="19.42578125" style="16" bestFit="1" customWidth="1"/>
    <col min="14095" max="14336" width="11.42578125" style="16"/>
    <col min="14337" max="14337" width="3.42578125" style="16" customWidth="1"/>
    <col min="14338" max="14338" width="5.42578125" style="16" bestFit="1" customWidth="1"/>
    <col min="14339" max="14339" width="43.42578125" style="16" customWidth="1"/>
    <col min="14340" max="14340" width="7.5703125" style="16" customWidth="1"/>
    <col min="14341" max="14341" width="14.42578125" style="16" customWidth="1"/>
    <col min="14342" max="14342" width="12.42578125" style="16" customWidth="1"/>
    <col min="14343" max="14343" width="13" style="16" customWidth="1"/>
    <col min="14344" max="14344" width="11.5703125" style="16" customWidth="1"/>
    <col min="14345" max="14345" width="11.42578125" style="16" customWidth="1"/>
    <col min="14346" max="14346" width="14" style="16" customWidth="1"/>
    <col min="14347" max="14347" width="8.42578125" style="16" customWidth="1"/>
    <col min="14348" max="14348" width="7.42578125" style="16" bestFit="1" customWidth="1"/>
    <col min="14349" max="14349" width="5.5703125" style="16" customWidth="1"/>
    <col min="14350" max="14350" width="19.42578125" style="16" bestFit="1" customWidth="1"/>
    <col min="14351" max="14592" width="11.42578125" style="16"/>
    <col min="14593" max="14593" width="3.42578125" style="16" customWidth="1"/>
    <col min="14594" max="14594" width="5.42578125" style="16" bestFit="1" customWidth="1"/>
    <col min="14595" max="14595" width="43.42578125" style="16" customWidth="1"/>
    <col min="14596" max="14596" width="7.5703125" style="16" customWidth="1"/>
    <col min="14597" max="14597" width="14.42578125" style="16" customWidth="1"/>
    <col min="14598" max="14598" width="12.42578125" style="16" customWidth="1"/>
    <col min="14599" max="14599" width="13" style="16" customWidth="1"/>
    <col min="14600" max="14600" width="11.5703125" style="16" customWidth="1"/>
    <col min="14601" max="14601" width="11.42578125" style="16" customWidth="1"/>
    <col min="14602" max="14602" width="14" style="16" customWidth="1"/>
    <col min="14603" max="14603" width="8.42578125" style="16" customWidth="1"/>
    <col min="14604" max="14604" width="7.42578125" style="16" bestFit="1" customWidth="1"/>
    <col min="14605" max="14605" width="5.5703125" style="16" customWidth="1"/>
    <col min="14606" max="14606" width="19.42578125" style="16" bestFit="1" customWidth="1"/>
    <col min="14607" max="14848" width="11.42578125" style="16"/>
    <col min="14849" max="14849" width="3.42578125" style="16" customWidth="1"/>
    <col min="14850" max="14850" width="5.42578125" style="16" bestFit="1" customWidth="1"/>
    <col min="14851" max="14851" width="43.42578125" style="16" customWidth="1"/>
    <col min="14852" max="14852" width="7.5703125" style="16" customWidth="1"/>
    <col min="14853" max="14853" width="14.42578125" style="16" customWidth="1"/>
    <col min="14854" max="14854" width="12.42578125" style="16" customWidth="1"/>
    <col min="14855" max="14855" width="13" style="16" customWidth="1"/>
    <col min="14856" max="14856" width="11.5703125" style="16" customWidth="1"/>
    <col min="14857" max="14857" width="11.42578125" style="16" customWidth="1"/>
    <col min="14858" max="14858" width="14" style="16" customWidth="1"/>
    <col min="14859" max="14859" width="8.42578125" style="16" customWidth="1"/>
    <col min="14860" max="14860" width="7.42578125" style="16" bestFit="1" customWidth="1"/>
    <col min="14861" max="14861" width="5.5703125" style="16" customWidth="1"/>
    <col min="14862" max="14862" width="19.42578125" style="16" bestFit="1" customWidth="1"/>
    <col min="14863" max="15104" width="11.42578125" style="16"/>
    <col min="15105" max="15105" width="3.42578125" style="16" customWidth="1"/>
    <col min="15106" max="15106" width="5.42578125" style="16" bestFit="1" customWidth="1"/>
    <col min="15107" max="15107" width="43.42578125" style="16" customWidth="1"/>
    <col min="15108" max="15108" width="7.5703125" style="16" customWidth="1"/>
    <col min="15109" max="15109" width="14.42578125" style="16" customWidth="1"/>
    <col min="15110" max="15110" width="12.42578125" style="16" customWidth="1"/>
    <col min="15111" max="15111" width="13" style="16" customWidth="1"/>
    <col min="15112" max="15112" width="11.5703125" style="16" customWidth="1"/>
    <col min="15113" max="15113" width="11.42578125" style="16" customWidth="1"/>
    <col min="15114" max="15114" width="14" style="16" customWidth="1"/>
    <col min="15115" max="15115" width="8.42578125" style="16" customWidth="1"/>
    <col min="15116" max="15116" width="7.42578125" style="16" bestFit="1" customWidth="1"/>
    <col min="15117" max="15117" width="5.5703125" style="16" customWidth="1"/>
    <col min="15118" max="15118" width="19.42578125" style="16" bestFit="1" customWidth="1"/>
    <col min="15119" max="15360" width="11.42578125" style="16"/>
    <col min="15361" max="15361" width="3.42578125" style="16" customWidth="1"/>
    <col min="15362" max="15362" width="5.42578125" style="16" bestFit="1" customWidth="1"/>
    <col min="15363" max="15363" width="43.42578125" style="16" customWidth="1"/>
    <col min="15364" max="15364" width="7.5703125" style="16" customWidth="1"/>
    <col min="15365" max="15365" width="14.42578125" style="16" customWidth="1"/>
    <col min="15366" max="15366" width="12.42578125" style="16" customWidth="1"/>
    <col min="15367" max="15367" width="13" style="16" customWidth="1"/>
    <col min="15368" max="15368" width="11.5703125" style="16" customWidth="1"/>
    <col min="15369" max="15369" width="11.42578125" style="16" customWidth="1"/>
    <col min="15370" max="15370" width="14" style="16" customWidth="1"/>
    <col min="15371" max="15371" width="8.42578125" style="16" customWidth="1"/>
    <col min="15372" max="15372" width="7.42578125" style="16" bestFit="1" customWidth="1"/>
    <col min="15373" max="15373" width="5.5703125" style="16" customWidth="1"/>
    <col min="15374" max="15374" width="19.42578125" style="16" bestFit="1" customWidth="1"/>
    <col min="15375" max="15616" width="11.42578125" style="16"/>
    <col min="15617" max="15617" width="3.42578125" style="16" customWidth="1"/>
    <col min="15618" max="15618" width="5.42578125" style="16" bestFit="1" customWidth="1"/>
    <col min="15619" max="15619" width="43.42578125" style="16" customWidth="1"/>
    <col min="15620" max="15620" width="7.5703125" style="16" customWidth="1"/>
    <col min="15621" max="15621" width="14.42578125" style="16" customWidth="1"/>
    <col min="15622" max="15622" width="12.42578125" style="16" customWidth="1"/>
    <col min="15623" max="15623" width="13" style="16" customWidth="1"/>
    <col min="15624" max="15624" width="11.5703125" style="16" customWidth="1"/>
    <col min="15625" max="15625" width="11.42578125" style="16" customWidth="1"/>
    <col min="15626" max="15626" width="14" style="16" customWidth="1"/>
    <col min="15627" max="15627" width="8.42578125" style="16" customWidth="1"/>
    <col min="15628" max="15628" width="7.42578125" style="16" bestFit="1" customWidth="1"/>
    <col min="15629" max="15629" width="5.5703125" style="16" customWidth="1"/>
    <col min="15630" max="15630" width="19.42578125" style="16" bestFit="1" customWidth="1"/>
    <col min="15631" max="15872" width="11.42578125" style="16"/>
    <col min="15873" max="15873" width="3.42578125" style="16" customWidth="1"/>
    <col min="15874" max="15874" width="5.42578125" style="16" bestFit="1" customWidth="1"/>
    <col min="15875" max="15875" width="43.42578125" style="16" customWidth="1"/>
    <col min="15876" max="15876" width="7.5703125" style="16" customWidth="1"/>
    <col min="15877" max="15877" width="14.42578125" style="16" customWidth="1"/>
    <col min="15878" max="15878" width="12.42578125" style="16" customWidth="1"/>
    <col min="15879" max="15879" width="13" style="16" customWidth="1"/>
    <col min="15880" max="15880" width="11.5703125" style="16" customWidth="1"/>
    <col min="15881" max="15881" width="11.42578125" style="16" customWidth="1"/>
    <col min="15882" max="15882" width="14" style="16" customWidth="1"/>
    <col min="15883" max="15883" width="8.42578125" style="16" customWidth="1"/>
    <col min="15884" max="15884" width="7.42578125" style="16" bestFit="1" customWidth="1"/>
    <col min="15885" max="15885" width="5.5703125" style="16" customWidth="1"/>
    <col min="15886" max="15886" width="19.42578125" style="16" bestFit="1" customWidth="1"/>
    <col min="15887" max="16128" width="11.42578125" style="16"/>
    <col min="16129" max="16129" width="3.42578125" style="16" customWidth="1"/>
    <col min="16130" max="16130" width="5.42578125" style="16" bestFit="1" customWidth="1"/>
    <col min="16131" max="16131" width="43.42578125" style="16" customWidth="1"/>
    <col min="16132" max="16132" width="7.5703125" style="16" customWidth="1"/>
    <col min="16133" max="16133" width="14.42578125" style="16" customWidth="1"/>
    <col min="16134" max="16134" width="12.42578125" style="16" customWidth="1"/>
    <col min="16135" max="16135" width="13" style="16" customWidth="1"/>
    <col min="16136" max="16136" width="11.5703125" style="16" customWidth="1"/>
    <col min="16137" max="16137" width="11.42578125" style="16" customWidth="1"/>
    <col min="16138" max="16138" width="14" style="16" customWidth="1"/>
    <col min="16139" max="16139" width="8.42578125" style="16" customWidth="1"/>
    <col min="16140" max="16140" width="7.42578125" style="16" bestFit="1" customWidth="1"/>
    <col min="16141" max="16141" width="5.5703125" style="16" customWidth="1"/>
    <col min="16142" max="16142" width="19.42578125" style="16" bestFit="1" customWidth="1"/>
    <col min="16143" max="16384" width="11.42578125" style="16"/>
  </cols>
  <sheetData>
    <row r="1" spans="2:16" s="4" customFormat="1">
      <c r="B1" s="2167" t="s">
        <v>4310</v>
      </c>
      <c r="C1" s="2167"/>
      <c r="D1" s="2167"/>
      <c r="E1" s="2167"/>
      <c r="F1" s="2167"/>
      <c r="G1" s="2167"/>
      <c r="H1" s="2167"/>
      <c r="I1" s="2167"/>
      <c r="J1" s="2167"/>
      <c r="K1" s="2167"/>
      <c r="L1" s="1"/>
      <c r="M1" s="1"/>
      <c r="N1" s="1"/>
    </row>
    <row r="2" spans="2:16" s="4" customFormat="1" ht="12" customHeight="1">
      <c r="B2" s="2167" t="s">
        <v>4342</v>
      </c>
      <c r="C2" s="2167"/>
      <c r="D2" s="2167"/>
      <c r="E2" s="2167"/>
      <c r="F2" s="2167"/>
      <c r="G2" s="2167"/>
      <c r="H2" s="2167"/>
      <c r="I2" s="2167"/>
      <c r="J2" s="2167"/>
      <c r="K2" s="2167"/>
      <c r="L2" s="2"/>
      <c r="M2" s="2"/>
      <c r="N2" s="2"/>
    </row>
    <row r="3" spans="2:16" s="4" customFormat="1" ht="13.5" customHeight="1">
      <c r="B3" s="5"/>
      <c r="C3" s="5"/>
      <c r="D3" s="5"/>
      <c r="E3" s="5"/>
      <c r="F3" s="5"/>
      <c r="G3" s="5"/>
      <c r="H3" s="5"/>
      <c r="I3" s="5"/>
      <c r="J3" s="2"/>
      <c r="K3" s="5"/>
      <c r="L3" s="5"/>
      <c r="M3" s="5"/>
      <c r="N3" s="5"/>
    </row>
    <row r="4" spans="2:16" s="4" customFormat="1" ht="49.5" customHeight="1">
      <c r="B4" s="5"/>
      <c r="C4" s="6" t="s">
        <v>6</v>
      </c>
      <c r="D4" s="7" t="s">
        <v>4</v>
      </c>
      <c r="E4" s="2758" t="s">
        <v>3574</v>
      </c>
      <c r="F4" s="2758"/>
      <c r="G4" s="2758"/>
      <c r="H4" s="2758"/>
      <c r="I4" s="2758"/>
      <c r="J4" s="1219" t="s">
        <v>4350</v>
      </c>
      <c r="K4" s="1286">
        <v>44561</v>
      </c>
      <c r="N4" s="39"/>
    </row>
    <row r="5" spans="2:16" s="4" customFormat="1" ht="12.75" customHeight="1">
      <c r="B5" s="5"/>
      <c r="C5" s="9" t="s">
        <v>5</v>
      </c>
      <c r="D5" s="10" t="s">
        <v>4</v>
      </c>
      <c r="E5" s="11" t="s">
        <v>533</v>
      </c>
      <c r="F5" s="11"/>
      <c r="G5" s="5"/>
      <c r="H5" s="5"/>
      <c r="I5" s="5"/>
      <c r="J5" s="2" t="s">
        <v>14</v>
      </c>
      <c r="K5" s="11" t="s">
        <v>536</v>
      </c>
      <c r="M5" s="5"/>
    </row>
    <row r="6" spans="2:16" s="4" customFormat="1">
      <c r="B6" s="1"/>
      <c r="C6" s="9" t="s">
        <v>15</v>
      </c>
      <c r="D6" s="10" t="s">
        <v>4</v>
      </c>
      <c r="E6" s="11" t="s">
        <v>3642</v>
      </c>
      <c r="G6" s="1"/>
      <c r="H6" s="1"/>
      <c r="I6" s="1"/>
      <c r="J6" s="2" t="s">
        <v>16</v>
      </c>
      <c r="K6" s="11" t="s">
        <v>536</v>
      </c>
      <c r="M6" s="1"/>
    </row>
    <row r="7" spans="2:16" s="4" customFormat="1">
      <c r="B7" s="1"/>
      <c r="C7" s="9" t="s">
        <v>17</v>
      </c>
      <c r="D7" s="10" t="s">
        <v>4</v>
      </c>
      <c r="E7" s="11" t="s">
        <v>11</v>
      </c>
      <c r="G7" s="1"/>
      <c r="H7" s="1"/>
      <c r="I7" s="1"/>
      <c r="J7" s="2" t="s">
        <v>18</v>
      </c>
      <c r="K7" s="11" t="s">
        <v>10</v>
      </c>
      <c r="M7" s="12"/>
    </row>
    <row r="8" spans="2:16" s="4" customFormat="1">
      <c r="B8" s="1"/>
      <c r="C8" s="9" t="s">
        <v>19</v>
      </c>
      <c r="D8" s="10" t="s">
        <v>4</v>
      </c>
      <c r="E8" s="13">
        <v>2021</v>
      </c>
      <c r="G8" s="1"/>
      <c r="H8" s="1"/>
      <c r="I8" s="1"/>
      <c r="J8" s="2"/>
      <c r="K8" s="1"/>
      <c r="M8" s="1"/>
      <c r="N8" s="1"/>
    </row>
    <row r="9" spans="2:16" ht="13.5" thickBot="1"/>
    <row r="10" spans="2:16" ht="13.5">
      <c r="B10" s="2759" t="s">
        <v>66</v>
      </c>
      <c r="C10" s="2734" t="s">
        <v>21</v>
      </c>
      <c r="D10" s="2734"/>
      <c r="E10" s="2734" t="s">
        <v>23</v>
      </c>
      <c r="F10" s="2762" t="s">
        <v>24</v>
      </c>
      <c r="G10" s="2762"/>
      <c r="H10" s="2762"/>
      <c r="I10" s="2762"/>
      <c r="J10" s="2734" t="s">
        <v>25</v>
      </c>
      <c r="K10" s="2735"/>
    </row>
    <row r="11" spans="2:16" ht="13.5">
      <c r="B11" s="2760"/>
      <c r="C11" s="2736"/>
      <c r="D11" s="2736"/>
      <c r="E11" s="2736"/>
      <c r="F11" s="624" t="s">
        <v>26</v>
      </c>
      <c r="G11" s="624" t="s">
        <v>27</v>
      </c>
      <c r="H11" s="2763" t="s">
        <v>28</v>
      </c>
      <c r="I11" s="2763"/>
      <c r="J11" s="2736"/>
      <c r="K11" s="2737"/>
    </row>
    <row r="12" spans="2:16" ht="12.75" customHeight="1">
      <c r="B12" s="2760"/>
      <c r="C12" s="2736"/>
      <c r="D12" s="2736"/>
      <c r="E12" s="2736"/>
      <c r="F12" s="2764" t="s">
        <v>32</v>
      </c>
      <c r="G12" s="2764" t="s">
        <v>32</v>
      </c>
      <c r="H12" s="2764" t="s">
        <v>32</v>
      </c>
      <c r="I12" s="2736" t="s">
        <v>0</v>
      </c>
      <c r="J12" s="2736" t="s">
        <v>32</v>
      </c>
      <c r="K12" s="2737" t="s">
        <v>0</v>
      </c>
    </row>
    <row r="13" spans="2:16" ht="13.5" thickBot="1">
      <c r="B13" s="2761"/>
      <c r="C13" s="2738"/>
      <c r="D13" s="2738"/>
      <c r="E13" s="2738"/>
      <c r="F13" s="2765"/>
      <c r="G13" s="2765"/>
      <c r="H13" s="2765"/>
      <c r="I13" s="2738"/>
      <c r="J13" s="2738"/>
      <c r="K13" s="2739"/>
    </row>
    <row r="14" spans="2:16" ht="25.5" customHeight="1">
      <c r="B14" s="2781">
        <v>1</v>
      </c>
      <c r="C14" s="2777" t="s">
        <v>1132</v>
      </c>
      <c r="D14" s="2778"/>
      <c r="E14" s="2742">
        <f>+'VAL. PRINC'!Z27</f>
        <v>52672.289999999986</v>
      </c>
      <c r="F14" s="2742">
        <f>+SUM('VAL. PRINC'!I16:I45)</f>
        <v>229863.35000000006</v>
      </c>
      <c r="G14" s="2742">
        <f>+'VAL. PRINC'!Z14</f>
        <v>57296.899999999994</v>
      </c>
      <c r="H14" s="2742">
        <f>+F14+G14</f>
        <v>287160.25000000006</v>
      </c>
      <c r="I14" s="2775">
        <f>+H14/E14</f>
        <v>5.4518277067505538</v>
      </c>
      <c r="J14" s="2732">
        <f>+E14-H14</f>
        <v>-234487.96000000008</v>
      </c>
      <c r="K14" s="2740">
        <f>+J14/E14</f>
        <v>-4.4518277067505538</v>
      </c>
      <c r="N14" s="23"/>
      <c r="P14" s="16">
        <v>77203.628799999991</v>
      </c>
    </row>
    <row r="15" spans="2:16" ht="10.35" customHeight="1">
      <c r="B15" s="2782"/>
      <c r="C15" s="2779"/>
      <c r="D15" s="2780"/>
      <c r="E15" s="2743"/>
      <c r="F15" s="2743"/>
      <c r="G15" s="2743"/>
      <c r="H15" s="2743"/>
      <c r="I15" s="2776"/>
      <c r="J15" s="2733"/>
      <c r="K15" s="2741"/>
      <c r="M15" s="23"/>
      <c r="N15" s="23"/>
    </row>
    <row r="16" spans="2:16">
      <c r="B16" s="621">
        <v>2</v>
      </c>
      <c r="C16" s="623" t="str">
        <f>[43]VAL.PRINC!B38</f>
        <v>ESTRUCTURAS</v>
      </c>
      <c r="D16" s="622"/>
      <c r="E16" s="700" t="e">
        <f>+'VAL. PRINC'!Z28</f>
        <v>#REF!</v>
      </c>
      <c r="F16" s="700" t="e">
        <f>+SUM('VAL. PRINC'!#REF!)</f>
        <v>#REF!</v>
      </c>
      <c r="G16" s="700" t="e">
        <f>+'VAL. PRINC'!Z15</f>
        <v>#REF!</v>
      </c>
      <c r="H16" s="625" t="e">
        <f t="shared" ref="H16:H21" si="0">+F16+G16</f>
        <v>#REF!</v>
      </c>
      <c r="I16" s="79" t="e">
        <f t="shared" ref="I16:I21" si="1">+H16/E16</f>
        <v>#REF!</v>
      </c>
      <c r="J16" s="706" t="e">
        <f t="shared" ref="J16:J21" si="2">+E16-H16</f>
        <v>#REF!</v>
      </c>
      <c r="K16" s="707" t="e">
        <f t="shared" ref="K16:K21" si="3">+J16/E16</f>
        <v>#REF!</v>
      </c>
      <c r="N16" s="23"/>
      <c r="P16" s="16">
        <v>448736.87849999999</v>
      </c>
    </row>
    <row r="17" spans="2:16">
      <c r="B17" s="621">
        <v>3</v>
      </c>
      <c r="C17" s="623" t="str">
        <f>[43]VAL.PRINC!B292</f>
        <v>ARQUITECTURA</v>
      </c>
      <c r="D17" s="622"/>
      <c r="E17" s="700" t="e">
        <f>+'VAL. PRINC'!Z29</f>
        <v>#REF!</v>
      </c>
      <c r="F17" s="700" t="e">
        <f>+SUM('VAL. PRINC'!#REF!)</f>
        <v>#REF!</v>
      </c>
      <c r="G17" s="700" t="e">
        <f>+'VAL. PRINC'!Z16</f>
        <v>#REF!</v>
      </c>
      <c r="H17" s="625" t="e">
        <f t="shared" si="0"/>
        <v>#REF!</v>
      </c>
      <c r="I17" s="79" t="e">
        <f t="shared" si="1"/>
        <v>#REF!</v>
      </c>
      <c r="J17" s="706" t="e">
        <f t="shared" si="2"/>
        <v>#REF!</v>
      </c>
      <c r="K17" s="707" t="e">
        <f t="shared" si="3"/>
        <v>#REF!</v>
      </c>
      <c r="N17" s="23"/>
      <c r="P17" s="16">
        <v>100106.41170000001</v>
      </c>
    </row>
    <row r="18" spans="2:16">
      <c r="B18" s="621">
        <v>4</v>
      </c>
      <c r="C18" s="623" t="str">
        <f>[43]VAL.PRINC!B542</f>
        <v>INSTALACIONES SANITARIAS</v>
      </c>
      <c r="D18" s="622"/>
      <c r="E18" s="700" t="e">
        <f>+'VAL. PRINC'!Z30</f>
        <v>#REF!</v>
      </c>
      <c r="F18" s="700" t="e">
        <f>+SUM('VAL. PRINC'!#REF!)</f>
        <v>#REF!</v>
      </c>
      <c r="G18" s="700" t="e">
        <f>+'VAL. PRINC'!Z17</f>
        <v>#REF!</v>
      </c>
      <c r="H18" s="625" t="e">
        <f t="shared" si="0"/>
        <v>#REF!</v>
      </c>
      <c r="I18" s="79" t="e">
        <f t="shared" si="1"/>
        <v>#REF!</v>
      </c>
      <c r="J18" s="706" t="e">
        <f t="shared" si="2"/>
        <v>#REF!</v>
      </c>
      <c r="K18" s="707" t="e">
        <f t="shared" si="3"/>
        <v>#REF!</v>
      </c>
      <c r="N18" s="23"/>
      <c r="P18" s="16">
        <v>1406.0177999999999</v>
      </c>
    </row>
    <row r="19" spans="2:16">
      <c r="B19" s="621">
        <v>5</v>
      </c>
      <c r="C19" s="1139" t="str">
        <f>[43]VAL.PRINC!B601</f>
        <v>INSTALACIONES ELECTRICAS</v>
      </c>
      <c r="D19" s="622"/>
      <c r="E19" s="700" t="e">
        <f>+'VAL. PRINC'!Z31</f>
        <v>#REF!</v>
      </c>
      <c r="F19" s="700" t="e">
        <f>+SUM('VAL. PRINC'!#REF!)</f>
        <v>#REF!</v>
      </c>
      <c r="G19" s="700" t="e">
        <f>+'VAL. PRINC'!Z18</f>
        <v>#REF!</v>
      </c>
      <c r="H19" s="630" t="e">
        <f t="shared" si="0"/>
        <v>#REF!</v>
      </c>
      <c r="I19" s="79" t="e">
        <f t="shared" si="1"/>
        <v>#REF!</v>
      </c>
      <c r="J19" s="706" t="e">
        <f t="shared" si="2"/>
        <v>#REF!</v>
      </c>
      <c r="K19" s="707" t="e">
        <f t="shared" si="3"/>
        <v>#REF!</v>
      </c>
      <c r="N19" s="23"/>
    </row>
    <row r="20" spans="2:16" ht="13.5">
      <c r="B20" s="1217">
        <v>6</v>
      </c>
      <c r="C20" s="2747" t="s">
        <v>2826</v>
      </c>
      <c r="D20" s="2748"/>
      <c r="E20" s="1398" t="e">
        <f>+'VAL. PRINC'!Z32</f>
        <v>#REF!</v>
      </c>
      <c r="F20" s="700" t="e">
        <f>+SUM('VAL. PRINC'!#REF!)</f>
        <v>#REF!</v>
      </c>
      <c r="G20" s="700" t="e">
        <f>+'VAL. PRINC'!Z19</f>
        <v>#REF!</v>
      </c>
      <c r="H20" s="630" t="e">
        <f t="shared" si="0"/>
        <v>#REF!</v>
      </c>
      <c r="I20" s="79" t="e">
        <f t="shared" si="1"/>
        <v>#REF!</v>
      </c>
      <c r="J20" s="706" t="e">
        <f t="shared" si="2"/>
        <v>#REF!</v>
      </c>
      <c r="K20" s="707" t="e">
        <f t="shared" si="3"/>
        <v>#REF!</v>
      </c>
      <c r="P20" s="16">
        <v>3211.13</v>
      </c>
    </row>
    <row r="21" spans="2:16" ht="13.5">
      <c r="B21" s="1217">
        <v>7</v>
      </c>
      <c r="C21" s="1214" t="s">
        <v>3643</v>
      </c>
      <c r="D21" s="1215"/>
      <c r="E21" s="700" t="e">
        <f>+'VAL. PRINC'!Z33+'VAL. PRINC'!Z34</f>
        <v>#REF!</v>
      </c>
      <c r="F21" s="700" t="e">
        <f>+SUM('VAL. PRINC'!#REF!)</f>
        <v>#REF!</v>
      </c>
      <c r="G21" s="700" t="e">
        <f>+'VAL. PRINC'!#REF!</f>
        <v>#REF!</v>
      </c>
      <c r="H21" s="630" t="e">
        <f t="shared" si="0"/>
        <v>#REF!</v>
      </c>
      <c r="I21" s="79" t="e">
        <f t="shared" si="1"/>
        <v>#REF!</v>
      </c>
      <c r="J21" s="706" t="e">
        <f t="shared" si="2"/>
        <v>#REF!</v>
      </c>
      <c r="K21" s="707" t="e">
        <f t="shared" si="3"/>
        <v>#REF!</v>
      </c>
    </row>
    <row r="22" spans="2:16" ht="13.5">
      <c r="B22" s="2753" t="s">
        <v>1928</v>
      </c>
      <c r="C22" s="2754"/>
      <c r="D22" s="2754"/>
      <c r="E22" s="1138" t="e">
        <f>+SUM(E14:E21)</f>
        <v>#REF!</v>
      </c>
      <c r="F22" s="631" t="e">
        <f>SUM(F14:F21)</f>
        <v>#REF!</v>
      </c>
      <c r="G22" s="631" t="e">
        <f>SUM(G14:G21)</f>
        <v>#REF!</v>
      </c>
      <c r="H22" s="631" t="e">
        <f>SUM(H14:H21)</f>
        <v>#REF!</v>
      </c>
      <c r="I22" s="76" t="e">
        <f>+H22/E22</f>
        <v>#REF!</v>
      </c>
      <c r="J22" s="631" t="e">
        <f>SUM(J14:J21)</f>
        <v>#REF!</v>
      </c>
      <c r="K22" s="1216" t="e">
        <f>+M22-I22</f>
        <v>#REF!</v>
      </c>
      <c r="L22" s="23" t="e">
        <f>+E22-N22</f>
        <v>#REF!</v>
      </c>
      <c r="M22" s="1218">
        <v>1</v>
      </c>
      <c r="N22" s="16">
        <v>15398736.547100004</v>
      </c>
    </row>
    <row r="23" spans="2:16" ht="13.5">
      <c r="B23" s="2729" t="e">
        <f>'VAL. PRINC'!#REF!</f>
        <v>#REF!</v>
      </c>
      <c r="C23" s="2730"/>
      <c r="D23" s="2731"/>
      <c r="E23" s="653" t="e">
        <f>+'VAL. PRINC'!#REF!</f>
        <v>#REF!</v>
      </c>
      <c r="F23" s="700">
        <v>0</v>
      </c>
      <c r="G23" s="1187" t="e">
        <f>+'VAL. PRINC'!#REF!</f>
        <v>#REF!</v>
      </c>
      <c r="H23" s="653" t="e">
        <f t="shared" ref="H23:H29" si="4">F23+G23</f>
        <v>#REF!</v>
      </c>
      <c r="I23" s="79" t="e">
        <f t="shared" ref="I23:I33" si="5">+H23/E23</f>
        <v>#REF!</v>
      </c>
      <c r="J23" s="1159" t="e">
        <f t="shared" ref="J23:J29" si="6">E23-H23</f>
        <v>#REF!</v>
      </c>
      <c r="K23" s="1137" t="e">
        <f t="shared" ref="K23:K33" si="7">+J23/E23</f>
        <v>#REF!</v>
      </c>
    </row>
    <row r="24" spans="2:16" ht="13.5">
      <c r="B24" s="2729" t="e">
        <f>'VAL. PRINC'!#REF!</f>
        <v>#REF!</v>
      </c>
      <c r="C24" s="2730"/>
      <c r="D24" s="2731"/>
      <c r="E24" s="653" t="e">
        <f>+'VAL. PRINC'!#REF!</f>
        <v>#REF!</v>
      </c>
      <c r="F24" s="700" t="e">
        <f>+'VAL. PRINC'!#REF!</f>
        <v>#REF!</v>
      </c>
      <c r="G24" s="1187" t="e">
        <f>+'VAL. PRINC'!#REF!</f>
        <v>#REF!</v>
      </c>
      <c r="H24" s="653" t="e">
        <f t="shared" si="4"/>
        <v>#REF!</v>
      </c>
      <c r="I24" s="79" t="e">
        <f t="shared" si="5"/>
        <v>#REF!</v>
      </c>
      <c r="J24" s="1159" t="e">
        <f t="shared" si="6"/>
        <v>#REF!</v>
      </c>
      <c r="K24" s="1137" t="e">
        <f t="shared" si="7"/>
        <v>#REF!</v>
      </c>
    </row>
    <row r="25" spans="2:16" ht="13.5">
      <c r="B25" s="2729" t="e">
        <f>'VAL. PRINC'!#REF!</f>
        <v>#REF!</v>
      </c>
      <c r="C25" s="2730"/>
      <c r="D25" s="2731"/>
      <c r="E25" s="653" t="e">
        <f>+'VAL. PRINC'!#REF!</f>
        <v>#REF!</v>
      </c>
      <c r="F25" s="700" t="e">
        <f>+'VAL. PRINC'!#REF!</f>
        <v>#REF!</v>
      </c>
      <c r="G25" s="1187" t="e">
        <f>+'VAL. PRINC'!#REF!</f>
        <v>#REF!</v>
      </c>
      <c r="H25" s="653" t="e">
        <f t="shared" si="4"/>
        <v>#REF!</v>
      </c>
      <c r="I25" s="79" t="e">
        <f t="shared" si="5"/>
        <v>#REF!</v>
      </c>
      <c r="J25" s="1159" t="e">
        <f t="shared" si="6"/>
        <v>#REF!</v>
      </c>
      <c r="K25" s="1137" t="e">
        <f t="shared" si="7"/>
        <v>#REF!</v>
      </c>
    </row>
    <row r="26" spans="2:16" ht="13.5">
      <c r="B26" s="2729" t="e">
        <f>'VAL. PRINC'!#REF!</f>
        <v>#REF!</v>
      </c>
      <c r="C26" s="2730"/>
      <c r="D26" s="2731"/>
      <c r="E26" s="653" t="e">
        <f>+'VAL. PRINC'!#REF!</f>
        <v>#REF!</v>
      </c>
      <c r="F26" s="700" t="e">
        <f>+'VAL. PRINC'!#REF!</f>
        <v>#REF!</v>
      </c>
      <c r="G26" s="1187" t="e">
        <f>+'VAL. PRINC'!#REF!</f>
        <v>#REF!</v>
      </c>
      <c r="H26" s="653" t="e">
        <f t="shared" si="4"/>
        <v>#REF!</v>
      </c>
      <c r="I26" s="79" t="e">
        <f t="shared" si="5"/>
        <v>#REF!</v>
      </c>
      <c r="J26" s="1159" t="e">
        <f t="shared" si="6"/>
        <v>#REF!</v>
      </c>
      <c r="K26" s="707" t="e">
        <f t="shared" si="7"/>
        <v>#REF!</v>
      </c>
    </row>
    <row r="27" spans="2:16" ht="13.5">
      <c r="B27" s="2729" t="e">
        <f>'VAL. PRINC'!#REF!</f>
        <v>#REF!</v>
      </c>
      <c r="C27" s="2730"/>
      <c r="D27" s="2731"/>
      <c r="E27" s="653" t="e">
        <f>+'VAL. PRINC'!#REF!</f>
        <v>#REF!</v>
      </c>
      <c r="F27" s="700" t="e">
        <f>+'VAL. PRINC'!#REF!</f>
        <v>#REF!</v>
      </c>
      <c r="G27" s="1187" t="e">
        <f>+'VAL. PRINC'!#REF!</f>
        <v>#REF!</v>
      </c>
      <c r="H27" s="653" t="e">
        <f t="shared" si="4"/>
        <v>#REF!</v>
      </c>
      <c r="I27" s="79" t="e">
        <f t="shared" si="5"/>
        <v>#REF!</v>
      </c>
      <c r="J27" s="1159" t="e">
        <f t="shared" si="6"/>
        <v>#REF!</v>
      </c>
      <c r="K27" s="707" t="e">
        <f t="shared" si="7"/>
        <v>#REF!</v>
      </c>
    </row>
    <row r="28" spans="2:16" ht="13.5">
      <c r="B28" s="2729" t="e">
        <f>'VAL. PRINC'!#REF!</f>
        <v>#REF!</v>
      </c>
      <c r="C28" s="2730"/>
      <c r="D28" s="2731"/>
      <c r="E28" s="653" t="e">
        <f>+'VAL. PRINC'!#REF!</f>
        <v>#REF!</v>
      </c>
      <c r="F28" s="700" t="e">
        <f>+'VAL. PRINC'!#REF!</f>
        <v>#REF!</v>
      </c>
      <c r="G28" s="1187" t="e">
        <f>+'VAL. PRINC'!#REF!</f>
        <v>#REF!</v>
      </c>
      <c r="H28" s="653" t="e">
        <f t="shared" si="4"/>
        <v>#REF!</v>
      </c>
      <c r="I28" s="79" t="e">
        <f t="shared" si="5"/>
        <v>#REF!</v>
      </c>
      <c r="J28" s="1159" t="e">
        <f t="shared" si="6"/>
        <v>#REF!</v>
      </c>
      <c r="K28" s="707" t="e">
        <f t="shared" si="7"/>
        <v>#REF!</v>
      </c>
    </row>
    <row r="29" spans="2:16" ht="13.5">
      <c r="B29" s="2729" t="e">
        <f>'VAL. PRINC'!#REF!</f>
        <v>#REF!</v>
      </c>
      <c r="C29" s="2730"/>
      <c r="D29" s="2731"/>
      <c r="E29" s="653" t="e">
        <f>+'VAL. PRINC'!#REF!</f>
        <v>#REF!</v>
      </c>
      <c r="F29" s="700" t="e">
        <f>+'VAL. PRINC'!#REF!</f>
        <v>#REF!</v>
      </c>
      <c r="G29" s="1187" t="e">
        <f>+'VAL. PRINC'!#REF!</f>
        <v>#REF!</v>
      </c>
      <c r="H29" s="653" t="e">
        <f t="shared" si="4"/>
        <v>#REF!</v>
      </c>
      <c r="I29" s="79" t="e">
        <f t="shared" si="5"/>
        <v>#REF!</v>
      </c>
      <c r="J29" s="1159" t="e">
        <f t="shared" si="6"/>
        <v>#REF!</v>
      </c>
      <c r="K29" s="707" t="e">
        <f t="shared" si="7"/>
        <v>#REF!</v>
      </c>
    </row>
    <row r="30" spans="2:16" ht="13.5">
      <c r="B30" s="2755" t="s">
        <v>1811</v>
      </c>
      <c r="C30" s="2756"/>
      <c r="D30" s="2757"/>
      <c r="E30" s="1157" t="e">
        <f>SUM(E22:E29)</f>
        <v>#REF!</v>
      </c>
      <c r="F30" s="1157" t="e">
        <f>SUM(F22:F29)</f>
        <v>#REF!</v>
      </c>
      <c r="G30" s="1202" t="e">
        <f>SUM(G22:G29)</f>
        <v>#REF!</v>
      </c>
      <c r="H30" s="1157" t="e">
        <f>SUM(H22:H29)</f>
        <v>#REF!</v>
      </c>
      <c r="I30" s="1204" t="e">
        <f>+H30/E30</f>
        <v>#REF!</v>
      </c>
      <c r="J30" s="631" t="e">
        <f>SUM(J22:J29)</f>
        <v>#REF!</v>
      </c>
      <c r="K30" s="1205" t="e">
        <f t="shared" si="7"/>
        <v>#REF!</v>
      </c>
    </row>
    <row r="31" spans="2:16" ht="13.5">
      <c r="B31" s="2729" t="e">
        <f>'VAL. PRINC'!#REF!</f>
        <v>#REF!</v>
      </c>
      <c r="C31" s="2730"/>
      <c r="D31" s="2731"/>
      <c r="E31" s="634" t="e">
        <f>+'VAL. PRINC'!#REF!</f>
        <v>#REF!</v>
      </c>
      <c r="F31" s="634" t="e">
        <f>+'VAL. PRINC'!#REF!</f>
        <v>#REF!</v>
      </c>
      <c r="G31" s="1203" t="e">
        <f>'VAL. PRINC'!#REF!</f>
        <v>#REF!</v>
      </c>
      <c r="H31" s="634" t="e">
        <f>F31+G31</f>
        <v>#REF!</v>
      </c>
      <c r="I31" s="79" t="e">
        <f t="shared" si="5"/>
        <v>#REF!</v>
      </c>
      <c r="J31" s="1160" t="e">
        <f>E31-H31</f>
        <v>#REF!</v>
      </c>
      <c r="K31" s="707" t="e">
        <f t="shared" si="7"/>
        <v>#REF!</v>
      </c>
    </row>
    <row r="32" spans="2:16" ht="13.5">
      <c r="B32" s="2729" t="e">
        <f>'VAL. PRINC'!#REF!</f>
        <v>#REF!</v>
      </c>
      <c r="C32" s="2730"/>
      <c r="D32" s="2731"/>
      <c r="E32" s="634" t="e">
        <f>+'VAL. PRINC'!#REF!</f>
        <v>#REF!</v>
      </c>
      <c r="F32" s="634" t="e">
        <f>+'VAL. PRINC'!#REF!</f>
        <v>#REF!</v>
      </c>
      <c r="G32" s="1203" t="e">
        <f>'VAL. PRINC'!#REF!</f>
        <v>#REF!</v>
      </c>
      <c r="H32" s="634" t="e">
        <f>F32+G32</f>
        <v>#REF!</v>
      </c>
      <c r="I32" s="79" t="e">
        <f t="shared" si="5"/>
        <v>#REF!</v>
      </c>
      <c r="J32" s="1160" t="e">
        <f>E32-H32</f>
        <v>#REF!</v>
      </c>
      <c r="K32" s="707" t="e">
        <f t="shared" si="7"/>
        <v>#REF!</v>
      </c>
    </row>
    <row r="33" spans="1:66" ht="14.25" thickBot="1">
      <c r="B33" s="2744" t="e">
        <f>'VAL. PRINC'!#REF!</f>
        <v>#REF!</v>
      </c>
      <c r="C33" s="2745"/>
      <c r="D33" s="2746"/>
      <c r="E33" s="634" t="e">
        <f>+'VAL. PRINC'!#REF!</f>
        <v>#REF!</v>
      </c>
      <c r="F33" s="634" t="e">
        <f>+'VAL. PRINC'!#REF!</f>
        <v>#REF!</v>
      </c>
      <c r="G33" s="1203" t="e">
        <f>+'VAL. PRINC'!#REF!</f>
        <v>#REF!</v>
      </c>
      <c r="H33" s="634" t="e">
        <f>+'VAL. PRINC'!#REF!</f>
        <v>#REF!</v>
      </c>
      <c r="I33" s="79" t="e">
        <f t="shared" si="5"/>
        <v>#REF!</v>
      </c>
      <c r="J33" s="1160" t="e">
        <f>E33-H33</f>
        <v>#REF!</v>
      </c>
      <c r="K33" s="707" t="e">
        <f t="shared" si="7"/>
        <v>#REF!</v>
      </c>
    </row>
    <row r="34" spans="1:66" ht="14.25" thickBot="1">
      <c r="B34" s="2749" t="s">
        <v>61</v>
      </c>
      <c r="C34" s="2750"/>
      <c r="D34" s="2750"/>
      <c r="E34" s="644" t="e">
        <f>SUM(E30:E33)</f>
        <v>#REF!</v>
      </c>
      <c r="F34" s="644" t="e">
        <f>SUM(F30:F33)</f>
        <v>#REF!</v>
      </c>
      <c r="G34" s="656" t="e">
        <f>SUM(G30:G33)</f>
        <v>#REF!</v>
      </c>
      <c r="H34" s="644" t="e">
        <f>SUM(H30:H33)</f>
        <v>#REF!</v>
      </c>
      <c r="I34" s="645" t="e">
        <f>H34/E34</f>
        <v>#REF!</v>
      </c>
      <c r="J34" s="644" t="e">
        <f>SUM(J30:J33)-0.02</f>
        <v>#REF!</v>
      </c>
      <c r="K34" s="645" t="e">
        <f>+M22-I34</f>
        <v>#REF!</v>
      </c>
    </row>
    <row r="36" spans="1:66" ht="13.5" thickBot="1"/>
    <row r="37" spans="1:66" s="4" customFormat="1" ht="11.25" customHeight="1">
      <c r="B37" s="2759" t="s">
        <v>66</v>
      </c>
      <c r="C37" s="2734" t="s">
        <v>21</v>
      </c>
      <c r="D37" s="2734"/>
      <c r="E37" s="2734" t="s">
        <v>23</v>
      </c>
      <c r="F37" s="2762" t="s">
        <v>24</v>
      </c>
      <c r="G37" s="2762"/>
      <c r="H37" s="2762"/>
      <c r="I37" s="2762"/>
      <c r="J37" s="2734" t="s">
        <v>25</v>
      </c>
      <c r="K37" s="2735"/>
    </row>
    <row r="38" spans="1:66" s="4" customFormat="1" ht="11.25" customHeight="1">
      <c r="B38" s="2760"/>
      <c r="C38" s="2736"/>
      <c r="D38" s="2736"/>
      <c r="E38" s="2736"/>
      <c r="F38" s="624" t="s">
        <v>26</v>
      </c>
      <c r="G38" s="624" t="s">
        <v>27</v>
      </c>
      <c r="H38" s="2763" t="s">
        <v>28</v>
      </c>
      <c r="I38" s="2763"/>
      <c r="J38" s="2736"/>
      <c r="K38" s="2737"/>
    </row>
    <row r="39" spans="1:66" s="4" customFormat="1">
      <c r="B39" s="2760"/>
      <c r="C39" s="2736"/>
      <c r="D39" s="2736"/>
      <c r="E39" s="2736"/>
      <c r="F39" s="2766" t="s">
        <v>32</v>
      </c>
      <c r="G39" s="2766" t="s">
        <v>32</v>
      </c>
      <c r="H39" s="2766" t="s">
        <v>32</v>
      </c>
      <c r="I39" s="2736" t="s">
        <v>0</v>
      </c>
      <c r="J39" s="2736" t="s">
        <v>32</v>
      </c>
      <c r="K39" s="2737" t="s">
        <v>0</v>
      </c>
      <c r="M39" s="4">
        <v>5627.88</v>
      </c>
    </row>
    <row r="40" spans="1:66" s="4" customFormat="1" ht="13.5" thickBot="1">
      <c r="B40" s="2761"/>
      <c r="C40" s="2738"/>
      <c r="D40" s="2738"/>
      <c r="E40" s="2738"/>
      <c r="F40" s="2767"/>
      <c r="G40" s="2767"/>
      <c r="H40" s="2767"/>
      <c r="I40" s="2738"/>
      <c r="J40" s="2738"/>
      <c r="K40" s="2739"/>
      <c r="M40" s="4">
        <v>17480.9686</v>
      </c>
    </row>
    <row r="41" spans="1:66" s="40" customFormat="1" ht="11.25" customHeight="1">
      <c r="A41" s="4"/>
      <c r="B41" s="621">
        <v>1</v>
      </c>
      <c r="C41" s="2752" t="s">
        <v>2232</v>
      </c>
      <c r="D41" s="2752"/>
      <c r="E41" s="1078"/>
      <c r="F41" s="700" t="e">
        <f>F34</f>
        <v>#REF!</v>
      </c>
      <c r="G41" s="700" t="e">
        <f>G34</f>
        <v>#REF!</v>
      </c>
      <c r="H41" s="700" t="e">
        <f>+F41+G41+0.03</f>
        <v>#REF!</v>
      </c>
      <c r="I41" s="704" t="e">
        <f>+H41/E41</f>
        <v>#REF!</v>
      </c>
      <c r="J41" s="700" t="e">
        <f>+E41-H41</f>
        <v>#REF!</v>
      </c>
      <c r="K41" s="705" t="e">
        <f>+J41/E41</f>
        <v>#REF!</v>
      </c>
      <c r="L41" s="4"/>
      <c r="M41" s="4"/>
      <c r="N41" s="168" t="e">
        <f>K41+I41</f>
        <v>#REF!</v>
      </c>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row>
    <row r="42" spans="1:66" s="4" customFormat="1" ht="11.25" customHeight="1">
      <c r="B42" s="1140">
        <v>2</v>
      </c>
      <c r="C42" s="2751" t="s">
        <v>257</v>
      </c>
      <c r="D42" s="2751"/>
      <c r="E42" s="1141">
        <f>+'VAL AMP4 MM'!I258</f>
        <v>3433797.0500000012</v>
      </c>
      <c r="F42" s="1142">
        <v>0</v>
      </c>
      <c r="G42" s="1141">
        <f>E42</f>
        <v>3433797.0500000012</v>
      </c>
      <c r="H42" s="1141">
        <v>65987.517200000002</v>
      </c>
      <c r="I42" s="1143">
        <f>H42/E42</f>
        <v>1.9217069686748078E-2</v>
      </c>
      <c r="J42" s="1141">
        <f>E42-H42</f>
        <v>3367809.5328000011</v>
      </c>
      <c r="K42" s="1144">
        <f>J42/E42</f>
        <v>0.98078293031325192</v>
      </c>
    </row>
    <row r="43" spans="1:66" s="4" customFormat="1" ht="11.25" customHeight="1">
      <c r="B43" s="262">
        <v>3</v>
      </c>
      <c r="C43" s="2751" t="s">
        <v>258</v>
      </c>
      <c r="D43" s="2751"/>
      <c r="E43" s="1141">
        <v>17480.96</v>
      </c>
      <c r="F43" s="1142">
        <v>0</v>
      </c>
      <c r="G43" s="1141">
        <f>E43</f>
        <v>17480.96</v>
      </c>
      <c r="H43" s="1141">
        <v>297065.08028204</v>
      </c>
      <c r="I43" s="1145">
        <v>1</v>
      </c>
      <c r="J43" s="1141">
        <f>E43-H43-0.01</f>
        <v>-279584.13028203999</v>
      </c>
      <c r="K43" s="1144">
        <f>J43/E43</f>
        <v>-15.993637093274053</v>
      </c>
    </row>
    <row r="44" spans="1:66" s="4" customFormat="1" ht="11.25" customHeight="1" thickBot="1">
      <c r="B44" s="647"/>
      <c r="C44" s="2771"/>
      <c r="D44" s="2771"/>
      <c r="E44" s="648"/>
      <c r="F44" s="649"/>
      <c r="G44" s="649"/>
      <c r="H44" s="649"/>
      <c r="I44" s="650"/>
      <c r="J44" s="649"/>
      <c r="K44" s="651"/>
    </row>
    <row r="45" spans="1:66" s="4" customFormat="1" ht="13.5" thickBot="1">
      <c r="B45" s="2749" t="s">
        <v>91</v>
      </c>
      <c r="C45" s="2750"/>
      <c r="D45" s="2750"/>
      <c r="E45" s="644">
        <f>SUM(E41:E44)</f>
        <v>3451278.0100000012</v>
      </c>
      <c r="F45" s="656" t="e">
        <f>SUM(F41:F44)</f>
        <v>#REF!</v>
      </c>
      <c r="G45" s="656" t="e">
        <f>SUM(G41:G44)</f>
        <v>#REF!</v>
      </c>
      <c r="H45" s="656" t="e">
        <f>SUM(H41:H44)</f>
        <v>#REF!</v>
      </c>
      <c r="I45" s="657" t="e">
        <f>H45/E41</f>
        <v>#REF!</v>
      </c>
      <c r="J45" s="656" t="e">
        <f>SUM(J41:J44)+0.01</f>
        <v>#REF!</v>
      </c>
      <c r="K45" s="658" t="e">
        <f>J45/E41</f>
        <v>#REF!</v>
      </c>
      <c r="N45" s="168" t="e">
        <f>SUM(I41:I43)</f>
        <v>#REF!</v>
      </c>
    </row>
    <row r="46" spans="1:66" s="4" customFormat="1">
      <c r="C46" s="35"/>
      <c r="D46" s="35"/>
      <c r="F46" s="636"/>
      <c r="H46" s="34"/>
      <c r="I46" s="286"/>
      <c r="J46" s="287"/>
      <c r="K46" s="287"/>
      <c r="L46" s="1"/>
      <c r="M46" s="25"/>
      <c r="N46" s="25"/>
    </row>
    <row r="47" spans="1:66" s="4" customFormat="1" ht="13.5" thickBot="1">
      <c r="C47" s="35"/>
      <c r="D47" s="35"/>
      <c r="F47" s="33"/>
      <c r="H47" s="34"/>
      <c r="I47" s="34"/>
      <c r="J47" s="35"/>
      <c r="K47" s="35"/>
      <c r="L47" s="1"/>
      <c r="M47" s="25"/>
      <c r="N47" s="25"/>
    </row>
    <row r="48" spans="1:66" s="4" customFormat="1" ht="13.5" thickBot="1">
      <c r="B48" s="2772" t="s">
        <v>92</v>
      </c>
      <c r="C48" s="2773"/>
      <c r="D48" s="2773"/>
      <c r="E48" s="2774"/>
      <c r="F48" s="77" t="e">
        <f>+F45/E41</f>
        <v>#REF!</v>
      </c>
      <c r="G48" s="77" t="e">
        <f>+G45/E41</f>
        <v>#REF!</v>
      </c>
      <c r="H48" s="2768" t="e">
        <f>+H45/E41</f>
        <v>#REF!</v>
      </c>
      <c r="I48" s="2769"/>
      <c r="J48" s="2768" t="e">
        <f>+J45/E41</f>
        <v>#REF!</v>
      </c>
      <c r="K48" s="2769"/>
    </row>
    <row r="49" spans="2:11" s="4" customFormat="1" ht="13.5" thickBot="1">
      <c r="B49" s="708"/>
      <c r="C49" s="708"/>
      <c r="D49" s="708"/>
      <c r="E49" s="708"/>
      <c r="F49" s="709"/>
      <c r="G49" s="709"/>
      <c r="H49" s="709"/>
      <c r="I49" s="709"/>
      <c r="J49" s="709"/>
      <c r="K49" s="709"/>
    </row>
    <row r="50" spans="2:11" s="4" customFormat="1" ht="13.5" thickBot="1">
      <c r="B50" s="41"/>
      <c r="C50" s="41"/>
      <c r="D50" s="41"/>
      <c r="E50" s="710" t="s">
        <v>26</v>
      </c>
      <c r="F50" s="710" t="s">
        <v>27</v>
      </c>
      <c r="G50" s="710" t="s">
        <v>304</v>
      </c>
      <c r="I50" s="168"/>
    </row>
    <row r="51" spans="2:11" s="4" customFormat="1" ht="13.5" thickBot="1">
      <c r="B51" s="2770" t="s">
        <v>1927</v>
      </c>
      <c r="C51" s="2770"/>
      <c r="D51" s="2770"/>
      <c r="E51" s="711" t="e">
        <f>+F45</f>
        <v>#REF!</v>
      </c>
      <c r="F51" s="711" t="e">
        <f>+G45</f>
        <v>#REF!</v>
      </c>
      <c r="G51" s="711" t="e">
        <f>+H45</f>
        <v>#REF!</v>
      </c>
    </row>
    <row r="52" spans="2:11" s="4" customFormat="1" ht="13.5" thickBot="1">
      <c r="B52" s="2770" t="s">
        <v>93</v>
      </c>
      <c r="C52" s="2770"/>
      <c r="D52" s="2770"/>
      <c r="E52" s="77" t="e">
        <f>+E51/E41</f>
        <v>#REF!</v>
      </c>
      <c r="F52" s="77" t="e">
        <f>+F51/E41</f>
        <v>#REF!</v>
      </c>
      <c r="G52" s="77" t="e">
        <f>+G51/E41</f>
        <v>#REF!</v>
      </c>
    </row>
    <row r="53" spans="2:11" s="4" customFormat="1">
      <c r="C53" s="33"/>
      <c r="E53" s="34"/>
    </row>
  </sheetData>
  <mergeCells count="60">
    <mergeCell ref="H14:H15"/>
    <mergeCell ref="I14:I15"/>
    <mergeCell ref="C14:D15"/>
    <mergeCell ref="B14:B15"/>
    <mergeCell ref="B10:B13"/>
    <mergeCell ref="C10:D13"/>
    <mergeCell ref="E14:E15"/>
    <mergeCell ref="J48:K48"/>
    <mergeCell ref="B51:D51"/>
    <mergeCell ref="B52:D52"/>
    <mergeCell ref="C43:D43"/>
    <mergeCell ref="C44:D44"/>
    <mergeCell ref="B45:D45"/>
    <mergeCell ref="B48:E48"/>
    <mergeCell ref="H48:I48"/>
    <mergeCell ref="J37:K38"/>
    <mergeCell ref="H38:I38"/>
    <mergeCell ref="F39:F40"/>
    <mergeCell ref="G39:G40"/>
    <mergeCell ref="H39:H40"/>
    <mergeCell ref="I39:I40"/>
    <mergeCell ref="J39:J40"/>
    <mergeCell ref="K39:K40"/>
    <mergeCell ref="C42:D42"/>
    <mergeCell ref="C41:D41"/>
    <mergeCell ref="B22:D22"/>
    <mergeCell ref="B30:D30"/>
    <mergeCell ref="E4:I4"/>
    <mergeCell ref="B37:B40"/>
    <mergeCell ref="C37:D40"/>
    <mergeCell ref="E37:E40"/>
    <mergeCell ref="F37:I37"/>
    <mergeCell ref="E10:E13"/>
    <mergeCell ref="F10:I10"/>
    <mergeCell ref="H11:I11"/>
    <mergeCell ref="F12:F13"/>
    <mergeCell ref="G12:G13"/>
    <mergeCell ref="H12:H13"/>
    <mergeCell ref="I12:I13"/>
    <mergeCell ref="B33:D33"/>
    <mergeCell ref="B32:D32"/>
    <mergeCell ref="B31:D31"/>
    <mergeCell ref="C20:D20"/>
    <mergeCell ref="B34:D34"/>
    <mergeCell ref="B1:K1"/>
    <mergeCell ref="B2:K2"/>
    <mergeCell ref="B29:D29"/>
    <mergeCell ref="B28:D28"/>
    <mergeCell ref="B27:D27"/>
    <mergeCell ref="B26:D26"/>
    <mergeCell ref="B25:D25"/>
    <mergeCell ref="B24:D24"/>
    <mergeCell ref="B23:D23"/>
    <mergeCell ref="J14:J15"/>
    <mergeCell ref="J10:K11"/>
    <mergeCell ref="J12:J13"/>
    <mergeCell ref="K12:K13"/>
    <mergeCell ref="K14:K15"/>
    <mergeCell ref="F14:F15"/>
    <mergeCell ref="G14:G15"/>
  </mergeCells>
  <printOptions horizontalCentered="1"/>
  <pageMargins left="0.23622047244094491" right="0.23622047244094491" top="0.74803149606299213" bottom="0.74803149606299213" header="0.31496062992125984" footer="0.31496062992125984"/>
  <pageSetup paperSize="9" scale="94" fitToHeight="0" orientation="landscape" r:id="rId1"/>
  <headerFooter alignWithMargins="0"/>
  <rowBreaks count="1" manualBreakCount="1">
    <brk id="52" max="12" man="1"/>
  </rowBreaks>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002060"/>
  </sheetPr>
  <dimension ref="A1:AS701"/>
  <sheetViews>
    <sheetView workbookViewId="0">
      <selection sqref="A1:K1"/>
    </sheetView>
  </sheetViews>
  <sheetFormatPr baseColWidth="10" defaultColWidth="11.42578125" defaultRowHeight="12.75"/>
  <cols>
    <col min="1" max="1" width="14.42578125" style="552" customWidth="1"/>
    <col min="2" max="2" width="99.42578125" style="550" customWidth="1"/>
    <col min="3" max="4" width="7" style="498" customWidth="1"/>
    <col min="5" max="5" width="9.42578125" style="735" customWidth="1"/>
    <col min="6" max="11" width="7" style="498" customWidth="1"/>
    <col min="12" max="12" width="7" style="755" customWidth="1"/>
    <col min="13" max="18" width="7" style="499" customWidth="1"/>
    <col min="19" max="19" width="7" style="755" customWidth="1"/>
    <col min="20" max="22" width="7" style="499" customWidth="1"/>
    <col min="23" max="23" width="10.5703125" style="499" customWidth="1"/>
    <col min="24" max="24" width="9.42578125" style="499" customWidth="1"/>
    <col min="25" max="25" width="7" style="499" customWidth="1"/>
    <col min="26" max="26" width="10.42578125" style="755" customWidth="1"/>
    <col min="27" max="27" width="8.5703125" style="499" customWidth="1"/>
    <col min="28" max="28" width="7" style="499" customWidth="1"/>
    <col min="29" max="29" width="9.42578125" style="499" customWidth="1"/>
    <col min="30" max="30" width="7" style="499" customWidth="1"/>
    <col min="31" max="31" width="9.5703125" style="800" customWidth="1"/>
    <col min="32" max="32" width="7" style="499" customWidth="1"/>
    <col min="33" max="33" width="9.42578125" style="893" customWidth="1"/>
    <col min="34" max="34" width="9.42578125" style="499" customWidth="1"/>
    <col min="35" max="36" width="9.42578125" style="498" customWidth="1"/>
    <col min="37" max="37" width="11.42578125" style="498"/>
    <col min="38" max="38" width="14.42578125" style="498" customWidth="1"/>
    <col min="39" max="256" width="11.42578125" style="498"/>
    <col min="257" max="257" width="6.42578125" style="498" customWidth="1"/>
    <col min="258" max="258" width="47.5703125" style="498" customWidth="1"/>
    <col min="259" max="260" width="5" style="498" customWidth="1"/>
    <col min="261" max="261" width="5.42578125" style="498" customWidth="1"/>
    <col min="262" max="262" width="4.5703125" style="498" customWidth="1"/>
    <col min="263" max="264" width="4.42578125" style="498" customWidth="1"/>
    <col min="265" max="265" width="3.5703125" style="498" customWidth="1"/>
    <col min="266" max="266" width="5" style="498" customWidth="1"/>
    <col min="267" max="267" width="4" style="498" customWidth="1"/>
    <col min="268" max="269" width="4.5703125" style="498" customWidth="1"/>
    <col min="270" max="270" width="4.42578125" style="498" customWidth="1"/>
    <col min="271" max="271" width="4" style="498" customWidth="1"/>
    <col min="272" max="272" width="3.5703125" style="498" customWidth="1"/>
    <col min="273" max="274" width="4.5703125" style="498" customWidth="1"/>
    <col min="275" max="275" width="4" style="498" customWidth="1"/>
    <col min="276" max="277" width="4.42578125" style="498" customWidth="1"/>
    <col min="278" max="278" width="3.5703125" style="498" customWidth="1"/>
    <col min="279" max="279" width="4.42578125" style="498" customWidth="1"/>
    <col min="280" max="280" width="5.5703125" style="498" customWidth="1"/>
    <col min="281" max="281" width="3.5703125" style="498" customWidth="1"/>
    <col min="282" max="282" width="4" style="498" customWidth="1"/>
    <col min="283" max="283" width="4.5703125" style="498" customWidth="1"/>
    <col min="284" max="286" width="4.42578125" style="498" customWidth="1"/>
    <col min="287" max="288" width="4.5703125" style="498" customWidth="1"/>
    <col min="289" max="289" width="4" style="498" customWidth="1"/>
    <col min="290" max="290" width="4.5703125" style="498" customWidth="1"/>
    <col min="291" max="291" width="6" style="498" customWidth="1"/>
    <col min="292" max="292" width="8.5703125" style="498" customWidth="1"/>
    <col min="293" max="512" width="11.42578125" style="498"/>
    <col min="513" max="513" width="6.42578125" style="498" customWidth="1"/>
    <col min="514" max="514" width="47.5703125" style="498" customWidth="1"/>
    <col min="515" max="516" width="5" style="498" customWidth="1"/>
    <col min="517" max="517" width="5.42578125" style="498" customWidth="1"/>
    <col min="518" max="518" width="4.5703125" style="498" customWidth="1"/>
    <col min="519" max="520" width="4.42578125" style="498" customWidth="1"/>
    <col min="521" max="521" width="3.5703125" style="498" customWidth="1"/>
    <col min="522" max="522" width="5" style="498" customWidth="1"/>
    <col min="523" max="523" width="4" style="498" customWidth="1"/>
    <col min="524" max="525" width="4.5703125" style="498" customWidth="1"/>
    <col min="526" max="526" width="4.42578125" style="498" customWidth="1"/>
    <col min="527" max="527" width="4" style="498" customWidth="1"/>
    <col min="528" max="528" width="3.5703125" style="498" customWidth="1"/>
    <col min="529" max="530" width="4.5703125" style="498" customWidth="1"/>
    <col min="531" max="531" width="4" style="498" customWidth="1"/>
    <col min="532" max="533" width="4.42578125" style="498" customWidth="1"/>
    <col min="534" max="534" width="3.5703125" style="498" customWidth="1"/>
    <col min="535" max="535" width="4.42578125" style="498" customWidth="1"/>
    <col min="536" max="536" width="5.5703125" style="498" customWidth="1"/>
    <col min="537" max="537" width="3.5703125" style="498" customWidth="1"/>
    <col min="538" max="538" width="4" style="498" customWidth="1"/>
    <col min="539" max="539" width="4.5703125" style="498" customWidth="1"/>
    <col min="540" max="542" width="4.42578125" style="498" customWidth="1"/>
    <col min="543" max="544" width="4.5703125" style="498" customWidth="1"/>
    <col min="545" max="545" width="4" style="498" customWidth="1"/>
    <col min="546" max="546" width="4.5703125" style="498" customWidth="1"/>
    <col min="547" max="547" width="6" style="498" customWidth="1"/>
    <col min="548" max="548" width="8.5703125" style="498" customWidth="1"/>
    <col min="549" max="768" width="11.42578125" style="498"/>
    <col min="769" max="769" width="6.42578125" style="498" customWidth="1"/>
    <col min="770" max="770" width="47.5703125" style="498" customWidth="1"/>
    <col min="771" max="772" width="5" style="498" customWidth="1"/>
    <col min="773" max="773" width="5.42578125" style="498" customWidth="1"/>
    <col min="774" max="774" width="4.5703125" style="498" customWidth="1"/>
    <col min="775" max="776" width="4.42578125" style="498" customWidth="1"/>
    <col min="777" max="777" width="3.5703125" style="498" customWidth="1"/>
    <col min="778" max="778" width="5" style="498" customWidth="1"/>
    <col min="779" max="779" width="4" style="498" customWidth="1"/>
    <col min="780" max="781" width="4.5703125" style="498" customWidth="1"/>
    <col min="782" max="782" width="4.42578125" style="498" customWidth="1"/>
    <col min="783" max="783" width="4" style="498" customWidth="1"/>
    <col min="784" max="784" width="3.5703125" style="498" customWidth="1"/>
    <col min="785" max="786" width="4.5703125" style="498" customWidth="1"/>
    <col min="787" max="787" width="4" style="498" customWidth="1"/>
    <col min="788" max="789" width="4.42578125" style="498" customWidth="1"/>
    <col min="790" max="790" width="3.5703125" style="498" customWidth="1"/>
    <col min="791" max="791" width="4.42578125" style="498" customWidth="1"/>
    <col min="792" max="792" width="5.5703125" style="498" customWidth="1"/>
    <col min="793" max="793" width="3.5703125" style="498" customWidth="1"/>
    <col min="794" max="794" width="4" style="498" customWidth="1"/>
    <col min="795" max="795" width="4.5703125" style="498" customWidth="1"/>
    <col min="796" max="798" width="4.42578125" style="498" customWidth="1"/>
    <col min="799" max="800" width="4.5703125" style="498" customWidth="1"/>
    <col min="801" max="801" width="4" style="498" customWidth="1"/>
    <col min="802" max="802" width="4.5703125" style="498" customWidth="1"/>
    <col min="803" max="803" width="6" style="498" customWidth="1"/>
    <col min="804" max="804" width="8.5703125" style="498" customWidth="1"/>
    <col min="805" max="1024" width="11.42578125" style="498"/>
    <col min="1025" max="1025" width="6.42578125" style="498" customWidth="1"/>
    <col min="1026" max="1026" width="47.5703125" style="498" customWidth="1"/>
    <col min="1027" max="1028" width="5" style="498" customWidth="1"/>
    <col min="1029" max="1029" width="5.42578125" style="498" customWidth="1"/>
    <col min="1030" max="1030" width="4.5703125" style="498" customWidth="1"/>
    <col min="1031" max="1032" width="4.42578125" style="498" customWidth="1"/>
    <col min="1033" max="1033" width="3.5703125" style="498" customWidth="1"/>
    <col min="1034" max="1034" width="5" style="498" customWidth="1"/>
    <col min="1035" max="1035" width="4" style="498" customWidth="1"/>
    <col min="1036" max="1037" width="4.5703125" style="498" customWidth="1"/>
    <col min="1038" max="1038" width="4.42578125" style="498" customWidth="1"/>
    <col min="1039" max="1039" width="4" style="498" customWidth="1"/>
    <col min="1040" max="1040" width="3.5703125" style="498" customWidth="1"/>
    <col min="1041" max="1042" width="4.5703125" style="498" customWidth="1"/>
    <col min="1043" max="1043" width="4" style="498" customWidth="1"/>
    <col min="1044" max="1045" width="4.42578125" style="498" customWidth="1"/>
    <col min="1046" max="1046" width="3.5703125" style="498" customWidth="1"/>
    <col min="1047" max="1047" width="4.42578125" style="498" customWidth="1"/>
    <col min="1048" max="1048" width="5.5703125" style="498" customWidth="1"/>
    <col min="1049" max="1049" width="3.5703125" style="498" customWidth="1"/>
    <col min="1050" max="1050" width="4" style="498" customWidth="1"/>
    <col min="1051" max="1051" width="4.5703125" style="498" customWidth="1"/>
    <col min="1052" max="1054" width="4.42578125" style="498" customWidth="1"/>
    <col min="1055" max="1056" width="4.5703125" style="498" customWidth="1"/>
    <col min="1057" max="1057" width="4" style="498" customWidth="1"/>
    <col min="1058" max="1058" width="4.5703125" style="498" customWidth="1"/>
    <col min="1059" max="1059" width="6" style="498" customWidth="1"/>
    <col min="1060" max="1060" width="8.5703125" style="498" customWidth="1"/>
    <col min="1061" max="1280" width="11.42578125" style="498"/>
    <col min="1281" max="1281" width="6.42578125" style="498" customWidth="1"/>
    <col min="1282" max="1282" width="47.5703125" style="498" customWidth="1"/>
    <col min="1283" max="1284" width="5" style="498" customWidth="1"/>
    <col min="1285" max="1285" width="5.42578125" style="498" customWidth="1"/>
    <col min="1286" max="1286" width="4.5703125" style="498" customWidth="1"/>
    <col min="1287" max="1288" width="4.42578125" style="498" customWidth="1"/>
    <col min="1289" max="1289" width="3.5703125" style="498" customWidth="1"/>
    <col min="1290" max="1290" width="5" style="498" customWidth="1"/>
    <col min="1291" max="1291" width="4" style="498" customWidth="1"/>
    <col min="1292" max="1293" width="4.5703125" style="498" customWidth="1"/>
    <col min="1294" max="1294" width="4.42578125" style="498" customWidth="1"/>
    <col min="1295" max="1295" width="4" style="498" customWidth="1"/>
    <col min="1296" max="1296" width="3.5703125" style="498" customWidth="1"/>
    <col min="1297" max="1298" width="4.5703125" style="498" customWidth="1"/>
    <col min="1299" max="1299" width="4" style="498" customWidth="1"/>
    <col min="1300" max="1301" width="4.42578125" style="498" customWidth="1"/>
    <col min="1302" max="1302" width="3.5703125" style="498" customWidth="1"/>
    <col min="1303" max="1303" width="4.42578125" style="498" customWidth="1"/>
    <col min="1304" max="1304" width="5.5703125" style="498" customWidth="1"/>
    <col min="1305" max="1305" width="3.5703125" style="498" customWidth="1"/>
    <col min="1306" max="1306" width="4" style="498" customWidth="1"/>
    <col min="1307" max="1307" width="4.5703125" style="498" customWidth="1"/>
    <col min="1308" max="1310" width="4.42578125" style="498" customWidth="1"/>
    <col min="1311" max="1312" width="4.5703125" style="498" customWidth="1"/>
    <col min="1313" max="1313" width="4" style="498" customWidth="1"/>
    <col min="1314" max="1314" width="4.5703125" style="498" customWidth="1"/>
    <col min="1315" max="1315" width="6" style="498" customWidth="1"/>
    <col min="1316" max="1316" width="8.5703125" style="498" customWidth="1"/>
    <col min="1317" max="1536" width="11.42578125" style="498"/>
    <col min="1537" max="1537" width="6.42578125" style="498" customWidth="1"/>
    <col min="1538" max="1538" width="47.5703125" style="498" customWidth="1"/>
    <col min="1539" max="1540" width="5" style="498" customWidth="1"/>
    <col min="1541" max="1541" width="5.42578125" style="498" customWidth="1"/>
    <col min="1542" max="1542" width="4.5703125" style="498" customWidth="1"/>
    <col min="1543" max="1544" width="4.42578125" style="498" customWidth="1"/>
    <col min="1545" max="1545" width="3.5703125" style="498" customWidth="1"/>
    <col min="1546" max="1546" width="5" style="498" customWidth="1"/>
    <col min="1547" max="1547" width="4" style="498" customWidth="1"/>
    <col min="1548" max="1549" width="4.5703125" style="498" customWidth="1"/>
    <col min="1550" max="1550" width="4.42578125" style="498" customWidth="1"/>
    <col min="1551" max="1551" width="4" style="498" customWidth="1"/>
    <col min="1552" max="1552" width="3.5703125" style="498" customWidth="1"/>
    <col min="1553" max="1554" width="4.5703125" style="498" customWidth="1"/>
    <col min="1555" max="1555" width="4" style="498" customWidth="1"/>
    <col min="1556" max="1557" width="4.42578125" style="498" customWidth="1"/>
    <col min="1558" max="1558" width="3.5703125" style="498" customWidth="1"/>
    <col min="1559" max="1559" width="4.42578125" style="498" customWidth="1"/>
    <col min="1560" max="1560" width="5.5703125" style="498" customWidth="1"/>
    <col min="1561" max="1561" width="3.5703125" style="498" customWidth="1"/>
    <col min="1562" max="1562" width="4" style="498" customWidth="1"/>
    <col min="1563" max="1563" width="4.5703125" style="498" customWidth="1"/>
    <col min="1564" max="1566" width="4.42578125" style="498" customWidth="1"/>
    <col min="1567" max="1568" width="4.5703125" style="498" customWidth="1"/>
    <col min="1569" max="1569" width="4" style="498" customWidth="1"/>
    <col min="1570" max="1570" width="4.5703125" style="498" customWidth="1"/>
    <col min="1571" max="1571" width="6" style="498" customWidth="1"/>
    <col min="1572" max="1572" width="8.5703125" style="498" customWidth="1"/>
    <col min="1573" max="1792" width="11.42578125" style="498"/>
    <col min="1793" max="1793" width="6.42578125" style="498" customWidth="1"/>
    <col min="1794" max="1794" width="47.5703125" style="498" customWidth="1"/>
    <col min="1795" max="1796" width="5" style="498" customWidth="1"/>
    <col min="1797" max="1797" width="5.42578125" style="498" customWidth="1"/>
    <col min="1798" max="1798" width="4.5703125" style="498" customWidth="1"/>
    <col min="1799" max="1800" width="4.42578125" style="498" customWidth="1"/>
    <col min="1801" max="1801" width="3.5703125" style="498" customWidth="1"/>
    <col min="1802" max="1802" width="5" style="498" customWidth="1"/>
    <col min="1803" max="1803" width="4" style="498" customWidth="1"/>
    <col min="1804" max="1805" width="4.5703125" style="498" customWidth="1"/>
    <col min="1806" max="1806" width="4.42578125" style="498" customWidth="1"/>
    <col min="1807" max="1807" width="4" style="498" customWidth="1"/>
    <col min="1808" max="1808" width="3.5703125" style="498" customWidth="1"/>
    <col min="1809" max="1810" width="4.5703125" style="498" customWidth="1"/>
    <col min="1811" max="1811" width="4" style="498" customWidth="1"/>
    <col min="1812" max="1813" width="4.42578125" style="498" customWidth="1"/>
    <col min="1814" max="1814" width="3.5703125" style="498" customWidth="1"/>
    <col min="1815" max="1815" width="4.42578125" style="498" customWidth="1"/>
    <col min="1816" max="1816" width="5.5703125" style="498" customWidth="1"/>
    <col min="1817" max="1817" width="3.5703125" style="498" customWidth="1"/>
    <col min="1818" max="1818" width="4" style="498" customWidth="1"/>
    <col min="1819" max="1819" width="4.5703125" style="498" customWidth="1"/>
    <col min="1820" max="1822" width="4.42578125" style="498" customWidth="1"/>
    <col min="1823" max="1824" width="4.5703125" style="498" customWidth="1"/>
    <col min="1825" max="1825" width="4" style="498" customWidth="1"/>
    <col min="1826" max="1826" width="4.5703125" style="498" customWidth="1"/>
    <col min="1827" max="1827" width="6" style="498" customWidth="1"/>
    <col min="1828" max="1828" width="8.5703125" style="498" customWidth="1"/>
    <col min="1829" max="2048" width="11.42578125" style="498"/>
    <col min="2049" max="2049" width="6.42578125" style="498" customWidth="1"/>
    <col min="2050" max="2050" width="47.5703125" style="498" customWidth="1"/>
    <col min="2051" max="2052" width="5" style="498" customWidth="1"/>
    <col min="2053" max="2053" width="5.42578125" style="498" customWidth="1"/>
    <col min="2054" max="2054" width="4.5703125" style="498" customWidth="1"/>
    <col min="2055" max="2056" width="4.42578125" style="498" customWidth="1"/>
    <col min="2057" max="2057" width="3.5703125" style="498" customWidth="1"/>
    <col min="2058" max="2058" width="5" style="498" customWidth="1"/>
    <col min="2059" max="2059" width="4" style="498" customWidth="1"/>
    <col min="2060" max="2061" width="4.5703125" style="498" customWidth="1"/>
    <col min="2062" max="2062" width="4.42578125" style="498" customWidth="1"/>
    <col min="2063" max="2063" width="4" style="498" customWidth="1"/>
    <col min="2064" max="2064" width="3.5703125" style="498" customWidth="1"/>
    <col min="2065" max="2066" width="4.5703125" style="498" customWidth="1"/>
    <col min="2067" max="2067" width="4" style="498" customWidth="1"/>
    <col min="2068" max="2069" width="4.42578125" style="498" customWidth="1"/>
    <col min="2070" max="2070" width="3.5703125" style="498" customWidth="1"/>
    <col min="2071" max="2071" width="4.42578125" style="498" customWidth="1"/>
    <col min="2072" max="2072" width="5.5703125" style="498" customWidth="1"/>
    <col min="2073" max="2073" width="3.5703125" style="498" customWidth="1"/>
    <col min="2074" max="2074" width="4" style="498" customWidth="1"/>
    <col min="2075" max="2075" width="4.5703125" style="498" customWidth="1"/>
    <col min="2076" max="2078" width="4.42578125" style="498" customWidth="1"/>
    <col min="2079" max="2080" width="4.5703125" style="498" customWidth="1"/>
    <col min="2081" max="2081" width="4" style="498" customWidth="1"/>
    <col min="2082" max="2082" width="4.5703125" style="498" customWidth="1"/>
    <col min="2083" max="2083" width="6" style="498" customWidth="1"/>
    <col min="2084" max="2084" width="8.5703125" style="498" customWidth="1"/>
    <col min="2085" max="2304" width="11.42578125" style="498"/>
    <col min="2305" max="2305" width="6.42578125" style="498" customWidth="1"/>
    <col min="2306" max="2306" width="47.5703125" style="498" customWidth="1"/>
    <col min="2307" max="2308" width="5" style="498" customWidth="1"/>
    <col min="2309" max="2309" width="5.42578125" style="498" customWidth="1"/>
    <col min="2310" max="2310" width="4.5703125" style="498" customWidth="1"/>
    <col min="2311" max="2312" width="4.42578125" style="498" customWidth="1"/>
    <col min="2313" max="2313" width="3.5703125" style="498" customWidth="1"/>
    <col min="2314" max="2314" width="5" style="498" customWidth="1"/>
    <col min="2315" max="2315" width="4" style="498" customWidth="1"/>
    <col min="2316" max="2317" width="4.5703125" style="498" customWidth="1"/>
    <col min="2318" max="2318" width="4.42578125" style="498" customWidth="1"/>
    <col min="2319" max="2319" width="4" style="498" customWidth="1"/>
    <col min="2320" max="2320" width="3.5703125" style="498" customWidth="1"/>
    <col min="2321" max="2322" width="4.5703125" style="498" customWidth="1"/>
    <col min="2323" max="2323" width="4" style="498" customWidth="1"/>
    <col min="2324" max="2325" width="4.42578125" style="498" customWidth="1"/>
    <col min="2326" max="2326" width="3.5703125" style="498" customWidth="1"/>
    <col min="2327" max="2327" width="4.42578125" style="498" customWidth="1"/>
    <col min="2328" max="2328" width="5.5703125" style="498" customWidth="1"/>
    <col min="2329" max="2329" width="3.5703125" style="498" customWidth="1"/>
    <col min="2330" max="2330" width="4" style="498" customWidth="1"/>
    <col min="2331" max="2331" width="4.5703125" style="498" customWidth="1"/>
    <col min="2332" max="2334" width="4.42578125" style="498" customWidth="1"/>
    <col min="2335" max="2336" width="4.5703125" style="498" customWidth="1"/>
    <col min="2337" max="2337" width="4" style="498" customWidth="1"/>
    <col min="2338" max="2338" width="4.5703125" style="498" customWidth="1"/>
    <col min="2339" max="2339" width="6" style="498" customWidth="1"/>
    <col min="2340" max="2340" width="8.5703125" style="498" customWidth="1"/>
    <col min="2341" max="2560" width="11.42578125" style="498"/>
    <col min="2561" max="2561" width="6.42578125" style="498" customWidth="1"/>
    <col min="2562" max="2562" width="47.5703125" style="498" customWidth="1"/>
    <col min="2563" max="2564" width="5" style="498" customWidth="1"/>
    <col min="2565" max="2565" width="5.42578125" style="498" customWidth="1"/>
    <col min="2566" max="2566" width="4.5703125" style="498" customWidth="1"/>
    <col min="2567" max="2568" width="4.42578125" style="498" customWidth="1"/>
    <col min="2569" max="2569" width="3.5703125" style="498" customWidth="1"/>
    <col min="2570" max="2570" width="5" style="498" customWidth="1"/>
    <col min="2571" max="2571" width="4" style="498" customWidth="1"/>
    <col min="2572" max="2573" width="4.5703125" style="498" customWidth="1"/>
    <col min="2574" max="2574" width="4.42578125" style="498" customWidth="1"/>
    <col min="2575" max="2575" width="4" style="498" customWidth="1"/>
    <col min="2576" max="2576" width="3.5703125" style="498" customWidth="1"/>
    <col min="2577" max="2578" width="4.5703125" style="498" customWidth="1"/>
    <col min="2579" max="2579" width="4" style="498" customWidth="1"/>
    <col min="2580" max="2581" width="4.42578125" style="498" customWidth="1"/>
    <col min="2582" max="2582" width="3.5703125" style="498" customWidth="1"/>
    <col min="2583" max="2583" width="4.42578125" style="498" customWidth="1"/>
    <col min="2584" max="2584" width="5.5703125" style="498" customWidth="1"/>
    <col min="2585" max="2585" width="3.5703125" style="498" customWidth="1"/>
    <col min="2586" max="2586" width="4" style="498" customWidth="1"/>
    <col min="2587" max="2587" width="4.5703125" style="498" customWidth="1"/>
    <col min="2588" max="2590" width="4.42578125" style="498" customWidth="1"/>
    <col min="2591" max="2592" width="4.5703125" style="498" customWidth="1"/>
    <col min="2593" max="2593" width="4" style="498" customWidth="1"/>
    <col min="2594" max="2594" width="4.5703125" style="498" customWidth="1"/>
    <col min="2595" max="2595" width="6" style="498" customWidth="1"/>
    <col min="2596" max="2596" width="8.5703125" style="498" customWidth="1"/>
    <col min="2597" max="2816" width="11.42578125" style="498"/>
    <col min="2817" max="2817" width="6.42578125" style="498" customWidth="1"/>
    <col min="2818" max="2818" width="47.5703125" style="498" customWidth="1"/>
    <col min="2819" max="2820" width="5" style="498" customWidth="1"/>
    <col min="2821" max="2821" width="5.42578125" style="498" customWidth="1"/>
    <col min="2822" max="2822" width="4.5703125" style="498" customWidth="1"/>
    <col min="2823" max="2824" width="4.42578125" style="498" customWidth="1"/>
    <col min="2825" max="2825" width="3.5703125" style="498" customWidth="1"/>
    <col min="2826" max="2826" width="5" style="498" customWidth="1"/>
    <col min="2827" max="2827" width="4" style="498" customWidth="1"/>
    <col min="2828" max="2829" width="4.5703125" style="498" customWidth="1"/>
    <col min="2830" max="2830" width="4.42578125" style="498" customWidth="1"/>
    <col min="2831" max="2831" width="4" style="498" customWidth="1"/>
    <col min="2832" max="2832" width="3.5703125" style="498" customWidth="1"/>
    <col min="2833" max="2834" width="4.5703125" style="498" customWidth="1"/>
    <col min="2835" max="2835" width="4" style="498" customWidth="1"/>
    <col min="2836" max="2837" width="4.42578125" style="498" customWidth="1"/>
    <col min="2838" max="2838" width="3.5703125" style="498" customWidth="1"/>
    <col min="2839" max="2839" width="4.42578125" style="498" customWidth="1"/>
    <col min="2840" max="2840" width="5.5703125" style="498" customWidth="1"/>
    <col min="2841" max="2841" width="3.5703125" style="498" customWidth="1"/>
    <col min="2842" max="2842" width="4" style="498" customWidth="1"/>
    <col min="2843" max="2843" width="4.5703125" style="498" customWidth="1"/>
    <col min="2844" max="2846" width="4.42578125" style="498" customWidth="1"/>
    <col min="2847" max="2848" width="4.5703125" style="498" customWidth="1"/>
    <col min="2849" max="2849" width="4" style="498" customWidth="1"/>
    <col min="2850" max="2850" width="4.5703125" style="498" customWidth="1"/>
    <col min="2851" max="2851" width="6" style="498" customWidth="1"/>
    <col min="2852" max="2852" width="8.5703125" style="498" customWidth="1"/>
    <col min="2853" max="3072" width="11.42578125" style="498"/>
    <col min="3073" max="3073" width="6.42578125" style="498" customWidth="1"/>
    <col min="3074" max="3074" width="47.5703125" style="498" customWidth="1"/>
    <col min="3075" max="3076" width="5" style="498" customWidth="1"/>
    <col min="3077" max="3077" width="5.42578125" style="498" customWidth="1"/>
    <col min="3078" max="3078" width="4.5703125" style="498" customWidth="1"/>
    <col min="3079" max="3080" width="4.42578125" style="498" customWidth="1"/>
    <col min="3081" max="3081" width="3.5703125" style="498" customWidth="1"/>
    <col min="3082" max="3082" width="5" style="498" customWidth="1"/>
    <col min="3083" max="3083" width="4" style="498" customWidth="1"/>
    <col min="3084" max="3085" width="4.5703125" style="498" customWidth="1"/>
    <col min="3086" max="3086" width="4.42578125" style="498" customWidth="1"/>
    <col min="3087" max="3087" width="4" style="498" customWidth="1"/>
    <col min="3088" max="3088" width="3.5703125" style="498" customWidth="1"/>
    <col min="3089" max="3090" width="4.5703125" style="498" customWidth="1"/>
    <col min="3091" max="3091" width="4" style="498" customWidth="1"/>
    <col min="3092" max="3093" width="4.42578125" style="498" customWidth="1"/>
    <col min="3094" max="3094" width="3.5703125" style="498" customWidth="1"/>
    <col min="3095" max="3095" width="4.42578125" style="498" customWidth="1"/>
    <col min="3096" max="3096" width="5.5703125" style="498" customWidth="1"/>
    <col min="3097" max="3097" width="3.5703125" style="498" customWidth="1"/>
    <col min="3098" max="3098" width="4" style="498" customWidth="1"/>
    <col min="3099" max="3099" width="4.5703125" style="498" customWidth="1"/>
    <col min="3100" max="3102" width="4.42578125" style="498" customWidth="1"/>
    <col min="3103" max="3104" width="4.5703125" style="498" customWidth="1"/>
    <col min="3105" max="3105" width="4" style="498" customWidth="1"/>
    <col min="3106" max="3106" width="4.5703125" style="498" customWidth="1"/>
    <col min="3107" max="3107" width="6" style="498" customWidth="1"/>
    <col min="3108" max="3108" width="8.5703125" style="498" customWidth="1"/>
    <col min="3109" max="3328" width="11.42578125" style="498"/>
    <col min="3329" max="3329" width="6.42578125" style="498" customWidth="1"/>
    <col min="3330" max="3330" width="47.5703125" style="498" customWidth="1"/>
    <col min="3331" max="3332" width="5" style="498" customWidth="1"/>
    <col min="3333" max="3333" width="5.42578125" style="498" customWidth="1"/>
    <col min="3334" max="3334" width="4.5703125" style="498" customWidth="1"/>
    <col min="3335" max="3336" width="4.42578125" style="498" customWidth="1"/>
    <col min="3337" max="3337" width="3.5703125" style="498" customWidth="1"/>
    <col min="3338" max="3338" width="5" style="498" customWidth="1"/>
    <col min="3339" max="3339" width="4" style="498" customWidth="1"/>
    <col min="3340" max="3341" width="4.5703125" style="498" customWidth="1"/>
    <col min="3342" max="3342" width="4.42578125" style="498" customWidth="1"/>
    <col min="3343" max="3343" width="4" style="498" customWidth="1"/>
    <col min="3344" max="3344" width="3.5703125" style="498" customWidth="1"/>
    <col min="3345" max="3346" width="4.5703125" style="498" customWidth="1"/>
    <col min="3347" max="3347" width="4" style="498" customWidth="1"/>
    <col min="3348" max="3349" width="4.42578125" style="498" customWidth="1"/>
    <col min="3350" max="3350" width="3.5703125" style="498" customWidth="1"/>
    <col min="3351" max="3351" width="4.42578125" style="498" customWidth="1"/>
    <col min="3352" max="3352" width="5.5703125" style="498" customWidth="1"/>
    <col min="3353" max="3353" width="3.5703125" style="498" customWidth="1"/>
    <col min="3354" max="3354" width="4" style="498" customWidth="1"/>
    <col min="3355" max="3355" width="4.5703125" style="498" customWidth="1"/>
    <col min="3356" max="3358" width="4.42578125" style="498" customWidth="1"/>
    <col min="3359" max="3360" width="4.5703125" style="498" customWidth="1"/>
    <col min="3361" max="3361" width="4" style="498" customWidth="1"/>
    <col min="3362" max="3362" width="4.5703125" style="498" customWidth="1"/>
    <col min="3363" max="3363" width="6" style="498" customWidth="1"/>
    <col min="3364" max="3364" width="8.5703125" style="498" customWidth="1"/>
    <col min="3365" max="3584" width="11.42578125" style="498"/>
    <col min="3585" max="3585" width="6.42578125" style="498" customWidth="1"/>
    <col min="3586" max="3586" width="47.5703125" style="498" customWidth="1"/>
    <col min="3587" max="3588" width="5" style="498" customWidth="1"/>
    <col min="3589" max="3589" width="5.42578125" style="498" customWidth="1"/>
    <col min="3590" max="3590" width="4.5703125" style="498" customWidth="1"/>
    <col min="3591" max="3592" width="4.42578125" style="498" customWidth="1"/>
    <col min="3593" max="3593" width="3.5703125" style="498" customWidth="1"/>
    <col min="3594" max="3594" width="5" style="498" customWidth="1"/>
    <col min="3595" max="3595" width="4" style="498" customWidth="1"/>
    <col min="3596" max="3597" width="4.5703125" style="498" customWidth="1"/>
    <col min="3598" max="3598" width="4.42578125" style="498" customWidth="1"/>
    <col min="3599" max="3599" width="4" style="498" customWidth="1"/>
    <col min="3600" max="3600" width="3.5703125" style="498" customWidth="1"/>
    <col min="3601" max="3602" width="4.5703125" style="498" customWidth="1"/>
    <col min="3603" max="3603" width="4" style="498" customWidth="1"/>
    <col min="3604" max="3605" width="4.42578125" style="498" customWidth="1"/>
    <col min="3606" max="3606" width="3.5703125" style="498" customWidth="1"/>
    <col min="3607" max="3607" width="4.42578125" style="498" customWidth="1"/>
    <col min="3608" max="3608" width="5.5703125" style="498" customWidth="1"/>
    <col min="3609" max="3609" width="3.5703125" style="498" customWidth="1"/>
    <col min="3610" max="3610" width="4" style="498" customWidth="1"/>
    <col min="3611" max="3611" width="4.5703125" style="498" customWidth="1"/>
    <col min="3612" max="3614" width="4.42578125" style="498" customWidth="1"/>
    <col min="3615" max="3616" width="4.5703125" style="498" customWidth="1"/>
    <col min="3617" max="3617" width="4" style="498" customWidth="1"/>
    <col min="3618" max="3618" width="4.5703125" style="498" customWidth="1"/>
    <col min="3619" max="3619" width="6" style="498" customWidth="1"/>
    <col min="3620" max="3620" width="8.5703125" style="498" customWidth="1"/>
    <col min="3621" max="3840" width="11.42578125" style="498"/>
    <col min="3841" max="3841" width="6.42578125" style="498" customWidth="1"/>
    <col min="3842" max="3842" width="47.5703125" style="498" customWidth="1"/>
    <col min="3843" max="3844" width="5" style="498" customWidth="1"/>
    <col min="3845" max="3845" width="5.42578125" style="498" customWidth="1"/>
    <col min="3846" max="3846" width="4.5703125" style="498" customWidth="1"/>
    <col min="3847" max="3848" width="4.42578125" style="498" customWidth="1"/>
    <col min="3849" max="3849" width="3.5703125" style="498" customWidth="1"/>
    <col min="3850" max="3850" width="5" style="498" customWidth="1"/>
    <col min="3851" max="3851" width="4" style="498" customWidth="1"/>
    <col min="3852" max="3853" width="4.5703125" style="498" customWidth="1"/>
    <col min="3854" max="3854" width="4.42578125" style="498" customWidth="1"/>
    <col min="3855" max="3855" width="4" style="498" customWidth="1"/>
    <col min="3856" max="3856" width="3.5703125" style="498" customWidth="1"/>
    <col min="3857" max="3858" width="4.5703125" style="498" customWidth="1"/>
    <col min="3859" max="3859" width="4" style="498" customWidth="1"/>
    <col min="3860" max="3861" width="4.42578125" style="498" customWidth="1"/>
    <col min="3862" max="3862" width="3.5703125" style="498" customWidth="1"/>
    <col min="3863" max="3863" width="4.42578125" style="498" customWidth="1"/>
    <col min="3864" max="3864" width="5.5703125" style="498" customWidth="1"/>
    <col min="3865" max="3865" width="3.5703125" style="498" customWidth="1"/>
    <col min="3866" max="3866" width="4" style="498" customWidth="1"/>
    <col min="3867" max="3867" width="4.5703125" style="498" customWidth="1"/>
    <col min="3868" max="3870" width="4.42578125" style="498" customWidth="1"/>
    <col min="3871" max="3872" width="4.5703125" style="498" customWidth="1"/>
    <col min="3873" max="3873" width="4" style="498" customWidth="1"/>
    <col min="3874" max="3874" width="4.5703125" style="498" customWidth="1"/>
    <col min="3875" max="3875" width="6" style="498" customWidth="1"/>
    <col min="3876" max="3876" width="8.5703125" style="498" customWidth="1"/>
    <col min="3877" max="4096" width="11.42578125" style="498"/>
    <col min="4097" max="4097" width="6.42578125" style="498" customWidth="1"/>
    <col min="4098" max="4098" width="47.5703125" style="498" customWidth="1"/>
    <col min="4099" max="4100" width="5" style="498" customWidth="1"/>
    <col min="4101" max="4101" width="5.42578125" style="498" customWidth="1"/>
    <col min="4102" max="4102" width="4.5703125" style="498" customWidth="1"/>
    <col min="4103" max="4104" width="4.42578125" style="498" customWidth="1"/>
    <col min="4105" max="4105" width="3.5703125" style="498" customWidth="1"/>
    <col min="4106" max="4106" width="5" style="498" customWidth="1"/>
    <col min="4107" max="4107" width="4" style="498" customWidth="1"/>
    <col min="4108" max="4109" width="4.5703125" style="498" customWidth="1"/>
    <col min="4110" max="4110" width="4.42578125" style="498" customWidth="1"/>
    <col min="4111" max="4111" width="4" style="498" customWidth="1"/>
    <col min="4112" max="4112" width="3.5703125" style="498" customWidth="1"/>
    <col min="4113" max="4114" width="4.5703125" style="498" customWidth="1"/>
    <col min="4115" max="4115" width="4" style="498" customWidth="1"/>
    <col min="4116" max="4117" width="4.42578125" style="498" customWidth="1"/>
    <col min="4118" max="4118" width="3.5703125" style="498" customWidth="1"/>
    <col min="4119" max="4119" width="4.42578125" style="498" customWidth="1"/>
    <col min="4120" max="4120" width="5.5703125" style="498" customWidth="1"/>
    <col min="4121" max="4121" width="3.5703125" style="498" customWidth="1"/>
    <col min="4122" max="4122" width="4" style="498" customWidth="1"/>
    <col min="4123" max="4123" width="4.5703125" style="498" customWidth="1"/>
    <col min="4124" max="4126" width="4.42578125" style="498" customWidth="1"/>
    <col min="4127" max="4128" width="4.5703125" style="498" customWidth="1"/>
    <col min="4129" max="4129" width="4" style="498" customWidth="1"/>
    <col min="4130" max="4130" width="4.5703125" style="498" customWidth="1"/>
    <col min="4131" max="4131" width="6" style="498" customWidth="1"/>
    <col min="4132" max="4132" width="8.5703125" style="498" customWidth="1"/>
    <col min="4133" max="4352" width="11.42578125" style="498"/>
    <col min="4353" max="4353" width="6.42578125" style="498" customWidth="1"/>
    <col min="4354" max="4354" width="47.5703125" style="498" customWidth="1"/>
    <col min="4355" max="4356" width="5" style="498" customWidth="1"/>
    <col min="4357" max="4357" width="5.42578125" style="498" customWidth="1"/>
    <col min="4358" max="4358" width="4.5703125" style="498" customWidth="1"/>
    <col min="4359" max="4360" width="4.42578125" style="498" customWidth="1"/>
    <col min="4361" max="4361" width="3.5703125" style="498" customWidth="1"/>
    <col min="4362" max="4362" width="5" style="498" customWidth="1"/>
    <col min="4363" max="4363" width="4" style="498" customWidth="1"/>
    <col min="4364" max="4365" width="4.5703125" style="498" customWidth="1"/>
    <col min="4366" max="4366" width="4.42578125" style="498" customWidth="1"/>
    <col min="4367" max="4367" width="4" style="498" customWidth="1"/>
    <col min="4368" max="4368" width="3.5703125" style="498" customWidth="1"/>
    <col min="4369" max="4370" width="4.5703125" style="498" customWidth="1"/>
    <col min="4371" max="4371" width="4" style="498" customWidth="1"/>
    <col min="4372" max="4373" width="4.42578125" style="498" customWidth="1"/>
    <col min="4374" max="4374" width="3.5703125" style="498" customWidth="1"/>
    <col min="4375" max="4375" width="4.42578125" style="498" customWidth="1"/>
    <col min="4376" max="4376" width="5.5703125" style="498" customWidth="1"/>
    <col min="4377" max="4377" width="3.5703125" style="498" customWidth="1"/>
    <col min="4378" max="4378" width="4" style="498" customWidth="1"/>
    <col min="4379" max="4379" width="4.5703125" style="498" customWidth="1"/>
    <col min="4380" max="4382" width="4.42578125" style="498" customWidth="1"/>
    <col min="4383" max="4384" width="4.5703125" style="498" customWidth="1"/>
    <col min="4385" max="4385" width="4" style="498" customWidth="1"/>
    <col min="4386" max="4386" width="4.5703125" style="498" customWidth="1"/>
    <col min="4387" max="4387" width="6" style="498" customWidth="1"/>
    <col min="4388" max="4388" width="8.5703125" style="498" customWidth="1"/>
    <col min="4389" max="4608" width="11.42578125" style="498"/>
    <col min="4609" max="4609" width="6.42578125" style="498" customWidth="1"/>
    <col min="4610" max="4610" width="47.5703125" style="498" customWidth="1"/>
    <col min="4611" max="4612" width="5" style="498" customWidth="1"/>
    <col min="4613" max="4613" width="5.42578125" style="498" customWidth="1"/>
    <col min="4614" max="4614" width="4.5703125" style="498" customWidth="1"/>
    <col min="4615" max="4616" width="4.42578125" style="498" customWidth="1"/>
    <col min="4617" max="4617" width="3.5703125" style="498" customWidth="1"/>
    <col min="4618" max="4618" width="5" style="498" customWidth="1"/>
    <col min="4619" max="4619" width="4" style="498" customWidth="1"/>
    <col min="4620" max="4621" width="4.5703125" style="498" customWidth="1"/>
    <col min="4622" max="4622" width="4.42578125" style="498" customWidth="1"/>
    <col min="4623" max="4623" width="4" style="498" customWidth="1"/>
    <col min="4624" max="4624" width="3.5703125" style="498" customWidth="1"/>
    <col min="4625" max="4626" width="4.5703125" style="498" customWidth="1"/>
    <col min="4627" max="4627" width="4" style="498" customWidth="1"/>
    <col min="4628" max="4629" width="4.42578125" style="498" customWidth="1"/>
    <col min="4630" max="4630" width="3.5703125" style="498" customWidth="1"/>
    <col min="4631" max="4631" width="4.42578125" style="498" customWidth="1"/>
    <col min="4632" max="4632" width="5.5703125" style="498" customWidth="1"/>
    <col min="4633" max="4633" width="3.5703125" style="498" customWidth="1"/>
    <col min="4634" max="4634" width="4" style="498" customWidth="1"/>
    <col min="4635" max="4635" width="4.5703125" style="498" customWidth="1"/>
    <col min="4636" max="4638" width="4.42578125" style="498" customWidth="1"/>
    <col min="4639" max="4640" width="4.5703125" style="498" customWidth="1"/>
    <col min="4641" max="4641" width="4" style="498" customWidth="1"/>
    <col min="4642" max="4642" width="4.5703125" style="498" customWidth="1"/>
    <col min="4643" max="4643" width="6" style="498" customWidth="1"/>
    <col min="4644" max="4644" width="8.5703125" style="498" customWidth="1"/>
    <col min="4645" max="4864" width="11.42578125" style="498"/>
    <col min="4865" max="4865" width="6.42578125" style="498" customWidth="1"/>
    <col min="4866" max="4866" width="47.5703125" style="498" customWidth="1"/>
    <col min="4867" max="4868" width="5" style="498" customWidth="1"/>
    <col min="4869" max="4869" width="5.42578125" style="498" customWidth="1"/>
    <col min="4870" max="4870" width="4.5703125" style="498" customWidth="1"/>
    <col min="4871" max="4872" width="4.42578125" style="498" customWidth="1"/>
    <col min="4873" max="4873" width="3.5703125" style="498" customWidth="1"/>
    <col min="4874" max="4874" width="5" style="498" customWidth="1"/>
    <col min="4875" max="4875" width="4" style="498" customWidth="1"/>
    <col min="4876" max="4877" width="4.5703125" style="498" customWidth="1"/>
    <col min="4878" max="4878" width="4.42578125" style="498" customWidth="1"/>
    <col min="4879" max="4879" width="4" style="498" customWidth="1"/>
    <col min="4880" max="4880" width="3.5703125" style="498" customWidth="1"/>
    <col min="4881" max="4882" width="4.5703125" style="498" customWidth="1"/>
    <col min="4883" max="4883" width="4" style="498" customWidth="1"/>
    <col min="4884" max="4885" width="4.42578125" style="498" customWidth="1"/>
    <col min="4886" max="4886" width="3.5703125" style="498" customWidth="1"/>
    <col min="4887" max="4887" width="4.42578125" style="498" customWidth="1"/>
    <col min="4888" max="4888" width="5.5703125" style="498" customWidth="1"/>
    <col min="4889" max="4889" width="3.5703125" style="498" customWidth="1"/>
    <col min="4890" max="4890" width="4" style="498" customWidth="1"/>
    <col min="4891" max="4891" width="4.5703125" style="498" customWidth="1"/>
    <col min="4892" max="4894" width="4.42578125" style="498" customWidth="1"/>
    <col min="4895" max="4896" width="4.5703125" style="498" customWidth="1"/>
    <col min="4897" max="4897" width="4" style="498" customWidth="1"/>
    <col min="4898" max="4898" width="4.5703125" style="498" customWidth="1"/>
    <col min="4899" max="4899" width="6" style="498" customWidth="1"/>
    <col min="4900" max="4900" width="8.5703125" style="498" customWidth="1"/>
    <col min="4901" max="5120" width="11.42578125" style="498"/>
    <col min="5121" max="5121" width="6.42578125" style="498" customWidth="1"/>
    <col min="5122" max="5122" width="47.5703125" style="498" customWidth="1"/>
    <col min="5123" max="5124" width="5" style="498" customWidth="1"/>
    <col min="5125" max="5125" width="5.42578125" style="498" customWidth="1"/>
    <col min="5126" max="5126" width="4.5703125" style="498" customWidth="1"/>
    <col min="5127" max="5128" width="4.42578125" style="498" customWidth="1"/>
    <col min="5129" max="5129" width="3.5703125" style="498" customWidth="1"/>
    <col min="5130" max="5130" width="5" style="498" customWidth="1"/>
    <col min="5131" max="5131" width="4" style="498" customWidth="1"/>
    <col min="5132" max="5133" width="4.5703125" style="498" customWidth="1"/>
    <col min="5134" max="5134" width="4.42578125" style="498" customWidth="1"/>
    <col min="5135" max="5135" width="4" style="498" customWidth="1"/>
    <col min="5136" max="5136" width="3.5703125" style="498" customWidth="1"/>
    <col min="5137" max="5138" width="4.5703125" style="498" customWidth="1"/>
    <col min="5139" max="5139" width="4" style="498" customWidth="1"/>
    <col min="5140" max="5141" width="4.42578125" style="498" customWidth="1"/>
    <col min="5142" max="5142" width="3.5703125" style="498" customWidth="1"/>
    <col min="5143" max="5143" width="4.42578125" style="498" customWidth="1"/>
    <col min="5144" max="5144" width="5.5703125" style="498" customWidth="1"/>
    <col min="5145" max="5145" width="3.5703125" style="498" customWidth="1"/>
    <col min="5146" max="5146" width="4" style="498" customWidth="1"/>
    <col min="5147" max="5147" width="4.5703125" style="498" customWidth="1"/>
    <col min="5148" max="5150" width="4.42578125" style="498" customWidth="1"/>
    <col min="5151" max="5152" width="4.5703125" style="498" customWidth="1"/>
    <col min="5153" max="5153" width="4" style="498" customWidth="1"/>
    <col min="5154" max="5154" width="4.5703125" style="498" customWidth="1"/>
    <col min="5155" max="5155" width="6" style="498" customWidth="1"/>
    <col min="5156" max="5156" width="8.5703125" style="498" customWidth="1"/>
    <col min="5157" max="5376" width="11.42578125" style="498"/>
    <col min="5377" max="5377" width="6.42578125" style="498" customWidth="1"/>
    <col min="5378" max="5378" width="47.5703125" style="498" customWidth="1"/>
    <col min="5379" max="5380" width="5" style="498" customWidth="1"/>
    <col min="5381" max="5381" width="5.42578125" style="498" customWidth="1"/>
    <col min="5382" max="5382" width="4.5703125" style="498" customWidth="1"/>
    <col min="5383" max="5384" width="4.42578125" style="498" customWidth="1"/>
    <col min="5385" max="5385" width="3.5703125" style="498" customWidth="1"/>
    <col min="5386" max="5386" width="5" style="498" customWidth="1"/>
    <col min="5387" max="5387" width="4" style="498" customWidth="1"/>
    <col min="5388" max="5389" width="4.5703125" style="498" customWidth="1"/>
    <col min="5390" max="5390" width="4.42578125" style="498" customWidth="1"/>
    <col min="5391" max="5391" width="4" style="498" customWidth="1"/>
    <col min="5392" max="5392" width="3.5703125" style="498" customWidth="1"/>
    <col min="5393" max="5394" width="4.5703125" style="498" customWidth="1"/>
    <col min="5395" max="5395" width="4" style="498" customWidth="1"/>
    <col min="5396" max="5397" width="4.42578125" style="498" customWidth="1"/>
    <col min="5398" max="5398" width="3.5703125" style="498" customWidth="1"/>
    <col min="5399" max="5399" width="4.42578125" style="498" customWidth="1"/>
    <col min="5400" max="5400" width="5.5703125" style="498" customWidth="1"/>
    <col min="5401" max="5401" width="3.5703125" style="498" customWidth="1"/>
    <col min="5402" max="5402" width="4" style="498" customWidth="1"/>
    <col min="5403" max="5403" width="4.5703125" style="498" customWidth="1"/>
    <col min="5404" max="5406" width="4.42578125" style="498" customWidth="1"/>
    <col min="5407" max="5408" width="4.5703125" style="498" customWidth="1"/>
    <col min="5409" max="5409" width="4" style="498" customWidth="1"/>
    <col min="5410" max="5410" width="4.5703125" style="498" customWidth="1"/>
    <col min="5411" max="5411" width="6" style="498" customWidth="1"/>
    <col min="5412" max="5412" width="8.5703125" style="498" customWidth="1"/>
    <col min="5413" max="5632" width="11.42578125" style="498"/>
    <col min="5633" max="5633" width="6.42578125" style="498" customWidth="1"/>
    <col min="5634" max="5634" width="47.5703125" style="498" customWidth="1"/>
    <col min="5635" max="5636" width="5" style="498" customWidth="1"/>
    <col min="5637" max="5637" width="5.42578125" style="498" customWidth="1"/>
    <col min="5638" max="5638" width="4.5703125" style="498" customWidth="1"/>
    <col min="5639" max="5640" width="4.42578125" style="498" customWidth="1"/>
    <col min="5641" max="5641" width="3.5703125" style="498" customWidth="1"/>
    <col min="5642" max="5642" width="5" style="498" customWidth="1"/>
    <col min="5643" max="5643" width="4" style="498" customWidth="1"/>
    <col min="5644" max="5645" width="4.5703125" style="498" customWidth="1"/>
    <col min="5646" max="5646" width="4.42578125" style="498" customWidth="1"/>
    <col min="5647" max="5647" width="4" style="498" customWidth="1"/>
    <col min="5648" max="5648" width="3.5703125" style="498" customWidth="1"/>
    <col min="5649" max="5650" width="4.5703125" style="498" customWidth="1"/>
    <col min="5651" max="5651" width="4" style="498" customWidth="1"/>
    <col min="5652" max="5653" width="4.42578125" style="498" customWidth="1"/>
    <col min="5654" max="5654" width="3.5703125" style="498" customWidth="1"/>
    <col min="5655" max="5655" width="4.42578125" style="498" customWidth="1"/>
    <col min="5656" max="5656" width="5.5703125" style="498" customWidth="1"/>
    <col min="5657" max="5657" width="3.5703125" style="498" customWidth="1"/>
    <col min="5658" max="5658" width="4" style="498" customWidth="1"/>
    <col min="5659" max="5659" width="4.5703125" style="498" customWidth="1"/>
    <col min="5660" max="5662" width="4.42578125" style="498" customWidth="1"/>
    <col min="5663" max="5664" width="4.5703125" style="498" customWidth="1"/>
    <col min="5665" max="5665" width="4" style="498" customWidth="1"/>
    <col min="5666" max="5666" width="4.5703125" style="498" customWidth="1"/>
    <col min="5667" max="5667" width="6" style="498" customWidth="1"/>
    <col min="5668" max="5668" width="8.5703125" style="498" customWidth="1"/>
    <col min="5669" max="5888" width="11.42578125" style="498"/>
    <col min="5889" max="5889" width="6.42578125" style="498" customWidth="1"/>
    <col min="5890" max="5890" width="47.5703125" style="498" customWidth="1"/>
    <col min="5891" max="5892" width="5" style="498" customWidth="1"/>
    <col min="5893" max="5893" width="5.42578125" style="498" customWidth="1"/>
    <col min="5894" max="5894" width="4.5703125" style="498" customWidth="1"/>
    <col min="5895" max="5896" width="4.42578125" style="498" customWidth="1"/>
    <col min="5897" max="5897" width="3.5703125" style="498" customWidth="1"/>
    <col min="5898" max="5898" width="5" style="498" customWidth="1"/>
    <col min="5899" max="5899" width="4" style="498" customWidth="1"/>
    <col min="5900" max="5901" width="4.5703125" style="498" customWidth="1"/>
    <col min="5902" max="5902" width="4.42578125" style="498" customWidth="1"/>
    <col min="5903" max="5903" width="4" style="498" customWidth="1"/>
    <col min="5904" max="5904" width="3.5703125" style="498" customWidth="1"/>
    <col min="5905" max="5906" width="4.5703125" style="498" customWidth="1"/>
    <col min="5907" max="5907" width="4" style="498" customWidth="1"/>
    <col min="5908" max="5909" width="4.42578125" style="498" customWidth="1"/>
    <col min="5910" max="5910" width="3.5703125" style="498" customWidth="1"/>
    <col min="5911" max="5911" width="4.42578125" style="498" customWidth="1"/>
    <col min="5912" max="5912" width="5.5703125" style="498" customWidth="1"/>
    <col min="5913" max="5913" width="3.5703125" style="498" customWidth="1"/>
    <col min="5914" max="5914" width="4" style="498" customWidth="1"/>
    <col min="5915" max="5915" width="4.5703125" style="498" customWidth="1"/>
    <col min="5916" max="5918" width="4.42578125" style="498" customWidth="1"/>
    <col min="5919" max="5920" width="4.5703125" style="498" customWidth="1"/>
    <col min="5921" max="5921" width="4" style="498" customWidth="1"/>
    <col min="5922" max="5922" width="4.5703125" style="498" customWidth="1"/>
    <col min="5923" max="5923" width="6" style="498" customWidth="1"/>
    <col min="5924" max="5924" width="8.5703125" style="498" customWidth="1"/>
    <col min="5925" max="6144" width="11.42578125" style="498"/>
    <col min="6145" max="6145" width="6.42578125" style="498" customWidth="1"/>
    <col min="6146" max="6146" width="47.5703125" style="498" customWidth="1"/>
    <col min="6147" max="6148" width="5" style="498" customWidth="1"/>
    <col min="6149" max="6149" width="5.42578125" style="498" customWidth="1"/>
    <col min="6150" max="6150" width="4.5703125" style="498" customWidth="1"/>
    <col min="6151" max="6152" width="4.42578125" style="498" customWidth="1"/>
    <col min="6153" max="6153" width="3.5703125" style="498" customWidth="1"/>
    <col min="6154" max="6154" width="5" style="498" customWidth="1"/>
    <col min="6155" max="6155" width="4" style="498" customWidth="1"/>
    <col min="6156" max="6157" width="4.5703125" style="498" customWidth="1"/>
    <col min="6158" max="6158" width="4.42578125" style="498" customWidth="1"/>
    <col min="6159" max="6159" width="4" style="498" customWidth="1"/>
    <col min="6160" max="6160" width="3.5703125" style="498" customWidth="1"/>
    <col min="6161" max="6162" width="4.5703125" style="498" customWidth="1"/>
    <col min="6163" max="6163" width="4" style="498" customWidth="1"/>
    <col min="6164" max="6165" width="4.42578125" style="498" customWidth="1"/>
    <col min="6166" max="6166" width="3.5703125" style="498" customWidth="1"/>
    <col min="6167" max="6167" width="4.42578125" style="498" customWidth="1"/>
    <col min="6168" max="6168" width="5.5703125" style="498" customWidth="1"/>
    <col min="6169" max="6169" width="3.5703125" style="498" customWidth="1"/>
    <col min="6170" max="6170" width="4" style="498" customWidth="1"/>
    <col min="6171" max="6171" width="4.5703125" style="498" customWidth="1"/>
    <col min="6172" max="6174" width="4.42578125" style="498" customWidth="1"/>
    <col min="6175" max="6176" width="4.5703125" style="498" customWidth="1"/>
    <col min="6177" max="6177" width="4" style="498" customWidth="1"/>
    <col min="6178" max="6178" width="4.5703125" style="498" customWidth="1"/>
    <col min="6179" max="6179" width="6" style="498" customWidth="1"/>
    <col min="6180" max="6180" width="8.5703125" style="498" customWidth="1"/>
    <col min="6181" max="6400" width="11.42578125" style="498"/>
    <col min="6401" max="6401" width="6.42578125" style="498" customWidth="1"/>
    <col min="6402" max="6402" width="47.5703125" style="498" customWidth="1"/>
    <col min="6403" max="6404" width="5" style="498" customWidth="1"/>
    <col min="6405" max="6405" width="5.42578125" style="498" customWidth="1"/>
    <col min="6406" max="6406" width="4.5703125" style="498" customWidth="1"/>
    <col min="6407" max="6408" width="4.42578125" style="498" customWidth="1"/>
    <col min="6409" max="6409" width="3.5703125" style="498" customWidth="1"/>
    <col min="6410" max="6410" width="5" style="498" customWidth="1"/>
    <col min="6411" max="6411" width="4" style="498" customWidth="1"/>
    <col min="6412" max="6413" width="4.5703125" style="498" customWidth="1"/>
    <col min="6414" max="6414" width="4.42578125" style="498" customWidth="1"/>
    <col min="6415" max="6415" width="4" style="498" customWidth="1"/>
    <col min="6416" max="6416" width="3.5703125" style="498" customWidth="1"/>
    <col min="6417" max="6418" width="4.5703125" style="498" customWidth="1"/>
    <col min="6419" max="6419" width="4" style="498" customWidth="1"/>
    <col min="6420" max="6421" width="4.42578125" style="498" customWidth="1"/>
    <col min="6422" max="6422" width="3.5703125" style="498" customWidth="1"/>
    <col min="6423" max="6423" width="4.42578125" style="498" customWidth="1"/>
    <col min="6424" max="6424" width="5.5703125" style="498" customWidth="1"/>
    <col min="6425" max="6425" width="3.5703125" style="498" customWidth="1"/>
    <col min="6426" max="6426" width="4" style="498" customWidth="1"/>
    <col min="6427" max="6427" width="4.5703125" style="498" customWidth="1"/>
    <col min="6428" max="6430" width="4.42578125" style="498" customWidth="1"/>
    <col min="6431" max="6432" width="4.5703125" style="498" customWidth="1"/>
    <col min="6433" max="6433" width="4" style="498" customWidth="1"/>
    <col min="6434" max="6434" width="4.5703125" style="498" customWidth="1"/>
    <col min="6435" max="6435" width="6" style="498" customWidth="1"/>
    <col min="6436" max="6436" width="8.5703125" style="498" customWidth="1"/>
    <col min="6437" max="6656" width="11.42578125" style="498"/>
    <col min="6657" max="6657" width="6.42578125" style="498" customWidth="1"/>
    <col min="6658" max="6658" width="47.5703125" style="498" customWidth="1"/>
    <col min="6659" max="6660" width="5" style="498" customWidth="1"/>
    <col min="6661" max="6661" width="5.42578125" style="498" customWidth="1"/>
    <col min="6662" max="6662" width="4.5703125" style="498" customWidth="1"/>
    <col min="6663" max="6664" width="4.42578125" style="498" customWidth="1"/>
    <col min="6665" max="6665" width="3.5703125" style="498" customWidth="1"/>
    <col min="6666" max="6666" width="5" style="498" customWidth="1"/>
    <col min="6667" max="6667" width="4" style="498" customWidth="1"/>
    <col min="6668" max="6669" width="4.5703125" style="498" customWidth="1"/>
    <col min="6670" max="6670" width="4.42578125" style="498" customWidth="1"/>
    <col min="6671" max="6671" width="4" style="498" customWidth="1"/>
    <col min="6672" max="6672" width="3.5703125" style="498" customWidth="1"/>
    <col min="6673" max="6674" width="4.5703125" style="498" customWidth="1"/>
    <col min="6675" max="6675" width="4" style="498" customWidth="1"/>
    <col min="6676" max="6677" width="4.42578125" style="498" customWidth="1"/>
    <col min="6678" max="6678" width="3.5703125" style="498" customWidth="1"/>
    <col min="6679" max="6679" width="4.42578125" style="498" customWidth="1"/>
    <col min="6680" max="6680" width="5.5703125" style="498" customWidth="1"/>
    <col min="6681" max="6681" width="3.5703125" style="498" customWidth="1"/>
    <col min="6682" max="6682" width="4" style="498" customWidth="1"/>
    <col min="6683" max="6683" width="4.5703125" style="498" customWidth="1"/>
    <col min="6684" max="6686" width="4.42578125" style="498" customWidth="1"/>
    <col min="6687" max="6688" width="4.5703125" style="498" customWidth="1"/>
    <col min="6689" max="6689" width="4" style="498" customWidth="1"/>
    <col min="6690" max="6690" width="4.5703125" style="498" customWidth="1"/>
    <col min="6691" max="6691" width="6" style="498" customWidth="1"/>
    <col min="6692" max="6692" width="8.5703125" style="498" customWidth="1"/>
    <col min="6693" max="6912" width="11.42578125" style="498"/>
    <col min="6913" max="6913" width="6.42578125" style="498" customWidth="1"/>
    <col min="6914" max="6914" width="47.5703125" style="498" customWidth="1"/>
    <col min="6915" max="6916" width="5" style="498" customWidth="1"/>
    <col min="6917" max="6917" width="5.42578125" style="498" customWidth="1"/>
    <col min="6918" max="6918" width="4.5703125" style="498" customWidth="1"/>
    <col min="6919" max="6920" width="4.42578125" style="498" customWidth="1"/>
    <col min="6921" max="6921" width="3.5703125" style="498" customWidth="1"/>
    <col min="6922" max="6922" width="5" style="498" customWidth="1"/>
    <col min="6923" max="6923" width="4" style="498" customWidth="1"/>
    <col min="6924" max="6925" width="4.5703125" style="498" customWidth="1"/>
    <col min="6926" max="6926" width="4.42578125" style="498" customWidth="1"/>
    <col min="6927" max="6927" width="4" style="498" customWidth="1"/>
    <col min="6928" max="6928" width="3.5703125" style="498" customWidth="1"/>
    <col min="6929" max="6930" width="4.5703125" style="498" customWidth="1"/>
    <col min="6931" max="6931" width="4" style="498" customWidth="1"/>
    <col min="6932" max="6933" width="4.42578125" style="498" customWidth="1"/>
    <col min="6934" max="6934" width="3.5703125" style="498" customWidth="1"/>
    <col min="6935" max="6935" width="4.42578125" style="498" customWidth="1"/>
    <col min="6936" max="6936" width="5.5703125" style="498" customWidth="1"/>
    <col min="6937" max="6937" width="3.5703125" style="498" customWidth="1"/>
    <col min="6938" max="6938" width="4" style="498" customWidth="1"/>
    <col min="6939" max="6939" width="4.5703125" style="498" customWidth="1"/>
    <col min="6940" max="6942" width="4.42578125" style="498" customWidth="1"/>
    <col min="6943" max="6944" width="4.5703125" style="498" customWidth="1"/>
    <col min="6945" max="6945" width="4" style="498" customWidth="1"/>
    <col min="6946" max="6946" width="4.5703125" style="498" customWidth="1"/>
    <col min="6947" max="6947" width="6" style="498" customWidth="1"/>
    <col min="6948" max="6948" width="8.5703125" style="498" customWidth="1"/>
    <col min="6949" max="7168" width="11.42578125" style="498"/>
    <col min="7169" max="7169" width="6.42578125" style="498" customWidth="1"/>
    <col min="7170" max="7170" width="47.5703125" style="498" customWidth="1"/>
    <col min="7171" max="7172" width="5" style="498" customWidth="1"/>
    <col min="7173" max="7173" width="5.42578125" style="498" customWidth="1"/>
    <col min="7174" max="7174" width="4.5703125" style="498" customWidth="1"/>
    <col min="7175" max="7176" width="4.42578125" style="498" customWidth="1"/>
    <col min="7177" max="7177" width="3.5703125" style="498" customWidth="1"/>
    <col min="7178" max="7178" width="5" style="498" customWidth="1"/>
    <col min="7179" max="7179" width="4" style="498" customWidth="1"/>
    <col min="7180" max="7181" width="4.5703125" style="498" customWidth="1"/>
    <col min="7182" max="7182" width="4.42578125" style="498" customWidth="1"/>
    <col min="7183" max="7183" width="4" style="498" customWidth="1"/>
    <col min="7184" max="7184" width="3.5703125" style="498" customWidth="1"/>
    <col min="7185" max="7186" width="4.5703125" style="498" customWidth="1"/>
    <col min="7187" max="7187" width="4" style="498" customWidth="1"/>
    <col min="7188" max="7189" width="4.42578125" style="498" customWidth="1"/>
    <col min="7190" max="7190" width="3.5703125" style="498" customWidth="1"/>
    <col min="7191" max="7191" width="4.42578125" style="498" customWidth="1"/>
    <col min="7192" max="7192" width="5.5703125" style="498" customWidth="1"/>
    <col min="7193" max="7193" width="3.5703125" style="498" customWidth="1"/>
    <col min="7194" max="7194" width="4" style="498" customWidth="1"/>
    <col min="7195" max="7195" width="4.5703125" style="498" customWidth="1"/>
    <col min="7196" max="7198" width="4.42578125" style="498" customWidth="1"/>
    <col min="7199" max="7200" width="4.5703125" style="498" customWidth="1"/>
    <col min="7201" max="7201" width="4" style="498" customWidth="1"/>
    <col min="7202" max="7202" width="4.5703125" style="498" customWidth="1"/>
    <col min="7203" max="7203" width="6" style="498" customWidth="1"/>
    <col min="7204" max="7204" width="8.5703125" style="498" customWidth="1"/>
    <col min="7205" max="7424" width="11.42578125" style="498"/>
    <col min="7425" max="7425" width="6.42578125" style="498" customWidth="1"/>
    <col min="7426" max="7426" width="47.5703125" style="498" customWidth="1"/>
    <col min="7427" max="7428" width="5" style="498" customWidth="1"/>
    <col min="7429" max="7429" width="5.42578125" style="498" customWidth="1"/>
    <col min="7430" max="7430" width="4.5703125" style="498" customWidth="1"/>
    <col min="7431" max="7432" width="4.42578125" style="498" customWidth="1"/>
    <col min="7433" max="7433" width="3.5703125" style="498" customWidth="1"/>
    <col min="7434" max="7434" width="5" style="498" customWidth="1"/>
    <col min="7435" max="7435" width="4" style="498" customWidth="1"/>
    <col min="7436" max="7437" width="4.5703125" style="498" customWidth="1"/>
    <col min="7438" max="7438" width="4.42578125" style="498" customWidth="1"/>
    <col min="7439" max="7439" width="4" style="498" customWidth="1"/>
    <col min="7440" max="7440" width="3.5703125" style="498" customWidth="1"/>
    <col min="7441" max="7442" width="4.5703125" style="498" customWidth="1"/>
    <col min="7443" max="7443" width="4" style="498" customWidth="1"/>
    <col min="7444" max="7445" width="4.42578125" style="498" customWidth="1"/>
    <col min="7446" max="7446" width="3.5703125" style="498" customWidth="1"/>
    <col min="7447" max="7447" width="4.42578125" style="498" customWidth="1"/>
    <col min="7448" max="7448" width="5.5703125" style="498" customWidth="1"/>
    <col min="7449" max="7449" width="3.5703125" style="498" customWidth="1"/>
    <col min="7450" max="7450" width="4" style="498" customWidth="1"/>
    <col min="7451" max="7451" width="4.5703125" style="498" customWidth="1"/>
    <col min="7452" max="7454" width="4.42578125" style="498" customWidth="1"/>
    <col min="7455" max="7456" width="4.5703125" style="498" customWidth="1"/>
    <col min="7457" max="7457" width="4" style="498" customWidth="1"/>
    <col min="7458" max="7458" width="4.5703125" style="498" customWidth="1"/>
    <col min="7459" max="7459" width="6" style="498" customWidth="1"/>
    <col min="7460" max="7460" width="8.5703125" style="498" customWidth="1"/>
    <col min="7461" max="7680" width="11.42578125" style="498"/>
    <col min="7681" max="7681" width="6.42578125" style="498" customWidth="1"/>
    <col min="7682" max="7682" width="47.5703125" style="498" customWidth="1"/>
    <col min="7683" max="7684" width="5" style="498" customWidth="1"/>
    <col min="7685" max="7685" width="5.42578125" style="498" customWidth="1"/>
    <col min="7686" max="7686" width="4.5703125" style="498" customWidth="1"/>
    <col min="7687" max="7688" width="4.42578125" style="498" customWidth="1"/>
    <col min="7689" max="7689" width="3.5703125" style="498" customWidth="1"/>
    <col min="7690" max="7690" width="5" style="498" customWidth="1"/>
    <col min="7691" max="7691" width="4" style="498" customWidth="1"/>
    <col min="7692" max="7693" width="4.5703125" style="498" customWidth="1"/>
    <col min="7694" max="7694" width="4.42578125" style="498" customWidth="1"/>
    <col min="7695" max="7695" width="4" style="498" customWidth="1"/>
    <col min="7696" max="7696" width="3.5703125" style="498" customWidth="1"/>
    <col min="7697" max="7698" width="4.5703125" style="498" customWidth="1"/>
    <col min="7699" max="7699" width="4" style="498" customWidth="1"/>
    <col min="7700" max="7701" width="4.42578125" style="498" customWidth="1"/>
    <col min="7702" max="7702" width="3.5703125" style="498" customWidth="1"/>
    <col min="7703" max="7703" width="4.42578125" style="498" customWidth="1"/>
    <col min="7704" max="7704" width="5.5703125" style="498" customWidth="1"/>
    <col min="7705" max="7705" width="3.5703125" style="498" customWidth="1"/>
    <col min="7706" max="7706" width="4" style="498" customWidth="1"/>
    <col min="7707" max="7707" width="4.5703125" style="498" customWidth="1"/>
    <col min="7708" max="7710" width="4.42578125" style="498" customWidth="1"/>
    <col min="7711" max="7712" width="4.5703125" style="498" customWidth="1"/>
    <col min="7713" max="7713" width="4" style="498" customWidth="1"/>
    <col min="7714" max="7714" width="4.5703125" style="498" customWidth="1"/>
    <col min="7715" max="7715" width="6" style="498" customWidth="1"/>
    <col min="7716" max="7716" width="8.5703125" style="498" customWidth="1"/>
    <col min="7717" max="7936" width="11.42578125" style="498"/>
    <col min="7937" max="7937" width="6.42578125" style="498" customWidth="1"/>
    <col min="7938" max="7938" width="47.5703125" style="498" customWidth="1"/>
    <col min="7939" max="7940" width="5" style="498" customWidth="1"/>
    <col min="7941" max="7941" width="5.42578125" style="498" customWidth="1"/>
    <col min="7942" max="7942" width="4.5703125" style="498" customWidth="1"/>
    <col min="7943" max="7944" width="4.42578125" style="498" customWidth="1"/>
    <col min="7945" max="7945" width="3.5703125" style="498" customWidth="1"/>
    <col min="7946" max="7946" width="5" style="498" customWidth="1"/>
    <col min="7947" max="7947" width="4" style="498" customWidth="1"/>
    <col min="7948" max="7949" width="4.5703125" style="498" customWidth="1"/>
    <col min="7950" max="7950" width="4.42578125" style="498" customWidth="1"/>
    <col min="7951" max="7951" width="4" style="498" customWidth="1"/>
    <col min="7952" max="7952" width="3.5703125" style="498" customWidth="1"/>
    <col min="7953" max="7954" width="4.5703125" style="498" customWidth="1"/>
    <col min="7955" max="7955" width="4" style="498" customWidth="1"/>
    <col min="7956" max="7957" width="4.42578125" style="498" customWidth="1"/>
    <col min="7958" max="7958" width="3.5703125" style="498" customWidth="1"/>
    <col min="7959" max="7959" width="4.42578125" style="498" customWidth="1"/>
    <col min="7960" max="7960" width="5.5703125" style="498" customWidth="1"/>
    <col min="7961" max="7961" width="3.5703125" style="498" customWidth="1"/>
    <col min="7962" max="7962" width="4" style="498" customWidth="1"/>
    <col min="7963" max="7963" width="4.5703125" style="498" customWidth="1"/>
    <col min="7964" max="7966" width="4.42578125" style="498" customWidth="1"/>
    <col min="7967" max="7968" width="4.5703125" style="498" customWidth="1"/>
    <col min="7969" max="7969" width="4" style="498" customWidth="1"/>
    <col min="7970" max="7970" width="4.5703125" style="498" customWidth="1"/>
    <col min="7971" max="7971" width="6" style="498" customWidth="1"/>
    <col min="7972" max="7972" width="8.5703125" style="498" customWidth="1"/>
    <col min="7973" max="8192" width="11.42578125" style="498"/>
    <col min="8193" max="8193" width="6.42578125" style="498" customWidth="1"/>
    <col min="8194" max="8194" width="47.5703125" style="498" customWidth="1"/>
    <col min="8195" max="8196" width="5" style="498" customWidth="1"/>
    <col min="8197" max="8197" width="5.42578125" style="498" customWidth="1"/>
    <col min="8198" max="8198" width="4.5703125" style="498" customWidth="1"/>
    <col min="8199" max="8200" width="4.42578125" style="498" customWidth="1"/>
    <col min="8201" max="8201" width="3.5703125" style="498" customWidth="1"/>
    <col min="8202" max="8202" width="5" style="498" customWidth="1"/>
    <col min="8203" max="8203" width="4" style="498" customWidth="1"/>
    <col min="8204" max="8205" width="4.5703125" style="498" customWidth="1"/>
    <col min="8206" max="8206" width="4.42578125" style="498" customWidth="1"/>
    <col min="8207" max="8207" width="4" style="498" customWidth="1"/>
    <col min="8208" max="8208" width="3.5703125" style="498" customWidth="1"/>
    <col min="8209" max="8210" width="4.5703125" style="498" customWidth="1"/>
    <col min="8211" max="8211" width="4" style="498" customWidth="1"/>
    <col min="8212" max="8213" width="4.42578125" style="498" customWidth="1"/>
    <col min="8214" max="8214" width="3.5703125" style="498" customWidth="1"/>
    <col min="8215" max="8215" width="4.42578125" style="498" customWidth="1"/>
    <col min="8216" max="8216" width="5.5703125" style="498" customWidth="1"/>
    <col min="8217" max="8217" width="3.5703125" style="498" customWidth="1"/>
    <col min="8218" max="8218" width="4" style="498" customWidth="1"/>
    <col min="8219" max="8219" width="4.5703125" style="498" customWidth="1"/>
    <col min="8220" max="8222" width="4.42578125" style="498" customWidth="1"/>
    <col min="8223" max="8224" width="4.5703125" style="498" customWidth="1"/>
    <col min="8225" max="8225" width="4" style="498" customWidth="1"/>
    <col min="8226" max="8226" width="4.5703125" style="498" customWidth="1"/>
    <col min="8227" max="8227" width="6" style="498" customWidth="1"/>
    <col min="8228" max="8228" width="8.5703125" style="498" customWidth="1"/>
    <col min="8229" max="8448" width="11.42578125" style="498"/>
    <col min="8449" max="8449" width="6.42578125" style="498" customWidth="1"/>
    <col min="8450" max="8450" width="47.5703125" style="498" customWidth="1"/>
    <col min="8451" max="8452" width="5" style="498" customWidth="1"/>
    <col min="8453" max="8453" width="5.42578125" style="498" customWidth="1"/>
    <col min="8454" max="8454" width="4.5703125" style="498" customWidth="1"/>
    <col min="8455" max="8456" width="4.42578125" style="498" customWidth="1"/>
    <col min="8457" max="8457" width="3.5703125" style="498" customWidth="1"/>
    <col min="8458" max="8458" width="5" style="498" customWidth="1"/>
    <col min="8459" max="8459" width="4" style="498" customWidth="1"/>
    <col min="8460" max="8461" width="4.5703125" style="498" customWidth="1"/>
    <col min="8462" max="8462" width="4.42578125" style="498" customWidth="1"/>
    <col min="8463" max="8463" width="4" style="498" customWidth="1"/>
    <col min="8464" max="8464" width="3.5703125" style="498" customWidth="1"/>
    <col min="8465" max="8466" width="4.5703125" style="498" customWidth="1"/>
    <col min="8467" max="8467" width="4" style="498" customWidth="1"/>
    <col min="8468" max="8469" width="4.42578125" style="498" customWidth="1"/>
    <col min="8470" max="8470" width="3.5703125" style="498" customWidth="1"/>
    <col min="8471" max="8471" width="4.42578125" style="498" customWidth="1"/>
    <col min="8472" max="8472" width="5.5703125" style="498" customWidth="1"/>
    <col min="8473" max="8473" width="3.5703125" style="498" customWidth="1"/>
    <col min="8474" max="8474" width="4" style="498" customWidth="1"/>
    <col min="8475" max="8475" width="4.5703125" style="498" customWidth="1"/>
    <col min="8476" max="8478" width="4.42578125" style="498" customWidth="1"/>
    <col min="8479" max="8480" width="4.5703125" style="498" customWidth="1"/>
    <col min="8481" max="8481" width="4" style="498" customWidth="1"/>
    <col min="8482" max="8482" width="4.5703125" style="498" customWidth="1"/>
    <col min="8483" max="8483" width="6" style="498" customWidth="1"/>
    <col min="8484" max="8484" width="8.5703125" style="498" customWidth="1"/>
    <col min="8485" max="8704" width="11.42578125" style="498"/>
    <col min="8705" max="8705" width="6.42578125" style="498" customWidth="1"/>
    <col min="8706" max="8706" width="47.5703125" style="498" customWidth="1"/>
    <col min="8707" max="8708" width="5" style="498" customWidth="1"/>
    <col min="8709" max="8709" width="5.42578125" style="498" customWidth="1"/>
    <col min="8710" max="8710" width="4.5703125" style="498" customWidth="1"/>
    <col min="8711" max="8712" width="4.42578125" style="498" customWidth="1"/>
    <col min="8713" max="8713" width="3.5703125" style="498" customWidth="1"/>
    <col min="8714" max="8714" width="5" style="498" customWidth="1"/>
    <col min="8715" max="8715" width="4" style="498" customWidth="1"/>
    <col min="8716" max="8717" width="4.5703125" style="498" customWidth="1"/>
    <col min="8718" max="8718" width="4.42578125" style="498" customWidth="1"/>
    <col min="8719" max="8719" width="4" style="498" customWidth="1"/>
    <col min="8720" max="8720" width="3.5703125" style="498" customWidth="1"/>
    <col min="8721" max="8722" width="4.5703125" style="498" customWidth="1"/>
    <col min="8723" max="8723" width="4" style="498" customWidth="1"/>
    <col min="8724" max="8725" width="4.42578125" style="498" customWidth="1"/>
    <col min="8726" max="8726" width="3.5703125" style="498" customWidth="1"/>
    <col min="8727" max="8727" width="4.42578125" style="498" customWidth="1"/>
    <col min="8728" max="8728" width="5.5703125" style="498" customWidth="1"/>
    <col min="8729" max="8729" width="3.5703125" style="498" customWidth="1"/>
    <col min="8730" max="8730" width="4" style="498" customWidth="1"/>
    <col min="8731" max="8731" width="4.5703125" style="498" customWidth="1"/>
    <col min="8732" max="8734" width="4.42578125" style="498" customWidth="1"/>
    <col min="8735" max="8736" width="4.5703125" style="498" customWidth="1"/>
    <col min="8737" max="8737" width="4" style="498" customWidth="1"/>
    <col min="8738" max="8738" width="4.5703125" style="498" customWidth="1"/>
    <col min="8739" max="8739" width="6" style="498" customWidth="1"/>
    <col min="8740" max="8740" width="8.5703125" style="498" customWidth="1"/>
    <col min="8741" max="8960" width="11.42578125" style="498"/>
    <col min="8961" max="8961" width="6.42578125" style="498" customWidth="1"/>
    <col min="8962" max="8962" width="47.5703125" style="498" customWidth="1"/>
    <col min="8963" max="8964" width="5" style="498" customWidth="1"/>
    <col min="8965" max="8965" width="5.42578125" style="498" customWidth="1"/>
    <col min="8966" max="8966" width="4.5703125" style="498" customWidth="1"/>
    <col min="8967" max="8968" width="4.42578125" style="498" customWidth="1"/>
    <col min="8969" max="8969" width="3.5703125" style="498" customWidth="1"/>
    <col min="8970" max="8970" width="5" style="498" customWidth="1"/>
    <col min="8971" max="8971" width="4" style="498" customWidth="1"/>
    <col min="8972" max="8973" width="4.5703125" style="498" customWidth="1"/>
    <col min="8974" max="8974" width="4.42578125" style="498" customWidth="1"/>
    <col min="8975" max="8975" width="4" style="498" customWidth="1"/>
    <col min="8976" max="8976" width="3.5703125" style="498" customWidth="1"/>
    <col min="8977" max="8978" width="4.5703125" style="498" customWidth="1"/>
    <col min="8979" max="8979" width="4" style="498" customWidth="1"/>
    <col min="8980" max="8981" width="4.42578125" style="498" customWidth="1"/>
    <col min="8982" max="8982" width="3.5703125" style="498" customWidth="1"/>
    <col min="8983" max="8983" width="4.42578125" style="498" customWidth="1"/>
    <col min="8984" max="8984" width="5.5703125" style="498" customWidth="1"/>
    <col min="8985" max="8985" width="3.5703125" style="498" customWidth="1"/>
    <col min="8986" max="8986" width="4" style="498" customWidth="1"/>
    <col min="8987" max="8987" width="4.5703125" style="498" customWidth="1"/>
    <col min="8988" max="8990" width="4.42578125" style="498" customWidth="1"/>
    <col min="8991" max="8992" width="4.5703125" style="498" customWidth="1"/>
    <col min="8993" max="8993" width="4" style="498" customWidth="1"/>
    <col min="8994" max="8994" width="4.5703125" style="498" customWidth="1"/>
    <col min="8995" max="8995" width="6" style="498" customWidth="1"/>
    <col min="8996" max="8996" width="8.5703125" style="498" customWidth="1"/>
    <col min="8997" max="9216" width="11.42578125" style="498"/>
    <col min="9217" max="9217" width="6.42578125" style="498" customWidth="1"/>
    <col min="9218" max="9218" width="47.5703125" style="498" customWidth="1"/>
    <col min="9219" max="9220" width="5" style="498" customWidth="1"/>
    <col min="9221" max="9221" width="5.42578125" style="498" customWidth="1"/>
    <col min="9222" max="9222" width="4.5703125" style="498" customWidth="1"/>
    <col min="9223" max="9224" width="4.42578125" style="498" customWidth="1"/>
    <col min="9225" max="9225" width="3.5703125" style="498" customWidth="1"/>
    <col min="9226" max="9226" width="5" style="498" customWidth="1"/>
    <col min="9227" max="9227" width="4" style="498" customWidth="1"/>
    <col min="9228" max="9229" width="4.5703125" style="498" customWidth="1"/>
    <col min="9230" max="9230" width="4.42578125" style="498" customWidth="1"/>
    <col min="9231" max="9231" width="4" style="498" customWidth="1"/>
    <col min="9232" max="9232" width="3.5703125" style="498" customWidth="1"/>
    <col min="9233" max="9234" width="4.5703125" style="498" customWidth="1"/>
    <col min="9235" max="9235" width="4" style="498" customWidth="1"/>
    <col min="9236" max="9237" width="4.42578125" style="498" customWidth="1"/>
    <col min="9238" max="9238" width="3.5703125" style="498" customWidth="1"/>
    <col min="9239" max="9239" width="4.42578125" style="498" customWidth="1"/>
    <col min="9240" max="9240" width="5.5703125" style="498" customWidth="1"/>
    <col min="9241" max="9241" width="3.5703125" style="498" customWidth="1"/>
    <col min="9242" max="9242" width="4" style="498" customWidth="1"/>
    <col min="9243" max="9243" width="4.5703125" style="498" customWidth="1"/>
    <col min="9244" max="9246" width="4.42578125" style="498" customWidth="1"/>
    <col min="9247" max="9248" width="4.5703125" style="498" customWidth="1"/>
    <col min="9249" max="9249" width="4" style="498" customWidth="1"/>
    <col min="9250" max="9250" width="4.5703125" style="498" customWidth="1"/>
    <col min="9251" max="9251" width="6" style="498" customWidth="1"/>
    <col min="9252" max="9252" width="8.5703125" style="498" customWidth="1"/>
    <col min="9253" max="9472" width="11.42578125" style="498"/>
    <col min="9473" max="9473" width="6.42578125" style="498" customWidth="1"/>
    <col min="9474" max="9474" width="47.5703125" style="498" customWidth="1"/>
    <col min="9475" max="9476" width="5" style="498" customWidth="1"/>
    <col min="9477" max="9477" width="5.42578125" style="498" customWidth="1"/>
    <col min="9478" max="9478" width="4.5703125" style="498" customWidth="1"/>
    <col min="9479" max="9480" width="4.42578125" style="498" customWidth="1"/>
    <col min="9481" max="9481" width="3.5703125" style="498" customWidth="1"/>
    <col min="9482" max="9482" width="5" style="498" customWidth="1"/>
    <col min="9483" max="9483" width="4" style="498" customWidth="1"/>
    <col min="9484" max="9485" width="4.5703125" style="498" customWidth="1"/>
    <col min="9486" max="9486" width="4.42578125" style="498" customWidth="1"/>
    <col min="9487" max="9487" width="4" style="498" customWidth="1"/>
    <col min="9488" max="9488" width="3.5703125" style="498" customWidth="1"/>
    <col min="9489" max="9490" width="4.5703125" style="498" customWidth="1"/>
    <col min="9491" max="9491" width="4" style="498" customWidth="1"/>
    <col min="9492" max="9493" width="4.42578125" style="498" customWidth="1"/>
    <col min="9494" max="9494" width="3.5703125" style="498" customWidth="1"/>
    <col min="9495" max="9495" width="4.42578125" style="498" customWidth="1"/>
    <col min="9496" max="9496" width="5.5703125" style="498" customWidth="1"/>
    <col min="9497" max="9497" width="3.5703125" style="498" customWidth="1"/>
    <col min="9498" max="9498" width="4" style="498" customWidth="1"/>
    <col min="9499" max="9499" width="4.5703125" style="498" customWidth="1"/>
    <col min="9500" max="9502" width="4.42578125" style="498" customWidth="1"/>
    <col min="9503" max="9504" width="4.5703125" style="498" customWidth="1"/>
    <col min="9505" max="9505" width="4" style="498" customWidth="1"/>
    <col min="9506" max="9506" width="4.5703125" style="498" customWidth="1"/>
    <col min="9507" max="9507" width="6" style="498" customWidth="1"/>
    <col min="9508" max="9508" width="8.5703125" style="498" customWidth="1"/>
    <col min="9509" max="9728" width="11.42578125" style="498"/>
    <col min="9729" max="9729" width="6.42578125" style="498" customWidth="1"/>
    <col min="9730" max="9730" width="47.5703125" style="498" customWidth="1"/>
    <col min="9731" max="9732" width="5" style="498" customWidth="1"/>
    <col min="9733" max="9733" width="5.42578125" style="498" customWidth="1"/>
    <col min="9734" max="9734" width="4.5703125" style="498" customWidth="1"/>
    <col min="9735" max="9736" width="4.42578125" style="498" customWidth="1"/>
    <col min="9737" max="9737" width="3.5703125" style="498" customWidth="1"/>
    <col min="9738" max="9738" width="5" style="498" customWidth="1"/>
    <col min="9739" max="9739" width="4" style="498" customWidth="1"/>
    <col min="9740" max="9741" width="4.5703125" style="498" customWidth="1"/>
    <col min="9742" max="9742" width="4.42578125" style="498" customWidth="1"/>
    <col min="9743" max="9743" width="4" style="498" customWidth="1"/>
    <col min="9744" max="9744" width="3.5703125" style="498" customWidth="1"/>
    <col min="9745" max="9746" width="4.5703125" style="498" customWidth="1"/>
    <col min="9747" max="9747" width="4" style="498" customWidth="1"/>
    <col min="9748" max="9749" width="4.42578125" style="498" customWidth="1"/>
    <col min="9750" max="9750" width="3.5703125" style="498" customWidth="1"/>
    <col min="9751" max="9751" width="4.42578125" style="498" customWidth="1"/>
    <col min="9752" max="9752" width="5.5703125" style="498" customWidth="1"/>
    <col min="9753" max="9753" width="3.5703125" style="498" customWidth="1"/>
    <col min="9754" max="9754" width="4" style="498" customWidth="1"/>
    <col min="9755" max="9755" width="4.5703125" style="498" customWidth="1"/>
    <col min="9756" max="9758" width="4.42578125" style="498" customWidth="1"/>
    <col min="9759" max="9760" width="4.5703125" style="498" customWidth="1"/>
    <col min="9761" max="9761" width="4" style="498" customWidth="1"/>
    <col min="9762" max="9762" width="4.5703125" style="498" customWidth="1"/>
    <col min="9763" max="9763" width="6" style="498" customWidth="1"/>
    <col min="9764" max="9764" width="8.5703125" style="498" customWidth="1"/>
    <col min="9765" max="9984" width="11.42578125" style="498"/>
    <col min="9985" max="9985" width="6.42578125" style="498" customWidth="1"/>
    <col min="9986" max="9986" width="47.5703125" style="498" customWidth="1"/>
    <col min="9987" max="9988" width="5" style="498" customWidth="1"/>
    <col min="9989" max="9989" width="5.42578125" style="498" customWidth="1"/>
    <col min="9990" max="9990" width="4.5703125" style="498" customWidth="1"/>
    <col min="9991" max="9992" width="4.42578125" style="498" customWidth="1"/>
    <col min="9993" max="9993" width="3.5703125" style="498" customWidth="1"/>
    <col min="9994" max="9994" width="5" style="498" customWidth="1"/>
    <col min="9995" max="9995" width="4" style="498" customWidth="1"/>
    <col min="9996" max="9997" width="4.5703125" style="498" customWidth="1"/>
    <col min="9998" max="9998" width="4.42578125" style="498" customWidth="1"/>
    <col min="9999" max="9999" width="4" style="498" customWidth="1"/>
    <col min="10000" max="10000" width="3.5703125" style="498" customWidth="1"/>
    <col min="10001" max="10002" width="4.5703125" style="498" customWidth="1"/>
    <col min="10003" max="10003" width="4" style="498" customWidth="1"/>
    <col min="10004" max="10005" width="4.42578125" style="498" customWidth="1"/>
    <col min="10006" max="10006" width="3.5703125" style="498" customWidth="1"/>
    <col min="10007" max="10007" width="4.42578125" style="498" customWidth="1"/>
    <col min="10008" max="10008" width="5.5703125" style="498" customWidth="1"/>
    <col min="10009" max="10009" width="3.5703125" style="498" customWidth="1"/>
    <col min="10010" max="10010" width="4" style="498" customWidth="1"/>
    <col min="10011" max="10011" width="4.5703125" style="498" customWidth="1"/>
    <col min="10012" max="10014" width="4.42578125" style="498" customWidth="1"/>
    <col min="10015" max="10016" width="4.5703125" style="498" customWidth="1"/>
    <col min="10017" max="10017" width="4" style="498" customWidth="1"/>
    <col min="10018" max="10018" width="4.5703125" style="498" customWidth="1"/>
    <col min="10019" max="10019" width="6" style="498" customWidth="1"/>
    <col min="10020" max="10020" width="8.5703125" style="498" customWidth="1"/>
    <col min="10021" max="10240" width="11.42578125" style="498"/>
    <col min="10241" max="10241" width="6.42578125" style="498" customWidth="1"/>
    <col min="10242" max="10242" width="47.5703125" style="498" customWidth="1"/>
    <col min="10243" max="10244" width="5" style="498" customWidth="1"/>
    <col min="10245" max="10245" width="5.42578125" style="498" customWidth="1"/>
    <col min="10246" max="10246" width="4.5703125" style="498" customWidth="1"/>
    <col min="10247" max="10248" width="4.42578125" style="498" customWidth="1"/>
    <col min="10249" max="10249" width="3.5703125" style="498" customWidth="1"/>
    <col min="10250" max="10250" width="5" style="498" customWidth="1"/>
    <col min="10251" max="10251" width="4" style="498" customWidth="1"/>
    <col min="10252" max="10253" width="4.5703125" style="498" customWidth="1"/>
    <col min="10254" max="10254" width="4.42578125" style="498" customWidth="1"/>
    <col min="10255" max="10255" width="4" style="498" customWidth="1"/>
    <col min="10256" max="10256" width="3.5703125" style="498" customWidth="1"/>
    <col min="10257" max="10258" width="4.5703125" style="498" customWidth="1"/>
    <col min="10259" max="10259" width="4" style="498" customWidth="1"/>
    <col min="10260" max="10261" width="4.42578125" style="498" customWidth="1"/>
    <col min="10262" max="10262" width="3.5703125" style="498" customWidth="1"/>
    <col min="10263" max="10263" width="4.42578125" style="498" customWidth="1"/>
    <col min="10264" max="10264" width="5.5703125" style="498" customWidth="1"/>
    <col min="10265" max="10265" width="3.5703125" style="498" customWidth="1"/>
    <col min="10266" max="10266" width="4" style="498" customWidth="1"/>
    <col min="10267" max="10267" width="4.5703125" style="498" customWidth="1"/>
    <col min="10268" max="10270" width="4.42578125" style="498" customWidth="1"/>
    <col min="10271" max="10272" width="4.5703125" style="498" customWidth="1"/>
    <col min="10273" max="10273" width="4" style="498" customWidth="1"/>
    <col min="10274" max="10274" width="4.5703125" style="498" customWidth="1"/>
    <col min="10275" max="10275" width="6" style="498" customWidth="1"/>
    <col min="10276" max="10276" width="8.5703125" style="498" customWidth="1"/>
    <col min="10277" max="10496" width="11.42578125" style="498"/>
    <col min="10497" max="10497" width="6.42578125" style="498" customWidth="1"/>
    <col min="10498" max="10498" width="47.5703125" style="498" customWidth="1"/>
    <col min="10499" max="10500" width="5" style="498" customWidth="1"/>
    <col min="10501" max="10501" width="5.42578125" style="498" customWidth="1"/>
    <col min="10502" max="10502" width="4.5703125" style="498" customWidth="1"/>
    <col min="10503" max="10504" width="4.42578125" style="498" customWidth="1"/>
    <col min="10505" max="10505" width="3.5703125" style="498" customWidth="1"/>
    <col min="10506" max="10506" width="5" style="498" customWidth="1"/>
    <col min="10507" max="10507" width="4" style="498" customWidth="1"/>
    <col min="10508" max="10509" width="4.5703125" style="498" customWidth="1"/>
    <col min="10510" max="10510" width="4.42578125" style="498" customWidth="1"/>
    <col min="10511" max="10511" width="4" style="498" customWidth="1"/>
    <col min="10512" max="10512" width="3.5703125" style="498" customWidth="1"/>
    <col min="10513" max="10514" width="4.5703125" style="498" customWidth="1"/>
    <col min="10515" max="10515" width="4" style="498" customWidth="1"/>
    <col min="10516" max="10517" width="4.42578125" style="498" customWidth="1"/>
    <col min="10518" max="10518" width="3.5703125" style="498" customWidth="1"/>
    <col min="10519" max="10519" width="4.42578125" style="498" customWidth="1"/>
    <col min="10520" max="10520" width="5.5703125" style="498" customWidth="1"/>
    <col min="10521" max="10521" width="3.5703125" style="498" customWidth="1"/>
    <col min="10522" max="10522" width="4" style="498" customWidth="1"/>
    <col min="10523" max="10523" width="4.5703125" style="498" customWidth="1"/>
    <col min="10524" max="10526" width="4.42578125" style="498" customWidth="1"/>
    <col min="10527" max="10528" width="4.5703125" style="498" customWidth="1"/>
    <col min="10529" max="10529" width="4" style="498" customWidth="1"/>
    <col min="10530" max="10530" width="4.5703125" style="498" customWidth="1"/>
    <col min="10531" max="10531" width="6" style="498" customWidth="1"/>
    <col min="10532" max="10532" width="8.5703125" style="498" customWidth="1"/>
    <col min="10533" max="10752" width="11.42578125" style="498"/>
    <col min="10753" max="10753" width="6.42578125" style="498" customWidth="1"/>
    <col min="10754" max="10754" width="47.5703125" style="498" customWidth="1"/>
    <col min="10755" max="10756" width="5" style="498" customWidth="1"/>
    <col min="10757" max="10757" width="5.42578125" style="498" customWidth="1"/>
    <col min="10758" max="10758" width="4.5703125" style="498" customWidth="1"/>
    <col min="10759" max="10760" width="4.42578125" style="498" customWidth="1"/>
    <col min="10761" max="10761" width="3.5703125" style="498" customWidth="1"/>
    <col min="10762" max="10762" width="5" style="498" customWidth="1"/>
    <col min="10763" max="10763" width="4" style="498" customWidth="1"/>
    <col min="10764" max="10765" width="4.5703125" style="498" customWidth="1"/>
    <col min="10766" max="10766" width="4.42578125" style="498" customWidth="1"/>
    <col min="10767" max="10767" width="4" style="498" customWidth="1"/>
    <col min="10768" max="10768" width="3.5703125" style="498" customWidth="1"/>
    <col min="10769" max="10770" width="4.5703125" style="498" customWidth="1"/>
    <col min="10771" max="10771" width="4" style="498" customWidth="1"/>
    <col min="10772" max="10773" width="4.42578125" style="498" customWidth="1"/>
    <col min="10774" max="10774" width="3.5703125" style="498" customWidth="1"/>
    <col min="10775" max="10775" width="4.42578125" style="498" customWidth="1"/>
    <col min="10776" max="10776" width="5.5703125" style="498" customWidth="1"/>
    <col min="10777" max="10777" width="3.5703125" style="498" customWidth="1"/>
    <col min="10778" max="10778" width="4" style="498" customWidth="1"/>
    <col min="10779" max="10779" width="4.5703125" style="498" customWidth="1"/>
    <col min="10780" max="10782" width="4.42578125" style="498" customWidth="1"/>
    <col min="10783" max="10784" width="4.5703125" style="498" customWidth="1"/>
    <col min="10785" max="10785" width="4" style="498" customWidth="1"/>
    <col min="10786" max="10786" width="4.5703125" style="498" customWidth="1"/>
    <col min="10787" max="10787" width="6" style="498" customWidth="1"/>
    <col min="10788" max="10788" width="8.5703125" style="498" customWidth="1"/>
    <col min="10789" max="11008" width="11.42578125" style="498"/>
    <col min="11009" max="11009" width="6.42578125" style="498" customWidth="1"/>
    <col min="11010" max="11010" width="47.5703125" style="498" customWidth="1"/>
    <col min="11011" max="11012" width="5" style="498" customWidth="1"/>
    <col min="11013" max="11013" width="5.42578125" style="498" customWidth="1"/>
    <col min="11014" max="11014" width="4.5703125" style="498" customWidth="1"/>
    <col min="11015" max="11016" width="4.42578125" style="498" customWidth="1"/>
    <col min="11017" max="11017" width="3.5703125" style="498" customWidth="1"/>
    <col min="11018" max="11018" width="5" style="498" customWidth="1"/>
    <col min="11019" max="11019" width="4" style="498" customWidth="1"/>
    <col min="11020" max="11021" width="4.5703125" style="498" customWidth="1"/>
    <col min="11022" max="11022" width="4.42578125" style="498" customWidth="1"/>
    <col min="11023" max="11023" width="4" style="498" customWidth="1"/>
    <col min="11024" max="11024" width="3.5703125" style="498" customWidth="1"/>
    <col min="11025" max="11026" width="4.5703125" style="498" customWidth="1"/>
    <col min="11027" max="11027" width="4" style="498" customWidth="1"/>
    <col min="11028" max="11029" width="4.42578125" style="498" customWidth="1"/>
    <col min="11030" max="11030" width="3.5703125" style="498" customWidth="1"/>
    <col min="11031" max="11031" width="4.42578125" style="498" customWidth="1"/>
    <col min="11032" max="11032" width="5.5703125" style="498" customWidth="1"/>
    <col min="11033" max="11033" width="3.5703125" style="498" customWidth="1"/>
    <col min="11034" max="11034" width="4" style="498" customWidth="1"/>
    <col min="11035" max="11035" width="4.5703125" style="498" customWidth="1"/>
    <col min="11036" max="11038" width="4.42578125" style="498" customWidth="1"/>
    <col min="11039" max="11040" width="4.5703125" style="498" customWidth="1"/>
    <col min="11041" max="11041" width="4" style="498" customWidth="1"/>
    <col min="11042" max="11042" width="4.5703125" style="498" customWidth="1"/>
    <col min="11043" max="11043" width="6" style="498" customWidth="1"/>
    <col min="11044" max="11044" width="8.5703125" style="498" customWidth="1"/>
    <col min="11045" max="11264" width="11.42578125" style="498"/>
    <col min="11265" max="11265" width="6.42578125" style="498" customWidth="1"/>
    <col min="11266" max="11266" width="47.5703125" style="498" customWidth="1"/>
    <col min="11267" max="11268" width="5" style="498" customWidth="1"/>
    <col min="11269" max="11269" width="5.42578125" style="498" customWidth="1"/>
    <col min="11270" max="11270" width="4.5703125" style="498" customWidth="1"/>
    <col min="11271" max="11272" width="4.42578125" style="498" customWidth="1"/>
    <col min="11273" max="11273" width="3.5703125" style="498" customWidth="1"/>
    <col min="11274" max="11274" width="5" style="498" customWidth="1"/>
    <col min="11275" max="11275" width="4" style="498" customWidth="1"/>
    <col min="11276" max="11277" width="4.5703125" style="498" customWidth="1"/>
    <col min="11278" max="11278" width="4.42578125" style="498" customWidth="1"/>
    <col min="11279" max="11279" width="4" style="498" customWidth="1"/>
    <col min="11280" max="11280" width="3.5703125" style="498" customWidth="1"/>
    <col min="11281" max="11282" width="4.5703125" style="498" customWidth="1"/>
    <col min="11283" max="11283" width="4" style="498" customWidth="1"/>
    <col min="11284" max="11285" width="4.42578125" style="498" customWidth="1"/>
    <col min="11286" max="11286" width="3.5703125" style="498" customWidth="1"/>
    <col min="11287" max="11287" width="4.42578125" style="498" customWidth="1"/>
    <col min="11288" max="11288" width="5.5703125" style="498" customWidth="1"/>
    <col min="11289" max="11289" width="3.5703125" style="498" customWidth="1"/>
    <col min="11290" max="11290" width="4" style="498" customWidth="1"/>
    <col min="11291" max="11291" width="4.5703125" style="498" customWidth="1"/>
    <col min="11292" max="11294" width="4.42578125" style="498" customWidth="1"/>
    <col min="11295" max="11296" width="4.5703125" style="498" customWidth="1"/>
    <col min="11297" max="11297" width="4" style="498" customWidth="1"/>
    <col min="11298" max="11298" width="4.5703125" style="498" customWidth="1"/>
    <col min="11299" max="11299" width="6" style="498" customWidth="1"/>
    <col min="11300" max="11300" width="8.5703125" style="498" customWidth="1"/>
    <col min="11301" max="11520" width="11.42578125" style="498"/>
    <col min="11521" max="11521" width="6.42578125" style="498" customWidth="1"/>
    <col min="11522" max="11522" width="47.5703125" style="498" customWidth="1"/>
    <col min="11523" max="11524" width="5" style="498" customWidth="1"/>
    <col min="11525" max="11525" width="5.42578125" style="498" customWidth="1"/>
    <col min="11526" max="11526" width="4.5703125" style="498" customWidth="1"/>
    <col min="11527" max="11528" width="4.42578125" style="498" customWidth="1"/>
    <col min="11529" max="11529" width="3.5703125" style="498" customWidth="1"/>
    <col min="11530" max="11530" width="5" style="498" customWidth="1"/>
    <col min="11531" max="11531" width="4" style="498" customWidth="1"/>
    <col min="11532" max="11533" width="4.5703125" style="498" customWidth="1"/>
    <col min="11534" max="11534" width="4.42578125" style="498" customWidth="1"/>
    <col min="11535" max="11535" width="4" style="498" customWidth="1"/>
    <col min="11536" max="11536" width="3.5703125" style="498" customWidth="1"/>
    <col min="11537" max="11538" width="4.5703125" style="498" customWidth="1"/>
    <col min="11539" max="11539" width="4" style="498" customWidth="1"/>
    <col min="11540" max="11541" width="4.42578125" style="498" customWidth="1"/>
    <col min="11542" max="11542" width="3.5703125" style="498" customWidth="1"/>
    <col min="11543" max="11543" width="4.42578125" style="498" customWidth="1"/>
    <col min="11544" max="11544" width="5.5703125" style="498" customWidth="1"/>
    <col min="11545" max="11545" width="3.5703125" style="498" customWidth="1"/>
    <col min="11546" max="11546" width="4" style="498" customWidth="1"/>
    <col min="11547" max="11547" width="4.5703125" style="498" customWidth="1"/>
    <col min="11548" max="11550" width="4.42578125" style="498" customWidth="1"/>
    <col min="11551" max="11552" width="4.5703125" style="498" customWidth="1"/>
    <col min="11553" max="11553" width="4" style="498" customWidth="1"/>
    <col min="11554" max="11554" width="4.5703125" style="498" customWidth="1"/>
    <col min="11555" max="11555" width="6" style="498" customWidth="1"/>
    <col min="11556" max="11556" width="8.5703125" style="498" customWidth="1"/>
    <col min="11557" max="11776" width="11.42578125" style="498"/>
    <col min="11777" max="11777" width="6.42578125" style="498" customWidth="1"/>
    <col min="11778" max="11778" width="47.5703125" style="498" customWidth="1"/>
    <col min="11779" max="11780" width="5" style="498" customWidth="1"/>
    <col min="11781" max="11781" width="5.42578125" style="498" customWidth="1"/>
    <col min="11782" max="11782" width="4.5703125" style="498" customWidth="1"/>
    <col min="11783" max="11784" width="4.42578125" style="498" customWidth="1"/>
    <col min="11785" max="11785" width="3.5703125" style="498" customWidth="1"/>
    <col min="11786" max="11786" width="5" style="498" customWidth="1"/>
    <col min="11787" max="11787" width="4" style="498" customWidth="1"/>
    <col min="11788" max="11789" width="4.5703125" style="498" customWidth="1"/>
    <col min="11790" max="11790" width="4.42578125" style="498" customWidth="1"/>
    <col min="11791" max="11791" width="4" style="498" customWidth="1"/>
    <col min="11792" max="11792" width="3.5703125" style="498" customWidth="1"/>
    <col min="11793" max="11794" width="4.5703125" style="498" customWidth="1"/>
    <col min="11795" max="11795" width="4" style="498" customWidth="1"/>
    <col min="11796" max="11797" width="4.42578125" style="498" customWidth="1"/>
    <col min="11798" max="11798" width="3.5703125" style="498" customWidth="1"/>
    <col min="11799" max="11799" width="4.42578125" style="498" customWidth="1"/>
    <col min="11800" max="11800" width="5.5703125" style="498" customWidth="1"/>
    <col min="11801" max="11801" width="3.5703125" style="498" customWidth="1"/>
    <col min="11802" max="11802" width="4" style="498" customWidth="1"/>
    <col min="11803" max="11803" width="4.5703125" style="498" customWidth="1"/>
    <col min="11804" max="11806" width="4.42578125" style="498" customWidth="1"/>
    <col min="11807" max="11808" width="4.5703125" style="498" customWidth="1"/>
    <col min="11809" max="11809" width="4" style="498" customWidth="1"/>
    <col min="11810" max="11810" width="4.5703125" style="498" customWidth="1"/>
    <col min="11811" max="11811" width="6" style="498" customWidth="1"/>
    <col min="11812" max="11812" width="8.5703125" style="498" customWidth="1"/>
    <col min="11813" max="12032" width="11.42578125" style="498"/>
    <col min="12033" max="12033" width="6.42578125" style="498" customWidth="1"/>
    <col min="12034" max="12034" width="47.5703125" style="498" customWidth="1"/>
    <col min="12035" max="12036" width="5" style="498" customWidth="1"/>
    <col min="12037" max="12037" width="5.42578125" style="498" customWidth="1"/>
    <col min="12038" max="12038" width="4.5703125" style="498" customWidth="1"/>
    <col min="12039" max="12040" width="4.42578125" style="498" customWidth="1"/>
    <col min="12041" max="12041" width="3.5703125" style="498" customWidth="1"/>
    <col min="12042" max="12042" width="5" style="498" customWidth="1"/>
    <col min="12043" max="12043" width="4" style="498" customWidth="1"/>
    <col min="12044" max="12045" width="4.5703125" style="498" customWidth="1"/>
    <col min="12046" max="12046" width="4.42578125" style="498" customWidth="1"/>
    <col min="12047" max="12047" width="4" style="498" customWidth="1"/>
    <col min="12048" max="12048" width="3.5703125" style="498" customWidth="1"/>
    <col min="12049" max="12050" width="4.5703125" style="498" customWidth="1"/>
    <col min="12051" max="12051" width="4" style="498" customWidth="1"/>
    <col min="12052" max="12053" width="4.42578125" style="498" customWidth="1"/>
    <col min="12054" max="12054" width="3.5703125" style="498" customWidth="1"/>
    <col min="12055" max="12055" width="4.42578125" style="498" customWidth="1"/>
    <col min="12056" max="12056" width="5.5703125" style="498" customWidth="1"/>
    <col min="12057" max="12057" width="3.5703125" style="498" customWidth="1"/>
    <col min="12058" max="12058" width="4" style="498" customWidth="1"/>
    <col min="12059" max="12059" width="4.5703125" style="498" customWidth="1"/>
    <col min="12060" max="12062" width="4.42578125" style="498" customWidth="1"/>
    <col min="12063" max="12064" width="4.5703125" style="498" customWidth="1"/>
    <col min="12065" max="12065" width="4" style="498" customWidth="1"/>
    <col min="12066" max="12066" width="4.5703125" style="498" customWidth="1"/>
    <col min="12067" max="12067" width="6" style="498" customWidth="1"/>
    <col min="12068" max="12068" width="8.5703125" style="498" customWidth="1"/>
    <col min="12069" max="12288" width="11.42578125" style="498"/>
    <col min="12289" max="12289" width="6.42578125" style="498" customWidth="1"/>
    <col min="12290" max="12290" width="47.5703125" style="498" customWidth="1"/>
    <col min="12291" max="12292" width="5" style="498" customWidth="1"/>
    <col min="12293" max="12293" width="5.42578125" style="498" customWidth="1"/>
    <col min="12294" max="12294" width="4.5703125" style="498" customWidth="1"/>
    <col min="12295" max="12296" width="4.42578125" style="498" customWidth="1"/>
    <col min="12297" max="12297" width="3.5703125" style="498" customWidth="1"/>
    <col min="12298" max="12298" width="5" style="498" customWidth="1"/>
    <col min="12299" max="12299" width="4" style="498" customWidth="1"/>
    <col min="12300" max="12301" width="4.5703125" style="498" customWidth="1"/>
    <col min="12302" max="12302" width="4.42578125" style="498" customWidth="1"/>
    <col min="12303" max="12303" width="4" style="498" customWidth="1"/>
    <col min="12304" max="12304" width="3.5703125" style="498" customWidth="1"/>
    <col min="12305" max="12306" width="4.5703125" style="498" customWidth="1"/>
    <col min="12307" max="12307" width="4" style="498" customWidth="1"/>
    <col min="12308" max="12309" width="4.42578125" style="498" customWidth="1"/>
    <col min="12310" max="12310" width="3.5703125" style="498" customWidth="1"/>
    <col min="12311" max="12311" width="4.42578125" style="498" customWidth="1"/>
    <col min="12312" max="12312" width="5.5703125" style="498" customWidth="1"/>
    <col min="12313" max="12313" width="3.5703125" style="498" customWidth="1"/>
    <col min="12314" max="12314" width="4" style="498" customWidth="1"/>
    <col min="12315" max="12315" width="4.5703125" style="498" customWidth="1"/>
    <col min="12316" max="12318" width="4.42578125" style="498" customWidth="1"/>
    <col min="12319" max="12320" width="4.5703125" style="498" customWidth="1"/>
    <col min="12321" max="12321" width="4" style="498" customWidth="1"/>
    <col min="12322" max="12322" width="4.5703125" style="498" customWidth="1"/>
    <col min="12323" max="12323" width="6" style="498" customWidth="1"/>
    <col min="12324" max="12324" width="8.5703125" style="498" customWidth="1"/>
    <col min="12325" max="12544" width="11.42578125" style="498"/>
    <col min="12545" max="12545" width="6.42578125" style="498" customWidth="1"/>
    <col min="12546" max="12546" width="47.5703125" style="498" customWidth="1"/>
    <col min="12547" max="12548" width="5" style="498" customWidth="1"/>
    <col min="12549" max="12549" width="5.42578125" style="498" customWidth="1"/>
    <col min="12550" max="12550" width="4.5703125" style="498" customWidth="1"/>
    <col min="12551" max="12552" width="4.42578125" style="498" customWidth="1"/>
    <col min="12553" max="12553" width="3.5703125" style="498" customWidth="1"/>
    <col min="12554" max="12554" width="5" style="498" customWidth="1"/>
    <col min="12555" max="12555" width="4" style="498" customWidth="1"/>
    <col min="12556" max="12557" width="4.5703125" style="498" customWidth="1"/>
    <col min="12558" max="12558" width="4.42578125" style="498" customWidth="1"/>
    <col min="12559" max="12559" width="4" style="498" customWidth="1"/>
    <col min="12560" max="12560" width="3.5703125" style="498" customWidth="1"/>
    <col min="12561" max="12562" width="4.5703125" style="498" customWidth="1"/>
    <col min="12563" max="12563" width="4" style="498" customWidth="1"/>
    <col min="12564" max="12565" width="4.42578125" style="498" customWidth="1"/>
    <col min="12566" max="12566" width="3.5703125" style="498" customWidth="1"/>
    <col min="12567" max="12567" width="4.42578125" style="498" customWidth="1"/>
    <col min="12568" max="12568" width="5.5703125" style="498" customWidth="1"/>
    <col min="12569" max="12569" width="3.5703125" style="498" customWidth="1"/>
    <col min="12570" max="12570" width="4" style="498" customWidth="1"/>
    <col min="12571" max="12571" width="4.5703125" style="498" customWidth="1"/>
    <col min="12572" max="12574" width="4.42578125" style="498" customWidth="1"/>
    <col min="12575" max="12576" width="4.5703125" style="498" customWidth="1"/>
    <col min="12577" max="12577" width="4" style="498" customWidth="1"/>
    <col min="12578" max="12578" width="4.5703125" style="498" customWidth="1"/>
    <col min="12579" max="12579" width="6" style="498" customWidth="1"/>
    <col min="12580" max="12580" width="8.5703125" style="498" customWidth="1"/>
    <col min="12581" max="12800" width="11.42578125" style="498"/>
    <col min="12801" max="12801" width="6.42578125" style="498" customWidth="1"/>
    <col min="12802" max="12802" width="47.5703125" style="498" customWidth="1"/>
    <col min="12803" max="12804" width="5" style="498" customWidth="1"/>
    <col min="12805" max="12805" width="5.42578125" style="498" customWidth="1"/>
    <col min="12806" max="12806" width="4.5703125" style="498" customWidth="1"/>
    <col min="12807" max="12808" width="4.42578125" style="498" customWidth="1"/>
    <col min="12809" max="12809" width="3.5703125" style="498" customWidth="1"/>
    <col min="12810" max="12810" width="5" style="498" customWidth="1"/>
    <col min="12811" max="12811" width="4" style="498" customWidth="1"/>
    <col min="12812" max="12813" width="4.5703125" style="498" customWidth="1"/>
    <col min="12814" max="12814" width="4.42578125" style="498" customWidth="1"/>
    <col min="12815" max="12815" width="4" style="498" customWidth="1"/>
    <col min="12816" max="12816" width="3.5703125" style="498" customWidth="1"/>
    <col min="12817" max="12818" width="4.5703125" style="498" customWidth="1"/>
    <col min="12819" max="12819" width="4" style="498" customWidth="1"/>
    <col min="12820" max="12821" width="4.42578125" style="498" customWidth="1"/>
    <col min="12822" max="12822" width="3.5703125" style="498" customWidth="1"/>
    <col min="12823" max="12823" width="4.42578125" style="498" customWidth="1"/>
    <col min="12824" max="12824" width="5.5703125" style="498" customWidth="1"/>
    <col min="12825" max="12825" width="3.5703125" style="498" customWidth="1"/>
    <col min="12826" max="12826" width="4" style="498" customWidth="1"/>
    <col min="12827" max="12827" width="4.5703125" style="498" customWidth="1"/>
    <col min="12828" max="12830" width="4.42578125" style="498" customWidth="1"/>
    <col min="12831" max="12832" width="4.5703125" style="498" customWidth="1"/>
    <col min="12833" max="12833" width="4" style="498" customWidth="1"/>
    <col min="12834" max="12834" width="4.5703125" style="498" customWidth="1"/>
    <col min="12835" max="12835" width="6" style="498" customWidth="1"/>
    <col min="12836" max="12836" width="8.5703125" style="498" customWidth="1"/>
    <col min="12837" max="13056" width="11.42578125" style="498"/>
    <col min="13057" max="13057" width="6.42578125" style="498" customWidth="1"/>
    <col min="13058" max="13058" width="47.5703125" style="498" customWidth="1"/>
    <col min="13059" max="13060" width="5" style="498" customWidth="1"/>
    <col min="13061" max="13061" width="5.42578125" style="498" customWidth="1"/>
    <col min="13062" max="13062" width="4.5703125" style="498" customWidth="1"/>
    <col min="13063" max="13064" width="4.42578125" style="498" customWidth="1"/>
    <col min="13065" max="13065" width="3.5703125" style="498" customWidth="1"/>
    <col min="13066" max="13066" width="5" style="498" customWidth="1"/>
    <col min="13067" max="13067" width="4" style="498" customWidth="1"/>
    <col min="13068" max="13069" width="4.5703125" style="498" customWidth="1"/>
    <col min="13070" max="13070" width="4.42578125" style="498" customWidth="1"/>
    <col min="13071" max="13071" width="4" style="498" customWidth="1"/>
    <col min="13072" max="13072" width="3.5703125" style="498" customWidth="1"/>
    <col min="13073" max="13074" width="4.5703125" style="498" customWidth="1"/>
    <col min="13075" max="13075" width="4" style="498" customWidth="1"/>
    <col min="13076" max="13077" width="4.42578125" style="498" customWidth="1"/>
    <col min="13078" max="13078" width="3.5703125" style="498" customWidth="1"/>
    <col min="13079" max="13079" width="4.42578125" style="498" customWidth="1"/>
    <col min="13080" max="13080" width="5.5703125" style="498" customWidth="1"/>
    <col min="13081" max="13081" width="3.5703125" style="498" customWidth="1"/>
    <col min="13082" max="13082" width="4" style="498" customWidth="1"/>
    <col min="13083" max="13083" width="4.5703125" style="498" customWidth="1"/>
    <col min="13084" max="13086" width="4.42578125" style="498" customWidth="1"/>
    <col min="13087" max="13088" width="4.5703125" style="498" customWidth="1"/>
    <col min="13089" max="13089" width="4" style="498" customWidth="1"/>
    <col min="13090" max="13090" width="4.5703125" style="498" customWidth="1"/>
    <col min="13091" max="13091" width="6" style="498" customWidth="1"/>
    <col min="13092" max="13092" width="8.5703125" style="498" customWidth="1"/>
    <col min="13093" max="13312" width="11.42578125" style="498"/>
    <col min="13313" max="13313" width="6.42578125" style="498" customWidth="1"/>
    <col min="13314" max="13314" width="47.5703125" style="498" customWidth="1"/>
    <col min="13315" max="13316" width="5" style="498" customWidth="1"/>
    <col min="13317" max="13317" width="5.42578125" style="498" customWidth="1"/>
    <col min="13318" max="13318" width="4.5703125" style="498" customWidth="1"/>
    <col min="13319" max="13320" width="4.42578125" style="498" customWidth="1"/>
    <col min="13321" max="13321" width="3.5703125" style="498" customWidth="1"/>
    <col min="13322" max="13322" width="5" style="498" customWidth="1"/>
    <col min="13323" max="13323" width="4" style="498" customWidth="1"/>
    <col min="13324" max="13325" width="4.5703125" style="498" customWidth="1"/>
    <col min="13326" max="13326" width="4.42578125" style="498" customWidth="1"/>
    <col min="13327" max="13327" width="4" style="498" customWidth="1"/>
    <col min="13328" max="13328" width="3.5703125" style="498" customWidth="1"/>
    <col min="13329" max="13330" width="4.5703125" style="498" customWidth="1"/>
    <col min="13331" max="13331" width="4" style="498" customWidth="1"/>
    <col min="13332" max="13333" width="4.42578125" style="498" customWidth="1"/>
    <col min="13334" max="13334" width="3.5703125" style="498" customWidth="1"/>
    <col min="13335" max="13335" width="4.42578125" style="498" customWidth="1"/>
    <col min="13336" max="13336" width="5.5703125" style="498" customWidth="1"/>
    <col min="13337" max="13337" width="3.5703125" style="498" customWidth="1"/>
    <col min="13338" max="13338" width="4" style="498" customWidth="1"/>
    <col min="13339" max="13339" width="4.5703125" style="498" customWidth="1"/>
    <col min="13340" max="13342" width="4.42578125" style="498" customWidth="1"/>
    <col min="13343" max="13344" width="4.5703125" style="498" customWidth="1"/>
    <col min="13345" max="13345" width="4" style="498" customWidth="1"/>
    <col min="13346" max="13346" width="4.5703125" style="498" customWidth="1"/>
    <col min="13347" max="13347" width="6" style="498" customWidth="1"/>
    <col min="13348" max="13348" width="8.5703125" style="498" customWidth="1"/>
    <col min="13349" max="13568" width="11.42578125" style="498"/>
    <col min="13569" max="13569" width="6.42578125" style="498" customWidth="1"/>
    <col min="13570" max="13570" width="47.5703125" style="498" customWidth="1"/>
    <col min="13571" max="13572" width="5" style="498" customWidth="1"/>
    <col min="13573" max="13573" width="5.42578125" style="498" customWidth="1"/>
    <col min="13574" max="13574" width="4.5703125" style="498" customWidth="1"/>
    <col min="13575" max="13576" width="4.42578125" style="498" customWidth="1"/>
    <col min="13577" max="13577" width="3.5703125" style="498" customWidth="1"/>
    <col min="13578" max="13578" width="5" style="498" customWidth="1"/>
    <col min="13579" max="13579" width="4" style="498" customWidth="1"/>
    <col min="13580" max="13581" width="4.5703125" style="498" customWidth="1"/>
    <col min="13582" max="13582" width="4.42578125" style="498" customWidth="1"/>
    <col min="13583" max="13583" width="4" style="498" customWidth="1"/>
    <col min="13584" max="13584" width="3.5703125" style="498" customWidth="1"/>
    <col min="13585" max="13586" width="4.5703125" style="498" customWidth="1"/>
    <col min="13587" max="13587" width="4" style="498" customWidth="1"/>
    <col min="13588" max="13589" width="4.42578125" style="498" customWidth="1"/>
    <col min="13590" max="13590" width="3.5703125" style="498" customWidth="1"/>
    <col min="13591" max="13591" width="4.42578125" style="498" customWidth="1"/>
    <col min="13592" max="13592" width="5.5703125" style="498" customWidth="1"/>
    <col min="13593" max="13593" width="3.5703125" style="498" customWidth="1"/>
    <col min="13594" max="13594" width="4" style="498" customWidth="1"/>
    <col min="13595" max="13595" width="4.5703125" style="498" customWidth="1"/>
    <col min="13596" max="13598" width="4.42578125" style="498" customWidth="1"/>
    <col min="13599" max="13600" width="4.5703125" style="498" customWidth="1"/>
    <col min="13601" max="13601" width="4" style="498" customWidth="1"/>
    <col min="13602" max="13602" width="4.5703125" style="498" customWidth="1"/>
    <col min="13603" max="13603" width="6" style="498" customWidth="1"/>
    <col min="13604" max="13604" width="8.5703125" style="498" customWidth="1"/>
    <col min="13605" max="13824" width="11.42578125" style="498"/>
    <col min="13825" max="13825" width="6.42578125" style="498" customWidth="1"/>
    <col min="13826" max="13826" width="47.5703125" style="498" customWidth="1"/>
    <col min="13827" max="13828" width="5" style="498" customWidth="1"/>
    <col min="13829" max="13829" width="5.42578125" style="498" customWidth="1"/>
    <col min="13830" max="13830" width="4.5703125" style="498" customWidth="1"/>
    <col min="13831" max="13832" width="4.42578125" style="498" customWidth="1"/>
    <col min="13833" max="13833" width="3.5703125" style="498" customWidth="1"/>
    <col min="13834" max="13834" width="5" style="498" customWidth="1"/>
    <col min="13835" max="13835" width="4" style="498" customWidth="1"/>
    <col min="13836" max="13837" width="4.5703125" style="498" customWidth="1"/>
    <col min="13838" max="13838" width="4.42578125" style="498" customWidth="1"/>
    <col min="13839" max="13839" width="4" style="498" customWidth="1"/>
    <col min="13840" max="13840" width="3.5703125" style="498" customWidth="1"/>
    <col min="13841" max="13842" width="4.5703125" style="498" customWidth="1"/>
    <col min="13843" max="13843" width="4" style="498" customWidth="1"/>
    <col min="13844" max="13845" width="4.42578125" style="498" customWidth="1"/>
    <col min="13846" max="13846" width="3.5703125" style="498" customWidth="1"/>
    <col min="13847" max="13847" width="4.42578125" style="498" customWidth="1"/>
    <col min="13848" max="13848" width="5.5703125" style="498" customWidth="1"/>
    <col min="13849" max="13849" width="3.5703125" style="498" customWidth="1"/>
    <col min="13850" max="13850" width="4" style="498" customWidth="1"/>
    <col min="13851" max="13851" width="4.5703125" style="498" customWidth="1"/>
    <col min="13852" max="13854" width="4.42578125" style="498" customWidth="1"/>
    <col min="13855" max="13856" width="4.5703125" style="498" customWidth="1"/>
    <col min="13857" max="13857" width="4" style="498" customWidth="1"/>
    <col min="13858" max="13858" width="4.5703125" style="498" customWidth="1"/>
    <col min="13859" max="13859" width="6" style="498" customWidth="1"/>
    <col min="13860" max="13860" width="8.5703125" style="498" customWidth="1"/>
    <col min="13861" max="14080" width="11.42578125" style="498"/>
    <col min="14081" max="14081" width="6.42578125" style="498" customWidth="1"/>
    <col min="14082" max="14082" width="47.5703125" style="498" customWidth="1"/>
    <col min="14083" max="14084" width="5" style="498" customWidth="1"/>
    <col min="14085" max="14085" width="5.42578125" style="498" customWidth="1"/>
    <col min="14086" max="14086" width="4.5703125" style="498" customWidth="1"/>
    <col min="14087" max="14088" width="4.42578125" style="498" customWidth="1"/>
    <col min="14089" max="14089" width="3.5703125" style="498" customWidth="1"/>
    <col min="14090" max="14090" width="5" style="498" customWidth="1"/>
    <col min="14091" max="14091" width="4" style="498" customWidth="1"/>
    <col min="14092" max="14093" width="4.5703125" style="498" customWidth="1"/>
    <col min="14094" max="14094" width="4.42578125" style="498" customWidth="1"/>
    <col min="14095" max="14095" width="4" style="498" customWidth="1"/>
    <col min="14096" max="14096" width="3.5703125" style="498" customWidth="1"/>
    <col min="14097" max="14098" width="4.5703125" style="498" customWidth="1"/>
    <col min="14099" max="14099" width="4" style="498" customWidth="1"/>
    <col min="14100" max="14101" width="4.42578125" style="498" customWidth="1"/>
    <col min="14102" max="14102" width="3.5703125" style="498" customWidth="1"/>
    <col min="14103" max="14103" width="4.42578125" style="498" customWidth="1"/>
    <col min="14104" max="14104" width="5.5703125" style="498" customWidth="1"/>
    <col min="14105" max="14105" width="3.5703125" style="498" customWidth="1"/>
    <col min="14106" max="14106" width="4" style="498" customWidth="1"/>
    <col min="14107" max="14107" width="4.5703125" style="498" customWidth="1"/>
    <col min="14108" max="14110" width="4.42578125" style="498" customWidth="1"/>
    <col min="14111" max="14112" width="4.5703125" style="498" customWidth="1"/>
    <col min="14113" max="14113" width="4" style="498" customWidth="1"/>
    <col min="14114" max="14114" width="4.5703125" style="498" customWidth="1"/>
    <col min="14115" max="14115" width="6" style="498" customWidth="1"/>
    <col min="14116" max="14116" width="8.5703125" style="498" customWidth="1"/>
    <col min="14117" max="14336" width="11.42578125" style="498"/>
    <col min="14337" max="14337" width="6.42578125" style="498" customWidth="1"/>
    <col min="14338" max="14338" width="47.5703125" style="498" customWidth="1"/>
    <col min="14339" max="14340" width="5" style="498" customWidth="1"/>
    <col min="14341" max="14341" width="5.42578125" style="498" customWidth="1"/>
    <col min="14342" max="14342" width="4.5703125" style="498" customWidth="1"/>
    <col min="14343" max="14344" width="4.42578125" style="498" customWidth="1"/>
    <col min="14345" max="14345" width="3.5703125" style="498" customWidth="1"/>
    <col min="14346" max="14346" width="5" style="498" customWidth="1"/>
    <col min="14347" max="14347" width="4" style="498" customWidth="1"/>
    <col min="14348" max="14349" width="4.5703125" style="498" customWidth="1"/>
    <col min="14350" max="14350" width="4.42578125" style="498" customWidth="1"/>
    <col min="14351" max="14351" width="4" style="498" customWidth="1"/>
    <col min="14352" max="14352" width="3.5703125" style="498" customWidth="1"/>
    <col min="14353" max="14354" width="4.5703125" style="498" customWidth="1"/>
    <col min="14355" max="14355" width="4" style="498" customWidth="1"/>
    <col min="14356" max="14357" width="4.42578125" style="498" customWidth="1"/>
    <col min="14358" max="14358" width="3.5703125" style="498" customWidth="1"/>
    <col min="14359" max="14359" width="4.42578125" style="498" customWidth="1"/>
    <col min="14360" max="14360" width="5.5703125" style="498" customWidth="1"/>
    <col min="14361" max="14361" width="3.5703125" style="498" customWidth="1"/>
    <col min="14362" max="14362" width="4" style="498" customWidth="1"/>
    <col min="14363" max="14363" width="4.5703125" style="498" customWidth="1"/>
    <col min="14364" max="14366" width="4.42578125" style="498" customWidth="1"/>
    <col min="14367" max="14368" width="4.5703125" style="498" customWidth="1"/>
    <col min="14369" max="14369" width="4" style="498" customWidth="1"/>
    <col min="14370" max="14370" width="4.5703125" style="498" customWidth="1"/>
    <col min="14371" max="14371" width="6" style="498" customWidth="1"/>
    <col min="14372" max="14372" width="8.5703125" style="498" customWidth="1"/>
    <col min="14373" max="14592" width="11.42578125" style="498"/>
    <col min="14593" max="14593" width="6.42578125" style="498" customWidth="1"/>
    <col min="14594" max="14594" width="47.5703125" style="498" customWidth="1"/>
    <col min="14595" max="14596" width="5" style="498" customWidth="1"/>
    <col min="14597" max="14597" width="5.42578125" style="498" customWidth="1"/>
    <col min="14598" max="14598" width="4.5703125" style="498" customWidth="1"/>
    <col min="14599" max="14600" width="4.42578125" style="498" customWidth="1"/>
    <col min="14601" max="14601" width="3.5703125" style="498" customWidth="1"/>
    <col min="14602" max="14602" width="5" style="498" customWidth="1"/>
    <col min="14603" max="14603" width="4" style="498" customWidth="1"/>
    <col min="14604" max="14605" width="4.5703125" style="498" customWidth="1"/>
    <col min="14606" max="14606" width="4.42578125" style="498" customWidth="1"/>
    <col min="14607" max="14607" width="4" style="498" customWidth="1"/>
    <col min="14608" max="14608" width="3.5703125" style="498" customWidth="1"/>
    <col min="14609" max="14610" width="4.5703125" style="498" customWidth="1"/>
    <col min="14611" max="14611" width="4" style="498" customWidth="1"/>
    <col min="14612" max="14613" width="4.42578125" style="498" customWidth="1"/>
    <col min="14614" max="14614" width="3.5703125" style="498" customWidth="1"/>
    <col min="14615" max="14615" width="4.42578125" style="498" customWidth="1"/>
    <col min="14616" max="14616" width="5.5703125" style="498" customWidth="1"/>
    <col min="14617" max="14617" width="3.5703125" style="498" customWidth="1"/>
    <col min="14618" max="14618" width="4" style="498" customWidth="1"/>
    <col min="14619" max="14619" width="4.5703125" style="498" customWidth="1"/>
    <col min="14620" max="14622" width="4.42578125" style="498" customWidth="1"/>
    <col min="14623" max="14624" width="4.5703125" style="498" customWidth="1"/>
    <col min="14625" max="14625" width="4" style="498" customWidth="1"/>
    <col min="14626" max="14626" width="4.5703125" style="498" customWidth="1"/>
    <col min="14627" max="14627" width="6" style="498" customWidth="1"/>
    <col min="14628" max="14628" width="8.5703125" style="498" customWidth="1"/>
    <col min="14629" max="14848" width="11.42578125" style="498"/>
    <col min="14849" max="14849" width="6.42578125" style="498" customWidth="1"/>
    <col min="14850" max="14850" width="47.5703125" style="498" customWidth="1"/>
    <col min="14851" max="14852" width="5" style="498" customWidth="1"/>
    <col min="14853" max="14853" width="5.42578125" style="498" customWidth="1"/>
    <col min="14854" max="14854" width="4.5703125" style="498" customWidth="1"/>
    <col min="14855" max="14856" width="4.42578125" style="498" customWidth="1"/>
    <col min="14857" max="14857" width="3.5703125" style="498" customWidth="1"/>
    <col min="14858" max="14858" width="5" style="498" customWidth="1"/>
    <col min="14859" max="14859" width="4" style="498" customWidth="1"/>
    <col min="14860" max="14861" width="4.5703125" style="498" customWidth="1"/>
    <col min="14862" max="14862" width="4.42578125" style="498" customWidth="1"/>
    <col min="14863" max="14863" width="4" style="498" customWidth="1"/>
    <col min="14864" max="14864" width="3.5703125" style="498" customWidth="1"/>
    <col min="14865" max="14866" width="4.5703125" style="498" customWidth="1"/>
    <col min="14867" max="14867" width="4" style="498" customWidth="1"/>
    <col min="14868" max="14869" width="4.42578125" style="498" customWidth="1"/>
    <col min="14870" max="14870" width="3.5703125" style="498" customWidth="1"/>
    <col min="14871" max="14871" width="4.42578125" style="498" customWidth="1"/>
    <col min="14872" max="14872" width="5.5703125" style="498" customWidth="1"/>
    <col min="14873" max="14873" width="3.5703125" style="498" customWidth="1"/>
    <col min="14874" max="14874" width="4" style="498" customWidth="1"/>
    <col min="14875" max="14875" width="4.5703125" style="498" customWidth="1"/>
    <col min="14876" max="14878" width="4.42578125" style="498" customWidth="1"/>
    <col min="14879" max="14880" width="4.5703125" style="498" customWidth="1"/>
    <col min="14881" max="14881" width="4" style="498" customWidth="1"/>
    <col min="14882" max="14882" width="4.5703125" style="498" customWidth="1"/>
    <col min="14883" max="14883" width="6" style="498" customWidth="1"/>
    <col min="14884" max="14884" width="8.5703125" style="498" customWidth="1"/>
    <col min="14885" max="15104" width="11.42578125" style="498"/>
    <col min="15105" max="15105" width="6.42578125" style="498" customWidth="1"/>
    <col min="15106" max="15106" width="47.5703125" style="498" customWidth="1"/>
    <col min="15107" max="15108" width="5" style="498" customWidth="1"/>
    <col min="15109" max="15109" width="5.42578125" style="498" customWidth="1"/>
    <col min="15110" max="15110" width="4.5703125" style="498" customWidth="1"/>
    <col min="15111" max="15112" width="4.42578125" style="498" customWidth="1"/>
    <col min="15113" max="15113" width="3.5703125" style="498" customWidth="1"/>
    <col min="15114" max="15114" width="5" style="498" customWidth="1"/>
    <col min="15115" max="15115" width="4" style="498" customWidth="1"/>
    <col min="15116" max="15117" width="4.5703125" style="498" customWidth="1"/>
    <col min="15118" max="15118" width="4.42578125" style="498" customWidth="1"/>
    <col min="15119" max="15119" width="4" style="498" customWidth="1"/>
    <col min="15120" max="15120" width="3.5703125" style="498" customWidth="1"/>
    <col min="15121" max="15122" width="4.5703125" style="498" customWidth="1"/>
    <col min="15123" max="15123" width="4" style="498" customWidth="1"/>
    <col min="15124" max="15125" width="4.42578125" style="498" customWidth="1"/>
    <col min="15126" max="15126" width="3.5703125" style="498" customWidth="1"/>
    <col min="15127" max="15127" width="4.42578125" style="498" customWidth="1"/>
    <col min="15128" max="15128" width="5.5703125" style="498" customWidth="1"/>
    <col min="15129" max="15129" width="3.5703125" style="498" customWidth="1"/>
    <col min="15130" max="15130" width="4" style="498" customWidth="1"/>
    <col min="15131" max="15131" width="4.5703125" style="498" customWidth="1"/>
    <col min="15132" max="15134" width="4.42578125" style="498" customWidth="1"/>
    <col min="15135" max="15136" width="4.5703125" style="498" customWidth="1"/>
    <col min="15137" max="15137" width="4" style="498" customWidth="1"/>
    <col min="15138" max="15138" width="4.5703125" style="498" customWidth="1"/>
    <col min="15139" max="15139" width="6" style="498" customWidth="1"/>
    <col min="15140" max="15140" width="8.5703125" style="498" customWidth="1"/>
    <col min="15141" max="15360" width="11.42578125" style="498"/>
    <col min="15361" max="15361" width="6.42578125" style="498" customWidth="1"/>
    <col min="15362" max="15362" width="47.5703125" style="498" customWidth="1"/>
    <col min="15363" max="15364" width="5" style="498" customWidth="1"/>
    <col min="15365" max="15365" width="5.42578125" style="498" customWidth="1"/>
    <col min="15366" max="15366" width="4.5703125" style="498" customWidth="1"/>
    <col min="15367" max="15368" width="4.42578125" style="498" customWidth="1"/>
    <col min="15369" max="15369" width="3.5703125" style="498" customWidth="1"/>
    <col min="15370" max="15370" width="5" style="498" customWidth="1"/>
    <col min="15371" max="15371" width="4" style="498" customWidth="1"/>
    <col min="15372" max="15373" width="4.5703125" style="498" customWidth="1"/>
    <col min="15374" max="15374" width="4.42578125" style="498" customWidth="1"/>
    <col min="15375" max="15375" width="4" style="498" customWidth="1"/>
    <col min="15376" max="15376" width="3.5703125" style="498" customWidth="1"/>
    <col min="15377" max="15378" width="4.5703125" style="498" customWidth="1"/>
    <col min="15379" max="15379" width="4" style="498" customWidth="1"/>
    <col min="15380" max="15381" width="4.42578125" style="498" customWidth="1"/>
    <col min="15382" max="15382" width="3.5703125" style="498" customWidth="1"/>
    <col min="15383" max="15383" width="4.42578125" style="498" customWidth="1"/>
    <col min="15384" max="15384" width="5.5703125" style="498" customWidth="1"/>
    <col min="15385" max="15385" width="3.5703125" style="498" customWidth="1"/>
    <col min="15386" max="15386" width="4" style="498" customWidth="1"/>
    <col min="15387" max="15387" width="4.5703125" style="498" customWidth="1"/>
    <col min="15388" max="15390" width="4.42578125" style="498" customWidth="1"/>
    <col min="15391" max="15392" width="4.5703125" style="498" customWidth="1"/>
    <col min="15393" max="15393" width="4" style="498" customWidth="1"/>
    <col min="15394" max="15394" width="4.5703125" style="498" customWidth="1"/>
    <col min="15395" max="15395" width="6" style="498" customWidth="1"/>
    <col min="15396" max="15396" width="8.5703125" style="498" customWidth="1"/>
    <col min="15397" max="15616" width="11.42578125" style="498"/>
    <col min="15617" max="15617" width="6.42578125" style="498" customWidth="1"/>
    <col min="15618" max="15618" width="47.5703125" style="498" customWidth="1"/>
    <col min="15619" max="15620" width="5" style="498" customWidth="1"/>
    <col min="15621" max="15621" width="5.42578125" style="498" customWidth="1"/>
    <col min="15622" max="15622" width="4.5703125" style="498" customWidth="1"/>
    <col min="15623" max="15624" width="4.42578125" style="498" customWidth="1"/>
    <col min="15625" max="15625" width="3.5703125" style="498" customWidth="1"/>
    <col min="15626" max="15626" width="5" style="498" customWidth="1"/>
    <col min="15627" max="15627" width="4" style="498" customWidth="1"/>
    <col min="15628" max="15629" width="4.5703125" style="498" customWidth="1"/>
    <col min="15630" max="15630" width="4.42578125" style="498" customWidth="1"/>
    <col min="15631" max="15631" width="4" style="498" customWidth="1"/>
    <col min="15632" max="15632" width="3.5703125" style="498" customWidth="1"/>
    <col min="15633" max="15634" width="4.5703125" style="498" customWidth="1"/>
    <col min="15635" max="15635" width="4" style="498" customWidth="1"/>
    <col min="15636" max="15637" width="4.42578125" style="498" customWidth="1"/>
    <col min="15638" max="15638" width="3.5703125" style="498" customWidth="1"/>
    <col min="15639" max="15639" width="4.42578125" style="498" customWidth="1"/>
    <col min="15640" max="15640" width="5.5703125" style="498" customWidth="1"/>
    <col min="15641" max="15641" width="3.5703125" style="498" customWidth="1"/>
    <col min="15642" max="15642" width="4" style="498" customWidth="1"/>
    <col min="15643" max="15643" width="4.5703125" style="498" customWidth="1"/>
    <col min="15644" max="15646" width="4.42578125" style="498" customWidth="1"/>
    <col min="15647" max="15648" width="4.5703125" style="498" customWidth="1"/>
    <col min="15649" max="15649" width="4" style="498" customWidth="1"/>
    <col min="15650" max="15650" width="4.5703125" style="498" customWidth="1"/>
    <col min="15651" max="15651" width="6" style="498" customWidth="1"/>
    <col min="15652" max="15652" width="8.5703125" style="498" customWidth="1"/>
    <col min="15653" max="15872" width="11.42578125" style="498"/>
    <col min="15873" max="15873" width="6.42578125" style="498" customWidth="1"/>
    <col min="15874" max="15874" width="47.5703125" style="498" customWidth="1"/>
    <col min="15875" max="15876" width="5" style="498" customWidth="1"/>
    <col min="15877" max="15877" width="5.42578125" style="498" customWidth="1"/>
    <col min="15878" max="15878" width="4.5703125" style="498" customWidth="1"/>
    <col min="15879" max="15880" width="4.42578125" style="498" customWidth="1"/>
    <col min="15881" max="15881" width="3.5703125" style="498" customWidth="1"/>
    <col min="15882" max="15882" width="5" style="498" customWidth="1"/>
    <col min="15883" max="15883" width="4" style="498" customWidth="1"/>
    <col min="15884" max="15885" width="4.5703125" style="498" customWidth="1"/>
    <col min="15886" max="15886" width="4.42578125" style="498" customWidth="1"/>
    <col min="15887" max="15887" width="4" style="498" customWidth="1"/>
    <col min="15888" max="15888" width="3.5703125" style="498" customWidth="1"/>
    <col min="15889" max="15890" width="4.5703125" style="498" customWidth="1"/>
    <col min="15891" max="15891" width="4" style="498" customWidth="1"/>
    <col min="15892" max="15893" width="4.42578125" style="498" customWidth="1"/>
    <col min="15894" max="15894" width="3.5703125" style="498" customWidth="1"/>
    <col min="15895" max="15895" width="4.42578125" style="498" customWidth="1"/>
    <col min="15896" max="15896" width="5.5703125" style="498" customWidth="1"/>
    <col min="15897" max="15897" width="3.5703125" style="498" customWidth="1"/>
    <col min="15898" max="15898" width="4" style="498" customWidth="1"/>
    <col min="15899" max="15899" width="4.5703125" style="498" customWidth="1"/>
    <col min="15900" max="15902" width="4.42578125" style="498" customWidth="1"/>
    <col min="15903" max="15904" width="4.5703125" style="498" customWidth="1"/>
    <col min="15905" max="15905" width="4" style="498" customWidth="1"/>
    <col min="15906" max="15906" width="4.5703125" style="498" customWidth="1"/>
    <col min="15907" max="15907" width="6" style="498" customWidth="1"/>
    <col min="15908" max="15908" width="8.5703125" style="498" customWidth="1"/>
    <col min="15909" max="16128" width="11.42578125" style="498"/>
    <col min="16129" max="16129" width="6.42578125" style="498" customWidth="1"/>
    <col min="16130" max="16130" width="47.5703125" style="498" customWidth="1"/>
    <col min="16131" max="16132" width="5" style="498" customWidth="1"/>
    <col min="16133" max="16133" width="5.42578125" style="498" customWidth="1"/>
    <col min="16134" max="16134" width="4.5703125" style="498" customWidth="1"/>
    <col min="16135" max="16136" width="4.42578125" style="498" customWidth="1"/>
    <col min="16137" max="16137" width="3.5703125" style="498" customWidth="1"/>
    <col min="16138" max="16138" width="5" style="498" customWidth="1"/>
    <col min="16139" max="16139" width="4" style="498" customWidth="1"/>
    <col min="16140" max="16141" width="4.5703125" style="498" customWidth="1"/>
    <col min="16142" max="16142" width="4.42578125" style="498" customWidth="1"/>
    <col min="16143" max="16143" width="4" style="498" customWidth="1"/>
    <col min="16144" max="16144" width="3.5703125" style="498" customWidth="1"/>
    <col min="16145" max="16146" width="4.5703125" style="498" customWidth="1"/>
    <col min="16147" max="16147" width="4" style="498" customWidth="1"/>
    <col min="16148" max="16149" width="4.42578125" style="498" customWidth="1"/>
    <col min="16150" max="16150" width="3.5703125" style="498" customWidth="1"/>
    <col min="16151" max="16151" width="4.42578125" style="498" customWidth="1"/>
    <col min="16152" max="16152" width="5.5703125" style="498" customWidth="1"/>
    <col min="16153" max="16153" width="3.5703125" style="498" customWidth="1"/>
    <col min="16154" max="16154" width="4" style="498" customWidth="1"/>
    <col min="16155" max="16155" width="4.5703125" style="498" customWidth="1"/>
    <col min="16156" max="16158" width="4.42578125" style="498" customWidth="1"/>
    <col min="16159" max="16160" width="4.5703125" style="498" customWidth="1"/>
    <col min="16161" max="16161" width="4" style="498" customWidth="1"/>
    <col min="16162" max="16162" width="4.5703125" style="498" customWidth="1"/>
    <col min="16163" max="16163" width="6" style="498" customWidth="1"/>
    <col min="16164" max="16164" width="8.5703125" style="498" customWidth="1"/>
    <col min="16165" max="16384" width="11.42578125" style="498"/>
  </cols>
  <sheetData>
    <row r="1" spans="1:39">
      <c r="A1" s="2213" t="s">
        <v>283</v>
      </c>
      <c r="B1" s="2213"/>
      <c r="C1" s="2213"/>
      <c r="D1" s="2213"/>
      <c r="E1" s="2213"/>
      <c r="F1" s="2213"/>
      <c r="G1" s="2213"/>
      <c r="H1" s="2213"/>
      <c r="I1" s="2213"/>
      <c r="J1" s="2213"/>
      <c r="K1" s="2213"/>
    </row>
    <row r="2" spans="1:39">
      <c r="A2" s="2214" t="s">
        <v>1802</v>
      </c>
      <c r="B2" s="2214"/>
      <c r="C2" s="2214"/>
      <c r="D2" s="2214"/>
      <c r="E2" s="2214"/>
      <c r="F2" s="2214"/>
      <c r="G2" s="2214"/>
      <c r="H2" s="2214"/>
      <c r="I2" s="2214"/>
      <c r="J2" s="2214"/>
      <c r="K2" s="2214"/>
    </row>
    <row r="3" spans="1:39">
      <c r="A3" s="549"/>
      <c r="G3" s="498">
        <v>7</v>
      </c>
    </row>
    <row r="4" spans="1:39">
      <c r="A4" s="551"/>
      <c r="B4" s="2215" t="s">
        <v>1800</v>
      </c>
      <c r="C4" s="2215"/>
      <c r="D4" s="2215"/>
      <c r="E4" s="2215"/>
      <c r="F4" s="2215"/>
      <c r="G4" s="2215"/>
      <c r="H4" s="2215"/>
      <c r="I4" s="2215"/>
      <c r="J4" s="2215"/>
      <c r="K4" s="2215"/>
    </row>
    <row r="5" spans="1:39" ht="12.75" customHeight="1">
      <c r="A5" s="551"/>
      <c r="B5" s="2216" t="e">
        <f>#REF!</f>
        <v>#REF!</v>
      </c>
      <c r="C5" s="2217"/>
      <c r="D5" s="2217"/>
      <c r="E5" s="2217"/>
      <c r="F5" s="2217"/>
      <c r="G5" s="2217"/>
      <c r="H5" s="2217"/>
      <c r="I5" s="2217"/>
      <c r="J5" s="2217"/>
      <c r="K5" s="2217"/>
    </row>
    <row r="6" spans="1:39" ht="13.5" customHeight="1">
      <c r="B6" s="553"/>
      <c r="C6" s="500"/>
    </row>
    <row r="7" spans="1:39" ht="13.5" customHeight="1">
      <c r="B7" s="553"/>
      <c r="C7" s="500"/>
    </row>
    <row r="8" spans="1:39" ht="13.5" customHeight="1" thickBot="1">
      <c r="B8" s="553"/>
      <c r="C8" s="500"/>
      <c r="D8" s="871" t="s">
        <v>1991</v>
      </c>
      <c r="E8" s="871" t="s">
        <v>1992</v>
      </c>
      <c r="F8" s="871" t="s">
        <v>1984</v>
      </c>
      <c r="G8" s="871" t="s">
        <v>1985</v>
      </c>
      <c r="H8" s="871" t="s">
        <v>1986</v>
      </c>
      <c r="I8" s="871" t="s">
        <v>1987</v>
      </c>
      <c r="J8" s="871" t="s">
        <v>1988</v>
      </c>
      <c r="K8" s="871" t="s">
        <v>1989</v>
      </c>
      <c r="L8" s="871" t="s">
        <v>1990</v>
      </c>
      <c r="M8" s="871" t="s">
        <v>1984</v>
      </c>
      <c r="N8" s="871" t="s">
        <v>1985</v>
      </c>
      <c r="O8" s="871" t="s">
        <v>1986</v>
      </c>
      <c r="P8" s="871" t="s">
        <v>1987</v>
      </c>
      <c r="Q8" s="871" t="s">
        <v>1988</v>
      </c>
      <c r="R8" s="871" t="s">
        <v>1989</v>
      </c>
      <c r="S8" s="871" t="s">
        <v>1990</v>
      </c>
      <c r="T8" s="871" t="s">
        <v>1984</v>
      </c>
      <c r="U8" s="871" t="s">
        <v>1985</v>
      </c>
      <c r="V8" s="871" t="s">
        <v>1986</v>
      </c>
      <c r="W8" s="871" t="s">
        <v>1987</v>
      </c>
      <c r="X8" s="871" t="s">
        <v>1988</v>
      </c>
      <c r="Y8" s="871" t="s">
        <v>1989</v>
      </c>
      <c r="Z8" s="871" t="s">
        <v>1990</v>
      </c>
      <c r="AA8" s="871" t="s">
        <v>1984</v>
      </c>
      <c r="AB8" s="871" t="s">
        <v>1985</v>
      </c>
      <c r="AC8" s="871" t="s">
        <v>1986</v>
      </c>
      <c r="AD8" s="871" t="s">
        <v>1987</v>
      </c>
      <c r="AE8" s="891" t="s">
        <v>1988</v>
      </c>
      <c r="AF8" s="871" t="s">
        <v>1989</v>
      </c>
      <c r="AG8" s="894" t="s">
        <v>1990</v>
      </c>
      <c r="AH8" s="871" t="s">
        <v>1984</v>
      </c>
      <c r="AI8" s="871"/>
    </row>
    <row r="9" spans="1:39" ht="13.5" thickBot="1">
      <c r="A9" s="2218" t="s">
        <v>285</v>
      </c>
      <c r="B9" s="2218" t="s">
        <v>20</v>
      </c>
      <c r="C9" s="501"/>
      <c r="D9" s="502">
        <v>1</v>
      </c>
      <c r="E9" s="736">
        <f>+D9+1</f>
        <v>2</v>
      </c>
      <c r="F9" s="502">
        <f t="shared" ref="F9:AH9" si="0">+E9+1</f>
        <v>3</v>
      </c>
      <c r="G9" s="502">
        <f t="shared" si="0"/>
        <v>4</v>
      </c>
      <c r="H9" s="502">
        <f t="shared" si="0"/>
        <v>5</v>
      </c>
      <c r="I9" s="502">
        <f t="shared" si="0"/>
        <v>6</v>
      </c>
      <c r="J9" s="502">
        <f t="shared" si="0"/>
        <v>7</v>
      </c>
      <c r="K9" s="502">
        <f t="shared" si="0"/>
        <v>8</v>
      </c>
      <c r="L9" s="736">
        <f t="shared" si="0"/>
        <v>9</v>
      </c>
      <c r="M9" s="502">
        <f t="shared" si="0"/>
        <v>10</v>
      </c>
      <c r="N9" s="502">
        <f t="shared" si="0"/>
        <v>11</v>
      </c>
      <c r="O9" s="502">
        <f t="shared" si="0"/>
        <v>12</v>
      </c>
      <c r="P9" s="502">
        <f t="shared" si="0"/>
        <v>13</v>
      </c>
      <c r="Q9" s="502">
        <f t="shared" si="0"/>
        <v>14</v>
      </c>
      <c r="R9" s="502">
        <f t="shared" si="0"/>
        <v>15</v>
      </c>
      <c r="S9" s="736">
        <f t="shared" si="0"/>
        <v>16</v>
      </c>
      <c r="T9" s="502">
        <f t="shared" si="0"/>
        <v>17</v>
      </c>
      <c r="U9" s="502">
        <f t="shared" si="0"/>
        <v>18</v>
      </c>
      <c r="V9" s="502">
        <f t="shared" si="0"/>
        <v>19</v>
      </c>
      <c r="W9" s="502">
        <f t="shared" si="0"/>
        <v>20</v>
      </c>
      <c r="X9" s="502">
        <f t="shared" si="0"/>
        <v>21</v>
      </c>
      <c r="Y9" s="502">
        <f t="shared" si="0"/>
        <v>22</v>
      </c>
      <c r="Z9" s="736">
        <f t="shared" si="0"/>
        <v>23</v>
      </c>
      <c r="AA9" s="502">
        <f t="shared" si="0"/>
        <v>24</v>
      </c>
      <c r="AB9" s="502">
        <f t="shared" si="0"/>
        <v>25</v>
      </c>
      <c r="AC9" s="502">
        <f t="shared" si="0"/>
        <v>26</v>
      </c>
      <c r="AD9" s="502">
        <f t="shared" si="0"/>
        <v>27</v>
      </c>
      <c r="AE9" s="769">
        <f t="shared" si="0"/>
        <v>28</v>
      </c>
      <c r="AF9" s="502">
        <f t="shared" si="0"/>
        <v>29</v>
      </c>
      <c r="AG9" s="895">
        <f t="shared" si="0"/>
        <v>30</v>
      </c>
      <c r="AH9" s="502">
        <f t="shared" si="0"/>
        <v>31</v>
      </c>
      <c r="AI9" s="504" t="s">
        <v>359</v>
      </c>
      <c r="AJ9" s="672" t="s">
        <v>26</v>
      </c>
      <c r="AK9" s="671" t="s">
        <v>1822</v>
      </c>
      <c r="AL9" s="671" t="s">
        <v>1821</v>
      </c>
      <c r="AM9" s="505" t="s">
        <v>25</v>
      </c>
    </row>
    <row r="10" spans="1:39" ht="13.5" thickBot="1">
      <c r="A10" s="2219"/>
      <c r="B10" s="2219"/>
      <c r="C10" s="888" t="s">
        <v>286</v>
      </c>
      <c r="D10" s="507" t="s">
        <v>305</v>
      </c>
      <c r="E10" s="737" t="s">
        <v>305</v>
      </c>
      <c r="F10" s="507" t="s">
        <v>305</v>
      </c>
      <c r="G10" s="507" t="s">
        <v>305</v>
      </c>
      <c r="H10" s="507" t="s">
        <v>305</v>
      </c>
      <c r="I10" s="507" t="s">
        <v>305</v>
      </c>
      <c r="J10" s="507" t="s">
        <v>305</v>
      </c>
      <c r="K10" s="507" t="s">
        <v>305</v>
      </c>
      <c r="L10" s="737" t="s">
        <v>305</v>
      </c>
      <c r="M10" s="507" t="s">
        <v>305</v>
      </c>
      <c r="N10" s="507" t="s">
        <v>305</v>
      </c>
      <c r="O10" s="507" t="s">
        <v>305</v>
      </c>
      <c r="P10" s="507" t="s">
        <v>305</v>
      </c>
      <c r="Q10" s="507" t="s">
        <v>305</v>
      </c>
      <c r="R10" s="507" t="s">
        <v>305</v>
      </c>
      <c r="S10" s="737" t="s">
        <v>305</v>
      </c>
      <c r="T10" s="507" t="s">
        <v>305</v>
      </c>
      <c r="U10" s="507" t="s">
        <v>305</v>
      </c>
      <c r="V10" s="507" t="s">
        <v>305</v>
      </c>
      <c r="W10" s="507" t="s">
        <v>305</v>
      </c>
      <c r="X10" s="507" t="s">
        <v>305</v>
      </c>
      <c r="Y10" s="507" t="s">
        <v>305</v>
      </c>
      <c r="Z10" s="737" t="s">
        <v>305</v>
      </c>
      <c r="AA10" s="507" t="s">
        <v>305</v>
      </c>
      <c r="AB10" s="507" t="s">
        <v>305</v>
      </c>
      <c r="AC10" s="507" t="s">
        <v>305</v>
      </c>
      <c r="AD10" s="507" t="s">
        <v>305</v>
      </c>
      <c r="AE10" s="770" t="s">
        <v>305</v>
      </c>
      <c r="AF10" s="507" t="s">
        <v>305</v>
      </c>
      <c r="AG10" s="896" t="s">
        <v>305</v>
      </c>
      <c r="AH10" s="507" t="s">
        <v>305</v>
      </c>
      <c r="AI10" s="509" t="s">
        <v>287</v>
      </c>
      <c r="AJ10" s="668" t="s">
        <v>287</v>
      </c>
      <c r="AK10" s="671"/>
      <c r="AL10" s="671"/>
      <c r="AM10" s="505"/>
    </row>
    <row r="11" spans="1:39" s="733" customFormat="1">
      <c r="A11" s="816" t="s">
        <v>33</v>
      </c>
      <c r="B11" s="816" t="s">
        <v>1132</v>
      </c>
      <c r="C11" s="817"/>
      <c r="D11" s="818"/>
      <c r="E11" s="738"/>
      <c r="F11" s="818"/>
      <c r="G11" s="818"/>
      <c r="H11" s="818"/>
      <c r="I11" s="818"/>
      <c r="J11" s="740"/>
      <c r="K11" s="740"/>
      <c r="L11" s="756"/>
      <c r="M11" s="756"/>
      <c r="N11" s="756"/>
      <c r="O11" s="756"/>
      <c r="P11" s="756"/>
      <c r="Q11" s="756"/>
      <c r="R11" s="756"/>
      <c r="S11" s="756"/>
      <c r="T11" s="756"/>
      <c r="U11" s="756"/>
      <c r="V11" s="756"/>
      <c r="W11" s="756"/>
      <c r="X11" s="756"/>
      <c r="Y11" s="756"/>
      <c r="Z11" s="756"/>
      <c r="AA11" s="756"/>
      <c r="AB11" s="756"/>
      <c r="AC11" s="756"/>
      <c r="AD11" s="756"/>
      <c r="AE11" s="774"/>
      <c r="AF11" s="756"/>
      <c r="AG11" s="897"/>
      <c r="AH11" s="819"/>
      <c r="AI11" s="786">
        <f t="shared" ref="AI11:AI74" si="1">ROUND((SUM(D11:AG11)),2)</f>
        <v>0</v>
      </c>
      <c r="AJ11" s="725"/>
      <c r="AK11" s="726"/>
      <c r="AL11" s="732"/>
      <c r="AM11" s="820"/>
    </row>
    <row r="12" spans="1:39" s="730" customFormat="1">
      <c r="A12" s="814" t="s">
        <v>35</v>
      </c>
      <c r="B12" s="815" t="s">
        <v>1133</v>
      </c>
      <c r="C12" s="821"/>
      <c r="D12" s="743"/>
      <c r="E12" s="726"/>
      <c r="F12" s="726"/>
      <c r="G12" s="726"/>
      <c r="H12" s="726"/>
      <c r="I12" s="725"/>
      <c r="J12" s="725"/>
      <c r="K12" s="725"/>
      <c r="L12" s="756"/>
      <c r="M12" s="756"/>
      <c r="N12" s="756"/>
      <c r="O12" s="756"/>
      <c r="P12" s="756"/>
      <c r="Q12" s="756"/>
      <c r="R12" s="756"/>
      <c r="S12" s="756"/>
      <c r="T12" s="756"/>
      <c r="U12" s="756"/>
      <c r="V12" s="756"/>
      <c r="W12" s="756"/>
      <c r="X12" s="756"/>
      <c r="Y12" s="756"/>
      <c r="Z12" s="756"/>
      <c r="AA12" s="756"/>
      <c r="AB12" s="756"/>
      <c r="AC12" s="756"/>
      <c r="AD12" s="756"/>
      <c r="AE12" s="774"/>
      <c r="AF12" s="756"/>
      <c r="AG12" s="897"/>
      <c r="AH12" s="819"/>
      <c r="AI12" s="786">
        <f t="shared" si="1"/>
        <v>0</v>
      </c>
      <c r="AJ12" s="725"/>
      <c r="AK12" s="726"/>
      <c r="AL12" s="728"/>
      <c r="AM12" s="775"/>
    </row>
    <row r="13" spans="1:39" s="730" customFormat="1">
      <c r="A13" s="720" t="s">
        <v>537</v>
      </c>
      <c r="B13" s="813" t="s">
        <v>1134</v>
      </c>
      <c r="C13" s="822" t="s">
        <v>64</v>
      </c>
      <c r="D13" s="743"/>
      <c r="E13" s="726"/>
      <c r="F13" s="726"/>
      <c r="G13" s="726"/>
      <c r="H13" s="726"/>
      <c r="I13" s="726"/>
      <c r="J13" s="726"/>
      <c r="K13" s="726"/>
      <c r="L13" s="797"/>
      <c r="M13" s="797"/>
      <c r="N13" s="756"/>
      <c r="O13" s="797"/>
      <c r="P13" s="797"/>
      <c r="Q13" s="797"/>
      <c r="R13" s="797"/>
      <c r="S13" s="797"/>
      <c r="T13" s="797"/>
      <c r="U13" s="756"/>
      <c r="V13" s="756"/>
      <c r="W13" s="756"/>
      <c r="X13" s="756"/>
      <c r="Y13" s="756"/>
      <c r="Z13" s="756"/>
      <c r="AA13" s="756"/>
      <c r="AB13" s="756"/>
      <c r="AC13" s="756"/>
      <c r="AD13" s="756"/>
      <c r="AE13" s="774"/>
      <c r="AF13" s="756"/>
      <c r="AG13" s="897"/>
      <c r="AH13" s="819"/>
      <c r="AI13" s="786">
        <f t="shared" si="1"/>
        <v>0</v>
      </c>
      <c r="AJ13" s="725">
        <v>0</v>
      </c>
      <c r="AK13" s="726">
        <f>AI13+AJ13</f>
        <v>0</v>
      </c>
      <c r="AL13" s="728" t="s">
        <v>1455</v>
      </c>
      <c r="AM13" s="729">
        <f>AL13-AK13</f>
        <v>1</v>
      </c>
    </row>
    <row r="14" spans="1:39" s="730" customFormat="1">
      <c r="A14" s="720" t="s">
        <v>538</v>
      </c>
      <c r="B14" s="720" t="s">
        <v>1135</v>
      </c>
      <c r="C14" s="822" t="s">
        <v>64</v>
      </c>
      <c r="D14" s="743"/>
      <c r="E14" s="726"/>
      <c r="F14" s="726"/>
      <c r="G14" s="726"/>
      <c r="H14" s="775"/>
      <c r="I14" s="775"/>
      <c r="J14" s="725"/>
      <c r="K14" s="725"/>
      <c r="L14" s="756"/>
      <c r="M14" s="756"/>
      <c r="N14" s="756"/>
      <c r="O14" s="756"/>
      <c r="P14" s="756"/>
      <c r="Q14" s="756"/>
      <c r="R14" s="756"/>
      <c r="S14" s="756"/>
      <c r="T14" s="756"/>
      <c r="U14" s="756"/>
      <c r="V14" s="756"/>
      <c r="W14" s="756"/>
      <c r="X14" s="756"/>
      <c r="Y14" s="756"/>
      <c r="Z14" s="756"/>
      <c r="AA14" s="756"/>
      <c r="AB14" s="756"/>
      <c r="AC14" s="756"/>
      <c r="AD14" s="756"/>
      <c r="AE14" s="774"/>
      <c r="AF14" s="756"/>
      <c r="AG14" s="897"/>
      <c r="AH14" s="819"/>
      <c r="AI14" s="786">
        <f t="shared" si="1"/>
        <v>0</v>
      </c>
      <c r="AJ14" s="725">
        <v>0</v>
      </c>
      <c r="AK14" s="726">
        <f t="shared" ref="AK14:AK77" si="2">AI14+AJ14</f>
        <v>0</v>
      </c>
      <c r="AL14" s="728" t="s">
        <v>1455</v>
      </c>
      <c r="AM14" s="729">
        <f t="shared" ref="AM14:AM77" si="3">AL14-AK14</f>
        <v>1</v>
      </c>
    </row>
    <row r="15" spans="1:39" s="730" customFormat="1">
      <c r="A15" s="720" t="s">
        <v>539</v>
      </c>
      <c r="B15" s="720" t="s">
        <v>1921</v>
      </c>
      <c r="C15" s="823" t="s">
        <v>64</v>
      </c>
      <c r="D15" s="743"/>
      <c r="E15" s="726"/>
      <c r="F15" s="726"/>
      <c r="G15" s="726"/>
      <c r="H15" s="864"/>
      <c r="I15" s="725"/>
      <c r="J15" s="725"/>
      <c r="K15" s="725"/>
      <c r="L15" s="756"/>
      <c r="M15" s="756"/>
      <c r="N15" s="756"/>
      <c r="O15" s="756"/>
      <c r="P15" s="756"/>
      <c r="Q15" s="756"/>
      <c r="R15" s="756"/>
      <c r="S15" s="756"/>
      <c r="T15" s="756"/>
      <c r="U15" s="756"/>
      <c r="V15" s="756"/>
      <c r="W15" s="756"/>
      <c r="X15" s="756"/>
      <c r="Y15" s="756"/>
      <c r="Z15" s="756"/>
      <c r="AA15" s="756"/>
      <c r="AB15" s="756"/>
      <c r="AC15" s="756"/>
      <c r="AD15" s="756"/>
      <c r="AE15" s="774"/>
      <c r="AF15" s="756"/>
      <c r="AG15" s="897"/>
      <c r="AH15" s="819"/>
      <c r="AI15" s="786">
        <f t="shared" si="1"/>
        <v>0</v>
      </c>
      <c r="AJ15" s="725">
        <v>0</v>
      </c>
      <c r="AK15" s="726">
        <f t="shared" si="2"/>
        <v>0</v>
      </c>
      <c r="AL15" s="728" t="s">
        <v>1455</v>
      </c>
      <c r="AM15" s="729">
        <f t="shared" si="3"/>
        <v>1</v>
      </c>
    </row>
    <row r="16" spans="1:39" s="730" customFormat="1">
      <c r="A16" s="720" t="s">
        <v>540</v>
      </c>
      <c r="B16" s="720" t="s">
        <v>1137</v>
      </c>
      <c r="C16" s="822" t="s">
        <v>64</v>
      </c>
      <c r="D16" s="743"/>
      <c r="E16" s="726"/>
      <c r="F16" s="872"/>
      <c r="G16" s="726"/>
      <c r="H16" s="726"/>
      <c r="I16" s="725"/>
      <c r="J16" s="725"/>
      <c r="K16" s="725"/>
      <c r="L16" s="756"/>
      <c r="M16" s="756"/>
      <c r="N16" s="756"/>
      <c r="O16" s="756"/>
      <c r="P16" s="756"/>
      <c r="Q16" s="756"/>
      <c r="R16" s="756"/>
      <c r="S16" s="756"/>
      <c r="T16" s="756"/>
      <c r="U16" s="756"/>
      <c r="V16" s="756"/>
      <c r="W16" s="756"/>
      <c r="X16" s="756"/>
      <c r="Y16" s="756"/>
      <c r="Z16" s="756"/>
      <c r="AA16" s="756"/>
      <c r="AB16" s="756"/>
      <c r="AC16" s="756"/>
      <c r="AD16" s="756"/>
      <c r="AE16" s="774"/>
      <c r="AF16" s="756"/>
      <c r="AG16" s="897"/>
      <c r="AH16" s="819"/>
      <c r="AI16" s="786">
        <f t="shared" si="1"/>
        <v>0</v>
      </c>
      <c r="AJ16" s="725">
        <v>0</v>
      </c>
      <c r="AK16" s="726">
        <f t="shared" si="2"/>
        <v>0</v>
      </c>
      <c r="AL16" s="728" t="s">
        <v>1455</v>
      </c>
      <c r="AM16" s="729">
        <f t="shared" si="3"/>
        <v>1</v>
      </c>
    </row>
    <row r="17" spans="1:45" s="730" customFormat="1">
      <c r="A17" s="720" t="s">
        <v>541</v>
      </c>
      <c r="B17" s="720" t="s">
        <v>1138</v>
      </c>
      <c r="C17" s="822" t="s">
        <v>1450</v>
      </c>
      <c r="D17" s="743"/>
      <c r="E17" s="726"/>
      <c r="F17" s="726"/>
      <c r="G17" s="726"/>
      <c r="H17" s="726"/>
      <c r="I17" s="725"/>
      <c r="J17" s="725"/>
      <c r="K17" s="725"/>
      <c r="L17" s="741"/>
      <c r="M17" s="741"/>
      <c r="N17" s="741"/>
      <c r="O17" s="741"/>
      <c r="P17" s="741"/>
      <c r="Q17" s="741"/>
      <c r="R17" s="741"/>
      <c r="S17" s="741"/>
      <c r="T17" s="741"/>
      <c r="U17" s="741"/>
      <c r="V17" s="741"/>
      <c r="W17" s="741"/>
      <c r="X17" s="741"/>
      <c r="Y17" s="741"/>
      <c r="Z17" s="741"/>
      <c r="AA17" s="741"/>
      <c r="AB17" s="741"/>
      <c r="AC17" s="741"/>
      <c r="AD17" s="741"/>
      <c r="AE17" s="892"/>
      <c r="AF17" s="741"/>
      <c r="AG17" s="898"/>
      <c r="AH17" s="824"/>
      <c r="AI17" s="786">
        <f t="shared" si="1"/>
        <v>0</v>
      </c>
      <c r="AJ17" s="725">
        <v>1</v>
      </c>
      <c r="AK17" s="726">
        <f t="shared" si="2"/>
        <v>1</v>
      </c>
      <c r="AL17" s="741" t="s">
        <v>1455</v>
      </c>
      <c r="AM17" s="729">
        <f t="shared" si="3"/>
        <v>0</v>
      </c>
      <c r="AN17" s="825"/>
      <c r="AO17" s="741"/>
      <c r="AP17" s="741"/>
      <c r="AQ17" s="741"/>
      <c r="AR17" s="741"/>
      <c r="AS17" s="741"/>
    </row>
    <row r="18" spans="1:45" s="730" customFormat="1">
      <c r="A18" s="814" t="s">
        <v>39</v>
      </c>
      <c r="B18" s="815" t="s">
        <v>34</v>
      </c>
      <c r="C18" s="826"/>
      <c r="D18" s="743"/>
      <c r="E18" s="726"/>
      <c r="F18" s="726"/>
      <c r="G18" s="726"/>
      <c r="H18" s="726"/>
      <c r="I18" s="726"/>
      <c r="J18" s="726"/>
      <c r="K18" s="726"/>
      <c r="L18" s="741"/>
      <c r="M18" s="741"/>
      <c r="N18" s="741"/>
      <c r="O18" s="741"/>
      <c r="P18" s="741"/>
      <c r="Q18" s="741"/>
      <c r="R18" s="741"/>
      <c r="S18" s="741"/>
      <c r="T18" s="741"/>
      <c r="U18" s="741"/>
      <c r="V18" s="741"/>
      <c r="W18" s="741"/>
      <c r="X18" s="741"/>
      <c r="Y18" s="741"/>
      <c r="Z18" s="741"/>
      <c r="AA18" s="741"/>
      <c r="AB18" s="741"/>
      <c r="AC18" s="741"/>
      <c r="AD18" s="741"/>
      <c r="AE18" s="892"/>
      <c r="AF18" s="741"/>
      <c r="AG18" s="898"/>
      <c r="AH18" s="824"/>
      <c r="AI18" s="786">
        <f t="shared" si="1"/>
        <v>0</v>
      </c>
      <c r="AJ18" s="725">
        <v>0</v>
      </c>
      <c r="AK18" s="726">
        <f t="shared" si="2"/>
        <v>0</v>
      </c>
      <c r="AL18" s="741"/>
      <c r="AM18" s="729">
        <f t="shared" si="3"/>
        <v>0</v>
      </c>
      <c r="AN18" s="825"/>
      <c r="AO18" s="741"/>
      <c r="AP18" s="741"/>
      <c r="AQ18" s="741"/>
      <c r="AR18" s="741"/>
      <c r="AS18" s="741"/>
    </row>
    <row r="19" spans="1:45" s="733" customFormat="1">
      <c r="A19" s="720" t="s">
        <v>542</v>
      </c>
      <c r="B19" s="720" t="s">
        <v>1139</v>
      </c>
      <c r="C19" s="822" t="s">
        <v>37</v>
      </c>
      <c r="D19" s="827"/>
      <c r="E19" s="731"/>
      <c r="F19" s="731"/>
      <c r="G19" s="731"/>
      <c r="H19" s="731"/>
      <c r="I19" s="726"/>
      <c r="J19" s="731"/>
      <c r="K19" s="731"/>
      <c r="L19" s="741"/>
      <c r="M19" s="741"/>
      <c r="N19" s="741"/>
      <c r="O19" s="741"/>
      <c r="P19" s="741"/>
      <c r="Q19" s="741"/>
      <c r="R19" s="741"/>
      <c r="S19" s="741"/>
      <c r="T19" s="741"/>
      <c r="U19" s="741"/>
      <c r="V19" s="741"/>
      <c r="W19" s="741"/>
      <c r="X19" s="741"/>
      <c r="Y19" s="741"/>
      <c r="Z19" s="741"/>
      <c r="AA19" s="741"/>
      <c r="AB19" s="741"/>
      <c r="AC19" s="741"/>
      <c r="AD19" s="741"/>
      <c r="AE19" s="892"/>
      <c r="AF19" s="741"/>
      <c r="AG19" s="898"/>
      <c r="AH19" s="824"/>
      <c r="AI19" s="786">
        <f t="shared" si="1"/>
        <v>0</v>
      </c>
      <c r="AJ19" s="725">
        <v>656.8</v>
      </c>
      <c r="AK19" s="726">
        <f t="shared" si="2"/>
        <v>656.8</v>
      </c>
      <c r="AL19" s="741">
        <v>656.8</v>
      </c>
      <c r="AM19" s="729">
        <f t="shared" si="3"/>
        <v>0</v>
      </c>
      <c r="AN19" s="825"/>
      <c r="AO19" s="741"/>
      <c r="AP19" s="741"/>
      <c r="AQ19" s="741"/>
      <c r="AR19" s="741"/>
      <c r="AS19" s="741"/>
    </row>
    <row r="20" spans="1:45" s="730" customFormat="1">
      <c r="A20" s="720" t="s">
        <v>543</v>
      </c>
      <c r="B20" s="720" t="s">
        <v>1140</v>
      </c>
      <c r="C20" s="822" t="s">
        <v>40</v>
      </c>
      <c r="D20" s="743"/>
      <c r="E20" s="739"/>
      <c r="F20" s="739"/>
      <c r="G20" s="739"/>
      <c r="H20" s="739"/>
      <c r="I20" s="828"/>
      <c r="J20" s="739"/>
      <c r="K20" s="739"/>
      <c r="L20" s="741"/>
      <c r="M20" s="741"/>
      <c r="N20" s="741"/>
      <c r="O20" s="741"/>
      <c r="P20" s="741"/>
      <c r="Q20" s="741"/>
      <c r="R20" s="741"/>
      <c r="S20" s="741"/>
      <c r="T20" s="741"/>
      <c r="U20" s="741"/>
      <c r="V20" s="741"/>
      <c r="W20" s="741"/>
      <c r="X20" s="741"/>
      <c r="Y20" s="741"/>
      <c r="Z20" s="741"/>
      <c r="AA20" s="741"/>
      <c r="AB20" s="741"/>
      <c r="AC20" s="741"/>
      <c r="AD20" s="741"/>
      <c r="AE20" s="892"/>
      <c r="AF20" s="741"/>
      <c r="AG20" s="898"/>
      <c r="AH20" s="824"/>
      <c r="AI20" s="786">
        <f t="shared" si="1"/>
        <v>0</v>
      </c>
      <c r="AJ20" s="725">
        <v>81</v>
      </c>
      <c r="AK20" s="726">
        <f>AI20+AJ20</f>
        <v>81</v>
      </c>
      <c r="AL20" s="726" t="s">
        <v>1457</v>
      </c>
      <c r="AM20" s="729">
        <f>AL20-AK20</f>
        <v>526.6</v>
      </c>
      <c r="AN20" s="825"/>
      <c r="AO20" s="741"/>
      <c r="AP20" s="741"/>
      <c r="AQ20" s="741"/>
      <c r="AR20" s="741"/>
      <c r="AS20" s="741"/>
    </row>
    <row r="21" spans="1:45" s="730" customFormat="1">
      <c r="A21" s="720" t="s">
        <v>544</v>
      </c>
      <c r="B21" s="720" t="s">
        <v>1141</v>
      </c>
      <c r="C21" s="822" t="s">
        <v>40</v>
      </c>
      <c r="D21" s="743"/>
      <c r="E21" s="726"/>
      <c r="F21" s="726"/>
      <c r="G21" s="726"/>
      <c r="H21" s="726"/>
      <c r="I21" s="726"/>
      <c r="J21" s="726"/>
      <c r="K21" s="726"/>
      <c r="L21" s="756"/>
      <c r="M21" s="756"/>
      <c r="N21" s="756"/>
      <c r="O21" s="756"/>
      <c r="P21" s="756"/>
      <c r="Q21" s="756"/>
      <c r="R21" s="756"/>
      <c r="S21" s="756"/>
      <c r="T21" s="756"/>
      <c r="U21" s="756"/>
      <c r="V21" s="756"/>
      <c r="W21" s="756"/>
      <c r="X21" s="756"/>
      <c r="Y21" s="756"/>
      <c r="Z21" s="756"/>
      <c r="AA21" s="756"/>
      <c r="AB21" s="756"/>
      <c r="AC21" s="756"/>
      <c r="AD21" s="756"/>
      <c r="AE21" s="774"/>
      <c r="AF21" s="756"/>
      <c r="AG21" s="897"/>
      <c r="AH21" s="819"/>
      <c r="AI21" s="786">
        <f t="shared" si="1"/>
        <v>0</v>
      </c>
      <c r="AJ21" s="725">
        <v>0</v>
      </c>
      <c r="AK21" s="726">
        <f t="shared" si="2"/>
        <v>0</v>
      </c>
      <c r="AL21" s="728" t="s">
        <v>1458</v>
      </c>
      <c r="AM21" s="729">
        <f t="shared" si="3"/>
        <v>759.49</v>
      </c>
    </row>
    <row r="22" spans="1:45" s="730" customFormat="1">
      <c r="A22" s="814" t="s">
        <v>545</v>
      </c>
      <c r="B22" s="815" t="s">
        <v>1142</v>
      </c>
      <c r="C22" s="826"/>
      <c r="D22" s="743"/>
      <c r="E22" s="726"/>
      <c r="F22" s="726"/>
      <c r="G22" s="726"/>
      <c r="H22" s="726"/>
      <c r="I22" s="725"/>
      <c r="J22" s="725"/>
      <c r="K22" s="725"/>
      <c r="L22" s="756"/>
      <c r="M22" s="756"/>
      <c r="N22" s="756"/>
      <c r="O22" s="756"/>
      <c r="P22" s="756"/>
      <c r="Q22" s="756"/>
      <c r="R22" s="756"/>
      <c r="S22" s="756"/>
      <c r="T22" s="756"/>
      <c r="U22" s="756"/>
      <c r="V22" s="756"/>
      <c r="W22" s="756"/>
      <c r="X22" s="756"/>
      <c r="Y22" s="756"/>
      <c r="Z22" s="756"/>
      <c r="AA22" s="756"/>
      <c r="AB22" s="756"/>
      <c r="AC22" s="756"/>
      <c r="AD22" s="756"/>
      <c r="AE22" s="774"/>
      <c r="AF22" s="756"/>
      <c r="AG22" s="897"/>
      <c r="AH22" s="819"/>
      <c r="AI22" s="786">
        <f t="shared" si="1"/>
        <v>0</v>
      </c>
      <c r="AJ22" s="725">
        <v>0</v>
      </c>
      <c r="AK22" s="726">
        <f t="shared" si="2"/>
        <v>0</v>
      </c>
      <c r="AL22" s="728"/>
      <c r="AM22" s="729">
        <f t="shared" si="3"/>
        <v>0</v>
      </c>
    </row>
    <row r="23" spans="1:45" s="733" customFormat="1">
      <c r="A23" s="720" t="s">
        <v>546</v>
      </c>
      <c r="B23" s="720" t="s">
        <v>1142</v>
      </c>
      <c r="C23" s="822" t="s">
        <v>64</v>
      </c>
      <c r="D23" s="827"/>
      <c r="E23" s="731"/>
      <c r="F23" s="731"/>
      <c r="G23" s="731"/>
      <c r="H23" s="829"/>
      <c r="I23" s="727"/>
      <c r="J23" s="727"/>
      <c r="K23" s="727"/>
      <c r="L23" s="756"/>
      <c r="M23" s="756"/>
      <c r="N23" s="756"/>
      <c r="O23" s="756"/>
      <c r="P23" s="756"/>
      <c r="Q23" s="756"/>
      <c r="R23" s="756"/>
      <c r="S23" s="756"/>
      <c r="T23" s="756"/>
      <c r="U23" s="756"/>
      <c r="V23" s="756"/>
      <c r="W23" s="756"/>
      <c r="X23" s="756"/>
      <c r="Y23" s="756"/>
      <c r="Z23" s="756"/>
      <c r="AA23" s="756"/>
      <c r="AB23" s="756"/>
      <c r="AC23" s="756"/>
      <c r="AD23" s="756"/>
      <c r="AE23" s="774"/>
      <c r="AF23" s="756"/>
      <c r="AG23" s="897"/>
      <c r="AH23" s="819"/>
      <c r="AI23" s="786">
        <f t="shared" si="1"/>
        <v>0</v>
      </c>
      <c r="AJ23" s="725">
        <v>0</v>
      </c>
      <c r="AK23" s="726">
        <f t="shared" si="2"/>
        <v>0</v>
      </c>
      <c r="AL23" s="732" t="s">
        <v>1455</v>
      </c>
      <c r="AM23" s="729">
        <f t="shared" si="3"/>
        <v>1</v>
      </c>
    </row>
    <row r="24" spans="1:45" s="730" customFormat="1">
      <c r="A24" s="720" t="s">
        <v>547</v>
      </c>
      <c r="B24" s="720" t="s">
        <v>1144</v>
      </c>
      <c r="C24" s="822" t="s">
        <v>64</v>
      </c>
      <c r="D24" s="743"/>
      <c r="E24" s="726"/>
      <c r="F24" s="726"/>
      <c r="G24" s="726"/>
      <c r="H24" s="726"/>
      <c r="I24" s="725"/>
      <c r="J24" s="725"/>
      <c r="K24" s="725"/>
      <c r="L24" s="797"/>
      <c r="M24" s="756"/>
      <c r="N24" s="756"/>
      <c r="O24" s="756"/>
      <c r="P24" s="756"/>
      <c r="Q24" s="756"/>
      <c r="R24" s="756"/>
      <c r="S24" s="756"/>
      <c r="T24" s="756"/>
      <c r="U24" s="756"/>
      <c r="V24" s="756"/>
      <c r="W24" s="756"/>
      <c r="X24" s="756"/>
      <c r="Y24" s="756"/>
      <c r="Z24" s="756"/>
      <c r="AA24" s="756"/>
      <c r="AB24" s="756"/>
      <c r="AC24" s="756"/>
      <c r="AD24" s="756"/>
      <c r="AE24" s="774"/>
      <c r="AF24" s="756"/>
      <c r="AG24" s="897"/>
      <c r="AH24" s="819"/>
      <c r="AI24" s="786">
        <f t="shared" si="1"/>
        <v>0</v>
      </c>
      <c r="AJ24" s="725">
        <v>0</v>
      </c>
      <c r="AK24" s="726">
        <f t="shared" si="2"/>
        <v>0</v>
      </c>
      <c r="AL24" s="728" t="s">
        <v>1455</v>
      </c>
      <c r="AM24" s="729">
        <f t="shared" si="3"/>
        <v>1</v>
      </c>
    </row>
    <row r="25" spans="1:45" s="730" customFormat="1">
      <c r="A25" s="814" t="s">
        <v>548</v>
      </c>
      <c r="B25" s="815" t="s">
        <v>1145</v>
      </c>
      <c r="C25" s="826"/>
      <c r="D25" s="743"/>
      <c r="E25" s="726"/>
      <c r="F25" s="726"/>
      <c r="G25" s="726"/>
      <c r="H25" s="726"/>
      <c r="I25" s="725"/>
      <c r="J25" s="725"/>
      <c r="K25" s="725"/>
      <c r="L25" s="756"/>
      <c r="M25" s="756"/>
      <c r="N25" s="756"/>
      <c r="O25" s="756"/>
      <c r="P25" s="756"/>
      <c r="Q25" s="756"/>
      <c r="R25" s="756"/>
      <c r="S25" s="756"/>
      <c r="T25" s="756"/>
      <c r="U25" s="756"/>
      <c r="V25" s="756"/>
      <c r="W25" s="756"/>
      <c r="X25" s="756"/>
      <c r="Y25" s="756"/>
      <c r="Z25" s="756"/>
      <c r="AA25" s="756"/>
      <c r="AB25" s="756"/>
      <c r="AC25" s="756"/>
      <c r="AD25" s="756"/>
      <c r="AE25" s="774"/>
      <c r="AF25" s="756"/>
      <c r="AG25" s="897"/>
      <c r="AH25" s="819"/>
      <c r="AI25" s="786">
        <f t="shared" si="1"/>
        <v>0</v>
      </c>
      <c r="AJ25" s="725">
        <v>0</v>
      </c>
      <c r="AK25" s="726">
        <f t="shared" si="2"/>
        <v>0</v>
      </c>
      <c r="AL25" s="728"/>
      <c r="AM25" s="729">
        <f t="shared" si="3"/>
        <v>0</v>
      </c>
    </row>
    <row r="26" spans="1:45" s="730" customFormat="1">
      <c r="A26" s="720" t="s">
        <v>549</v>
      </c>
      <c r="B26" s="720" t="s">
        <v>1146</v>
      </c>
      <c r="C26" s="822" t="s">
        <v>37</v>
      </c>
      <c r="D26" s="743"/>
      <c r="E26" s="726"/>
      <c r="F26" s="726"/>
      <c r="G26" s="726"/>
      <c r="H26" s="726"/>
      <c r="I26" s="725"/>
      <c r="J26" s="725"/>
      <c r="K26" s="725"/>
      <c r="L26" s="756"/>
      <c r="M26" s="756"/>
      <c r="N26" s="756"/>
      <c r="O26" s="756"/>
      <c r="P26" s="756"/>
      <c r="Q26" s="756"/>
      <c r="R26" s="756"/>
      <c r="S26" s="756"/>
      <c r="T26" s="756"/>
      <c r="U26" s="756"/>
      <c r="V26" s="756"/>
      <c r="W26" s="756"/>
      <c r="X26" s="756"/>
      <c r="Y26" s="756"/>
      <c r="Z26" s="756"/>
      <c r="AA26" s="756"/>
      <c r="AB26" s="756"/>
      <c r="AC26" s="756"/>
      <c r="AD26" s="756"/>
      <c r="AE26" s="774"/>
      <c r="AF26" s="756"/>
      <c r="AG26" s="897"/>
      <c r="AH26" s="819"/>
      <c r="AI26" s="786">
        <f t="shared" si="1"/>
        <v>0</v>
      </c>
      <c r="AJ26" s="725">
        <v>656.8</v>
      </c>
      <c r="AK26" s="726">
        <f t="shared" si="2"/>
        <v>656.8</v>
      </c>
      <c r="AL26" s="728" t="s">
        <v>1456</v>
      </c>
      <c r="AM26" s="729">
        <f t="shared" si="3"/>
        <v>0</v>
      </c>
    </row>
    <row r="27" spans="1:45" s="730" customFormat="1">
      <c r="A27" s="720" t="s">
        <v>550</v>
      </c>
      <c r="B27" s="720" t="s">
        <v>1819</v>
      </c>
      <c r="C27" s="822" t="s">
        <v>37</v>
      </c>
      <c r="D27" s="743"/>
      <c r="E27" s="726"/>
      <c r="F27" s="726"/>
      <c r="G27" s="726"/>
      <c r="H27" s="726"/>
      <c r="I27" s="725"/>
      <c r="J27" s="725"/>
      <c r="K27" s="725"/>
      <c r="L27" s="756"/>
      <c r="M27" s="756"/>
      <c r="N27" s="756"/>
      <c r="O27" s="756"/>
      <c r="P27" s="756"/>
      <c r="Q27" s="756"/>
      <c r="R27" s="756"/>
      <c r="S27" s="756"/>
      <c r="T27" s="756"/>
      <c r="U27" s="756"/>
      <c r="V27" s="756"/>
      <c r="W27" s="756"/>
      <c r="X27" s="797"/>
      <c r="Y27" s="756"/>
      <c r="Z27" s="756"/>
      <c r="AA27" s="756"/>
      <c r="AB27" s="756"/>
      <c r="AC27" s="756"/>
      <c r="AD27" s="756"/>
      <c r="AE27" s="774"/>
      <c r="AF27" s="756"/>
      <c r="AG27" s="897"/>
      <c r="AH27" s="819"/>
      <c r="AI27" s="786">
        <f t="shared" si="1"/>
        <v>0</v>
      </c>
      <c r="AJ27" s="725">
        <v>154.35</v>
      </c>
      <c r="AK27" s="726">
        <f>AI27+AJ27</f>
        <v>154.35</v>
      </c>
      <c r="AL27" s="728" t="s">
        <v>1456</v>
      </c>
      <c r="AM27" s="729">
        <f>AL27-AK27</f>
        <v>502.44999999999993</v>
      </c>
    </row>
    <row r="28" spans="1:45" s="730" customFormat="1">
      <c r="A28" s="814" t="s">
        <v>551</v>
      </c>
      <c r="B28" s="815" t="s">
        <v>1147</v>
      </c>
      <c r="C28" s="826"/>
      <c r="D28" s="743"/>
      <c r="E28" s="726"/>
      <c r="F28" s="726"/>
      <c r="G28" s="726"/>
      <c r="H28" s="726"/>
      <c r="I28" s="775"/>
      <c r="J28" s="725"/>
      <c r="K28" s="725"/>
      <c r="L28" s="756"/>
      <c r="M28" s="775"/>
      <c r="N28" s="756"/>
      <c r="O28" s="756"/>
      <c r="P28" s="725"/>
      <c r="Q28" s="756"/>
      <c r="R28" s="756"/>
      <c r="S28" s="756"/>
      <c r="T28" s="756"/>
      <c r="U28" s="756"/>
      <c r="V28" s="756"/>
      <c r="W28" s="756"/>
      <c r="X28" s="756"/>
      <c r="Y28" s="756"/>
      <c r="Z28" s="756"/>
      <c r="AA28" s="756"/>
      <c r="AB28" s="756"/>
      <c r="AC28" s="756"/>
      <c r="AD28" s="756"/>
      <c r="AE28" s="774"/>
      <c r="AF28" s="756"/>
      <c r="AG28" s="897"/>
      <c r="AH28" s="819"/>
      <c r="AI28" s="786">
        <f t="shared" si="1"/>
        <v>0</v>
      </c>
      <c r="AJ28" s="725">
        <v>0</v>
      </c>
      <c r="AK28" s="726">
        <f t="shared" si="2"/>
        <v>0</v>
      </c>
      <c r="AL28" s="728"/>
      <c r="AM28" s="729">
        <f t="shared" si="3"/>
        <v>0</v>
      </c>
    </row>
    <row r="29" spans="1:45" s="730" customFormat="1">
      <c r="A29" s="720" t="s">
        <v>552</v>
      </c>
      <c r="B29" s="720" t="s">
        <v>1148</v>
      </c>
      <c r="C29" s="822" t="s">
        <v>64</v>
      </c>
      <c r="D29" s="830"/>
      <c r="E29" s="725"/>
      <c r="F29" s="725"/>
      <c r="G29" s="725"/>
      <c r="H29" s="726"/>
      <c r="I29" s="775"/>
      <c r="J29" s="725"/>
      <c r="K29" s="725"/>
      <c r="L29" s="756"/>
      <c r="M29" s="775"/>
      <c r="N29" s="756"/>
      <c r="O29" s="756"/>
      <c r="P29" s="772"/>
      <c r="Q29" s="756"/>
      <c r="R29" s="756"/>
      <c r="S29" s="756"/>
      <c r="T29" s="756"/>
      <c r="U29" s="756"/>
      <c r="V29" s="756"/>
      <c r="W29" s="756"/>
      <c r="X29" s="756"/>
      <c r="Y29" s="756"/>
      <c r="Z29" s="756"/>
      <c r="AA29" s="756"/>
      <c r="AB29" s="756"/>
      <c r="AC29" s="756"/>
      <c r="AD29" s="756"/>
      <c r="AE29" s="774"/>
      <c r="AF29" s="756"/>
      <c r="AG29" s="897"/>
      <c r="AH29" s="819"/>
      <c r="AI29" s="786">
        <f t="shared" si="1"/>
        <v>0</v>
      </c>
      <c r="AJ29" s="725">
        <v>0</v>
      </c>
      <c r="AK29" s="726">
        <f t="shared" si="2"/>
        <v>0</v>
      </c>
      <c r="AL29" s="728" t="s">
        <v>1455</v>
      </c>
      <c r="AM29" s="729">
        <f t="shared" si="3"/>
        <v>1</v>
      </c>
    </row>
    <row r="30" spans="1:45" s="730" customFormat="1">
      <c r="A30" s="720" t="s">
        <v>553</v>
      </c>
      <c r="B30" s="720" t="s">
        <v>1149</v>
      </c>
      <c r="C30" s="822" t="s">
        <v>36</v>
      </c>
      <c r="D30" s="830"/>
      <c r="E30" s="725"/>
      <c r="F30" s="725"/>
      <c r="G30" s="725"/>
      <c r="H30" s="726"/>
      <c r="I30" s="775"/>
      <c r="J30" s="725"/>
      <c r="K30" s="725"/>
      <c r="L30" s="756"/>
      <c r="M30" s="772"/>
      <c r="N30" s="756"/>
      <c r="O30" s="756"/>
      <c r="Q30" s="756"/>
      <c r="R30" s="756"/>
      <c r="S30" s="756"/>
      <c r="T30" s="756"/>
      <c r="U30" s="756"/>
      <c r="V30" s="756"/>
      <c r="W30" s="756"/>
      <c r="X30" s="756"/>
      <c r="Y30" s="756"/>
      <c r="Z30" s="756"/>
      <c r="AA30" s="756"/>
      <c r="AB30" s="756"/>
      <c r="AC30" s="756"/>
      <c r="AD30" s="756"/>
      <c r="AE30" s="774"/>
      <c r="AF30" s="756"/>
      <c r="AG30" s="897"/>
      <c r="AH30" s="819"/>
      <c r="AI30" s="786">
        <f t="shared" si="1"/>
        <v>0</v>
      </c>
      <c r="AJ30" s="725">
        <v>0</v>
      </c>
      <c r="AK30" s="726">
        <f t="shared" si="2"/>
        <v>0</v>
      </c>
      <c r="AL30" s="728" t="s">
        <v>1459</v>
      </c>
      <c r="AM30" s="729">
        <f t="shared" si="3"/>
        <v>30</v>
      </c>
    </row>
    <row r="31" spans="1:45" s="730" customFormat="1">
      <c r="A31" s="720" t="s">
        <v>554</v>
      </c>
      <c r="B31" s="720" t="s">
        <v>1150</v>
      </c>
      <c r="C31" s="822" t="s">
        <v>64</v>
      </c>
      <c r="D31" s="830"/>
      <c r="E31" s="725"/>
      <c r="F31" s="725"/>
      <c r="G31" s="725"/>
      <c r="H31" s="726"/>
      <c r="I31" s="775"/>
      <c r="J31" s="725"/>
      <c r="K31" s="725"/>
      <c r="L31" s="756"/>
      <c r="M31" s="775"/>
      <c r="N31" s="756"/>
      <c r="O31" s="756"/>
      <c r="P31" s="772"/>
      <c r="Q31" s="756"/>
      <c r="R31" s="756"/>
      <c r="S31" s="756"/>
      <c r="T31" s="756"/>
      <c r="U31" s="756"/>
      <c r="V31" s="756"/>
      <c r="W31" s="756"/>
      <c r="X31" s="756"/>
      <c r="Y31" s="756"/>
      <c r="Z31" s="756"/>
      <c r="AA31" s="756"/>
      <c r="AB31" s="756"/>
      <c r="AC31" s="756"/>
      <c r="AD31" s="756"/>
      <c r="AE31" s="774"/>
      <c r="AF31" s="756"/>
      <c r="AG31" s="897"/>
      <c r="AH31" s="819"/>
      <c r="AI31" s="786">
        <f t="shared" si="1"/>
        <v>0</v>
      </c>
      <c r="AJ31" s="725">
        <v>0</v>
      </c>
      <c r="AK31" s="726">
        <f t="shared" si="2"/>
        <v>0</v>
      </c>
      <c r="AL31" s="728" t="s">
        <v>1455</v>
      </c>
      <c r="AM31" s="729">
        <f t="shared" si="3"/>
        <v>1</v>
      </c>
    </row>
    <row r="32" spans="1:45" s="730" customFormat="1">
      <c r="A32" s="720" t="s">
        <v>555</v>
      </c>
      <c r="B32" s="720" t="s">
        <v>1151</v>
      </c>
      <c r="C32" s="822" t="s">
        <v>64</v>
      </c>
      <c r="D32" s="830"/>
      <c r="E32" s="725"/>
      <c r="F32" s="725"/>
      <c r="G32" s="725"/>
      <c r="H32" s="726"/>
      <c r="I32" s="775"/>
      <c r="J32" s="725"/>
      <c r="K32" s="725"/>
      <c r="L32" s="756"/>
      <c r="M32" s="775"/>
      <c r="N32" s="756"/>
      <c r="O32" s="756"/>
      <c r="P32" s="772"/>
      <c r="Q32" s="756"/>
      <c r="R32" s="756"/>
      <c r="S32" s="756"/>
      <c r="T32" s="756"/>
      <c r="U32" s="756"/>
      <c r="V32" s="756"/>
      <c r="W32" s="756"/>
      <c r="X32" s="756"/>
      <c r="Y32" s="756"/>
      <c r="Z32" s="756"/>
      <c r="AA32" s="756"/>
      <c r="AB32" s="756"/>
      <c r="AC32" s="756"/>
      <c r="AD32" s="797"/>
      <c r="AE32" s="774"/>
      <c r="AF32" s="756"/>
      <c r="AG32" s="897"/>
      <c r="AH32" s="819"/>
      <c r="AI32" s="786">
        <f t="shared" si="1"/>
        <v>0</v>
      </c>
      <c r="AJ32" s="725">
        <v>0</v>
      </c>
      <c r="AK32" s="726">
        <f t="shared" si="2"/>
        <v>0</v>
      </c>
      <c r="AL32" s="728" t="s">
        <v>1455</v>
      </c>
      <c r="AM32" s="729">
        <f t="shared" si="3"/>
        <v>1</v>
      </c>
    </row>
    <row r="33" spans="1:39" s="730" customFormat="1">
      <c r="A33" s="720" t="s">
        <v>556</v>
      </c>
      <c r="B33" s="720" t="s">
        <v>1152</v>
      </c>
      <c r="C33" s="822" t="s">
        <v>64</v>
      </c>
      <c r="D33" s="830"/>
      <c r="E33" s="725"/>
      <c r="F33" s="725"/>
      <c r="G33" s="725"/>
      <c r="H33" s="726"/>
      <c r="I33" s="775"/>
      <c r="J33" s="725"/>
      <c r="K33" s="725"/>
      <c r="L33" s="756"/>
      <c r="M33" s="775"/>
      <c r="N33" s="756"/>
      <c r="O33" s="756"/>
      <c r="P33" s="725"/>
      <c r="Q33" s="756"/>
      <c r="R33" s="756"/>
      <c r="S33" s="756"/>
      <c r="T33" s="756"/>
      <c r="U33" s="756"/>
      <c r="V33" s="756"/>
      <c r="W33" s="756"/>
      <c r="X33" s="756"/>
      <c r="Y33" s="756"/>
      <c r="Z33" s="756"/>
      <c r="AA33" s="756"/>
      <c r="AB33" s="756"/>
      <c r="AC33" s="756"/>
      <c r="AD33" s="756"/>
      <c r="AE33" s="774"/>
      <c r="AF33" s="756"/>
      <c r="AG33" s="897"/>
      <c r="AH33" s="819"/>
      <c r="AI33" s="786">
        <f t="shared" si="1"/>
        <v>0</v>
      </c>
      <c r="AJ33" s="725">
        <v>0</v>
      </c>
      <c r="AK33" s="726">
        <f t="shared" si="2"/>
        <v>0</v>
      </c>
      <c r="AL33" s="728" t="s">
        <v>1455</v>
      </c>
      <c r="AM33" s="729">
        <f t="shared" si="3"/>
        <v>1</v>
      </c>
    </row>
    <row r="34" spans="1:39" s="733" customFormat="1" ht="13.5" thickBot="1">
      <c r="A34" s="720" t="s">
        <v>557</v>
      </c>
      <c r="B34" s="720" t="s">
        <v>1153</v>
      </c>
      <c r="C34" s="822" t="s">
        <v>64</v>
      </c>
      <c r="D34" s="725"/>
      <c r="E34" s="727"/>
      <c r="F34" s="725"/>
      <c r="G34" s="727"/>
      <c r="H34" s="731"/>
      <c r="I34" s="820"/>
      <c r="J34" s="727"/>
      <c r="K34" s="727"/>
      <c r="L34" s="756"/>
      <c r="M34" s="820"/>
      <c r="N34" s="756"/>
      <c r="O34" s="756"/>
      <c r="P34" s="727"/>
      <c r="Q34" s="756"/>
      <c r="R34" s="756"/>
      <c r="S34" s="756"/>
      <c r="T34" s="756"/>
      <c r="U34" s="756"/>
      <c r="V34" s="756"/>
      <c r="W34" s="756"/>
      <c r="X34" s="756"/>
      <c r="Y34" s="756"/>
      <c r="Z34" s="756"/>
      <c r="AA34" s="756"/>
      <c r="AB34" s="756"/>
      <c r="AC34" s="756"/>
      <c r="AD34" s="756"/>
      <c r="AE34" s="774"/>
      <c r="AF34" s="756"/>
      <c r="AG34" s="897"/>
      <c r="AH34" s="819"/>
      <c r="AI34" s="786">
        <f t="shared" si="1"/>
        <v>0</v>
      </c>
      <c r="AJ34" s="725">
        <v>0</v>
      </c>
      <c r="AK34" s="726">
        <f t="shared" si="2"/>
        <v>0</v>
      </c>
      <c r="AL34" s="732" t="s">
        <v>1455</v>
      </c>
      <c r="AM34" s="729">
        <f t="shared" si="3"/>
        <v>1</v>
      </c>
    </row>
    <row r="35" spans="1:39" s="730" customFormat="1">
      <c r="A35" s="816" t="s">
        <v>42</v>
      </c>
      <c r="B35" s="816" t="s">
        <v>1154</v>
      </c>
      <c r="C35" s="826"/>
      <c r="D35" s="743"/>
      <c r="E35" s="726"/>
      <c r="F35" s="726"/>
      <c r="G35" s="726"/>
      <c r="H35" s="726"/>
      <c r="I35" s="725"/>
      <c r="J35" s="725"/>
      <c r="K35" s="725"/>
      <c r="L35" s="756"/>
      <c r="M35" s="756"/>
      <c r="N35" s="756"/>
      <c r="O35" s="756"/>
      <c r="P35" s="756"/>
      <c r="Q35" s="756"/>
      <c r="R35" s="756"/>
      <c r="S35" s="756"/>
      <c r="T35" s="756"/>
      <c r="U35" s="756"/>
      <c r="V35" s="756"/>
      <c r="W35" s="756"/>
      <c r="X35" s="756"/>
      <c r="Y35" s="756"/>
      <c r="Z35" s="756"/>
      <c r="AA35" s="756"/>
      <c r="AB35" s="756"/>
      <c r="AC35" s="756"/>
      <c r="AD35" s="756"/>
      <c r="AE35" s="774"/>
      <c r="AF35" s="756"/>
      <c r="AG35" s="897"/>
      <c r="AH35" s="819"/>
      <c r="AI35" s="786">
        <f t="shared" si="1"/>
        <v>0</v>
      </c>
      <c r="AJ35" s="725">
        <v>0</v>
      </c>
      <c r="AK35" s="726">
        <f t="shared" si="2"/>
        <v>0</v>
      </c>
      <c r="AL35" s="728"/>
      <c r="AM35" s="729">
        <f t="shared" si="3"/>
        <v>0</v>
      </c>
    </row>
    <row r="36" spans="1:39" s="500" customFormat="1">
      <c r="A36" s="440" t="s">
        <v>43</v>
      </c>
      <c r="B36" s="543" t="s">
        <v>1155</v>
      </c>
      <c r="C36" s="605"/>
      <c r="D36" s="519"/>
      <c r="E36" s="726"/>
      <c r="F36" s="520"/>
      <c r="G36" s="520"/>
      <c r="H36" s="520"/>
      <c r="I36" s="521"/>
      <c r="J36" s="521"/>
      <c r="K36" s="521"/>
      <c r="L36" s="756"/>
      <c r="M36" s="514"/>
      <c r="N36" s="514"/>
      <c r="O36" s="514"/>
      <c r="P36" s="514"/>
      <c r="Q36" s="514"/>
      <c r="R36" s="514"/>
      <c r="S36" s="756"/>
      <c r="T36" s="514"/>
      <c r="U36" s="514"/>
      <c r="V36" s="514"/>
      <c r="W36" s="514"/>
      <c r="X36" s="514"/>
      <c r="Y36" s="514"/>
      <c r="Z36" s="756"/>
      <c r="AA36" s="514"/>
      <c r="AB36" s="514"/>
      <c r="AC36" s="514"/>
      <c r="AD36" s="514"/>
      <c r="AE36" s="774"/>
      <c r="AF36" s="514"/>
      <c r="AG36" s="897"/>
      <c r="AH36" s="789"/>
      <c r="AI36" s="664">
        <f t="shared" si="1"/>
        <v>0</v>
      </c>
      <c r="AJ36" s="521">
        <v>0</v>
      </c>
      <c r="AK36" s="520">
        <f t="shared" si="2"/>
        <v>0</v>
      </c>
      <c r="AL36" s="672"/>
      <c r="AM36" s="669">
        <f t="shared" si="3"/>
        <v>0</v>
      </c>
    </row>
    <row r="37" spans="1:39" s="500" customFormat="1">
      <c r="A37" s="542" t="s">
        <v>53</v>
      </c>
      <c r="B37" s="542" t="s">
        <v>46</v>
      </c>
      <c r="C37" s="605"/>
      <c r="D37" s="519"/>
      <c r="E37" s="726"/>
      <c r="F37" s="520"/>
      <c r="G37" s="520"/>
      <c r="H37" s="520"/>
      <c r="I37" s="521"/>
      <c r="J37" s="521"/>
      <c r="K37" s="521"/>
      <c r="L37" s="756"/>
      <c r="M37" s="514"/>
      <c r="N37" s="514"/>
      <c r="O37" s="514"/>
      <c r="P37" s="514"/>
      <c r="Q37" s="514"/>
      <c r="R37" s="514"/>
      <c r="S37" s="756"/>
      <c r="T37" s="514"/>
      <c r="U37" s="514"/>
      <c r="V37" s="514"/>
      <c r="W37" s="514"/>
      <c r="X37" s="514"/>
      <c r="Y37" s="514"/>
      <c r="Z37" s="756"/>
      <c r="AA37" s="514"/>
      <c r="AB37" s="514"/>
      <c r="AC37" s="514"/>
      <c r="AD37" s="514"/>
      <c r="AE37" s="774"/>
      <c r="AF37" s="514"/>
      <c r="AG37" s="897"/>
      <c r="AH37" s="789"/>
      <c r="AI37" s="664">
        <f t="shared" si="1"/>
        <v>0</v>
      </c>
      <c r="AJ37" s="521">
        <v>0</v>
      </c>
      <c r="AK37" s="520">
        <f t="shared" si="2"/>
        <v>0</v>
      </c>
      <c r="AL37" s="672"/>
      <c r="AM37" s="669">
        <f t="shared" si="3"/>
        <v>0</v>
      </c>
    </row>
    <row r="38" spans="1:39" s="500" customFormat="1">
      <c r="A38" s="539" t="s">
        <v>558</v>
      </c>
      <c r="B38" s="539" t="s">
        <v>1156</v>
      </c>
      <c r="C38" s="472" t="s">
        <v>40</v>
      </c>
      <c r="D38" s="519"/>
      <c r="E38" s="726"/>
      <c r="F38" s="520"/>
      <c r="G38" s="520"/>
      <c r="H38" s="520"/>
      <c r="I38" s="521"/>
      <c r="J38" s="521"/>
      <c r="K38" s="521"/>
      <c r="L38" s="756"/>
      <c r="M38" s="514"/>
      <c r="N38" s="514"/>
      <c r="O38" s="514"/>
      <c r="P38" s="514"/>
      <c r="Q38" s="514"/>
      <c r="R38" s="514"/>
      <c r="S38" s="756"/>
      <c r="T38" s="514"/>
      <c r="U38" s="514"/>
      <c r="V38" s="514"/>
      <c r="W38" s="514"/>
      <c r="X38" s="514"/>
      <c r="Y38" s="514"/>
      <c r="Z38" s="756"/>
      <c r="AA38" s="514"/>
      <c r="AB38" s="514"/>
      <c r="AC38" s="514"/>
      <c r="AD38" s="514"/>
      <c r="AE38" s="774"/>
      <c r="AF38" s="514"/>
      <c r="AG38" s="897"/>
      <c r="AH38" s="789"/>
      <c r="AI38" s="664">
        <f t="shared" si="1"/>
        <v>0</v>
      </c>
      <c r="AJ38" s="521">
        <v>0</v>
      </c>
      <c r="AK38" s="520">
        <f t="shared" si="2"/>
        <v>0</v>
      </c>
      <c r="AL38" s="672" t="s">
        <v>1460</v>
      </c>
      <c r="AM38" s="669">
        <f t="shared" si="3"/>
        <v>27.29</v>
      </c>
    </row>
    <row r="39" spans="1:39" s="500" customFormat="1">
      <c r="A39" s="539" t="s">
        <v>559</v>
      </c>
      <c r="B39" s="539" t="s">
        <v>1157</v>
      </c>
      <c r="C39" s="472" t="s">
        <v>40</v>
      </c>
      <c r="D39" s="519"/>
      <c r="E39" s="726"/>
      <c r="F39" s="520"/>
      <c r="G39" s="520"/>
      <c r="H39" s="520"/>
      <c r="I39" s="521"/>
      <c r="J39" s="521"/>
      <c r="K39" s="521"/>
      <c r="L39" s="756"/>
      <c r="M39" s="514"/>
      <c r="N39" s="514"/>
      <c r="O39" s="514"/>
      <c r="P39" s="514"/>
      <c r="Q39" s="514"/>
      <c r="R39" s="514"/>
      <c r="S39" s="756"/>
      <c r="T39" s="514"/>
      <c r="U39" s="514"/>
      <c r="V39" s="514"/>
      <c r="W39" s="514"/>
      <c r="X39" s="514"/>
      <c r="Y39" s="514"/>
      <c r="Z39" s="756"/>
      <c r="AA39" s="514"/>
      <c r="AB39" s="514"/>
      <c r="AC39" s="514"/>
      <c r="AD39" s="514"/>
      <c r="AE39" s="774"/>
      <c r="AF39" s="514"/>
      <c r="AG39" s="897"/>
      <c r="AH39" s="789"/>
      <c r="AI39" s="664">
        <f t="shared" si="1"/>
        <v>0</v>
      </c>
      <c r="AJ39" s="521">
        <v>0</v>
      </c>
      <c r="AK39" s="520">
        <f t="shared" si="2"/>
        <v>0</v>
      </c>
      <c r="AL39" s="672" t="s">
        <v>1461</v>
      </c>
      <c r="AM39" s="669">
        <f t="shared" si="3"/>
        <v>8.75</v>
      </c>
    </row>
    <row r="40" spans="1:39" s="500" customFormat="1">
      <c r="A40" s="539" t="s">
        <v>560</v>
      </c>
      <c r="B40" s="539" t="s">
        <v>1158</v>
      </c>
      <c r="C40" s="472" t="s">
        <v>40</v>
      </c>
      <c r="D40" s="519"/>
      <c r="E40" s="726"/>
      <c r="F40" s="520"/>
      <c r="G40" s="520"/>
      <c r="H40" s="520"/>
      <c r="I40" s="521"/>
      <c r="J40" s="521"/>
      <c r="K40" s="521"/>
      <c r="L40" s="756"/>
      <c r="M40" s="514"/>
      <c r="N40" s="514"/>
      <c r="O40" s="514"/>
      <c r="P40" s="514"/>
      <c r="Q40" s="514"/>
      <c r="R40" s="514"/>
      <c r="S40" s="756"/>
      <c r="T40" s="514"/>
      <c r="U40" s="514"/>
      <c r="V40" s="514"/>
      <c r="W40" s="514"/>
      <c r="X40" s="514"/>
      <c r="Y40" s="514"/>
      <c r="Z40" s="756"/>
      <c r="AA40" s="514"/>
      <c r="AB40" s="514"/>
      <c r="AC40" s="514"/>
      <c r="AD40" s="514"/>
      <c r="AE40" s="774"/>
      <c r="AF40" s="514"/>
      <c r="AG40" s="897"/>
      <c r="AH40" s="789"/>
      <c r="AI40" s="664">
        <f t="shared" si="1"/>
        <v>0</v>
      </c>
      <c r="AJ40" s="521">
        <v>0</v>
      </c>
      <c r="AK40" s="520">
        <f t="shared" si="2"/>
        <v>0</v>
      </c>
      <c r="AL40" s="672" t="s">
        <v>1462</v>
      </c>
      <c r="AM40" s="669">
        <f t="shared" si="3"/>
        <v>13.99</v>
      </c>
    </row>
    <row r="41" spans="1:39" s="500" customFormat="1">
      <c r="A41" s="539" t="s">
        <v>561</v>
      </c>
      <c r="B41" s="539" t="s">
        <v>1159</v>
      </c>
      <c r="C41" s="472" t="s">
        <v>37</v>
      </c>
      <c r="D41" s="519"/>
      <c r="E41" s="726"/>
      <c r="F41" s="520"/>
      <c r="G41" s="520"/>
      <c r="H41" s="520"/>
      <c r="I41" s="521"/>
      <c r="J41" s="521"/>
      <c r="K41" s="521"/>
      <c r="L41" s="756"/>
      <c r="M41" s="514"/>
      <c r="N41" s="514"/>
      <c r="O41" s="514"/>
      <c r="P41" s="514"/>
      <c r="Q41" s="514"/>
      <c r="R41" s="514"/>
      <c r="S41" s="756"/>
      <c r="T41" s="514"/>
      <c r="U41" s="514"/>
      <c r="V41" s="514"/>
      <c r="W41" s="514"/>
      <c r="X41" s="514"/>
      <c r="Y41" s="514"/>
      <c r="Z41" s="756"/>
      <c r="AA41" s="514"/>
      <c r="AB41" s="514"/>
      <c r="AC41" s="514"/>
      <c r="AD41" s="514"/>
      <c r="AE41" s="774"/>
      <c r="AF41" s="514"/>
      <c r="AG41" s="897"/>
      <c r="AH41" s="789"/>
      <c r="AI41" s="664">
        <f t="shared" si="1"/>
        <v>0</v>
      </c>
      <c r="AJ41" s="521">
        <v>0</v>
      </c>
      <c r="AK41" s="520">
        <f t="shared" si="2"/>
        <v>0</v>
      </c>
      <c r="AL41" s="672" t="s">
        <v>1463</v>
      </c>
      <c r="AM41" s="669">
        <f t="shared" si="3"/>
        <v>26.03</v>
      </c>
    </row>
    <row r="42" spans="1:39" s="518" customFormat="1" ht="11.25" customHeight="1">
      <c r="A42" s="539" t="s">
        <v>562</v>
      </c>
      <c r="B42" s="539" t="s">
        <v>1160</v>
      </c>
      <c r="C42" s="472" t="s">
        <v>40</v>
      </c>
      <c r="D42" s="525"/>
      <c r="E42" s="731"/>
      <c r="F42" s="526"/>
      <c r="G42" s="526"/>
      <c r="H42" s="526"/>
      <c r="I42" s="527"/>
      <c r="J42" s="527"/>
      <c r="K42" s="527"/>
      <c r="L42" s="756"/>
      <c r="M42" s="514"/>
      <c r="N42" s="514"/>
      <c r="O42" s="514"/>
      <c r="P42" s="514"/>
      <c r="Q42" s="514"/>
      <c r="R42" s="514"/>
      <c r="S42" s="756"/>
      <c r="T42" s="514"/>
      <c r="U42" s="514"/>
      <c r="V42" s="514"/>
      <c r="W42" s="514"/>
      <c r="X42" s="514"/>
      <c r="Y42" s="514"/>
      <c r="Z42" s="756"/>
      <c r="AA42" s="514"/>
      <c r="AB42" s="514"/>
      <c r="AC42" s="514"/>
      <c r="AD42" s="514"/>
      <c r="AE42" s="774"/>
      <c r="AF42" s="514"/>
      <c r="AG42" s="897"/>
      <c r="AH42" s="789"/>
      <c r="AI42" s="664">
        <f t="shared" si="1"/>
        <v>0</v>
      </c>
      <c r="AJ42" s="521">
        <v>0</v>
      </c>
      <c r="AK42" s="520">
        <f t="shared" si="2"/>
        <v>0</v>
      </c>
      <c r="AL42" s="673" t="s">
        <v>1464</v>
      </c>
      <c r="AM42" s="669">
        <f t="shared" si="3"/>
        <v>27.56</v>
      </c>
    </row>
    <row r="43" spans="1:39" s="500" customFormat="1" ht="11.25" customHeight="1">
      <c r="A43" s="539" t="s">
        <v>563</v>
      </c>
      <c r="B43" s="539" t="s">
        <v>1161</v>
      </c>
      <c r="C43" s="548" t="s">
        <v>40</v>
      </c>
      <c r="D43" s="519"/>
      <c r="E43" s="726"/>
      <c r="F43" s="520"/>
      <c r="G43" s="520"/>
      <c r="H43" s="520"/>
      <c r="I43" s="521"/>
      <c r="J43" s="521"/>
      <c r="K43" s="521"/>
      <c r="L43" s="756"/>
      <c r="M43" s="514"/>
      <c r="N43" s="514"/>
      <c r="O43" s="514"/>
      <c r="P43" s="514"/>
      <c r="Q43" s="514"/>
      <c r="R43" s="514"/>
      <c r="S43" s="756"/>
      <c r="T43" s="514"/>
      <c r="U43" s="514"/>
      <c r="V43" s="514"/>
      <c r="W43" s="514"/>
      <c r="X43" s="514"/>
      <c r="Y43" s="514"/>
      <c r="Z43" s="756"/>
      <c r="AA43" s="514"/>
      <c r="AB43" s="514"/>
      <c r="AC43" s="514"/>
      <c r="AD43" s="514"/>
      <c r="AE43" s="774"/>
      <c r="AF43" s="514"/>
      <c r="AG43" s="897"/>
      <c r="AH43" s="789"/>
      <c r="AI43" s="664">
        <f t="shared" si="1"/>
        <v>0</v>
      </c>
      <c r="AJ43" s="521">
        <v>0</v>
      </c>
      <c r="AK43" s="520">
        <f t="shared" si="2"/>
        <v>0</v>
      </c>
      <c r="AL43" s="672" t="s">
        <v>1464</v>
      </c>
      <c r="AM43" s="669">
        <f t="shared" si="3"/>
        <v>27.56</v>
      </c>
    </row>
    <row r="44" spans="1:39" s="500" customFormat="1" ht="11.25" customHeight="1">
      <c r="A44" s="542" t="s">
        <v>564</v>
      </c>
      <c r="B44" s="542" t="s">
        <v>1162</v>
      </c>
      <c r="C44" s="605"/>
      <c r="D44" s="519"/>
      <c r="E44" s="726"/>
      <c r="F44" s="520"/>
      <c r="G44" s="520"/>
      <c r="H44" s="520"/>
      <c r="I44" s="521"/>
      <c r="J44" s="521"/>
      <c r="K44" s="521"/>
      <c r="L44" s="756"/>
      <c r="M44" s="514"/>
      <c r="N44" s="514"/>
      <c r="O44" s="514"/>
      <c r="P44" s="514"/>
      <c r="Q44" s="514"/>
      <c r="R44" s="514"/>
      <c r="S44" s="756"/>
      <c r="T44" s="514"/>
      <c r="U44" s="514"/>
      <c r="V44" s="514"/>
      <c r="W44" s="514"/>
      <c r="X44" s="514"/>
      <c r="Y44" s="514"/>
      <c r="Z44" s="756"/>
      <c r="AA44" s="514"/>
      <c r="AB44" s="514"/>
      <c r="AC44" s="514"/>
      <c r="AD44" s="514"/>
      <c r="AE44" s="774"/>
      <c r="AF44" s="514"/>
      <c r="AG44" s="897"/>
      <c r="AH44" s="789"/>
      <c r="AI44" s="664">
        <f t="shared" si="1"/>
        <v>0</v>
      </c>
      <c r="AJ44" s="521">
        <v>0</v>
      </c>
      <c r="AK44" s="520">
        <f t="shared" si="2"/>
        <v>0</v>
      </c>
      <c r="AL44" s="672"/>
      <c r="AM44" s="669">
        <f t="shared" si="3"/>
        <v>0</v>
      </c>
    </row>
    <row r="45" spans="1:39" s="500" customFormat="1" ht="11.25" customHeight="1">
      <c r="A45" s="539" t="s">
        <v>565</v>
      </c>
      <c r="B45" s="539" t="s">
        <v>1163</v>
      </c>
      <c r="C45" s="472" t="s">
        <v>40</v>
      </c>
      <c r="D45" s="519"/>
      <c r="E45" s="726"/>
      <c r="F45" s="520"/>
      <c r="G45" s="520"/>
      <c r="H45" s="520"/>
      <c r="I45" s="521"/>
      <c r="J45" s="521"/>
      <c r="K45" s="521"/>
      <c r="L45" s="756"/>
      <c r="M45" s="514"/>
      <c r="N45" s="514"/>
      <c r="O45" s="514"/>
      <c r="P45" s="514"/>
      <c r="Q45" s="514"/>
      <c r="R45" s="514"/>
      <c r="S45" s="756"/>
      <c r="T45" s="514"/>
      <c r="U45" s="514"/>
      <c r="V45" s="514"/>
      <c r="W45" s="514"/>
      <c r="X45" s="514"/>
      <c r="Y45" s="514"/>
      <c r="Z45" s="756"/>
      <c r="AA45" s="514"/>
      <c r="AB45" s="514"/>
      <c r="AC45" s="514"/>
      <c r="AD45" s="514"/>
      <c r="AE45" s="774"/>
      <c r="AF45" s="514"/>
      <c r="AG45" s="897"/>
      <c r="AH45" s="789"/>
      <c r="AI45" s="664">
        <f t="shared" si="1"/>
        <v>0</v>
      </c>
      <c r="AJ45" s="521">
        <v>0</v>
      </c>
      <c r="AK45" s="520">
        <f t="shared" si="2"/>
        <v>0</v>
      </c>
      <c r="AL45" s="672" t="s">
        <v>1465</v>
      </c>
      <c r="AM45" s="669">
        <f t="shared" si="3"/>
        <v>7.7</v>
      </c>
    </row>
    <row r="46" spans="1:39" s="500" customFormat="1">
      <c r="A46" s="539" t="s">
        <v>566</v>
      </c>
      <c r="B46" s="539" t="s">
        <v>1164</v>
      </c>
      <c r="C46" s="472" t="s">
        <v>37</v>
      </c>
      <c r="D46" s="519"/>
      <c r="E46" s="726"/>
      <c r="F46" s="520"/>
      <c r="G46" s="520"/>
      <c r="H46" s="520"/>
      <c r="I46" s="521"/>
      <c r="J46" s="521"/>
      <c r="K46" s="521"/>
      <c r="L46" s="756"/>
      <c r="M46" s="514"/>
      <c r="N46" s="514"/>
      <c r="O46" s="514"/>
      <c r="P46" s="514"/>
      <c r="Q46" s="514"/>
      <c r="R46" s="514"/>
      <c r="S46" s="756"/>
      <c r="T46" s="514"/>
      <c r="U46" s="514"/>
      <c r="V46" s="514"/>
      <c r="W46" s="514"/>
      <c r="X46" s="514"/>
      <c r="Y46" s="514"/>
      <c r="Z46" s="756"/>
      <c r="AA46" s="514"/>
      <c r="AB46" s="514"/>
      <c r="AC46" s="514"/>
      <c r="AD46" s="514"/>
      <c r="AE46" s="774"/>
      <c r="AF46" s="514"/>
      <c r="AG46" s="897"/>
      <c r="AH46" s="789"/>
      <c r="AI46" s="664">
        <f t="shared" si="1"/>
        <v>0</v>
      </c>
      <c r="AJ46" s="521">
        <v>0</v>
      </c>
      <c r="AK46" s="520">
        <f t="shared" si="2"/>
        <v>0</v>
      </c>
      <c r="AL46" s="672" t="s">
        <v>1466</v>
      </c>
      <c r="AM46" s="669">
        <f t="shared" si="3"/>
        <v>13.46</v>
      </c>
    </row>
    <row r="47" spans="1:39" s="500" customFormat="1">
      <c r="A47" s="539" t="s">
        <v>567</v>
      </c>
      <c r="B47" s="539" t="s">
        <v>1165</v>
      </c>
      <c r="C47" s="472" t="s">
        <v>40</v>
      </c>
      <c r="D47" s="519"/>
      <c r="E47" s="726"/>
      <c r="F47" s="520"/>
      <c r="G47" s="520"/>
      <c r="H47" s="520"/>
      <c r="I47" s="521"/>
      <c r="J47" s="521"/>
      <c r="K47" s="521"/>
      <c r="L47" s="756"/>
      <c r="M47" s="514"/>
      <c r="N47" s="514"/>
      <c r="O47" s="514"/>
      <c r="P47" s="514"/>
      <c r="Q47" s="514"/>
      <c r="R47" s="514"/>
      <c r="S47" s="756"/>
      <c r="T47" s="514"/>
      <c r="U47" s="514"/>
      <c r="V47" s="514"/>
      <c r="W47" s="514"/>
      <c r="X47" s="514"/>
      <c r="Y47" s="514"/>
      <c r="Z47" s="756"/>
      <c r="AA47" s="514"/>
      <c r="AB47" s="514"/>
      <c r="AC47" s="514"/>
      <c r="AD47" s="514"/>
      <c r="AE47" s="774"/>
      <c r="AF47" s="514"/>
      <c r="AG47" s="897"/>
      <c r="AH47" s="789"/>
      <c r="AI47" s="664">
        <f t="shared" si="1"/>
        <v>0</v>
      </c>
      <c r="AJ47" s="521">
        <v>0</v>
      </c>
      <c r="AK47" s="520">
        <f t="shared" si="2"/>
        <v>0</v>
      </c>
      <c r="AL47" s="672" t="s">
        <v>1467</v>
      </c>
      <c r="AM47" s="669">
        <f t="shared" si="3"/>
        <v>2.97</v>
      </c>
    </row>
    <row r="48" spans="1:39" s="500" customFormat="1">
      <c r="A48" s="539" t="s">
        <v>568</v>
      </c>
      <c r="B48" s="539" t="s">
        <v>1166</v>
      </c>
      <c r="C48" s="472" t="s">
        <v>40</v>
      </c>
      <c r="D48" s="519"/>
      <c r="E48" s="726"/>
      <c r="F48" s="520"/>
      <c r="G48" s="520"/>
      <c r="H48" s="520"/>
      <c r="I48" s="521"/>
      <c r="J48" s="521"/>
      <c r="K48" s="521"/>
      <c r="L48" s="756"/>
      <c r="M48" s="514"/>
      <c r="N48" s="514"/>
      <c r="O48" s="514"/>
      <c r="P48" s="514"/>
      <c r="Q48" s="514"/>
      <c r="R48" s="514"/>
      <c r="S48" s="756"/>
      <c r="T48" s="514"/>
      <c r="U48" s="514"/>
      <c r="V48" s="514"/>
      <c r="W48" s="514"/>
      <c r="X48" s="514"/>
      <c r="Y48" s="514"/>
      <c r="Z48" s="756"/>
      <c r="AA48" s="514"/>
      <c r="AB48" s="514"/>
      <c r="AC48" s="514"/>
      <c r="AD48" s="514"/>
      <c r="AE48" s="774"/>
      <c r="AF48" s="514"/>
      <c r="AG48" s="897"/>
      <c r="AH48" s="789"/>
      <c r="AI48" s="664">
        <f t="shared" si="1"/>
        <v>0</v>
      </c>
      <c r="AJ48" s="521">
        <v>0</v>
      </c>
      <c r="AK48" s="520">
        <f t="shared" si="2"/>
        <v>0</v>
      </c>
      <c r="AL48" s="672" t="s">
        <v>1468</v>
      </c>
      <c r="AM48" s="669">
        <f t="shared" si="3"/>
        <v>0.84</v>
      </c>
    </row>
    <row r="49" spans="1:39" s="500" customFormat="1">
      <c r="A49" s="539" t="s">
        <v>569</v>
      </c>
      <c r="B49" s="539" t="s">
        <v>1167</v>
      </c>
      <c r="C49" s="472" t="s">
        <v>37</v>
      </c>
      <c r="D49" s="519"/>
      <c r="E49" s="726"/>
      <c r="F49" s="520"/>
      <c r="G49" s="520"/>
      <c r="H49" s="520"/>
      <c r="I49" s="521"/>
      <c r="J49" s="521"/>
      <c r="K49" s="521"/>
      <c r="L49" s="756"/>
      <c r="M49" s="514"/>
      <c r="N49" s="514"/>
      <c r="O49" s="514"/>
      <c r="P49" s="514"/>
      <c r="Q49" s="514"/>
      <c r="R49" s="514"/>
      <c r="S49" s="756"/>
      <c r="T49" s="514"/>
      <c r="U49" s="514"/>
      <c r="V49" s="514"/>
      <c r="W49" s="514"/>
      <c r="X49" s="514"/>
      <c r="Y49" s="514"/>
      <c r="Z49" s="756"/>
      <c r="AA49" s="514"/>
      <c r="AB49" s="514"/>
      <c r="AC49" s="514"/>
      <c r="AD49" s="514"/>
      <c r="AE49" s="774"/>
      <c r="AF49" s="514"/>
      <c r="AG49" s="897"/>
      <c r="AH49" s="789"/>
      <c r="AI49" s="664">
        <f t="shared" si="1"/>
        <v>0</v>
      </c>
      <c r="AJ49" s="521">
        <v>0</v>
      </c>
      <c r="AK49" s="520">
        <f t="shared" si="2"/>
        <v>0</v>
      </c>
      <c r="AL49" s="672" t="s">
        <v>1469</v>
      </c>
      <c r="AM49" s="669">
        <f t="shared" si="3"/>
        <v>23.65</v>
      </c>
    </row>
    <row r="50" spans="1:39" s="500" customFormat="1">
      <c r="A50" s="539" t="s">
        <v>570</v>
      </c>
      <c r="B50" s="539" t="s">
        <v>1168</v>
      </c>
      <c r="C50" s="472" t="s">
        <v>37</v>
      </c>
      <c r="D50" s="519"/>
      <c r="E50" s="726"/>
      <c r="F50" s="520"/>
      <c r="G50" s="520"/>
      <c r="H50" s="520"/>
      <c r="I50" s="521"/>
      <c r="J50" s="521"/>
      <c r="K50" s="521"/>
      <c r="L50" s="756"/>
      <c r="M50" s="514"/>
      <c r="N50" s="514"/>
      <c r="O50" s="514"/>
      <c r="P50" s="514"/>
      <c r="Q50" s="514"/>
      <c r="R50" s="514"/>
      <c r="S50" s="756"/>
      <c r="T50" s="514"/>
      <c r="U50" s="514"/>
      <c r="V50" s="514"/>
      <c r="W50" s="514"/>
      <c r="X50" s="514"/>
      <c r="Y50" s="514"/>
      <c r="Z50" s="756"/>
      <c r="AA50" s="514"/>
      <c r="AB50" s="514"/>
      <c r="AC50" s="514"/>
      <c r="AD50" s="514"/>
      <c r="AE50" s="774"/>
      <c r="AF50" s="514"/>
      <c r="AG50" s="897"/>
      <c r="AH50" s="789"/>
      <c r="AI50" s="664">
        <f t="shared" si="1"/>
        <v>0</v>
      </c>
      <c r="AJ50" s="521">
        <v>0</v>
      </c>
      <c r="AK50" s="520">
        <f t="shared" si="2"/>
        <v>0</v>
      </c>
      <c r="AL50" s="672" t="s">
        <v>1463</v>
      </c>
      <c r="AM50" s="669">
        <f t="shared" si="3"/>
        <v>26.03</v>
      </c>
    </row>
    <row r="51" spans="1:39" s="500" customFormat="1">
      <c r="A51" s="542" t="s">
        <v>571</v>
      </c>
      <c r="B51" s="542" t="s">
        <v>1169</v>
      </c>
      <c r="C51" s="605"/>
      <c r="D51" s="519"/>
      <c r="E51" s="726"/>
      <c r="F51" s="520"/>
      <c r="G51" s="520"/>
      <c r="H51" s="520"/>
      <c r="I51" s="521"/>
      <c r="J51" s="521"/>
      <c r="K51" s="521"/>
      <c r="L51" s="756"/>
      <c r="M51" s="514"/>
      <c r="N51" s="514"/>
      <c r="O51" s="514"/>
      <c r="P51" s="514"/>
      <c r="Q51" s="514"/>
      <c r="R51" s="514"/>
      <c r="S51" s="756"/>
      <c r="T51" s="514"/>
      <c r="U51" s="514"/>
      <c r="V51" s="514"/>
      <c r="W51" s="514"/>
      <c r="X51" s="514"/>
      <c r="Y51" s="514"/>
      <c r="Z51" s="756"/>
      <c r="AA51" s="514"/>
      <c r="AB51" s="514"/>
      <c r="AC51" s="514"/>
      <c r="AD51" s="514"/>
      <c r="AE51" s="774"/>
      <c r="AF51" s="514"/>
      <c r="AG51" s="897"/>
      <c r="AH51" s="789"/>
      <c r="AI51" s="664">
        <f t="shared" si="1"/>
        <v>0</v>
      </c>
      <c r="AJ51" s="521">
        <v>0</v>
      </c>
      <c r="AK51" s="520">
        <f t="shared" si="2"/>
        <v>0</v>
      </c>
      <c r="AL51" s="672"/>
      <c r="AM51" s="669">
        <f t="shared" si="3"/>
        <v>0</v>
      </c>
    </row>
    <row r="52" spans="1:39" s="500" customFormat="1">
      <c r="A52" s="539" t="s">
        <v>572</v>
      </c>
      <c r="B52" s="539" t="s">
        <v>1170</v>
      </c>
      <c r="C52" s="605"/>
      <c r="D52" s="519"/>
      <c r="E52" s="726"/>
      <c r="F52" s="520"/>
      <c r="G52" s="520"/>
      <c r="H52" s="520"/>
      <c r="I52" s="521"/>
      <c r="J52" s="521"/>
      <c r="K52" s="521"/>
      <c r="L52" s="756"/>
      <c r="M52" s="514"/>
      <c r="N52" s="514"/>
      <c r="O52" s="514"/>
      <c r="P52" s="514"/>
      <c r="Q52" s="514"/>
      <c r="R52" s="514"/>
      <c r="S52" s="756"/>
      <c r="T52" s="514"/>
      <c r="U52" s="514"/>
      <c r="V52" s="514"/>
      <c r="W52" s="514"/>
      <c r="X52" s="514"/>
      <c r="Y52" s="514"/>
      <c r="Z52" s="756"/>
      <c r="AA52" s="514"/>
      <c r="AB52" s="514"/>
      <c r="AC52" s="514"/>
      <c r="AD52" s="514"/>
      <c r="AE52" s="774"/>
      <c r="AF52" s="514"/>
      <c r="AG52" s="897"/>
      <c r="AH52" s="789"/>
      <c r="AI52" s="664">
        <f t="shared" si="1"/>
        <v>0</v>
      </c>
      <c r="AJ52" s="521">
        <v>0</v>
      </c>
      <c r="AK52" s="520">
        <f t="shared" si="2"/>
        <v>0</v>
      </c>
      <c r="AL52" s="672"/>
      <c r="AM52" s="669">
        <f t="shared" si="3"/>
        <v>0</v>
      </c>
    </row>
    <row r="53" spans="1:39" s="500" customFormat="1">
      <c r="A53" s="539" t="s">
        <v>573</v>
      </c>
      <c r="B53" s="539" t="s">
        <v>1171</v>
      </c>
      <c r="C53" s="472" t="s">
        <v>40</v>
      </c>
      <c r="D53" s="519"/>
      <c r="E53" s="726"/>
      <c r="F53" s="520"/>
      <c r="G53" s="520"/>
      <c r="H53" s="520"/>
      <c r="I53" s="521"/>
      <c r="J53" s="521"/>
      <c r="K53" s="521"/>
      <c r="L53" s="756"/>
      <c r="M53" s="514"/>
      <c r="N53" s="514"/>
      <c r="O53" s="514"/>
      <c r="P53" s="514"/>
      <c r="Q53" s="514"/>
      <c r="R53" s="514"/>
      <c r="S53" s="756"/>
      <c r="T53" s="514"/>
      <c r="U53" s="514"/>
      <c r="V53" s="514"/>
      <c r="W53" s="514"/>
      <c r="X53" s="514"/>
      <c r="Y53" s="514"/>
      <c r="Z53" s="756"/>
      <c r="AA53" s="514"/>
      <c r="AB53" s="514"/>
      <c r="AC53" s="514"/>
      <c r="AD53" s="514"/>
      <c r="AE53" s="774"/>
      <c r="AF53" s="514"/>
      <c r="AG53" s="897"/>
      <c r="AH53" s="789"/>
      <c r="AI53" s="664">
        <f t="shared" si="1"/>
        <v>0</v>
      </c>
      <c r="AJ53" s="521">
        <v>0</v>
      </c>
      <c r="AK53" s="520">
        <f t="shared" si="2"/>
        <v>0</v>
      </c>
      <c r="AL53" s="672" t="s">
        <v>1470</v>
      </c>
      <c r="AM53" s="669">
        <f t="shared" si="3"/>
        <v>4.6100000000000003</v>
      </c>
    </row>
    <row r="54" spans="1:39" s="500" customFormat="1">
      <c r="A54" s="539" t="s">
        <v>574</v>
      </c>
      <c r="B54" s="539" t="s">
        <v>1172</v>
      </c>
      <c r="C54" s="472" t="s">
        <v>48</v>
      </c>
      <c r="D54" s="519"/>
      <c r="E54" s="726"/>
      <c r="F54" s="520"/>
      <c r="G54" s="520"/>
      <c r="H54" s="520"/>
      <c r="I54" s="521"/>
      <c r="J54" s="521"/>
      <c r="K54" s="521"/>
      <c r="L54" s="756"/>
      <c r="M54" s="514"/>
      <c r="N54" s="514"/>
      <c r="O54" s="514"/>
      <c r="P54" s="514"/>
      <c r="Q54" s="514"/>
      <c r="R54" s="514"/>
      <c r="S54" s="756"/>
      <c r="T54" s="514"/>
      <c r="U54" s="514"/>
      <c r="V54" s="514"/>
      <c r="W54" s="514"/>
      <c r="X54" s="514"/>
      <c r="Y54" s="514"/>
      <c r="Z54" s="756"/>
      <c r="AA54" s="514"/>
      <c r="AB54" s="514"/>
      <c r="AC54" s="514"/>
      <c r="AD54" s="514"/>
      <c r="AE54" s="774"/>
      <c r="AF54" s="514"/>
      <c r="AG54" s="897"/>
      <c r="AH54" s="789"/>
      <c r="AI54" s="664">
        <f t="shared" si="1"/>
        <v>0</v>
      </c>
      <c r="AJ54" s="521">
        <v>0</v>
      </c>
      <c r="AK54" s="520">
        <f t="shared" si="2"/>
        <v>0</v>
      </c>
      <c r="AL54" s="672" t="s">
        <v>1471</v>
      </c>
      <c r="AM54" s="669">
        <f t="shared" si="3"/>
        <v>192.7</v>
      </c>
    </row>
    <row r="55" spans="1:39" s="500" customFormat="1">
      <c r="A55" s="539" t="s">
        <v>575</v>
      </c>
      <c r="B55" s="539" t="s">
        <v>1173</v>
      </c>
      <c r="C55" s="605"/>
      <c r="D55" s="519"/>
      <c r="E55" s="726"/>
      <c r="F55" s="520"/>
      <c r="G55" s="520"/>
      <c r="H55" s="520"/>
      <c r="I55" s="521"/>
      <c r="J55" s="521"/>
      <c r="K55" s="521"/>
      <c r="L55" s="756"/>
      <c r="M55" s="514"/>
      <c r="N55" s="514"/>
      <c r="O55" s="514"/>
      <c r="P55" s="514"/>
      <c r="Q55" s="514"/>
      <c r="R55" s="514"/>
      <c r="S55" s="756"/>
      <c r="T55" s="514"/>
      <c r="U55" s="514"/>
      <c r="V55" s="514"/>
      <c r="W55" s="514"/>
      <c r="X55" s="514"/>
      <c r="Y55" s="514"/>
      <c r="Z55" s="756"/>
      <c r="AA55" s="514"/>
      <c r="AB55" s="514"/>
      <c r="AC55" s="514"/>
      <c r="AD55" s="514"/>
      <c r="AE55" s="774"/>
      <c r="AF55" s="514"/>
      <c r="AG55" s="897"/>
      <c r="AH55" s="789"/>
      <c r="AI55" s="664">
        <f t="shared" si="1"/>
        <v>0</v>
      </c>
      <c r="AJ55" s="521">
        <v>0</v>
      </c>
      <c r="AK55" s="520">
        <f t="shared" si="2"/>
        <v>0</v>
      </c>
      <c r="AL55" s="672"/>
      <c r="AM55" s="669">
        <f t="shared" si="3"/>
        <v>0</v>
      </c>
    </row>
    <row r="56" spans="1:39" s="500" customFormat="1">
      <c r="A56" s="539" t="s">
        <v>576</v>
      </c>
      <c r="B56" s="539" t="s">
        <v>1174</v>
      </c>
      <c r="C56" s="472" t="s">
        <v>40</v>
      </c>
      <c r="D56" s="519"/>
      <c r="E56" s="726"/>
      <c r="F56" s="520"/>
      <c r="G56" s="520"/>
      <c r="H56" s="520"/>
      <c r="I56" s="521"/>
      <c r="J56" s="521"/>
      <c r="K56" s="521"/>
      <c r="L56" s="756"/>
      <c r="M56" s="514"/>
      <c r="N56" s="514"/>
      <c r="O56" s="514"/>
      <c r="P56" s="514"/>
      <c r="Q56" s="514"/>
      <c r="R56" s="514"/>
      <c r="S56" s="756"/>
      <c r="T56" s="514"/>
      <c r="U56" s="514"/>
      <c r="V56" s="514"/>
      <c r="W56" s="514"/>
      <c r="X56" s="514"/>
      <c r="Y56" s="514"/>
      <c r="Z56" s="756"/>
      <c r="AA56" s="514"/>
      <c r="AB56" s="514"/>
      <c r="AC56" s="514"/>
      <c r="AD56" s="514"/>
      <c r="AE56" s="774"/>
      <c r="AF56" s="514"/>
      <c r="AG56" s="897"/>
      <c r="AH56" s="789"/>
      <c r="AI56" s="664">
        <f t="shared" si="1"/>
        <v>0</v>
      </c>
      <c r="AJ56" s="521">
        <v>0</v>
      </c>
      <c r="AK56" s="520">
        <f t="shared" si="2"/>
        <v>0</v>
      </c>
      <c r="AL56" s="672" t="s">
        <v>1472</v>
      </c>
      <c r="AM56" s="669">
        <f t="shared" si="3"/>
        <v>1.93</v>
      </c>
    </row>
    <row r="57" spans="1:39" s="500" customFormat="1">
      <c r="A57" s="539" t="s">
        <v>577</v>
      </c>
      <c r="B57" s="539" t="s">
        <v>1175</v>
      </c>
      <c r="C57" s="472" t="s">
        <v>37</v>
      </c>
      <c r="D57" s="519"/>
      <c r="E57" s="726"/>
      <c r="F57" s="520"/>
      <c r="G57" s="520"/>
      <c r="H57" s="520"/>
      <c r="I57" s="521"/>
      <c r="J57" s="521"/>
      <c r="K57" s="521"/>
      <c r="L57" s="756"/>
      <c r="M57" s="514"/>
      <c r="N57" s="514"/>
      <c r="O57" s="514"/>
      <c r="P57" s="514"/>
      <c r="Q57" s="514"/>
      <c r="R57" s="514"/>
      <c r="S57" s="756"/>
      <c r="T57" s="514"/>
      <c r="U57" s="514"/>
      <c r="V57" s="514"/>
      <c r="W57" s="514"/>
      <c r="X57" s="514"/>
      <c r="Y57" s="514"/>
      <c r="Z57" s="756"/>
      <c r="AA57" s="514"/>
      <c r="AB57" s="514"/>
      <c r="AC57" s="514"/>
      <c r="AD57" s="514"/>
      <c r="AE57" s="774"/>
      <c r="AF57" s="514"/>
      <c r="AG57" s="897"/>
      <c r="AH57" s="789"/>
      <c r="AI57" s="664">
        <f t="shared" si="1"/>
        <v>0</v>
      </c>
      <c r="AJ57" s="521">
        <v>0</v>
      </c>
      <c r="AK57" s="520">
        <f t="shared" si="2"/>
        <v>0</v>
      </c>
      <c r="AL57" s="672" t="s">
        <v>1473</v>
      </c>
      <c r="AM57" s="669">
        <f t="shared" si="3"/>
        <v>15.42</v>
      </c>
    </row>
    <row r="58" spans="1:39" s="518" customFormat="1">
      <c r="A58" s="539" t="s">
        <v>578</v>
      </c>
      <c r="B58" s="539" t="s">
        <v>1176</v>
      </c>
      <c r="C58" s="472" t="s">
        <v>48</v>
      </c>
      <c r="D58" s="525"/>
      <c r="E58" s="731"/>
      <c r="F58" s="526"/>
      <c r="G58" s="526"/>
      <c r="H58" s="526"/>
      <c r="I58" s="527"/>
      <c r="J58" s="527"/>
      <c r="K58" s="527"/>
      <c r="L58" s="756"/>
      <c r="M58" s="514"/>
      <c r="N58" s="514"/>
      <c r="O58" s="514"/>
      <c r="P58" s="514"/>
      <c r="Q58" s="514"/>
      <c r="R58" s="514"/>
      <c r="S58" s="756"/>
      <c r="T58" s="514"/>
      <c r="U58" s="514"/>
      <c r="V58" s="514"/>
      <c r="W58" s="514"/>
      <c r="X58" s="514"/>
      <c r="Y58" s="514"/>
      <c r="Z58" s="756"/>
      <c r="AA58" s="514"/>
      <c r="AB58" s="514"/>
      <c r="AC58" s="514"/>
      <c r="AD58" s="514"/>
      <c r="AE58" s="774"/>
      <c r="AF58" s="514"/>
      <c r="AG58" s="897"/>
      <c r="AH58" s="789"/>
      <c r="AI58" s="664">
        <f t="shared" si="1"/>
        <v>0</v>
      </c>
      <c r="AJ58" s="521">
        <v>0</v>
      </c>
      <c r="AK58" s="520">
        <f t="shared" si="2"/>
        <v>0</v>
      </c>
      <c r="AL58" s="673" t="s">
        <v>1474</v>
      </c>
      <c r="AM58" s="669">
        <f t="shared" si="3"/>
        <v>275.55</v>
      </c>
    </row>
    <row r="59" spans="1:39" s="518" customFormat="1">
      <c r="A59" s="539" t="s">
        <v>579</v>
      </c>
      <c r="B59" s="539" t="s">
        <v>1177</v>
      </c>
      <c r="C59" s="605"/>
      <c r="D59" s="525"/>
      <c r="E59" s="731"/>
      <c r="F59" s="526"/>
      <c r="G59" s="526"/>
      <c r="H59" s="526"/>
      <c r="I59" s="527"/>
      <c r="J59" s="527"/>
      <c r="K59" s="527"/>
      <c r="L59" s="756"/>
      <c r="M59" s="514"/>
      <c r="N59" s="514"/>
      <c r="O59" s="514"/>
      <c r="P59" s="514"/>
      <c r="Q59" s="514"/>
      <c r="R59" s="514"/>
      <c r="S59" s="756"/>
      <c r="T59" s="514"/>
      <c r="U59" s="514"/>
      <c r="V59" s="514"/>
      <c r="W59" s="514"/>
      <c r="X59" s="514"/>
      <c r="Y59" s="514"/>
      <c r="Z59" s="756"/>
      <c r="AA59" s="514"/>
      <c r="AB59" s="514"/>
      <c r="AC59" s="514"/>
      <c r="AD59" s="514"/>
      <c r="AE59" s="774"/>
      <c r="AF59" s="514"/>
      <c r="AG59" s="897"/>
      <c r="AH59" s="789"/>
      <c r="AI59" s="664">
        <f t="shared" si="1"/>
        <v>0</v>
      </c>
      <c r="AJ59" s="521">
        <v>0</v>
      </c>
      <c r="AK59" s="520">
        <f t="shared" si="2"/>
        <v>0</v>
      </c>
      <c r="AL59" s="673"/>
      <c r="AM59" s="669">
        <f t="shared" si="3"/>
        <v>0</v>
      </c>
    </row>
    <row r="60" spans="1:39" s="500" customFormat="1">
      <c r="A60" s="539" t="s">
        <v>580</v>
      </c>
      <c r="B60" s="539" t="s">
        <v>1178</v>
      </c>
      <c r="C60" s="472" t="s">
        <v>40</v>
      </c>
      <c r="D60" s="519"/>
      <c r="E60" s="726"/>
      <c r="F60" s="520"/>
      <c r="G60" s="520"/>
      <c r="H60" s="520"/>
      <c r="I60" s="521"/>
      <c r="J60" s="521"/>
      <c r="K60" s="521"/>
      <c r="L60" s="756"/>
      <c r="M60" s="514"/>
      <c r="N60" s="514"/>
      <c r="O60" s="514"/>
      <c r="P60" s="514"/>
      <c r="Q60" s="514"/>
      <c r="R60" s="514"/>
      <c r="S60" s="756"/>
      <c r="T60" s="514"/>
      <c r="U60" s="514"/>
      <c r="V60" s="514"/>
      <c r="W60" s="514"/>
      <c r="X60" s="514"/>
      <c r="Y60" s="514"/>
      <c r="Z60" s="756"/>
      <c r="AA60" s="514"/>
      <c r="AB60" s="514"/>
      <c r="AC60" s="514"/>
      <c r="AD60" s="514"/>
      <c r="AE60" s="774"/>
      <c r="AF60" s="514"/>
      <c r="AG60" s="897"/>
      <c r="AH60" s="789"/>
      <c r="AI60" s="664">
        <f t="shared" si="1"/>
        <v>0</v>
      </c>
      <c r="AJ60" s="521">
        <v>0</v>
      </c>
      <c r="AK60" s="520">
        <f t="shared" si="2"/>
        <v>0</v>
      </c>
      <c r="AL60" s="672" t="s">
        <v>1475</v>
      </c>
      <c r="AM60" s="669">
        <f t="shared" si="3"/>
        <v>2.83</v>
      </c>
    </row>
    <row r="61" spans="1:39" s="500" customFormat="1">
      <c r="A61" s="539" t="s">
        <v>581</v>
      </c>
      <c r="B61" s="539" t="s">
        <v>1179</v>
      </c>
      <c r="C61" s="472" t="s">
        <v>37</v>
      </c>
      <c r="D61" s="519"/>
      <c r="E61" s="726"/>
      <c r="F61" s="520"/>
      <c r="G61" s="520"/>
      <c r="H61" s="520"/>
      <c r="I61" s="521"/>
      <c r="J61" s="521"/>
      <c r="K61" s="521"/>
      <c r="L61" s="756"/>
      <c r="M61" s="514"/>
      <c r="N61" s="514"/>
      <c r="O61" s="514"/>
      <c r="P61" s="514"/>
      <c r="Q61" s="514"/>
      <c r="R61" s="514"/>
      <c r="S61" s="756"/>
      <c r="T61" s="514"/>
      <c r="U61" s="514"/>
      <c r="V61" s="514"/>
      <c r="W61" s="514"/>
      <c r="X61" s="514"/>
      <c r="Y61" s="514"/>
      <c r="Z61" s="756"/>
      <c r="AA61" s="514"/>
      <c r="AB61" s="514"/>
      <c r="AC61" s="514"/>
      <c r="AD61" s="514"/>
      <c r="AE61" s="774"/>
      <c r="AF61" s="514"/>
      <c r="AG61" s="897"/>
      <c r="AH61" s="789"/>
      <c r="AI61" s="664">
        <f t="shared" si="1"/>
        <v>0</v>
      </c>
      <c r="AJ61" s="521">
        <v>0</v>
      </c>
      <c r="AK61" s="520">
        <f t="shared" si="2"/>
        <v>0</v>
      </c>
      <c r="AL61" s="672" t="s">
        <v>1476</v>
      </c>
      <c r="AM61" s="669">
        <f t="shared" si="3"/>
        <v>40.020000000000003</v>
      </c>
    </row>
    <row r="62" spans="1:39" s="500" customFormat="1">
      <c r="A62" s="539" t="s">
        <v>582</v>
      </c>
      <c r="B62" s="539" t="s">
        <v>1180</v>
      </c>
      <c r="C62" s="472" t="s">
        <v>48</v>
      </c>
      <c r="D62" s="519"/>
      <c r="E62" s="726"/>
      <c r="F62" s="520"/>
      <c r="G62" s="520"/>
      <c r="H62" s="520"/>
      <c r="I62" s="521"/>
      <c r="J62" s="521"/>
      <c r="K62" s="521"/>
      <c r="L62" s="756"/>
      <c r="M62" s="514"/>
      <c r="N62" s="514"/>
      <c r="O62" s="514"/>
      <c r="P62" s="514"/>
      <c r="Q62" s="514"/>
      <c r="R62" s="514"/>
      <c r="S62" s="756"/>
      <c r="T62" s="514"/>
      <c r="U62" s="514"/>
      <c r="V62" s="514"/>
      <c r="W62" s="514"/>
      <c r="X62" s="514"/>
      <c r="Y62" s="514"/>
      <c r="Z62" s="756"/>
      <c r="AA62" s="514"/>
      <c r="AB62" s="514"/>
      <c r="AC62" s="514"/>
      <c r="AD62" s="514"/>
      <c r="AE62" s="774"/>
      <c r="AF62" s="514"/>
      <c r="AG62" s="897"/>
      <c r="AH62" s="789"/>
      <c r="AI62" s="664">
        <f t="shared" si="1"/>
        <v>0</v>
      </c>
      <c r="AJ62" s="521">
        <v>0</v>
      </c>
      <c r="AK62" s="520">
        <f t="shared" si="2"/>
        <v>0</v>
      </c>
      <c r="AL62" s="672" t="s">
        <v>1477</v>
      </c>
      <c r="AM62" s="669">
        <f t="shared" si="3"/>
        <v>444.48</v>
      </c>
    </row>
    <row r="63" spans="1:39" s="500" customFormat="1">
      <c r="A63" s="539" t="s">
        <v>583</v>
      </c>
      <c r="B63" s="539" t="s">
        <v>1181</v>
      </c>
      <c r="C63" s="605"/>
      <c r="D63" s="519"/>
      <c r="E63" s="726"/>
      <c r="F63" s="520"/>
      <c r="G63" s="520"/>
      <c r="H63" s="520"/>
      <c r="I63" s="521"/>
      <c r="J63" s="521"/>
      <c r="K63" s="521"/>
      <c r="L63" s="756"/>
      <c r="M63" s="514"/>
      <c r="N63" s="514"/>
      <c r="O63" s="514"/>
      <c r="P63" s="514"/>
      <c r="Q63" s="514"/>
      <c r="R63" s="514"/>
      <c r="S63" s="756"/>
      <c r="T63" s="514"/>
      <c r="U63" s="514"/>
      <c r="V63" s="514"/>
      <c r="W63" s="514"/>
      <c r="X63" s="514"/>
      <c r="Y63" s="514"/>
      <c r="Z63" s="756"/>
      <c r="AA63" s="514"/>
      <c r="AB63" s="514"/>
      <c r="AC63" s="514"/>
      <c r="AD63" s="514"/>
      <c r="AE63" s="774"/>
      <c r="AF63" s="514"/>
      <c r="AG63" s="897"/>
      <c r="AH63" s="789"/>
      <c r="AI63" s="664">
        <f t="shared" si="1"/>
        <v>0</v>
      </c>
      <c r="AJ63" s="521">
        <v>0</v>
      </c>
      <c r="AK63" s="520">
        <f t="shared" si="2"/>
        <v>0</v>
      </c>
      <c r="AL63" s="672"/>
      <c r="AM63" s="669">
        <f t="shared" si="3"/>
        <v>0</v>
      </c>
    </row>
    <row r="64" spans="1:39" s="500" customFormat="1">
      <c r="A64" s="539" t="s">
        <v>584</v>
      </c>
      <c r="B64" s="539" t="s">
        <v>1182</v>
      </c>
      <c r="C64" s="472" t="s">
        <v>40</v>
      </c>
      <c r="D64" s="519"/>
      <c r="E64" s="726"/>
      <c r="F64" s="520"/>
      <c r="G64" s="520"/>
      <c r="H64" s="520"/>
      <c r="I64" s="521"/>
      <c r="J64" s="521"/>
      <c r="K64" s="521"/>
      <c r="L64" s="756"/>
      <c r="M64" s="514"/>
      <c r="N64" s="514"/>
      <c r="O64" s="514"/>
      <c r="P64" s="514"/>
      <c r="Q64" s="514"/>
      <c r="R64" s="514"/>
      <c r="S64" s="756"/>
      <c r="T64" s="514"/>
      <c r="U64" s="514"/>
      <c r="V64" s="514"/>
      <c r="W64" s="514"/>
      <c r="X64" s="514"/>
      <c r="Y64" s="514"/>
      <c r="Z64" s="756"/>
      <c r="AA64" s="514"/>
      <c r="AB64" s="514"/>
      <c r="AC64" s="514"/>
      <c r="AD64" s="514"/>
      <c r="AE64" s="774"/>
      <c r="AF64" s="514"/>
      <c r="AG64" s="897"/>
      <c r="AH64" s="789"/>
      <c r="AI64" s="664">
        <f t="shared" si="1"/>
        <v>0</v>
      </c>
      <c r="AJ64" s="521">
        <v>0</v>
      </c>
      <c r="AK64" s="520">
        <f t="shared" si="2"/>
        <v>0</v>
      </c>
      <c r="AL64" s="672" t="s">
        <v>1478</v>
      </c>
      <c r="AM64" s="669">
        <f t="shared" si="3"/>
        <v>1.49</v>
      </c>
    </row>
    <row r="65" spans="1:39" s="500" customFormat="1">
      <c r="A65" s="539" t="s">
        <v>585</v>
      </c>
      <c r="B65" s="539" t="s">
        <v>1183</v>
      </c>
      <c r="C65" s="548" t="s">
        <v>37</v>
      </c>
      <c r="D65" s="519"/>
      <c r="E65" s="726"/>
      <c r="F65" s="520"/>
      <c r="G65" s="520"/>
      <c r="H65" s="520"/>
      <c r="I65" s="521"/>
      <c r="J65" s="521"/>
      <c r="K65" s="521"/>
      <c r="L65" s="756"/>
      <c r="M65" s="514"/>
      <c r="N65" s="514"/>
      <c r="O65" s="514"/>
      <c r="P65" s="514"/>
      <c r="Q65" s="514"/>
      <c r="R65" s="514"/>
      <c r="S65" s="756"/>
      <c r="T65" s="514"/>
      <c r="U65" s="514"/>
      <c r="V65" s="514"/>
      <c r="W65" s="514"/>
      <c r="X65" s="514"/>
      <c r="Y65" s="514"/>
      <c r="Z65" s="756"/>
      <c r="AA65" s="514"/>
      <c r="AB65" s="514"/>
      <c r="AC65" s="514"/>
      <c r="AD65" s="514"/>
      <c r="AE65" s="774"/>
      <c r="AF65" s="514"/>
      <c r="AG65" s="897"/>
      <c r="AH65" s="789"/>
      <c r="AI65" s="664">
        <f t="shared" si="1"/>
        <v>0</v>
      </c>
      <c r="AJ65" s="521">
        <v>0</v>
      </c>
      <c r="AK65" s="520">
        <f t="shared" si="2"/>
        <v>0</v>
      </c>
      <c r="AL65" s="672" t="s">
        <v>1479</v>
      </c>
      <c r="AM65" s="669">
        <f t="shared" si="3"/>
        <v>19.71</v>
      </c>
    </row>
    <row r="66" spans="1:39" s="500" customFormat="1">
      <c r="A66" s="539" t="s">
        <v>586</v>
      </c>
      <c r="B66" s="539" t="s">
        <v>1184</v>
      </c>
      <c r="C66" s="472" t="s">
        <v>48</v>
      </c>
      <c r="D66" s="519"/>
      <c r="E66" s="726"/>
      <c r="F66" s="520"/>
      <c r="G66" s="520"/>
      <c r="H66" s="520"/>
      <c r="I66" s="521"/>
      <c r="J66" s="521"/>
      <c r="K66" s="521"/>
      <c r="L66" s="756"/>
      <c r="M66" s="514"/>
      <c r="N66" s="514"/>
      <c r="O66" s="514"/>
      <c r="P66" s="514"/>
      <c r="Q66" s="514"/>
      <c r="R66" s="514"/>
      <c r="S66" s="756"/>
      <c r="T66" s="514"/>
      <c r="U66" s="514"/>
      <c r="V66" s="514"/>
      <c r="W66" s="514"/>
      <c r="X66" s="514"/>
      <c r="Y66" s="514"/>
      <c r="Z66" s="756"/>
      <c r="AA66" s="514"/>
      <c r="AB66" s="514"/>
      <c r="AC66" s="514"/>
      <c r="AD66" s="514"/>
      <c r="AE66" s="774"/>
      <c r="AF66" s="514"/>
      <c r="AG66" s="897"/>
      <c r="AH66" s="789"/>
      <c r="AI66" s="664">
        <f t="shared" si="1"/>
        <v>0</v>
      </c>
      <c r="AJ66" s="521">
        <v>0</v>
      </c>
      <c r="AK66" s="520">
        <f t="shared" si="2"/>
        <v>0</v>
      </c>
      <c r="AL66" s="672" t="s">
        <v>1480</v>
      </c>
      <c r="AM66" s="669">
        <f t="shared" si="3"/>
        <v>659.98</v>
      </c>
    </row>
    <row r="67" spans="1:39" s="500" customFormat="1">
      <c r="A67" s="539" t="s">
        <v>587</v>
      </c>
      <c r="B67" s="539" t="s">
        <v>1185</v>
      </c>
      <c r="C67" s="605"/>
      <c r="D67" s="519"/>
      <c r="E67" s="726"/>
      <c r="F67" s="520"/>
      <c r="G67" s="520"/>
      <c r="H67" s="520"/>
      <c r="I67" s="521"/>
      <c r="J67" s="521"/>
      <c r="K67" s="521"/>
      <c r="L67" s="756"/>
      <c r="M67" s="514"/>
      <c r="N67" s="514"/>
      <c r="O67" s="514"/>
      <c r="P67" s="514"/>
      <c r="Q67" s="514"/>
      <c r="R67" s="514"/>
      <c r="S67" s="756"/>
      <c r="T67" s="514"/>
      <c r="U67" s="514"/>
      <c r="V67" s="514"/>
      <c r="W67" s="514"/>
      <c r="X67" s="514"/>
      <c r="Y67" s="514"/>
      <c r="Z67" s="756"/>
      <c r="AA67" s="514"/>
      <c r="AB67" s="514"/>
      <c r="AC67" s="514"/>
      <c r="AD67" s="514"/>
      <c r="AE67" s="774"/>
      <c r="AF67" s="514"/>
      <c r="AG67" s="897"/>
      <c r="AH67" s="789"/>
      <c r="AI67" s="664">
        <f t="shared" si="1"/>
        <v>0</v>
      </c>
      <c r="AJ67" s="521">
        <v>0</v>
      </c>
      <c r="AK67" s="520">
        <f t="shared" si="2"/>
        <v>0</v>
      </c>
      <c r="AL67" s="672"/>
      <c r="AM67" s="669">
        <f t="shared" si="3"/>
        <v>0</v>
      </c>
    </row>
    <row r="68" spans="1:39" s="500" customFormat="1">
      <c r="A68" s="539" t="s">
        <v>588</v>
      </c>
      <c r="B68" s="539" t="s">
        <v>1186</v>
      </c>
      <c r="C68" s="472" t="s">
        <v>40</v>
      </c>
      <c r="D68" s="519"/>
      <c r="E68" s="726"/>
      <c r="F68" s="520"/>
      <c r="G68" s="520"/>
      <c r="H68" s="520"/>
      <c r="I68" s="521"/>
      <c r="J68" s="521"/>
      <c r="K68" s="521"/>
      <c r="L68" s="756"/>
      <c r="M68" s="514"/>
      <c r="N68" s="514"/>
      <c r="O68" s="514"/>
      <c r="P68" s="514"/>
      <c r="Q68" s="514"/>
      <c r="R68" s="514"/>
      <c r="S68" s="756"/>
      <c r="T68" s="514"/>
      <c r="U68" s="514"/>
      <c r="V68" s="514"/>
      <c r="W68" s="514"/>
      <c r="X68" s="514"/>
      <c r="Y68" s="514"/>
      <c r="Z68" s="756"/>
      <c r="AA68" s="514"/>
      <c r="AB68" s="514"/>
      <c r="AC68" s="514"/>
      <c r="AD68" s="514"/>
      <c r="AE68" s="774"/>
      <c r="AF68" s="514"/>
      <c r="AG68" s="897"/>
      <c r="AH68" s="789"/>
      <c r="AI68" s="664">
        <f t="shared" si="1"/>
        <v>0</v>
      </c>
      <c r="AJ68" s="521">
        <v>0</v>
      </c>
      <c r="AK68" s="520">
        <f t="shared" si="2"/>
        <v>0</v>
      </c>
      <c r="AL68" s="672" t="s">
        <v>1481</v>
      </c>
      <c r="AM68" s="669">
        <f t="shared" si="3"/>
        <v>4.54</v>
      </c>
    </row>
    <row r="69" spans="1:39" s="500" customFormat="1">
      <c r="A69" s="539" t="s">
        <v>589</v>
      </c>
      <c r="B69" s="539" t="s">
        <v>1187</v>
      </c>
      <c r="C69" s="472" t="s">
        <v>37</v>
      </c>
      <c r="D69" s="519"/>
      <c r="E69" s="726"/>
      <c r="F69" s="520"/>
      <c r="G69" s="520"/>
      <c r="H69" s="520"/>
      <c r="I69" s="521"/>
      <c r="J69" s="521"/>
      <c r="K69" s="521"/>
      <c r="L69" s="756"/>
      <c r="M69" s="514"/>
      <c r="N69" s="514"/>
      <c r="O69" s="514"/>
      <c r="P69" s="514"/>
      <c r="Q69" s="514"/>
      <c r="R69" s="514"/>
      <c r="S69" s="756"/>
      <c r="T69" s="514"/>
      <c r="U69" s="514"/>
      <c r="V69" s="514"/>
      <c r="W69" s="514"/>
      <c r="X69" s="514"/>
      <c r="Y69" s="514"/>
      <c r="Z69" s="756"/>
      <c r="AA69" s="514"/>
      <c r="AB69" s="514"/>
      <c r="AC69" s="514"/>
      <c r="AD69" s="514"/>
      <c r="AE69" s="774"/>
      <c r="AF69" s="514"/>
      <c r="AG69" s="897"/>
      <c r="AH69" s="789"/>
      <c r="AI69" s="664">
        <f t="shared" si="1"/>
        <v>0</v>
      </c>
      <c r="AJ69" s="521">
        <v>0</v>
      </c>
      <c r="AK69" s="520">
        <f t="shared" si="2"/>
        <v>0</v>
      </c>
      <c r="AL69" s="672" t="s">
        <v>1482</v>
      </c>
      <c r="AM69" s="669">
        <f t="shared" si="3"/>
        <v>38.93</v>
      </c>
    </row>
    <row r="70" spans="1:39" s="500" customFormat="1">
      <c r="A70" s="539" t="s">
        <v>590</v>
      </c>
      <c r="B70" s="539" t="s">
        <v>1188</v>
      </c>
      <c r="C70" s="472" t="s">
        <v>48</v>
      </c>
      <c r="D70" s="519"/>
      <c r="E70" s="726"/>
      <c r="F70" s="520"/>
      <c r="G70" s="520"/>
      <c r="H70" s="520"/>
      <c r="I70" s="521"/>
      <c r="J70" s="521"/>
      <c r="K70" s="521"/>
      <c r="L70" s="756"/>
      <c r="M70" s="514"/>
      <c r="N70" s="514"/>
      <c r="O70" s="514"/>
      <c r="P70" s="514"/>
      <c r="Q70" s="514"/>
      <c r="R70" s="514"/>
      <c r="S70" s="756"/>
      <c r="T70" s="514"/>
      <c r="U70" s="514"/>
      <c r="V70" s="514"/>
      <c r="W70" s="514"/>
      <c r="X70" s="514"/>
      <c r="Y70" s="514"/>
      <c r="Z70" s="756"/>
      <c r="AA70" s="514"/>
      <c r="AB70" s="514"/>
      <c r="AC70" s="514"/>
      <c r="AD70" s="514"/>
      <c r="AE70" s="774"/>
      <c r="AF70" s="514"/>
      <c r="AG70" s="897"/>
      <c r="AH70" s="789"/>
      <c r="AI70" s="664">
        <f t="shared" si="1"/>
        <v>0</v>
      </c>
      <c r="AJ70" s="521">
        <v>0</v>
      </c>
      <c r="AK70" s="520">
        <f t="shared" si="2"/>
        <v>0</v>
      </c>
      <c r="AL70" s="672" t="s">
        <v>1483</v>
      </c>
      <c r="AM70" s="669">
        <f t="shared" si="3"/>
        <v>563.80999999999995</v>
      </c>
    </row>
    <row r="71" spans="1:39" s="518" customFormat="1">
      <c r="A71" s="539" t="s">
        <v>591</v>
      </c>
      <c r="B71" s="539" t="s">
        <v>1189</v>
      </c>
      <c r="C71" s="605"/>
      <c r="D71" s="525"/>
      <c r="E71" s="731"/>
      <c r="F71" s="526"/>
      <c r="G71" s="526"/>
      <c r="H71" s="526"/>
      <c r="I71" s="527"/>
      <c r="J71" s="527"/>
      <c r="K71" s="527"/>
      <c r="L71" s="756"/>
      <c r="M71" s="514"/>
      <c r="N71" s="514"/>
      <c r="O71" s="514"/>
      <c r="P71" s="514"/>
      <c r="Q71" s="514"/>
      <c r="R71" s="514"/>
      <c r="S71" s="756"/>
      <c r="T71" s="514"/>
      <c r="U71" s="514"/>
      <c r="V71" s="514"/>
      <c r="W71" s="514"/>
      <c r="X71" s="514"/>
      <c r="Y71" s="514"/>
      <c r="Z71" s="756"/>
      <c r="AA71" s="514"/>
      <c r="AB71" s="514"/>
      <c r="AC71" s="514"/>
      <c r="AD71" s="514"/>
      <c r="AE71" s="774"/>
      <c r="AF71" s="514"/>
      <c r="AG71" s="897"/>
      <c r="AH71" s="789"/>
      <c r="AI71" s="664">
        <f t="shared" si="1"/>
        <v>0</v>
      </c>
      <c r="AJ71" s="521">
        <v>0</v>
      </c>
      <c r="AK71" s="520">
        <f t="shared" si="2"/>
        <v>0</v>
      </c>
      <c r="AL71" s="673"/>
      <c r="AM71" s="669">
        <f t="shared" si="3"/>
        <v>0</v>
      </c>
    </row>
    <row r="72" spans="1:39" s="500" customFormat="1">
      <c r="A72" s="539" t="s">
        <v>592</v>
      </c>
      <c r="B72" s="539" t="s">
        <v>1190</v>
      </c>
      <c r="C72" s="472" t="s">
        <v>40</v>
      </c>
      <c r="D72" s="519"/>
      <c r="E72" s="726"/>
      <c r="F72" s="520"/>
      <c r="G72" s="520"/>
      <c r="H72" s="520"/>
      <c r="I72" s="521"/>
      <c r="J72" s="521"/>
      <c r="K72" s="521"/>
      <c r="L72" s="756"/>
      <c r="M72" s="514"/>
      <c r="N72" s="514"/>
      <c r="O72" s="514"/>
      <c r="P72" s="514"/>
      <c r="Q72" s="514"/>
      <c r="R72" s="514"/>
      <c r="S72" s="756"/>
      <c r="T72" s="514"/>
      <c r="U72" s="514"/>
      <c r="V72" s="514"/>
      <c r="W72" s="514"/>
      <c r="X72" s="514"/>
      <c r="Y72" s="514"/>
      <c r="Z72" s="756"/>
      <c r="AA72" s="514"/>
      <c r="AB72" s="514"/>
      <c r="AC72" s="514"/>
      <c r="AD72" s="514"/>
      <c r="AE72" s="774"/>
      <c r="AF72" s="514"/>
      <c r="AG72" s="897"/>
      <c r="AH72" s="789"/>
      <c r="AI72" s="664">
        <f t="shared" si="1"/>
        <v>0</v>
      </c>
      <c r="AJ72" s="521">
        <v>0</v>
      </c>
      <c r="AK72" s="520">
        <f t="shared" si="2"/>
        <v>0</v>
      </c>
      <c r="AL72" s="672" t="s">
        <v>1484</v>
      </c>
      <c r="AM72" s="669">
        <f t="shared" si="3"/>
        <v>3.65</v>
      </c>
    </row>
    <row r="73" spans="1:39" s="500" customFormat="1">
      <c r="A73" s="539" t="s">
        <v>593</v>
      </c>
      <c r="B73" s="539" t="s">
        <v>1191</v>
      </c>
      <c r="C73" s="472" t="s">
        <v>37</v>
      </c>
      <c r="D73" s="519"/>
      <c r="E73" s="726"/>
      <c r="F73" s="520"/>
      <c r="G73" s="520"/>
      <c r="H73" s="520"/>
      <c r="I73" s="521"/>
      <c r="J73" s="521"/>
      <c r="K73" s="521"/>
      <c r="L73" s="756"/>
      <c r="M73" s="514"/>
      <c r="N73" s="514"/>
      <c r="O73" s="514"/>
      <c r="P73" s="514"/>
      <c r="Q73" s="514"/>
      <c r="R73" s="514"/>
      <c r="S73" s="756"/>
      <c r="T73" s="514"/>
      <c r="U73" s="514"/>
      <c r="V73" s="514"/>
      <c r="W73" s="514"/>
      <c r="X73" s="514"/>
      <c r="Y73" s="514"/>
      <c r="Z73" s="756"/>
      <c r="AA73" s="514"/>
      <c r="AB73" s="514"/>
      <c r="AC73" s="514"/>
      <c r="AD73" s="514"/>
      <c r="AE73" s="774"/>
      <c r="AF73" s="514"/>
      <c r="AG73" s="897"/>
      <c r="AH73" s="789"/>
      <c r="AI73" s="664">
        <f t="shared" si="1"/>
        <v>0</v>
      </c>
      <c r="AJ73" s="521">
        <v>0</v>
      </c>
      <c r="AK73" s="520">
        <f t="shared" si="2"/>
        <v>0</v>
      </c>
      <c r="AL73" s="672" t="s">
        <v>1485</v>
      </c>
      <c r="AM73" s="669">
        <f t="shared" si="3"/>
        <v>41.77</v>
      </c>
    </row>
    <row r="74" spans="1:39" s="500" customFormat="1">
      <c r="A74" s="539" t="s">
        <v>594</v>
      </c>
      <c r="B74" s="539" t="s">
        <v>1192</v>
      </c>
      <c r="C74" s="472" t="s">
        <v>48</v>
      </c>
      <c r="D74" s="519"/>
      <c r="E74" s="726"/>
      <c r="F74" s="520"/>
      <c r="G74" s="520"/>
      <c r="H74" s="520"/>
      <c r="I74" s="521"/>
      <c r="J74" s="521"/>
      <c r="K74" s="521"/>
      <c r="L74" s="756"/>
      <c r="M74" s="514"/>
      <c r="N74" s="514"/>
      <c r="O74" s="514"/>
      <c r="P74" s="514"/>
      <c r="Q74" s="514"/>
      <c r="R74" s="514"/>
      <c r="S74" s="756"/>
      <c r="T74" s="514"/>
      <c r="U74" s="514"/>
      <c r="V74" s="514"/>
      <c r="W74" s="514"/>
      <c r="X74" s="514"/>
      <c r="Y74" s="514"/>
      <c r="Z74" s="756"/>
      <c r="AA74" s="514"/>
      <c r="AB74" s="514"/>
      <c r="AC74" s="514"/>
      <c r="AD74" s="514"/>
      <c r="AE74" s="774"/>
      <c r="AF74" s="514"/>
      <c r="AG74" s="897"/>
      <c r="AH74" s="789"/>
      <c r="AI74" s="664">
        <f t="shared" si="1"/>
        <v>0</v>
      </c>
      <c r="AJ74" s="521">
        <v>0</v>
      </c>
      <c r="AK74" s="520">
        <f t="shared" si="2"/>
        <v>0</v>
      </c>
      <c r="AL74" s="672" t="s">
        <v>1486</v>
      </c>
      <c r="AM74" s="669">
        <f t="shared" si="3"/>
        <v>298.24</v>
      </c>
    </row>
    <row r="75" spans="1:39" s="500" customFormat="1">
      <c r="A75" s="539" t="s">
        <v>595</v>
      </c>
      <c r="B75" s="539" t="s">
        <v>1193</v>
      </c>
      <c r="C75" s="548" t="s">
        <v>1450</v>
      </c>
      <c r="D75" s="519"/>
      <c r="E75" s="726"/>
      <c r="F75" s="520"/>
      <c r="G75" s="520"/>
      <c r="H75" s="520"/>
      <c r="I75" s="521"/>
      <c r="J75" s="521"/>
      <c r="K75" s="521"/>
      <c r="L75" s="756"/>
      <c r="M75" s="514"/>
      <c r="N75" s="514"/>
      <c r="O75" s="514"/>
      <c r="P75" s="514"/>
      <c r="Q75" s="514"/>
      <c r="R75" s="514"/>
      <c r="S75" s="756"/>
      <c r="T75" s="514"/>
      <c r="U75" s="514"/>
      <c r="V75" s="514"/>
      <c r="W75" s="514"/>
      <c r="X75" s="514"/>
      <c r="Y75" s="514"/>
      <c r="Z75" s="756"/>
      <c r="AA75" s="514"/>
      <c r="AB75" s="514"/>
      <c r="AC75" s="514"/>
      <c r="AD75" s="514"/>
      <c r="AE75" s="774"/>
      <c r="AF75" s="514"/>
      <c r="AG75" s="897"/>
      <c r="AH75" s="789"/>
      <c r="AI75" s="664">
        <f t="shared" ref="AI75:AI138" si="4">ROUND((SUM(D75:AG75)),2)</f>
        <v>0</v>
      </c>
      <c r="AJ75" s="521">
        <v>0</v>
      </c>
      <c r="AK75" s="520">
        <f t="shared" si="2"/>
        <v>0</v>
      </c>
      <c r="AL75" s="672" t="s">
        <v>1487</v>
      </c>
      <c r="AM75" s="669">
        <f t="shared" si="3"/>
        <v>347.95</v>
      </c>
    </row>
    <row r="76" spans="1:39" s="500" customFormat="1">
      <c r="A76" s="539" t="s">
        <v>596</v>
      </c>
      <c r="B76" s="539" t="s">
        <v>1194</v>
      </c>
      <c r="C76" s="605"/>
      <c r="D76" s="519"/>
      <c r="E76" s="726"/>
      <c r="F76" s="520"/>
      <c r="G76" s="520"/>
      <c r="H76" s="520"/>
      <c r="I76" s="521"/>
      <c r="J76" s="521"/>
      <c r="K76" s="521"/>
      <c r="L76" s="756"/>
      <c r="M76" s="514"/>
      <c r="N76" s="514"/>
      <c r="O76" s="514"/>
      <c r="P76" s="514"/>
      <c r="Q76" s="514"/>
      <c r="R76" s="514"/>
      <c r="S76" s="756"/>
      <c r="T76" s="514"/>
      <c r="U76" s="514"/>
      <c r="V76" s="514"/>
      <c r="W76" s="514"/>
      <c r="X76" s="514"/>
      <c r="Y76" s="514"/>
      <c r="Z76" s="756"/>
      <c r="AA76" s="514"/>
      <c r="AB76" s="514"/>
      <c r="AC76" s="514"/>
      <c r="AD76" s="514"/>
      <c r="AE76" s="774"/>
      <c r="AF76" s="514"/>
      <c r="AG76" s="897"/>
      <c r="AH76" s="789"/>
      <c r="AI76" s="664">
        <f t="shared" si="4"/>
        <v>0</v>
      </c>
      <c r="AJ76" s="521">
        <v>0</v>
      </c>
      <c r="AK76" s="520">
        <f t="shared" si="2"/>
        <v>0</v>
      </c>
      <c r="AL76" s="672"/>
      <c r="AM76" s="669">
        <f t="shared" si="3"/>
        <v>0</v>
      </c>
    </row>
    <row r="77" spans="1:39" s="500" customFormat="1">
      <c r="A77" s="539" t="s">
        <v>597</v>
      </c>
      <c r="B77" s="539" t="s">
        <v>1195</v>
      </c>
      <c r="C77" s="472" t="s">
        <v>40</v>
      </c>
      <c r="D77" s="519"/>
      <c r="E77" s="726"/>
      <c r="F77" s="520"/>
      <c r="G77" s="520"/>
      <c r="H77" s="520"/>
      <c r="I77" s="521"/>
      <c r="J77" s="521"/>
      <c r="K77" s="521"/>
      <c r="L77" s="756"/>
      <c r="M77" s="514"/>
      <c r="N77" s="514"/>
      <c r="O77" s="514"/>
      <c r="P77" s="514"/>
      <c r="Q77" s="514"/>
      <c r="R77" s="514"/>
      <c r="S77" s="756"/>
      <c r="T77" s="514"/>
      <c r="U77" s="514"/>
      <c r="V77" s="514"/>
      <c r="W77" s="514"/>
      <c r="X77" s="514"/>
      <c r="Y77" s="514"/>
      <c r="Z77" s="756"/>
      <c r="AA77" s="514"/>
      <c r="AB77" s="514"/>
      <c r="AC77" s="514"/>
      <c r="AD77" s="514"/>
      <c r="AE77" s="774"/>
      <c r="AF77" s="514"/>
      <c r="AG77" s="897"/>
      <c r="AH77" s="789"/>
      <c r="AI77" s="664">
        <f t="shared" si="4"/>
        <v>0</v>
      </c>
      <c r="AJ77" s="521">
        <v>0</v>
      </c>
      <c r="AK77" s="520">
        <f t="shared" si="2"/>
        <v>0</v>
      </c>
      <c r="AL77" s="672" t="s">
        <v>1488</v>
      </c>
      <c r="AM77" s="669">
        <f t="shared" si="3"/>
        <v>1.2</v>
      </c>
    </row>
    <row r="78" spans="1:39" s="500" customFormat="1">
      <c r="A78" s="539" t="s">
        <v>598</v>
      </c>
      <c r="B78" s="539" t="s">
        <v>1196</v>
      </c>
      <c r="C78" s="472" t="s">
        <v>37</v>
      </c>
      <c r="D78" s="519"/>
      <c r="E78" s="726"/>
      <c r="F78" s="520"/>
      <c r="G78" s="520"/>
      <c r="H78" s="520"/>
      <c r="I78" s="521"/>
      <c r="J78" s="521"/>
      <c r="K78" s="521"/>
      <c r="L78" s="756"/>
      <c r="M78" s="514"/>
      <c r="N78" s="514"/>
      <c r="O78" s="514"/>
      <c r="P78" s="514"/>
      <c r="Q78" s="514"/>
      <c r="R78" s="514"/>
      <c r="S78" s="756"/>
      <c r="T78" s="514"/>
      <c r="U78" s="514"/>
      <c r="V78" s="514"/>
      <c r="W78" s="514"/>
      <c r="X78" s="514"/>
      <c r="Y78" s="514"/>
      <c r="Z78" s="756"/>
      <c r="AA78" s="514"/>
      <c r="AB78" s="514"/>
      <c r="AC78" s="514"/>
      <c r="AD78" s="514"/>
      <c r="AE78" s="774"/>
      <c r="AF78" s="514"/>
      <c r="AG78" s="897"/>
      <c r="AH78" s="789"/>
      <c r="AI78" s="664">
        <f t="shared" si="4"/>
        <v>0</v>
      </c>
      <c r="AJ78" s="521">
        <v>0</v>
      </c>
      <c r="AK78" s="520">
        <f t="shared" ref="AK78:AK141" si="5">AI78+AJ78</f>
        <v>0</v>
      </c>
      <c r="AL78" s="672" t="s">
        <v>1489</v>
      </c>
      <c r="AM78" s="669">
        <f t="shared" ref="AM78:AM141" si="6">AL78-AK78</f>
        <v>16</v>
      </c>
    </row>
    <row r="79" spans="1:39" s="500" customFormat="1">
      <c r="A79" s="539" t="s">
        <v>599</v>
      </c>
      <c r="B79" s="539" t="s">
        <v>1197</v>
      </c>
      <c r="C79" s="472" t="s">
        <v>48</v>
      </c>
      <c r="D79" s="519"/>
      <c r="E79" s="726"/>
      <c r="F79" s="520"/>
      <c r="G79" s="520"/>
      <c r="H79" s="520"/>
      <c r="I79" s="521"/>
      <c r="J79" s="521"/>
      <c r="K79" s="521"/>
      <c r="L79" s="756"/>
      <c r="M79" s="514"/>
      <c r="N79" s="514"/>
      <c r="O79" s="514"/>
      <c r="P79" s="514"/>
      <c r="Q79" s="514"/>
      <c r="R79" s="514"/>
      <c r="S79" s="756"/>
      <c r="T79" s="514"/>
      <c r="U79" s="514"/>
      <c r="V79" s="514"/>
      <c r="W79" s="514"/>
      <c r="X79" s="514"/>
      <c r="Y79" s="514"/>
      <c r="Z79" s="756"/>
      <c r="AA79" s="514"/>
      <c r="AB79" s="514"/>
      <c r="AC79" s="514"/>
      <c r="AD79" s="514"/>
      <c r="AE79" s="774"/>
      <c r="AF79" s="514"/>
      <c r="AG79" s="897"/>
      <c r="AH79" s="789"/>
      <c r="AI79" s="664">
        <f t="shared" si="4"/>
        <v>0</v>
      </c>
      <c r="AJ79" s="521">
        <v>0</v>
      </c>
      <c r="AK79" s="520">
        <f t="shared" si="5"/>
        <v>0</v>
      </c>
      <c r="AL79" s="672" t="s">
        <v>1490</v>
      </c>
      <c r="AM79" s="669">
        <f t="shared" si="6"/>
        <v>124.05</v>
      </c>
    </row>
    <row r="80" spans="1:39" s="500" customFormat="1">
      <c r="A80" s="542" t="s">
        <v>600</v>
      </c>
      <c r="B80" s="542" t="s">
        <v>1198</v>
      </c>
      <c r="C80" s="605"/>
      <c r="D80" s="519"/>
      <c r="E80" s="726"/>
      <c r="F80" s="520"/>
      <c r="G80" s="520"/>
      <c r="H80" s="520"/>
      <c r="I80" s="521"/>
      <c r="J80" s="521"/>
      <c r="K80" s="521"/>
      <c r="L80" s="756"/>
      <c r="M80" s="514"/>
      <c r="N80" s="514"/>
      <c r="O80" s="514"/>
      <c r="P80" s="514"/>
      <c r="Q80" s="514"/>
      <c r="R80" s="514"/>
      <c r="S80" s="756"/>
      <c r="T80" s="514"/>
      <c r="U80" s="514"/>
      <c r="V80" s="514"/>
      <c r="W80" s="514"/>
      <c r="X80" s="514"/>
      <c r="Y80" s="514"/>
      <c r="Z80" s="756"/>
      <c r="AA80" s="514"/>
      <c r="AB80" s="514"/>
      <c r="AC80" s="514"/>
      <c r="AD80" s="514"/>
      <c r="AE80" s="774"/>
      <c r="AF80" s="514"/>
      <c r="AG80" s="897"/>
      <c r="AH80" s="789"/>
      <c r="AI80" s="664">
        <f t="shared" si="4"/>
        <v>0</v>
      </c>
      <c r="AJ80" s="521">
        <v>0</v>
      </c>
      <c r="AK80" s="520">
        <f t="shared" si="5"/>
        <v>0</v>
      </c>
      <c r="AL80" s="672"/>
      <c r="AM80" s="669">
        <f t="shared" si="6"/>
        <v>0</v>
      </c>
    </row>
    <row r="81" spans="1:39" s="500" customFormat="1">
      <c r="A81" s="539" t="s">
        <v>601</v>
      </c>
      <c r="B81" s="539" t="s">
        <v>1199</v>
      </c>
      <c r="C81" s="472" t="s">
        <v>38</v>
      </c>
      <c r="D81" s="519"/>
      <c r="E81" s="726"/>
      <c r="F81" s="520"/>
      <c r="G81" s="520"/>
      <c r="H81" s="520"/>
      <c r="I81" s="521"/>
      <c r="J81" s="521"/>
      <c r="K81" s="521"/>
      <c r="L81" s="756"/>
      <c r="M81" s="514"/>
      <c r="N81" s="514"/>
      <c r="O81" s="514"/>
      <c r="P81" s="514"/>
      <c r="Q81" s="514"/>
      <c r="R81" s="514"/>
      <c r="S81" s="756"/>
      <c r="T81" s="514"/>
      <c r="U81" s="514"/>
      <c r="V81" s="514"/>
      <c r="W81" s="514"/>
      <c r="X81" s="514"/>
      <c r="Y81" s="514"/>
      <c r="Z81" s="756"/>
      <c r="AA81" s="514"/>
      <c r="AB81" s="514"/>
      <c r="AC81" s="514"/>
      <c r="AD81" s="514"/>
      <c r="AE81" s="774"/>
      <c r="AF81" s="514"/>
      <c r="AG81" s="897"/>
      <c r="AH81" s="789"/>
      <c r="AI81" s="664">
        <f t="shared" si="4"/>
        <v>0</v>
      </c>
      <c r="AJ81" s="521">
        <v>0</v>
      </c>
      <c r="AK81" s="520">
        <f t="shared" si="5"/>
        <v>0</v>
      </c>
      <c r="AL81" s="672" t="s">
        <v>1491</v>
      </c>
      <c r="AM81" s="669">
        <f t="shared" si="6"/>
        <v>59.04</v>
      </c>
    </row>
    <row r="82" spans="1:39" s="500" customFormat="1">
      <c r="A82" s="542" t="s">
        <v>602</v>
      </c>
      <c r="B82" s="542" t="s">
        <v>1200</v>
      </c>
      <c r="C82" s="616"/>
      <c r="D82" s="519"/>
      <c r="E82" s="726"/>
      <c r="F82" s="520"/>
      <c r="G82" s="520"/>
      <c r="H82" s="520"/>
      <c r="I82" s="521"/>
      <c r="J82" s="521"/>
      <c r="K82" s="521"/>
      <c r="L82" s="756"/>
      <c r="M82" s="514"/>
      <c r="N82" s="514"/>
      <c r="O82" s="514"/>
      <c r="P82" s="514"/>
      <c r="Q82" s="514"/>
      <c r="R82" s="514"/>
      <c r="S82" s="756"/>
      <c r="T82" s="514"/>
      <c r="U82" s="514"/>
      <c r="V82" s="514"/>
      <c r="W82" s="514"/>
      <c r="X82" s="514"/>
      <c r="Y82" s="514"/>
      <c r="Z82" s="756"/>
      <c r="AA82" s="514"/>
      <c r="AB82" s="514"/>
      <c r="AC82" s="514"/>
      <c r="AD82" s="514"/>
      <c r="AE82" s="774"/>
      <c r="AF82" s="514"/>
      <c r="AG82" s="897"/>
      <c r="AH82" s="789"/>
      <c r="AI82" s="664">
        <f t="shared" si="4"/>
        <v>0</v>
      </c>
      <c r="AJ82" s="521">
        <v>0</v>
      </c>
      <c r="AK82" s="520">
        <f t="shared" si="5"/>
        <v>0</v>
      </c>
      <c r="AL82" s="672"/>
      <c r="AM82" s="669">
        <f t="shared" si="6"/>
        <v>0</v>
      </c>
    </row>
    <row r="83" spans="1:39" s="500" customFormat="1">
      <c r="A83" s="539" t="s">
        <v>603</v>
      </c>
      <c r="B83" s="539" t="s">
        <v>1201</v>
      </c>
      <c r="C83" s="472" t="s">
        <v>38</v>
      </c>
      <c r="D83" s="519"/>
      <c r="E83" s="726"/>
      <c r="F83" s="520"/>
      <c r="G83" s="520"/>
      <c r="H83" s="520"/>
      <c r="I83" s="521"/>
      <c r="J83" s="521"/>
      <c r="K83" s="521"/>
      <c r="L83" s="756"/>
      <c r="M83" s="514"/>
      <c r="N83" s="514"/>
      <c r="O83" s="514"/>
      <c r="P83" s="514"/>
      <c r="Q83" s="514"/>
      <c r="R83" s="514"/>
      <c r="S83" s="756"/>
      <c r="T83" s="514"/>
      <c r="U83" s="514"/>
      <c r="V83" s="514"/>
      <c r="W83" s="514"/>
      <c r="X83" s="514"/>
      <c r="Y83" s="514"/>
      <c r="Z83" s="756"/>
      <c r="AA83" s="514"/>
      <c r="AB83" s="514"/>
      <c r="AC83" s="514"/>
      <c r="AD83" s="514"/>
      <c r="AE83" s="774"/>
      <c r="AF83" s="514"/>
      <c r="AG83" s="897"/>
      <c r="AH83" s="789"/>
      <c r="AI83" s="664">
        <f t="shared" si="4"/>
        <v>0</v>
      </c>
      <c r="AJ83" s="521">
        <v>0</v>
      </c>
      <c r="AK83" s="520">
        <f t="shared" si="5"/>
        <v>0</v>
      </c>
      <c r="AL83" s="672" t="s">
        <v>1492</v>
      </c>
      <c r="AM83" s="669">
        <f t="shared" si="6"/>
        <v>100.3</v>
      </c>
    </row>
    <row r="84" spans="1:39" s="518" customFormat="1">
      <c r="A84" s="539" t="s">
        <v>604</v>
      </c>
      <c r="B84" s="539" t="s">
        <v>225</v>
      </c>
      <c r="C84" s="472" t="s">
        <v>1450</v>
      </c>
      <c r="D84" s="525"/>
      <c r="E84" s="731"/>
      <c r="F84" s="526"/>
      <c r="G84" s="526"/>
      <c r="H84" s="526"/>
      <c r="I84" s="527"/>
      <c r="J84" s="527"/>
      <c r="K84" s="527"/>
      <c r="L84" s="756"/>
      <c r="M84" s="514"/>
      <c r="N84" s="514"/>
      <c r="O84" s="514"/>
      <c r="P84" s="514"/>
      <c r="Q84" s="514"/>
      <c r="R84" s="514"/>
      <c r="S84" s="756"/>
      <c r="T84" s="514"/>
      <c r="U84" s="514"/>
      <c r="V84" s="514"/>
      <c r="W84" s="514"/>
      <c r="X84" s="514"/>
      <c r="Y84" s="514"/>
      <c r="Z84" s="756"/>
      <c r="AA84" s="514"/>
      <c r="AB84" s="514"/>
      <c r="AC84" s="514"/>
      <c r="AD84" s="514"/>
      <c r="AE84" s="774"/>
      <c r="AF84" s="514"/>
      <c r="AG84" s="897"/>
      <c r="AH84" s="789"/>
      <c r="AI84" s="664">
        <f t="shared" si="4"/>
        <v>0</v>
      </c>
      <c r="AJ84" s="521">
        <v>0</v>
      </c>
      <c r="AK84" s="520">
        <f t="shared" si="5"/>
        <v>0</v>
      </c>
      <c r="AL84" s="673" t="s">
        <v>1493</v>
      </c>
      <c r="AM84" s="669">
        <f t="shared" si="6"/>
        <v>15</v>
      </c>
    </row>
    <row r="85" spans="1:39" s="730" customFormat="1">
      <c r="A85" s="814" t="s">
        <v>44</v>
      </c>
      <c r="B85" s="815" t="s">
        <v>1202</v>
      </c>
      <c r="C85" s="826"/>
      <c r="D85" s="743"/>
      <c r="E85" s="726"/>
      <c r="F85" s="726"/>
      <c r="G85" s="726"/>
      <c r="H85" s="726"/>
      <c r="I85" s="725"/>
      <c r="J85" s="725"/>
      <c r="K85" s="725"/>
      <c r="L85" s="756"/>
      <c r="M85" s="756"/>
      <c r="N85" s="756"/>
      <c r="O85" s="756"/>
      <c r="P85" s="756"/>
      <c r="Q85" s="756"/>
      <c r="R85" s="756"/>
      <c r="S85" s="756"/>
      <c r="T85" s="756"/>
      <c r="U85" s="756"/>
      <c r="V85" s="756"/>
      <c r="W85" s="756"/>
      <c r="X85" s="756"/>
      <c r="Y85" s="756"/>
      <c r="Z85" s="756"/>
      <c r="AA85" s="756"/>
      <c r="AB85" s="756"/>
      <c r="AC85" s="756"/>
      <c r="AD85" s="756"/>
      <c r="AE85" s="774"/>
      <c r="AF85" s="756"/>
      <c r="AG85" s="897"/>
      <c r="AH85" s="819"/>
      <c r="AI85" s="786">
        <f t="shared" si="4"/>
        <v>0</v>
      </c>
      <c r="AJ85" s="725">
        <v>0</v>
      </c>
      <c r="AK85" s="726">
        <f t="shared" si="5"/>
        <v>0</v>
      </c>
      <c r="AL85" s="728"/>
      <c r="AM85" s="729">
        <f t="shared" si="6"/>
        <v>0</v>
      </c>
    </row>
    <row r="86" spans="1:39" s="730" customFormat="1">
      <c r="A86" s="831" t="s">
        <v>54</v>
      </c>
      <c r="B86" s="831" t="s">
        <v>46</v>
      </c>
      <c r="C86" s="826"/>
      <c r="D86" s="743"/>
      <c r="E86" s="726"/>
      <c r="F86" s="726"/>
      <c r="G86" s="726"/>
      <c r="H86" s="726"/>
      <c r="I86" s="725"/>
      <c r="J86" s="725"/>
      <c r="K86" s="725"/>
      <c r="L86" s="756"/>
      <c r="M86" s="756"/>
      <c r="N86" s="756"/>
      <c r="O86" s="756"/>
      <c r="P86" s="756"/>
      <c r="Q86" s="756"/>
      <c r="R86" s="756"/>
      <c r="S86" s="756"/>
      <c r="T86" s="756"/>
      <c r="U86" s="756"/>
      <c r="V86" s="756"/>
      <c r="W86" s="756"/>
      <c r="X86" s="756"/>
      <c r="Y86" s="756"/>
      <c r="Z86" s="756"/>
      <c r="AA86" s="756"/>
      <c r="AB86" s="756"/>
      <c r="AC86" s="756"/>
      <c r="AD86" s="756"/>
      <c r="AE86" s="774"/>
      <c r="AF86" s="756"/>
      <c r="AG86" s="897"/>
      <c r="AH86" s="819"/>
      <c r="AI86" s="786">
        <f t="shared" si="4"/>
        <v>0</v>
      </c>
      <c r="AJ86" s="725">
        <v>0</v>
      </c>
      <c r="AK86" s="726">
        <f t="shared" si="5"/>
        <v>0</v>
      </c>
      <c r="AL86" s="728"/>
      <c r="AM86" s="729">
        <f t="shared" si="6"/>
        <v>0</v>
      </c>
    </row>
    <row r="87" spans="1:39" s="730" customFormat="1" hidden="1">
      <c r="A87" s="720" t="s">
        <v>605</v>
      </c>
      <c r="B87" s="720" t="s">
        <v>1156</v>
      </c>
      <c r="C87" s="822" t="s">
        <v>40</v>
      </c>
      <c r="D87" s="743"/>
      <c r="E87" s="726"/>
      <c r="F87" s="726"/>
      <c r="G87" s="726"/>
      <c r="H87" s="726"/>
      <c r="I87" s="725"/>
      <c r="J87" s="725"/>
      <c r="K87" s="725"/>
      <c r="L87" s="756"/>
      <c r="M87" s="756"/>
      <c r="N87" s="756"/>
      <c r="O87" s="756"/>
      <c r="P87" s="756"/>
      <c r="Q87" s="756"/>
      <c r="R87" s="756"/>
      <c r="S87" s="756"/>
      <c r="T87" s="756"/>
      <c r="U87" s="756"/>
      <c r="V87" s="756"/>
      <c r="W87" s="756"/>
      <c r="X87" s="756"/>
      <c r="Y87" s="756"/>
      <c r="Z87" s="756"/>
      <c r="AA87" s="756"/>
      <c r="AB87" s="756"/>
      <c r="AC87" s="756"/>
      <c r="AD87" s="756"/>
      <c r="AE87" s="774"/>
      <c r="AF87" s="756"/>
      <c r="AG87" s="897"/>
      <c r="AH87" s="819"/>
      <c r="AI87" s="786">
        <f t="shared" si="4"/>
        <v>0</v>
      </c>
      <c r="AJ87" s="725">
        <v>0</v>
      </c>
      <c r="AK87" s="726">
        <f t="shared" si="5"/>
        <v>0</v>
      </c>
      <c r="AL87" s="728" t="s">
        <v>1494</v>
      </c>
      <c r="AM87" s="729">
        <f t="shared" si="6"/>
        <v>34.270000000000003</v>
      </c>
    </row>
    <row r="88" spans="1:39" s="730" customFormat="1" hidden="1">
      <c r="A88" s="720" t="s">
        <v>606</v>
      </c>
      <c r="B88" s="720" t="s">
        <v>1157</v>
      </c>
      <c r="C88" s="822" t="s">
        <v>40</v>
      </c>
      <c r="D88" s="743"/>
      <c r="E88" s="726"/>
      <c r="F88" s="726"/>
      <c r="G88" s="726"/>
      <c r="H88" s="726"/>
      <c r="I88" s="725"/>
      <c r="J88" s="725"/>
      <c r="K88" s="725"/>
      <c r="L88" s="756"/>
      <c r="M88" s="756"/>
      <c r="N88" s="756"/>
      <c r="O88" s="756"/>
      <c r="P88" s="756"/>
      <c r="Q88" s="756"/>
      <c r="R88" s="756"/>
      <c r="S88" s="756"/>
      <c r="T88" s="756"/>
      <c r="U88" s="756"/>
      <c r="V88" s="756"/>
      <c r="W88" s="756"/>
      <c r="X88" s="756"/>
      <c r="Y88" s="756"/>
      <c r="Z88" s="756"/>
      <c r="AA88" s="756"/>
      <c r="AB88" s="756"/>
      <c r="AC88" s="756"/>
      <c r="AD88" s="756"/>
      <c r="AE88" s="774"/>
      <c r="AF88" s="756"/>
      <c r="AG88" s="897"/>
      <c r="AH88" s="819"/>
      <c r="AI88" s="786">
        <f t="shared" si="4"/>
        <v>0</v>
      </c>
      <c r="AJ88" s="725">
        <v>0</v>
      </c>
      <c r="AK88" s="726">
        <f t="shared" si="5"/>
        <v>0</v>
      </c>
      <c r="AL88" s="728" t="s">
        <v>1495</v>
      </c>
      <c r="AM88" s="729">
        <f t="shared" si="6"/>
        <v>16.989999999999998</v>
      </c>
    </row>
    <row r="89" spans="1:39" s="730" customFormat="1">
      <c r="A89" s="720" t="s">
        <v>607</v>
      </c>
      <c r="B89" s="720" t="s">
        <v>1158</v>
      </c>
      <c r="C89" s="823" t="s">
        <v>40</v>
      </c>
      <c r="D89" s="743"/>
      <c r="E89" s="726"/>
      <c r="F89" s="726"/>
      <c r="G89" s="726"/>
      <c r="H89" s="726"/>
      <c r="I89" s="725"/>
      <c r="J89" s="725"/>
      <c r="K89" s="725"/>
      <c r="L89" s="756"/>
      <c r="M89" s="756"/>
      <c r="N89" s="756"/>
      <c r="O89" s="756"/>
      <c r="P89" s="756"/>
      <c r="Q89" s="756"/>
      <c r="R89" s="756"/>
      <c r="S89" s="756"/>
      <c r="T89" s="756"/>
      <c r="U89" s="756"/>
      <c r="V89" s="756"/>
      <c r="W89" s="756"/>
      <c r="X89" s="756"/>
      <c r="Y89" s="756"/>
      <c r="Z89" s="756"/>
      <c r="AA89" s="756"/>
      <c r="AB89" s="756"/>
      <c r="AC89" s="756"/>
      <c r="AD89" s="756"/>
      <c r="AE89" s="774"/>
      <c r="AF89" s="756"/>
      <c r="AG89" s="897"/>
      <c r="AH89" s="819"/>
      <c r="AI89" s="786">
        <f t="shared" si="4"/>
        <v>0</v>
      </c>
      <c r="AJ89" s="725">
        <v>0</v>
      </c>
      <c r="AK89" s="726">
        <f t="shared" si="5"/>
        <v>0</v>
      </c>
      <c r="AL89" s="728" t="s">
        <v>1496</v>
      </c>
      <c r="AM89" s="729">
        <f t="shared" si="6"/>
        <v>28.37</v>
      </c>
    </row>
    <row r="90" spans="1:39" s="730" customFormat="1">
      <c r="A90" s="720" t="s">
        <v>608</v>
      </c>
      <c r="B90" s="720" t="s">
        <v>1159</v>
      </c>
      <c r="C90" s="822" t="s">
        <v>37</v>
      </c>
      <c r="D90" s="743"/>
      <c r="E90" s="726"/>
      <c r="F90" s="726"/>
      <c r="G90" s="726"/>
      <c r="H90" s="726"/>
      <c r="I90" s="725"/>
      <c r="J90" s="725"/>
      <c r="K90" s="725"/>
      <c r="L90" s="756"/>
      <c r="M90" s="756"/>
      <c r="N90" s="756"/>
      <c r="O90" s="756"/>
      <c r="P90" s="756"/>
      <c r="Q90" s="756"/>
      <c r="R90" s="756"/>
      <c r="S90" s="756"/>
      <c r="T90" s="756"/>
      <c r="U90" s="756"/>
      <c r="V90" s="756"/>
      <c r="W90" s="756"/>
      <c r="X90" s="756"/>
      <c r="Y90" s="756"/>
      <c r="Z90" s="756"/>
      <c r="AA90" s="756"/>
      <c r="AB90" s="756"/>
      <c r="AC90" s="756"/>
      <c r="AD90" s="756"/>
      <c r="AE90" s="774"/>
      <c r="AF90" s="756"/>
      <c r="AG90" s="897"/>
      <c r="AH90" s="819"/>
      <c r="AI90" s="786">
        <f t="shared" si="4"/>
        <v>0</v>
      </c>
      <c r="AJ90" s="725">
        <v>0</v>
      </c>
      <c r="AK90" s="726">
        <f t="shared" si="5"/>
        <v>0</v>
      </c>
      <c r="AL90" s="728" t="s">
        <v>1497</v>
      </c>
      <c r="AM90" s="729">
        <f t="shared" si="6"/>
        <v>57.19</v>
      </c>
    </row>
    <row r="91" spans="1:39" s="730" customFormat="1">
      <c r="A91" s="720" t="s">
        <v>609</v>
      </c>
      <c r="B91" s="720" t="s">
        <v>1160</v>
      </c>
      <c r="C91" s="822" t="s">
        <v>40</v>
      </c>
      <c r="D91" s="743"/>
      <c r="E91" s="726"/>
      <c r="F91" s="726"/>
      <c r="G91" s="726"/>
      <c r="H91" s="726"/>
      <c r="I91" s="725"/>
      <c r="J91" s="725"/>
      <c r="K91" s="725"/>
      <c r="L91" s="756"/>
      <c r="M91" s="756"/>
      <c r="N91" s="756"/>
      <c r="O91" s="756"/>
      <c r="P91" s="756"/>
      <c r="Q91" s="756"/>
      <c r="R91" s="756"/>
      <c r="S91" s="756"/>
      <c r="T91" s="756"/>
      <c r="U91" s="756"/>
      <c r="V91" s="756"/>
      <c r="W91" s="756"/>
      <c r="X91" s="756"/>
      <c r="Y91" s="756"/>
      <c r="Z91" s="756"/>
      <c r="AA91" s="756"/>
      <c r="AB91" s="756"/>
      <c r="AC91" s="756"/>
      <c r="AD91" s="756"/>
      <c r="AE91" s="774"/>
      <c r="AF91" s="756"/>
      <c r="AG91" s="897"/>
      <c r="AH91" s="819"/>
      <c r="AI91" s="786">
        <f t="shared" si="4"/>
        <v>0</v>
      </c>
      <c r="AJ91" s="725">
        <v>0</v>
      </c>
      <c r="AK91" s="726">
        <f t="shared" si="5"/>
        <v>0</v>
      </c>
      <c r="AL91" s="728" t="s">
        <v>1498</v>
      </c>
      <c r="AM91" s="729">
        <f t="shared" si="6"/>
        <v>28.61</v>
      </c>
    </row>
    <row r="92" spans="1:39" s="843" customFormat="1">
      <c r="A92" s="832" t="s">
        <v>610</v>
      </c>
      <c r="B92" s="832" t="s">
        <v>1161</v>
      </c>
      <c r="C92" s="833" t="s">
        <v>40</v>
      </c>
      <c r="D92" s="834"/>
      <c r="E92" s="835"/>
      <c r="F92" s="835"/>
      <c r="G92" s="835"/>
      <c r="H92" s="835"/>
      <c r="I92" s="836"/>
      <c r="J92" s="836"/>
      <c r="K92" s="836"/>
      <c r="L92" s="837"/>
      <c r="M92" s="837"/>
      <c r="N92" s="837"/>
      <c r="O92" s="837"/>
      <c r="P92" s="837"/>
      <c r="Q92" s="837"/>
      <c r="R92" s="837"/>
      <c r="S92" s="837"/>
      <c r="T92" s="837"/>
      <c r="U92" s="837"/>
      <c r="V92" s="837"/>
      <c r="W92" s="837"/>
      <c r="X92" s="837"/>
      <c r="Y92" s="837"/>
      <c r="Z92" s="837"/>
      <c r="AA92" s="837"/>
      <c r="AB92" s="837"/>
      <c r="AC92" s="837"/>
      <c r="AD92" s="837"/>
      <c r="AE92" s="774"/>
      <c r="AF92" s="837"/>
      <c r="AG92" s="897"/>
      <c r="AH92" s="839"/>
      <c r="AI92" s="840">
        <f t="shared" si="4"/>
        <v>0</v>
      </c>
      <c r="AJ92" s="836">
        <v>0</v>
      </c>
      <c r="AK92" s="835">
        <f t="shared" si="5"/>
        <v>0</v>
      </c>
      <c r="AL92" s="841" t="s">
        <v>1498</v>
      </c>
      <c r="AM92" s="842">
        <f t="shared" si="6"/>
        <v>28.61</v>
      </c>
    </row>
    <row r="93" spans="1:39" s="500" customFormat="1">
      <c r="A93" s="542" t="s">
        <v>55</v>
      </c>
      <c r="B93" s="542" t="s">
        <v>1162</v>
      </c>
      <c r="C93" s="605"/>
      <c r="D93" s="519"/>
      <c r="E93" s="726"/>
      <c r="F93" s="520"/>
      <c r="G93" s="520"/>
      <c r="H93" s="520"/>
      <c r="I93" s="521"/>
      <c r="J93" s="521"/>
      <c r="K93" s="521"/>
      <c r="L93" s="756"/>
      <c r="M93" s="514"/>
      <c r="N93" s="514"/>
      <c r="O93" s="514"/>
      <c r="P93" s="514"/>
      <c r="Q93" s="514"/>
      <c r="R93" s="514"/>
      <c r="S93" s="756"/>
      <c r="T93" s="514"/>
      <c r="U93" s="514"/>
      <c r="V93" s="514"/>
      <c r="W93" s="514"/>
      <c r="X93" s="514"/>
      <c r="Y93" s="514"/>
      <c r="Z93" s="756"/>
      <c r="AA93" s="514"/>
      <c r="AB93" s="514"/>
      <c r="AC93" s="514"/>
      <c r="AD93" s="514"/>
      <c r="AE93" s="774"/>
      <c r="AF93" s="514"/>
      <c r="AG93" s="897"/>
      <c r="AH93" s="789"/>
      <c r="AI93" s="664">
        <f t="shared" si="4"/>
        <v>0</v>
      </c>
      <c r="AJ93" s="521">
        <v>0</v>
      </c>
      <c r="AK93" s="520">
        <f t="shared" si="5"/>
        <v>0</v>
      </c>
      <c r="AL93" s="672"/>
      <c r="AM93" s="669">
        <f t="shared" si="6"/>
        <v>0</v>
      </c>
    </row>
    <row r="94" spans="1:39" s="500" customFormat="1" hidden="1">
      <c r="A94" s="539" t="s">
        <v>611</v>
      </c>
      <c r="B94" s="539" t="s">
        <v>1203</v>
      </c>
      <c r="C94" s="472" t="s">
        <v>37</v>
      </c>
      <c r="D94" s="519"/>
      <c r="E94" s="726"/>
      <c r="F94" s="520"/>
      <c r="G94" s="520"/>
      <c r="H94" s="520"/>
      <c r="I94" s="521"/>
      <c r="J94" s="521"/>
      <c r="K94" s="521"/>
      <c r="L94" s="756"/>
      <c r="M94" s="514"/>
      <c r="N94" s="514"/>
      <c r="O94" s="514"/>
      <c r="R94" s="514"/>
      <c r="S94" s="756"/>
      <c r="T94" s="514"/>
      <c r="U94" s="514"/>
      <c r="V94" s="667"/>
      <c r="W94" s="667"/>
      <c r="X94" s="667"/>
      <c r="Y94" s="667"/>
      <c r="Z94" s="775"/>
      <c r="AA94" s="667"/>
      <c r="AB94" s="667"/>
      <c r="AD94" s="667"/>
      <c r="AE94" s="774"/>
      <c r="AF94" s="514"/>
      <c r="AG94" s="897"/>
      <c r="AH94" s="789"/>
      <c r="AI94" s="664">
        <f t="shared" si="4"/>
        <v>0</v>
      </c>
      <c r="AJ94" s="521">
        <v>0</v>
      </c>
      <c r="AK94" s="520">
        <f t="shared" si="5"/>
        <v>0</v>
      </c>
      <c r="AL94" s="672" t="s">
        <v>1499</v>
      </c>
      <c r="AM94" s="669">
        <f t="shared" si="6"/>
        <v>26.55</v>
      </c>
    </row>
    <row r="95" spans="1:39" s="843" customFormat="1">
      <c r="A95" s="832" t="s">
        <v>612</v>
      </c>
      <c r="B95" s="832" t="s">
        <v>1204</v>
      </c>
      <c r="C95" s="833" t="s">
        <v>40</v>
      </c>
      <c r="D95" s="834"/>
      <c r="E95" s="835"/>
      <c r="F95" s="835"/>
      <c r="G95" s="835"/>
      <c r="H95" s="835"/>
      <c r="I95" s="836"/>
      <c r="J95" s="836"/>
      <c r="K95" s="836"/>
      <c r="L95" s="837"/>
      <c r="M95" s="837"/>
      <c r="N95" s="837"/>
      <c r="O95" s="837"/>
      <c r="P95" s="837"/>
      <c r="Q95" s="837"/>
      <c r="R95" s="837"/>
      <c r="S95" s="837"/>
      <c r="T95" s="837"/>
      <c r="U95" s="837"/>
      <c r="V95" s="837"/>
      <c r="W95" s="837"/>
      <c r="X95" s="837"/>
      <c r="Y95" s="837"/>
      <c r="Z95" s="837"/>
      <c r="AA95" s="837"/>
      <c r="AB95" s="837"/>
      <c r="AC95" s="837"/>
      <c r="AD95" s="837"/>
      <c r="AE95" s="774"/>
      <c r="AF95" s="837"/>
      <c r="AG95" s="897"/>
      <c r="AH95" s="839"/>
      <c r="AI95" s="840">
        <f t="shared" si="4"/>
        <v>0</v>
      </c>
      <c r="AJ95" s="836">
        <v>0</v>
      </c>
      <c r="AK95" s="835">
        <f t="shared" si="5"/>
        <v>0</v>
      </c>
      <c r="AL95" s="841" t="s">
        <v>1500</v>
      </c>
      <c r="AM95" s="842">
        <f t="shared" si="6"/>
        <v>12.87</v>
      </c>
    </row>
    <row r="96" spans="1:39" s="843" customFormat="1">
      <c r="A96" s="832" t="s">
        <v>613</v>
      </c>
      <c r="B96" s="832" t="s">
        <v>1205</v>
      </c>
      <c r="C96" s="833" t="s">
        <v>40</v>
      </c>
      <c r="D96" s="834"/>
      <c r="E96" s="835"/>
      <c r="F96" s="835"/>
      <c r="G96" s="835"/>
      <c r="H96" s="835"/>
      <c r="I96" s="836"/>
      <c r="J96" s="836"/>
      <c r="K96" s="836"/>
      <c r="L96" s="837"/>
      <c r="M96" s="837"/>
      <c r="N96" s="837"/>
      <c r="O96" s="837"/>
      <c r="P96" s="837"/>
      <c r="Q96" s="837"/>
      <c r="R96" s="837"/>
      <c r="S96" s="837"/>
      <c r="T96" s="837"/>
      <c r="U96" s="837"/>
      <c r="V96" s="837"/>
      <c r="W96" s="837"/>
      <c r="X96" s="837"/>
      <c r="Y96" s="837"/>
      <c r="Z96" s="837"/>
      <c r="AA96" s="837"/>
      <c r="AB96" s="837"/>
      <c r="AC96" s="837"/>
      <c r="AD96" s="837"/>
      <c r="AE96" s="774"/>
      <c r="AF96" s="837"/>
      <c r="AG96" s="897"/>
      <c r="AH96" s="839"/>
      <c r="AI96" s="840">
        <f t="shared" si="4"/>
        <v>0</v>
      </c>
      <c r="AJ96" s="836">
        <v>0</v>
      </c>
      <c r="AK96" s="835">
        <f t="shared" si="5"/>
        <v>0</v>
      </c>
      <c r="AL96" s="841" t="s">
        <v>1501</v>
      </c>
      <c r="AM96" s="842">
        <f t="shared" si="6"/>
        <v>2.68</v>
      </c>
    </row>
    <row r="97" spans="1:39" s="730" customFormat="1">
      <c r="A97" s="720" t="s">
        <v>614</v>
      </c>
      <c r="B97" s="720" t="s">
        <v>1167</v>
      </c>
      <c r="C97" s="823" t="s">
        <v>37</v>
      </c>
      <c r="D97" s="743"/>
      <c r="E97" s="726"/>
      <c r="F97" s="726"/>
      <c r="G97" s="726"/>
      <c r="H97" s="726"/>
      <c r="I97" s="725"/>
      <c r="J97" s="725"/>
      <c r="K97" s="725"/>
      <c r="L97" s="756"/>
      <c r="M97" s="756"/>
      <c r="N97" s="756"/>
      <c r="O97" s="756"/>
      <c r="P97" s="756"/>
      <c r="Q97" s="756"/>
      <c r="R97" s="756"/>
      <c r="S97" s="756"/>
      <c r="T97" s="756"/>
      <c r="U97" s="756"/>
      <c r="V97" s="756"/>
      <c r="W97" s="756"/>
      <c r="X97" s="756"/>
      <c r="Y97" s="756"/>
      <c r="Z97" s="756"/>
      <c r="AA97" s="756"/>
      <c r="AB97" s="756"/>
      <c r="AC97" s="756"/>
      <c r="AD97" s="756"/>
      <c r="AE97" s="774"/>
      <c r="AF97" s="756"/>
      <c r="AG97" s="897"/>
      <c r="AH97" s="819"/>
      <c r="AI97" s="786">
        <f t="shared" si="4"/>
        <v>0</v>
      </c>
      <c r="AJ97" s="725">
        <v>0</v>
      </c>
      <c r="AK97" s="726">
        <f t="shared" si="5"/>
        <v>0</v>
      </c>
      <c r="AL97" s="728" t="s">
        <v>1502</v>
      </c>
      <c r="AM97" s="729">
        <f t="shared" si="6"/>
        <v>96.66</v>
      </c>
    </row>
    <row r="98" spans="1:39" s="730" customFormat="1">
      <c r="A98" s="720" t="s">
        <v>615</v>
      </c>
      <c r="B98" s="720" t="s">
        <v>1168</v>
      </c>
      <c r="C98" s="822" t="s">
        <v>37</v>
      </c>
      <c r="D98" s="743"/>
      <c r="E98" s="726"/>
      <c r="F98" s="726"/>
      <c r="G98" s="726"/>
      <c r="H98" s="726"/>
      <c r="I98" s="725"/>
      <c r="J98" s="725"/>
      <c r="K98" s="725"/>
      <c r="L98" s="756"/>
      <c r="M98" s="756"/>
      <c r="N98" s="756"/>
      <c r="O98" s="756"/>
      <c r="P98" s="756"/>
      <c r="Q98" s="756"/>
      <c r="R98" s="756"/>
      <c r="S98" s="756"/>
      <c r="T98" s="756"/>
      <c r="U98" s="756"/>
      <c r="V98" s="756"/>
      <c r="W98" s="756"/>
      <c r="X98" s="756"/>
      <c r="Y98" s="756"/>
      <c r="Z98" s="756"/>
      <c r="AA98" s="756"/>
      <c r="AB98" s="756"/>
      <c r="AC98" s="756"/>
      <c r="AD98" s="756"/>
      <c r="AE98" s="774"/>
      <c r="AF98" s="756"/>
      <c r="AG98" s="897"/>
      <c r="AH98" s="819"/>
      <c r="AI98" s="786">
        <f t="shared" si="4"/>
        <v>0</v>
      </c>
      <c r="AJ98" s="725">
        <v>0</v>
      </c>
      <c r="AK98" s="726">
        <f t="shared" si="5"/>
        <v>0</v>
      </c>
      <c r="AL98" s="728" t="s">
        <v>1497</v>
      </c>
      <c r="AM98" s="729">
        <f t="shared" si="6"/>
        <v>57.19</v>
      </c>
    </row>
    <row r="99" spans="1:39" s="730" customFormat="1">
      <c r="A99" s="831" t="s">
        <v>616</v>
      </c>
      <c r="B99" s="831" t="s">
        <v>1169</v>
      </c>
      <c r="C99" s="826"/>
      <c r="D99" s="743"/>
      <c r="E99" s="726"/>
      <c r="F99" s="726"/>
      <c r="G99" s="726"/>
      <c r="H99" s="726"/>
      <c r="I99" s="725"/>
      <c r="J99" s="725"/>
      <c r="K99" s="725"/>
      <c r="L99" s="756"/>
      <c r="M99" s="756"/>
      <c r="N99" s="756"/>
      <c r="O99" s="756"/>
      <c r="P99" s="756"/>
      <c r="Q99" s="756"/>
      <c r="R99" s="756"/>
      <c r="S99" s="756"/>
      <c r="T99" s="756"/>
      <c r="U99" s="756"/>
      <c r="V99" s="756"/>
      <c r="W99" s="756"/>
      <c r="X99" s="756"/>
      <c r="Y99" s="756"/>
      <c r="Z99" s="756"/>
      <c r="AA99" s="756"/>
      <c r="AB99" s="756"/>
      <c r="AC99" s="756"/>
      <c r="AD99" s="756"/>
      <c r="AE99" s="774"/>
      <c r="AF99" s="756"/>
      <c r="AG99" s="897"/>
      <c r="AH99" s="819"/>
      <c r="AI99" s="786">
        <f t="shared" si="4"/>
        <v>0</v>
      </c>
      <c r="AJ99" s="725">
        <v>0</v>
      </c>
      <c r="AK99" s="726">
        <f t="shared" si="5"/>
        <v>0</v>
      </c>
      <c r="AL99" s="728"/>
      <c r="AM99" s="729">
        <f t="shared" si="6"/>
        <v>0</v>
      </c>
    </row>
    <row r="100" spans="1:39" s="730" customFormat="1">
      <c r="A100" s="720" t="s">
        <v>617</v>
      </c>
      <c r="B100" s="720" t="s">
        <v>1170</v>
      </c>
      <c r="C100" s="826"/>
      <c r="D100" s="743"/>
      <c r="E100" s="726"/>
      <c r="F100" s="726"/>
      <c r="G100" s="726"/>
      <c r="H100" s="726"/>
      <c r="I100" s="725"/>
      <c r="J100" s="725"/>
      <c r="K100" s="725"/>
      <c r="L100" s="756"/>
      <c r="M100" s="756"/>
      <c r="N100" s="756"/>
      <c r="O100" s="756"/>
      <c r="P100" s="756"/>
      <c r="Q100" s="756"/>
      <c r="R100" s="756"/>
      <c r="S100" s="756"/>
      <c r="T100" s="756"/>
      <c r="U100" s="756"/>
      <c r="V100" s="756"/>
      <c r="W100" s="756"/>
      <c r="X100" s="756"/>
      <c r="Y100" s="756"/>
      <c r="Z100" s="756"/>
      <c r="AA100" s="756"/>
      <c r="AB100" s="756"/>
      <c r="AC100" s="756"/>
      <c r="AD100" s="756"/>
      <c r="AE100" s="774"/>
      <c r="AF100" s="756"/>
      <c r="AG100" s="897"/>
      <c r="AH100" s="819"/>
      <c r="AI100" s="786">
        <f t="shared" si="4"/>
        <v>0</v>
      </c>
      <c r="AJ100" s="725">
        <v>0</v>
      </c>
      <c r="AK100" s="726">
        <f t="shared" si="5"/>
        <v>0</v>
      </c>
      <c r="AL100" s="728"/>
      <c r="AM100" s="729">
        <f t="shared" si="6"/>
        <v>0</v>
      </c>
    </row>
    <row r="101" spans="1:39" s="500" customFormat="1" hidden="1">
      <c r="A101" s="539" t="s">
        <v>618</v>
      </c>
      <c r="B101" s="539" t="s">
        <v>1206</v>
      </c>
      <c r="C101" s="472" t="s">
        <v>40</v>
      </c>
      <c r="D101" s="519"/>
      <c r="E101" s="726"/>
      <c r="F101" s="520"/>
      <c r="G101" s="520"/>
      <c r="H101" s="520"/>
      <c r="I101" s="521"/>
      <c r="J101" s="521"/>
      <c r="K101" s="521"/>
      <c r="L101" s="756"/>
      <c r="M101" s="514"/>
      <c r="N101" s="514"/>
      <c r="O101" s="514"/>
      <c r="P101" s="514"/>
      <c r="Q101" s="514"/>
      <c r="R101" s="514"/>
      <c r="S101" s="756"/>
      <c r="T101" s="514"/>
      <c r="U101" s="514"/>
      <c r="V101" s="514"/>
      <c r="W101" s="514"/>
      <c r="X101" s="514"/>
      <c r="Y101" s="514"/>
      <c r="Z101" s="756"/>
      <c r="AA101" s="514"/>
      <c r="AB101" s="514"/>
      <c r="AC101" s="514"/>
      <c r="AD101" s="521"/>
      <c r="AE101" s="801"/>
      <c r="AF101" s="514"/>
      <c r="AG101" s="897"/>
      <c r="AH101" s="789"/>
      <c r="AI101" s="664">
        <f t="shared" si="4"/>
        <v>0</v>
      </c>
      <c r="AJ101" s="521">
        <v>0</v>
      </c>
      <c r="AK101" s="520">
        <f t="shared" si="5"/>
        <v>0</v>
      </c>
      <c r="AL101" s="672" t="s">
        <v>1503</v>
      </c>
      <c r="AM101" s="669">
        <f t="shared" si="6"/>
        <v>8.06</v>
      </c>
    </row>
    <row r="102" spans="1:39" s="500" customFormat="1" hidden="1">
      <c r="A102" s="539" t="s">
        <v>619</v>
      </c>
      <c r="B102" s="539" t="s">
        <v>1172</v>
      </c>
      <c r="C102" s="472" t="s">
        <v>48</v>
      </c>
      <c r="D102" s="519"/>
      <c r="E102" s="726"/>
      <c r="F102" s="520"/>
      <c r="G102" s="520"/>
      <c r="H102" s="520"/>
      <c r="I102" s="521"/>
      <c r="J102" s="521"/>
      <c r="K102" s="521"/>
      <c r="L102" s="756"/>
      <c r="M102" s="514"/>
      <c r="N102" s="514"/>
      <c r="O102" s="514"/>
      <c r="P102" s="514"/>
      <c r="Q102" s="514"/>
      <c r="R102" s="514"/>
      <c r="S102" s="756"/>
      <c r="T102" s="514"/>
      <c r="U102" s="514"/>
      <c r="V102" s="514"/>
      <c r="W102" s="514"/>
      <c r="X102" s="514"/>
      <c r="Y102" s="514"/>
      <c r="Z102" s="756"/>
      <c r="AA102" s="514"/>
      <c r="AB102" s="514"/>
      <c r="AC102" s="760"/>
      <c r="AD102" s="667"/>
      <c r="AE102" s="774"/>
      <c r="AF102" s="514"/>
      <c r="AG102" s="897"/>
      <c r="AH102" s="789"/>
      <c r="AI102" s="664">
        <f t="shared" si="4"/>
        <v>0</v>
      </c>
      <c r="AJ102" s="521">
        <v>0</v>
      </c>
      <c r="AK102" s="520">
        <f t="shared" si="5"/>
        <v>0</v>
      </c>
      <c r="AL102" s="672" t="s">
        <v>1504</v>
      </c>
      <c r="AM102" s="669">
        <f t="shared" si="6"/>
        <v>337.22</v>
      </c>
    </row>
    <row r="103" spans="1:39" s="730" customFormat="1">
      <c r="A103" s="720" t="s">
        <v>620</v>
      </c>
      <c r="B103" s="720" t="s">
        <v>1173</v>
      </c>
      <c r="C103" s="826"/>
      <c r="D103" s="743"/>
      <c r="E103" s="726"/>
      <c r="F103" s="726"/>
      <c r="G103" s="726"/>
      <c r="H103" s="726"/>
      <c r="I103" s="725"/>
      <c r="J103" s="725"/>
      <c r="K103" s="725"/>
      <c r="L103" s="756"/>
      <c r="M103" s="756"/>
      <c r="N103" s="756"/>
      <c r="O103" s="756"/>
      <c r="P103" s="756"/>
      <c r="Q103" s="756"/>
      <c r="R103" s="756"/>
      <c r="S103" s="756"/>
      <c r="T103" s="756"/>
      <c r="U103" s="756"/>
      <c r="V103" s="756"/>
      <c r="W103" s="756"/>
      <c r="X103" s="756"/>
      <c r="Y103" s="756"/>
      <c r="Z103" s="756"/>
      <c r="AA103" s="756"/>
      <c r="AB103" s="756"/>
      <c r="AC103" s="756"/>
      <c r="AD103" s="756"/>
      <c r="AE103" s="774"/>
      <c r="AF103" s="756"/>
      <c r="AG103" s="897"/>
      <c r="AH103" s="819"/>
      <c r="AI103" s="786">
        <f t="shared" si="4"/>
        <v>0</v>
      </c>
      <c r="AJ103" s="725">
        <v>0</v>
      </c>
      <c r="AK103" s="726">
        <f t="shared" si="5"/>
        <v>0</v>
      </c>
      <c r="AL103" s="728"/>
      <c r="AM103" s="729">
        <f t="shared" si="6"/>
        <v>0</v>
      </c>
    </row>
    <row r="104" spans="1:39" s="730" customFormat="1">
      <c r="A104" s="720" t="s">
        <v>621</v>
      </c>
      <c r="B104" s="720" t="s">
        <v>1207</v>
      </c>
      <c r="C104" s="822" t="s">
        <v>40</v>
      </c>
      <c r="D104" s="743"/>
      <c r="E104" s="726"/>
      <c r="F104" s="726"/>
      <c r="G104" s="726"/>
      <c r="H104" s="726"/>
      <c r="I104" s="772">
        <f>40.91*0.25*0.3722</f>
        <v>3.8066754999999994</v>
      </c>
      <c r="J104" s="725"/>
      <c r="K104" s="725"/>
      <c r="L104" s="756"/>
      <c r="M104" s="756"/>
      <c r="N104" s="756"/>
      <c r="O104" s="756"/>
      <c r="P104" s="756"/>
      <c r="Q104" s="756"/>
      <c r="R104" s="756"/>
      <c r="S104" s="756"/>
      <c r="T104" s="756"/>
      <c r="U104" s="756"/>
      <c r="V104" s="756"/>
      <c r="W104" s="756"/>
      <c r="X104" s="756"/>
      <c r="Y104" s="756"/>
      <c r="Z104" s="756"/>
      <c r="AA104" s="756"/>
      <c r="AB104" s="756"/>
      <c r="AC104" s="756"/>
      <c r="AD104" s="756"/>
      <c r="AE104" s="774"/>
      <c r="AF104" s="756"/>
      <c r="AG104" s="897"/>
      <c r="AH104" s="819"/>
      <c r="AI104" s="786">
        <f t="shared" si="4"/>
        <v>3.81</v>
      </c>
      <c r="AJ104" s="725">
        <v>0</v>
      </c>
      <c r="AK104" s="726">
        <f t="shared" si="5"/>
        <v>3.81</v>
      </c>
      <c r="AL104" s="728" t="s">
        <v>1505</v>
      </c>
      <c r="AM104" s="729">
        <f t="shared" si="6"/>
        <v>0</v>
      </c>
    </row>
    <row r="105" spans="1:39" s="730" customFormat="1">
      <c r="A105" s="720" t="s">
        <v>622</v>
      </c>
      <c r="B105" s="720" t="s">
        <v>1175</v>
      </c>
      <c r="C105" s="823" t="s">
        <v>37</v>
      </c>
      <c r="D105" s="743"/>
      <c r="E105" s="726"/>
      <c r="F105" s="726"/>
      <c r="G105" s="726"/>
      <c r="H105" s="864">
        <f>40.91*2*0.3722</f>
        <v>30.453403999999995</v>
      </c>
      <c r="I105" s="725"/>
      <c r="J105" s="725"/>
      <c r="K105" s="725"/>
      <c r="L105" s="756"/>
      <c r="M105" s="756"/>
      <c r="N105" s="756"/>
      <c r="O105" s="756"/>
      <c r="P105" s="756"/>
      <c r="Q105" s="756"/>
      <c r="R105" s="756"/>
      <c r="S105" s="756"/>
      <c r="T105" s="756"/>
      <c r="U105" s="756"/>
      <c r="V105" s="756"/>
      <c r="W105" s="756"/>
      <c r="X105" s="756"/>
      <c r="Y105" s="756"/>
      <c r="Z105" s="756"/>
      <c r="AA105" s="756"/>
      <c r="AB105" s="756"/>
      <c r="AC105" s="756"/>
      <c r="AD105" s="756"/>
      <c r="AE105" s="774"/>
      <c r="AF105" s="756"/>
      <c r="AG105" s="897"/>
      <c r="AH105" s="819"/>
      <c r="AI105" s="786">
        <f t="shared" si="4"/>
        <v>30.45</v>
      </c>
      <c r="AJ105" s="725">
        <v>0</v>
      </c>
      <c r="AK105" s="726">
        <f t="shared" si="5"/>
        <v>30.45</v>
      </c>
      <c r="AL105" s="728" t="s">
        <v>1506</v>
      </c>
      <c r="AM105" s="729">
        <f t="shared" si="6"/>
        <v>0</v>
      </c>
    </row>
    <row r="106" spans="1:39" s="500" customFormat="1" hidden="1">
      <c r="A106" s="539" t="s">
        <v>623</v>
      </c>
      <c r="B106" s="539" t="s">
        <v>1176</v>
      </c>
      <c r="C106" s="472" t="s">
        <v>48</v>
      </c>
      <c r="D106" s="519"/>
      <c r="E106" s="726"/>
      <c r="F106" s="520"/>
      <c r="G106" s="520"/>
      <c r="H106" s="520"/>
      <c r="I106" s="521"/>
      <c r="J106" s="521"/>
      <c r="K106" s="521"/>
      <c r="L106" s="756"/>
      <c r="M106" s="514"/>
      <c r="N106" s="514"/>
      <c r="O106" s="514"/>
      <c r="P106" s="514"/>
      <c r="Q106" s="514"/>
      <c r="R106" s="514"/>
      <c r="S106" s="756"/>
      <c r="T106" s="514"/>
      <c r="U106" s="514"/>
      <c r="V106" s="514"/>
      <c r="W106" s="514"/>
      <c r="X106" s="514"/>
      <c r="Y106" s="514"/>
      <c r="Z106" s="756"/>
      <c r="AA106" s="514"/>
      <c r="AB106" s="514"/>
      <c r="AC106" s="514"/>
      <c r="AD106" s="514"/>
      <c r="AE106" s="774"/>
      <c r="AF106" s="514"/>
      <c r="AG106" s="899"/>
      <c r="AH106" s="790"/>
      <c r="AI106" s="664">
        <f t="shared" si="4"/>
        <v>0</v>
      </c>
      <c r="AJ106" s="521">
        <v>0</v>
      </c>
      <c r="AK106" s="520">
        <f t="shared" si="5"/>
        <v>0</v>
      </c>
      <c r="AL106" s="672" t="s">
        <v>1507</v>
      </c>
      <c r="AM106" s="669">
        <f t="shared" si="6"/>
        <v>322.07</v>
      </c>
    </row>
    <row r="107" spans="1:39" s="730" customFormat="1">
      <c r="A107" s="720" t="s">
        <v>624</v>
      </c>
      <c r="B107" s="720" t="s">
        <v>1177</v>
      </c>
      <c r="C107" s="826"/>
      <c r="D107" s="743"/>
      <c r="E107" s="726"/>
      <c r="F107" s="726"/>
      <c r="G107" s="726"/>
      <c r="H107" s="726"/>
      <c r="I107" s="725"/>
      <c r="J107" s="725"/>
      <c r="K107" s="725"/>
      <c r="L107" s="756"/>
      <c r="M107" s="756"/>
      <c r="N107" s="756"/>
      <c r="O107" s="756"/>
      <c r="P107" s="756"/>
      <c r="Q107" s="756"/>
      <c r="R107" s="756"/>
      <c r="S107" s="756"/>
      <c r="T107" s="756"/>
      <c r="U107" s="756"/>
      <c r="V107" s="756"/>
      <c r="W107" s="756"/>
      <c r="X107" s="756"/>
      <c r="Y107" s="756"/>
      <c r="Z107" s="756"/>
      <c r="AA107" s="756"/>
      <c r="AB107" s="756"/>
      <c r="AC107" s="756"/>
      <c r="AD107" s="756"/>
      <c r="AE107" s="774"/>
      <c r="AF107" s="756"/>
      <c r="AG107" s="897"/>
      <c r="AH107" s="819"/>
      <c r="AI107" s="786">
        <f t="shared" si="4"/>
        <v>0</v>
      </c>
      <c r="AJ107" s="725">
        <v>0</v>
      </c>
      <c r="AK107" s="726">
        <f t="shared" si="5"/>
        <v>0</v>
      </c>
      <c r="AL107" s="728"/>
      <c r="AM107" s="729">
        <f t="shared" si="6"/>
        <v>0</v>
      </c>
    </row>
    <row r="108" spans="1:39" s="730" customFormat="1">
      <c r="A108" s="720" t="s">
        <v>625</v>
      </c>
      <c r="B108" s="720" t="s">
        <v>1208</v>
      </c>
      <c r="C108" s="822" t="s">
        <v>40</v>
      </c>
      <c r="D108" s="743"/>
      <c r="E108" s="726"/>
      <c r="F108" s="726"/>
      <c r="G108" s="726"/>
      <c r="H108" s="726"/>
      <c r="I108" s="725"/>
      <c r="J108" s="725"/>
      <c r="K108" s="725"/>
      <c r="L108" s="756"/>
      <c r="M108" s="756"/>
      <c r="N108" s="756"/>
      <c r="O108" s="756"/>
      <c r="Q108" s="884">
        <f>8*0.25*0.4*4.35</f>
        <v>3.48</v>
      </c>
      <c r="R108" s="745"/>
      <c r="S108" s="756"/>
      <c r="T108" s="884">
        <f>6*0.25*0.4*4.35</f>
        <v>2.6100000000000003</v>
      </c>
      <c r="U108" s="756"/>
      <c r="V108" s="756"/>
      <c r="W108" s="756"/>
      <c r="X108" s="756"/>
      <c r="Y108" s="756"/>
      <c r="Z108" s="756"/>
      <c r="AA108" s="756"/>
      <c r="AB108" s="756"/>
      <c r="AC108" s="756"/>
      <c r="AD108" s="756"/>
      <c r="AE108" s="774"/>
      <c r="AF108" s="756"/>
      <c r="AG108" s="897"/>
      <c r="AH108" s="819"/>
      <c r="AI108" s="786">
        <f t="shared" si="4"/>
        <v>6.09</v>
      </c>
      <c r="AJ108" s="725">
        <v>0</v>
      </c>
      <c r="AK108" s="726">
        <f t="shared" si="5"/>
        <v>6.09</v>
      </c>
      <c r="AL108" s="728" t="s">
        <v>1508</v>
      </c>
      <c r="AM108" s="729">
        <f t="shared" si="6"/>
        <v>-0.13999999999999968</v>
      </c>
    </row>
    <row r="109" spans="1:39" s="733" customFormat="1">
      <c r="A109" s="720" t="s">
        <v>626</v>
      </c>
      <c r="B109" s="720" t="s">
        <v>1179</v>
      </c>
      <c r="C109" s="822" t="s">
        <v>37</v>
      </c>
      <c r="D109" s="827"/>
      <c r="E109" s="731"/>
      <c r="F109" s="731"/>
      <c r="G109" s="731"/>
      <c r="H109" s="731"/>
      <c r="I109" s="727"/>
      <c r="J109" s="727"/>
      <c r="K109" s="727"/>
      <c r="L109" s="756"/>
      <c r="M109" s="756"/>
      <c r="N109" s="756"/>
      <c r="O109" s="756"/>
      <c r="Q109" s="884">
        <f>3*2*(0.25+0.4)*4.35+5*2*(2*0.25+2*0.25+2*0.15)*4.35</f>
        <v>73.515000000000001</v>
      </c>
      <c r="R109" s="884">
        <f>6*(2*0.25+2*0.15+2*0.25)*4.35</f>
        <v>33.93</v>
      </c>
      <c r="S109" s="756"/>
      <c r="T109" s="756"/>
      <c r="U109" s="756"/>
      <c r="V109" s="756"/>
      <c r="W109" s="756"/>
      <c r="X109" s="756"/>
      <c r="Y109" s="756"/>
      <c r="Z109" s="756"/>
      <c r="AA109" s="756"/>
      <c r="AB109" s="756"/>
      <c r="AC109" s="756"/>
      <c r="AD109" s="756"/>
      <c r="AE109" s="774"/>
      <c r="AF109" s="797"/>
      <c r="AG109" s="897"/>
      <c r="AH109" s="819"/>
      <c r="AI109" s="786">
        <f t="shared" si="4"/>
        <v>107.45</v>
      </c>
      <c r="AJ109" s="725">
        <v>0</v>
      </c>
      <c r="AK109" s="726">
        <f t="shared" si="5"/>
        <v>107.45</v>
      </c>
      <c r="AL109" s="732" t="s">
        <v>1509</v>
      </c>
      <c r="AM109" s="729">
        <f t="shared" si="6"/>
        <v>-29.540000000000006</v>
      </c>
    </row>
    <row r="110" spans="1:39" s="500" customFormat="1" hidden="1">
      <c r="A110" s="539" t="s">
        <v>627</v>
      </c>
      <c r="B110" s="539" t="s">
        <v>1180</v>
      </c>
      <c r="C110" s="472" t="s">
        <v>48</v>
      </c>
      <c r="D110" s="519"/>
      <c r="E110" s="726"/>
      <c r="F110" s="520"/>
      <c r="G110" s="520"/>
      <c r="H110" s="520"/>
      <c r="I110" s="521"/>
      <c r="J110" s="521"/>
      <c r="K110" s="521"/>
      <c r="L110" s="756"/>
      <c r="M110" s="514"/>
      <c r="N110" s="514"/>
      <c r="O110" s="514"/>
      <c r="P110" s="514"/>
      <c r="Q110" s="514"/>
      <c r="R110" s="514"/>
      <c r="S110" s="756"/>
      <c r="T110" s="514"/>
      <c r="U110" s="514"/>
      <c r="V110" s="514"/>
      <c r="W110" s="514"/>
      <c r="X110" s="514"/>
      <c r="Y110" s="514"/>
      <c r="Z110" s="756"/>
      <c r="AA110" s="514"/>
      <c r="AB110" s="514"/>
      <c r="AC110" s="514"/>
      <c r="AE110" s="802"/>
      <c r="AF110" s="757"/>
      <c r="AG110" s="897"/>
      <c r="AH110" s="789"/>
      <c r="AI110" s="664">
        <f t="shared" si="4"/>
        <v>0</v>
      </c>
      <c r="AJ110" s="521">
        <v>0</v>
      </c>
      <c r="AK110" s="520">
        <f t="shared" si="5"/>
        <v>0</v>
      </c>
      <c r="AL110" s="672" t="s">
        <v>1510</v>
      </c>
      <c r="AM110" s="669">
        <f t="shared" si="6"/>
        <v>2582.91</v>
      </c>
    </row>
    <row r="111" spans="1:39" s="730" customFormat="1">
      <c r="A111" s="720" t="s">
        <v>628</v>
      </c>
      <c r="B111" s="720" t="s">
        <v>1181</v>
      </c>
      <c r="C111" s="826"/>
      <c r="D111" s="743"/>
      <c r="E111" s="726"/>
      <c r="F111" s="726"/>
      <c r="G111" s="726"/>
      <c r="H111" s="726"/>
      <c r="I111" s="725"/>
      <c r="J111" s="725"/>
      <c r="K111" s="725"/>
      <c r="L111" s="756"/>
      <c r="M111" s="756"/>
      <c r="N111" s="756"/>
      <c r="O111" s="756"/>
      <c r="P111" s="756"/>
      <c r="Q111" s="756"/>
      <c r="R111" s="756"/>
      <c r="S111" s="756"/>
      <c r="T111" s="756"/>
      <c r="U111" s="756"/>
      <c r="V111" s="756"/>
      <c r="W111" s="756"/>
      <c r="X111" s="756"/>
      <c r="Y111" s="756"/>
      <c r="Z111" s="756"/>
      <c r="AA111" s="756"/>
      <c r="AB111" s="756"/>
      <c r="AC111" s="756"/>
      <c r="AD111" s="756"/>
      <c r="AE111" s="774"/>
      <c r="AF111" s="756"/>
      <c r="AG111" s="897"/>
      <c r="AH111" s="819"/>
      <c r="AI111" s="786">
        <f t="shared" si="4"/>
        <v>0</v>
      </c>
      <c r="AJ111" s="725">
        <v>0</v>
      </c>
      <c r="AK111" s="726">
        <f t="shared" si="5"/>
        <v>0</v>
      </c>
      <c r="AL111" s="728"/>
      <c r="AM111" s="729">
        <f t="shared" si="6"/>
        <v>0</v>
      </c>
    </row>
    <row r="112" spans="1:39" s="730" customFormat="1">
      <c r="A112" s="720" t="s">
        <v>629</v>
      </c>
      <c r="B112" s="720" t="s">
        <v>1182</v>
      </c>
      <c r="C112" s="822" t="s">
        <v>40</v>
      </c>
      <c r="D112" s="743"/>
      <c r="E112" s="726"/>
      <c r="F112" s="726"/>
      <c r="G112" s="726"/>
      <c r="H112" s="726"/>
      <c r="I112" s="725"/>
      <c r="J112" s="725"/>
      <c r="K112" s="725"/>
      <c r="L112" s="756"/>
      <c r="M112" s="756"/>
      <c r="N112" s="756"/>
      <c r="O112" s="756"/>
      <c r="P112" s="756"/>
      <c r="Q112" s="756"/>
      <c r="R112" s="756"/>
      <c r="S112" s="756"/>
      <c r="T112" s="756"/>
      <c r="U112" s="756"/>
      <c r="V112" s="756"/>
      <c r="W112" s="756"/>
      <c r="X112" s="756"/>
      <c r="Y112" s="756"/>
      <c r="Z112" s="756"/>
      <c r="AA112" s="756"/>
      <c r="AB112" s="756"/>
      <c r="AC112" s="756"/>
      <c r="AD112" s="756"/>
      <c r="AE112" s="774"/>
      <c r="AF112" s="756"/>
      <c r="AG112" s="897"/>
      <c r="AH112" s="819"/>
      <c r="AI112" s="786">
        <f t="shared" si="4"/>
        <v>0</v>
      </c>
      <c r="AJ112" s="725">
        <v>0</v>
      </c>
      <c r="AK112" s="726">
        <f t="shared" si="5"/>
        <v>0</v>
      </c>
      <c r="AL112" s="728" t="s">
        <v>1511</v>
      </c>
      <c r="AM112" s="729">
        <f t="shared" si="6"/>
        <v>2.82</v>
      </c>
    </row>
    <row r="113" spans="1:39" s="730" customFormat="1">
      <c r="A113" s="720" t="s">
        <v>630</v>
      </c>
      <c r="B113" s="720" t="s">
        <v>1183</v>
      </c>
      <c r="C113" s="823" t="s">
        <v>37</v>
      </c>
      <c r="D113" s="743"/>
      <c r="E113" s="726"/>
      <c r="F113" s="726"/>
      <c r="G113" s="726"/>
      <c r="H113" s="726"/>
      <c r="I113" s="725"/>
      <c r="J113" s="725"/>
      <c r="K113" s="725"/>
      <c r="L113" s="756"/>
      <c r="M113" s="756"/>
      <c r="N113" s="756"/>
      <c r="O113" s="756"/>
      <c r="P113" s="756"/>
      <c r="Q113" s="756"/>
      <c r="R113" s="756"/>
      <c r="S113" s="756"/>
      <c r="T113" s="756"/>
      <c r="U113" s="756"/>
      <c r="V113" s="756"/>
      <c r="W113" s="756"/>
      <c r="X113" s="756"/>
      <c r="Y113" s="756"/>
      <c r="Z113" s="756"/>
      <c r="AA113" s="756"/>
      <c r="AB113" s="756"/>
      <c r="AC113" s="756"/>
      <c r="AD113" s="756"/>
      <c r="AE113" s="774"/>
      <c r="AF113" s="756"/>
      <c r="AG113" s="897"/>
      <c r="AH113" s="819"/>
      <c r="AI113" s="786">
        <f t="shared" si="4"/>
        <v>0</v>
      </c>
      <c r="AJ113" s="725">
        <v>0</v>
      </c>
      <c r="AK113" s="726">
        <f t="shared" si="5"/>
        <v>0</v>
      </c>
      <c r="AL113" s="728" t="s">
        <v>1512</v>
      </c>
      <c r="AM113" s="729">
        <f t="shared" si="6"/>
        <v>35.44</v>
      </c>
    </row>
    <row r="114" spans="1:39" s="730" customFormat="1">
      <c r="A114" s="720" t="s">
        <v>631</v>
      </c>
      <c r="B114" s="720" t="s">
        <v>1184</v>
      </c>
      <c r="C114" s="822" t="s">
        <v>48</v>
      </c>
      <c r="D114" s="743"/>
      <c r="E114" s="726"/>
      <c r="F114" s="726"/>
      <c r="G114" s="726"/>
      <c r="H114" s="726"/>
      <c r="I114" s="725"/>
      <c r="J114" s="725"/>
      <c r="K114" s="725"/>
      <c r="L114" s="756"/>
      <c r="M114" s="756"/>
      <c r="N114" s="756"/>
      <c r="O114" s="756"/>
      <c r="P114" s="756"/>
      <c r="Q114" s="756"/>
      <c r="R114" s="756"/>
      <c r="S114" s="756"/>
      <c r="T114" s="756"/>
      <c r="U114" s="756"/>
      <c r="V114" s="756"/>
      <c r="W114" s="756"/>
      <c r="X114" s="756"/>
      <c r="Y114" s="756"/>
      <c r="Z114" s="756"/>
      <c r="AA114" s="756"/>
      <c r="AB114" s="756"/>
      <c r="AC114" s="756"/>
      <c r="AD114" s="756"/>
      <c r="AE114" s="774"/>
      <c r="AF114" s="756"/>
      <c r="AG114" s="897"/>
      <c r="AH114" s="819"/>
      <c r="AI114" s="786">
        <f t="shared" si="4"/>
        <v>0</v>
      </c>
      <c r="AJ114" s="725">
        <v>0</v>
      </c>
      <c r="AK114" s="726">
        <f t="shared" si="5"/>
        <v>0</v>
      </c>
      <c r="AL114" s="728" t="s">
        <v>1513</v>
      </c>
      <c r="AM114" s="729">
        <f t="shared" si="6"/>
        <v>536.94000000000005</v>
      </c>
    </row>
    <row r="115" spans="1:39" s="730" customFormat="1">
      <c r="A115" s="720" t="s">
        <v>632</v>
      </c>
      <c r="B115" s="720" t="s">
        <v>1185</v>
      </c>
      <c r="C115" s="826"/>
      <c r="D115" s="743"/>
      <c r="E115" s="726"/>
      <c r="F115" s="726"/>
      <c r="G115" s="726"/>
      <c r="H115" s="726"/>
      <c r="I115" s="725"/>
      <c r="J115" s="725"/>
      <c r="K115" s="725"/>
      <c r="L115" s="756"/>
      <c r="M115" s="756"/>
      <c r="N115" s="756"/>
      <c r="O115" s="756"/>
      <c r="P115" s="756"/>
      <c r="Q115" s="756"/>
      <c r="R115" s="756"/>
      <c r="S115" s="756"/>
      <c r="T115" s="756"/>
      <c r="U115" s="756"/>
      <c r="V115" s="756"/>
      <c r="W115" s="756"/>
      <c r="X115" s="756"/>
      <c r="Y115" s="756"/>
      <c r="Z115" s="756"/>
      <c r="AA115" s="756"/>
      <c r="AB115" s="756"/>
      <c r="AC115" s="756"/>
      <c r="AD115" s="756"/>
      <c r="AE115" s="774"/>
      <c r="AF115" s="756"/>
      <c r="AG115" s="897"/>
      <c r="AH115" s="819"/>
      <c r="AI115" s="786">
        <f t="shared" si="4"/>
        <v>0</v>
      </c>
      <c r="AJ115" s="725">
        <v>0</v>
      </c>
      <c r="AK115" s="726">
        <f t="shared" si="5"/>
        <v>0</v>
      </c>
      <c r="AL115" s="728"/>
      <c r="AM115" s="729">
        <f t="shared" si="6"/>
        <v>0</v>
      </c>
    </row>
    <row r="116" spans="1:39" s="730" customFormat="1">
      <c r="A116" s="720" t="s">
        <v>633</v>
      </c>
      <c r="B116" s="720" t="s">
        <v>1186</v>
      </c>
      <c r="C116" s="822" t="s">
        <v>40</v>
      </c>
      <c r="D116" s="743"/>
      <c r="E116" s="726"/>
      <c r="F116" s="726"/>
      <c r="G116" s="726"/>
      <c r="H116" s="726"/>
      <c r="I116" s="725"/>
      <c r="J116" s="725"/>
      <c r="K116" s="725"/>
      <c r="L116" s="756"/>
      <c r="M116" s="756"/>
      <c r="N116" s="756"/>
      <c r="O116" s="756"/>
      <c r="P116" s="756"/>
      <c r="Q116" s="756"/>
      <c r="R116" s="756"/>
      <c r="S116" s="756"/>
      <c r="T116" s="756"/>
      <c r="U116" s="756"/>
      <c r="V116" s="756"/>
      <c r="W116" s="756"/>
      <c r="X116" s="756"/>
      <c r="Y116" s="756"/>
      <c r="Z116" s="756"/>
      <c r="AA116" s="756"/>
      <c r="AB116" s="756"/>
      <c r="AC116" s="756"/>
      <c r="AD116" s="756"/>
      <c r="AE116" s="774"/>
      <c r="AF116" s="756"/>
      <c r="AG116" s="897"/>
      <c r="AH116" s="819"/>
      <c r="AI116" s="786">
        <f t="shared" si="4"/>
        <v>0</v>
      </c>
      <c r="AJ116" s="725">
        <v>0</v>
      </c>
      <c r="AK116" s="726">
        <f t="shared" si="5"/>
        <v>0</v>
      </c>
      <c r="AL116" s="728" t="s">
        <v>1514</v>
      </c>
      <c r="AM116" s="729">
        <f t="shared" si="6"/>
        <v>10.33</v>
      </c>
    </row>
    <row r="117" spans="1:39" s="730" customFormat="1">
      <c r="A117" s="720" t="s">
        <v>634</v>
      </c>
      <c r="B117" s="720" t="s">
        <v>1187</v>
      </c>
      <c r="C117" s="822" t="s">
        <v>37</v>
      </c>
      <c r="D117" s="743"/>
      <c r="E117" s="726"/>
      <c r="F117" s="726"/>
      <c r="G117" s="726"/>
      <c r="H117" s="726"/>
      <c r="I117" s="725"/>
      <c r="J117" s="725"/>
      <c r="K117" s="725"/>
      <c r="L117" s="756"/>
      <c r="M117" s="756"/>
      <c r="N117" s="756"/>
      <c r="O117" s="756"/>
      <c r="P117" s="756"/>
      <c r="Q117" s="756"/>
      <c r="R117" s="756"/>
      <c r="S117" s="756"/>
      <c r="T117" s="756"/>
      <c r="U117" s="756"/>
      <c r="V117" s="756"/>
      <c r="W117" s="884">
        <f>(2.43+2.24+2.24+2.48+2.48+2.19+2.44+2.19+2.48+2.48+2.48+2.48+2.24+2.24)*0.25+2.48*2*0.25+2.28*0.25</f>
        <v>10.082500000000001</v>
      </c>
      <c r="X117" s="884">
        <f>7*2*0.4+8*2.48*0.4</f>
        <v>13.536000000000001</v>
      </c>
      <c r="Y117" s="884">
        <f>7.54*0.4*4+18*0.4*0.2*3</f>
        <v>16.384</v>
      </c>
      <c r="Z117" s="756"/>
      <c r="AA117" s="756"/>
      <c r="AB117" s="756"/>
      <c r="AC117" s="756"/>
      <c r="AD117" s="756"/>
      <c r="AE117" s="774"/>
      <c r="AF117" s="756"/>
      <c r="AG117" s="897"/>
      <c r="AH117" s="819"/>
      <c r="AI117" s="786">
        <f t="shared" si="4"/>
        <v>40</v>
      </c>
      <c r="AJ117" s="725">
        <v>0</v>
      </c>
      <c r="AK117" s="726">
        <f t="shared" si="5"/>
        <v>40</v>
      </c>
      <c r="AL117" s="728" t="s">
        <v>1515</v>
      </c>
      <c r="AM117" s="729">
        <f t="shared" si="6"/>
        <v>76.459999999999994</v>
      </c>
    </row>
    <row r="118" spans="1:39" s="730" customFormat="1">
      <c r="A118" s="720" t="s">
        <v>635</v>
      </c>
      <c r="B118" s="720" t="s">
        <v>1188</v>
      </c>
      <c r="C118" s="822" t="s">
        <v>48</v>
      </c>
      <c r="D118" s="743"/>
      <c r="E118" s="726"/>
      <c r="F118" s="726"/>
      <c r="G118" s="726"/>
      <c r="H118" s="726"/>
      <c r="I118" s="725"/>
      <c r="J118" s="725"/>
      <c r="K118" s="725"/>
      <c r="L118" s="756"/>
      <c r="M118" s="756"/>
      <c r="N118" s="756"/>
      <c r="O118" s="756"/>
      <c r="P118" s="756"/>
      <c r="Q118" s="756"/>
      <c r="R118" s="756"/>
      <c r="S118" s="756"/>
      <c r="T118" s="756"/>
      <c r="U118" s="756"/>
      <c r="V118" s="756"/>
      <c r="W118" s="756"/>
      <c r="X118" s="756"/>
      <c r="Y118" s="756"/>
      <c r="Z118" s="756"/>
      <c r="AA118" s="756"/>
      <c r="AB118" s="756"/>
      <c r="AC118" s="756"/>
      <c r="AD118" s="756"/>
      <c r="AE118" s="774"/>
      <c r="AF118" s="756"/>
      <c r="AG118" s="897"/>
      <c r="AH118" s="819"/>
      <c r="AI118" s="786">
        <f t="shared" si="4"/>
        <v>0</v>
      </c>
      <c r="AJ118" s="725">
        <v>0</v>
      </c>
      <c r="AK118" s="726">
        <f t="shared" si="5"/>
        <v>0</v>
      </c>
      <c r="AL118" s="728" t="s">
        <v>1516</v>
      </c>
      <c r="AM118" s="729">
        <f t="shared" si="6"/>
        <v>1452.85</v>
      </c>
    </row>
    <row r="119" spans="1:39" s="730" customFormat="1">
      <c r="A119" s="720" t="s">
        <v>636</v>
      </c>
      <c r="B119" s="720" t="s">
        <v>1189</v>
      </c>
      <c r="C119" s="822"/>
      <c r="D119" s="743"/>
      <c r="E119" s="726"/>
      <c r="F119" s="726"/>
      <c r="G119" s="726"/>
      <c r="H119" s="726"/>
      <c r="I119" s="725"/>
      <c r="J119" s="725"/>
      <c r="K119" s="725"/>
      <c r="L119" s="756"/>
      <c r="M119" s="756"/>
      <c r="N119" s="756"/>
      <c r="O119" s="756"/>
      <c r="P119" s="756"/>
      <c r="Q119" s="756"/>
      <c r="R119" s="756"/>
      <c r="S119" s="756"/>
      <c r="T119" s="756"/>
      <c r="U119" s="756"/>
      <c r="V119" s="756"/>
      <c r="W119" s="756"/>
      <c r="X119" s="756"/>
      <c r="Y119" s="756"/>
      <c r="Z119" s="756"/>
      <c r="AA119" s="756"/>
      <c r="AB119" s="756"/>
      <c r="AC119" s="756"/>
      <c r="AD119" s="756"/>
      <c r="AE119" s="774"/>
      <c r="AF119" s="756"/>
      <c r="AG119" s="897"/>
      <c r="AH119" s="819"/>
      <c r="AI119" s="786">
        <f t="shared" si="4"/>
        <v>0</v>
      </c>
      <c r="AJ119" s="725">
        <v>0</v>
      </c>
      <c r="AK119" s="726">
        <f t="shared" si="5"/>
        <v>0</v>
      </c>
      <c r="AL119" s="728"/>
      <c r="AM119" s="729">
        <f t="shared" si="6"/>
        <v>0</v>
      </c>
    </row>
    <row r="120" spans="1:39" s="730" customFormat="1">
      <c r="A120" s="720" t="s">
        <v>637</v>
      </c>
      <c r="B120" s="720" t="s">
        <v>1190</v>
      </c>
      <c r="C120" s="822" t="s">
        <v>40</v>
      </c>
      <c r="D120" s="743"/>
      <c r="E120" s="726"/>
      <c r="F120" s="726"/>
      <c r="G120" s="726"/>
      <c r="H120" s="726"/>
      <c r="I120" s="725"/>
      <c r="J120" s="725"/>
      <c r="K120" s="725"/>
      <c r="L120" s="756"/>
      <c r="M120" s="756"/>
      <c r="N120" s="756"/>
      <c r="O120" s="756"/>
      <c r="P120" s="756"/>
      <c r="Q120" s="756"/>
      <c r="R120" s="756"/>
      <c r="S120" s="756"/>
      <c r="T120" s="756"/>
      <c r="U120" s="756"/>
      <c r="V120" s="756"/>
      <c r="W120" s="756"/>
      <c r="X120" s="756"/>
      <c r="Y120" s="756"/>
      <c r="Z120" s="756"/>
      <c r="AA120" s="756"/>
      <c r="AB120" s="756"/>
      <c r="AC120" s="756"/>
      <c r="AD120" s="756"/>
      <c r="AE120" s="774"/>
      <c r="AF120" s="756"/>
      <c r="AG120" s="897"/>
      <c r="AH120" s="819"/>
      <c r="AI120" s="786">
        <f t="shared" si="4"/>
        <v>0</v>
      </c>
      <c r="AJ120" s="725">
        <v>0</v>
      </c>
      <c r="AK120" s="726">
        <f t="shared" si="5"/>
        <v>0</v>
      </c>
      <c r="AL120" s="728" t="s">
        <v>1517</v>
      </c>
      <c r="AM120" s="729">
        <f t="shared" si="6"/>
        <v>8.94</v>
      </c>
    </row>
    <row r="121" spans="1:39" s="730" customFormat="1">
      <c r="A121" s="720" t="s">
        <v>638</v>
      </c>
      <c r="B121" s="720" t="s">
        <v>1191</v>
      </c>
      <c r="C121" s="822" t="s">
        <v>37</v>
      </c>
      <c r="D121" s="743"/>
      <c r="E121" s="726"/>
      <c r="F121" s="726"/>
      <c r="G121" s="726"/>
      <c r="H121" s="726"/>
      <c r="I121" s="725"/>
      <c r="J121" s="725"/>
      <c r="K121" s="725"/>
      <c r="L121" s="756"/>
      <c r="M121" s="756"/>
      <c r="N121" s="756"/>
      <c r="O121" s="756"/>
      <c r="P121" s="756"/>
      <c r="Q121" s="756"/>
      <c r="R121" s="756"/>
      <c r="S121" s="756"/>
      <c r="T121" s="756"/>
      <c r="U121" s="756"/>
      <c r="V121" s="756"/>
      <c r="W121" s="756"/>
      <c r="X121" s="756"/>
      <c r="Y121" s="756"/>
      <c r="Z121" s="756"/>
      <c r="AA121" s="756"/>
      <c r="AB121" s="745">
        <f>(2.55+2.37+2.04+1.85+1.71+1.38+1.06+0.73+0.4)*0.25*3</f>
        <v>10.567499999999999</v>
      </c>
      <c r="AC121" s="745">
        <f>(2.55+2.37+2.04+1.85+1.71+1.38+1.06+0.73+0.4)*0.25*3</f>
        <v>10.567499999999999</v>
      </c>
      <c r="AD121" s="745">
        <f>(2.55+2.37+2.04+1.85+1.71+1.38+1.06+0.73+0.4)*0.25*2</f>
        <v>7.0449999999999999</v>
      </c>
      <c r="AE121" s="745"/>
      <c r="AF121" s="745">
        <f>2.23*0.25*12</f>
        <v>6.6899999999999995</v>
      </c>
      <c r="AG121" s="725"/>
      <c r="AH121" s="745">
        <f>7*0.25*2.19</f>
        <v>3.8325</v>
      </c>
      <c r="AI121" s="786">
        <f t="shared" si="4"/>
        <v>34.869999999999997</v>
      </c>
      <c r="AJ121" s="725">
        <v>0</v>
      </c>
      <c r="AK121" s="726">
        <f t="shared" si="5"/>
        <v>34.869999999999997</v>
      </c>
      <c r="AL121" s="728" t="s">
        <v>1518</v>
      </c>
      <c r="AM121" s="729">
        <f t="shared" si="6"/>
        <v>67.300000000000011</v>
      </c>
    </row>
    <row r="122" spans="1:39" s="730" customFormat="1">
      <c r="A122" s="720" t="s">
        <v>639</v>
      </c>
      <c r="B122" s="720" t="s">
        <v>1192</v>
      </c>
      <c r="C122" s="822" t="s">
        <v>48</v>
      </c>
      <c r="D122" s="743"/>
      <c r="E122" s="726"/>
      <c r="F122" s="726"/>
      <c r="G122" s="726"/>
      <c r="H122" s="726"/>
      <c r="I122" s="725"/>
      <c r="J122" s="725"/>
      <c r="K122" s="725"/>
      <c r="L122" s="756"/>
      <c r="M122" s="756"/>
      <c r="N122" s="756"/>
      <c r="O122" s="756"/>
      <c r="P122" s="756"/>
      <c r="Q122" s="756"/>
      <c r="R122" s="756"/>
      <c r="S122" s="756"/>
      <c r="T122" s="756"/>
      <c r="U122" s="756"/>
      <c r="V122" s="756"/>
      <c r="W122" s="756"/>
      <c r="X122" s="756"/>
      <c r="Y122" s="756"/>
      <c r="Z122" s="756"/>
      <c r="AA122" s="756"/>
      <c r="AB122" s="756"/>
      <c r="AC122" s="756"/>
      <c r="AD122" s="756"/>
      <c r="AE122" s="774"/>
      <c r="AF122" s="756"/>
      <c r="AG122" s="897"/>
      <c r="AH122" s="819"/>
      <c r="AI122" s="786">
        <f t="shared" si="4"/>
        <v>0</v>
      </c>
      <c r="AJ122" s="725">
        <v>0</v>
      </c>
      <c r="AK122" s="726">
        <f t="shared" si="5"/>
        <v>0</v>
      </c>
      <c r="AL122" s="728" t="s">
        <v>1519</v>
      </c>
      <c r="AM122" s="729">
        <f t="shared" si="6"/>
        <v>1062.45</v>
      </c>
    </row>
    <row r="123" spans="1:39" s="730" customFormat="1">
      <c r="A123" s="720" t="s">
        <v>640</v>
      </c>
      <c r="B123" s="720" t="s">
        <v>1193</v>
      </c>
      <c r="C123" s="822" t="s">
        <v>1450</v>
      </c>
      <c r="D123" s="743"/>
      <c r="E123" s="726"/>
      <c r="F123" s="726"/>
      <c r="G123" s="726"/>
      <c r="H123" s="726"/>
      <c r="I123" s="725"/>
      <c r="J123" s="725"/>
      <c r="K123" s="725"/>
      <c r="L123" s="756"/>
      <c r="M123" s="756"/>
      <c r="N123" s="756"/>
      <c r="O123" s="756"/>
      <c r="P123" s="756"/>
      <c r="Q123" s="756"/>
      <c r="R123" s="756"/>
      <c r="S123" s="756"/>
      <c r="T123" s="756"/>
      <c r="U123" s="756"/>
      <c r="V123" s="756"/>
      <c r="W123" s="756"/>
      <c r="X123" s="756"/>
      <c r="Y123" s="756"/>
      <c r="Z123" s="756"/>
      <c r="AA123" s="756"/>
      <c r="AB123" s="756"/>
      <c r="AC123" s="756"/>
      <c r="AD123" s="756"/>
      <c r="AE123" s="774"/>
      <c r="AF123" s="756"/>
      <c r="AG123" s="897"/>
      <c r="AH123" s="819"/>
      <c r="AI123" s="786">
        <f t="shared" si="4"/>
        <v>0</v>
      </c>
      <c r="AJ123" s="725">
        <v>0</v>
      </c>
      <c r="AK123" s="726">
        <f t="shared" si="5"/>
        <v>0</v>
      </c>
      <c r="AL123" s="728" t="s">
        <v>1520</v>
      </c>
      <c r="AM123" s="729">
        <f t="shared" si="6"/>
        <v>851.11</v>
      </c>
    </row>
    <row r="124" spans="1:39" s="730" customFormat="1">
      <c r="A124" s="720" t="s">
        <v>641</v>
      </c>
      <c r="B124" s="720" t="s">
        <v>1194</v>
      </c>
      <c r="C124" s="826"/>
      <c r="D124" s="743"/>
      <c r="E124" s="726"/>
      <c r="F124" s="726"/>
      <c r="G124" s="726"/>
      <c r="H124" s="726"/>
      <c r="I124" s="725"/>
      <c r="J124" s="725"/>
      <c r="K124" s="725"/>
      <c r="L124" s="756"/>
      <c r="M124" s="756"/>
      <c r="N124" s="756"/>
      <c r="O124" s="756"/>
      <c r="P124" s="756"/>
      <c r="Q124" s="756"/>
      <c r="R124" s="756"/>
      <c r="S124" s="756"/>
      <c r="T124" s="756"/>
      <c r="U124" s="756"/>
      <c r="V124" s="756"/>
      <c r="W124" s="756"/>
      <c r="X124" s="756"/>
      <c r="Y124" s="756"/>
      <c r="Z124" s="756"/>
      <c r="AA124" s="756"/>
      <c r="AB124" s="756"/>
      <c r="AC124" s="756"/>
      <c r="AD124" s="756"/>
      <c r="AE124" s="774"/>
      <c r="AF124" s="756"/>
      <c r="AG124" s="897"/>
      <c r="AH124" s="819"/>
      <c r="AI124" s="786">
        <f t="shared" si="4"/>
        <v>0</v>
      </c>
      <c r="AJ124" s="725">
        <v>0</v>
      </c>
      <c r="AK124" s="726">
        <f t="shared" si="5"/>
        <v>0</v>
      </c>
      <c r="AL124" s="728"/>
      <c r="AM124" s="729">
        <f t="shared" si="6"/>
        <v>0</v>
      </c>
    </row>
    <row r="125" spans="1:39" s="730" customFormat="1">
      <c r="A125" s="720" t="s">
        <v>642</v>
      </c>
      <c r="B125" s="720" t="s">
        <v>1195</v>
      </c>
      <c r="C125" s="822" t="s">
        <v>40</v>
      </c>
      <c r="D125" s="743"/>
      <c r="E125" s="726"/>
      <c r="F125" s="726"/>
      <c r="G125" s="726"/>
      <c r="H125" s="726"/>
      <c r="I125" s="725"/>
      <c r="J125" s="725"/>
      <c r="K125" s="725"/>
      <c r="L125" s="756"/>
      <c r="M125" s="756"/>
      <c r="N125" s="756"/>
      <c r="O125" s="756"/>
      <c r="P125" s="756"/>
      <c r="Q125" s="756"/>
      <c r="R125" s="756"/>
      <c r="S125" s="756"/>
      <c r="T125" s="756"/>
      <c r="U125" s="756"/>
      <c r="V125" s="756"/>
      <c r="W125" s="756"/>
      <c r="X125" s="756"/>
      <c r="Y125" s="756"/>
      <c r="Z125" s="756"/>
      <c r="AA125" s="756"/>
      <c r="AB125" s="756"/>
      <c r="AC125" s="756"/>
      <c r="AD125" s="756"/>
      <c r="AE125" s="774"/>
      <c r="AF125" s="756"/>
      <c r="AG125" s="897"/>
      <c r="AH125" s="819"/>
      <c r="AI125" s="786">
        <f t="shared" si="4"/>
        <v>0</v>
      </c>
      <c r="AJ125" s="725">
        <v>0</v>
      </c>
      <c r="AK125" s="726">
        <f t="shared" si="5"/>
        <v>0</v>
      </c>
      <c r="AL125" s="728" t="s">
        <v>1521</v>
      </c>
      <c r="AM125" s="729">
        <f t="shared" si="6"/>
        <v>2.66</v>
      </c>
    </row>
    <row r="126" spans="1:39" s="730" customFormat="1">
      <c r="A126" s="720" t="s">
        <v>643</v>
      </c>
      <c r="B126" s="720" t="s">
        <v>1196</v>
      </c>
      <c r="C126" s="822" t="s">
        <v>37</v>
      </c>
      <c r="D126" s="743"/>
      <c r="E126" s="726"/>
      <c r="F126" s="726"/>
      <c r="G126" s="726"/>
      <c r="H126" s="726"/>
      <c r="I126" s="725"/>
      <c r="J126" s="725"/>
      <c r="K126" s="725"/>
      <c r="L126" s="756"/>
      <c r="M126" s="756"/>
      <c r="N126" s="756"/>
      <c r="O126" s="756"/>
      <c r="P126" s="756"/>
      <c r="Q126" s="756"/>
      <c r="R126" s="756"/>
      <c r="S126" s="756"/>
      <c r="T126" s="756"/>
      <c r="U126" s="756"/>
      <c r="V126" s="756"/>
      <c r="W126" s="756"/>
      <c r="X126" s="756"/>
      <c r="Y126" s="756"/>
      <c r="Z126" s="756"/>
      <c r="AA126" s="756"/>
      <c r="AB126" s="756"/>
      <c r="AC126" s="756"/>
      <c r="AD126" s="756"/>
      <c r="AE126" s="774"/>
      <c r="AF126" s="756"/>
      <c r="AG126" s="897"/>
      <c r="AH126" s="819"/>
      <c r="AI126" s="786">
        <f t="shared" si="4"/>
        <v>0</v>
      </c>
      <c r="AJ126" s="725">
        <v>0</v>
      </c>
      <c r="AK126" s="726">
        <f t="shared" si="5"/>
        <v>0</v>
      </c>
      <c r="AL126" s="728" t="s">
        <v>1512</v>
      </c>
      <c r="AM126" s="729">
        <f t="shared" si="6"/>
        <v>35.44</v>
      </c>
    </row>
    <row r="127" spans="1:39" s="730" customFormat="1">
      <c r="A127" s="720" t="s">
        <v>644</v>
      </c>
      <c r="B127" s="720" t="s">
        <v>1197</v>
      </c>
      <c r="C127" s="822" t="s">
        <v>48</v>
      </c>
      <c r="D127" s="743"/>
      <c r="E127" s="726"/>
      <c r="F127" s="726"/>
      <c r="G127" s="726"/>
      <c r="H127" s="726"/>
      <c r="I127" s="725"/>
      <c r="J127" s="725"/>
      <c r="K127" s="725"/>
      <c r="L127" s="756"/>
      <c r="M127" s="756"/>
      <c r="N127" s="756"/>
      <c r="O127" s="756"/>
      <c r="P127" s="756"/>
      <c r="Q127" s="756"/>
      <c r="R127" s="756"/>
      <c r="S127" s="756"/>
      <c r="T127" s="756"/>
      <c r="U127" s="756"/>
      <c r="V127" s="756"/>
      <c r="W127" s="756"/>
      <c r="X127" s="756"/>
      <c r="Y127" s="756"/>
      <c r="Z127" s="756"/>
      <c r="AA127" s="756"/>
      <c r="AB127" s="756"/>
      <c r="AC127" s="756"/>
      <c r="AD127" s="756"/>
      <c r="AE127" s="774"/>
      <c r="AF127" s="756"/>
      <c r="AG127" s="897"/>
      <c r="AH127" s="819"/>
      <c r="AI127" s="786">
        <f t="shared" si="4"/>
        <v>0</v>
      </c>
      <c r="AJ127" s="725">
        <v>0</v>
      </c>
      <c r="AK127" s="726">
        <f t="shared" si="5"/>
        <v>0</v>
      </c>
      <c r="AL127" s="728" t="s">
        <v>1522</v>
      </c>
      <c r="AM127" s="729">
        <f t="shared" si="6"/>
        <v>179.59</v>
      </c>
    </row>
    <row r="128" spans="1:39" s="730" customFormat="1">
      <c r="A128" s="831" t="s">
        <v>645</v>
      </c>
      <c r="B128" s="831" t="s">
        <v>1198</v>
      </c>
      <c r="C128" s="826"/>
      <c r="D128" s="743"/>
      <c r="E128" s="726"/>
      <c r="F128" s="726"/>
      <c r="G128" s="726"/>
      <c r="H128" s="726"/>
      <c r="I128" s="725"/>
      <c r="J128" s="725"/>
      <c r="K128" s="725"/>
      <c r="L128" s="756"/>
      <c r="M128" s="756"/>
      <c r="N128" s="756"/>
      <c r="O128" s="756"/>
      <c r="P128" s="756"/>
      <c r="Q128" s="756"/>
      <c r="R128" s="756"/>
      <c r="S128" s="756"/>
      <c r="T128" s="756"/>
      <c r="U128" s="756"/>
      <c r="V128" s="756"/>
      <c r="W128" s="756"/>
      <c r="X128" s="756"/>
      <c r="Y128" s="756"/>
      <c r="Z128" s="756"/>
      <c r="AA128" s="756"/>
      <c r="AB128" s="756"/>
      <c r="AC128" s="756"/>
      <c r="AD128" s="756"/>
      <c r="AE128" s="774"/>
      <c r="AF128" s="756"/>
      <c r="AG128" s="897"/>
      <c r="AH128" s="819"/>
      <c r="AI128" s="786">
        <f t="shared" si="4"/>
        <v>0</v>
      </c>
      <c r="AJ128" s="725">
        <v>0</v>
      </c>
      <c r="AK128" s="726">
        <f t="shared" si="5"/>
        <v>0</v>
      </c>
      <c r="AL128" s="728"/>
      <c r="AM128" s="729">
        <f t="shared" si="6"/>
        <v>0</v>
      </c>
    </row>
    <row r="129" spans="1:39" s="730" customFormat="1">
      <c r="A129" s="720" t="s">
        <v>646</v>
      </c>
      <c r="B129" s="720" t="s">
        <v>1199</v>
      </c>
      <c r="C129" s="822" t="s">
        <v>38</v>
      </c>
      <c r="D129" s="743"/>
      <c r="E129" s="726"/>
      <c r="F129" s="726"/>
      <c r="G129" s="726"/>
      <c r="H129" s="726"/>
      <c r="I129" s="725"/>
      <c r="J129" s="725"/>
      <c r="K129" s="725"/>
      <c r="L129" s="756"/>
      <c r="M129" s="756"/>
      <c r="N129" s="756"/>
      <c r="O129" s="756"/>
      <c r="P129" s="756"/>
      <c r="Q129" s="756"/>
      <c r="R129" s="756"/>
      <c r="S129" s="756"/>
      <c r="T129" s="756"/>
      <c r="U129" s="756"/>
      <c r="V129" s="756"/>
      <c r="W129" s="756"/>
      <c r="X129" s="756"/>
      <c r="Y129" s="756"/>
      <c r="Z129" s="756"/>
      <c r="AA129" s="756"/>
      <c r="AB129" s="756"/>
      <c r="AC129" s="756"/>
      <c r="AD129" s="756"/>
      <c r="AE129" s="774"/>
      <c r="AF129" s="756"/>
      <c r="AG129" s="897"/>
      <c r="AH129" s="819"/>
      <c r="AI129" s="786">
        <f t="shared" si="4"/>
        <v>0</v>
      </c>
      <c r="AJ129" s="725">
        <v>0</v>
      </c>
      <c r="AK129" s="726">
        <f t="shared" si="5"/>
        <v>0</v>
      </c>
      <c r="AL129" s="728" t="s">
        <v>1523</v>
      </c>
      <c r="AM129" s="729">
        <f t="shared" si="6"/>
        <v>158.4</v>
      </c>
    </row>
    <row r="130" spans="1:39" s="733" customFormat="1">
      <c r="A130" s="831" t="s">
        <v>647</v>
      </c>
      <c r="B130" s="831" t="s">
        <v>1200</v>
      </c>
      <c r="C130" s="844"/>
      <c r="D130" s="827"/>
      <c r="E130" s="731"/>
      <c r="F130" s="731"/>
      <c r="G130" s="731"/>
      <c r="H130" s="731"/>
      <c r="I130" s="727"/>
      <c r="J130" s="727"/>
      <c r="K130" s="727"/>
      <c r="L130" s="756"/>
      <c r="M130" s="756"/>
      <c r="N130" s="756"/>
      <c r="O130" s="756"/>
      <c r="P130" s="756"/>
      <c r="Q130" s="756"/>
      <c r="R130" s="756"/>
      <c r="S130" s="756"/>
      <c r="T130" s="756"/>
      <c r="U130" s="756"/>
      <c r="V130" s="756"/>
      <c r="W130" s="756"/>
      <c r="X130" s="756"/>
      <c r="Y130" s="756"/>
      <c r="Z130" s="756"/>
      <c r="AA130" s="756"/>
      <c r="AB130" s="756"/>
      <c r="AC130" s="756"/>
      <c r="AD130" s="756"/>
      <c r="AE130" s="774"/>
      <c r="AF130" s="756"/>
      <c r="AG130" s="897"/>
      <c r="AH130" s="819"/>
      <c r="AI130" s="786">
        <f t="shared" si="4"/>
        <v>0</v>
      </c>
      <c r="AJ130" s="725">
        <v>0</v>
      </c>
      <c r="AK130" s="726">
        <f t="shared" si="5"/>
        <v>0</v>
      </c>
      <c r="AL130" s="732"/>
      <c r="AM130" s="729">
        <f t="shared" si="6"/>
        <v>0</v>
      </c>
    </row>
    <row r="131" spans="1:39" s="733" customFormat="1">
      <c r="A131" s="720" t="s">
        <v>648</v>
      </c>
      <c r="B131" s="720" t="s">
        <v>1201</v>
      </c>
      <c r="C131" s="822" t="s">
        <v>38</v>
      </c>
      <c r="D131" s="827"/>
      <c r="E131" s="731"/>
      <c r="F131" s="731"/>
      <c r="G131" s="731"/>
      <c r="H131" s="731"/>
      <c r="I131" s="727"/>
      <c r="J131" s="727"/>
      <c r="K131" s="727"/>
      <c r="L131" s="756"/>
      <c r="M131" s="756"/>
      <c r="N131" s="756"/>
      <c r="O131" s="756"/>
      <c r="P131" s="756"/>
      <c r="Q131" s="756"/>
      <c r="R131" s="756"/>
      <c r="S131" s="756"/>
      <c r="T131" s="756"/>
      <c r="U131" s="756"/>
      <c r="V131" s="756"/>
      <c r="W131" s="756"/>
      <c r="X131" s="756"/>
      <c r="Y131" s="756"/>
      <c r="Z131" s="756"/>
      <c r="AA131" s="756"/>
      <c r="AB131" s="756"/>
      <c r="AC131" s="756"/>
      <c r="AD131" s="756"/>
      <c r="AE131" s="774"/>
      <c r="AF131" s="756"/>
      <c r="AG131" s="897"/>
      <c r="AH131" s="819"/>
      <c r="AI131" s="786">
        <f t="shared" si="4"/>
        <v>0</v>
      </c>
      <c r="AJ131" s="725">
        <v>0</v>
      </c>
      <c r="AK131" s="726">
        <f t="shared" si="5"/>
        <v>0</v>
      </c>
      <c r="AL131" s="732" t="s">
        <v>1524</v>
      </c>
      <c r="AM131" s="729">
        <f t="shared" si="6"/>
        <v>83.2</v>
      </c>
    </row>
    <row r="132" spans="1:39" s="730" customFormat="1">
      <c r="A132" s="720" t="s">
        <v>649</v>
      </c>
      <c r="B132" s="720" t="s">
        <v>225</v>
      </c>
      <c r="C132" s="822" t="s">
        <v>1450</v>
      </c>
      <c r="D132" s="743"/>
      <c r="E132" s="726"/>
      <c r="F132" s="726"/>
      <c r="G132" s="726"/>
      <c r="H132" s="726"/>
      <c r="I132" s="725"/>
      <c r="J132" s="725"/>
      <c r="K132" s="725"/>
      <c r="L132" s="756"/>
      <c r="M132" s="756"/>
      <c r="N132" s="756"/>
      <c r="O132" s="756"/>
      <c r="P132" s="756"/>
      <c r="Q132" s="756"/>
      <c r="R132" s="756"/>
      <c r="S132" s="756"/>
      <c r="T132" s="756"/>
      <c r="U132" s="756"/>
      <c r="V132" s="756"/>
      <c r="W132" s="756"/>
      <c r="X132" s="756"/>
      <c r="Y132" s="756"/>
      <c r="Z132" s="756"/>
      <c r="AA132" s="756"/>
      <c r="AB132" s="756"/>
      <c r="AC132" s="756"/>
      <c r="AD132" s="756"/>
      <c r="AE132" s="774"/>
      <c r="AF132" s="756"/>
      <c r="AG132" s="897"/>
      <c r="AH132" s="819"/>
      <c r="AI132" s="786">
        <f t="shared" si="4"/>
        <v>0</v>
      </c>
      <c r="AJ132" s="725">
        <v>0</v>
      </c>
      <c r="AK132" s="726">
        <f t="shared" si="5"/>
        <v>0</v>
      </c>
      <c r="AL132" s="728" t="s">
        <v>1493</v>
      </c>
      <c r="AM132" s="729">
        <f t="shared" si="6"/>
        <v>15</v>
      </c>
    </row>
    <row r="133" spans="1:39" s="730" customFormat="1">
      <c r="A133" s="814" t="s">
        <v>52</v>
      </c>
      <c r="B133" s="815" t="s">
        <v>1209</v>
      </c>
      <c r="C133" s="826"/>
      <c r="D133" s="743"/>
      <c r="E133" s="726"/>
      <c r="F133" s="726"/>
      <c r="G133" s="726"/>
      <c r="H133" s="726"/>
      <c r="I133" s="725"/>
      <c r="J133" s="725"/>
      <c r="K133" s="725"/>
      <c r="L133" s="756"/>
      <c r="M133" s="756"/>
      <c r="N133" s="756"/>
      <c r="O133" s="756"/>
      <c r="P133" s="756"/>
      <c r="Q133" s="756"/>
      <c r="R133" s="756"/>
      <c r="S133" s="756"/>
      <c r="T133" s="756"/>
      <c r="U133" s="756"/>
      <c r="V133" s="756"/>
      <c r="W133" s="756"/>
      <c r="X133" s="756"/>
      <c r="Y133" s="756"/>
      <c r="Z133" s="756"/>
      <c r="AA133" s="756"/>
      <c r="AB133" s="756"/>
      <c r="AC133" s="756"/>
      <c r="AD133" s="756"/>
      <c r="AE133" s="774"/>
      <c r="AF133" s="756"/>
      <c r="AG133" s="897"/>
      <c r="AH133" s="819"/>
      <c r="AI133" s="786">
        <f t="shared" si="4"/>
        <v>0</v>
      </c>
      <c r="AJ133" s="725">
        <v>0</v>
      </c>
      <c r="AK133" s="726">
        <f t="shared" si="5"/>
        <v>0</v>
      </c>
      <c r="AL133" s="728"/>
      <c r="AM133" s="729">
        <f t="shared" si="6"/>
        <v>0</v>
      </c>
    </row>
    <row r="134" spans="1:39" s="730" customFormat="1">
      <c r="A134" s="831" t="s">
        <v>56</v>
      </c>
      <c r="B134" s="831" t="s">
        <v>46</v>
      </c>
      <c r="C134" s="844"/>
      <c r="D134" s="743"/>
      <c r="E134" s="726"/>
      <c r="F134" s="726"/>
      <c r="G134" s="726"/>
      <c r="H134" s="726"/>
      <c r="I134" s="725"/>
      <c r="J134" s="725"/>
      <c r="K134" s="725"/>
      <c r="L134" s="745"/>
      <c r="M134" s="745"/>
      <c r="N134" s="745"/>
      <c r="O134" s="745"/>
      <c r="P134" s="745"/>
      <c r="Q134" s="745"/>
      <c r="R134" s="745"/>
      <c r="S134" s="745"/>
      <c r="T134" s="745"/>
      <c r="U134" s="745"/>
      <c r="V134" s="745"/>
      <c r="W134" s="745"/>
      <c r="X134" s="745"/>
      <c r="Y134" s="745"/>
      <c r="Z134" s="745"/>
      <c r="AA134" s="745"/>
      <c r="AB134" s="745"/>
      <c r="AC134" s="745"/>
      <c r="AD134" s="745"/>
      <c r="AE134" s="774"/>
      <c r="AF134" s="745"/>
      <c r="AG134" s="899"/>
      <c r="AH134" s="845"/>
      <c r="AI134" s="786">
        <f t="shared" si="4"/>
        <v>0</v>
      </c>
      <c r="AJ134" s="725">
        <v>0</v>
      </c>
      <c r="AK134" s="726">
        <f t="shared" si="5"/>
        <v>0</v>
      </c>
      <c r="AL134" s="728" t="s">
        <v>1525</v>
      </c>
      <c r="AM134" s="729">
        <f t="shared" si="6"/>
        <v>28.51</v>
      </c>
    </row>
    <row r="135" spans="1:39" s="500" customFormat="1" hidden="1">
      <c r="A135" s="539" t="s">
        <v>650</v>
      </c>
      <c r="B135" s="539" t="s">
        <v>1156</v>
      </c>
      <c r="C135" s="548" t="s">
        <v>40</v>
      </c>
      <c r="D135" s="519"/>
      <c r="E135" s="726"/>
      <c r="F135" s="520"/>
      <c r="G135" s="520"/>
      <c r="H135" s="520"/>
      <c r="I135" s="521"/>
      <c r="J135" s="521"/>
      <c r="K135" s="521"/>
      <c r="L135" s="745"/>
      <c r="M135" s="522"/>
      <c r="N135" s="522"/>
      <c r="O135" s="522"/>
      <c r="P135" s="522"/>
      <c r="Q135" s="522"/>
      <c r="R135" s="522"/>
      <c r="S135" s="745"/>
      <c r="T135" s="522"/>
      <c r="U135" s="522"/>
      <c r="V135" s="522"/>
      <c r="W135" s="522"/>
      <c r="X135" s="522"/>
      <c r="Y135" s="522"/>
      <c r="Z135" s="745"/>
      <c r="AA135" s="522"/>
      <c r="AB135" s="522"/>
      <c r="AC135" s="522"/>
      <c r="AD135" s="522"/>
      <c r="AE135" s="774"/>
      <c r="AF135" s="522"/>
      <c r="AG135" s="899"/>
      <c r="AH135" s="790"/>
      <c r="AI135" s="664">
        <f t="shared" si="4"/>
        <v>0</v>
      </c>
      <c r="AJ135" s="521">
        <v>0</v>
      </c>
      <c r="AK135" s="520">
        <f t="shared" si="5"/>
        <v>0</v>
      </c>
      <c r="AL135" s="672" t="s">
        <v>1526</v>
      </c>
      <c r="AM135" s="669">
        <f t="shared" si="6"/>
        <v>19.8</v>
      </c>
    </row>
    <row r="136" spans="1:39" s="518" customFormat="1" hidden="1">
      <c r="A136" s="539" t="s">
        <v>651</v>
      </c>
      <c r="B136" s="539" t="s">
        <v>1157</v>
      </c>
      <c r="C136" s="548" t="s">
        <v>40</v>
      </c>
      <c r="D136" s="525"/>
      <c r="E136" s="731"/>
      <c r="F136" s="526"/>
      <c r="G136" s="526"/>
      <c r="H136" s="526"/>
      <c r="I136" s="527"/>
      <c r="J136" s="527"/>
      <c r="K136" s="527"/>
      <c r="L136" s="745"/>
      <c r="M136" s="522"/>
      <c r="N136" s="522"/>
      <c r="O136" s="522"/>
      <c r="P136" s="522"/>
      <c r="Q136" s="522"/>
      <c r="R136" s="522"/>
      <c r="S136" s="745"/>
      <c r="T136" s="522"/>
      <c r="U136" s="522"/>
      <c r="V136" s="522"/>
      <c r="W136" s="522"/>
      <c r="X136" s="522"/>
      <c r="Y136" s="522"/>
      <c r="Z136" s="745"/>
      <c r="AA136" s="522"/>
      <c r="AB136" s="522"/>
      <c r="AC136" s="522"/>
      <c r="AD136" s="522"/>
      <c r="AE136" s="774"/>
      <c r="AF136" s="522"/>
      <c r="AG136" s="899"/>
      <c r="AH136" s="790"/>
      <c r="AI136" s="664">
        <f t="shared" si="4"/>
        <v>0</v>
      </c>
      <c r="AJ136" s="521">
        <v>0</v>
      </c>
      <c r="AK136" s="520">
        <f t="shared" si="5"/>
        <v>0</v>
      </c>
      <c r="AL136" s="673" t="s">
        <v>1527</v>
      </c>
      <c r="AM136" s="669">
        <f t="shared" si="6"/>
        <v>34.56</v>
      </c>
    </row>
    <row r="137" spans="1:39" s="730" customFormat="1">
      <c r="A137" s="720" t="s">
        <v>652</v>
      </c>
      <c r="B137" s="720" t="s">
        <v>1158</v>
      </c>
      <c r="C137" s="823" t="s">
        <v>40</v>
      </c>
      <c r="D137" s="743"/>
      <c r="E137" s="726"/>
      <c r="F137" s="726"/>
      <c r="G137" s="726"/>
      <c r="H137" s="864"/>
      <c r="I137" s="725"/>
      <c r="J137" s="725"/>
      <c r="K137" s="725"/>
      <c r="L137" s="745"/>
      <c r="M137" s="745"/>
      <c r="N137" s="745"/>
      <c r="O137" s="745"/>
      <c r="P137" s="745"/>
      <c r="Q137" s="745"/>
      <c r="R137" s="745"/>
      <c r="S137" s="745"/>
      <c r="T137" s="745"/>
      <c r="U137" s="745"/>
      <c r="V137" s="745"/>
      <c r="W137" s="745"/>
      <c r="X137" s="745"/>
      <c r="Y137" s="745"/>
      <c r="Z137" s="745"/>
      <c r="AA137" s="745"/>
      <c r="AB137" s="745"/>
      <c r="AC137" s="745"/>
      <c r="AD137" s="745"/>
      <c r="AE137" s="774"/>
      <c r="AF137" s="745"/>
      <c r="AG137" s="899"/>
      <c r="AH137" s="845"/>
      <c r="AI137" s="786">
        <f t="shared" si="4"/>
        <v>0</v>
      </c>
      <c r="AJ137" s="725">
        <v>0</v>
      </c>
      <c r="AK137" s="726">
        <f t="shared" si="5"/>
        <v>0</v>
      </c>
      <c r="AL137" s="728" t="s">
        <v>1528</v>
      </c>
      <c r="AM137" s="729">
        <f t="shared" si="6"/>
        <v>72.33</v>
      </c>
    </row>
    <row r="138" spans="1:39" s="730" customFormat="1">
      <c r="A138" s="720" t="s">
        <v>653</v>
      </c>
      <c r="B138" s="720" t="s">
        <v>1159</v>
      </c>
      <c r="C138" s="823" t="s">
        <v>37</v>
      </c>
      <c r="D138" s="743"/>
      <c r="E138" s="726"/>
      <c r="F138" s="726"/>
      <c r="G138" s="726"/>
      <c r="H138" s="864"/>
      <c r="I138" s="725"/>
      <c r="J138" s="725"/>
      <c r="K138" s="725"/>
      <c r="L138" s="745"/>
      <c r="M138" s="745"/>
      <c r="N138" s="745"/>
      <c r="O138" s="745"/>
      <c r="P138" s="745"/>
      <c r="Q138" s="745"/>
      <c r="R138" s="745"/>
      <c r="S138" s="745"/>
      <c r="T138" s="745"/>
      <c r="U138" s="745"/>
      <c r="V138" s="745"/>
      <c r="W138" s="745"/>
      <c r="X138" s="745"/>
      <c r="Y138" s="745"/>
      <c r="Z138" s="745"/>
      <c r="AA138" s="745"/>
      <c r="AB138" s="745"/>
      <c r="AC138" s="745"/>
      <c r="AD138" s="745"/>
      <c r="AE138" s="774"/>
      <c r="AF138" s="745"/>
      <c r="AG138" s="899"/>
      <c r="AH138" s="845"/>
      <c r="AI138" s="786">
        <f t="shared" si="4"/>
        <v>0</v>
      </c>
      <c r="AJ138" s="725">
        <v>0</v>
      </c>
      <c r="AK138" s="726">
        <f t="shared" si="5"/>
        <v>0</v>
      </c>
      <c r="AL138" s="728" t="s">
        <v>1529</v>
      </c>
      <c r="AM138" s="729">
        <f t="shared" si="6"/>
        <v>17.190000000000001</v>
      </c>
    </row>
    <row r="139" spans="1:39" s="730" customFormat="1">
      <c r="A139" s="720" t="s">
        <v>654</v>
      </c>
      <c r="B139" s="720" t="s">
        <v>1160</v>
      </c>
      <c r="C139" s="823" t="s">
        <v>40</v>
      </c>
      <c r="D139" s="743"/>
      <c r="E139" s="726"/>
      <c r="F139" s="726"/>
      <c r="G139" s="726"/>
      <c r="H139" s="864"/>
      <c r="I139" s="725"/>
      <c r="J139" s="725"/>
      <c r="K139" s="725"/>
      <c r="L139" s="756"/>
      <c r="M139" s="756"/>
      <c r="N139" s="756"/>
      <c r="O139" s="756"/>
      <c r="P139" s="756"/>
      <c r="Q139" s="756"/>
      <c r="R139" s="756"/>
      <c r="S139" s="756"/>
      <c r="T139" s="756"/>
      <c r="U139" s="756"/>
      <c r="V139" s="756"/>
      <c r="W139" s="756"/>
      <c r="X139" s="756"/>
      <c r="Y139" s="756"/>
      <c r="Z139" s="756"/>
      <c r="AA139" s="756"/>
      <c r="AB139" s="756"/>
      <c r="AC139" s="756"/>
      <c r="AD139" s="756"/>
      <c r="AE139" s="774"/>
      <c r="AF139" s="756"/>
      <c r="AG139" s="897"/>
      <c r="AH139" s="819"/>
      <c r="AI139" s="786">
        <f t="shared" ref="AI139:AI202" si="7">ROUND((SUM(D139:AG139)),2)</f>
        <v>0</v>
      </c>
      <c r="AJ139" s="725">
        <v>0</v>
      </c>
      <c r="AK139" s="726">
        <f t="shared" si="5"/>
        <v>0</v>
      </c>
      <c r="AL139" s="728" t="s">
        <v>1529</v>
      </c>
      <c r="AM139" s="729">
        <f t="shared" si="6"/>
        <v>17.190000000000001</v>
      </c>
    </row>
    <row r="140" spans="1:39" s="843" customFormat="1">
      <c r="A140" s="832" t="s">
        <v>655</v>
      </c>
      <c r="B140" s="832" t="s">
        <v>1161</v>
      </c>
      <c r="C140" s="846" t="s">
        <v>40</v>
      </c>
      <c r="D140" s="834"/>
      <c r="E140" s="835"/>
      <c r="F140" s="835"/>
      <c r="G140" s="835"/>
      <c r="H140" s="835"/>
      <c r="I140" s="836"/>
      <c r="J140" s="836"/>
      <c r="K140" s="836"/>
      <c r="L140" s="837"/>
      <c r="M140" s="837"/>
      <c r="N140" s="837"/>
      <c r="O140" s="837"/>
      <c r="P140" s="837"/>
      <c r="Q140" s="837"/>
      <c r="R140" s="837"/>
      <c r="S140" s="837"/>
      <c r="T140" s="837"/>
      <c r="U140" s="837"/>
      <c r="V140" s="837"/>
      <c r="W140" s="837"/>
      <c r="X140" s="837"/>
      <c r="Y140" s="837"/>
      <c r="Z140" s="837"/>
      <c r="AA140" s="837"/>
      <c r="AB140" s="837"/>
      <c r="AC140" s="837"/>
      <c r="AD140" s="837"/>
      <c r="AE140" s="774"/>
      <c r="AF140" s="837"/>
      <c r="AG140" s="897"/>
      <c r="AH140" s="839"/>
      <c r="AI140" s="840">
        <f t="shared" si="7"/>
        <v>0</v>
      </c>
      <c r="AJ140" s="836">
        <v>0</v>
      </c>
      <c r="AK140" s="835">
        <f t="shared" si="5"/>
        <v>0</v>
      </c>
      <c r="AL140" s="841"/>
      <c r="AM140" s="842">
        <f t="shared" si="6"/>
        <v>0</v>
      </c>
    </row>
    <row r="141" spans="1:39" s="733" customFormat="1">
      <c r="A141" s="831" t="s">
        <v>57</v>
      </c>
      <c r="B141" s="831" t="s">
        <v>1162</v>
      </c>
      <c r="C141" s="844"/>
      <c r="D141" s="827"/>
      <c r="E141" s="731"/>
      <c r="F141" s="731"/>
      <c r="G141" s="731"/>
      <c r="H141" s="731"/>
      <c r="I141" s="727"/>
      <c r="J141" s="727"/>
      <c r="K141" s="727"/>
      <c r="L141" s="756"/>
      <c r="M141" s="756"/>
      <c r="N141" s="756"/>
      <c r="O141" s="756"/>
      <c r="P141" s="756"/>
      <c r="Q141" s="756"/>
      <c r="R141" s="756"/>
      <c r="S141" s="756"/>
      <c r="T141" s="756"/>
      <c r="U141" s="756"/>
      <c r="V141" s="756"/>
      <c r="W141" s="756"/>
      <c r="X141" s="756"/>
      <c r="Y141" s="756"/>
      <c r="Z141" s="756"/>
      <c r="AA141" s="756"/>
      <c r="AB141" s="756"/>
      <c r="AC141" s="756"/>
      <c r="AD141" s="797"/>
      <c r="AE141" s="774"/>
      <c r="AF141" s="756"/>
      <c r="AG141" s="897"/>
      <c r="AH141" s="819"/>
      <c r="AI141" s="786">
        <f t="shared" si="7"/>
        <v>0</v>
      </c>
      <c r="AJ141" s="725">
        <v>0</v>
      </c>
      <c r="AK141" s="726">
        <f t="shared" si="5"/>
        <v>0</v>
      </c>
      <c r="AL141" s="732" t="s">
        <v>1530</v>
      </c>
      <c r="AM141" s="729">
        <f t="shared" si="6"/>
        <v>23.07</v>
      </c>
    </row>
    <row r="142" spans="1:39" s="500" customFormat="1" hidden="1">
      <c r="A142" s="539" t="s">
        <v>656</v>
      </c>
      <c r="B142" s="539" t="s">
        <v>1203</v>
      </c>
      <c r="C142" s="548" t="s">
        <v>37</v>
      </c>
      <c r="D142" s="519"/>
      <c r="E142" s="726"/>
      <c r="F142" s="520"/>
      <c r="G142" s="520"/>
      <c r="H142" s="520"/>
      <c r="I142" s="521"/>
      <c r="J142" s="521"/>
      <c r="K142" s="521"/>
      <c r="L142" s="756"/>
      <c r="M142" s="514"/>
      <c r="N142" s="514"/>
      <c r="O142" s="514"/>
      <c r="P142" s="514"/>
      <c r="Q142" s="514"/>
      <c r="R142" s="514"/>
      <c r="S142" s="756"/>
      <c r="T142" s="514"/>
      <c r="U142" s="514"/>
      <c r="V142" s="514"/>
      <c r="W142" s="514"/>
      <c r="X142" s="514"/>
      <c r="Y142" s="514"/>
      <c r="Z142" s="756"/>
      <c r="AA142" s="514"/>
      <c r="AB142" s="514"/>
      <c r="AC142" s="514"/>
      <c r="AD142" s="514"/>
      <c r="AE142" s="774"/>
      <c r="AF142" s="514"/>
      <c r="AG142" s="897"/>
      <c r="AH142" s="789"/>
      <c r="AI142" s="664">
        <f t="shared" si="7"/>
        <v>0</v>
      </c>
      <c r="AJ142" s="521">
        <v>0</v>
      </c>
      <c r="AK142" s="520">
        <f t="shared" ref="AK142:AK205" si="8">AI142+AJ142</f>
        <v>0</v>
      </c>
      <c r="AL142" s="672" t="s">
        <v>1531</v>
      </c>
      <c r="AM142" s="669">
        <f t="shared" ref="AM142:AM205" si="9">AL142-AK142</f>
        <v>10.4</v>
      </c>
    </row>
    <row r="143" spans="1:39" s="843" customFormat="1">
      <c r="A143" s="832" t="s">
        <v>657</v>
      </c>
      <c r="B143" s="832" t="s">
        <v>1204</v>
      </c>
      <c r="C143" s="846" t="s">
        <v>40</v>
      </c>
      <c r="D143" s="834"/>
      <c r="E143" s="835"/>
      <c r="F143" s="835"/>
      <c r="G143" s="835"/>
      <c r="H143" s="835"/>
      <c r="I143" s="836"/>
      <c r="J143" s="836"/>
      <c r="K143" s="836"/>
      <c r="L143" s="837"/>
      <c r="M143" s="837"/>
      <c r="N143" s="837"/>
      <c r="O143" s="837"/>
      <c r="P143" s="837"/>
      <c r="Q143" s="837"/>
      <c r="R143" s="837"/>
      <c r="S143" s="837"/>
      <c r="T143" s="837"/>
      <c r="U143" s="837"/>
      <c r="V143" s="837"/>
      <c r="W143" s="837"/>
      <c r="X143" s="837"/>
      <c r="Y143" s="837"/>
      <c r="Z143" s="837"/>
      <c r="AA143" s="837"/>
      <c r="AB143" s="837"/>
      <c r="AC143" s="837"/>
      <c r="AD143" s="837"/>
      <c r="AE143" s="774"/>
      <c r="AF143" s="837"/>
      <c r="AG143" s="897"/>
      <c r="AH143" s="839"/>
      <c r="AI143" s="840">
        <f t="shared" si="7"/>
        <v>0</v>
      </c>
      <c r="AJ143" s="836">
        <v>0</v>
      </c>
      <c r="AK143" s="835">
        <f t="shared" si="8"/>
        <v>0</v>
      </c>
      <c r="AL143" s="841" t="s">
        <v>1532</v>
      </c>
      <c r="AM143" s="842">
        <f t="shared" si="9"/>
        <v>2.1800000000000002</v>
      </c>
    </row>
    <row r="144" spans="1:39" s="843" customFormat="1">
      <c r="A144" s="832" t="s">
        <v>658</v>
      </c>
      <c r="B144" s="832" t="s">
        <v>1205</v>
      </c>
      <c r="C144" s="846" t="s">
        <v>40</v>
      </c>
      <c r="D144" s="834"/>
      <c r="E144" s="835"/>
      <c r="F144" s="835"/>
      <c r="G144" s="835"/>
      <c r="H144" s="835"/>
      <c r="I144" s="836"/>
      <c r="J144" s="836"/>
      <c r="K144" s="836"/>
      <c r="L144" s="837"/>
      <c r="M144" s="837"/>
      <c r="N144" s="837"/>
      <c r="O144" s="837"/>
      <c r="P144" s="837"/>
      <c r="Q144" s="837"/>
      <c r="R144" s="837"/>
      <c r="S144" s="837"/>
      <c r="T144" s="837"/>
      <c r="U144" s="837"/>
      <c r="V144" s="837"/>
      <c r="W144" s="837"/>
      <c r="X144" s="837"/>
      <c r="Y144" s="837"/>
      <c r="Z144" s="837"/>
      <c r="AA144" s="837"/>
      <c r="AB144" s="837"/>
      <c r="AC144" s="837"/>
      <c r="AD144" s="837"/>
      <c r="AE144" s="774"/>
      <c r="AF144" s="837"/>
      <c r="AG144" s="897"/>
      <c r="AH144" s="839"/>
      <c r="AI144" s="840">
        <f t="shared" si="7"/>
        <v>0</v>
      </c>
      <c r="AJ144" s="836">
        <v>0</v>
      </c>
      <c r="AK144" s="835">
        <f t="shared" si="8"/>
        <v>0</v>
      </c>
      <c r="AL144" s="841" t="s">
        <v>1533</v>
      </c>
      <c r="AM144" s="842">
        <f t="shared" si="9"/>
        <v>29.03</v>
      </c>
    </row>
    <row r="145" spans="1:39" s="730" customFormat="1">
      <c r="A145" s="720" t="s">
        <v>659</v>
      </c>
      <c r="B145" s="720" t="s">
        <v>1167</v>
      </c>
      <c r="C145" s="823" t="s">
        <v>37</v>
      </c>
      <c r="D145" s="743"/>
      <c r="E145" s="726"/>
      <c r="F145" s="726"/>
      <c r="G145" s="726"/>
      <c r="H145" s="726"/>
      <c r="I145" s="725"/>
      <c r="J145" s="725"/>
      <c r="K145" s="725"/>
      <c r="L145" s="756"/>
      <c r="M145" s="756"/>
      <c r="N145" s="756"/>
      <c r="O145" s="756"/>
      <c r="P145" s="756"/>
      <c r="Q145" s="756"/>
      <c r="R145" s="756"/>
      <c r="S145" s="756"/>
      <c r="T145" s="756"/>
      <c r="U145" s="756"/>
      <c r="V145" s="756"/>
      <c r="W145" s="756"/>
      <c r="X145" s="756"/>
      <c r="Y145" s="756"/>
      <c r="Z145" s="756"/>
      <c r="AA145" s="756"/>
      <c r="AB145" s="756"/>
      <c r="AC145" s="756"/>
      <c r="AD145" s="756"/>
      <c r="AE145" s="774"/>
      <c r="AF145" s="756"/>
      <c r="AG145" s="897"/>
      <c r="AH145" s="819"/>
      <c r="AI145" s="786">
        <f t="shared" si="7"/>
        <v>0</v>
      </c>
      <c r="AJ145" s="725">
        <v>0</v>
      </c>
      <c r="AK145" s="726">
        <f t="shared" si="8"/>
        <v>0</v>
      </c>
      <c r="AL145" s="728" t="s">
        <v>1528</v>
      </c>
      <c r="AM145" s="729">
        <f t="shared" si="9"/>
        <v>72.33</v>
      </c>
    </row>
    <row r="146" spans="1:39" s="730" customFormat="1">
      <c r="A146" s="720" t="s">
        <v>660</v>
      </c>
      <c r="B146" s="720" t="s">
        <v>1168</v>
      </c>
      <c r="C146" s="823" t="s">
        <v>37</v>
      </c>
      <c r="D146" s="743"/>
      <c r="E146" s="726"/>
      <c r="F146" s="726"/>
      <c r="G146" s="726"/>
      <c r="H146" s="726"/>
      <c r="I146" s="725"/>
      <c r="J146" s="725"/>
      <c r="K146" s="725"/>
      <c r="L146" s="756"/>
      <c r="M146" s="756"/>
      <c r="N146" s="756"/>
      <c r="O146" s="756"/>
      <c r="P146" s="756"/>
      <c r="Q146" s="756"/>
      <c r="R146" s="756"/>
      <c r="S146" s="756"/>
      <c r="T146" s="756"/>
      <c r="U146" s="756"/>
      <c r="V146" s="756"/>
      <c r="W146" s="756"/>
      <c r="X146" s="756"/>
      <c r="Y146" s="756"/>
      <c r="Z146" s="756"/>
      <c r="AA146" s="756"/>
      <c r="AB146" s="756"/>
      <c r="AC146" s="756"/>
      <c r="AD146" s="756"/>
      <c r="AE146" s="774"/>
      <c r="AF146" s="756"/>
      <c r="AG146" s="897"/>
      <c r="AH146" s="819"/>
      <c r="AI146" s="786">
        <f t="shared" si="7"/>
        <v>0</v>
      </c>
      <c r="AJ146" s="725">
        <v>0</v>
      </c>
      <c r="AK146" s="726">
        <f t="shared" si="8"/>
        <v>0</v>
      </c>
      <c r="AL146" s="728"/>
      <c r="AM146" s="729">
        <f t="shared" si="9"/>
        <v>0</v>
      </c>
    </row>
    <row r="147" spans="1:39" s="730" customFormat="1">
      <c r="A147" s="831" t="s">
        <v>661</v>
      </c>
      <c r="B147" s="831" t="s">
        <v>1169</v>
      </c>
      <c r="C147" s="844"/>
      <c r="D147" s="743"/>
      <c r="E147" s="726"/>
      <c r="F147" s="726"/>
      <c r="G147" s="726"/>
      <c r="H147" s="726"/>
      <c r="I147" s="725"/>
      <c r="J147" s="725"/>
      <c r="K147" s="725"/>
      <c r="L147" s="756"/>
      <c r="M147" s="756"/>
      <c r="N147" s="756"/>
      <c r="O147" s="756"/>
      <c r="P147" s="756"/>
      <c r="Q147" s="756"/>
      <c r="R147" s="756"/>
      <c r="S147" s="756"/>
      <c r="T147" s="756"/>
      <c r="U147" s="756"/>
      <c r="V147" s="756"/>
      <c r="W147" s="756"/>
      <c r="X147" s="756"/>
      <c r="Y147" s="756"/>
      <c r="Z147" s="756"/>
      <c r="AA147" s="756"/>
      <c r="AB147" s="756"/>
      <c r="AC147" s="756"/>
      <c r="AD147" s="756"/>
      <c r="AE147" s="774"/>
      <c r="AF147" s="756"/>
      <c r="AG147" s="897"/>
      <c r="AH147" s="819"/>
      <c r="AI147" s="786">
        <f t="shared" si="7"/>
        <v>0</v>
      </c>
      <c r="AJ147" s="725">
        <v>0</v>
      </c>
      <c r="AK147" s="726">
        <f t="shared" si="8"/>
        <v>0</v>
      </c>
      <c r="AL147" s="728"/>
      <c r="AM147" s="729">
        <f t="shared" si="9"/>
        <v>0</v>
      </c>
    </row>
    <row r="148" spans="1:39" s="730" customFormat="1">
      <c r="A148" s="720" t="s">
        <v>662</v>
      </c>
      <c r="B148" s="720" t="s">
        <v>1170</v>
      </c>
      <c r="C148" s="844"/>
      <c r="D148" s="743"/>
      <c r="E148" s="726"/>
      <c r="F148" s="726"/>
      <c r="G148" s="726"/>
      <c r="H148" s="726"/>
      <c r="I148" s="725"/>
      <c r="J148" s="725"/>
      <c r="K148" s="725"/>
      <c r="L148" s="756"/>
      <c r="M148" s="756"/>
      <c r="N148" s="756"/>
      <c r="O148" s="756"/>
      <c r="P148" s="756"/>
      <c r="Q148" s="756"/>
      <c r="R148" s="756"/>
      <c r="S148" s="756"/>
      <c r="T148" s="756"/>
      <c r="U148" s="756"/>
      <c r="V148" s="756"/>
      <c r="W148" s="756"/>
      <c r="X148" s="756"/>
      <c r="Y148" s="756"/>
      <c r="Z148" s="756"/>
      <c r="AA148" s="756"/>
      <c r="AB148" s="756"/>
      <c r="AC148" s="745"/>
      <c r="AD148" s="756"/>
      <c r="AE148" s="774"/>
      <c r="AF148" s="756"/>
      <c r="AG148" s="897"/>
      <c r="AH148" s="819"/>
      <c r="AI148" s="786">
        <f t="shared" si="7"/>
        <v>0</v>
      </c>
      <c r="AJ148" s="725">
        <v>0</v>
      </c>
      <c r="AK148" s="726">
        <f t="shared" si="8"/>
        <v>0</v>
      </c>
      <c r="AL148" s="728" t="s">
        <v>1534</v>
      </c>
      <c r="AM148" s="729">
        <f t="shared" si="9"/>
        <v>6.34</v>
      </c>
    </row>
    <row r="149" spans="1:39" s="500" customFormat="1" hidden="1">
      <c r="A149" s="539" t="s">
        <v>663</v>
      </c>
      <c r="B149" s="539" t="s">
        <v>1206</v>
      </c>
      <c r="C149" s="548" t="s">
        <v>40</v>
      </c>
      <c r="D149" s="519"/>
      <c r="E149" s="726"/>
      <c r="F149" s="520"/>
      <c r="G149" s="520"/>
      <c r="H149" s="520"/>
      <c r="I149" s="521"/>
      <c r="J149" s="521"/>
      <c r="K149" s="521"/>
      <c r="L149" s="756"/>
      <c r="M149" s="514"/>
      <c r="N149" s="514"/>
      <c r="O149" s="514"/>
      <c r="P149" s="514"/>
      <c r="Q149" s="514"/>
      <c r="R149" s="514"/>
      <c r="S149" s="756"/>
      <c r="T149" s="514"/>
      <c r="U149" s="514"/>
      <c r="V149" s="514"/>
      <c r="W149" s="514"/>
      <c r="X149" s="514"/>
      <c r="Y149" s="514"/>
      <c r="Z149" s="797"/>
      <c r="AA149" s="514"/>
      <c r="AB149" s="514"/>
      <c r="AC149" s="514"/>
      <c r="AD149" s="514"/>
      <c r="AE149" s="774"/>
      <c r="AF149" s="514"/>
      <c r="AG149" s="897"/>
      <c r="AH149" s="789"/>
      <c r="AI149" s="664">
        <f t="shared" si="7"/>
        <v>0</v>
      </c>
      <c r="AJ149" s="521">
        <v>0</v>
      </c>
      <c r="AK149" s="520">
        <f t="shared" si="8"/>
        <v>0</v>
      </c>
      <c r="AL149" s="672" t="s">
        <v>1535</v>
      </c>
      <c r="AM149" s="669">
        <f t="shared" si="9"/>
        <v>264.95999999999998</v>
      </c>
    </row>
    <row r="150" spans="1:39" s="500" customFormat="1" hidden="1">
      <c r="A150" s="539" t="s">
        <v>664</v>
      </c>
      <c r="B150" s="539" t="s">
        <v>1172</v>
      </c>
      <c r="C150" s="548" t="s">
        <v>48</v>
      </c>
      <c r="D150" s="519"/>
      <c r="E150" s="726"/>
      <c r="F150" s="520"/>
      <c r="G150" s="520"/>
      <c r="H150" s="520"/>
      <c r="I150" s="521"/>
      <c r="J150" s="521"/>
      <c r="K150" s="521"/>
      <c r="L150" s="756"/>
      <c r="M150" s="514"/>
      <c r="N150" s="514"/>
      <c r="O150" s="514"/>
      <c r="P150" s="514"/>
      <c r="Q150" s="514"/>
      <c r="R150" s="514"/>
      <c r="S150" s="756"/>
      <c r="T150" s="514"/>
      <c r="U150" s="514"/>
      <c r="V150" s="514"/>
      <c r="W150" s="514"/>
      <c r="X150" s="514"/>
      <c r="Y150" s="514"/>
      <c r="Z150" s="756"/>
      <c r="AA150" s="514"/>
      <c r="AB150" s="514"/>
      <c r="AC150" s="514"/>
      <c r="AD150" s="514"/>
      <c r="AE150" s="774"/>
      <c r="AF150" s="514"/>
      <c r="AG150" s="897"/>
      <c r="AH150" s="789"/>
      <c r="AI150" s="664">
        <f t="shared" si="7"/>
        <v>0</v>
      </c>
      <c r="AJ150" s="521">
        <v>0</v>
      </c>
      <c r="AK150" s="520">
        <f t="shared" si="8"/>
        <v>0</v>
      </c>
      <c r="AL150" s="672"/>
      <c r="AM150" s="669">
        <f t="shared" si="9"/>
        <v>0</v>
      </c>
    </row>
    <row r="151" spans="1:39" s="730" customFormat="1">
      <c r="A151" s="720" t="s">
        <v>665</v>
      </c>
      <c r="B151" s="720" t="s">
        <v>1173</v>
      </c>
      <c r="C151" s="844"/>
      <c r="D151" s="743"/>
      <c r="E151" s="726"/>
      <c r="F151" s="726"/>
      <c r="G151" s="726"/>
      <c r="H151" s="726"/>
      <c r="I151" s="725"/>
      <c r="J151" s="725"/>
      <c r="K151" s="725"/>
      <c r="L151" s="756"/>
      <c r="M151" s="756"/>
      <c r="N151" s="756"/>
      <c r="O151" s="756"/>
      <c r="P151" s="756"/>
      <c r="Q151" s="756"/>
      <c r="R151" s="756"/>
      <c r="S151" s="756"/>
      <c r="T151" s="756"/>
      <c r="U151" s="756"/>
      <c r="V151" s="756"/>
      <c r="W151" s="756"/>
      <c r="X151" s="756"/>
      <c r="Y151" s="756"/>
      <c r="Z151" s="756"/>
      <c r="AA151" s="756"/>
      <c r="AB151" s="756"/>
      <c r="AC151" s="756"/>
      <c r="AD151" s="756"/>
      <c r="AE151" s="774"/>
      <c r="AF151" s="756"/>
      <c r="AG151" s="897"/>
      <c r="AH151" s="819"/>
      <c r="AI151" s="786">
        <f t="shared" si="7"/>
        <v>0</v>
      </c>
      <c r="AJ151" s="725">
        <v>0</v>
      </c>
      <c r="AK151" s="726">
        <f t="shared" si="8"/>
        <v>0</v>
      </c>
      <c r="AL151" s="728" t="s">
        <v>1536</v>
      </c>
      <c r="AM151" s="729">
        <f t="shared" si="9"/>
        <v>3.77</v>
      </c>
    </row>
    <row r="152" spans="1:39" s="730" customFormat="1">
      <c r="A152" s="720" t="s">
        <v>666</v>
      </c>
      <c r="B152" s="720" t="s">
        <v>1207</v>
      </c>
      <c r="C152" s="823" t="s">
        <v>40</v>
      </c>
      <c r="D152" s="743"/>
      <c r="E152" s="726"/>
      <c r="G152" s="864">
        <f>40.27*0.3747*0.25</f>
        <v>3.77229225</v>
      </c>
      <c r="H152" s="726"/>
      <c r="I152" s="725"/>
      <c r="J152" s="725"/>
      <c r="K152" s="725"/>
      <c r="L152" s="756"/>
      <c r="M152" s="756"/>
      <c r="N152" s="756"/>
      <c r="O152" s="756"/>
      <c r="P152" s="756"/>
      <c r="Q152" s="756"/>
      <c r="R152" s="756"/>
      <c r="S152" s="756"/>
      <c r="T152" s="756"/>
      <c r="U152" s="756"/>
      <c r="V152" s="756"/>
      <c r="W152" s="756"/>
      <c r="X152" s="756"/>
      <c r="Y152" s="756"/>
      <c r="Z152" s="756"/>
      <c r="AA152" s="756"/>
      <c r="AB152" s="756"/>
      <c r="AC152" s="756"/>
      <c r="AD152" s="756"/>
      <c r="AE152" s="774"/>
      <c r="AF152" s="756"/>
      <c r="AG152" s="897"/>
      <c r="AH152" s="819"/>
      <c r="AI152" s="786">
        <f t="shared" si="7"/>
        <v>3.77</v>
      </c>
      <c r="AJ152" s="725">
        <v>0</v>
      </c>
      <c r="AK152" s="726">
        <f t="shared" si="8"/>
        <v>3.77</v>
      </c>
      <c r="AL152" s="728" t="s">
        <v>1537</v>
      </c>
      <c r="AM152" s="729">
        <f t="shared" si="9"/>
        <v>26.41</v>
      </c>
    </row>
    <row r="153" spans="1:39" s="730" customFormat="1">
      <c r="A153" s="720" t="s">
        <v>667</v>
      </c>
      <c r="B153" s="720" t="s">
        <v>1175</v>
      </c>
      <c r="C153" s="823" t="s">
        <v>37</v>
      </c>
      <c r="D153" s="743"/>
      <c r="E153" s="726"/>
      <c r="F153" s="864">
        <f>40.27*0.3747*2</f>
        <v>30.178338</v>
      </c>
      <c r="G153" s="726"/>
      <c r="H153" s="726"/>
      <c r="I153" s="725"/>
      <c r="J153" s="725"/>
      <c r="K153" s="725"/>
      <c r="L153" s="756"/>
      <c r="M153" s="756"/>
      <c r="N153" s="756"/>
      <c r="O153" s="756"/>
      <c r="P153" s="756"/>
      <c r="Q153" s="756"/>
      <c r="R153" s="756"/>
      <c r="S153" s="756"/>
      <c r="T153" s="756"/>
      <c r="U153" s="756"/>
      <c r="V153" s="756"/>
      <c r="W153" s="756"/>
      <c r="X153" s="756"/>
      <c r="Y153" s="756"/>
      <c r="Z153" s="756"/>
      <c r="AA153" s="756"/>
      <c r="AB153" s="756"/>
      <c r="AC153" s="727"/>
      <c r="AD153" s="775"/>
      <c r="AE153" s="774"/>
      <c r="AF153" s="756"/>
      <c r="AG153" s="897"/>
      <c r="AH153" s="819"/>
      <c r="AI153" s="786">
        <f t="shared" si="7"/>
        <v>30.18</v>
      </c>
      <c r="AJ153" s="725">
        <v>0</v>
      </c>
      <c r="AK153" s="726">
        <f t="shared" si="8"/>
        <v>30.18</v>
      </c>
      <c r="AL153" s="728" t="s">
        <v>1538</v>
      </c>
      <c r="AM153" s="729">
        <f t="shared" si="9"/>
        <v>335.15</v>
      </c>
    </row>
    <row r="154" spans="1:39" s="500" customFormat="1" hidden="1">
      <c r="A154" s="539" t="s">
        <v>668</v>
      </c>
      <c r="B154" s="539" t="s">
        <v>1176</v>
      </c>
      <c r="C154" s="548" t="s">
        <v>48</v>
      </c>
      <c r="D154" s="519"/>
      <c r="E154" s="726"/>
      <c r="F154" s="520"/>
      <c r="G154" s="520"/>
      <c r="H154" s="520"/>
      <c r="I154" s="521"/>
      <c r="J154" s="521"/>
      <c r="K154" s="521"/>
      <c r="L154" s="756"/>
      <c r="M154" s="514"/>
      <c r="N154" s="514"/>
      <c r="O154" s="514"/>
      <c r="P154" s="514"/>
      <c r="Q154" s="514"/>
      <c r="R154" s="514"/>
      <c r="S154" s="756"/>
      <c r="T154" s="514"/>
      <c r="U154" s="514"/>
      <c r="V154" s="514"/>
      <c r="W154" s="514"/>
      <c r="X154" s="514"/>
      <c r="Y154" s="514"/>
      <c r="Z154" s="756"/>
      <c r="AA154" s="514"/>
      <c r="AB154" s="514"/>
      <c r="AC154" s="514"/>
      <c r="AD154" s="514"/>
      <c r="AE154" s="774"/>
      <c r="AF154" s="514"/>
      <c r="AG154" s="897"/>
      <c r="AH154" s="789"/>
      <c r="AI154" s="664">
        <f t="shared" si="7"/>
        <v>0</v>
      </c>
      <c r="AJ154" s="521">
        <v>0</v>
      </c>
      <c r="AK154" s="520">
        <f t="shared" si="8"/>
        <v>0</v>
      </c>
      <c r="AL154" s="672"/>
      <c r="AM154" s="669">
        <f t="shared" si="9"/>
        <v>0</v>
      </c>
    </row>
    <row r="155" spans="1:39" s="730" customFormat="1">
      <c r="A155" s="720" t="s">
        <v>669</v>
      </c>
      <c r="B155" s="720" t="s">
        <v>1177</v>
      </c>
      <c r="C155" s="823"/>
      <c r="D155" s="743"/>
      <c r="E155" s="726"/>
      <c r="F155" s="726"/>
      <c r="G155" s="726"/>
      <c r="H155" s="726"/>
      <c r="I155" s="725"/>
      <c r="J155" s="725"/>
      <c r="K155" s="725"/>
      <c r="L155" s="756"/>
      <c r="M155" s="756"/>
      <c r="N155" s="756"/>
      <c r="O155" s="756"/>
      <c r="P155" s="756"/>
      <c r="Q155" s="756"/>
      <c r="R155" s="756"/>
      <c r="S155" s="756"/>
      <c r="T155" s="756"/>
      <c r="U155" s="756"/>
      <c r="V155" s="756"/>
      <c r="W155" s="756"/>
      <c r="X155" s="756"/>
      <c r="Y155" s="756"/>
      <c r="Z155" s="756"/>
      <c r="AA155" s="756"/>
      <c r="AB155" s="756"/>
      <c r="AC155" s="756"/>
      <c r="AD155" s="756"/>
      <c r="AE155" s="774"/>
      <c r="AF155" s="756"/>
      <c r="AG155" s="897"/>
      <c r="AH155" s="819"/>
      <c r="AI155" s="786">
        <f t="shared" si="7"/>
        <v>0</v>
      </c>
      <c r="AJ155" s="725">
        <v>0</v>
      </c>
      <c r="AK155" s="726">
        <f t="shared" si="8"/>
        <v>0</v>
      </c>
      <c r="AL155" s="728" t="s">
        <v>1539</v>
      </c>
      <c r="AM155" s="729">
        <f t="shared" si="9"/>
        <v>6.4</v>
      </c>
    </row>
    <row r="156" spans="1:39" s="730" customFormat="1">
      <c r="A156" s="720" t="s">
        <v>670</v>
      </c>
      <c r="B156" s="720" t="s">
        <v>1208</v>
      </c>
      <c r="C156" s="823" t="s">
        <v>40</v>
      </c>
      <c r="D156" s="743"/>
      <c r="E156" s="726"/>
      <c r="F156" s="726"/>
      <c r="G156" s="726"/>
      <c r="H156" s="726"/>
      <c r="I156" s="725"/>
      <c r="J156" s="725"/>
      <c r="K156" s="725"/>
      <c r="L156" s="756"/>
      <c r="M156" s="756"/>
      <c r="N156" s="756"/>
      <c r="O156" s="745"/>
      <c r="P156" s="884">
        <f>3*0.25*0.4*4.35+0.25*0.4*5.39+3*0.25*0.5*4.35</f>
        <v>3.47525</v>
      </c>
      <c r="Q156" s="884">
        <f>3*0.25*0.4*4.35</f>
        <v>1.3050000000000002</v>
      </c>
      <c r="R156" s="745"/>
      <c r="S156" s="756"/>
      <c r="T156" s="756"/>
      <c r="U156" s="756"/>
      <c r="V156" s="756"/>
      <c r="W156" s="756"/>
      <c r="X156" s="756"/>
      <c r="Y156" s="756"/>
      <c r="Z156" s="756"/>
      <c r="AA156" s="745"/>
      <c r="AB156" s="756"/>
      <c r="AC156" s="756"/>
      <c r="AD156" s="756"/>
      <c r="AE156" s="774"/>
      <c r="AF156" s="756"/>
      <c r="AG156" s="897"/>
      <c r="AH156" s="819"/>
      <c r="AI156" s="786">
        <f t="shared" si="7"/>
        <v>4.78</v>
      </c>
      <c r="AJ156" s="725">
        <v>0</v>
      </c>
      <c r="AK156" s="726">
        <f t="shared" si="8"/>
        <v>4.78</v>
      </c>
      <c r="AL156" s="728" t="s">
        <v>1540</v>
      </c>
      <c r="AM156" s="729">
        <f t="shared" si="9"/>
        <v>71.92</v>
      </c>
    </row>
    <row r="157" spans="1:39" s="730" customFormat="1">
      <c r="A157" s="720" t="s">
        <v>671</v>
      </c>
      <c r="B157" s="720" t="s">
        <v>1179</v>
      </c>
      <c r="C157" s="823" t="s">
        <v>37</v>
      </c>
      <c r="D157" s="743"/>
      <c r="E157" s="726"/>
      <c r="F157" s="726"/>
      <c r="G157" s="726"/>
      <c r="H157" s="726"/>
      <c r="I157" s="725"/>
      <c r="J157" s="725"/>
      <c r="K157" s="725"/>
      <c r="L157" s="756"/>
      <c r="M157" s="756"/>
      <c r="N157" s="756"/>
      <c r="O157" s="884">
        <f>3*2*(0.25+0.4)*4.35+2*(0.25+0.4)*5.39</f>
        <v>23.972000000000001</v>
      </c>
      <c r="P157" s="884">
        <f>4*2*(0.25+0.5)*4.35</f>
        <v>26.099999999999998</v>
      </c>
      <c r="Q157" s="884">
        <f>3*2*(0.25+0.4)*4.35</f>
        <v>16.965</v>
      </c>
      <c r="R157" s="745"/>
      <c r="S157" s="756"/>
      <c r="T157" s="756"/>
      <c r="U157" s="756"/>
      <c r="V157" s="756"/>
      <c r="W157" s="756"/>
      <c r="X157" s="756"/>
      <c r="Y157" s="756"/>
      <c r="Z157" s="745"/>
      <c r="AA157" s="745"/>
      <c r="AB157" s="756"/>
      <c r="AC157" s="756"/>
      <c r="AD157" s="756"/>
      <c r="AE157" s="774"/>
      <c r="AF157" s="756"/>
      <c r="AG157" s="897"/>
      <c r="AH157" s="819"/>
      <c r="AI157" s="786">
        <f t="shared" si="7"/>
        <v>67.040000000000006</v>
      </c>
      <c r="AJ157" s="725">
        <v>0</v>
      </c>
      <c r="AK157" s="726">
        <f t="shared" si="8"/>
        <v>67.040000000000006</v>
      </c>
      <c r="AL157" s="728" t="s">
        <v>1541</v>
      </c>
      <c r="AM157" s="729">
        <f t="shared" si="9"/>
        <v>1862.14</v>
      </c>
    </row>
    <row r="158" spans="1:39" s="500" customFormat="1" hidden="1">
      <c r="A158" s="539" t="s">
        <v>672</v>
      </c>
      <c r="B158" s="539" t="s">
        <v>1180</v>
      </c>
      <c r="C158" s="548" t="s">
        <v>48</v>
      </c>
      <c r="D158" s="519"/>
      <c r="E158" s="726"/>
      <c r="F158" s="520"/>
      <c r="G158" s="520"/>
      <c r="H158" s="520"/>
      <c r="I158" s="521"/>
      <c r="J158" s="521"/>
      <c r="K158" s="521"/>
      <c r="L158" s="756"/>
      <c r="M158" s="514"/>
      <c r="N158" s="514"/>
      <c r="O158" s="514"/>
      <c r="P158" s="514"/>
      <c r="Q158" s="514"/>
      <c r="R158" s="514"/>
      <c r="S158" s="756"/>
      <c r="T158" s="514"/>
      <c r="U158" s="514"/>
      <c r="V158" s="514"/>
      <c r="W158" s="514"/>
      <c r="X158" s="514"/>
      <c r="Y158" s="514"/>
      <c r="Z158" s="756"/>
      <c r="AA158" s="514"/>
      <c r="AB158" s="514"/>
      <c r="AC158" s="514"/>
      <c r="AD158" s="514"/>
      <c r="AE158" s="774"/>
      <c r="AF158" s="514"/>
      <c r="AG158" s="897"/>
      <c r="AH158" s="789"/>
      <c r="AI158" s="664">
        <f t="shared" si="7"/>
        <v>0</v>
      </c>
      <c r="AJ158" s="521">
        <v>0</v>
      </c>
      <c r="AK158" s="520">
        <f t="shared" si="8"/>
        <v>0</v>
      </c>
      <c r="AL158" s="672"/>
      <c r="AM158" s="669">
        <f t="shared" si="9"/>
        <v>0</v>
      </c>
    </row>
    <row r="159" spans="1:39" s="730" customFormat="1">
      <c r="A159" s="720" t="s">
        <v>673</v>
      </c>
      <c r="B159" s="720" t="s">
        <v>1181</v>
      </c>
      <c r="C159" s="844"/>
      <c r="D159" s="743"/>
      <c r="E159" s="726"/>
      <c r="F159" s="726"/>
      <c r="G159" s="726"/>
      <c r="H159" s="726"/>
      <c r="I159" s="725"/>
      <c r="J159" s="725"/>
      <c r="K159" s="725"/>
      <c r="L159" s="756"/>
      <c r="M159" s="756"/>
      <c r="N159" s="756"/>
      <c r="P159" s="756"/>
      <c r="Q159" s="756"/>
      <c r="R159" s="756"/>
      <c r="S159" s="756"/>
      <c r="T159" s="756"/>
      <c r="U159" s="756"/>
      <c r="V159" s="756"/>
      <c r="W159" s="756"/>
      <c r="X159" s="756"/>
      <c r="Y159" s="756"/>
      <c r="Z159" s="756"/>
      <c r="AA159" s="756"/>
      <c r="AB159" s="756"/>
      <c r="AC159" s="756"/>
      <c r="AD159" s="756"/>
      <c r="AE159" s="774"/>
      <c r="AF159" s="756"/>
      <c r="AG159" s="897"/>
      <c r="AH159" s="819"/>
      <c r="AI159" s="786">
        <f t="shared" si="7"/>
        <v>0</v>
      </c>
      <c r="AJ159" s="725">
        <v>0</v>
      </c>
      <c r="AK159" s="726">
        <f t="shared" si="8"/>
        <v>0</v>
      </c>
      <c r="AL159" s="728" t="s">
        <v>1542</v>
      </c>
      <c r="AM159" s="729">
        <f t="shared" si="9"/>
        <v>3.44</v>
      </c>
    </row>
    <row r="160" spans="1:39" s="730" customFormat="1">
      <c r="A160" s="720" t="s">
        <v>674</v>
      </c>
      <c r="B160" s="720" t="s">
        <v>1182</v>
      </c>
      <c r="C160" s="823" t="s">
        <v>40</v>
      </c>
      <c r="D160" s="743"/>
      <c r="E160" s="726"/>
      <c r="F160" s="726"/>
      <c r="G160" s="726"/>
      <c r="H160" s="726"/>
      <c r="I160" s="725"/>
      <c r="J160" s="725"/>
      <c r="K160" s="725"/>
      <c r="L160" s="756"/>
      <c r="M160" s="756"/>
      <c r="N160" s="756"/>
      <c r="O160" s="756"/>
      <c r="P160" s="756"/>
      <c r="Q160" s="756"/>
      <c r="R160" s="756"/>
      <c r="S160" s="756"/>
      <c r="T160" s="756"/>
      <c r="U160" s="756"/>
      <c r="V160" s="756"/>
      <c r="W160" s="756"/>
      <c r="X160" s="756"/>
      <c r="Y160" s="756"/>
      <c r="Z160" s="756"/>
      <c r="AA160" s="756"/>
      <c r="AB160" s="756"/>
      <c r="AC160" s="756"/>
      <c r="AD160" s="756"/>
      <c r="AE160" s="774"/>
      <c r="AF160" s="756"/>
      <c r="AG160" s="897"/>
      <c r="AH160" s="819"/>
      <c r="AI160" s="786">
        <f t="shared" si="7"/>
        <v>0</v>
      </c>
      <c r="AJ160" s="725">
        <v>0</v>
      </c>
      <c r="AK160" s="726">
        <f t="shared" si="8"/>
        <v>0</v>
      </c>
      <c r="AL160" s="728" t="s">
        <v>1543</v>
      </c>
      <c r="AM160" s="729">
        <f t="shared" si="9"/>
        <v>21.46</v>
      </c>
    </row>
    <row r="161" spans="1:39" s="730" customFormat="1">
      <c r="A161" s="720" t="s">
        <v>675</v>
      </c>
      <c r="B161" s="720" t="s">
        <v>1183</v>
      </c>
      <c r="C161" s="823" t="s">
        <v>37</v>
      </c>
      <c r="D161" s="743"/>
      <c r="E161" s="726"/>
      <c r="F161" s="726"/>
      <c r="G161" s="726"/>
      <c r="H161" s="726"/>
      <c r="I161" s="725"/>
      <c r="J161" s="725"/>
      <c r="K161" s="725"/>
      <c r="L161" s="756"/>
      <c r="M161" s="756"/>
      <c r="N161" s="756"/>
      <c r="O161" s="756"/>
      <c r="P161" s="756"/>
      <c r="Q161" s="756"/>
      <c r="R161" s="756"/>
      <c r="S161" s="756"/>
      <c r="T161" s="756"/>
      <c r="U161" s="756"/>
      <c r="V161" s="756"/>
      <c r="W161" s="756"/>
      <c r="X161" s="756"/>
      <c r="Y161" s="756"/>
      <c r="Z161" s="756"/>
      <c r="AA161" s="756"/>
      <c r="AB161" s="756"/>
      <c r="AC161" s="756"/>
      <c r="AD161" s="756"/>
      <c r="AE161" s="774"/>
      <c r="AF161" s="756"/>
      <c r="AG161" s="897"/>
      <c r="AH161" s="819"/>
      <c r="AI161" s="786">
        <f t="shared" si="7"/>
        <v>0</v>
      </c>
      <c r="AJ161" s="725">
        <v>0</v>
      </c>
      <c r="AK161" s="726">
        <f t="shared" si="8"/>
        <v>0</v>
      </c>
      <c r="AL161" s="728" t="s">
        <v>1544</v>
      </c>
      <c r="AM161" s="729">
        <f t="shared" si="9"/>
        <v>302.89999999999998</v>
      </c>
    </row>
    <row r="162" spans="1:39" s="730" customFormat="1">
      <c r="A162" s="720" t="s">
        <v>676</v>
      </c>
      <c r="B162" s="720" t="s">
        <v>1184</v>
      </c>
      <c r="C162" s="823" t="s">
        <v>48</v>
      </c>
      <c r="D162" s="743"/>
      <c r="E162" s="726"/>
      <c r="F162" s="726"/>
      <c r="G162" s="726"/>
      <c r="H162" s="726"/>
      <c r="I162" s="725"/>
      <c r="J162" s="725"/>
      <c r="K162" s="725"/>
      <c r="L162" s="756"/>
      <c r="M162" s="756"/>
      <c r="N162" s="756"/>
      <c r="O162" s="756"/>
      <c r="P162" s="756"/>
      <c r="Q162" s="756"/>
      <c r="R162" s="756"/>
      <c r="S162" s="756"/>
      <c r="T162" s="756"/>
      <c r="U162" s="756"/>
      <c r="V162" s="756"/>
      <c r="W162" s="756"/>
      <c r="X162" s="756"/>
      <c r="Y162" s="756"/>
      <c r="Z162" s="756"/>
      <c r="AA162" s="756"/>
      <c r="AB162" s="756"/>
      <c r="AC162" s="756"/>
      <c r="AD162" s="756"/>
      <c r="AE162" s="774"/>
      <c r="AF162" s="756"/>
      <c r="AG162" s="897"/>
      <c r="AH162" s="819"/>
      <c r="AI162" s="786">
        <f t="shared" si="7"/>
        <v>0</v>
      </c>
      <c r="AJ162" s="725">
        <v>0</v>
      </c>
      <c r="AK162" s="726">
        <f t="shared" si="8"/>
        <v>0</v>
      </c>
      <c r="AL162" s="728"/>
      <c r="AM162" s="729">
        <f t="shared" si="9"/>
        <v>0</v>
      </c>
    </row>
    <row r="163" spans="1:39" s="730" customFormat="1">
      <c r="A163" s="720" t="s">
        <v>677</v>
      </c>
      <c r="B163" s="720" t="s">
        <v>1185</v>
      </c>
      <c r="C163" s="844"/>
      <c r="D163" s="743"/>
      <c r="E163" s="726"/>
      <c r="F163" s="726"/>
      <c r="G163" s="726"/>
      <c r="H163" s="726"/>
      <c r="I163" s="725"/>
      <c r="J163" s="725"/>
      <c r="K163" s="725"/>
      <c r="L163" s="756"/>
      <c r="M163" s="756"/>
      <c r="N163" s="756"/>
      <c r="O163" s="756"/>
      <c r="P163" s="756"/>
      <c r="Q163" s="756"/>
      <c r="R163" s="756"/>
      <c r="S163" s="756"/>
      <c r="T163" s="756"/>
      <c r="U163" s="756"/>
      <c r="V163" s="756"/>
      <c r="W163" s="756"/>
      <c r="X163" s="756"/>
      <c r="Y163" s="756"/>
      <c r="Z163" s="756"/>
      <c r="AA163" s="756"/>
      <c r="AB163" s="756"/>
      <c r="AC163" s="756"/>
      <c r="AD163" s="756"/>
      <c r="AE163" s="774"/>
      <c r="AF163" s="756"/>
      <c r="AG163" s="897"/>
      <c r="AH163" s="819"/>
      <c r="AI163" s="786">
        <f t="shared" si="7"/>
        <v>0</v>
      </c>
      <c r="AJ163" s="725">
        <v>0</v>
      </c>
      <c r="AK163" s="726">
        <f t="shared" si="8"/>
        <v>0</v>
      </c>
      <c r="AL163" s="728" t="s">
        <v>1545</v>
      </c>
      <c r="AM163" s="729">
        <f t="shared" si="9"/>
        <v>11.56</v>
      </c>
    </row>
    <row r="164" spans="1:39" s="730" customFormat="1">
      <c r="A164" s="720" t="s">
        <v>678</v>
      </c>
      <c r="B164" s="720" t="s">
        <v>1186</v>
      </c>
      <c r="C164" s="823" t="s">
        <v>40</v>
      </c>
      <c r="D164" s="743"/>
      <c r="E164" s="726"/>
      <c r="F164" s="726"/>
      <c r="G164" s="726"/>
      <c r="H164" s="726"/>
      <c r="I164" s="725"/>
      <c r="J164" s="725"/>
      <c r="K164" s="725"/>
      <c r="L164" s="756"/>
      <c r="M164" s="756"/>
      <c r="N164" s="756"/>
      <c r="O164" s="756"/>
      <c r="P164" s="756"/>
      <c r="Q164" s="756"/>
      <c r="R164" s="756"/>
      <c r="S164" s="756"/>
      <c r="T164" s="756"/>
      <c r="U164" s="756"/>
      <c r="V164" s="756"/>
      <c r="W164" s="756"/>
      <c r="X164" s="756"/>
      <c r="Y164" s="756"/>
      <c r="Z164" s="756"/>
      <c r="AA164" s="756"/>
      <c r="AB164" s="756"/>
      <c r="AC164" s="756"/>
      <c r="AD164" s="756"/>
      <c r="AE164" s="774"/>
      <c r="AF164" s="756"/>
      <c r="AG164" s="897"/>
      <c r="AH164" s="819"/>
      <c r="AI164" s="786">
        <f t="shared" si="7"/>
        <v>0</v>
      </c>
      <c r="AJ164" s="725">
        <v>0</v>
      </c>
      <c r="AK164" s="726">
        <f t="shared" si="8"/>
        <v>0</v>
      </c>
      <c r="AL164" s="728" t="s">
        <v>1546</v>
      </c>
      <c r="AM164" s="729">
        <f t="shared" si="9"/>
        <v>101.84</v>
      </c>
    </row>
    <row r="165" spans="1:39" s="730" customFormat="1">
      <c r="A165" s="720" t="s">
        <v>679</v>
      </c>
      <c r="B165" s="720" t="s">
        <v>1187</v>
      </c>
      <c r="C165" s="823" t="s">
        <v>37</v>
      </c>
      <c r="D165" s="743"/>
      <c r="E165" s="726"/>
      <c r="F165" s="726"/>
      <c r="G165" s="726"/>
      <c r="H165" s="726"/>
      <c r="I165" s="725"/>
      <c r="J165" s="725"/>
      <c r="K165" s="725"/>
      <c r="L165" s="756"/>
      <c r="M165" s="756"/>
      <c r="N165" s="756"/>
      <c r="O165" s="756"/>
      <c r="P165" s="756"/>
      <c r="Q165" s="756"/>
      <c r="R165" s="756"/>
      <c r="S165" s="756"/>
      <c r="T165" s="756"/>
      <c r="U165" s="884">
        <f>3.12*2*0.25+3.12*2*0.25</f>
        <v>3.12</v>
      </c>
      <c r="V165" s="756"/>
      <c r="W165" s="884">
        <f>(2.365*2+5.2)*2*0.25+7.36*0.25*2+((2.365*2+5.2)*2*0.4+7.36*0.4*2)*2</f>
        <v>36.308999999999997</v>
      </c>
      <c r="X165" s="884">
        <f>9.44*2*0.5</f>
        <v>9.44</v>
      </c>
      <c r="Y165" s="884">
        <f>+(12.33+8.09)*0.2*2+(12.33+8.09)*0.2*2+12*0.4*0.2*3</f>
        <v>19.216000000000001</v>
      </c>
      <c r="Z165" s="756"/>
      <c r="AA165" s="756"/>
      <c r="AB165" s="756"/>
      <c r="AC165" s="756"/>
      <c r="AD165" s="756"/>
      <c r="AE165" s="774"/>
      <c r="AF165" s="756"/>
      <c r="AG165" s="897"/>
      <c r="AH165" s="819"/>
      <c r="AI165" s="786">
        <f t="shared" si="7"/>
        <v>68.09</v>
      </c>
      <c r="AJ165" s="725">
        <v>0</v>
      </c>
      <c r="AK165" s="726">
        <f t="shared" si="8"/>
        <v>68.09</v>
      </c>
      <c r="AL165" s="728" t="s">
        <v>1547</v>
      </c>
      <c r="AM165" s="729">
        <f t="shared" si="9"/>
        <v>1265.4100000000001</v>
      </c>
    </row>
    <row r="166" spans="1:39" s="730" customFormat="1">
      <c r="A166" s="720" t="s">
        <v>680</v>
      </c>
      <c r="B166" s="720" t="s">
        <v>1188</v>
      </c>
      <c r="C166" s="823" t="s">
        <v>48</v>
      </c>
      <c r="D166" s="743"/>
      <c r="E166" s="726"/>
      <c r="F166" s="726"/>
      <c r="G166" s="726"/>
      <c r="H166" s="726"/>
      <c r="I166" s="725"/>
      <c r="J166" s="725"/>
      <c r="K166" s="725"/>
      <c r="L166" s="756"/>
      <c r="M166" s="756"/>
      <c r="N166" s="756"/>
      <c r="O166" s="756"/>
      <c r="P166" s="756"/>
      <c r="Q166" s="756"/>
      <c r="R166" s="756"/>
      <c r="S166" s="756"/>
      <c r="T166" s="756"/>
      <c r="U166" s="756"/>
      <c r="V166" s="756"/>
      <c r="W166" s="756"/>
      <c r="X166" s="756"/>
      <c r="Y166" s="756"/>
      <c r="Z166" s="756"/>
      <c r="AA166" s="756"/>
      <c r="AB166" s="756"/>
      <c r="AC166" s="756"/>
      <c r="AD166" s="756"/>
      <c r="AE166" s="774"/>
      <c r="AF166" s="756"/>
      <c r="AG166" s="897"/>
      <c r="AH166" s="819"/>
      <c r="AI166" s="786">
        <f t="shared" si="7"/>
        <v>0</v>
      </c>
      <c r="AJ166" s="725">
        <v>0</v>
      </c>
      <c r="AK166" s="726">
        <f t="shared" si="8"/>
        <v>0</v>
      </c>
      <c r="AL166" s="728"/>
      <c r="AM166" s="729">
        <f t="shared" si="9"/>
        <v>0</v>
      </c>
    </row>
    <row r="167" spans="1:39" s="730" customFormat="1">
      <c r="A167" s="720" t="s">
        <v>681</v>
      </c>
      <c r="B167" s="720" t="s">
        <v>1189</v>
      </c>
      <c r="C167" s="844"/>
      <c r="D167" s="743"/>
      <c r="E167" s="726"/>
      <c r="F167" s="726"/>
      <c r="G167" s="726"/>
      <c r="H167" s="726"/>
      <c r="I167" s="725"/>
      <c r="J167" s="725"/>
      <c r="K167" s="725"/>
      <c r="L167" s="756"/>
      <c r="M167" s="756"/>
      <c r="N167" s="756"/>
      <c r="O167" s="756"/>
      <c r="P167" s="756"/>
      <c r="Q167" s="756"/>
      <c r="R167" s="756"/>
      <c r="S167" s="756"/>
      <c r="T167" s="756"/>
      <c r="U167" s="756"/>
      <c r="V167" s="756"/>
      <c r="W167" s="756"/>
      <c r="X167" s="756"/>
      <c r="Y167" s="756"/>
      <c r="Z167" s="756"/>
      <c r="AA167" s="756"/>
      <c r="AB167" s="756"/>
      <c r="AC167" s="756"/>
      <c r="AD167" s="756"/>
      <c r="AE167" s="774"/>
      <c r="AF167" s="756"/>
      <c r="AG167" s="897"/>
      <c r="AH167" s="819"/>
      <c r="AI167" s="786">
        <f t="shared" si="7"/>
        <v>0</v>
      </c>
      <c r="AJ167" s="725">
        <v>0</v>
      </c>
      <c r="AK167" s="726">
        <f t="shared" si="8"/>
        <v>0</v>
      </c>
      <c r="AL167" s="728" t="s">
        <v>1548</v>
      </c>
      <c r="AM167" s="729">
        <f t="shared" si="9"/>
        <v>13.47</v>
      </c>
    </row>
    <row r="168" spans="1:39" s="730" customFormat="1">
      <c r="A168" s="720" t="s">
        <v>682</v>
      </c>
      <c r="B168" s="720" t="s">
        <v>1190</v>
      </c>
      <c r="C168" s="823" t="s">
        <v>40</v>
      </c>
      <c r="D168" s="743"/>
      <c r="E168" s="726"/>
      <c r="F168" s="726"/>
      <c r="G168" s="726"/>
      <c r="H168" s="726"/>
      <c r="I168" s="725"/>
      <c r="J168" s="725"/>
      <c r="K168" s="725"/>
      <c r="L168" s="756"/>
      <c r="M168" s="756"/>
      <c r="N168" s="756"/>
      <c r="O168" s="756"/>
      <c r="P168" s="756"/>
      <c r="Q168" s="756"/>
      <c r="R168" s="756"/>
      <c r="S168" s="756"/>
      <c r="T168" s="756"/>
      <c r="U168" s="756"/>
      <c r="V168" s="756"/>
      <c r="W168" s="756"/>
      <c r="X168" s="756"/>
      <c r="Y168" s="756"/>
      <c r="Z168" s="756"/>
      <c r="AA168" s="756"/>
      <c r="AB168" s="756"/>
      <c r="AC168" s="756"/>
      <c r="AD168" s="756"/>
      <c r="AE168" s="774"/>
      <c r="AF168" s="756"/>
      <c r="AG168" s="897"/>
      <c r="AH168" s="819"/>
      <c r="AI168" s="786">
        <f t="shared" si="7"/>
        <v>0</v>
      </c>
      <c r="AJ168" s="725">
        <v>0</v>
      </c>
      <c r="AK168" s="726">
        <f t="shared" si="8"/>
        <v>0</v>
      </c>
      <c r="AL168" s="728" t="s">
        <v>1549</v>
      </c>
      <c r="AM168" s="729">
        <f t="shared" si="9"/>
        <v>153.93</v>
      </c>
    </row>
    <row r="169" spans="1:39" s="730" customFormat="1">
      <c r="A169" s="720" t="s">
        <v>683</v>
      </c>
      <c r="B169" s="720" t="s">
        <v>1191</v>
      </c>
      <c r="C169" s="823" t="s">
        <v>37</v>
      </c>
      <c r="D169" s="743"/>
      <c r="E169" s="726"/>
      <c r="F169" s="726"/>
      <c r="G169" s="726"/>
      <c r="H169" s="726"/>
      <c r="I169" s="725"/>
      <c r="J169" s="725"/>
      <c r="K169" s="725"/>
      <c r="L169" s="756"/>
      <c r="M169" s="756"/>
      <c r="N169" s="756"/>
      <c r="O169" s="756"/>
      <c r="P169" s="756"/>
      <c r="Q169" s="756"/>
      <c r="R169" s="756"/>
      <c r="S169" s="756"/>
      <c r="T169" s="756"/>
      <c r="U169" s="756"/>
      <c r="V169" s="756"/>
      <c r="W169" s="756"/>
      <c r="X169" s="756"/>
      <c r="Y169" s="756"/>
      <c r="Z169" s="756"/>
      <c r="AA169" s="756"/>
      <c r="AB169" s="745">
        <f>2*3*0.25*3.53+(2.05+2.54+2.54+2.05)*2</f>
        <v>23.655000000000001</v>
      </c>
      <c r="AC169" s="745">
        <f>2*3*0.25*3.53+(1.76+2.02+2.02+1.76)*2</f>
        <v>20.414999999999999</v>
      </c>
      <c r="AD169" s="745">
        <f>2*3*0.25*3.53+(1.44+1.5+1.5+1.44)*2</f>
        <v>17.055</v>
      </c>
      <c r="AE169" s="745"/>
      <c r="AF169" s="745">
        <f>2*3*0.25*3.53+(1.14+0.99+0.99+1.14)*2</f>
        <v>13.815</v>
      </c>
      <c r="AG169" s="725"/>
      <c r="AH169" s="745">
        <f>2*2*0.25*3.53+(0.83+0.46+0.46+0.83)*2+(0.52+0.14+0.14+0.52)*2</f>
        <v>11.33</v>
      </c>
      <c r="AI169" s="786">
        <f t="shared" si="7"/>
        <v>74.94</v>
      </c>
      <c r="AJ169" s="725">
        <v>0</v>
      </c>
      <c r="AK169" s="726">
        <f t="shared" si="8"/>
        <v>74.94</v>
      </c>
      <c r="AL169" s="728" t="s">
        <v>1550</v>
      </c>
      <c r="AM169" s="729">
        <f t="shared" si="9"/>
        <v>1706.52</v>
      </c>
    </row>
    <row r="170" spans="1:39" s="730" customFormat="1">
      <c r="A170" s="720" t="s">
        <v>684</v>
      </c>
      <c r="B170" s="720" t="s">
        <v>1192</v>
      </c>
      <c r="C170" s="823" t="s">
        <v>48</v>
      </c>
      <c r="D170" s="743"/>
      <c r="E170" s="726"/>
      <c r="F170" s="726"/>
      <c r="G170" s="726"/>
      <c r="H170" s="726"/>
      <c r="I170" s="725"/>
      <c r="J170" s="725"/>
      <c r="K170" s="725"/>
      <c r="L170" s="756"/>
      <c r="M170" s="756"/>
      <c r="N170" s="756"/>
      <c r="O170" s="756"/>
      <c r="P170" s="756"/>
      <c r="Q170" s="756"/>
      <c r="R170" s="756"/>
      <c r="S170" s="756"/>
      <c r="T170" s="756"/>
      <c r="U170" s="756"/>
      <c r="V170" s="756"/>
      <c r="W170" s="756"/>
      <c r="X170" s="756"/>
      <c r="Y170" s="756"/>
      <c r="Z170" s="756"/>
      <c r="AA170" s="756"/>
      <c r="AB170" s="756"/>
      <c r="AC170" s="756"/>
      <c r="AD170" s="756"/>
      <c r="AE170" s="774"/>
      <c r="AF170" s="756"/>
      <c r="AG170" s="897"/>
      <c r="AH170" s="819"/>
      <c r="AI170" s="786">
        <f t="shared" si="7"/>
        <v>0</v>
      </c>
      <c r="AJ170" s="725">
        <v>0</v>
      </c>
      <c r="AK170" s="726">
        <f t="shared" si="8"/>
        <v>0</v>
      </c>
      <c r="AL170" s="728" t="s">
        <v>1551</v>
      </c>
      <c r="AM170" s="729">
        <f t="shared" si="9"/>
        <v>1146.1400000000001</v>
      </c>
    </row>
    <row r="171" spans="1:39" s="730" customFormat="1">
      <c r="A171" s="720" t="s">
        <v>685</v>
      </c>
      <c r="B171" s="720" t="s">
        <v>1193</v>
      </c>
      <c r="C171" s="823" t="s">
        <v>1450</v>
      </c>
      <c r="D171" s="743"/>
      <c r="E171" s="726"/>
      <c r="F171" s="726"/>
      <c r="G171" s="726"/>
      <c r="H171" s="726"/>
      <c r="I171" s="725"/>
      <c r="J171" s="725"/>
      <c r="K171" s="725"/>
      <c r="L171" s="756"/>
      <c r="M171" s="756"/>
      <c r="N171" s="756"/>
      <c r="O171" s="756"/>
      <c r="P171" s="756"/>
      <c r="Q171" s="756"/>
      <c r="R171" s="756"/>
      <c r="S171" s="756"/>
      <c r="T171" s="756"/>
      <c r="U171" s="756"/>
      <c r="V171" s="756"/>
      <c r="W171" s="756"/>
      <c r="X171" s="756"/>
      <c r="Y171" s="756"/>
      <c r="Z171" s="756"/>
      <c r="AA171" s="756"/>
      <c r="AB171" s="756"/>
      <c r="AC171" s="756"/>
      <c r="AD171" s="756"/>
      <c r="AE171" s="774"/>
      <c r="AF171" s="756"/>
      <c r="AG171" s="897"/>
      <c r="AH171" s="819"/>
      <c r="AI171" s="786">
        <f t="shared" si="7"/>
        <v>0</v>
      </c>
      <c r="AJ171" s="725">
        <v>0</v>
      </c>
      <c r="AK171" s="726">
        <f t="shared" si="8"/>
        <v>0</v>
      </c>
      <c r="AL171" s="728"/>
      <c r="AM171" s="729">
        <f t="shared" si="9"/>
        <v>0</v>
      </c>
    </row>
    <row r="172" spans="1:39" s="730" customFormat="1">
      <c r="A172" s="720" t="s">
        <v>686</v>
      </c>
      <c r="B172" s="720" t="s">
        <v>1194</v>
      </c>
      <c r="C172" s="844"/>
      <c r="D172" s="743"/>
      <c r="E172" s="726"/>
      <c r="F172" s="726"/>
      <c r="G172" s="726"/>
      <c r="H172" s="726"/>
      <c r="I172" s="725"/>
      <c r="J172" s="725"/>
      <c r="K172" s="725"/>
      <c r="L172" s="756"/>
      <c r="M172" s="756"/>
      <c r="N172" s="756"/>
      <c r="O172" s="756"/>
      <c r="P172" s="756"/>
      <c r="Q172" s="756"/>
      <c r="R172" s="756"/>
      <c r="S172" s="756"/>
      <c r="T172" s="756"/>
      <c r="U172" s="756"/>
      <c r="V172" s="756"/>
      <c r="W172" s="756"/>
      <c r="X172" s="756"/>
      <c r="Y172" s="756"/>
      <c r="Z172" s="756"/>
      <c r="AA172" s="756"/>
      <c r="AB172" s="756"/>
      <c r="AC172" s="756"/>
      <c r="AD172" s="756"/>
      <c r="AE172" s="774"/>
      <c r="AF172" s="756"/>
      <c r="AG172" s="897"/>
      <c r="AH172" s="819"/>
      <c r="AI172" s="786">
        <f t="shared" si="7"/>
        <v>0</v>
      </c>
      <c r="AJ172" s="725">
        <v>0</v>
      </c>
      <c r="AK172" s="726">
        <f t="shared" si="8"/>
        <v>0</v>
      </c>
      <c r="AL172" s="728" t="s">
        <v>1552</v>
      </c>
      <c r="AM172" s="729">
        <f t="shared" si="9"/>
        <v>2.57</v>
      </c>
    </row>
    <row r="173" spans="1:39" s="730" customFormat="1">
      <c r="A173" s="720" t="s">
        <v>687</v>
      </c>
      <c r="B173" s="720" t="s">
        <v>1195</v>
      </c>
      <c r="C173" s="823" t="s">
        <v>40</v>
      </c>
      <c r="D173" s="743"/>
      <c r="E173" s="726"/>
      <c r="F173" s="726"/>
      <c r="G173" s="726"/>
      <c r="H173" s="726"/>
      <c r="I173" s="725"/>
      <c r="J173" s="725"/>
      <c r="K173" s="725"/>
      <c r="L173" s="756"/>
      <c r="M173" s="756"/>
      <c r="N173" s="756"/>
      <c r="O173" s="756"/>
      <c r="P173" s="756"/>
      <c r="Q173" s="756"/>
      <c r="R173" s="756"/>
      <c r="S173" s="756"/>
      <c r="T173" s="756"/>
      <c r="U173" s="756"/>
      <c r="V173" s="756"/>
      <c r="W173" s="756"/>
      <c r="X173" s="756"/>
      <c r="Y173" s="756"/>
      <c r="Z173" s="756"/>
      <c r="AA173" s="756"/>
      <c r="AB173" s="756"/>
      <c r="AC173" s="756"/>
      <c r="AD173" s="756"/>
      <c r="AE173" s="774"/>
      <c r="AF173" s="756"/>
      <c r="AG173" s="897"/>
      <c r="AH173" s="819"/>
      <c r="AI173" s="786">
        <f t="shared" si="7"/>
        <v>0</v>
      </c>
      <c r="AJ173" s="725">
        <v>0</v>
      </c>
      <c r="AK173" s="726">
        <f t="shared" si="8"/>
        <v>0</v>
      </c>
      <c r="AL173" s="728" t="s">
        <v>1494</v>
      </c>
      <c r="AM173" s="729">
        <f t="shared" si="9"/>
        <v>34.270000000000003</v>
      </c>
    </row>
    <row r="174" spans="1:39" s="730" customFormat="1">
      <c r="A174" s="720" t="s">
        <v>688</v>
      </c>
      <c r="B174" s="720" t="s">
        <v>1196</v>
      </c>
      <c r="C174" s="823" t="s">
        <v>37</v>
      </c>
      <c r="D174" s="743"/>
      <c r="E174" s="726"/>
      <c r="F174" s="726"/>
      <c r="G174" s="726"/>
      <c r="H174" s="726"/>
      <c r="I174" s="725"/>
      <c r="J174" s="725"/>
      <c r="K174" s="725"/>
      <c r="L174" s="756"/>
      <c r="M174" s="756"/>
      <c r="N174" s="756"/>
      <c r="O174" s="756"/>
      <c r="P174" s="756"/>
      <c r="Q174" s="756"/>
      <c r="R174" s="756"/>
      <c r="S174" s="756"/>
      <c r="T174" s="756"/>
      <c r="U174" s="756"/>
      <c r="V174" s="756"/>
      <c r="W174" s="756"/>
      <c r="X174" s="756"/>
      <c r="Y174" s="756"/>
      <c r="Z174" s="756"/>
      <c r="AA174" s="756"/>
      <c r="AB174" s="756"/>
      <c r="AC174" s="756"/>
      <c r="AD174" s="756"/>
      <c r="AE174" s="774"/>
      <c r="AF174" s="756"/>
      <c r="AG174" s="897"/>
      <c r="AH174" s="819"/>
      <c r="AI174" s="786">
        <f t="shared" si="7"/>
        <v>0</v>
      </c>
      <c r="AJ174" s="725">
        <v>0</v>
      </c>
      <c r="AK174" s="726">
        <f t="shared" si="8"/>
        <v>0</v>
      </c>
      <c r="AL174" s="728" t="s">
        <v>1553</v>
      </c>
      <c r="AM174" s="729">
        <f t="shared" si="9"/>
        <v>178.66</v>
      </c>
    </row>
    <row r="175" spans="1:39" s="730" customFormat="1">
      <c r="A175" s="720" t="s">
        <v>689</v>
      </c>
      <c r="B175" s="720" t="s">
        <v>1197</v>
      </c>
      <c r="C175" s="823" t="s">
        <v>48</v>
      </c>
      <c r="D175" s="743"/>
      <c r="E175" s="726"/>
      <c r="F175" s="726"/>
      <c r="G175" s="726"/>
      <c r="H175" s="726"/>
      <c r="I175" s="725"/>
      <c r="J175" s="725"/>
      <c r="K175" s="725"/>
      <c r="L175" s="756"/>
      <c r="M175" s="756"/>
      <c r="N175" s="756"/>
      <c r="O175" s="756"/>
      <c r="P175" s="756"/>
      <c r="Q175" s="756"/>
      <c r="R175" s="756"/>
      <c r="S175" s="756"/>
      <c r="T175" s="756"/>
      <c r="U175" s="756"/>
      <c r="V175" s="756"/>
      <c r="W175" s="756"/>
      <c r="X175" s="756"/>
      <c r="Y175" s="756"/>
      <c r="Z175" s="756"/>
      <c r="AA175" s="756"/>
      <c r="AB175" s="756"/>
      <c r="AC175" s="756"/>
      <c r="AD175" s="756"/>
      <c r="AE175" s="774"/>
      <c r="AF175" s="756"/>
      <c r="AG175" s="897"/>
      <c r="AH175" s="819"/>
      <c r="AI175" s="786">
        <f t="shared" si="7"/>
        <v>0</v>
      </c>
      <c r="AJ175" s="725">
        <v>0</v>
      </c>
      <c r="AK175" s="726">
        <f t="shared" si="8"/>
        <v>0</v>
      </c>
      <c r="AL175" s="728"/>
      <c r="AM175" s="729">
        <f t="shared" si="9"/>
        <v>0</v>
      </c>
    </row>
    <row r="176" spans="1:39" s="730" customFormat="1">
      <c r="A176" s="831" t="s">
        <v>690</v>
      </c>
      <c r="B176" s="831" t="s">
        <v>1198</v>
      </c>
      <c r="C176" s="844"/>
      <c r="D176" s="743"/>
      <c r="E176" s="726"/>
      <c r="F176" s="726"/>
      <c r="G176" s="726"/>
      <c r="H176" s="726"/>
      <c r="I176" s="725"/>
      <c r="J176" s="725"/>
      <c r="K176" s="725"/>
      <c r="L176" s="756"/>
      <c r="M176" s="756"/>
      <c r="N176" s="756"/>
      <c r="O176" s="756"/>
      <c r="P176" s="756"/>
      <c r="Q176" s="756"/>
      <c r="R176" s="756"/>
      <c r="S176" s="756"/>
      <c r="T176" s="756"/>
      <c r="U176" s="756"/>
      <c r="V176" s="756"/>
      <c r="W176" s="756"/>
      <c r="X176" s="756"/>
      <c r="Y176" s="756"/>
      <c r="Z176" s="756"/>
      <c r="AA176" s="756"/>
      <c r="AB176" s="756"/>
      <c r="AC176" s="756"/>
      <c r="AD176" s="756"/>
      <c r="AE176" s="774"/>
      <c r="AF176" s="756"/>
      <c r="AG176" s="897"/>
      <c r="AH176" s="819"/>
      <c r="AI176" s="786">
        <f t="shared" si="7"/>
        <v>0</v>
      </c>
      <c r="AJ176" s="725">
        <v>0</v>
      </c>
      <c r="AK176" s="726">
        <f t="shared" si="8"/>
        <v>0</v>
      </c>
      <c r="AL176" s="728" t="s">
        <v>1554</v>
      </c>
      <c r="AM176" s="729">
        <f t="shared" si="9"/>
        <v>377.52</v>
      </c>
    </row>
    <row r="177" spans="1:39" s="730" customFormat="1">
      <c r="A177" s="720" t="s">
        <v>691</v>
      </c>
      <c r="B177" s="720" t="s">
        <v>1199</v>
      </c>
      <c r="C177" s="823" t="s">
        <v>38</v>
      </c>
      <c r="D177" s="743"/>
      <c r="E177" s="726"/>
      <c r="F177" s="726"/>
      <c r="G177" s="726"/>
      <c r="H177" s="726"/>
      <c r="I177" s="725"/>
      <c r="J177" s="725"/>
      <c r="K177" s="725"/>
      <c r="L177" s="756"/>
      <c r="M177" s="756"/>
      <c r="N177" s="756"/>
      <c r="O177" s="756"/>
      <c r="P177" s="756"/>
      <c r="Q177" s="756"/>
      <c r="R177" s="756"/>
      <c r="S177" s="756"/>
      <c r="T177" s="756"/>
      <c r="U177" s="756"/>
      <c r="V177" s="756"/>
      <c r="W177" s="756"/>
      <c r="X177" s="756"/>
      <c r="Y177" s="756"/>
      <c r="Z177" s="756"/>
      <c r="AA177" s="756"/>
      <c r="AB177" s="756"/>
      <c r="AC177" s="756"/>
      <c r="AD177" s="756"/>
      <c r="AE177" s="774"/>
      <c r="AF177" s="756"/>
      <c r="AG177" s="897"/>
      <c r="AH177" s="819"/>
      <c r="AI177" s="786">
        <f t="shared" si="7"/>
        <v>0</v>
      </c>
      <c r="AJ177" s="725">
        <v>0</v>
      </c>
      <c r="AK177" s="726">
        <f t="shared" si="8"/>
        <v>0</v>
      </c>
      <c r="AL177" s="728"/>
      <c r="AM177" s="729">
        <f t="shared" si="9"/>
        <v>0</v>
      </c>
    </row>
    <row r="178" spans="1:39" s="730" customFormat="1">
      <c r="A178" s="831" t="s">
        <v>692</v>
      </c>
      <c r="B178" s="831" t="s">
        <v>1200</v>
      </c>
      <c r="C178" s="823"/>
      <c r="D178" s="743"/>
      <c r="E178" s="726"/>
      <c r="F178" s="726"/>
      <c r="G178" s="726"/>
      <c r="H178" s="726"/>
      <c r="I178" s="725"/>
      <c r="J178" s="725"/>
      <c r="K178" s="725"/>
      <c r="L178" s="756"/>
      <c r="M178" s="756"/>
      <c r="N178" s="756"/>
      <c r="O178" s="756"/>
      <c r="P178" s="756"/>
      <c r="Q178" s="756"/>
      <c r="R178" s="756"/>
      <c r="S178" s="756"/>
      <c r="T178" s="756"/>
      <c r="U178" s="756"/>
      <c r="V178" s="756"/>
      <c r="W178" s="756"/>
      <c r="X178" s="756"/>
      <c r="Y178" s="756"/>
      <c r="Z178" s="756"/>
      <c r="AA178" s="756"/>
      <c r="AB178" s="756"/>
      <c r="AC178" s="756"/>
      <c r="AD178" s="756"/>
      <c r="AE178" s="774"/>
      <c r="AF178" s="756"/>
      <c r="AG178" s="897"/>
      <c r="AH178" s="819"/>
      <c r="AI178" s="786">
        <f t="shared" si="7"/>
        <v>0</v>
      </c>
      <c r="AJ178" s="725">
        <v>0</v>
      </c>
      <c r="AK178" s="726">
        <f t="shared" si="8"/>
        <v>0</v>
      </c>
      <c r="AL178" s="728" t="s">
        <v>1555</v>
      </c>
      <c r="AM178" s="729">
        <f t="shared" si="9"/>
        <v>75.400000000000006</v>
      </c>
    </row>
    <row r="179" spans="1:39" s="730" customFormat="1">
      <c r="A179" s="720" t="s">
        <v>693</v>
      </c>
      <c r="B179" s="720" t="s">
        <v>1201</v>
      </c>
      <c r="C179" s="823" t="s">
        <v>38</v>
      </c>
      <c r="D179" s="743"/>
      <c r="E179" s="726"/>
      <c r="F179" s="726"/>
      <c r="G179" s="726"/>
      <c r="H179" s="726"/>
      <c r="I179" s="725"/>
      <c r="J179" s="725"/>
      <c r="K179" s="725"/>
      <c r="L179" s="756"/>
      <c r="M179" s="756"/>
      <c r="N179" s="756"/>
      <c r="O179" s="756"/>
      <c r="P179" s="756"/>
      <c r="Q179" s="756"/>
      <c r="R179" s="756"/>
      <c r="S179" s="756"/>
      <c r="T179" s="756"/>
      <c r="U179" s="756"/>
      <c r="V179" s="756"/>
      <c r="W179" s="756"/>
      <c r="X179" s="756"/>
      <c r="Y179" s="756"/>
      <c r="Z179" s="756"/>
      <c r="AA179" s="756"/>
      <c r="AB179" s="756"/>
      <c r="AC179" s="756"/>
      <c r="AD179" s="756"/>
      <c r="AE179" s="774"/>
      <c r="AF179" s="756"/>
      <c r="AG179" s="897"/>
      <c r="AH179" s="819"/>
      <c r="AI179" s="786">
        <f t="shared" si="7"/>
        <v>0</v>
      </c>
      <c r="AJ179" s="725">
        <v>0</v>
      </c>
      <c r="AK179" s="726">
        <f t="shared" si="8"/>
        <v>0</v>
      </c>
      <c r="AL179" s="728" t="s">
        <v>1493</v>
      </c>
      <c r="AM179" s="729">
        <f t="shared" si="9"/>
        <v>15</v>
      </c>
    </row>
    <row r="180" spans="1:39" s="730" customFormat="1">
      <c r="A180" s="720" t="s">
        <v>694</v>
      </c>
      <c r="B180" s="720" t="s">
        <v>225</v>
      </c>
      <c r="C180" s="823" t="s">
        <v>1450</v>
      </c>
      <c r="D180" s="743"/>
      <c r="E180" s="726"/>
      <c r="F180" s="726"/>
      <c r="G180" s="726"/>
      <c r="H180" s="726"/>
      <c r="I180" s="725"/>
      <c r="J180" s="725"/>
      <c r="K180" s="725"/>
      <c r="L180" s="756"/>
      <c r="M180" s="756"/>
      <c r="N180" s="756"/>
      <c r="O180" s="756"/>
      <c r="P180" s="756"/>
      <c r="Q180" s="756"/>
      <c r="R180" s="756"/>
      <c r="S180" s="756"/>
      <c r="T180" s="756"/>
      <c r="U180" s="756"/>
      <c r="V180" s="756"/>
      <c r="W180" s="756"/>
      <c r="X180" s="756"/>
      <c r="Y180" s="756"/>
      <c r="Z180" s="756"/>
      <c r="AA180" s="756"/>
      <c r="AB180" s="756"/>
      <c r="AC180" s="756"/>
      <c r="AD180" s="756"/>
      <c r="AE180" s="774"/>
      <c r="AF180" s="756"/>
      <c r="AG180" s="897"/>
      <c r="AH180" s="819"/>
      <c r="AI180" s="786">
        <f t="shared" si="7"/>
        <v>0</v>
      </c>
      <c r="AJ180" s="725">
        <v>0</v>
      </c>
      <c r="AK180" s="726">
        <f t="shared" si="8"/>
        <v>0</v>
      </c>
      <c r="AL180" s="728"/>
      <c r="AM180" s="729">
        <f t="shared" si="9"/>
        <v>0</v>
      </c>
    </row>
    <row r="181" spans="1:39" s="500" customFormat="1">
      <c r="A181" s="440" t="s">
        <v>516</v>
      </c>
      <c r="B181" s="543" t="s">
        <v>1210</v>
      </c>
      <c r="C181" s="616"/>
      <c r="D181" s="519"/>
      <c r="E181" s="726"/>
      <c r="F181" s="520"/>
      <c r="G181" s="520"/>
      <c r="H181" s="520"/>
      <c r="I181" s="521"/>
      <c r="J181" s="521"/>
      <c r="K181" s="521"/>
      <c r="L181" s="756"/>
      <c r="M181" s="514"/>
      <c r="N181" s="514"/>
      <c r="O181" s="514"/>
      <c r="P181" s="514"/>
      <c r="Q181" s="514"/>
      <c r="R181" s="514"/>
      <c r="S181" s="756"/>
      <c r="T181" s="514"/>
      <c r="U181" s="514"/>
      <c r="V181" s="514"/>
      <c r="W181" s="514"/>
      <c r="X181" s="514"/>
      <c r="Y181" s="514"/>
      <c r="Z181" s="756"/>
      <c r="AA181" s="514"/>
      <c r="AB181" s="514"/>
      <c r="AC181" s="514"/>
      <c r="AD181" s="514"/>
      <c r="AE181" s="774"/>
      <c r="AF181" s="514"/>
      <c r="AG181" s="897"/>
      <c r="AH181" s="789"/>
      <c r="AI181" s="664">
        <f t="shared" si="7"/>
        <v>0</v>
      </c>
      <c r="AJ181" s="521">
        <v>0</v>
      </c>
      <c r="AK181" s="520">
        <f t="shared" si="8"/>
        <v>0</v>
      </c>
      <c r="AL181" s="672"/>
      <c r="AM181" s="669">
        <f t="shared" si="9"/>
        <v>0</v>
      </c>
    </row>
    <row r="182" spans="1:39" s="500" customFormat="1">
      <c r="A182" s="542" t="s">
        <v>517</v>
      </c>
      <c r="B182" s="542" t="s">
        <v>46</v>
      </c>
      <c r="C182" s="616"/>
      <c r="D182" s="519"/>
      <c r="E182" s="726"/>
      <c r="F182" s="520"/>
      <c r="G182" s="520"/>
      <c r="H182" s="520"/>
      <c r="I182" s="521"/>
      <c r="J182" s="521"/>
      <c r="K182" s="521"/>
      <c r="L182" s="756"/>
      <c r="M182" s="514"/>
      <c r="N182" s="514"/>
      <c r="O182" s="514"/>
      <c r="P182" s="514"/>
      <c r="Q182" s="514"/>
      <c r="R182" s="514"/>
      <c r="S182" s="756"/>
      <c r="T182" s="514"/>
      <c r="U182" s="514"/>
      <c r="V182" s="514"/>
      <c r="W182" s="514"/>
      <c r="X182" s="514"/>
      <c r="Y182" s="514"/>
      <c r="Z182" s="756"/>
      <c r="AA182" s="514"/>
      <c r="AB182" s="514"/>
      <c r="AC182" s="514"/>
      <c r="AD182" s="514"/>
      <c r="AE182" s="774"/>
      <c r="AF182" s="514"/>
      <c r="AG182" s="897"/>
      <c r="AH182" s="789"/>
      <c r="AI182" s="664">
        <f t="shared" si="7"/>
        <v>0</v>
      </c>
      <c r="AJ182" s="521">
        <v>0</v>
      </c>
      <c r="AK182" s="520">
        <f t="shared" si="8"/>
        <v>0</v>
      </c>
      <c r="AL182" s="672" t="s">
        <v>1556</v>
      </c>
      <c r="AM182" s="669">
        <f t="shared" si="9"/>
        <v>39.86</v>
      </c>
    </row>
    <row r="183" spans="1:39" s="500" customFormat="1">
      <c r="A183" s="539" t="s">
        <v>695</v>
      </c>
      <c r="B183" s="539" t="s">
        <v>1156</v>
      </c>
      <c r="C183" s="548" t="s">
        <v>40</v>
      </c>
      <c r="D183" s="519"/>
      <c r="E183" s="726"/>
      <c r="F183" s="520"/>
      <c r="G183" s="520"/>
      <c r="H183" s="520"/>
      <c r="I183" s="521"/>
      <c r="J183" s="521"/>
      <c r="K183" s="521"/>
      <c r="L183" s="756"/>
      <c r="M183" s="514"/>
      <c r="N183" s="514"/>
      <c r="O183" s="514"/>
      <c r="P183" s="514"/>
      <c r="Q183" s="514"/>
      <c r="R183" s="514"/>
      <c r="S183" s="756"/>
      <c r="T183" s="514"/>
      <c r="U183" s="514"/>
      <c r="V183" s="514"/>
      <c r="W183" s="514"/>
      <c r="X183" s="514"/>
      <c r="Y183" s="514"/>
      <c r="Z183" s="756"/>
      <c r="AA183" s="514"/>
      <c r="AB183" s="514"/>
      <c r="AC183" s="514"/>
      <c r="AD183" s="514"/>
      <c r="AE183" s="774"/>
      <c r="AF183" s="514"/>
      <c r="AG183" s="897"/>
      <c r="AH183" s="789"/>
      <c r="AI183" s="664">
        <f t="shared" si="7"/>
        <v>0</v>
      </c>
      <c r="AJ183" s="521">
        <v>0</v>
      </c>
      <c r="AK183" s="520">
        <f t="shared" si="8"/>
        <v>0</v>
      </c>
      <c r="AL183" s="672" t="s">
        <v>1557</v>
      </c>
      <c r="AM183" s="669">
        <f t="shared" si="9"/>
        <v>9.1</v>
      </c>
    </row>
    <row r="184" spans="1:39" s="500" customFormat="1">
      <c r="A184" s="539" t="s">
        <v>696</v>
      </c>
      <c r="B184" s="539" t="s">
        <v>1157</v>
      </c>
      <c r="C184" s="548" t="s">
        <v>40</v>
      </c>
      <c r="D184" s="519"/>
      <c r="E184" s="726"/>
      <c r="F184" s="520"/>
      <c r="G184" s="520"/>
      <c r="H184" s="520"/>
      <c r="I184" s="521"/>
      <c r="J184" s="521"/>
      <c r="K184" s="521"/>
      <c r="L184" s="756"/>
      <c r="M184" s="514"/>
      <c r="N184" s="514"/>
      <c r="O184" s="514"/>
      <c r="P184" s="514"/>
      <c r="Q184" s="514"/>
      <c r="R184" s="514"/>
      <c r="S184" s="756"/>
      <c r="T184" s="514"/>
      <c r="U184" s="514"/>
      <c r="V184" s="514"/>
      <c r="W184" s="514"/>
      <c r="X184" s="514"/>
      <c r="Y184" s="514"/>
      <c r="Z184" s="756"/>
      <c r="AA184" s="514"/>
      <c r="AB184" s="514"/>
      <c r="AC184" s="514"/>
      <c r="AD184" s="514"/>
      <c r="AE184" s="774"/>
      <c r="AF184" s="514"/>
      <c r="AG184" s="897"/>
      <c r="AH184" s="789"/>
      <c r="AI184" s="664">
        <f t="shared" si="7"/>
        <v>0</v>
      </c>
      <c r="AJ184" s="521">
        <v>0</v>
      </c>
      <c r="AK184" s="520">
        <f t="shared" si="8"/>
        <v>0</v>
      </c>
      <c r="AL184" s="672" t="s">
        <v>1558</v>
      </c>
      <c r="AM184" s="669">
        <f t="shared" si="9"/>
        <v>15.72</v>
      </c>
    </row>
    <row r="185" spans="1:39" s="500" customFormat="1">
      <c r="A185" s="539" t="s">
        <v>697</v>
      </c>
      <c r="B185" s="539" t="s">
        <v>1158</v>
      </c>
      <c r="C185" s="548" t="s">
        <v>40</v>
      </c>
      <c r="D185" s="519"/>
      <c r="E185" s="726"/>
      <c r="F185" s="520"/>
      <c r="G185" s="520"/>
      <c r="H185" s="520"/>
      <c r="I185" s="521"/>
      <c r="J185" s="521"/>
      <c r="K185" s="521"/>
      <c r="L185" s="756"/>
      <c r="M185" s="514"/>
      <c r="N185" s="514"/>
      <c r="O185" s="514"/>
      <c r="P185" s="514"/>
      <c r="Q185" s="514"/>
      <c r="R185" s="514"/>
      <c r="S185" s="756"/>
      <c r="T185" s="514"/>
      <c r="U185" s="514"/>
      <c r="V185" s="514"/>
      <c r="W185" s="514"/>
      <c r="X185" s="514"/>
      <c r="Y185" s="514"/>
      <c r="Z185" s="756"/>
      <c r="AA185" s="514"/>
      <c r="AB185" s="514"/>
      <c r="AC185" s="514"/>
      <c r="AD185" s="514"/>
      <c r="AE185" s="774"/>
      <c r="AF185" s="514"/>
      <c r="AG185" s="897"/>
      <c r="AH185" s="789"/>
      <c r="AI185" s="664">
        <f t="shared" si="7"/>
        <v>0</v>
      </c>
      <c r="AJ185" s="521">
        <v>0</v>
      </c>
      <c r="AK185" s="520">
        <f t="shared" si="8"/>
        <v>0</v>
      </c>
      <c r="AL185" s="672" t="s">
        <v>1559</v>
      </c>
      <c r="AM185" s="669">
        <f t="shared" si="9"/>
        <v>22.03</v>
      </c>
    </row>
    <row r="186" spans="1:39" s="500" customFormat="1">
      <c r="A186" s="539" t="s">
        <v>698</v>
      </c>
      <c r="B186" s="539" t="s">
        <v>1159</v>
      </c>
      <c r="C186" s="548" t="s">
        <v>37</v>
      </c>
      <c r="D186" s="519"/>
      <c r="E186" s="726"/>
      <c r="F186" s="520"/>
      <c r="G186" s="520"/>
      <c r="H186" s="520"/>
      <c r="I186" s="521"/>
      <c r="J186" s="521"/>
      <c r="K186" s="521"/>
      <c r="L186" s="756"/>
      <c r="M186" s="514"/>
      <c r="N186" s="514"/>
      <c r="O186" s="514"/>
      <c r="P186" s="514"/>
      <c r="Q186" s="514"/>
      <c r="R186" s="514"/>
      <c r="S186" s="756"/>
      <c r="T186" s="514"/>
      <c r="U186" s="514"/>
      <c r="V186" s="514"/>
      <c r="W186" s="514"/>
      <c r="X186" s="514"/>
      <c r="Y186" s="514"/>
      <c r="Z186" s="756"/>
      <c r="AA186" s="514"/>
      <c r="AB186" s="514"/>
      <c r="AC186" s="514"/>
      <c r="AD186" s="514"/>
      <c r="AE186" s="774"/>
      <c r="AF186" s="514"/>
      <c r="AG186" s="897"/>
      <c r="AH186" s="789"/>
      <c r="AI186" s="664">
        <f t="shared" si="7"/>
        <v>0</v>
      </c>
      <c r="AJ186" s="521">
        <v>0</v>
      </c>
      <c r="AK186" s="520">
        <f t="shared" si="8"/>
        <v>0</v>
      </c>
      <c r="AL186" s="672" t="s">
        <v>1560</v>
      </c>
      <c r="AM186" s="669">
        <f t="shared" si="9"/>
        <v>41.56</v>
      </c>
    </row>
    <row r="187" spans="1:39" s="500" customFormat="1">
      <c r="A187" s="539" t="s">
        <v>699</v>
      </c>
      <c r="B187" s="539" t="s">
        <v>1160</v>
      </c>
      <c r="C187" s="548" t="s">
        <v>40</v>
      </c>
      <c r="D187" s="519"/>
      <c r="E187" s="726"/>
      <c r="F187" s="520"/>
      <c r="G187" s="520"/>
      <c r="H187" s="520"/>
      <c r="I187" s="521"/>
      <c r="J187" s="521"/>
      <c r="K187" s="521"/>
      <c r="L187" s="756"/>
      <c r="M187" s="514"/>
      <c r="N187" s="514"/>
      <c r="O187" s="514"/>
      <c r="P187" s="514"/>
      <c r="Q187" s="514"/>
      <c r="R187" s="514"/>
      <c r="S187" s="756"/>
      <c r="T187" s="514"/>
      <c r="U187" s="514"/>
      <c r="V187" s="514"/>
      <c r="W187" s="514"/>
      <c r="X187" s="514"/>
      <c r="Y187" s="514"/>
      <c r="Z187" s="756"/>
      <c r="AA187" s="514"/>
      <c r="AB187" s="514"/>
      <c r="AC187" s="514"/>
      <c r="AD187" s="514"/>
      <c r="AE187" s="774"/>
      <c r="AF187" s="514"/>
      <c r="AG187" s="897"/>
      <c r="AH187" s="789"/>
      <c r="AI187" s="664">
        <f t="shared" si="7"/>
        <v>0</v>
      </c>
      <c r="AJ187" s="521">
        <v>0</v>
      </c>
      <c r="AK187" s="520">
        <f t="shared" si="8"/>
        <v>0</v>
      </c>
      <c r="AL187" s="672" t="s">
        <v>1560</v>
      </c>
      <c r="AM187" s="669">
        <f t="shared" si="9"/>
        <v>41.56</v>
      </c>
    </row>
    <row r="188" spans="1:39" s="500" customFormat="1">
      <c r="A188" s="539" t="s">
        <v>700</v>
      </c>
      <c r="B188" s="539" t="s">
        <v>1161</v>
      </c>
      <c r="C188" s="548" t="s">
        <v>40</v>
      </c>
      <c r="D188" s="519"/>
      <c r="E188" s="726"/>
      <c r="F188" s="520"/>
      <c r="G188" s="520"/>
      <c r="H188" s="520"/>
      <c r="I188" s="521"/>
      <c r="J188" s="521"/>
      <c r="K188" s="521"/>
      <c r="L188" s="756"/>
      <c r="M188" s="514"/>
      <c r="N188" s="514"/>
      <c r="O188" s="514"/>
      <c r="P188" s="514"/>
      <c r="Q188" s="514"/>
      <c r="R188" s="514"/>
      <c r="S188" s="756"/>
      <c r="T188" s="514"/>
      <c r="U188" s="514"/>
      <c r="V188" s="514"/>
      <c r="W188" s="514"/>
      <c r="X188" s="514"/>
      <c r="Y188" s="514"/>
      <c r="Z188" s="756"/>
      <c r="AA188" s="514"/>
      <c r="AB188" s="514"/>
      <c r="AC188" s="514"/>
      <c r="AD188" s="514"/>
      <c r="AE188" s="774"/>
      <c r="AF188" s="514"/>
      <c r="AG188" s="897"/>
      <c r="AH188" s="789"/>
      <c r="AI188" s="664">
        <f t="shared" si="7"/>
        <v>0</v>
      </c>
      <c r="AJ188" s="521">
        <v>0</v>
      </c>
      <c r="AK188" s="520">
        <f t="shared" si="8"/>
        <v>0</v>
      </c>
      <c r="AL188" s="672"/>
      <c r="AM188" s="669">
        <f t="shared" si="9"/>
        <v>0</v>
      </c>
    </row>
    <row r="189" spans="1:39" s="500" customFormat="1">
      <c r="A189" s="542" t="s">
        <v>701</v>
      </c>
      <c r="B189" s="542" t="s">
        <v>1162</v>
      </c>
      <c r="C189" s="616"/>
      <c r="D189" s="519"/>
      <c r="E189" s="726"/>
      <c r="F189" s="520"/>
      <c r="G189" s="520"/>
      <c r="H189" s="520"/>
      <c r="I189" s="521"/>
      <c r="J189" s="521"/>
      <c r="K189" s="521"/>
      <c r="L189" s="756"/>
      <c r="M189" s="514"/>
      <c r="N189" s="514"/>
      <c r="O189" s="514"/>
      <c r="P189" s="514"/>
      <c r="Q189" s="514"/>
      <c r="R189" s="514"/>
      <c r="S189" s="756"/>
      <c r="T189" s="514"/>
      <c r="U189" s="514"/>
      <c r="V189" s="514"/>
      <c r="W189" s="514"/>
      <c r="X189" s="514"/>
      <c r="Y189" s="514"/>
      <c r="Z189" s="756"/>
      <c r="AA189" s="514"/>
      <c r="AB189" s="514"/>
      <c r="AC189" s="514"/>
      <c r="AD189" s="514"/>
      <c r="AE189" s="774"/>
      <c r="AF189" s="514"/>
      <c r="AG189" s="897"/>
      <c r="AH189" s="789"/>
      <c r="AI189" s="664">
        <f t="shared" si="7"/>
        <v>0</v>
      </c>
      <c r="AJ189" s="521">
        <v>0</v>
      </c>
      <c r="AK189" s="520">
        <f t="shared" si="8"/>
        <v>0</v>
      </c>
      <c r="AL189" s="672" t="s">
        <v>1561</v>
      </c>
      <c r="AM189" s="669">
        <f t="shared" si="9"/>
        <v>20.28</v>
      </c>
    </row>
    <row r="190" spans="1:39" s="500" customFormat="1">
      <c r="A190" s="539" t="s">
        <v>702</v>
      </c>
      <c r="B190" s="539" t="s">
        <v>1163</v>
      </c>
      <c r="C190" s="548" t="s">
        <v>40</v>
      </c>
      <c r="D190" s="519"/>
      <c r="E190" s="726"/>
      <c r="F190" s="520"/>
      <c r="G190" s="520"/>
      <c r="H190" s="520"/>
      <c r="I190" s="521"/>
      <c r="J190" s="521"/>
      <c r="K190" s="521"/>
      <c r="L190" s="756"/>
      <c r="M190" s="514"/>
      <c r="N190" s="514"/>
      <c r="O190" s="514"/>
      <c r="P190" s="514"/>
      <c r="Q190" s="514"/>
      <c r="R190" s="514"/>
      <c r="S190" s="756"/>
      <c r="T190" s="514"/>
      <c r="U190" s="514"/>
      <c r="V190" s="514"/>
      <c r="W190" s="514"/>
      <c r="X190" s="514"/>
      <c r="Y190" s="514"/>
      <c r="Z190" s="756"/>
      <c r="AA190" s="514"/>
      <c r="AB190" s="514"/>
      <c r="AC190" s="514"/>
      <c r="AD190" s="514"/>
      <c r="AE190" s="774"/>
      <c r="AF190" s="514"/>
      <c r="AG190" s="897"/>
      <c r="AH190" s="789"/>
      <c r="AI190" s="664">
        <f t="shared" si="7"/>
        <v>0</v>
      </c>
      <c r="AJ190" s="521">
        <v>0</v>
      </c>
      <c r="AK190" s="520">
        <f t="shared" si="8"/>
        <v>0</v>
      </c>
      <c r="AL190" s="672" t="s">
        <v>1562</v>
      </c>
      <c r="AM190" s="669">
        <f t="shared" si="9"/>
        <v>14.79</v>
      </c>
    </row>
    <row r="191" spans="1:39" s="500" customFormat="1">
      <c r="A191" s="539" t="s">
        <v>703</v>
      </c>
      <c r="B191" s="539" t="s">
        <v>1203</v>
      </c>
      <c r="C191" s="548" t="s">
        <v>37</v>
      </c>
      <c r="D191" s="519"/>
      <c r="E191" s="726"/>
      <c r="F191" s="520"/>
      <c r="G191" s="520"/>
      <c r="H191" s="520"/>
      <c r="I191" s="521"/>
      <c r="J191" s="521"/>
      <c r="K191" s="521"/>
      <c r="L191" s="756"/>
      <c r="M191" s="514"/>
      <c r="N191" s="514"/>
      <c r="O191" s="514"/>
      <c r="P191" s="514"/>
      <c r="Q191" s="514"/>
      <c r="R191" s="514"/>
      <c r="S191" s="756"/>
      <c r="T191" s="514"/>
      <c r="U191" s="514"/>
      <c r="V191" s="514"/>
      <c r="W191" s="514"/>
      <c r="X191" s="514"/>
      <c r="Y191" s="514"/>
      <c r="Z191" s="756"/>
      <c r="AA191" s="514"/>
      <c r="AB191" s="514"/>
      <c r="AC191" s="514"/>
      <c r="AD191" s="514"/>
      <c r="AE191" s="774"/>
      <c r="AF191" s="514"/>
      <c r="AG191" s="897"/>
      <c r="AH191" s="789"/>
      <c r="AI191" s="664">
        <f t="shared" si="7"/>
        <v>0</v>
      </c>
      <c r="AJ191" s="521">
        <v>0</v>
      </c>
      <c r="AK191" s="520">
        <f t="shared" si="8"/>
        <v>0</v>
      </c>
      <c r="AL191" s="672" t="s">
        <v>1563</v>
      </c>
      <c r="AM191" s="669">
        <f t="shared" si="9"/>
        <v>3.22</v>
      </c>
    </row>
    <row r="192" spans="1:39" s="500" customFormat="1">
      <c r="A192" s="539" t="s">
        <v>704</v>
      </c>
      <c r="B192" s="539" t="s">
        <v>1204</v>
      </c>
      <c r="C192" s="548" t="s">
        <v>40</v>
      </c>
      <c r="D192" s="519"/>
      <c r="E192" s="726"/>
      <c r="F192" s="520"/>
      <c r="G192" s="520"/>
      <c r="H192" s="520"/>
      <c r="I192" s="521"/>
      <c r="J192" s="521"/>
      <c r="K192" s="521"/>
      <c r="L192" s="756"/>
      <c r="M192" s="514"/>
      <c r="N192" s="514"/>
      <c r="O192" s="514"/>
      <c r="P192" s="514"/>
      <c r="Q192" s="514"/>
      <c r="R192" s="514"/>
      <c r="S192" s="756"/>
      <c r="T192" s="514"/>
      <c r="U192" s="514"/>
      <c r="V192" s="514"/>
      <c r="W192" s="514"/>
      <c r="X192" s="514"/>
      <c r="Y192" s="514"/>
      <c r="Z192" s="756"/>
      <c r="AA192" s="514"/>
      <c r="AB192" s="514"/>
      <c r="AC192" s="514"/>
      <c r="AD192" s="514"/>
      <c r="AE192" s="774"/>
      <c r="AF192" s="514"/>
      <c r="AG192" s="897"/>
      <c r="AH192" s="789"/>
      <c r="AI192" s="664">
        <f t="shared" si="7"/>
        <v>0</v>
      </c>
      <c r="AJ192" s="521">
        <v>0</v>
      </c>
      <c r="AK192" s="520">
        <f t="shared" si="8"/>
        <v>0</v>
      </c>
      <c r="AL192" s="672" t="s">
        <v>1564</v>
      </c>
      <c r="AM192" s="669">
        <f t="shared" si="9"/>
        <v>1.61</v>
      </c>
    </row>
    <row r="193" spans="1:39" s="500" customFormat="1">
      <c r="A193" s="539" t="s">
        <v>705</v>
      </c>
      <c r="B193" s="539" t="s">
        <v>1205</v>
      </c>
      <c r="C193" s="548" t="s">
        <v>40</v>
      </c>
      <c r="D193" s="519"/>
      <c r="E193" s="726"/>
      <c r="F193" s="520"/>
      <c r="G193" s="520"/>
      <c r="H193" s="520"/>
      <c r="I193" s="521"/>
      <c r="J193" s="521"/>
      <c r="K193" s="521"/>
      <c r="L193" s="756"/>
      <c r="M193" s="514"/>
      <c r="N193" s="514"/>
      <c r="O193" s="514"/>
      <c r="P193" s="514"/>
      <c r="Q193" s="514"/>
      <c r="R193" s="514"/>
      <c r="S193" s="756"/>
      <c r="T193" s="514"/>
      <c r="U193" s="514"/>
      <c r="V193" s="514"/>
      <c r="W193" s="514"/>
      <c r="X193" s="514"/>
      <c r="Y193" s="514"/>
      <c r="Z193" s="756"/>
      <c r="AA193" s="514"/>
      <c r="AB193" s="514"/>
      <c r="AC193" s="514"/>
      <c r="AD193" s="514"/>
      <c r="AE193" s="774"/>
      <c r="AF193" s="514"/>
      <c r="AG193" s="897"/>
      <c r="AH193" s="789"/>
      <c r="AI193" s="664">
        <f t="shared" si="7"/>
        <v>0</v>
      </c>
      <c r="AJ193" s="521">
        <v>0</v>
      </c>
      <c r="AK193" s="520">
        <f t="shared" si="8"/>
        <v>0</v>
      </c>
      <c r="AL193" s="672" t="s">
        <v>1565</v>
      </c>
      <c r="AM193" s="669">
        <f t="shared" si="9"/>
        <v>42.4</v>
      </c>
    </row>
    <row r="194" spans="1:39" s="500" customFormat="1">
      <c r="A194" s="539" t="s">
        <v>706</v>
      </c>
      <c r="B194" s="539" t="s">
        <v>1167</v>
      </c>
      <c r="C194" s="548" t="s">
        <v>37</v>
      </c>
      <c r="D194" s="519"/>
      <c r="E194" s="726"/>
      <c r="F194" s="520"/>
      <c r="G194" s="520"/>
      <c r="H194" s="520"/>
      <c r="I194" s="521"/>
      <c r="J194" s="521"/>
      <c r="K194" s="521"/>
      <c r="L194" s="756"/>
      <c r="M194" s="514"/>
      <c r="N194" s="514"/>
      <c r="O194" s="514"/>
      <c r="P194" s="514"/>
      <c r="Q194" s="514"/>
      <c r="R194" s="514"/>
      <c r="S194" s="756"/>
      <c r="T194" s="514"/>
      <c r="U194" s="514"/>
      <c r="V194" s="514"/>
      <c r="W194" s="514"/>
      <c r="X194" s="514"/>
      <c r="Y194" s="514"/>
      <c r="Z194" s="756"/>
      <c r="AA194" s="514"/>
      <c r="AB194" s="514"/>
      <c r="AC194" s="514"/>
      <c r="AD194" s="514"/>
      <c r="AE194" s="774"/>
      <c r="AF194" s="514"/>
      <c r="AG194" s="897"/>
      <c r="AH194" s="789"/>
      <c r="AI194" s="664">
        <f t="shared" si="7"/>
        <v>0</v>
      </c>
      <c r="AJ194" s="521">
        <v>0</v>
      </c>
      <c r="AK194" s="520">
        <f t="shared" si="8"/>
        <v>0</v>
      </c>
      <c r="AL194" s="672" t="s">
        <v>1559</v>
      </c>
      <c r="AM194" s="669">
        <f t="shared" si="9"/>
        <v>22.03</v>
      </c>
    </row>
    <row r="195" spans="1:39" s="500" customFormat="1">
      <c r="A195" s="539" t="s">
        <v>707</v>
      </c>
      <c r="B195" s="539" t="s">
        <v>1168</v>
      </c>
      <c r="C195" s="548" t="s">
        <v>37</v>
      </c>
      <c r="D195" s="519"/>
      <c r="E195" s="726"/>
      <c r="F195" s="520"/>
      <c r="G195" s="520"/>
      <c r="H195" s="520"/>
      <c r="I195" s="521"/>
      <c r="J195" s="521"/>
      <c r="K195" s="521"/>
      <c r="L195" s="756"/>
      <c r="M195" s="514"/>
      <c r="N195" s="514"/>
      <c r="O195" s="514"/>
      <c r="P195" s="514"/>
      <c r="Q195" s="514"/>
      <c r="R195" s="514"/>
      <c r="S195" s="756"/>
      <c r="T195" s="514"/>
      <c r="U195" s="514"/>
      <c r="V195" s="514"/>
      <c r="W195" s="514"/>
      <c r="X195" s="514"/>
      <c r="Y195" s="514"/>
      <c r="Z195" s="756"/>
      <c r="AA195" s="514"/>
      <c r="AB195" s="514"/>
      <c r="AC195" s="514"/>
      <c r="AD195" s="514"/>
      <c r="AE195" s="774"/>
      <c r="AF195" s="514"/>
      <c r="AG195" s="897"/>
      <c r="AH195" s="789"/>
      <c r="AI195" s="664">
        <f t="shared" si="7"/>
        <v>0</v>
      </c>
      <c r="AJ195" s="521">
        <v>0</v>
      </c>
      <c r="AK195" s="520">
        <f t="shared" si="8"/>
        <v>0</v>
      </c>
      <c r="AL195" s="672"/>
      <c r="AM195" s="669">
        <f t="shared" si="9"/>
        <v>0</v>
      </c>
    </row>
    <row r="196" spans="1:39" s="500" customFormat="1">
      <c r="A196" s="542" t="s">
        <v>708</v>
      </c>
      <c r="B196" s="542" t="s">
        <v>1169</v>
      </c>
      <c r="C196" s="616"/>
      <c r="D196" s="519"/>
      <c r="E196" s="726"/>
      <c r="F196" s="520"/>
      <c r="G196" s="520"/>
      <c r="H196" s="520"/>
      <c r="I196" s="521"/>
      <c r="J196" s="521"/>
      <c r="K196" s="521"/>
      <c r="L196" s="756"/>
      <c r="M196" s="514"/>
      <c r="N196" s="514"/>
      <c r="O196" s="514"/>
      <c r="P196" s="514"/>
      <c r="Q196" s="514"/>
      <c r="R196" s="514"/>
      <c r="S196" s="756"/>
      <c r="T196" s="514"/>
      <c r="U196" s="514"/>
      <c r="V196" s="514"/>
      <c r="W196" s="514"/>
      <c r="X196" s="514"/>
      <c r="Y196" s="514"/>
      <c r="Z196" s="756"/>
      <c r="AA196" s="514"/>
      <c r="AB196" s="514"/>
      <c r="AC196" s="514"/>
      <c r="AD196" s="514"/>
      <c r="AE196" s="774"/>
      <c r="AF196" s="514"/>
      <c r="AG196" s="897"/>
      <c r="AH196" s="789"/>
      <c r="AI196" s="664">
        <f t="shared" si="7"/>
        <v>0</v>
      </c>
      <c r="AJ196" s="521">
        <v>0</v>
      </c>
      <c r="AK196" s="520">
        <f t="shared" si="8"/>
        <v>0</v>
      </c>
      <c r="AL196" s="672"/>
      <c r="AM196" s="669">
        <f t="shared" si="9"/>
        <v>0</v>
      </c>
    </row>
    <row r="197" spans="1:39" s="500" customFormat="1">
      <c r="A197" s="539" t="s">
        <v>709</v>
      </c>
      <c r="B197" s="539" t="s">
        <v>1170</v>
      </c>
      <c r="C197" s="616"/>
      <c r="D197" s="519"/>
      <c r="E197" s="726"/>
      <c r="F197" s="520"/>
      <c r="G197" s="520"/>
      <c r="H197" s="520"/>
      <c r="I197" s="521"/>
      <c r="J197" s="521"/>
      <c r="K197" s="521"/>
      <c r="L197" s="756"/>
      <c r="M197" s="514"/>
      <c r="N197" s="514"/>
      <c r="O197" s="514"/>
      <c r="P197" s="514"/>
      <c r="Q197" s="514"/>
      <c r="R197" s="514"/>
      <c r="S197" s="756"/>
      <c r="T197" s="514"/>
      <c r="U197" s="514"/>
      <c r="V197" s="514"/>
      <c r="W197" s="514"/>
      <c r="X197" s="514"/>
      <c r="Y197" s="514"/>
      <c r="Z197" s="756"/>
      <c r="AA197" s="514"/>
      <c r="AB197" s="514"/>
      <c r="AC197" s="514"/>
      <c r="AD197" s="514"/>
      <c r="AE197" s="774"/>
      <c r="AF197" s="514"/>
      <c r="AG197" s="897"/>
      <c r="AH197" s="789"/>
      <c r="AI197" s="664">
        <f t="shared" si="7"/>
        <v>0</v>
      </c>
      <c r="AJ197" s="521">
        <v>0</v>
      </c>
      <c r="AK197" s="520">
        <f t="shared" si="8"/>
        <v>0</v>
      </c>
      <c r="AL197" s="672" t="s">
        <v>1470</v>
      </c>
      <c r="AM197" s="669">
        <f t="shared" si="9"/>
        <v>4.6100000000000003</v>
      </c>
    </row>
    <row r="198" spans="1:39" s="500" customFormat="1">
      <c r="A198" s="539" t="s">
        <v>710</v>
      </c>
      <c r="B198" s="539" t="s">
        <v>1206</v>
      </c>
      <c r="C198" s="548" t="s">
        <v>40</v>
      </c>
      <c r="D198" s="519"/>
      <c r="E198" s="726"/>
      <c r="F198" s="520"/>
      <c r="G198" s="520"/>
      <c r="H198" s="520"/>
      <c r="I198" s="521"/>
      <c r="J198" s="521"/>
      <c r="K198" s="521"/>
      <c r="L198" s="756"/>
      <c r="M198" s="514"/>
      <c r="N198" s="514"/>
      <c r="O198" s="514"/>
      <c r="P198" s="514"/>
      <c r="Q198" s="514"/>
      <c r="R198" s="514"/>
      <c r="S198" s="756"/>
      <c r="T198" s="514"/>
      <c r="U198" s="514"/>
      <c r="V198" s="514"/>
      <c r="W198" s="514"/>
      <c r="X198" s="514"/>
      <c r="Y198" s="514"/>
      <c r="Z198" s="756"/>
      <c r="AA198" s="514"/>
      <c r="AB198" s="514"/>
      <c r="AC198" s="514"/>
      <c r="AD198" s="514"/>
      <c r="AE198" s="774"/>
      <c r="AF198" s="514"/>
      <c r="AG198" s="897"/>
      <c r="AH198" s="789"/>
      <c r="AI198" s="664">
        <f t="shared" si="7"/>
        <v>0</v>
      </c>
      <c r="AJ198" s="521">
        <v>0</v>
      </c>
      <c r="AK198" s="520">
        <f t="shared" si="8"/>
        <v>0</v>
      </c>
      <c r="AL198" s="672" t="s">
        <v>1471</v>
      </c>
      <c r="AM198" s="669">
        <f t="shared" si="9"/>
        <v>192.7</v>
      </c>
    </row>
    <row r="199" spans="1:39" s="500" customFormat="1">
      <c r="A199" s="539" t="s">
        <v>711</v>
      </c>
      <c r="B199" s="539" t="s">
        <v>1172</v>
      </c>
      <c r="C199" s="548" t="s">
        <v>48</v>
      </c>
      <c r="D199" s="519"/>
      <c r="E199" s="726"/>
      <c r="F199" s="520"/>
      <c r="G199" s="520"/>
      <c r="H199" s="520"/>
      <c r="I199" s="521"/>
      <c r="J199" s="521"/>
      <c r="K199" s="521"/>
      <c r="L199" s="756"/>
      <c r="M199" s="514"/>
      <c r="N199" s="514"/>
      <c r="O199" s="514"/>
      <c r="P199" s="514"/>
      <c r="Q199" s="514"/>
      <c r="R199" s="514"/>
      <c r="S199" s="756"/>
      <c r="T199" s="514"/>
      <c r="U199" s="514"/>
      <c r="V199" s="514"/>
      <c r="W199" s="514"/>
      <c r="X199" s="514"/>
      <c r="Y199" s="514"/>
      <c r="Z199" s="756"/>
      <c r="AA199" s="514"/>
      <c r="AB199" s="514"/>
      <c r="AC199" s="514"/>
      <c r="AD199" s="514"/>
      <c r="AE199" s="774"/>
      <c r="AF199" s="514"/>
      <c r="AG199" s="897"/>
      <c r="AH199" s="789"/>
      <c r="AI199" s="664">
        <f t="shared" si="7"/>
        <v>0</v>
      </c>
      <c r="AJ199" s="521">
        <v>0</v>
      </c>
      <c r="AK199" s="520">
        <f t="shared" si="8"/>
        <v>0</v>
      </c>
      <c r="AL199" s="672"/>
      <c r="AM199" s="669">
        <f t="shared" si="9"/>
        <v>0</v>
      </c>
    </row>
    <row r="200" spans="1:39" s="500" customFormat="1">
      <c r="A200" s="539" t="s">
        <v>712</v>
      </c>
      <c r="B200" s="539" t="s">
        <v>1173</v>
      </c>
      <c r="C200" s="616"/>
      <c r="D200" s="519"/>
      <c r="E200" s="726"/>
      <c r="F200" s="520"/>
      <c r="G200" s="520"/>
      <c r="H200" s="520"/>
      <c r="I200" s="521"/>
      <c r="J200" s="521"/>
      <c r="K200" s="521"/>
      <c r="L200" s="756"/>
      <c r="M200" s="514"/>
      <c r="N200" s="514"/>
      <c r="O200" s="514"/>
      <c r="P200" s="514"/>
      <c r="Q200" s="514"/>
      <c r="R200" s="514"/>
      <c r="S200" s="756"/>
      <c r="T200" s="514"/>
      <c r="U200" s="514"/>
      <c r="V200" s="514"/>
      <c r="W200" s="514"/>
      <c r="X200" s="514"/>
      <c r="Y200" s="514"/>
      <c r="Z200" s="756"/>
      <c r="AA200" s="514"/>
      <c r="AB200" s="514"/>
      <c r="AC200" s="514"/>
      <c r="AD200" s="514"/>
      <c r="AE200" s="774"/>
      <c r="AF200" s="514"/>
      <c r="AG200" s="897"/>
      <c r="AH200" s="789"/>
      <c r="AI200" s="664">
        <f t="shared" si="7"/>
        <v>0</v>
      </c>
      <c r="AJ200" s="521">
        <v>0</v>
      </c>
      <c r="AK200" s="520">
        <f t="shared" si="8"/>
        <v>0</v>
      </c>
      <c r="AL200" s="672" t="s">
        <v>1566</v>
      </c>
      <c r="AM200" s="669">
        <f t="shared" si="9"/>
        <v>2.19</v>
      </c>
    </row>
    <row r="201" spans="1:39" s="500" customFormat="1">
      <c r="A201" s="539" t="s">
        <v>713</v>
      </c>
      <c r="B201" s="539" t="s">
        <v>1207</v>
      </c>
      <c r="C201" s="548" t="s">
        <v>40</v>
      </c>
      <c r="D201" s="519"/>
      <c r="E201" s="726"/>
      <c r="F201" s="520"/>
      <c r="G201" s="520"/>
      <c r="H201" s="520"/>
      <c r="I201" s="521"/>
      <c r="J201" s="521"/>
      <c r="K201" s="521"/>
      <c r="L201" s="756"/>
      <c r="M201" s="514"/>
      <c r="N201" s="514"/>
      <c r="O201" s="514"/>
      <c r="P201" s="514"/>
      <c r="Q201" s="514"/>
      <c r="R201" s="514"/>
      <c r="S201" s="756"/>
      <c r="T201" s="514"/>
      <c r="U201" s="514"/>
      <c r="V201" s="514"/>
      <c r="W201" s="514"/>
      <c r="X201" s="514"/>
      <c r="Y201" s="514"/>
      <c r="Z201" s="756"/>
      <c r="AA201" s="514"/>
      <c r="AB201" s="514"/>
      <c r="AC201" s="514"/>
      <c r="AD201" s="514"/>
      <c r="AE201" s="774"/>
      <c r="AF201" s="514"/>
      <c r="AG201" s="897"/>
      <c r="AH201" s="789"/>
      <c r="AI201" s="664">
        <f t="shared" si="7"/>
        <v>0</v>
      </c>
      <c r="AJ201" s="521">
        <v>0</v>
      </c>
      <c r="AK201" s="520">
        <f t="shared" si="8"/>
        <v>0</v>
      </c>
      <c r="AL201" s="672" t="s">
        <v>1567</v>
      </c>
      <c r="AM201" s="669">
        <f t="shared" si="9"/>
        <v>17.489999999999998</v>
      </c>
    </row>
    <row r="202" spans="1:39" s="500" customFormat="1">
      <c r="A202" s="539" t="s">
        <v>714</v>
      </c>
      <c r="B202" s="539" t="s">
        <v>1175</v>
      </c>
      <c r="C202" s="548" t="s">
        <v>37</v>
      </c>
      <c r="D202" s="519"/>
      <c r="E202" s="726"/>
      <c r="F202" s="520"/>
      <c r="G202" s="520"/>
      <c r="H202" s="520"/>
      <c r="I202" s="521"/>
      <c r="J202" s="521"/>
      <c r="K202" s="521"/>
      <c r="L202" s="756"/>
      <c r="M202" s="514"/>
      <c r="N202" s="514"/>
      <c r="O202" s="514"/>
      <c r="P202" s="514"/>
      <c r="Q202" s="514"/>
      <c r="R202" s="514"/>
      <c r="S202" s="756"/>
      <c r="T202" s="514"/>
      <c r="U202" s="514"/>
      <c r="V202" s="514"/>
      <c r="W202" s="514"/>
      <c r="X202" s="514"/>
      <c r="Y202" s="514"/>
      <c r="Z202" s="756"/>
      <c r="AA202" s="514"/>
      <c r="AB202" s="514"/>
      <c r="AC202" s="514"/>
      <c r="AD202" s="514"/>
      <c r="AE202" s="774"/>
      <c r="AF202" s="514"/>
      <c r="AG202" s="897"/>
      <c r="AH202" s="789"/>
      <c r="AI202" s="664">
        <f t="shared" si="7"/>
        <v>0</v>
      </c>
      <c r="AJ202" s="521">
        <v>0</v>
      </c>
      <c r="AK202" s="520">
        <f t="shared" si="8"/>
        <v>0</v>
      </c>
      <c r="AL202" s="672" t="s">
        <v>1568</v>
      </c>
      <c r="AM202" s="669">
        <f t="shared" si="9"/>
        <v>179.25</v>
      </c>
    </row>
    <row r="203" spans="1:39" s="500" customFormat="1">
      <c r="A203" s="539" t="s">
        <v>715</v>
      </c>
      <c r="B203" s="539" t="s">
        <v>1176</v>
      </c>
      <c r="C203" s="548" t="s">
        <v>48</v>
      </c>
      <c r="D203" s="519"/>
      <c r="E203" s="726"/>
      <c r="F203" s="520"/>
      <c r="G203" s="520"/>
      <c r="H203" s="520"/>
      <c r="I203" s="521"/>
      <c r="J203" s="521"/>
      <c r="K203" s="521"/>
      <c r="L203" s="756"/>
      <c r="M203" s="514"/>
      <c r="N203" s="514"/>
      <c r="O203" s="514"/>
      <c r="P203" s="514"/>
      <c r="Q203" s="514"/>
      <c r="R203" s="514"/>
      <c r="S203" s="756"/>
      <c r="T203" s="514"/>
      <c r="U203" s="514"/>
      <c r="V203" s="514"/>
      <c r="W203" s="514"/>
      <c r="X203" s="514"/>
      <c r="Y203" s="514"/>
      <c r="Z203" s="756"/>
      <c r="AA203" s="514"/>
      <c r="AB203" s="514"/>
      <c r="AC203" s="514"/>
      <c r="AD203" s="514"/>
      <c r="AE203" s="774"/>
      <c r="AF203" s="514"/>
      <c r="AG203" s="897"/>
      <c r="AH203" s="789"/>
      <c r="AI203" s="664">
        <f t="shared" ref="AI203:AI234" si="10">ROUND((SUM(D203:AG203)),2)</f>
        <v>0</v>
      </c>
      <c r="AJ203" s="521">
        <v>0</v>
      </c>
      <c r="AK203" s="520">
        <f t="shared" si="8"/>
        <v>0</v>
      </c>
      <c r="AL203" s="672"/>
      <c r="AM203" s="669">
        <f t="shared" si="9"/>
        <v>0</v>
      </c>
    </row>
    <row r="204" spans="1:39" s="500" customFormat="1">
      <c r="A204" s="539" t="s">
        <v>716</v>
      </c>
      <c r="B204" s="539" t="s">
        <v>1177</v>
      </c>
      <c r="C204" s="616"/>
      <c r="D204" s="519"/>
      <c r="E204" s="726"/>
      <c r="F204" s="520"/>
      <c r="G204" s="520"/>
      <c r="H204" s="520"/>
      <c r="I204" s="521"/>
      <c r="J204" s="521"/>
      <c r="K204" s="521"/>
      <c r="L204" s="756"/>
      <c r="M204" s="514"/>
      <c r="N204" s="514"/>
      <c r="O204" s="514"/>
      <c r="P204" s="514"/>
      <c r="Q204" s="514"/>
      <c r="R204" s="514"/>
      <c r="S204" s="756"/>
      <c r="T204" s="514"/>
      <c r="U204" s="514"/>
      <c r="V204" s="514"/>
      <c r="W204" s="514"/>
      <c r="X204" s="514"/>
      <c r="Y204" s="514"/>
      <c r="Z204" s="756"/>
      <c r="AA204" s="514"/>
      <c r="AB204" s="514"/>
      <c r="AC204" s="514"/>
      <c r="AD204" s="514"/>
      <c r="AE204" s="774"/>
      <c r="AF204" s="514"/>
      <c r="AG204" s="897"/>
      <c r="AH204" s="789"/>
      <c r="AI204" s="664">
        <f t="shared" si="10"/>
        <v>0</v>
      </c>
      <c r="AJ204" s="521">
        <v>0</v>
      </c>
      <c r="AK204" s="520">
        <f t="shared" si="8"/>
        <v>0</v>
      </c>
      <c r="AL204" s="672" t="s">
        <v>1532</v>
      </c>
      <c r="AM204" s="669">
        <f t="shared" si="9"/>
        <v>2.1800000000000002</v>
      </c>
    </row>
    <row r="205" spans="1:39" s="500" customFormat="1">
      <c r="A205" s="539" t="s">
        <v>717</v>
      </c>
      <c r="B205" s="539" t="s">
        <v>1208</v>
      </c>
      <c r="C205" s="548" t="s">
        <v>40</v>
      </c>
      <c r="D205" s="519"/>
      <c r="E205" s="726"/>
      <c r="F205" s="520"/>
      <c r="G205" s="520"/>
      <c r="H205" s="520"/>
      <c r="I205" s="521"/>
      <c r="J205" s="521"/>
      <c r="K205" s="521"/>
      <c r="L205" s="756"/>
      <c r="M205" s="514"/>
      <c r="N205" s="514"/>
      <c r="O205" s="514"/>
      <c r="P205" s="514"/>
      <c r="Q205" s="514"/>
      <c r="R205" s="514"/>
      <c r="S205" s="756"/>
      <c r="T205" s="514"/>
      <c r="U205" s="514"/>
      <c r="V205" s="514"/>
      <c r="W205" s="514"/>
      <c r="X205" s="514"/>
      <c r="Y205" s="514"/>
      <c r="Z205" s="756"/>
      <c r="AA205" s="514"/>
      <c r="AB205" s="514"/>
      <c r="AC205" s="514"/>
      <c r="AD205" s="514"/>
      <c r="AE205" s="774"/>
      <c r="AF205" s="514"/>
      <c r="AG205" s="897"/>
      <c r="AH205" s="789"/>
      <c r="AI205" s="664">
        <f t="shared" si="10"/>
        <v>0</v>
      </c>
      <c r="AJ205" s="521">
        <v>0</v>
      </c>
      <c r="AK205" s="520">
        <f t="shared" si="8"/>
        <v>0</v>
      </c>
      <c r="AL205" s="672" t="s">
        <v>1569</v>
      </c>
      <c r="AM205" s="669">
        <f t="shared" si="9"/>
        <v>34.799999999999997</v>
      </c>
    </row>
    <row r="206" spans="1:39" s="500" customFormat="1">
      <c r="A206" s="539" t="s">
        <v>718</v>
      </c>
      <c r="B206" s="539" t="s">
        <v>1179</v>
      </c>
      <c r="C206" s="548" t="s">
        <v>37</v>
      </c>
      <c r="D206" s="519"/>
      <c r="E206" s="726"/>
      <c r="F206" s="520"/>
      <c r="G206" s="520"/>
      <c r="H206" s="520"/>
      <c r="I206" s="521"/>
      <c r="J206" s="521"/>
      <c r="K206" s="521"/>
      <c r="L206" s="756"/>
      <c r="M206" s="514"/>
      <c r="N206" s="514"/>
      <c r="O206" s="514"/>
      <c r="P206" s="514"/>
      <c r="Q206" s="514"/>
      <c r="R206" s="514"/>
      <c r="S206" s="756"/>
      <c r="T206" s="514"/>
      <c r="U206" s="514"/>
      <c r="V206" s="514"/>
      <c r="W206" s="514"/>
      <c r="X206" s="514"/>
      <c r="Y206" s="514"/>
      <c r="Z206" s="756"/>
      <c r="AA206" s="514"/>
      <c r="AB206" s="514"/>
      <c r="AC206" s="514"/>
      <c r="AD206" s="514"/>
      <c r="AE206" s="774"/>
      <c r="AF206" s="514"/>
      <c r="AG206" s="897"/>
      <c r="AH206" s="789"/>
      <c r="AI206" s="664">
        <f t="shared" si="10"/>
        <v>0</v>
      </c>
      <c r="AJ206" s="521">
        <v>0</v>
      </c>
      <c r="AK206" s="520">
        <f t="shared" ref="AK206:AK269" si="11">AI206+AJ206</f>
        <v>0</v>
      </c>
      <c r="AL206" s="672" t="s">
        <v>1570</v>
      </c>
      <c r="AM206" s="669">
        <f t="shared" ref="AM206:AM269" si="12">AL206-AK206</f>
        <v>314.66000000000003</v>
      </c>
    </row>
    <row r="207" spans="1:39" s="500" customFormat="1">
      <c r="A207" s="539" t="s">
        <v>719</v>
      </c>
      <c r="B207" s="539" t="s">
        <v>1180</v>
      </c>
      <c r="C207" s="548" t="s">
        <v>48</v>
      </c>
      <c r="D207" s="519"/>
      <c r="E207" s="726"/>
      <c r="F207" s="520"/>
      <c r="G207" s="520"/>
      <c r="H207" s="520"/>
      <c r="I207" s="521"/>
      <c r="J207" s="521"/>
      <c r="K207" s="521"/>
      <c r="L207" s="756"/>
      <c r="M207" s="514"/>
      <c r="N207" s="514"/>
      <c r="O207" s="514"/>
      <c r="P207" s="514"/>
      <c r="Q207" s="514"/>
      <c r="R207" s="514"/>
      <c r="S207" s="756"/>
      <c r="T207" s="514"/>
      <c r="U207" s="514"/>
      <c r="V207" s="514"/>
      <c r="W207" s="514"/>
      <c r="X207" s="514"/>
      <c r="Y207" s="514"/>
      <c r="Z207" s="756"/>
      <c r="AA207" s="514"/>
      <c r="AB207" s="514"/>
      <c r="AC207" s="514"/>
      <c r="AD207" s="514"/>
      <c r="AE207" s="774"/>
      <c r="AF207" s="514"/>
      <c r="AG207" s="897"/>
      <c r="AH207" s="789"/>
      <c r="AI207" s="664">
        <f t="shared" si="10"/>
        <v>0</v>
      </c>
      <c r="AJ207" s="521">
        <v>0</v>
      </c>
      <c r="AK207" s="520">
        <f t="shared" si="11"/>
        <v>0</v>
      </c>
      <c r="AL207" s="672"/>
      <c r="AM207" s="669">
        <f t="shared" si="12"/>
        <v>0</v>
      </c>
    </row>
    <row r="208" spans="1:39" s="500" customFormat="1">
      <c r="A208" s="539" t="s">
        <v>720</v>
      </c>
      <c r="B208" s="539" t="s">
        <v>1181</v>
      </c>
      <c r="C208" s="616"/>
      <c r="D208" s="519"/>
      <c r="E208" s="726"/>
      <c r="F208" s="520"/>
      <c r="G208" s="520"/>
      <c r="H208" s="520"/>
      <c r="I208" s="521"/>
      <c r="J208" s="521"/>
      <c r="K208" s="521"/>
      <c r="L208" s="756"/>
      <c r="M208" s="514"/>
      <c r="N208" s="514"/>
      <c r="O208" s="514"/>
      <c r="P208" s="514"/>
      <c r="Q208" s="514"/>
      <c r="R208" s="514"/>
      <c r="S208" s="756"/>
      <c r="T208" s="514"/>
      <c r="U208" s="514"/>
      <c r="V208" s="514"/>
      <c r="W208" s="514"/>
      <c r="X208" s="514"/>
      <c r="Y208" s="514"/>
      <c r="Z208" s="756"/>
      <c r="AA208" s="514"/>
      <c r="AB208" s="514"/>
      <c r="AC208" s="514"/>
      <c r="AD208" s="514"/>
      <c r="AE208" s="774"/>
      <c r="AF208" s="514"/>
      <c r="AG208" s="897"/>
      <c r="AH208" s="789"/>
      <c r="AI208" s="664">
        <f t="shared" si="10"/>
        <v>0</v>
      </c>
      <c r="AJ208" s="521">
        <v>0</v>
      </c>
      <c r="AK208" s="520">
        <f t="shared" si="11"/>
        <v>0</v>
      </c>
      <c r="AL208" s="672" t="s">
        <v>1478</v>
      </c>
      <c r="AM208" s="669">
        <f t="shared" si="12"/>
        <v>1.49</v>
      </c>
    </row>
    <row r="209" spans="1:39" s="500" customFormat="1">
      <c r="A209" s="539" t="s">
        <v>721</v>
      </c>
      <c r="B209" s="539" t="s">
        <v>1182</v>
      </c>
      <c r="C209" s="548" t="s">
        <v>40</v>
      </c>
      <c r="D209" s="519"/>
      <c r="E209" s="726"/>
      <c r="F209" s="520"/>
      <c r="G209" s="520"/>
      <c r="H209" s="520"/>
      <c r="I209" s="521"/>
      <c r="J209" s="521"/>
      <c r="K209" s="521"/>
      <c r="L209" s="756"/>
      <c r="M209" s="514"/>
      <c r="N209" s="514"/>
      <c r="O209" s="514"/>
      <c r="P209" s="514"/>
      <c r="Q209" s="514"/>
      <c r="R209" s="514"/>
      <c r="S209" s="756"/>
      <c r="T209" s="514"/>
      <c r="U209" s="514"/>
      <c r="V209" s="514"/>
      <c r="W209" s="514"/>
      <c r="X209" s="514"/>
      <c r="Y209" s="514"/>
      <c r="Z209" s="756"/>
      <c r="AA209" s="514"/>
      <c r="AB209" s="514"/>
      <c r="AC209" s="514"/>
      <c r="AD209" s="514"/>
      <c r="AE209" s="774"/>
      <c r="AF209" s="514"/>
      <c r="AG209" s="897"/>
      <c r="AH209" s="789"/>
      <c r="AI209" s="664">
        <f t="shared" si="10"/>
        <v>0</v>
      </c>
      <c r="AJ209" s="521">
        <v>0</v>
      </c>
      <c r="AK209" s="520">
        <f t="shared" si="11"/>
        <v>0</v>
      </c>
      <c r="AL209" s="672" t="s">
        <v>1479</v>
      </c>
      <c r="AM209" s="669">
        <f t="shared" si="12"/>
        <v>19.71</v>
      </c>
    </row>
    <row r="210" spans="1:39" s="500" customFormat="1">
      <c r="A210" s="539" t="s">
        <v>722</v>
      </c>
      <c r="B210" s="539" t="s">
        <v>1183</v>
      </c>
      <c r="C210" s="548" t="s">
        <v>37</v>
      </c>
      <c r="D210" s="519"/>
      <c r="E210" s="726"/>
      <c r="F210" s="520"/>
      <c r="G210" s="520"/>
      <c r="H210" s="520"/>
      <c r="I210" s="521"/>
      <c r="J210" s="521"/>
      <c r="K210" s="521"/>
      <c r="L210" s="756"/>
      <c r="M210" s="514"/>
      <c r="N210" s="514"/>
      <c r="O210" s="514"/>
      <c r="P210" s="514"/>
      <c r="Q210" s="514"/>
      <c r="R210" s="514"/>
      <c r="S210" s="756"/>
      <c r="T210" s="514"/>
      <c r="U210" s="514"/>
      <c r="V210" s="514"/>
      <c r="W210" s="514"/>
      <c r="X210" s="514"/>
      <c r="Y210" s="514"/>
      <c r="Z210" s="756"/>
      <c r="AA210" s="514"/>
      <c r="AB210" s="514"/>
      <c r="AC210" s="514"/>
      <c r="AD210" s="514"/>
      <c r="AE210" s="774"/>
      <c r="AF210" s="514"/>
      <c r="AG210" s="897"/>
      <c r="AH210" s="789"/>
      <c r="AI210" s="664">
        <f t="shared" si="10"/>
        <v>0</v>
      </c>
      <c r="AJ210" s="521">
        <v>0</v>
      </c>
      <c r="AK210" s="520">
        <f t="shared" si="11"/>
        <v>0</v>
      </c>
      <c r="AL210" s="672" t="s">
        <v>1480</v>
      </c>
      <c r="AM210" s="669">
        <f t="shared" si="12"/>
        <v>659.98</v>
      </c>
    </row>
    <row r="211" spans="1:39" s="500" customFormat="1">
      <c r="A211" s="539" t="s">
        <v>723</v>
      </c>
      <c r="B211" s="539" t="s">
        <v>1184</v>
      </c>
      <c r="C211" s="548" t="s">
        <v>48</v>
      </c>
      <c r="D211" s="519"/>
      <c r="E211" s="726"/>
      <c r="F211" s="520"/>
      <c r="G211" s="520"/>
      <c r="H211" s="520"/>
      <c r="I211" s="521"/>
      <c r="J211" s="521"/>
      <c r="K211" s="521"/>
      <c r="L211" s="756"/>
      <c r="M211" s="514"/>
      <c r="N211" s="514"/>
      <c r="O211" s="514"/>
      <c r="P211" s="514"/>
      <c r="Q211" s="514"/>
      <c r="R211" s="514"/>
      <c r="S211" s="756"/>
      <c r="T211" s="514"/>
      <c r="U211" s="514"/>
      <c r="V211" s="514"/>
      <c r="W211" s="514"/>
      <c r="X211" s="514"/>
      <c r="Y211" s="514"/>
      <c r="Z211" s="756"/>
      <c r="AA211" s="514"/>
      <c r="AB211" s="514"/>
      <c r="AC211" s="514"/>
      <c r="AD211" s="514"/>
      <c r="AE211" s="774"/>
      <c r="AF211" s="514"/>
      <c r="AG211" s="897"/>
      <c r="AH211" s="789"/>
      <c r="AI211" s="664">
        <f t="shared" si="10"/>
        <v>0</v>
      </c>
      <c r="AJ211" s="521">
        <v>0</v>
      </c>
      <c r="AK211" s="520">
        <f t="shared" si="11"/>
        <v>0</v>
      </c>
      <c r="AL211" s="672"/>
      <c r="AM211" s="669">
        <f t="shared" si="12"/>
        <v>0</v>
      </c>
    </row>
    <row r="212" spans="1:39" s="500" customFormat="1">
      <c r="A212" s="539" t="s">
        <v>724</v>
      </c>
      <c r="B212" s="539" t="s">
        <v>1185</v>
      </c>
      <c r="C212" s="616"/>
      <c r="D212" s="519"/>
      <c r="E212" s="726"/>
      <c r="F212" s="520"/>
      <c r="G212" s="520"/>
      <c r="H212" s="520"/>
      <c r="I212" s="521"/>
      <c r="J212" s="521"/>
      <c r="K212" s="521"/>
      <c r="L212" s="756"/>
      <c r="M212" s="514"/>
      <c r="N212" s="514"/>
      <c r="O212" s="514"/>
      <c r="P212" s="514"/>
      <c r="Q212" s="514"/>
      <c r="R212" s="514"/>
      <c r="S212" s="756"/>
      <c r="T212" s="514"/>
      <c r="U212" s="514"/>
      <c r="V212" s="514"/>
      <c r="W212" s="514"/>
      <c r="X212" s="514"/>
      <c r="Y212" s="514"/>
      <c r="Z212" s="756"/>
      <c r="AA212" s="514"/>
      <c r="AB212" s="514"/>
      <c r="AC212" s="514"/>
      <c r="AD212" s="514"/>
      <c r="AE212" s="774"/>
      <c r="AF212" s="514"/>
      <c r="AG212" s="897"/>
      <c r="AH212" s="789"/>
      <c r="AI212" s="664">
        <f t="shared" si="10"/>
        <v>0</v>
      </c>
      <c r="AJ212" s="521">
        <v>0</v>
      </c>
      <c r="AK212" s="520">
        <f t="shared" si="11"/>
        <v>0</v>
      </c>
      <c r="AL212" s="672" t="s">
        <v>1571</v>
      </c>
      <c r="AM212" s="669">
        <f t="shared" si="12"/>
        <v>5.6</v>
      </c>
    </row>
    <row r="213" spans="1:39" s="500" customFormat="1">
      <c r="A213" s="539" t="s">
        <v>725</v>
      </c>
      <c r="B213" s="539" t="s">
        <v>1186</v>
      </c>
      <c r="C213" s="548" t="s">
        <v>40</v>
      </c>
      <c r="D213" s="519"/>
      <c r="E213" s="726"/>
      <c r="F213" s="520"/>
      <c r="G213" s="520"/>
      <c r="H213" s="520"/>
      <c r="I213" s="521"/>
      <c r="J213" s="521"/>
      <c r="K213" s="521"/>
      <c r="L213" s="756"/>
      <c r="M213" s="514"/>
      <c r="N213" s="514"/>
      <c r="O213" s="514"/>
      <c r="P213" s="514"/>
      <c r="Q213" s="514"/>
      <c r="R213" s="514"/>
      <c r="S213" s="756"/>
      <c r="T213" s="514"/>
      <c r="U213" s="514"/>
      <c r="V213" s="514"/>
      <c r="W213" s="514"/>
      <c r="X213" s="514"/>
      <c r="Y213" s="514"/>
      <c r="Z213" s="756"/>
      <c r="AA213" s="514"/>
      <c r="AB213" s="514"/>
      <c r="AC213" s="514"/>
      <c r="AD213" s="514"/>
      <c r="AE213" s="774"/>
      <c r="AF213" s="514"/>
      <c r="AG213" s="897"/>
      <c r="AH213" s="789"/>
      <c r="AI213" s="664">
        <f t="shared" si="10"/>
        <v>0</v>
      </c>
      <c r="AJ213" s="521">
        <v>0</v>
      </c>
      <c r="AK213" s="520">
        <f t="shared" si="11"/>
        <v>0</v>
      </c>
      <c r="AL213" s="672" t="s">
        <v>1572</v>
      </c>
      <c r="AM213" s="669">
        <f t="shared" si="12"/>
        <v>48.75</v>
      </c>
    </row>
    <row r="214" spans="1:39" s="500" customFormat="1">
      <c r="A214" s="539" t="s">
        <v>726</v>
      </c>
      <c r="B214" s="539" t="s">
        <v>1187</v>
      </c>
      <c r="C214" s="548" t="s">
        <v>37</v>
      </c>
      <c r="D214" s="519"/>
      <c r="E214" s="726"/>
      <c r="F214" s="520"/>
      <c r="G214" s="520"/>
      <c r="H214" s="520"/>
      <c r="I214" s="521"/>
      <c r="J214" s="521"/>
      <c r="K214" s="521"/>
      <c r="L214" s="756"/>
      <c r="M214" s="514"/>
      <c r="N214" s="514"/>
      <c r="O214" s="514"/>
      <c r="P214" s="514"/>
      <c r="Q214" s="514"/>
      <c r="R214" s="514"/>
      <c r="S214" s="756"/>
      <c r="T214" s="514"/>
      <c r="U214" s="514"/>
      <c r="V214" s="514"/>
      <c r="W214" s="514"/>
      <c r="X214" s="514"/>
      <c r="Y214" s="514"/>
      <c r="Z214" s="756"/>
      <c r="AA214" s="514"/>
      <c r="AB214" s="514"/>
      <c r="AC214" s="514"/>
      <c r="AD214" s="514"/>
      <c r="AE214" s="774"/>
      <c r="AF214" s="514"/>
      <c r="AG214" s="897"/>
      <c r="AH214" s="789"/>
      <c r="AI214" s="664">
        <f t="shared" si="10"/>
        <v>0</v>
      </c>
      <c r="AJ214" s="521">
        <v>0</v>
      </c>
      <c r="AK214" s="520">
        <f t="shared" si="11"/>
        <v>0</v>
      </c>
      <c r="AL214" s="672" t="s">
        <v>1573</v>
      </c>
      <c r="AM214" s="669">
        <f t="shared" si="12"/>
        <v>642.09</v>
      </c>
    </row>
    <row r="215" spans="1:39" s="500" customFormat="1">
      <c r="A215" s="539" t="s">
        <v>727</v>
      </c>
      <c r="B215" s="539" t="s">
        <v>1188</v>
      </c>
      <c r="C215" s="548" t="s">
        <v>48</v>
      </c>
      <c r="D215" s="519"/>
      <c r="E215" s="726"/>
      <c r="F215" s="520"/>
      <c r="G215" s="520"/>
      <c r="H215" s="520"/>
      <c r="I215" s="521"/>
      <c r="J215" s="521"/>
      <c r="K215" s="521"/>
      <c r="L215" s="756"/>
      <c r="M215" s="514"/>
      <c r="N215" s="514"/>
      <c r="O215" s="514"/>
      <c r="P215" s="514"/>
      <c r="Q215" s="514"/>
      <c r="R215" s="514"/>
      <c r="S215" s="756"/>
      <c r="T215" s="514"/>
      <c r="U215" s="514"/>
      <c r="V215" s="514"/>
      <c r="W215" s="514"/>
      <c r="X215" s="514"/>
      <c r="Y215" s="514"/>
      <c r="Z215" s="756"/>
      <c r="AA215" s="514"/>
      <c r="AB215" s="514"/>
      <c r="AC215" s="514"/>
      <c r="AD215" s="514"/>
      <c r="AE215" s="774"/>
      <c r="AF215" s="514"/>
      <c r="AG215" s="897"/>
      <c r="AH215" s="789"/>
      <c r="AI215" s="664">
        <f t="shared" si="10"/>
        <v>0</v>
      </c>
      <c r="AJ215" s="521">
        <v>0</v>
      </c>
      <c r="AK215" s="520">
        <f t="shared" si="11"/>
        <v>0</v>
      </c>
      <c r="AL215" s="672"/>
      <c r="AM215" s="669">
        <f t="shared" si="12"/>
        <v>0</v>
      </c>
    </row>
    <row r="216" spans="1:39" s="500" customFormat="1">
      <c r="A216" s="539" t="s">
        <v>728</v>
      </c>
      <c r="B216" s="539" t="s">
        <v>1189</v>
      </c>
      <c r="C216" s="616"/>
      <c r="D216" s="519"/>
      <c r="E216" s="726"/>
      <c r="F216" s="520"/>
      <c r="G216" s="520"/>
      <c r="H216" s="520"/>
      <c r="I216" s="521"/>
      <c r="J216" s="521"/>
      <c r="K216" s="521"/>
      <c r="L216" s="756"/>
      <c r="M216" s="514"/>
      <c r="N216" s="514"/>
      <c r="O216" s="514"/>
      <c r="P216" s="514"/>
      <c r="Q216" s="514"/>
      <c r="R216" s="514"/>
      <c r="S216" s="756"/>
      <c r="T216" s="514"/>
      <c r="U216" s="514"/>
      <c r="V216" s="514"/>
      <c r="W216" s="514"/>
      <c r="X216" s="514"/>
      <c r="Y216" s="514"/>
      <c r="Z216" s="756"/>
      <c r="AA216" s="514"/>
      <c r="AB216" s="514"/>
      <c r="AC216" s="514"/>
      <c r="AD216" s="514"/>
      <c r="AE216" s="774"/>
      <c r="AF216" s="514"/>
      <c r="AG216" s="897"/>
      <c r="AH216" s="789"/>
      <c r="AI216" s="664">
        <f t="shared" si="10"/>
        <v>0</v>
      </c>
      <c r="AJ216" s="521">
        <v>0</v>
      </c>
      <c r="AK216" s="520">
        <f t="shared" si="11"/>
        <v>0</v>
      </c>
      <c r="AL216" s="672" t="s">
        <v>1574</v>
      </c>
      <c r="AM216" s="669">
        <f t="shared" si="12"/>
        <v>3.36</v>
      </c>
    </row>
    <row r="217" spans="1:39" s="500" customFormat="1">
      <c r="A217" s="539" t="s">
        <v>729</v>
      </c>
      <c r="B217" s="539" t="s">
        <v>1190</v>
      </c>
      <c r="C217" s="548" t="s">
        <v>40</v>
      </c>
      <c r="D217" s="519"/>
      <c r="E217" s="726"/>
      <c r="F217" s="520"/>
      <c r="G217" s="520"/>
      <c r="H217" s="520"/>
      <c r="I217" s="521"/>
      <c r="J217" s="521"/>
      <c r="K217" s="521"/>
      <c r="L217" s="756"/>
      <c r="M217" s="514"/>
      <c r="N217" s="514"/>
      <c r="O217" s="514"/>
      <c r="P217" s="514"/>
      <c r="Q217" s="514"/>
      <c r="R217" s="514"/>
      <c r="S217" s="756"/>
      <c r="T217" s="514"/>
      <c r="U217" s="514"/>
      <c r="V217" s="514"/>
      <c r="W217" s="514"/>
      <c r="X217" s="514"/>
      <c r="Y217" s="514"/>
      <c r="Z217" s="756"/>
      <c r="AA217" s="514"/>
      <c r="AB217" s="514"/>
      <c r="AC217" s="514"/>
      <c r="AD217" s="514"/>
      <c r="AE217" s="774"/>
      <c r="AF217" s="514"/>
      <c r="AG217" s="897"/>
      <c r="AH217" s="789"/>
      <c r="AI217" s="664">
        <f t="shared" si="10"/>
        <v>0</v>
      </c>
      <c r="AJ217" s="521">
        <v>0</v>
      </c>
      <c r="AK217" s="520">
        <f t="shared" si="11"/>
        <v>0</v>
      </c>
      <c r="AL217" s="672" t="s">
        <v>1575</v>
      </c>
      <c r="AM217" s="669">
        <f t="shared" si="12"/>
        <v>38.35</v>
      </c>
    </row>
    <row r="218" spans="1:39" s="500" customFormat="1">
      <c r="A218" s="539" t="s">
        <v>730</v>
      </c>
      <c r="B218" s="539" t="s">
        <v>1191</v>
      </c>
      <c r="C218" s="548" t="s">
        <v>37</v>
      </c>
      <c r="D218" s="519"/>
      <c r="E218" s="726"/>
      <c r="F218" s="520"/>
      <c r="G218" s="520"/>
      <c r="H218" s="520"/>
      <c r="I218" s="521"/>
      <c r="J218" s="521"/>
      <c r="K218" s="521"/>
      <c r="L218" s="756"/>
      <c r="M218" s="514"/>
      <c r="N218" s="514"/>
      <c r="O218" s="514"/>
      <c r="P218" s="514"/>
      <c r="Q218" s="514"/>
      <c r="R218" s="514"/>
      <c r="S218" s="756"/>
      <c r="T218" s="514"/>
      <c r="U218" s="514"/>
      <c r="V218" s="514"/>
      <c r="W218" s="514"/>
      <c r="X218" s="514"/>
      <c r="Y218" s="514"/>
      <c r="Z218" s="756"/>
      <c r="AA218" s="514"/>
      <c r="AB218" s="514"/>
      <c r="AC218" s="514"/>
      <c r="AD218" s="514"/>
      <c r="AE218" s="774"/>
      <c r="AF218" s="514"/>
      <c r="AG218" s="897"/>
      <c r="AH218" s="789"/>
      <c r="AI218" s="664">
        <f t="shared" si="10"/>
        <v>0</v>
      </c>
      <c r="AJ218" s="521">
        <v>0</v>
      </c>
      <c r="AK218" s="520">
        <f t="shared" si="11"/>
        <v>0</v>
      </c>
      <c r="AL218" s="672" t="s">
        <v>1576</v>
      </c>
      <c r="AM218" s="669">
        <f t="shared" si="12"/>
        <v>276.95999999999998</v>
      </c>
    </row>
    <row r="219" spans="1:39" s="500" customFormat="1">
      <c r="A219" s="539" t="s">
        <v>731</v>
      </c>
      <c r="B219" s="539" t="s">
        <v>1192</v>
      </c>
      <c r="C219" s="548" t="s">
        <v>48</v>
      </c>
      <c r="D219" s="519"/>
      <c r="E219" s="726"/>
      <c r="F219" s="520"/>
      <c r="G219" s="520"/>
      <c r="H219" s="520"/>
      <c r="I219" s="521"/>
      <c r="J219" s="521"/>
      <c r="K219" s="521"/>
      <c r="L219" s="756"/>
      <c r="M219" s="514"/>
      <c r="N219" s="514"/>
      <c r="O219" s="514"/>
      <c r="P219" s="514"/>
      <c r="Q219" s="514"/>
      <c r="R219" s="514"/>
      <c r="S219" s="756"/>
      <c r="T219" s="514"/>
      <c r="U219" s="514"/>
      <c r="V219" s="514"/>
      <c r="W219" s="514"/>
      <c r="X219" s="514"/>
      <c r="Y219" s="514"/>
      <c r="Z219" s="756"/>
      <c r="AA219" s="514"/>
      <c r="AB219" s="514"/>
      <c r="AC219" s="514"/>
      <c r="AD219" s="514"/>
      <c r="AE219" s="774"/>
      <c r="AF219" s="514"/>
      <c r="AG219" s="897"/>
      <c r="AH219" s="789"/>
      <c r="AI219" s="664">
        <f t="shared" si="10"/>
        <v>0</v>
      </c>
      <c r="AJ219" s="521">
        <v>0</v>
      </c>
      <c r="AK219" s="520">
        <f t="shared" si="11"/>
        <v>0</v>
      </c>
      <c r="AL219" s="672" t="s">
        <v>1577</v>
      </c>
      <c r="AM219" s="669">
        <f t="shared" si="12"/>
        <v>319.48</v>
      </c>
    </row>
    <row r="220" spans="1:39" s="500" customFormat="1">
      <c r="A220" s="539" t="s">
        <v>732</v>
      </c>
      <c r="B220" s="539" t="s">
        <v>1193</v>
      </c>
      <c r="C220" s="548" t="s">
        <v>1450</v>
      </c>
      <c r="D220" s="519"/>
      <c r="E220" s="726"/>
      <c r="F220" s="520"/>
      <c r="G220" s="520"/>
      <c r="H220" s="520"/>
      <c r="I220" s="521"/>
      <c r="J220" s="521"/>
      <c r="K220" s="521"/>
      <c r="L220" s="756"/>
      <c r="M220" s="514"/>
      <c r="N220" s="514"/>
      <c r="O220" s="514"/>
      <c r="P220" s="514"/>
      <c r="Q220" s="514"/>
      <c r="R220" s="514"/>
      <c r="S220" s="756"/>
      <c r="T220" s="514"/>
      <c r="U220" s="514"/>
      <c r="V220" s="514"/>
      <c r="W220" s="514"/>
      <c r="X220" s="514"/>
      <c r="Y220" s="514"/>
      <c r="Z220" s="756"/>
      <c r="AA220" s="514"/>
      <c r="AB220" s="514"/>
      <c r="AC220" s="514"/>
      <c r="AD220" s="514"/>
      <c r="AE220" s="774"/>
      <c r="AF220" s="514"/>
      <c r="AG220" s="897"/>
      <c r="AH220" s="789"/>
      <c r="AI220" s="664">
        <f t="shared" si="10"/>
        <v>0</v>
      </c>
      <c r="AJ220" s="521">
        <v>0</v>
      </c>
      <c r="AK220" s="520">
        <f t="shared" si="11"/>
        <v>0</v>
      </c>
      <c r="AL220" s="672"/>
      <c r="AM220" s="669">
        <f t="shared" si="12"/>
        <v>0</v>
      </c>
    </row>
    <row r="221" spans="1:39" s="500" customFormat="1">
      <c r="A221" s="539" t="s">
        <v>733</v>
      </c>
      <c r="B221" s="539" t="s">
        <v>1194</v>
      </c>
      <c r="C221" s="616"/>
      <c r="D221" s="519"/>
      <c r="E221" s="726"/>
      <c r="F221" s="520"/>
      <c r="G221" s="520"/>
      <c r="H221" s="520"/>
      <c r="I221" s="521"/>
      <c r="J221" s="521"/>
      <c r="K221" s="521"/>
      <c r="L221" s="756"/>
      <c r="M221" s="514"/>
      <c r="N221" s="514"/>
      <c r="O221" s="514"/>
      <c r="P221" s="514"/>
      <c r="Q221" s="514"/>
      <c r="R221" s="514"/>
      <c r="S221" s="756"/>
      <c r="T221" s="514"/>
      <c r="U221" s="514"/>
      <c r="V221" s="514"/>
      <c r="W221" s="514"/>
      <c r="X221" s="514"/>
      <c r="Y221" s="514"/>
      <c r="Z221" s="756"/>
      <c r="AA221" s="514"/>
      <c r="AB221" s="514"/>
      <c r="AC221" s="514"/>
      <c r="AD221" s="514"/>
      <c r="AE221" s="774"/>
      <c r="AF221" s="514"/>
      <c r="AG221" s="897"/>
      <c r="AH221" s="789"/>
      <c r="AI221" s="664">
        <f t="shared" si="10"/>
        <v>0</v>
      </c>
      <c r="AJ221" s="521">
        <v>0</v>
      </c>
      <c r="AK221" s="520">
        <f t="shared" si="11"/>
        <v>0</v>
      </c>
      <c r="AL221" s="672" t="s">
        <v>1578</v>
      </c>
      <c r="AM221" s="669">
        <f t="shared" si="12"/>
        <v>1.03</v>
      </c>
    </row>
    <row r="222" spans="1:39" s="500" customFormat="1">
      <c r="A222" s="539" t="s">
        <v>734</v>
      </c>
      <c r="B222" s="539" t="s">
        <v>1195</v>
      </c>
      <c r="C222" s="548" t="s">
        <v>40</v>
      </c>
      <c r="D222" s="519"/>
      <c r="E222" s="726"/>
      <c r="F222" s="520"/>
      <c r="G222" s="520"/>
      <c r="H222" s="520"/>
      <c r="I222" s="521"/>
      <c r="J222" s="521"/>
      <c r="K222" s="521"/>
      <c r="L222" s="756"/>
      <c r="M222" s="514"/>
      <c r="N222" s="514"/>
      <c r="O222" s="514"/>
      <c r="P222" s="514"/>
      <c r="Q222" s="514"/>
      <c r="R222" s="514"/>
      <c r="S222" s="756"/>
      <c r="T222" s="514"/>
      <c r="U222" s="514"/>
      <c r="V222" s="514"/>
      <c r="W222" s="514"/>
      <c r="X222" s="514"/>
      <c r="Y222" s="514"/>
      <c r="Z222" s="756"/>
      <c r="AA222" s="514"/>
      <c r="AB222" s="514"/>
      <c r="AC222" s="514"/>
      <c r="AD222" s="514"/>
      <c r="AE222" s="774"/>
      <c r="AF222" s="514"/>
      <c r="AG222" s="897"/>
      <c r="AH222" s="789"/>
      <c r="AI222" s="664">
        <f t="shared" si="10"/>
        <v>0</v>
      </c>
      <c r="AJ222" s="521">
        <v>0</v>
      </c>
      <c r="AK222" s="520">
        <f t="shared" si="11"/>
        <v>0</v>
      </c>
      <c r="AL222" s="672" t="s">
        <v>1579</v>
      </c>
      <c r="AM222" s="669">
        <f t="shared" si="12"/>
        <v>13.74</v>
      </c>
    </row>
    <row r="223" spans="1:39" s="500" customFormat="1">
      <c r="A223" s="539" t="s">
        <v>735</v>
      </c>
      <c r="B223" s="539" t="s">
        <v>1196</v>
      </c>
      <c r="C223" s="548" t="s">
        <v>37</v>
      </c>
      <c r="D223" s="519"/>
      <c r="E223" s="726"/>
      <c r="F223" s="520"/>
      <c r="G223" s="520"/>
      <c r="H223" s="520"/>
      <c r="I223" s="521"/>
      <c r="J223" s="521"/>
      <c r="K223" s="521"/>
      <c r="L223" s="756"/>
      <c r="M223" s="514"/>
      <c r="N223" s="514"/>
      <c r="O223" s="514"/>
      <c r="P223" s="514"/>
      <c r="Q223" s="514"/>
      <c r="R223" s="514"/>
      <c r="S223" s="756"/>
      <c r="T223" s="514"/>
      <c r="U223" s="514"/>
      <c r="V223" s="514"/>
      <c r="W223" s="514"/>
      <c r="X223" s="514"/>
      <c r="Y223" s="514"/>
      <c r="Z223" s="756"/>
      <c r="AA223" s="514"/>
      <c r="AB223" s="514"/>
      <c r="AC223" s="514"/>
      <c r="AD223" s="514"/>
      <c r="AE223" s="774"/>
      <c r="AF223" s="514"/>
      <c r="AG223" s="897"/>
      <c r="AH223" s="789"/>
      <c r="AI223" s="664">
        <f t="shared" si="10"/>
        <v>0</v>
      </c>
      <c r="AJ223" s="521">
        <v>0</v>
      </c>
      <c r="AK223" s="520">
        <f t="shared" si="11"/>
        <v>0</v>
      </c>
      <c r="AL223" s="672" t="s">
        <v>1580</v>
      </c>
      <c r="AM223" s="669">
        <f t="shared" si="12"/>
        <v>65.349999999999994</v>
      </c>
    </row>
    <row r="224" spans="1:39" s="500" customFormat="1">
      <c r="A224" s="539" t="s">
        <v>736</v>
      </c>
      <c r="B224" s="539" t="s">
        <v>1197</v>
      </c>
      <c r="C224" s="548" t="s">
        <v>48</v>
      </c>
      <c r="D224" s="519"/>
      <c r="E224" s="726"/>
      <c r="F224" s="520"/>
      <c r="G224" s="520"/>
      <c r="H224" s="520"/>
      <c r="I224" s="521"/>
      <c r="J224" s="521"/>
      <c r="K224" s="521"/>
      <c r="L224" s="756"/>
      <c r="M224" s="514"/>
      <c r="N224" s="514"/>
      <c r="O224" s="514"/>
      <c r="P224" s="514"/>
      <c r="Q224" s="514"/>
      <c r="R224" s="514"/>
      <c r="S224" s="756"/>
      <c r="T224" s="514"/>
      <c r="U224" s="514"/>
      <c r="V224" s="514"/>
      <c r="W224" s="514"/>
      <c r="X224" s="514"/>
      <c r="Y224" s="514"/>
      <c r="Z224" s="756"/>
      <c r="AA224" s="514"/>
      <c r="AB224" s="514"/>
      <c r="AC224" s="514"/>
      <c r="AD224" s="514"/>
      <c r="AE224" s="774"/>
      <c r="AF224" s="514"/>
      <c r="AG224" s="897"/>
      <c r="AH224" s="789"/>
      <c r="AI224" s="664">
        <f t="shared" si="10"/>
        <v>0</v>
      </c>
      <c r="AJ224" s="521">
        <v>0</v>
      </c>
      <c r="AK224" s="520">
        <f t="shared" si="11"/>
        <v>0</v>
      </c>
      <c r="AL224" s="672"/>
      <c r="AM224" s="669">
        <f t="shared" si="12"/>
        <v>0</v>
      </c>
    </row>
    <row r="225" spans="1:39" s="500" customFormat="1">
      <c r="A225" s="542" t="s">
        <v>737</v>
      </c>
      <c r="B225" s="542" t="s">
        <v>1198</v>
      </c>
      <c r="C225" s="616"/>
      <c r="D225" s="519"/>
      <c r="E225" s="726"/>
      <c r="F225" s="520"/>
      <c r="G225" s="520"/>
      <c r="H225" s="520"/>
      <c r="I225" s="521"/>
      <c r="J225" s="521"/>
      <c r="K225" s="521"/>
      <c r="L225" s="756"/>
      <c r="M225" s="514"/>
      <c r="N225" s="514"/>
      <c r="O225" s="514"/>
      <c r="P225" s="514"/>
      <c r="Q225" s="514"/>
      <c r="R225" s="514"/>
      <c r="S225" s="756"/>
      <c r="T225" s="514"/>
      <c r="U225" s="514"/>
      <c r="V225" s="514"/>
      <c r="W225" s="514"/>
      <c r="X225" s="514"/>
      <c r="Y225" s="514"/>
      <c r="Z225" s="756"/>
      <c r="AA225" s="514"/>
      <c r="AB225" s="514"/>
      <c r="AC225" s="514"/>
      <c r="AD225" s="514"/>
      <c r="AE225" s="774"/>
      <c r="AF225" s="514"/>
      <c r="AG225" s="897"/>
      <c r="AH225" s="789"/>
      <c r="AI225" s="664">
        <f t="shared" si="10"/>
        <v>0</v>
      </c>
      <c r="AJ225" s="521">
        <v>0</v>
      </c>
      <c r="AK225" s="520">
        <f t="shared" si="11"/>
        <v>0</v>
      </c>
      <c r="AL225" s="672" t="s">
        <v>1581</v>
      </c>
      <c r="AM225" s="669">
        <f t="shared" si="12"/>
        <v>110.7</v>
      </c>
    </row>
    <row r="226" spans="1:39" s="500" customFormat="1">
      <c r="A226" s="539" t="s">
        <v>738</v>
      </c>
      <c r="B226" s="539" t="s">
        <v>1199</v>
      </c>
      <c r="C226" s="548" t="s">
        <v>38</v>
      </c>
      <c r="D226" s="519"/>
      <c r="E226" s="726"/>
      <c r="F226" s="520"/>
      <c r="G226" s="520"/>
      <c r="H226" s="520"/>
      <c r="I226" s="521"/>
      <c r="J226" s="521"/>
      <c r="K226" s="521"/>
      <c r="L226" s="756"/>
      <c r="M226" s="514"/>
      <c r="N226" s="514"/>
      <c r="O226" s="514"/>
      <c r="P226" s="514"/>
      <c r="Q226" s="514"/>
      <c r="R226" s="514"/>
      <c r="S226" s="756"/>
      <c r="T226" s="514"/>
      <c r="U226" s="514"/>
      <c r="V226" s="514"/>
      <c r="W226" s="514"/>
      <c r="X226" s="514"/>
      <c r="Y226" s="514"/>
      <c r="Z226" s="756"/>
      <c r="AA226" s="514"/>
      <c r="AB226" s="514"/>
      <c r="AC226" s="514"/>
      <c r="AD226" s="514"/>
      <c r="AE226" s="774"/>
      <c r="AF226" s="514"/>
      <c r="AG226" s="897"/>
      <c r="AH226" s="789"/>
      <c r="AI226" s="664">
        <f t="shared" si="10"/>
        <v>0</v>
      </c>
      <c r="AJ226" s="521">
        <v>0</v>
      </c>
      <c r="AK226" s="520">
        <f t="shared" si="11"/>
        <v>0</v>
      </c>
      <c r="AL226" s="672"/>
      <c r="AM226" s="669">
        <f t="shared" si="12"/>
        <v>0</v>
      </c>
    </row>
    <row r="227" spans="1:39" s="500" customFormat="1">
      <c r="A227" s="542" t="s">
        <v>739</v>
      </c>
      <c r="B227" s="542" t="s">
        <v>1200</v>
      </c>
      <c r="C227" s="548"/>
      <c r="D227" s="519"/>
      <c r="E227" s="726"/>
      <c r="F227" s="520"/>
      <c r="G227" s="520"/>
      <c r="H227" s="520"/>
      <c r="I227" s="521"/>
      <c r="J227" s="521"/>
      <c r="K227" s="521"/>
      <c r="L227" s="756"/>
      <c r="M227" s="514"/>
      <c r="N227" s="514"/>
      <c r="O227" s="514"/>
      <c r="P227" s="514"/>
      <c r="Q227" s="514"/>
      <c r="R227" s="514"/>
      <c r="S227" s="756"/>
      <c r="T227" s="514"/>
      <c r="U227" s="514"/>
      <c r="V227" s="514"/>
      <c r="W227" s="514"/>
      <c r="X227" s="514"/>
      <c r="Y227" s="514"/>
      <c r="Z227" s="756"/>
      <c r="AA227" s="514"/>
      <c r="AB227" s="514"/>
      <c r="AC227" s="514"/>
      <c r="AD227" s="514"/>
      <c r="AE227" s="774"/>
      <c r="AF227" s="514"/>
      <c r="AG227" s="897"/>
      <c r="AH227" s="789"/>
      <c r="AI227" s="664">
        <f t="shared" si="10"/>
        <v>0</v>
      </c>
      <c r="AJ227" s="521">
        <v>0</v>
      </c>
      <c r="AK227" s="520">
        <f t="shared" si="11"/>
        <v>0</v>
      </c>
      <c r="AL227" s="672" t="s">
        <v>1582</v>
      </c>
      <c r="AM227" s="669">
        <f t="shared" si="12"/>
        <v>46</v>
      </c>
    </row>
    <row r="228" spans="1:39" s="500" customFormat="1">
      <c r="A228" s="539" t="s">
        <v>740</v>
      </c>
      <c r="B228" s="539" t="s">
        <v>1201</v>
      </c>
      <c r="C228" s="548" t="s">
        <v>38</v>
      </c>
      <c r="D228" s="519"/>
      <c r="E228" s="726"/>
      <c r="F228" s="520"/>
      <c r="G228" s="520"/>
      <c r="H228" s="520"/>
      <c r="I228" s="521"/>
      <c r="J228" s="521"/>
      <c r="K228" s="521"/>
      <c r="L228" s="756"/>
      <c r="M228" s="514"/>
      <c r="N228" s="514"/>
      <c r="O228" s="514"/>
      <c r="P228" s="514"/>
      <c r="Q228" s="514"/>
      <c r="R228" s="514"/>
      <c r="S228" s="756"/>
      <c r="T228" s="514"/>
      <c r="U228" s="514"/>
      <c r="V228" s="514"/>
      <c r="W228" s="514"/>
      <c r="X228" s="514"/>
      <c r="Y228" s="514"/>
      <c r="Z228" s="756"/>
      <c r="AA228" s="514"/>
      <c r="AB228" s="514"/>
      <c r="AC228" s="514"/>
      <c r="AD228" s="514"/>
      <c r="AE228" s="774"/>
      <c r="AF228" s="514"/>
      <c r="AG228" s="897"/>
      <c r="AH228" s="789"/>
      <c r="AI228" s="664">
        <f t="shared" si="10"/>
        <v>0</v>
      </c>
      <c r="AJ228" s="521">
        <v>0</v>
      </c>
      <c r="AK228" s="520">
        <f t="shared" si="11"/>
        <v>0</v>
      </c>
      <c r="AL228" s="672" t="s">
        <v>1493</v>
      </c>
      <c r="AM228" s="669">
        <f t="shared" si="12"/>
        <v>15</v>
      </c>
    </row>
    <row r="229" spans="1:39" s="500" customFormat="1">
      <c r="A229" s="539" t="s">
        <v>741</v>
      </c>
      <c r="B229" s="539" t="s">
        <v>225</v>
      </c>
      <c r="C229" s="548" t="s">
        <v>1450</v>
      </c>
      <c r="D229" s="519"/>
      <c r="E229" s="726"/>
      <c r="F229" s="520"/>
      <c r="G229" s="520"/>
      <c r="H229" s="520"/>
      <c r="I229" s="521"/>
      <c r="J229" s="521"/>
      <c r="K229" s="521"/>
      <c r="L229" s="756"/>
      <c r="M229" s="514"/>
      <c r="N229" s="514"/>
      <c r="O229" s="514"/>
      <c r="P229" s="514"/>
      <c r="Q229" s="514"/>
      <c r="R229" s="514"/>
      <c r="S229" s="756"/>
      <c r="T229" s="514"/>
      <c r="U229" s="514"/>
      <c r="V229" s="514"/>
      <c r="W229" s="514"/>
      <c r="X229" s="514"/>
      <c r="Y229" s="514"/>
      <c r="Z229" s="756"/>
      <c r="AA229" s="514"/>
      <c r="AB229" s="514"/>
      <c r="AC229" s="514"/>
      <c r="AD229" s="514"/>
      <c r="AE229" s="774"/>
      <c r="AF229" s="514"/>
      <c r="AG229" s="897"/>
      <c r="AH229" s="789"/>
      <c r="AI229" s="664">
        <f t="shared" si="10"/>
        <v>0</v>
      </c>
      <c r="AJ229" s="521">
        <v>0</v>
      </c>
      <c r="AK229" s="520">
        <f t="shared" si="11"/>
        <v>0</v>
      </c>
      <c r="AL229" s="672"/>
      <c r="AM229" s="669">
        <f t="shared" si="12"/>
        <v>0</v>
      </c>
    </row>
    <row r="230" spans="1:39" s="730" customFormat="1">
      <c r="A230" s="814" t="s">
        <v>742</v>
      </c>
      <c r="B230" s="815" t="s">
        <v>1211</v>
      </c>
      <c r="C230" s="844"/>
      <c r="D230" s="743"/>
      <c r="E230" s="726"/>
      <c r="F230" s="726"/>
      <c r="G230" s="726"/>
      <c r="H230" s="726"/>
      <c r="I230" s="725"/>
      <c r="J230" s="725"/>
      <c r="K230" s="725"/>
      <c r="L230" s="756"/>
      <c r="M230" s="756"/>
      <c r="N230" s="756"/>
      <c r="O230" s="756"/>
      <c r="P230" s="756"/>
      <c r="Q230" s="756"/>
      <c r="R230" s="756"/>
      <c r="S230" s="756"/>
      <c r="T230" s="756"/>
      <c r="U230" s="756"/>
      <c r="V230" s="756"/>
      <c r="W230" s="756"/>
      <c r="X230" s="756"/>
      <c r="Y230" s="756"/>
      <c r="Z230" s="756"/>
      <c r="AA230" s="756"/>
      <c r="AB230" s="756"/>
      <c r="AC230" s="756"/>
      <c r="AD230" s="756"/>
      <c r="AE230" s="774"/>
      <c r="AF230" s="756"/>
      <c r="AG230" s="897"/>
      <c r="AH230" s="819"/>
      <c r="AI230" s="786">
        <f t="shared" si="10"/>
        <v>0</v>
      </c>
      <c r="AJ230" s="725">
        <v>0</v>
      </c>
      <c r="AK230" s="726">
        <f t="shared" si="11"/>
        <v>0</v>
      </c>
      <c r="AL230" s="728"/>
      <c r="AM230" s="729">
        <f t="shared" si="12"/>
        <v>0</v>
      </c>
    </row>
    <row r="231" spans="1:39" s="730" customFormat="1">
      <c r="A231" s="831" t="s">
        <v>743</v>
      </c>
      <c r="B231" s="831" t="s">
        <v>46</v>
      </c>
      <c r="C231" s="844"/>
      <c r="D231" s="743"/>
      <c r="E231" s="726"/>
      <c r="F231" s="726"/>
      <c r="G231" s="726"/>
      <c r="H231" s="726"/>
      <c r="I231" s="725"/>
      <c r="J231" s="725"/>
      <c r="K231" s="725"/>
      <c r="L231" s="756"/>
      <c r="M231" s="756"/>
      <c r="N231" s="756"/>
      <c r="O231" s="756"/>
      <c r="P231" s="756"/>
      <c r="Q231" s="756"/>
      <c r="R231" s="756"/>
      <c r="S231" s="756"/>
      <c r="T231" s="756"/>
      <c r="U231" s="756"/>
      <c r="V231" s="756"/>
      <c r="W231" s="756"/>
      <c r="X231" s="756"/>
      <c r="Y231" s="756"/>
      <c r="Z231" s="756"/>
      <c r="AA231" s="756"/>
      <c r="AB231" s="756"/>
      <c r="AC231" s="756"/>
      <c r="AD231" s="756"/>
      <c r="AE231" s="774"/>
      <c r="AF231" s="756"/>
      <c r="AG231" s="897"/>
      <c r="AH231" s="819"/>
      <c r="AI231" s="786">
        <f t="shared" si="10"/>
        <v>0</v>
      </c>
      <c r="AJ231" s="725">
        <v>0</v>
      </c>
      <c r="AK231" s="726">
        <f t="shared" si="11"/>
        <v>0</v>
      </c>
      <c r="AL231" s="728" t="s">
        <v>1583</v>
      </c>
      <c r="AM231" s="729">
        <f t="shared" si="12"/>
        <v>467.39</v>
      </c>
    </row>
    <row r="232" spans="1:39" s="730" customFormat="1">
      <c r="A232" s="720" t="s">
        <v>744</v>
      </c>
      <c r="B232" s="720" t="s">
        <v>1212</v>
      </c>
      <c r="C232" s="823" t="s">
        <v>40</v>
      </c>
      <c r="D232" s="743"/>
      <c r="E232" s="726"/>
      <c r="F232" s="726"/>
      <c r="G232" s="726"/>
      <c r="H232" s="726"/>
      <c r="I232" s="725"/>
      <c r="J232" s="725"/>
      <c r="K232" s="725"/>
      <c r="L232" s="756"/>
      <c r="M232" s="756"/>
      <c r="N232" s="756"/>
      <c r="O232" s="756"/>
      <c r="P232" s="756"/>
      <c r="Q232" s="745"/>
      <c r="R232" s="756"/>
      <c r="S232" s="756"/>
      <c r="T232" s="756"/>
      <c r="U232" s="756"/>
      <c r="V232" s="756"/>
      <c r="W232" s="756"/>
      <c r="X232" s="756"/>
      <c r="Y232" s="756"/>
      <c r="Z232" s="756"/>
      <c r="AA232" s="756"/>
      <c r="AB232" s="756"/>
      <c r="AC232" s="756"/>
      <c r="AD232" s="756"/>
      <c r="AE232" s="774"/>
      <c r="AF232" s="756"/>
      <c r="AG232" s="897"/>
      <c r="AH232" s="819"/>
      <c r="AI232" s="786">
        <f t="shared" si="10"/>
        <v>0</v>
      </c>
      <c r="AJ232" s="725">
        <v>0</v>
      </c>
      <c r="AK232" s="726">
        <f t="shared" si="11"/>
        <v>0</v>
      </c>
      <c r="AL232" s="847" t="s">
        <v>1584</v>
      </c>
      <c r="AM232" s="729">
        <f t="shared" si="12"/>
        <v>560.87</v>
      </c>
    </row>
    <row r="233" spans="1:39" s="843" customFormat="1">
      <c r="A233" s="832" t="s">
        <v>745</v>
      </c>
      <c r="B233" s="832" t="s">
        <v>1161</v>
      </c>
      <c r="C233" s="846" t="s">
        <v>40</v>
      </c>
      <c r="D233" s="834"/>
      <c r="E233" s="835"/>
      <c r="F233" s="835"/>
      <c r="G233" s="835"/>
      <c r="H233" s="835"/>
      <c r="I233" s="836"/>
      <c r="J233" s="836"/>
      <c r="K233" s="836"/>
      <c r="L233" s="837"/>
      <c r="M233" s="837"/>
      <c r="N233" s="837"/>
      <c r="O233" s="837"/>
      <c r="P233" s="837"/>
      <c r="Q233" s="837"/>
      <c r="R233" s="837"/>
      <c r="S233" s="837"/>
      <c r="T233" s="837"/>
      <c r="U233" s="837"/>
      <c r="V233" s="837"/>
      <c r="W233" s="837"/>
      <c r="X233" s="837"/>
      <c r="Y233" s="837"/>
      <c r="Z233" s="837"/>
      <c r="AA233" s="837"/>
      <c r="AB233" s="837"/>
      <c r="AC233" s="837"/>
      <c r="AD233" s="837"/>
      <c r="AE233" s="774"/>
      <c r="AF233" s="837"/>
      <c r="AG233" s="897"/>
      <c r="AH233" s="839"/>
      <c r="AI233" s="840">
        <f t="shared" si="10"/>
        <v>0</v>
      </c>
      <c r="AJ233" s="836">
        <v>0</v>
      </c>
      <c r="AK233" s="835">
        <f t="shared" si="11"/>
        <v>0</v>
      </c>
      <c r="AL233" s="848"/>
      <c r="AM233" s="842">
        <f t="shared" si="12"/>
        <v>0</v>
      </c>
    </row>
    <row r="234" spans="1:39" s="730" customFormat="1">
      <c r="A234" s="831" t="s">
        <v>746</v>
      </c>
      <c r="B234" s="831" t="s">
        <v>1162</v>
      </c>
      <c r="C234" s="823"/>
      <c r="D234" s="743"/>
      <c r="E234" s="726"/>
      <c r="F234" s="726"/>
      <c r="G234" s="726"/>
      <c r="H234" s="726"/>
      <c r="I234" s="725"/>
      <c r="J234" s="725"/>
      <c r="K234" s="725"/>
      <c r="L234" s="756"/>
      <c r="M234" s="756"/>
      <c r="N234" s="756"/>
      <c r="O234" s="756"/>
      <c r="P234" s="756"/>
      <c r="Q234" s="756"/>
      <c r="R234" s="756"/>
      <c r="S234" s="756"/>
      <c r="T234" s="756"/>
      <c r="U234" s="756"/>
      <c r="V234" s="756"/>
      <c r="W234" s="756"/>
      <c r="X234" s="756"/>
      <c r="Y234" s="756"/>
      <c r="Z234" s="756"/>
      <c r="AA234" s="756"/>
      <c r="AB234" s="756"/>
      <c r="AC234" s="756"/>
      <c r="AD234" s="756"/>
      <c r="AE234" s="774"/>
      <c r="AF234" s="756"/>
      <c r="AG234" s="897"/>
      <c r="AH234" s="819"/>
      <c r="AI234" s="786">
        <f t="shared" si="10"/>
        <v>0</v>
      </c>
      <c r="AJ234" s="725">
        <v>0</v>
      </c>
      <c r="AK234" s="726">
        <f t="shared" si="11"/>
        <v>0</v>
      </c>
      <c r="AL234" s="847" t="s">
        <v>1585</v>
      </c>
      <c r="AM234" s="729">
        <f t="shared" si="12"/>
        <v>13.83</v>
      </c>
    </row>
    <row r="235" spans="1:39" s="730" customFormat="1">
      <c r="A235" s="720" t="s">
        <v>747</v>
      </c>
      <c r="B235" s="720" t="s">
        <v>1204</v>
      </c>
      <c r="C235" s="823" t="s">
        <v>40</v>
      </c>
      <c r="D235" s="743"/>
      <c r="E235" s="726"/>
      <c r="F235" s="726"/>
      <c r="G235" s="726"/>
      <c r="H235" s="726"/>
      <c r="I235" s="725"/>
      <c r="J235" s="725"/>
      <c r="K235" s="725"/>
      <c r="L235" s="756"/>
      <c r="M235" s="756"/>
      <c r="N235" s="756"/>
      <c r="O235" s="756"/>
      <c r="P235" s="756"/>
      <c r="Q235" s="756"/>
      <c r="R235" s="756"/>
      <c r="S235" s="756"/>
      <c r="T235" s="756"/>
      <c r="U235" s="756"/>
      <c r="V235" s="756"/>
      <c r="W235" s="884">
        <f>4.38*0.6*0.6</f>
        <v>1.5767999999999998</v>
      </c>
      <c r="X235" s="756"/>
      <c r="Y235" s="745"/>
      <c r="Z235" s="756"/>
      <c r="AA235" s="884">
        <f>0.8*0.6*5.95</f>
        <v>2.8559999999999999</v>
      </c>
      <c r="AB235" s="756"/>
      <c r="AC235" s="756"/>
      <c r="AD235" s="884">
        <f>6.13*0.6*0.6</f>
        <v>2.2067999999999999</v>
      </c>
      <c r="AE235" s="774"/>
      <c r="AF235" s="756"/>
      <c r="AG235" s="897"/>
      <c r="AH235" s="819"/>
      <c r="AI235" s="786">
        <f t="shared" ref="AI235:AI298" si="13">ROUND((SUM(D235:L235)),2)</f>
        <v>0</v>
      </c>
      <c r="AJ235" s="725">
        <v>0</v>
      </c>
      <c r="AK235" s="726">
        <f t="shared" si="11"/>
        <v>0</v>
      </c>
      <c r="AL235" s="847"/>
      <c r="AM235" s="729">
        <f t="shared" si="12"/>
        <v>0</v>
      </c>
    </row>
    <row r="236" spans="1:39" s="730" customFormat="1">
      <c r="A236" s="831" t="s">
        <v>748</v>
      </c>
      <c r="B236" s="831" t="s">
        <v>1169</v>
      </c>
      <c r="C236" s="844"/>
      <c r="D236" s="743"/>
      <c r="E236" s="726"/>
      <c r="F236" s="726"/>
      <c r="G236" s="726"/>
      <c r="H236" s="726"/>
      <c r="I236" s="725"/>
      <c r="J236" s="725"/>
      <c r="K236" s="725"/>
      <c r="L236" s="756"/>
      <c r="M236" s="756"/>
      <c r="N236" s="756"/>
      <c r="O236" s="756"/>
      <c r="P236" s="756"/>
      <c r="Q236" s="756"/>
      <c r="R236" s="756"/>
      <c r="S236" s="756"/>
      <c r="T236" s="756"/>
      <c r="U236" s="756"/>
      <c r="V236" s="756"/>
      <c r="W236" s="756"/>
      <c r="X236" s="756"/>
      <c r="Y236" s="756"/>
      <c r="Z236" s="756"/>
      <c r="AA236" s="756"/>
      <c r="AB236" s="756"/>
      <c r="AC236" s="756"/>
      <c r="AD236" s="756"/>
      <c r="AE236" s="774"/>
      <c r="AF236" s="756"/>
      <c r="AG236" s="897"/>
      <c r="AH236" s="819"/>
      <c r="AI236" s="786">
        <f t="shared" si="13"/>
        <v>0</v>
      </c>
      <c r="AJ236" s="725">
        <v>0</v>
      </c>
      <c r="AK236" s="726">
        <f t="shared" si="11"/>
        <v>0</v>
      </c>
      <c r="AL236" s="847"/>
      <c r="AM236" s="729">
        <f t="shared" si="12"/>
        <v>0</v>
      </c>
    </row>
    <row r="237" spans="1:39" s="730" customFormat="1">
      <c r="A237" s="720" t="s">
        <v>749</v>
      </c>
      <c r="B237" s="720" t="s">
        <v>1177</v>
      </c>
      <c r="C237" s="844"/>
      <c r="D237" s="743"/>
      <c r="E237" s="726"/>
      <c r="F237" s="726"/>
      <c r="G237" s="726"/>
      <c r="H237" s="726"/>
      <c r="I237" s="725"/>
      <c r="J237" s="725"/>
      <c r="K237" s="725"/>
      <c r="L237" s="756"/>
      <c r="M237" s="756"/>
      <c r="N237" s="756"/>
      <c r="O237" s="756"/>
      <c r="P237" s="756"/>
      <c r="Q237" s="756"/>
      <c r="R237" s="756"/>
      <c r="S237" s="756"/>
      <c r="T237" s="756"/>
      <c r="U237" s="756"/>
      <c r="V237" s="756"/>
      <c r="W237" s="756"/>
      <c r="X237" s="756"/>
      <c r="Y237" s="756"/>
      <c r="Z237" s="756"/>
      <c r="AA237" s="756"/>
      <c r="AB237" s="756"/>
      <c r="AC237" s="756"/>
      <c r="AD237" s="756"/>
      <c r="AE237" s="774"/>
      <c r="AF237" s="756"/>
      <c r="AG237" s="897"/>
      <c r="AH237" s="819"/>
      <c r="AI237" s="786">
        <f t="shared" si="13"/>
        <v>0</v>
      </c>
      <c r="AJ237" s="725">
        <v>0</v>
      </c>
      <c r="AK237" s="726">
        <f t="shared" si="11"/>
        <v>0</v>
      </c>
      <c r="AL237" s="847" t="s">
        <v>1586</v>
      </c>
      <c r="AM237" s="729">
        <f t="shared" si="12"/>
        <v>4.8899999999999997</v>
      </c>
    </row>
    <row r="238" spans="1:39" s="730" customFormat="1">
      <c r="A238" s="720" t="s">
        <v>750</v>
      </c>
      <c r="B238" s="720" t="s">
        <v>1208</v>
      </c>
      <c r="C238" s="823" t="s">
        <v>40</v>
      </c>
      <c r="D238" s="743"/>
      <c r="E238" s="726"/>
      <c r="F238" s="726"/>
      <c r="G238" s="726"/>
      <c r="H238" s="726"/>
      <c r="I238" s="725"/>
      <c r="J238" s="725"/>
      <c r="K238" s="725"/>
      <c r="L238" s="756"/>
      <c r="M238" s="756"/>
      <c r="N238" s="756"/>
      <c r="O238" s="756"/>
      <c r="P238" s="756"/>
      <c r="Q238" s="756"/>
      <c r="R238" s="756"/>
      <c r="S238" s="756"/>
      <c r="T238" s="756"/>
      <c r="U238" s="756"/>
      <c r="V238" s="756"/>
      <c r="W238" s="756"/>
      <c r="X238" s="756"/>
      <c r="Y238" s="756"/>
      <c r="Z238" s="756"/>
      <c r="AA238" s="756"/>
      <c r="AB238" s="756"/>
      <c r="AC238" s="756"/>
      <c r="AD238" s="756"/>
      <c r="AE238" s="774"/>
      <c r="AF238" s="756"/>
      <c r="AG238" s="897"/>
      <c r="AH238" s="819"/>
      <c r="AI238" s="786">
        <f t="shared" si="13"/>
        <v>0</v>
      </c>
      <c r="AJ238" s="725">
        <v>0</v>
      </c>
      <c r="AK238" s="726">
        <f t="shared" si="11"/>
        <v>0</v>
      </c>
      <c r="AL238" s="847" t="s">
        <v>1587</v>
      </c>
      <c r="AM238" s="729">
        <f t="shared" si="12"/>
        <v>76.69</v>
      </c>
    </row>
    <row r="239" spans="1:39" s="730" customFormat="1">
      <c r="A239" s="720" t="s">
        <v>751</v>
      </c>
      <c r="B239" s="720" t="s">
        <v>1179</v>
      </c>
      <c r="C239" s="823" t="s">
        <v>37</v>
      </c>
      <c r="D239" s="743"/>
      <c r="E239" s="726"/>
      <c r="F239" s="726"/>
      <c r="G239" s="726"/>
      <c r="H239" s="726"/>
      <c r="I239" s="725"/>
      <c r="J239" s="725"/>
      <c r="K239" s="725"/>
      <c r="L239" s="756"/>
      <c r="M239" s="756"/>
      <c r="N239" s="756"/>
      <c r="O239" s="756"/>
      <c r="P239" s="756"/>
      <c r="Q239" s="756"/>
      <c r="R239" s="756"/>
      <c r="S239" s="756"/>
      <c r="T239" s="756"/>
      <c r="U239" s="756"/>
      <c r="V239" s="756"/>
      <c r="W239" s="756"/>
      <c r="X239" s="756"/>
      <c r="Y239" s="756"/>
      <c r="Z239" s="756"/>
      <c r="AA239" s="756"/>
      <c r="AB239" s="756"/>
      <c r="AC239" s="756"/>
      <c r="AD239" s="756"/>
      <c r="AE239" s="774"/>
      <c r="AF239" s="756"/>
      <c r="AG239" s="897"/>
      <c r="AH239" s="819"/>
      <c r="AI239" s="786">
        <f t="shared" si="13"/>
        <v>0</v>
      </c>
      <c r="AJ239" s="725">
        <v>0</v>
      </c>
      <c r="AK239" s="726">
        <f t="shared" si="11"/>
        <v>0</v>
      </c>
      <c r="AL239" s="847" t="s">
        <v>1588</v>
      </c>
      <c r="AM239" s="729">
        <f t="shared" si="12"/>
        <v>947.8</v>
      </c>
    </row>
    <row r="240" spans="1:39" s="730" customFormat="1">
      <c r="A240" s="720" t="s">
        <v>752</v>
      </c>
      <c r="B240" s="720" t="s">
        <v>1180</v>
      </c>
      <c r="C240" s="823" t="s">
        <v>48</v>
      </c>
      <c r="D240" s="743"/>
      <c r="E240" s="726"/>
      <c r="F240" s="726"/>
      <c r="G240" s="726"/>
      <c r="H240" s="726"/>
      <c r="I240" s="725"/>
      <c r="J240" s="725"/>
      <c r="K240" s="725"/>
      <c r="L240" s="756"/>
      <c r="M240" s="756"/>
      <c r="N240" s="756"/>
      <c r="O240" s="756"/>
      <c r="P240" s="756"/>
      <c r="Q240" s="756"/>
      <c r="R240" s="756"/>
      <c r="S240" s="756"/>
      <c r="T240" s="756"/>
      <c r="U240" s="756"/>
      <c r="V240" s="756"/>
      <c r="W240" s="756"/>
      <c r="X240" s="756"/>
      <c r="Y240" s="756"/>
      <c r="Z240" s="756"/>
      <c r="AA240" s="756"/>
      <c r="AB240" s="756"/>
      <c r="AC240" s="756"/>
      <c r="AD240" s="756"/>
      <c r="AE240" s="774"/>
      <c r="AF240" s="756"/>
      <c r="AG240" s="897"/>
      <c r="AH240" s="819"/>
      <c r="AI240" s="786">
        <f t="shared" si="13"/>
        <v>0</v>
      </c>
      <c r="AJ240" s="725">
        <v>0</v>
      </c>
      <c r="AK240" s="726">
        <f t="shared" si="11"/>
        <v>0</v>
      </c>
      <c r="AL240" s="847"/>
      <c r="AM240" s="729">
        <f t="shared" si="12"/>
        <v>0</v>
      </c>
    </row>
    <row r="241" spans="1:39" s="730" customFormat="1">
      <c r="A241" s="720" t="s">
        <v>753</v>
      </c>
      <c r="B241" s="720" t="s">
        <v>1185</v>
      </c>
      <c r="C241" s="844"/>
      <c r="D241" s="743"/>
      <c r="E241" s="726"/>
      <c r="F241" s="726"/>
      <c r="G241" s="726"/>
      <c r="H241" s="726"/>
      <c r="I241" s="725"/>
      <c r="J241" s="725"/>
      <c r="K241" s="725"/>
      <c r="L241" s="756"/>
      <c r="M241" s="756"/>
      <c r="N241" s="756"/>
      <c r="O241" s="756"/>
      <c r="P241" s="756"/>
      <c r="Q241" s="756"/>
      <c r="R241" s="756"/>
      <c r="S241" s="756"/>
      <c r="T241" s="756"/>
      <c r="U241" s="756"/>
      <c r="V241" s="756"/>
      <c r="W241" s="756"/>
      <c r="X241" s="756"/>
      <c r="Y241" s="756"/>
      <c r="Z241" s="756"/>
      <c r="AA241" s="756"/>
      <c r="AB241" s="756"/>
      <c r="AC241" s="756"/>
      <c r="AD241" s="756"/>
      <c r="AE241" s="774"/>
      <c r="AF241" s="756"/>
      <c r="AG241" s="897"/>
      <c r="AH241" s="819"/>
      <c r="AI241" s="786">
        <f t="shared" si="13"/>
        <v>0</v>
      </c>
      <c r="AJ241" s="725">
        <v>0</v>
      </c>
      <c r="AK241" s="726">
        <f t="shared" si="11"/>
        <v>0</v>
      </c>
      <c r="AL241" s="847" t="s">
        <v>1589</v>
      </c>
      <c r="AM241" s="729">
        <f t="shared" si="12"/>
        <v>4.2300000000000004</v>
      </c>
    </row>
    <row r="242" spans="1:39" s="730" customFormat="1">
      <c r="A242" s="720" t="s">
        <v>754</v>
      </c>
      <c r="B242" s="720" t="s">
        <v>1186</v>
      </c>
      <c r="C242" s="823" t="s">
        <v>40</v>
      </c>
      <c r="D242" s="743"/>
      <c r="E242" s="726"/>
      <c r="F242" s="726"/>
      <c r="G242" s="726"/>
      <c r="H242" s="726"/>
      <c r="I242" s="725"/>
      <c r="J242" s="725"/>
      <c r="K242" s="725"/>
      <c r="L242" s="756"/>
      <c r="M242" s="756"/>
      <c r="N242" s="756"/>
      <c r="O242" s="756"/>
      <c r="P242" s="756"/>
      <c r="Q242" s="756"/>
      <c r="R242" s="756"/>
      <c r="S242" s="756"/>
      <c r="T242" s="756"/>
      <c r="U242" s="756"/>
      <c r="V242" s="756"/>
      <c r="W242" s="756"/>
      <c r="X242" s="756"/>
      <c r="Y242" s="756"/>
      <c r="Z242" s="756"/>
      <c r="AA242" s="756"/>
      <c r="AB242" s="756"/>
      <c r="AC242" s="756"/>
      <c r="AD242" s="756"/>
      <c r="AE242" s="774"/>
      <c r="AF242" s="756"/>
      <c r="AG242" s="897"/>
      <c r="AH242" s="819"/>
      <c r="AI242" s="786">
        <f t="shared" si="13"/>
        <v>0</v>
      </c>
      <c r="AJ242" s="725">
        <v>0</v>
      </c>
      <c r="AK242" s="726">
        <f t="shared" si="11"/>
        <v>0</v>
      </c>
      <c r="AL242" s="847" t="s">
        <v>1590</v>
      </c>
      <c r="AM242" s="729">
        <f t="shared" si="12"/>
        <v>49.66</v>
      </c>
    </row>
    <row r="243" spans="1:39" s="730" customFormat="1">
      <c r="A243" s="720" t="s">
        <v>755</v>
      </c>
      <c r="B243" s="720" t="s">
        <v>1187</v>
      </c>
      <c r="C243" s="823" t="s">
        <v>37</v>
      </c>
      <c r="D243" s="743"/>
      <c r="E243" s="726"/>
      <c r="F243" s="726"/>
      <c r="G243" s="726"/>
      <c r="H243" s="726"/>
      <c r="I243" s="725"/>
      <c r="J243" s="725"/>
      <c r="K243" s="725"/>
      <c r="L243" s="756"/>
      <c r="M243" s="756"/>
      <c r="N243" s="756"/>
      <c r="O243" s="756"/>
      <c r="P243" s="756"/>
      <c r="Q243" s="756"/>
      <c r="R243" s="756"/>
      <c r="S243" s="756"/>
      <c r="T243" s="756"/>
      <c r="U243" s="756"/>
      <c r="V243" s="756"/>
      <c r="W243" s="756"/>
      <c r="X243" s="756"/>
      <c r="Y243" s="756"/>
      <c r="Z243" s="756"/>
      <c r="AA243" s="756"/>
      <c r="AB243" s="756"/>
      <c r="AC243" s="756"/>
      <c r="AD243" s="756"/>
      <c r="AE243" s="774"/>
      <c r="AF243" s="756"/>
      <c r="AG243" s="897"/>
      <c r="AH243" s="819"/>
      <c r="AI243" s="786">
        <f t="shared" si="13"/>
        <v>0</v>
      </c>
      <c r="AJ243" s="725">
        <v>0</v>
      </c>
      <c r="AK243" s="726">
        <f t="shared" si="11"/>
        <v>0</v>
      </c>
      <c r="AL243" s="847" t="s">
        <v>1591</v>
      </c>
      <c r="AM243" s="729">
        <f t="shared" si="12"/>
        <v>483.02</v>
      </c>
    </row>
    <row r="244" spans="1:39" s="730" customFormat="1">
      <c r="A244" s="720" t="s">
        <v>756</v>
      </c>
      <c r="B244" s="720" t="s">
        <v>1188</v>
      </c>
      <c r="C244" s="823" t="s">
        <v>48</v>
      </c>
      <c r="D244" s="743"/>
      <c r="E244" s="726"/>
      <c r="F244" s="726"/>
      <c r="G244" s="726"/>
      <c r="H244" s="726"/>
      <c r="I244" s="725"/>
      <c r="J244" s="725"/>
      <c r="K244" s="725"/>
      <c r="L244" s="756"/>
      <c r="M244" s="756"/>
      <c r="N244" s="756"/>
      <c r="O244" s="756"/>
      <c r="P244" s="756"/>
      <c r="Q244" s="756"/>
      <c r="R244" s="756"/>
      <c r="S244" s="756"/>
      <c r="T244" s="756"/>
      <c r="U244" s="756"/>
      <c r="V244" s="756"/>
      <c r="W244" s="756"/>
      <c r="X244" s="756"/>
      <c r="Y244" s="756"/>
      <c r="Z244" s="756"/>
      <c r="AA244" s="756"/>
      <c r="AB244" s="756"/>
      <c r="AC244" s="756"/>
      <c r="AD244" s="756"/>
      <c r="AE244" s="774"/>
      <c r="AF244" s="756"/>
      <c r="AG244" s="897"/>
      <c r="AH244" s="819"/>
      <c r="AI244" s="786">
        <f t="shared" si="13"/>
        <v>0</v>
      </c>
      <c r="AJ244" s="725">
        <v>0</v>
      </c>
      <c r="AK244" s="726">
        <f t="shared" si="11"/>
        <v>0</v>
      </c>
      <c r="AL244" s="847"/>
      <c r="AM244" s="729">
        <f t="shared" si="12"/>
        <v>0</v>
      </c>
    </row>
    <row r="245" spans="1:39" s="730" customFormat="1">
      <c r="A245" s="720" t="s">
        <v>757</v>
      </c>
      <c r="B245" s="720" t="s">
        <v>1213</v>
      </c>
      <c r="C245" s="844"/>
      <c r="D245" s="743"/>
      <c r="E245" s="726"/>
      <c r="F245" s="726"/>
      <c r="G245" s="726"/>
      <c r="H245" s="726"/>
      <c r="I245" s="725"/>
      <c r="J245" s="725"/>
      <c r="K245" s="725"/>
      <c r="L245" s="756"/>
      <c r="M245" s="756"/>
      <c r="N245" s="756"/>
      <c r="O245" s="756"/>
      <c r="P245" s="756"/>
      <c r="Q245" s="756"/>
      <c r="R245" s="756"/>
      <c r="S245" s="756"/>
      <c r="T245" s="756"/>
      <c r="U245" s="756"/>
      <c r="V245" s="756"/>
      <c r="W245" s="756"/>
      <c r="X245" s="756"/>
      <c r="Y245" s="756"/>
      <c r="Z245" s="756"/>
      <c r="AA245" s="756"/>
      <c r="AB245" s="756"/>
      <c r="AC245" s="756"/>
      <c r="AD245" s="756"/>
      <c r="AE245" s="774"/>
      <c r="AF245" s="756"/>
      <c r="AG245" s="897"/>
      <c r="AH245" s="819"/>
      <c r="AI245" s="786">
        <f t="shared" si="13"/>
        <v>0</v>
      </c>
      <c r="AJ245" s="725">
        <v>0</v>
      </c>
      <c r="AK245" s="726">
        <f t="shared" si="11"/>
        <v>0</v>
      </c>
      <c r="AL245" s="847" t="s">
        <v>1592</v>
      </c>
      <c r="AM245" s="729">
        <f t="shared" si="12"/>
        <v>4.24</v>
      </c>
    </row>
    <row r="246" spans="1:39" s="730" customFormat="1">
      <c r="A246" s="720" t="s">
        <v>758</v>
      </c>
      <c r="B246" s="720" t="s">
        <v>1205</v>
      </c>
      <c r="C246" s="823" t="s">
        <v>40</v>
      </c>
      <c r="D246" s="743"/>
      <c r="E246" s="726"/>
      <c r="F246" s="726"/>
      <c r="G246" s="726"/>
      <c r="H246" s="726"/>
      <c r="I246" s="725"/>
      <c r="J246" s="725"/>
      <c r="K246" s="725"/>
      <c r="L246" s="756"/>
      <c r="M246" s="756"/>
      <c r="N246" s="756"/>
      <c r="O246" s="756"/>
      <c r="P246" s="756"/>
      <c r="Q246" s="756"/>
      <c r="R246" s="756"/>
      <c r="S246" s="756"/>
      <c r="T246" s="756"/>
      <c r="U246" s="756"/>
      <c r="V246" s="756"/>
      <c r="W246" s="756"/>
      <c r="X246" s="756"/>
      <c r="Y246" s="756"/>
      <c r="Z246" s="756"/>
      <c r="AA246" s="756"/>
      <c r="AB246" s="884">
        <f>9.25*0.15*0.3+9.25*0.15*0.3+6.17*0.15*0.3+7.51*0.15*0.3</f>
        <v>1.4480999999999999</v>
      </c>
      <c r="AC246" s="756"/>
      <c r="AD246" s="756"/>
      <c r="AE246" s="774"/>
      <c r="AF246" s="756"/>
      <c r="AG246" s="897"/>
      <c r="AH246" s="819"/>
      <c r="AI246" s="786">
        <f t="shared" si="13"/>
        <v>0</v>
      </c>
      <c r="AJ246" s="725">
        <v>0</v>
      </c>
      <c r="AK246" s="726">
        <f t="shared" si="11"/>
        <v>0</v>
      </c>
      <c r="AL246" s="847" t="s">
        <v>1593</v>
      </c>
      <c r="AM246" s="729">
        <f t="shared" si="12"/>
        <v>56.57</v>
      </c>
    </row>
    <row r="247" spans="1:39" s="730" customFormat="1">
      <c r="A247" s="720" t="s">
        <v>759</v>
      </c>
      <c r="B247" s="720" t="s">
        <v>1214</v>
      </c>
      <c r="C247" s="823" t="s">
        <v>37</v>
      </c>
      <c r="D247" s="743"/>
      <c r="E247" s="726"/>
      <c r="F247" s="726"/>
      <c r="G247" s="726"/>
      <c r="H247" s="726"/>
      <c r="I247" s="725"/>
      <c r="J247" s="725"/>
      <c r="K247" s="725"/>
      <c r="L247" s="756"/>
      <c r="M247" s="756"/>
      <c r="N247" s="756"/>
      <c r="O247" s="756"/>
      <c r="P247" s="756"/>
      <c r="Q247" s="756"/>
      <c r="R247" s="756"/>
      <c r="S247" s="756"/>
      <c r="T247" s="756"/>
      <c r="U247" s="756"/>
      <c r="V247" s="756"/>
      <c r="W247" s="756"/>
      <c r="X247" s="756"/>
      <c r="Y247" s="756"/>
      <c r="Z247" s="756"/>
      <c r="AA247" s="756"/>
      <c r="AB247" s="884">
        <f>32.28*0.3*2</f>
        <v>19.367999999999999</v>
      </c>
      <c r="AC247" s="756"/>
      <c r="AD247" s="756"/>
      <c r="AE247" s="774"/>
      <c r="AF247" s="756"/>
      <c r="AG247" s="897"/>
      <c r="AH247" s="819"/>
      <c r="AI247" s="786">
        <f t="shared" si="13"/>
        <v>0</v>
      </c>
      <c r="AJ247" s="725">
        <v>0</v>
      </c>
      <c r="AK247" s="726">
        <f t="shared" si="11"/>
        <v>0</v>
      </c>
      <c r="AL247" s="847" t="s">
        <v>1594</v>
      </c>
      <c r="AM247" s="729">
        <f t="shared" si="12"/>
        <v>438.73</v>
      </c>
    </row>
    <row r="248" spans="1:39" s="730" customFormat="1">
      <c r="A248" s="720" t="s">
        <v>760</v>
      </c>
      <c r="B248" s="720" t="s">
        <v>1215</v>
      </c>
      <c r="C248" s="823" t="s">
        <v>48</v>
      </c>
      <c r="D248" s="743"/>
      <c r="E248" s="726"/>
      <c r="F248" s="726"/>
      <c r="G248" s="726"/>
      <c r="H248" s="726"/>
      <c r="I248" s="725"/>
      <c r="J248" s="725"/>
      <c r="K248" s="725"/>
      <c r="L248" s="756"/>
      <c r="M248" s="756"/>
      <c r="N248" s="756"/>
      <c r="O248" s="756"/>
      <c r="P248" s="756"/>
      <c r="Q248" s="756"/>
      <c r="R248" s="756"/>
      <c r="S248" s="756"/>
      <c r="T248" s="756"/>
      <c r="U248" s="756"/>
      <c r="V248" s="756"/>
      <c r="W248" s="756"/>
      <c r="X248" s="756"/>
      <c r="Y248" s="756"/>
      <c r="Z248" s="756"/>
      <c r="AA248" s="756"/>
      <c r="AB248" s="756"/>
      <c r="AC248" s="756"/>
      <c r="AD248" s="756"/>
      <c r="AE248" s="774"/>
      <c r="AF248" s="756"/>
      <c r="AG248" s="897"/>
      <c r="AH248" s="819"/>
      <c r="AI248" s="786">
        <f t="shared" si="13"/>
        <v>0</v>
      </c>
      <c r="AJ248" s="725">
        <v>0</v>
      </c>
      <c r="AK248" s="726">
        <f t="shared" si="11"/>
        <v>0</v>
      </c>
      <c r="AL248" s="847"/>
      <c r="AM248" s="729">
        <f t="shared" si="12"/>
        <v>0</v>
      </c>
    </row>
    <row r="249" spans="1:39" s="730" customFormat="1">
      <c r="A249" s="831" t="s">
        <v>761</v>
      </c>
      <c r="B249" s="831" t="s">
        <v>1200</v>
      </c>
      <c r="C249" s="844"/>
      <c r="D249" s="743"/>
      <c r="E249" s="726"/>
      <c r="F249" s="726"/>
      <c r="G249" s="726"/>
      <c r="H249" s="726"/>
      <c r="I249" s="725"/>
      <c r="J249" s="725"/>
      <c r="K249" s="725"/>
      <c r="L249" s="756"/>
      <c r="M249" s="756"/>
      <c r="N249" s="756"/>
      <c r="O249" s="756"/>
      <c r="P249" s="756"/>
      <c r="Q249" s="756"/>
      <c r="R249" s="756"/>
      <c r="S249" s="756"/>
      <c r="T249" s="756"/>
      <c r="U249" s="756"/>
      <c r="V249" s="756"/>
      <c r="W249" s="756"/>
      <c r="X249" s="756"/>
      <c r="Y249" s="756"/>
      <c r="Z249" s="756"/>
      <c r="AA249" s="756"/>
      <c r="AB249" s="756"/>
      <c r="AC249" s="756"/>
      <c r="AD249" s="756"/>
      <c r="AE249" s="774"/>
      <c r="AF249" s="756"/>
      <c r="AG249" s="897"/>
      <c r="AH249" s="819"/>
      <c r="AI249" s="786">
        <f t="shared" si="13"/>
        <v>0</v>
      </c>
      <c r="AJ249" s="725">
        <v>0</v>
      </c>
      <c r="AK249" s="726">
        <f t="shared" si="11"/>
        <v>0</v>
      </c>
      <c r="AL249" s="847" t="s">
        <v>1595</v>
      </c>
      <c r="AM249" s="729">
        <f t="shared" si="12"/>
        <v>36</v>
      </c>
    </row>
    <row r="250" spans="1:39" s="730" customFormat="1">
      <c r="A250" s="720" t="s">
        <v>762</v>
      </c>
      <c r="B250" s="720" t="s">
        <v>1216</v>
      </c>
      <c r="C250" s="823" t="s">
        <v>38</v>
      </c>
      <c r="D250" s="743"/>
      <c r="E250" s="726"/>
      <c r="F250" s="726"/>
      <c r="G250" s="726"/>
      <c r="H250" s="726"/>
      <c r="I250" s="725"/>
      <c r="J250" s="725"/>
      <c r="K250" s="725"/>
      <c r="L250" s="756"/>
      <c r="M250" s="756"/>
      <c r="N250" s="756"/>
      <c r="O250" s="756"/>
      <c r="P250" s="756"/>
      <c r="Q250" s="756"/>
      <c r="R250" s="756"/>
      <c r="S250" s="756"/>
      <c r="T250" s="756"/>
      <c r="U250" s="756"/>
      <c r="V250" s="756"/>
      <c r="W250" s="756"/>
      <c r="X250" s="756"/>
      <c r="Y250" s="756"/>
      <c r="Z250" s="756"/>
      <c r="AA250" s="756"/>
      <c r="AB250" s="756"/>
      <c r="AC250" s="756"/>
      <c r="AD250" s="756"/>
      <c r="AE250" s="774"/>
      <c r="AF250" s="756"/>
      <c r="AG250" s="897"/>
      <c r="AH250" s="819"/>
      <c r="AI250" s="786">
        <f t="shared" si="13"/>
        <v>0</v>
      </c>
      <c r="AJ250" s="725">
        <v>0</v>
      </c>
      <c r="AK250" s="726">
        <f t="shared" si="11"/>
        <v>0</v>
      </c>
      <c r="AL250" s="847"/>
      <c r="AM250" s="729">
        <f t="shared" si="12"/>
        <v>0</v>
      </c>
    </row>
    <row r="251" spans="1:39" s="730" customFormat="1">
      <c r="A251" s="814" t="s">
        <v>763</v>
      </c>
      <c r="B251" s="815" t="s">
        <v>1217</v>
      </c>
      <c r="C251" s="844"/>
      <c r="D251" s="743"/>
      <c r="E251" s="726"/>
      <c r="F251" s="726"/>
      <c r="G251" s="726"/>
      <c r="H251" s="726"/>
      <c r="I251" s="725"/>
      <c r="J251" s="725"/>
      <c r="K251" s="725"/>
      <c r="L251" s="756"/>
      <c r="M251" s="756"/>
      <c r="N251" s="756"/>
      <c r="O251" s="756"/>
      <c r="P251" s="756"/>
      <c r="Q251" s="756"/>
      <c r="R251" s="756"/>
      <c r="S251" s="756"/>
      <c r="T251" s="756"/>
      <c r="U251" s="756"/>
      <c r="V251" s="756"/>
      <c r="W251" s="756"/>
      <c r="X251" s="756"/>
      <c r="Y251" s="756"/>
      <c r="Z251" s="756"/>
      <c r="AA251" s="756"/>
      <c r="AB251" s="756"/>
      <c r="AC251" s="756"/>
      <c r="AD251" s="756"/>
      <c r="AE251" s="774"/>
      <c r="AF251" s="756"/>
      <c r="AG251" s="897"/>
      <c r="AH251" s="819"/>
      <c r="AI251" s="786">
        <f t="shared" si="13"/>
        <v>0</v>
      </c>
      <c r="AJ251" s="725">
        <v>0</v>
      </c>
      <c r="AK251" s="726">
        <f t="shared" si="11"/>
        <v>0</v>
      </c>
      <c r="AL251" s="847"/>
      <c r="AM251" s="729">
        <f t="shared" si="12"/>
        <v>0</v>
      </c>
    </row>
    <row r="252" spans="1:39" s="730" customFormat="1">
      <c r="A252" s="831" t="s">
        <v>764</v>
      </c>
      <c r="B252" s="831" t="s">
        <v>46</v>
      </c>
      <c r="C252" s="844"/>
      <c r="D252" s="743"/>
      <c r="E252" s="726"/>
      <c r="F252" s="726"/>
      <c r="G252" s="726"/>
      <c r="H252" s="726"/>
      <c r="I252" s="725"/>
      <c r="J252" s="725"/>
      <c r="K252" s="725"/>
      <c r="L252" s="756"/>
      <c r="M252" s="756"/>
      <c r="N252" s="756"/>
      <c r="O252" s="756"/>
      <c r="P252" s="756"/>
      <c r="Q252" s="756"/>
      <c r="R252" s="756"/>
      <c r="S252" s="756"/>
      <c r="T252" s="756"/>
      <c r="U252" s="756"/>
      <c r="V252" s="756"/>
      <c r="W252" s="756"/>
      <c r="X252" s="756"/>
      <c r="Y252" s="756"/>
      <c r="Z252" s="756"/>
      <c r="AA252" s="756"/>
      <c r="AB252" s="756"/>
      <c r="AC252" s="756"/>
      <c r="AD252" s="756"/>
      <c r="AE252" s="774"/>
      <c r="AF252" s="756"/>
      <c r="AG252" s="897"/>
      <c r="AH252" s="819"/>
      <c r="AI252" s="786">
        <f t="shared" si="13"/>
        <v>0</v>
      </c>
      <c r="AJ252" s="725">
        <v>0</v>
      </c>
      <c r="AK252" s="726">
        <f t="shared" si="11"/>
        <v>0</v>
      </c>
      <c r="AL252" s="847" t="s">
        <v>1596</v>
      </c>
      <c r="AM252" s="729">
        <f t="shared" si="12"/>
        <v>441.64</v>
      </c>
    </row>
    <row r="253" spans="1:39" s="730" customFormat="1">
      <c r="A253" s="720" t="s">
        <v>765</v>
      </c>
      <c r="B253" s="720" t="s">
        <v>1212</v>
      </c>
      <c r="C253" s="823" t="s">
        <v>40</v>
      </c>
      <c r="D253" s="743"/>
      <c r="E253" s="726"/>
      <c r="F253" s="726"/>
      <c r="G253" s="726"/>
      <c r="H253" s="726"/>
      <c r="I253" s="725"/>
      <c r="J253" s="725"/>
      <c r="K253" s="725"/>
      <c r="L253" s="756"/>
      <c r="M253" s="756"/>
      <c r="N253" s="756"/>
      <c r="O253" s="756"/>
      <c r="P253" s="756"/>
      <c r="Q253" s="756"/>
      <c r="R253" s="756"/>
      <c r="S253" s="756"/>
      <c r="T253" s="756"/>
      <c r="U253" s="756"/>
      <c r="V253" s="756"/>
      <c r="W253" s="756"/>
      <c r="X253" s="756"/>
      <c r="Y253" s="756"/>
      <c r="Z253" s="756"/>
      <c r="AA253" s="756"/>
      <c r="AB253" s="756"/>
      <c r="AC253" s="756"/>
      <c r="AD253" s="756"/>
      <c r="AE253" s="774"/>
      <c r="AF253" s="756"/>
      <c r="AG253" s="897"/>
      <c r="AH253" s="819"/>
      <c r="AI253" s="786">
        <f t="shared" si="13"/>
        <v>0</v>
      </c>
      <c r="AJ253" s="725">
        <v>0</v>
      </c>
      <c r="AK253" s="726">
        <f t="shared" si="11"/>
        <v>0</v>
      </c>
      <c r="AL253" s="847" t="s">
        <v>1597</v>
      </c>
      <c r="AM253" s="729">
        <f t="shared" si="12"/>
        <v>574.13</v>
      </c>
    </row>
    <row r="254" spans="1:39" s="730" customFormat="1">
      <c r="A254" s="720" t="s">
        <v>766</v>
      </c>
      <c r="B254" s="720" t="s">
        <v>1161</v>
      </c>
      <c r="C254" s="823" t="s">
        <v>40</v>
      </c>
      <c r="D254" s="743"/>
      <c r="E254" s="726"/>
      <c r="F254" s="726"/>
      <c r="G254" s="726"/>
      <c r="H254" s="726"/>
      <c r="I254" s="725"/>
      <c r="J254" s="725"/>
      <c r="K254" s="725"/>
      <c r="L254" s="756"/>
      <c r="M254" s="756"/>
      <c r="N254" s="756"/>
      <c r="O254" s="756"/>
      <c r="P254" s="756"/>
      <c r="Q254" s="756"/>
      <c r="R254" s="756"/>
      <c r="S254" s="756"/>
      <c r="T254" s="756"/>
      <c r="U254" s="756"/>
      <c r="V254" s="756"/>
      <c r="W254" s="756"/>
      <c r="X254" s="756"/>
      <c r="Y254" s="756"/>
      <c r="Z254" s="756"/>
      <c r="AA254" s="756"/>
      <c r="AB254" s="756"/>
      <c r="AC254" s="756"/>
      <c r="AD254" s="756"/>
      <c r="AE254" s="774"/>
      <c r="AF254" s="756"/>
      <c r="AG254" s="897"/>
      <c r="AH254" s="819"/>
      <c r="AI254" s="786">
        <f t="shared" si="13"/>
        <v>0</v>
      </c>
      <c r="AJ254" s="725">
        <v>0</v>
      </c>
      <c r="AK254" s="726">
        <f t="shared" si="11"/>
        <v>0</v>
      </c>
      <c r="AL254" s="847"/>
      <c r="AM254" s="729">
        <f t="shared" si="12"/>
        <v>0</v>
      </c>
    </row>
    <row r="255" spans="1:39" s="730" customFormat="1">
      <c r="A255" s="831" t="s">
        <v>767</v>
      </c>
      <c r="B255" s="831" t="s">
        <v>1218</v>
      </c>
      <c r="C255" s="844"/>
      <c r="D255" s="743"/>
      <c r="E255" s="726"/>
      <c r="F255" s="726"/>
      <c r="G255" s="726"/>
      <c r="H255" s="726"/>
      <c r="I255" s="725"/>
      <c r="J255" s="725"/>
      <c r="K255" s="725"/>
      <c r="L255" s="756"/>
      <c r="M255" s="756"/>
      <c r="N255" s="756"/>
      <c r="O255" s="756"/>
      <c r="P255" s="756"/>
      <c r="Q255" s="756"/>
      <c r="R255" s="756"/>
      <c r="S255" s="756"/>
      <c r="T255" s="756"/>
      <c r="U255" s="756"/>
      <c r="V255" s="756"/>
      <c r="W255" s="756"/>
      <c r="X255" s="756"/>
      <c r="Y255" s="756"/>
      <c r="Z255" s="756"/>
      <c r="AA255" s="756"/>
      <c r="AB255" s="756"/>
      <c r="AC255" s="756"/>
      <c r="AD255" s="756"/>
      <c r="AE255" s="774"/>
      <c r="AF255" s="756"/>
      <c r="AG255" s="897"/>
      <c r="AH255" s="819"/>
      <c r="AI255" s="786">
        <f t="shared" si="13"/>
        <v>0</v>
      </c>
      <c r="AJ255" s="725">
        <v>0</v>
      </c>
      <c r="AK255" s="726">
        <f t="shared" si="11"/>
        <v>0</v>
      </c>
      <c r="AL255" s="847" t="s">
        <v>1598</v>
      </c>
      <c r="AM255" s="729">
        <f t="shared" si="12"/>
        <v>204.01</v>
      </c>
    </row>
    <row r="256" spans="1:39" s="730" customFormat="1">
      <c r="A256" s="720" t="s">
        <v>768</v>
      </c>
      <c r="B256" s="720" t="s">
        <v>1219</v>
      </c>
      <c r="C256" s="823" t="s">
        <v>40</v>
      </c>
      <c r="D256" s="743"/>
      <c r="E256" s="726"/>
      <c r="F256" s="726"/>
      <c r="G256" s="726"/>
      <c r="H256" s="726"/>
      <c r="I256" s="725"/>
      <c r="J256" s="725"/>
      <c r="K256" s="725"/>
      <c r="L256" s="756"/>
      <c r="M256" s="756"/>
      <c r="N256" s="756"/>
      <c r="O256" s="756"/>
      <c r="P256" s="756"/>
      <c r="Q256" s="756"/>
      <c r="R256" s="756"/>
      <c r="S256" s="756"/>
      <c r="T256" s="756"/>
      <c r="U256" s="756"/>
      <c r="V256" s="756"/>
      <c r="W256" s="756"/>
      <c r="X256" s="756"/>
      <c r="Y256" s="756"/>
      <c r="Z256" s="756"/>
      <c r="AA256" s="756"/>
      <c r="AB256" s="884">
        <f>5.95*1.1*0.5+1.1*0.5*3.25</f>
        <v>5.0600000000000005</v>
      </c>
      <c r="AC256" s="756"/>
      <c r="AD256" s="884">
        <f>5.95*3.3*0.2+3.25*2.5*0.2</f>
        <v>5.5519999999999996</v>
      </c>
      <c r="AE256" s="774"/>
      <c r="AF256" s="756"/>
      <c r="AG256" s="897"/>
      <c r="AH256" s="819"/>
      <c r="AI256" s="786">
        <f t="shared" si="13"/>
        <v>0</v>
      </c>
      <c r="AJ256" s="725">
        <v>0</v>
      </c>
      <c r="AK256" s="726">
        <f t="shared" si="11"/>
        <v>0</v>
      </c>
      <c r="AL256" s="847" t="s">
        <v>1599</v>
      </c>
      <c r="AM256" s="729">
        <f t="shared" si="12"/>
        <v>550.44000000000005</v>
      </c>
    </row>
    <row r="257" spans="1:39" s="730" customFormat="1">
      <c r="A257" s="720" t="s">
        <v>769</v>
      </c>
      <c r="B257" s="720" t="s">
        <v>1220</v>
      </c>
      <c r="C257" s="823" t="s">
        <v>37</v>
      </c>
      <c r="D257" s="743"/>
      <c r="E257" s="726"/>
      <c r="F257" s="726"/>
      <c r="G257" s="726"/>
      <c r="H257" s="726"/>
      <c r="I257" s="725"/>
      <c r="J257" s="725"/>
      <c r="K257" s="725"/>
      <c r="L257" s="756"/>
      <c r="M257" s="756"/>
      <c r="N257" s="756"/>
      <c r="O257" s="756"/>
      <c r="P257" s="756"/>
      <c r="Q257" s="756"/>
      <c r="R257" s="756"/>
      <c r="S257" s="756"/>
      <c r="T257" s="756"/>
      <c r="U257" s="756"/>
      <c r="V257" s="756"/>
      <c r="W257" s="756"/>
      <c r="X257" s="756"/>
      <c r="Y257" s="756"/>
      <c r="Z257" s="756"/>
      <c r="AA257" s="756"/>
      <c r="AB257" s="756"/>
      <c r="AC257" s="756"/>
      <c r="AD257" s="756"/>
      <c r="AE257" s="774"/>
      <c r="AF257" s="756"/>
      <c r="AG257" s="897"/>
      <c r="AH257" s="819"/>
      <c r="AI257" s="786">
        <f t="shared" si="13"/>
        <v>0</v>
      </c>
      <c r="AJ257" s="725">
        <v>0</v>
      </c>
      <c r="AK257" s="726">
        <f t="shared" si="11"/>
        <v>0</v>
      </c>
      <c r="AL257" s="847" t="s">
        <v>1600</v>
      </c>
      <c r="AM257" s="729">
        <f t="shared" si="12"/>
        <v>15448.74</v>
      </c>
    </row>
    <row r="258" spans="1:39" s="730" customFormat="1">
      <c r="A258" s="720" t="s">
        <v>770</v>
      </c>
      <c r="B258" s="720" t="s">
        <v>1221</v>
      </c>
      <c r="C258" s="823" t="s">
        <v>48</v>
      </c>
      <c r="D258" s="743"/>
      <c r="E258" s="726"/>
      <c r="F258" s="726"/>
      <c r="G258" s="726"/>
      <c r="H258" s="726"/>
      <c r="I258" s="725"/>
      <c r="J258" s="725"/>
      <c r="K258" s="725"/>
      <c r="L258" s="756"/>
      <c r="M258" s="756"/>
      <c r="N258" s="756"/>
      <c r="O258" s="756"/>
      <c r="P258" s="756"/>
      <c r="Q258" s="756"/>
      <c r="R258" s="756"/>
      <c r="S258" s="756"/>
      <c r="T258" s="756"/>
      <c r="U258" s="756"/>
      <c r="V258" s="756"/>
      <c r="W258" s="756"/>
      <c r="X258" s="756"/>
      <c r="Y258" s="756"/>
      <c r="Z258" s="756"/>
      <c r="AA258" s="756"/>
      <c r="AB258" s="756"/>
      <c r="AC258" s="756"/>
      <c r="AD258" s="756"/>
      <c r="AE258" s="774"/>
      <c r="AF258" s="756"/>
      <c r="AG258" s="897"/>
      <c r="AH258" s="819"/>
      <c r="AI258" s="786">
        <f t="shared" si="13"/>
        <v>0</v>
      </c>
      <c r="AJ258" s="725">
        <v>0</v>
      </c>
      <c r="AK258" s="726">
        <f t="shared" si="11"/>
        <v>0</v>
      </c>
      <c r="AL258" s="847"/>
      <c r="AM258" s="729">
        <f t="shared" si="12"/>
        <v>0</v>
      </c>
    </row>
    <row r="259" spans="1:39" s="730" customFormat="1">
      <c r="A259" s="831" t="s">
        <v>771</v>
      </c>
      <c r="B259" s="831" t="s">
        <v>1200</v>
      </c>
      <c r="C259" s="844"/>
      <c r="D259" s="743"/>
      <c r="E259" s="726"/>
      <c r="F259" s="726"/>
      <c r="G259" s="726"/>
      <c r="H259" s="726"/>
      <c r="I259" s="725"/>
      <c r="J259" s="725"/>
      <c r="K259" s="725"/>
      <c r="L259" s="756"/>
      <c r="M259" s="756"/>
      <c r="N259" s="756"/>
      <c r="O259" s="756"/>
      <c r="P259" s="756"/>
      <c r="Q259" s="756"/>
      <c r="R259" s="756"/>
      <c r="S259" s="756"/>
      <c r="T259" s="756"/>
      <c r="U259" s="756"/>
      <c r="V259" s="756"/>
      <c r="W259" s="756"/>
      <c r="X259" s="756"/>
      <c r="Y259" s="756"/>
      <c r="Z259" s="756"/>
      <c r="AA259" s="756"/>
      <c r="AB259" s="756"/>
      <c r="AC259" s="756"/>
      <c r="AD259" s="756"/>
      <c r="AE259" s="774"/>
      <c r="AF259" s="756"/>
      <c r="AG259" s="897"/>
      <c r="AH259" s="819"/>
      <c r="AI259" s="786">
        <f t="shared" si="13"/>
        <v>0</v>
      </c>
      <c r="AJ259" s="725">
        <v>0</v>
      </c>
      <c r="AK259" s="726">
        <f t="shared" si="11"/>
        <v>0</v>
      </c>
      <c r="AL259" s="847" t="s">
        <v>1601</v>
      </c>
      <c r="AM259" s="729">
        <f t="shared" si="12"/>
        <v>111.93</v>
      </c>
    </row>
    <row r="260" spans="1:39" s="730" customFormat="1">
      <c r="A260" s="720" t="s">
        <v>772</v>
      </c>
      <c r="B260" s="720" t="s">
        <v>1222</v>
      </c>
      <c r="C260" s="823" t="s">
        <v>38</v>
      </c>
      <c r="D260" s="743"/>
      <c r="E260" s="726"/>
      <c r="F260" s="726"/>
      <c r="G260" s="726"/>
      <c r="H260" s="726"/>
      <c r="I260" s="725"/>
      <c r="J260" s="725"/>
      <c r="K260" s="725"/>
      <c r="L260" s="756"/>
      <c r="M260" s="756"/>
      <c r="N260" s="756"/>
      <c r="O260" s="756"/>
      <c r="P260" s="756"/>
      <c r="Q260" s="756"/>
      <c r="R260" s="756"/>
      <c r="S260" s="756"/>
      <c r="T260" s="756"/>
      <c r="U260" s="756"/>
      <c r="V260" s="756"/>
      <c r="W260" s="756"/>
      <c r="X260" s="756"/>
      <c r="Y260" s="756"/>
      <c r="Z260" s="756"/>
      <c r="AA260" s="756"/>
      <c r="AB260" s="756"/>
      <c r="AC260" s="756"/>
      <c r="AD260" s="756"/>
      <c r="AE260" s="774"/>
      <c r="AF260" s="756"/>
      <c r="AG260" s="897"/>
      <c r="AH260" s="819"/>
      <c r="AI260" s="786">
        <f t="shared" si="13"/>
        <v>0</v>
      </c>
      <c r="AJ260" s="725">
        <v>0</v>
      </c>
      <c r="AK260" s="726">
        <f t="shared" si="11"/>
        <v>0</v>
      </c>
      <c r="AL260" s="847" t="s">
        <v>1602</v>
      </c>
      <c r="AM260" s="729">
        <f t="shared" si="12"/>
        <v>24</v>
      </c>
    </row>
    <row r="261" spans="1:39" s="730" customFormat="1">
      <c r="A261" s="720" t="s">
        <v>773</v>
      </c>
      <c r="B261" s="720" t="s">
        <v>225</v>
      </c>
      <c r="C261" s="823" t="s">
        <v>1450</v>
      </c>
      <c r="D261" s="743"/>
      <c r="E261" s="726"/>
      <c r="F261" s="726"/>
      <c r="G261" s="726"/>
      <c r="H261" s="726"/>
      <c r="I261" s="725"/>
      <c r="J261" s="725"/>
      <c r="K261" s="725"/>
      <c r="L261" s="756"/>
      <c r="M261" s="756"/>
      <c r="N261" s="756"/>
      <c r="O261" s="756"/>
      <c r="P261" s="756"/>
      <c r="Q261" s="756"/>
      <c r="R261" s="756"/>
      <c r="S261" s="756"/>
      <c r="T261" s="756"/>
      <c r="U261" s="756"/>
      <c r="V261" s="756"/>
      <c r="W261" s="756"/>
      <c r="X261" s="756"/>
      <c r="Y261" s="756"/>
      <c r="Z261" s="756"/>
      <c r="AA261" s="756"/>
      <c r="AB261" s="756"/>
      <c r="AC261" s="756"/>
      <c r="AD261" s="756"/>
      <c r="AE261" s="774"/>
      <c r="AF261" s="756"/>
      <c r="AG261" s="897"/>
      <c r="AH261" s="819"/>
      <c r="AI261" s="786">
        <f t="shared" si="13"/>
        <v>0</v>
      </c>
      <c r="AJ261" s="725">
        <v>0</v>
      </c>
      <c r="AK261" s="726">
        <f t="shared" si="11"/>
        <v>0</v>
      </c>
      <c r="AL261" s="847"/>
      <c r="AM261" s="729">
        <f t="shared" si="12"/>
        <v>0</v>
      </c>
    </row>
    <row r="262" spans="1:39" s="730" customFormat="1">
      <c r="A262" s="814" t="s">
        <v>774</v>
      </c>
      <c r="B262" s="815" t="s">
        <v>1223</v>
      </c>
      <c r="C262" s="844"/>
      <c r="D262" s="743"/>
      <c r="E262" s="726"/>
      <c r="F262" s="726"/>
      <c r="G262" s="726"/>
      <c r="H262" s="726"/>
      <c r="I262" s="725"/>
      <c r="J262" s="725"/>
      <c r="K262" s="725"/>
      <c r="L262" s="756"/>
      <c r="M262" s="756"/>
      <c r="N262" s="756"/>
      <c r="O262" s="756"/>
      <c r="P262" s="756"/>
      <c r="Q262" s="756"/>
      <c r="R262" s="756"/>
      <c r="S262" s="756"/>
      <c r="T262" s="756"/>
      <c r="U262" s="756"/>
      <c r="V262" s="756"/>
      <c r="W262" s="756"/>
      <c r="X262" s="756"/>
      <c r="Y262" s="756"/>
      <c r="Z262" s="756"/>
      <c r="AA262" s="756"/>
      <c r="AB262" s="756"/>
      <c r="AC262" s="756"/>
      <c r="AD262" s="756"/>
      <c r="AE262" s="774"/>
      <c r="AF262" s="756"/>
      <c r="AG262" s="897"/>
      <c r="AH262" s="819"/>
      <c r="AI262" s="786">
        <f t="shared" si="13"/>
        <v>0</v>
      </c>
      <c r="AJ262" s="725">
        <v>0</v>
      </c>
      <c r="AK262" s="726">
        <f t="shared" si="11"/>
        <v>0</v>
      </c>
      <c r="AL262" s="847"/>
      <c r="AM262" s="729">
        <f t="shared" si="12"/>
        <v>0</v>
      </c>
    </row>
    <row r="263" spans="1:39" s="730" customFormat="1">
      <c r="A263" s="831" t="s">
        <v>775</v>
      </c>
      <c r="B263" s="831" t="s">
        <v>46</v>
      </c>
      <c r="C263" s="844"/>
      <c r="D263" s="743"/>
      <c r="E263" s="726"/>
      <c r="F263" s="726"/>
      <c r="G263" s="726"/>
      <c r="H263" s="726"/>
      <c r="I263" s="725"/>
      <c r="J263" s="725"/>
      <c r="K263" s="725"/>
      <c r="L263" s="756"/>
      <c r="M263" s="756"/>
      <c r="N263" s="756"/>
      <c r="O263" s="756"/>
      <c r="P263" s="756"/>
      <c r="Q263" s="756"/>
      <c r="R263" s="756"/>
      <c r="S263" s="756"/>
      <c r="T263" s="756"/>
      <c r="U263" s="756"/>
      <c r="V263" s="756"/>
      <c r="W263" s="756"/>
      <c r="X263" s="756"/>
      <c r="Y263" s="756"/>
      <c r="Z263" s="756"/>
      <c r="AA263" s="756"/>
      <c r="AB263" s="756"/>
      <c r="AC263" s="756"/>
      <c r="AD263" s="756"/>
      <c r="AE263" s="774"/>
      <c r="AF263" s="756"/>
      <c r="AG263" s="897"/>
      <c r="AH263" s="819"/>
      <c r="AI263" s="786">
        <f t="shared" si="13"/>
        <v>0</v>
      </c>
      <c r="AJ263" s="725">
        <v>0</v>
      </c>
      <c r="AK263" s="726">
        <f t="shared" si="11"/>
        <v>0</v>
      </c>
      <c r="AL263" s="847" t="s">
        <v>1603</v>
      </c>
      <c r="AM263" s="729">
        <f t="shared" si="12"/>
        <v>95.88</v>
      </c>
    </row>
    <row r="264" spans="1:39" s="730" customFormat="1">
      <c r="A264" s="720" t="s">
        <v>776</v>
      </c>
      <c r="B264" s="720" t="s">
        <v>1212</v>
      </c>
      <c r="C264" s="823" t="s">
        <v>40</v>
      </c>
      <c r="D264" s="743"/>
      <c r="E264" s="726"/>
      <c r="F264" s="726"/>
      <c r="G264" s="726"/>
      <c r="H264" s="726"/>
      <c r="I264" s="725"/>
      <c r="J264" s="725"/>
      <c r="K264" s="725"/>
      <c r="L264" s="756"/>
      <c r="M264" s="756"/>
      <c r="N264" s="756"/>
      <c r="O264" s="756"/>
      <c r="P264" s="756"/>
      <c r="Q264" s="756"/>
      <c r="R264" s="756"/>
      <c r="S264" s="756"/>
      <c r="T264" s="756"/>
      <c r="U264" s="756"/>
      <c r="V264" s="756"/>
      <c r="W264" s="756"/>
      <c r="X264" s="756"/>
      <c r="Y264" s="756"/>
      <c r="Z264" s="756"/>
      <c r="AA264" s="756"/>
      <c r="AB264" s="756"/>
      <c r="AC264" s="756"/>
      <c r="AD264" s="756"/>
      <c r="AE264" s="774"/>
      <c r="AF264" s="756"/>
      <c r="AG264" s="897"/>
      <c r="AH264" s="819"/>
      <c r="AI264" s="786">
        <f t="shared" si="13"/>
        <v>0</v>
      </c>
      <c r="AJ264" s="725">
        <v>0</v>
      </c>
      <c r="AK264" s="726">
        <f t="shared" si="11"/>
        <v>0</v>
      </c>
      <c r="AL264" s="847" t="s">
        <v>1604</v>
      </c>
      <c r="AM264" s="729">
        <f t="shared" si="12"/>
        <v>124.65</v>
      </c>
    </row>
    <row r="265" spans="1:39" s="730" customFormat="1">
      <c r="A265" s="720" t="s">
        <v>777</v>
      </c>
      <c r="B265" s="720" t="s">
        <v>1161</v>
      </c>
      <c r="C265" s="823" t="s">
        <v>40</v>
      </c>
      <c r="D265" s="743"/>
      <c r="E265" s="726"/>
      <c r="F265" s="726"/>
      <c r="G265" s="726"/>
      <c r="H265" s="726"/>
      <c r="I265" s="725"/>
      <c r="J265" s="725"/>
      <c r="K265" s="725"/>
      <c r="L265" s="756"/>
      <c r="M265" s="756"/>
      <c r="N265" s="756"/>
      <c r="O265" s="756"/>
      <c r="P265" s="756"/>
      <c r="Q265" s="756"/>
      <c r="R265" s="756"/>
      <c r="S265" s="756"/>
      <c r="T265" s="756"/>
      <c r="U265" s="756"/>
      <c r="V265" s="756"/>
      <c r="W265" s="756"/>
      <c r="X265" s="756"/>
      <c r="Y265" s="756"/>
      <c r="Z265" s="756"/>
      <c r="AA265" s="756"/>
      <c r="AB265" s="756"/>
      <c r="AC265" s="756"/>
      <c r="AD265" s="756"/>
      <c r="AE265" s="774"/>
      <c r="AF265" s="756"/>
      <c r="AG265" s="897"/>
      <c r="AH265" s="819"/>
      <c r="AI265" s="786">
        <f t="shared" si="13"/>
        <v>0</v>
      </c>
      <c r="AJ265" s="725">
        <v>0</v>
      </c>
      <c r="AK265" s="726">
        <f t="shared" si="11"/>
        <v>0</v>
      </c>
      <c r="AL265" s="847"/>
      <c r="AM265" s="729">
        <f t="shared" si="12"/>
        <v>0</v>
      </c>
    </row>
    <row r="266" spans="1:39" s="730" customFormat="1">
      <c r="A266" s="831" t="s">
        <v>778</v>
      </c>
      <c r="B266" s="831" t="s">
        <v>1162</v>
      </c>
      <c r="C266" s="844"/>
      <c r="D266" s="743"/>
      <c r="E266" s="726"/>
      <c r="F266" s="726"/>
      <c r="G266" s="726"/>
      <c r="H266" s="726"/>
      <c r="I266" s="725"/>
      <c r="J266" s="725"/>
      <c r="K266" s="725"/>
      <c r="L266" s="756"/>
      <c r="M266" s="775"/>
      <c r="N266" s="775"/>
      <c r="O266" s="775"/>
      <c r="P266" s="775"/>
      <c r="Q266" s="775"/>
      <c r="R266" s="775"/>
      <c r="S266" s="775"/>
      <c r="T266" s="756"/>
      <c r="U266" s="756"/>
      <c r="V266" s="756"/>
      <c r="W266" s="756"/>
      <c r="X266" s="756"/>
      <c r="Y266" s="756"/>
      <c r="Z266" s="756"/>
      <c r="AA266" s="756"/>
      <c r="AB266" s="756"/>
      <c r="AC266" s="756"/>
      <c r="AD266" s="756"/>
      <c r="AE266" s="774"/>
      <c r="AF266" s="756"/>
      <c r="AG266" s="897"/>
      <c r="AH266" s="819"/>
      <c r="AI266" s="786">
        <f t="shared" si="13"/>
        <v>0</v>
      </c>
      <c r="AJ266" s="725">
        <v>0</v>
      </c>
      <c r="AK266" s="726">
        <f t="shared" si="11"/>
        <v>0</v>
      </c>
      <c r="AL266" s="847" t="s">
        <v>1605</v>
      </c>
      <c r="AM266" s="729">
        <f t="shared" si="12"/>
        <v>81.67</v>
      </c>
    </row>
    <row r="267" spans="1:39" s="730" customFormat="1">
      <c r="A267" s="720" t="s">
        <v>779</v>
      </c>
      <c r="B267" s="720" t="s">
        <v>1204</v>
      </c>
      <c r="C267" s="823" t="s">
        <v>40</v>
      </c>
      <c r="D267" s="743"/>
      <c r="E267" s="726"/>
      <c r="F267" s="726"/>
      <c r="G267" s="726"/>
      <c r="H267" s="726"/>
      <c r="I267" s="725"/>
      <c r="J267" s="725"/>
      <c r="K267" s="725"/>
      <c r="L267" s="756"/>
      <c r="M267" s="884">
        <f>9.2*0.4*1.35</f>
        <v>4.968</v>
      </c>
      <c r="N267" s="756"/>
      <c r="O267" s="884">
        <f>9.3*0.4*1.35</f>
        <v>5.0220000000000011</v>
      </c>
      <c r="P267" s="884">
        <f>(((0.25+0.6)/2)*1.4)*9.25</f>
        <v>5.5037500000000001</v>
      </c>
      <c r="Q267" s="756"/>
      <c r="R267" s="884">
        <f>(((0.25+0.6)/2)*1.4)*9.25+6.22*0.2*1.35</f>
        <v>7.1831500000000004</v>
      </c>
      <c r="S267" s="756"/>
      <c r="T267" s="884">
        <f>6.22*0.2*1.35</f>
        <v>1.6794</v>
      </c>
      <c r="U267" s="884">
        <f>(((0.25+0.6)/2)*1.4)*6.22+7.51*0.4*1.35</f>
        <v>7.7563000000000004</v>
      </c>
      <c r="V267" s="756"/>
      <c r="X267" s="884">
        <f>7.51*(((0.25+0.6)/2)*1.4)</f>
        <v>4.4684499999999998</v>
      </c>
      <c r="Y267" s="756"/>
      <c r="Z267" s="756"/>
      <c r="AA267" s="756"/>
      <c r="AB267" s="756"/>
      <c r="AC267" s="756"/>
      <c r="AD267" s="756"/>
      <c r="AE267" s="774"/>
      <c r="AF267" s="756"/>
      <c r="AG267" s="897"/>
      <c r="AH267" s="819"/>
      <c r="AI267" s="786">
        <f t="shared" si="13"/>
        <v>0</v>
      </c>
      <c r="AJ267" s="725">
        <v>0</v>
      </c>
      <c r="AK267" s="726">
        <f t="shared" si="11"/>
        <v>0</v>
      </c>
      <c r="AL267" s="847" t="s">
        <v>1606</v>
      </c>
      <c r="AM267" s="729">
        <f t="shared" si="12"/>
        <v>221.37</v>
      </c>
    </row>
    <row r="268" spans="1:39" s="730" customFormat="1">
      <c r="A268" s="720" t="s">
        <v>780</v>
      </c>
      <c r="B268" s="720" t="s">
        <v>1224</v>
      </c>
      <c r="C268" s="823" t="s">
        <v>37</v>
      </c>
      <c r="D268" s="743"/>
      <c r="E268" s="726"/>
      <c r="F268" s="726"/>
      <c r="G268" s="726"/>
      <c r="H268" s="726"/>
      <c r="I268" s="725"/>
      <c r="J268" s="725"/>
      <c r="K268" s="725"/>
      <c r="L268" s="756"/>
      <c r="M268" s="773">
        <f>9.2*2*0.4</f>
        <v>7.3599999999999994</v>
      </c>
      <c r="O268" s="773">
        <f>1.4*9.3+1.43*9.3+9.3*2*0.4</f>
        <v>33.759</v>
      </c>
      <c r="P268" s="750"/>
      <c r="Q268" s="887">
        <f>9.3*(1.4325+1.4)+6.22*2*0.4</f>
        <v>31.318250000000003</v>
      </c>
      <c r="R268" s="521"/>
      <c r="S268" s="751"/>
      <c r="T268" s="750"/>
      <c r="U268" s="750"/>
      <c r="V268" s="750"/>
      <c r="W268" s="773">
        <f>7.51*1.43+1.4*7.51</f>
        <v>21.253299999999999</v>
      </c>
      <c r="X268" s="756"/>
      <c r="Y268" s="756"/>
      <c r="Z268" s="756"/>
      <c r="AA268" s="756"/>
      <c r="AB268" s="756"/>
      <c r="AC268" s="756"/>
      <c r="AD268" s="756"/>
      <c r="AE268" s="774"/>
      <c r="AF268" s="756"/>
      <c r="AG268" s="897"/>
      <c r="AH268" s="819"/>
      <c r="AI268" s="786">
        <f t="shared" si="13"/>
        <v>0</v>
      </c>
      <c r="AJ268" s="725">
        <v>0</v>
      </c>
      <c r="AK268" s="726">
        <f t="shared" si="11"/>
        <v>0</v>
      </c>
      <c r="AL268" s="847"/>
      <c r="AM268" s="729">
        <f t="shared" si="12"/>
        <v>0</v>
      </c>
    </row>
    <row r="269" spans="1:39" s="500" customFormat="1">
      <c r="A269" s="440" t="s">
        <v>781</v>
      </c>
      <c r="B269" s="543" t="s">
        <v>1225</v>
      </c>
      <c r="C269" s="616"/>
      <c r="D269" s="519"/>
      <c r="E269" s="726"/>
      <c r="F269" s="520"/>
      <c r="G269" s="520"/>
      <c r="H269" s="520"/>
      <c r="I269" s="521"/>
      <c r="J269" s="521"/>
      <c r="K269" s="521"/>
      <c r="L269" s="756"/>
      <c r="M269" s="514"/>
      <c r="N269" s="514"/>
      <c r="O269" s="514"/>
      <c r="P269" s="514"/>
      <c r="Q269" s="514"/>
      <c r="R269" s="514"/>
      <c r="S269" s="756"/>
      <c r="T269" s="514"/>
      <c r="U269" s="514"/>
      <c r="V269" s="514"/>
      <c r="W269" s="514"/>
      <c r="X269" s="514"/>
      <c r="Y269" s="514"/>
      <c r="Z269" s="756"/>
      <c r="AA269" s="514"/>
      <c r="AB269" s="514"/>
      <c r="AC269" s="514"/>
      <c r="AD269" s="514"/>
      <c r="AE269" s="774"/>
      <c r="AF269" s="514"/>
      <c r="AG269" s="897"/>
      <c r="AH269" s="789"/>
      <c r="AI269" s="664">
        <f t="shared" si="13"/>
        <v>0</v>
      </c>
      <c r="AJ269" s="521">
        <v>0</v>
      </c>
      <c r="AK269" s="520">
        <f t="shared" si="11"/>
        <v>0</v>
      </c>
      <c r="AL269" s="695"/>
      <c r="AM269" s="669">
        <f t="shared" si="12"/>
        <v>0</v>
      </c>
    </row>
    <row r="270" spans="1:39" s="500" customFormat="1">
      <c r="A270" s="542" t="s">
        <v>782</v>
      </c>
      <c r="B270" s="542" t="s">
        <v>46</v>
      </c>
      <c r="C270" s="616"/>
      <c r="D270" s="519"/>
      <c r="E270" s="726"/>
      <c r="F270" s="520"/>
      <c r="G270" s="520"/>
      <c r="H270" s="520"/>
      <c r="I270" s="521"/>
      <c r="J270" s="521"/>
      <c r="K270" s="521"/>
      <c r="L270" s="756"/>
      <c r="M270" s="514"/>
      <c r="N270" s="514"/>
      <c r="O270" s="514"/>
      <c r="P270" s="514"/>
      <c r="Q270" s="514"/>
      <c r="R270" s="514"/>
      <c r="S270" s="756"/>
      <c r="T270" s="514"/>
      <c r="U270" s="514"/>
      <c r="V270" s="514"/>
      <c r="W270" s="514"/>
      <c r="X270" s="514"/>
      <c r="Y270" s="514"/>
      <c r="Z270" s="756"/>
      <c r="AA270" s="514"/>
      <c r="AB270" s="514"/>
      <c r="AC270" s="514"/>
      <c r="AD270" s="514"/>
      <c r="AE270" s="774"/>
      <c r="AF270" s="514"/>
      <c r="AG270" s="897"/>
      <c r="AH270" s="789"/>
      <c r="AI270" s="664">
        <f t="shared" si="13"/>
        <v>0</v>
      </c>
      <c r="AJ270" s="521">
        <v>0</v>
      </c>
      <c r="AK270" s="520">
        <f t="shared" ref="AK270:AK333" si="14">AI270+AJ270</f>
        <v>0</v>
      </c>
      <c r="AL270" s="695" t="s">
        <v>1607</v>
      </c>
      <c r="AM270" s="669">
        <f t="shared" ref="AM270:AM333" si="15">AL270-AK270</f>
        <v>2.81</v>
      </c>
    </row>
    <row r="271" spans="1:39" s="500" customFormat="1">
      <c r="A271" s="539" t="s">
        <v>783</v>
      </c>
      <c r="B271" s="539" t="s">
        <v>1226</v>
      </c>
      <c r="C271" s="548" t="s">
        <v>40</v>
      </c>
      <c r="D271" s="519"/>
      <c r="E271" s="726"/>
      <c r="F271" s="520"/>
      <c r="G271" s="520"/>
      <c r="H271" s="520"/>
      <c r="I271" s="521"/>
      <c r="J271" s="521"/>
      <c r="K271" s="521"/>
      <c r="L271" s="756"/>
      <c r="M271" s="514"/>
      <c r="N271" s="514"/>
      <c r="O271" s="514"/>
      <c r="P271" s="514"/>
      <c r="Q271" s="514"/>
      <c r="R271" s="514"/>
      <c r="S271" s="756"/>
      <c r="T271" s="514"/>
      <c r="U271" s="514"/>
      <c r="V271" s="514"/>
      <c r="W271" s="514"/>
      <c r="X271" s="514"/>
      <c r="Y271" s="514"/>
      <c r="Z271" s="756"/>
      <c r="AA271" s="514"/>
      <c r="AB271" s="514"/>
      <c r="AC271" s="514"/>
      <c r="AD271" s="514"/>
      <c r="AE271" s="774"/>
      <c r="AF271" s="514"/>
      <c r="AG271" s="897"/>
      <c r="AH271" s="789"/>
      <c r="AI271" s="664">
        <f t="shared" si="13"/>
        <v>0</v>
      </c>
      <c r="AJ271" s="521">
        <v>0</v>
      </c>
      <c r="AK271" s="520">
        <f t="shared" si="14"/>
        <v>0</v>
      </c>
      <c r="AL271" s="695" t="s">
        <v>1608</v>
      </c>
      <c r="AM271" s="669">
        <f t="shared" si="15"/>
        <v>60</v>
      </c>
    </row>
    <row r="272" spans="1:39" s="500" customFormat="1">
      <c r="A272" s="539" t="s">
        <v>784</v>
      </c>
      <c r="B272" s="539" t="s">
        <v>269</v>
      </c>
      <c r="C272" s="548" t="s">
        <v>37</v>
      </c>
      <c r="D272" s="519"/>
      <c r="E272" s="726"/>
      <c r="F272" s="520"/>
      <c r="G272" s="520"/>
      <c r="H272" s="520"/>
      <c r="I272" s="521"/>
      <c r="J272" s="521"/>
      <c r="K272" s="521"/>
      <c r="L272" s="756"/>
      <c r="M272" s="514"/>
      <c r="N272" s="514"/>
      <c r="O272" s="514"/>
      <c r="P272" s="514"/>
      <c r="Q272" s="514"/>
      <c r="R272" s="514"/>
      <c r="S272" s="756"/>
      <c r="T272" s="514"/>
      <c r="U272" s="514"/>
      <c r="V272" s="514"/>
      <c r="W272" s="514"/>
      <c r="X272" s="514"/>
      <c r="Y272" s="514"/>
      <c r="Z272" s="756"/>
      <c r="AA272" s="514"/>
      <c r="AB272" s="514"/>
      <c r="AC272" s="514"/>
      <c r="AD272" s="514"/>
      <c r="AE272" s="774"/>
      <c r="AF272" s="514"/>
      <c r="AG272" s="897"/>
      <c r="AH272" s="789"/>
      <c r="AI272" s="664">
        <f t="shared" si="13"/>
        <v>0</v>
      </c>
      <c r="AJ272" s="521">
        <v>0</v>
      </c>
      <c r="AK272" s="520">
        <f t="shared" si="14"/>
        <v>0</v>
      </c>
      <c r="AL272" s="695" t="s">
        <v>1609</v>
      </c>
      <c r="AM272" s="669">
        <f t="shared" si="15"/>
        <v>3.51</v>
      </c>
    </row>
    <row r="273" spans="1:39" s="500" customFormat="1">
      <c r="A273" s="539" t="s">
        <v>785</v>
      </c>
      <c r="B273" s="539" t="s">
        <v>1161</v>
      </c>
      <c r="C273" s="548" t="s">
        <v>40</v>
      </c>
      <c r="D273" s="519"/>
      <c r="E273" s="726"/>
      <c r="F273" s="520"/>
      <c r="G273" s="520"/>
      <c r="H273" s="520"/>
      <c r="I273" s="521"/>
      <c r="J273" s="521"/>
      <c r="K273" s="521"/>
      <c r="L273" s="756"/>
      <c r="M273" s="514"/>
      <c r="N273" s="514"/>
      <c r="O273" s="514"/>
      <c r="P273" s="514"/>
      <c r="Q273" s="514"/>
      <c r="R273" s="514"/>
      <c r="S273" s="756"/>
      <c r="T273" s="514"/>
      <c r="U273" s="514"/>
      <c r="V273" s="514"/>
      <c r="W273" s="514"/>
      <c r="X273" s="514"/>
      <c r="Y273" s="514"/>
      <c r="Z273" s="756"/>
      <c r="AA273" s="514"/>
      <c r="AB273" s="514"/>
      <c r="AC273" s="514"/>
      <c r="AD273" s="514"/>
      <c r="AE273" s="774"/>
      <c r="AF273" s="514"/>
      <c r="AG273" s="897"/>
      <c r="AH273" s="789"/>
      <c r="AI273" s="664">
        <f t="shared" si="13"/>
        <v>0</v>
      </c>
      <c r="AJ273" s="521">
        <v>0</v>
      </c>
      <c r="AK273" s="520">
        <f t="shared" si="14"/>
        <v>0</v>
      </c>
      <c r="AL273" s="695"/>
      <c r="AM273" s="669">
        <f t="shared" si="15"/>
        <v>0</v>
      </c>
    </row>
    <row r="274" spans="1:39" s="500" customFormat="1">
      <c r="A274" s="542" t="s">
        <v>786</v>
      </c>
      <c r="B274" s="542" t="s">
        <v>1162</v>
      </c>
      <c r="C274" s="616"/>
      <c r="D274" s="519"/>
      <c r="E274" s="726"/>
      <c r="F274" s="520"/>
      <c r="G274" s="520"/>
      <c r="H274" s="520"/>
      <c r="I274" s="521"/>
      <c r="J274" s="521"/>
      <c r="K274" s="521"/>
      <c r="L274" s="756"/>
      <c r="M274" s="514"/>
      <c r="N274" s="514"/>
      <c r="O274" s="514"/>
      <c r="P274" s="514"/>
      <c r="Q274" s="514"/>
      <c r="R274" s="514"/>
      <c r="S274" s="756"/>
      <c r="T274" s="514"/>
      <c r="U274" s="514"/>
      <c r="V274" s="514"/>
      <c r="W274" s="514"/>
      <c r="X274" s="514"/>
      <c r="Y274" s="514"/>
      <c r="Z274" s="756"/>
      <c r="AA274" s="514"/>
      <c r="AB274" s="514"/>
      <c r="AC274" s="514"/>
      <c r="AD274" s="514"/>
      <c r="AE274" s="774"/>
      <c r="AF274" s="514"/>
      <c r="AG274" s="897"/>
      <c r="AH274" s="789"/>
      <c r="AI274" s="664">
        <f t="shared" si="13"/>
        <v>0</v>
      </c>
      <c r="AJ274" s="521">
        <v>0</v>
      </c>
      <c r="AK274" s="520">
        <f t="shared" si="14"/>
        <v>0</v>
      </c>
      <c r="AL274" s="695" t="s">
        <v>1610</v>
      </c>
      <c r="AM274" s="669">
        <f t="shared" si="15"/>
        <v>2.16</v>
      </c>
    </row>
    <row r="275" spans="1:39" s="500" customFormat="1">
      <c r="A275" s="539" t="s">
        <v>787</v>
      </c>
      <c r="B275" s="539" t="s">
        <v>1203</v>
      </c>
      <c r="C275" s="548" t="s">
        <v>37</v>
      </c>
      <c r="D275" s="519"/>
      <c r="E275" s="726"/>
      <c r="F275" s="520"/>
      <c r="G275" s="520"/>
      <c r="H275" s="520"/>
      <c r="I275" s="521"/>
      <c r="J275" s="521"/>
      <c r="K275" s="521"/>
      <c r="L275" s="756"/>
      <c r="M275" s="514"/>
      <c r="N275" s="514"/>
      <c r="O275" s="514"/>
      <c r="P275" s="514"/>
      <c r="Q275" s="514"/>
      <c r="R275" s="514"/>
      <c r="S275" s="756"/>
      <c r="T275" s="514"/>
      <c r="U275" s="514"/>
      <c r="V275" s="514"/>
      <c r="W275" s="514"/>
      <c r="X275" s="514"/>
      <c r="Y275" s="514"/>
      <c r="Z275" s="756"/>
      <c r="AA275" s="514"/>
      <c r="AB275" s="514"/>
      <c r="AC275" s="514"/>
      <c r="AD275" s="514"/>
      <c r="AE275" s="774"/>
      <c r="AF275" s="514"/>
      <c r="AG275" s="897"/>
      <c r="AH275" s="789"/>
      <c r="AI275" s="664">
        <f t="shared" si="13"/>
        <v>0</v>
      </c>
      <c r="AJ275" s="521">
        <v>0</v>
      </c>
      <c r="AK275" s="520">
        <f t="shared" si="14"/>
        <v>0</v>
      </c>
      <c r="AL275" s="695" t="s">
        <v>1608</v>
      </c>
      <c r="AM275" s="669">
        <f t="shared" si="15"/>
        <v>60</v>
      </c>
    </row>
    <row r="276" spans="1:39" s="500" customFormat="1">
      <c r="A276" s="539" t="s">
        <v>788</v>
      </c>
      <c r="B276" s="539" t="s">
        <v>1227</v>
      </c>
      <c r="C276" s="548" t="s">
        <v>37</v>
      </c>
      <c r="D276" s="519"/>
      <c r="E276" s="726"/>
      <c r="F276" s="520"/>
      <c r="G276" s="520"/>
      <c r="H276" s="520"/>
      <c r="I276" s="521"/>
      <c r="J276" s="521"/>
      <c r="K276" s="521"/>
      <c r="L276" s="756"/>
      <c r="M276" s="514"/>
      <c r="N276" s="514"/>
      <c r="O276" s="514"/>
      <c r="P276" s="514"/>
      <c r="Q276" s="514"/>
      <c r="R276" s="514"/>
      <c r="S276" s="756"/>
      <c r="T276" s="514"/>
      <c r="U276" s="514"/>
      <c r="V276" s="514"/>
      <c r="W276" s="514"/>
      <c r="X276" s="514"/>
      <c r="Y276" s="514"/>
      <c r="Z276" s="756"/>
      <c r="AA276" s="514"/>
      <c r="AB276" s="514"/>
      <c r="AC276" s="514"/>
      <c r="AD276" s="514"/>
      <c r="AE276" s="774"/>
      <c r="AF276" s="514"/>
      <c r="AG276" s="897"/>
      <c r="AH276" s="789"/>
      <c r="AI276" s="664">
        <f t="shared" si="13"/>
        <v>0</v>
      </c>
      <c r="AJ276" s="521">
        <v>0</v>
      </c>
      <c r="AK276" s="520">
        <f t="shared" si="14"/>
        <v>0</v>
      </c>
      <c r="AL276" s="695"/>
      <c r="AM276" s="669">
        <f t="shared" si="15"/>
        <v>0</v>
      </c>
    </row>
    <row r="277" spans="1:39" s="500" customFormat="1">
      <c r="A277" s="542" t="s">
        <v>789</v>
      </c>
      <c r="B277" s="542" t="s">
        <v>1169</v>
      </c>
      <c r="C277" s="616"/>
      <c r="D277" s="519"/>
      <c r="E277" s="726"/>
      <c r="F277" s="520"/>
      <c r="G277" s="520"/>
      <c r="H277" s="520"/>
      <c r="I277" s="521"/>
      <c r="J277" s="521"/>
      <c r="K277" s="521"/>
      <c r="L277" s="756"/>
      <c r="M277" s="514"/>
      <c r="N277" s="514"/>
      <c r="O277" s="514"/>
      <c r="P277" s="514"/>
      <c r="Q277" s="514"/>
      <c r="R277" s="514"/>
      <c r="S277" s="756"/>
      <c r="T277" s="514"/>
      <c r="U277" s="514"/>
      <c r="V277" s="514"/>
      <c r="W277" s="514"/>
      <c r="X277" s="514"/>
      <c r="Y277" s="514"/>
      <c r="Z277" s="756"/>
      <c r="AA277" s="514"/>
      <c r="AB277" s="514"/>
      <c r="AC277" s="514"/>
      <c r="AD277" s="514"/>
      <c r="AE277" s="774"/>
      <c r="AF277" s="514"/>
      <c r="AG277" s="897"/>
      <c r="AH277" s="789"/>
      <c r="AI277" s="664">
        <f t="shared" si="13"/>
        <v>0</v>
      </c>
      <c r="AJ277" s="521">
        <v>0</v>
      </c>
      <c r="AK277" s="520">
        <f t="shared" si="14"/>
        <v>0</v>
      </c>
      <c r="AL277" s="695"/>
      <c r="AM277" s="669">
        <f t="shared" si="15"/>
        <v>0</v>
      </c>
    </row>
    <row r="278" spans="1:39" s="500" customFormat="1">
      <c r="A278" s="539" t="s">
        <v>790</v>
      </c>
      <c r="B278" s="539" t="s">
        <v>1170</v>
      </c>
      <c r="C278" s="616"/>
      <c r="D278" s="519"/>
      <c r="E278" s="726"/>
      <c r="F278" s="520"/>
      <c r="G278" s="520"/>
      <c r="H278" s="520"/>
      <c r="I278" s="521"/>
      <c r="J278" s="521"/>
      <c r="K278" s="521"/>
      <c r="L278" s="756"/>
      <c r="M278" s="514"/>
      <c r="N278" s="514"/>
      <c r="O278" s="514"/>
      <c r="P278" s="514"/>
      <c r="Q278" s="514"/>
      <c r="R278" s="514"/>
      <c r="S278" s="756"/>
      <c r="T278" s="514"/>
      <c r="U278" s="514"/>
      <c r="V278" s="514"/>
      <c r="W278" s="514"/>
      <c r="X278" s="514"/>
      <c r="Y278" s="514"/>
      <c r="Z278" s="756"/>
      <c r="AA278" s="514"/>
      <c r="AB278" s="514"/>
      <c r="AC278" s="514"/>
      <c r="AD278" s="514"/>
      <c r="AE278" s="774"/>
      <c r="AF278" s="514"/>
      <c r="AG278" s="897"/>
      <c r="AH278" s="789"/>
      <c r="AI278" s="664">
        <f t="shared" si="13"/>
        <v>0</v>
      </c>
      <c r="AJ278" s="521">
        <v>0</v>
      </c>
      <c r="AK278" s="520">
        <f t="shared" si="14"/>
        <v>0</v>
      </c>
      <c r="AL278" s="695" t="s">
        <v>1611</v>
      </c>
      <c r="AM278" s="669">
        <f t="shared" si="15"/>
        <v>2.52</v>
      </c>
    </row>
    <row r="279" spans="1:39" s="500" customFormat="1">
      <c r="A279" s="539" t="s">
        <v>791</v>
      </c>
      <c r="B279" s="539" t="s">
        <v>1206</v>
      </c>
      <c r="C279" s="548" t="s">
        <v>40</v>
      </c>
      <c r="D279" s="519"/>
      <c r="E279" s="726"/>
      <c r="F279" s="520"/>
      <c r="G279" s="520"/>
      <c r="H279" s="520"/>
      <c r="I279" s="521"/>
      <c r="J279" s="521"/>
      <c r="K279" s="521"/>
      <c r="L279" s="756"/>
      <c r="M279" s="514"/>
      <c r="N279" s="514"/>
      <c r="O279" s="514"/>
      <c r="P279" s="514"/>
      <c r="Q279" s="514"/>
      <c r="R279" s="514"/>
      <c r="S279" s="756"/>
      <c r="T279" s="514"/>
      <c r="U279" s="514"/>
      <c r="V279" s="514"/>
      <c r="W279" s="514"/>
      <c r="X279" s="514"/>
      <c r="Y279" s="514"/>
      <c r="Z279" s="756"/>
      <c r="AA279" s="514"/>
      <c r="AB279" s="514"/>
      <c r="AC279" s="514"/>
      <c r="AD279" s="514"/>
      <c r="AE279" s="774"/>
      <c r="AF279" s="514"/>
      <c r="AG279" s="897"/>
      <c r="AH279" s="789"/>
      <c r="AI279" s="664">
        <f t="shared" si="13"/>
        <v>0</v>
      </c>
      <c r="AJ279" s="521">
        <v>0</v>
      </c>
      <c r="AK279" s="520">
        <f t="shared" si="14"/>
        <v>0</v>
      </c>
      <c r="AL279" s="695" t="s">
        <v>1612</v>
      </c>
      <c r="AM279" s="669">
        <f t="shared" si="15"/>
        <v>186.08</v>
      </c>
    </row>
    <row r="280" spans="1:39" s="500" customFormat="1">
      <c r="A280" s="539" t="s">
        <v>792</v>
      </c>
      <c r="B280" s="539" t="s">
        <v>1172</v>
      </c>
      <c r="C280" s="548" t="s">
        <v>48</v>
      </c>
      <c r="D280" s="519"/>
      <c r="E280" s="726"/>
      <c r="F280" s="520"/>
      <c r="G280" s="520"/>
      <c r="H280" s="520"/>
      <c r="I280" s="521"/>
      <c r="J280" s="521"/>
      <c r="K280" s="521"/>
      <c r="L280" s="756"/>
      <c r="M280" s="514"/>
      <c r="N280" s="514"/>
      <c r="O280" s="514"/>
      <c r="P280" s="514"/>
      <c r="Q280" s="514"/>
      <c r="R280" s="514"/>
      <c r="S280" s="756"/>
      <c r="T280" s="514"/>
      <c r="U280" s="514"/>
      <c r="V280" s="514"/>
      <c r="W280" s="514"/>
      <c r="X280" s="514"/>
      <c r="Y280" s="514"/>
      <c r="Z280" s="756"/>
      <c r="AA280" s="514"/>
      <c r="AB280" s="514"/>
      <c r="AC280" s="514"/>
      <c r="AD280" s="514"/>
      <c r="AE280" s="774"/>
      <c r="AF280" s="514"/>
      <c r="AG280" s="897"/>
      <c r="AH280" s="789"/>
      <c r="AI280" s="664">
        <f t="shared" si="13"/>
        <v>0</v>
      </c>
      <c r="AJ280" s="521">
        <v>0</v>
      </c>
      <c r="AK280" s="520">
        <f t="shared" si="14"/>
        <v>0</v>
      </c>
      <c r="AL280" s="695"/>
      <c r="AM280" s="669">
        <f t="shared" si="15"/>
        <v>0</v>
      </c>
    </row>
    <row r="281" spans="1:39" s="500" customFormat="1">
      <c r="A281" s="542" t="s">
        <v>793</v>
      </c>
      <c r="B281" s="542" t="s">
        <v>1228</v>
      </c>
      <c r="C281" s="616"/>
      <c r="D281" s="519"/>
      <c r="E281" s="726"/>
      <c r="F281" s="520"/>
      <c r="G281" s="520"/>
      <c r="H281" s="520"/>
      <c r="I281" s="521"/>
      <c r="J281" s="521"/>
      <c r="K281" s="521"/>
      <c r="L281" s="756"/>
      <c r="M281" s="514"/>
      <c r="N281" s="514"/>
      <c r="O281" s="514"/>
      <c r="P281" s="514"/>
      <c r="Q281" s="514"/>
      <c r="R281" s="514"/>
      <c r="S281" s="756"/>
      <c r="T281" s="514"/>
      <c r="U281" s="514"/>
      <c r="V281" s="514"/>
      <c r="W281" s="514"/>
      <c r="X281" s="514"/>
      <c r="Y281" s="514"/>
      <c r="Z281" s="756"/>
      <c r="AA281" s="514"/>
      <c r="AB281" s="514"/>
      <c r="AC281" s="514"/>
      <c r="AD281" s="514"/>
      <c r="AE281" s="774"/>
      <c r="AF281" s="514"/>
      <c r="AG281" s="897"/>
      <c r="AH281" s="789"/>
      <c r="AI281" s="664">
        <f t="shared" si="13"/>
        <v>0</v>
      </c>
      <c r="AJ281" s="521">
        <v>0</v>
      </c>
      <c r="AK281" s="520">
        <f t="shared" si="14"/>
        <v>0</v>
      </c>
      <c r="AL281" s="695" t="s">
        <v>1613</v>
      </c>
      <c r="AM281" s="669">
        <f t="shared" si="15"/>
        <v>899.99</v>
      </c>
    </row>
    <row r="282" spans="1:39" s="500" customFormat="1">
      <c r="A282" s="539" t="s">
        <v>794</v>
      </c>
      <c r="B282" s="539" t="s">
        <v>1229</v>
      </c>
      <c r="C282" s="548" t="s">
        <v>48</v>
      </c>
      <c r="D282" s="519"/>
      <c r="E282" s="726"/>
      <c r="F282" s="520"/>
      <c r="G282" s="520"/>
      <c r="H282" s="520"/>
      <c r="I282" s="521"/>
      <c r="J282" s="521"/>
      <c r="K282" s="521"/>
      <c r="L282" s="756"/>
      <c r="M282" s="514"/>
      <c r="N282" s="514"/>
      <c r="O282" s="514"/>
      <c r="P282" s="514"/>
      <c r="Q282" s="514"/>
      <c r="R282" s="514"/>
      <c r="S282" s="756"/>
      <c r="T282" s="514"/>
      <c r="U282" s="514"/>
      <c r="V282" s="514"/>
      <c r="W282" s="514"/>
      <c r="X282" s="514"/>
      <c r="Y282" s="514"/>
      <c r="Z282" s="756"/>
      <c r="AA282" s="514"/>
      <c r="AB282" s="514"/>
      <c r="AC282" s="514"/>
      <c r="AD282" s="514"/>
      <c r="AE282" s="774"/>
      <c r="AF282" s="514"/>
      <c r="AG282" s="897"/>
      <c r="AH282" s="789"/>
      <c r="AI282" s="664">
        <f t="shared" si="13"/>
        <v>0</v>
      </c>
      <c r="AJ282" s="521">
        <v>0</v>
      </c>
      <c r="AK282" s="520">
        <f t="shared" si="14"/>
        <v>0</v>
      </c>
      <c r="AL282" s="695" t="s">
        <v>1614</v>
      </c>
      <c r="AM282" s="669">
        <f t="shared" si="15"/>
        <v>394.52</v>
      </c>
    </row>
    <row r="283" spans="1:39" s="500" customFormat="1">
      <c r="A283" s="539" t="s">
        <v>795</v>
      </c>
      <c r="B283" s="539" t="s">
        <v>1230</v>
      </c>
      <c r="C283" s="548" t="s">
        <v>48</v>
      </c>
      <c r="D283" s="519"/>
      <c r="E283" s="726"/>
      <c r="F283" s="520"/>
      <c r="G283" s="520"/>
      <c r="H283" s="520"/>
      <c r="I283" s="521"/>
      <c r="J283" s="521"/>
      <c r="K283" s="521"/>
      <c r="L283" s="756"/>
      <c r="M283" s="514"/>
      <c r="N283" s="514"/>
      <c r="O283" s="514"/>
      <c r="P283" s="514"/>
      <c r="Q283" s="514"/>
      <c r="R283" s="514"/>
      <c r="S283" s="756"/>
      <c r="T283" s="514"/>
      <c r="U283" s="514"/>
      <c r="V283" s="514"/>
      <c r="W283" s="514"/>
      <c r="X283" s="514"/>
      <c r="Y283" s="514"/>
      <c r="Z283" s="756"/>
      <c r="AA283" s="514"/>
      <c r="AB283" s="514"/>
      <c r="AC283" s="514"/>
      <c r="AD283" s="514"/>
      <c r="AE283" s="774"/>
      <c r="AF283" s="514"/>
      <c r="AG283" s="897"/>
      <c r="AH283" s="789"/>
      <c r="AI283" s="664">
        <f t="shared" si="13"/>
        <v>0</v>
      </c>
      <c r="AJ283" s="521">
        <v>0</v>
      </c>
      <c r="AK283" s="520">
        <f t="shared" si="14"/>
        <v>0</v>
      </c>
      <c r="AL283" s="695" t="s">
        <v>1615</v>
      </c>
      <c r="AM283" s="669">
        <f t="shared" si="15"/>
        <v>271.91000000000003</v>
      </c>
    </row>
    <row r="284" spans="1:39" s="500" customFormat="1">
      <c r="A284" s="539" t="s">
        <v>796</v>
      </c>
      <c r="B284" s="539" t="s">
        <v>1231</v>
      </c>
      <c r="C284" s="548" t="s">
        <v>48</v>
      </c>
      <c r="D284" s="519"/>
      <c r="E284" s="726"/>
      <c r="F284" s="520"/>
      <c r="G284" s="520"/>
      <c r="H284" s="520"/>
      <c r="I284" s="521"/>
      <c r="J284" s="521"/>
      <c r="K284" s="521"/>
      <c r="L284" s="756"/>
      <c r="M284" s="514"/>
      <c r="N284" s="514"/>
      <c r="O284" s="514"/>
      <c r="P284" s="514"/>
      <c r="Q284" s="514"/>
      <c r="R284" s="514"/>
      <c r="S284" s="756"/>
      <c r="T284" s="514"/>
      <c r="U284" s="514"/>
      <c r="V284" s="514"/>
      <c r="W284" s="514"/>
      <c r="X284" s="514"/>
      <c r="Y284" s="514"/>
      <c r="Z284" s="756"/>
      <c r="AA284" s="514"/>
      <c r="AB284" s="514"/>
      <c r="AC284" s="514"/>
      <c r="AD284" s="514"/>
      <c r="AE284" s="774"/>
      <c r="AF284" s="514"/>
      <c r="AG284" s="897"/>
      <c r="AH284" s="789"/>
      <c r="AI284" s="664">
        <f t="shared" si="13"/>
        <v>0</v>
      </c>
      <c r="AJ284" s="521">
        <v>0</v>
      </c>
      <c r="AK284" s="520">
        <f t="shared" si="14"/>
        <v>0</v>
      </c>
      <c r="AL284" s="695" t="s">
        <v>1616</v>
      </c>
      <c r="AM284" s="669">
        <f t="shared" si="15"/>
        <v>80.92</v>
      </c>
    </row>
    <row r="285" spans="1:39" s="500" customFormat="1">
      <c r="A285" s="539" t="s">
        <v>797</v>
      </c>
      <c r="B285" s="539" t="s">
        <v>1232</v>
      </c>
      <c r="C285" s="548" t="s">
        <v>38</v>
      </c>
      <c r="D285" s="519"/>
      <c r="E285" s="726"/>
      <c r="F285" s="520"/>
      <c r="G285" s="520"/>
      <c r="H285" s="520"/>
      <c r="I285" s="521"/>
      <c r="J285" s="521"/>
      <c r="K285" s="521"/>
      <c r="L285" s="756"/>
      <c r="M285" s="514"/>
      <c r="N285" s="514"/>
      <c r="O285" s="514"/>
      <c r="P285" s="514"/>
      <c r="Q285" s="514"/>
      <c r="R285" s="514"/>
      <c r="S285" s="756"/>
      <c r="T285" s="514"/>
      <c r="U285" s="514"/>
      <c r="V285" s="514"/>
      <c r="W285" s="514"/>
      <c r="X285" s="514"/>
      <c r="Y285" s="514"/>
      <c r="Z285" s="756"/>
      <c r="AA285" s="514"/>
      <c r="AB285" s="514"/>
      <c r="AC285" s="514"/>
      <c r="AD285" s="514"/>
      <c r="AE285" s="774"/>
      <c r="AF285" s="514"/>
      <c r="AG285" s="897"/>
      <c r="AH285" s="789"/>
      <c r="AI285" s="664">
        <f t="shared" si="13"/>
        <v>0</v>
      </c>
      <c r="AJ285" s="521">
        <v>0</v>
      </c>
      <c r="AK285" s="520">
        <f t="shared" si="14"/>
        <v>0</v>
      </c>
      <c r="AL285" s="695" t="s">
        <v>1617</v>
      </c>
      <c r="AM285" s="669">
        <f t="shared" si="15"/>
        <v>6</v>
      </c>
    </row>
    <row r="286" spans="1:39" s="500" customFormat="1">
      <c r="A286" s="539" t="s">
        <v>798</v>
      </c>
      <c r="B286" s="539" t="s">
        <v>1233</v>
      </c>
      <c r="C286" s="548" t="s">
        <v>1450</v>
      </c>
      <c r="D286" s="519"/>
      <c r="E286" s="726"/>
      <c r="F286" s="520"/>
      <c r="G286" s="520"/>
      <c r="H286" s="520"/>
      <c r="I286" s="521"/>
      <c r="J286" s="521"/>
      <c r="K286" s="521"/>
      <c r="L286" s="756"/>
      <c r="M286" s="514"/>
      <c r="N286" s="514"/>
      <c r="O286" s="514"/>
      <c r="P286" s="514"/>
      <c r="Q286" s="514"/>
      <c r="R286" s="514"/>
      <c r="S286" s="756"/>
      <c r="T286" s="514"/>
      <c r="U286" s="514"/>
      <c r="V286" s="514"/>
      <c r="W286" s="514"/>
      <c r="X286" s="514"/>
      <c r="Y286" s="514"/>
      <c r="Z286" s="756"/>
      <c r="AA286" s="514"/>
      <c r="AB286" s="514"/>
      <c r="AC286" s="514"/>
      <c r="AD286" s="514"/>
      <c r="AE286" s="774"/>
      <c r="AF286" s="514"/>
      <c r="AG286" s="897"/>
      <c r="AH286" s="789"/>
      <c r="AI286" s="664">
        <f t="shared" si="13"/>
        <v>0</v>
      </c>
      <c r="AJ286" s="521">
        <v>0</v>
      </c>
      <c r="AK286" s="520">
        <f t="shared" si="14"/>
        <v>0</v>
      </c>
      <c r="AL286" s="695"/>
      <c r="AM286" s="669">
        <f t="shared" si="15"/>
        <v>0</v>
      </c>
    </row>
    <row r="287" spans="1:39" s="500" customFormat="1">
      <c r="A287" s="542" t="s">
        <v>799</v>
      </c>
      <c r="B287" s="542" t="s">
        <v>1200</v>
      </c>
      <c r="C287" s="616"/>
      <c r="D287" s="519"/>
      <c r="E287" s="726"/>
      <c r="F287" s="520"/>
      <c r="G287" s="520"/>
      <c r="H287" s="520"/>
      <c r="I287" s="521"/>
      <c r="J287" s="521"/>
      <c r="K287" s="521"/>
      <c r="L287" s="756"/>
      <c r="M287" s="514"/>
      <c r="N287" s="514"/>
      <c r="O287" s="514"/>
      <c r="P287" s="514"/>
      <c r="Q287" s="514"/>
      <c r="R287" s="514"/>
      <c r="S287" s="756"/>
      <c r="T287" s="514"/>
      <c r="U287" s="514"/>
      <c r="V287" s="514"/>
      <c r="W287" s="514"/>
      <c r="X287" s="514"/>
      <c r="Y287" s="514"/>
      <c r="Z287" s="756"/>
      <c r="AA287" s="514"/>
      <c r="AB287" s="514"/>
      <c r="AC287" s="514"/>
      <c r="AD287" s="514"/>
      <c r="AE287" s="774"/>
      <c r="AF287" s="514"/>
      <c r="AG287" s="897"/>
      <c r="AH287" s="789"/>
      <c r="AI287" s="664">
        <f t="shared" si="13"/>
        <v>0</v>
      </c>
      <c r="AJ287" s="521">
        <v>0</v>
      </c>
      <c r="AK287" s="520">
        <f t="shared" si="14"/>
        <v>0</v>
      </c>
      <c r="AL287" s="695" t="s">
        <v>1618</v>
      </c>
      <c r="AM287" s="669">
        <f t="shared" si="15"/>
        <v>3</v>
      </c>
    </row>
    <row r="288" spans="1:39" s="500" customFormat="1" ht="13.5" thickBot="1">
      <c r="A288" s="539" t="s">
        <v>800</v>
      </c>
      <c r="B288" s="539" t="s">
        <v>225</v>
      </c>
      <c r="C288" s="548" t="s">
        <v>1450</v>
      </c>
      <c r="D288" s="519"/>
      <c r="E288" s="726"/>
      <c r="F288" s="520"/>
      <c r="G288" s="520"/>
      <c r="H288" s="520"/>
      <c r="I288" s="521"/>
      <c r="J288" s="521"/>
      <c r="K288" s="521"/>
      <c r="L288" s="756"/>
      <c r="M288" s="514"/>
      <c r="N288" s="514"/>
      <c r="O288" s="514"/>
      <c r="P288" s="514"/>
      <c r="Q288" s="514"/>
      <c r="R288" s="514"/>
      <c r="S288" s="756"/>
      <c r="T288" s="514"/>
      <c r="U288" s="514"/>
      <c r="V288" s="514"/>
      <c r="W288" s="514"/>
      <c r="X288" s="514"/>
      <c r="Y288" s="514"/>
      <c r="Z288" s="756"/>
      <c r="AA288" s="514"/>
      <c r="AB288" s="514"/>
      <c r="AC288" s="514"/>
      <c r="AD288" s="514"/>
      <c r="AE288" s="774"/>
      <c r="AF288" s="514"/>
      <c r="AG288" s="897"/>
      <c r="AH288" s="789"/>
      <c r="AI288" s="664">
        <f t="shared" si="13"/>
        <v>0</v>
      </c>
      <c r="AJ288" s="521">
        <v>0</v>
      </c>
      <c r="AK288" s="520">
        <f t="shared" si="14"/>
        <v>0</v>
      </c>
      <c r="AL288" s="695"/>
      <c r="AM288" s="669">
        <f t="shared" si="15"/>
        <v>0</v>
      </c>
    </row>
    <row r="289" spans="1:39" s="730" customFormat="1">
      <c r="A289" s="816" t="s">
        <v>45</v>
      </c>
      <c r="B289" s="816" t="s">
        <v>1234</v>
      </c>
      <c r="C289" s="844"/>
      <c r="D289" s="743"/>
      <c r="E289" s="726"/>
      <c r="F289" s="726"/>
      <c r="G289" s="726"/>
      <c r="H289" s="726"/>
      <c r="I289" s="725"/>
      <c r="J289" s="725"/>
      <c r="K289" s="725"/>
      <c r="L289" s="756"/>
      <c r="M289" s="756"/>
      <c r="N289" s="756"/>
      <c r="O289" s="756"/>
      <c r="P289" s="756"/>
      <c r="Q289" s="756"/>
      <c r="R289" s="756"/>
      <c r="S289" s="756"/>
      <c r="T289" s="756"/>
      <c r="U289" s="756"/>
      <c r="V289" s="756"/>
      <c r="W289" s="756"/>
      <c r="X289" s="756"/>
      <c r="Y289" s="756"/>
      <c r="Z289" s="756"/>
      <c r="AA289" s="756"/>
      <c r="AB289" s="756"/>
      <c r="AC289" s="756"/>
      <c r="AD289" s="756"/>
      <c r="AE289" s="774"/>
      <c r="AF289" s="756"/>
      <c r="AG289" s="897"/>
      <c r="AH289" s="819"/>
      <c r="AI289" s="786">
        <f t="shared" si="13"/>
        <v>0</v>
      </c>
      <c r="AJ289" s="725">
        <v>0</v>
      </c>
      <c r="AK289" s="726">
        <f t="shared" si="14"/>
        <v>0</v>
      </c>
      <c r="AL289" s="847"/>
      <c r="AM289" s="729">
        <f t="shared" si="15"/>
        <v>0</v>
      </c>
    </row>
    <row r="290" spans="1:39" s="730" customFormat="1">
      <c r="A290" s="814" t="s">
        <v>47</v>
      </c>
      <c r="B290" s="815" t="s">
        <v>1235</v>
      </c>
      <c r="C290" s="844"/>
      <c r="D290" s="743"/>
      <c r="E290" s="726"/>
      <c r="F290" s="726"/>
      <c r="G290" s="726"/>
      <c r="H290" s="726"/>
      <c r="I290" s="725"/>
      <c r="J290" s="725"/>
      <c r="K290" s="725"/>
      <c r="L290" s="756"/>
      <c r="M290" s="756"/>
      <c r="N290" s="756"/>
      <c r="O290" s="756"/>
      <c r="P290" s="756"/>
      <c r="Q290" s="756"/>
      <c r="R290" s="756"/>
      <c r="S290" s="756"/>
      <c r="T290" s="756"/>
      <c r="U290" s="756"/>
      <c r="V290" s="756"/>
      <c r="W290" s="756"/>
      <c r="X290" s="756"/>
      <c r="Y290" s="756"/>
      <c r="Z290" s="756"/>
      <c r="AA290" s="756"/>
      <c r="AB290" s="756"/>
      <c r="AC290" s="756"/>
      <c r="AD290" s="756"/>
      <c r="AE290" s="774"/>
      <c r="AF290" s="756"/>
      <c r="AG290" s="897"/>
      <c r="AH290" s="819"/>
      <c r="AI290" s="786">
        <f t="shared" si="13"/>
        <v>0</v>
      </c>
      <c r="AJ290" s="725">
        <v>0</v>
      </c>
      <c r="AK290" s="726">
        <f t="shared" si="14"/>
        <v>0</v>
      </c>
      <c r="AL290" s="847"/>
      <c r="AM290" s="729">
        <f t="shared" si="15"/>
        <v>0</v>
      </c>
    </row>
    <row r="291" spans="1:39" s="730" customFormat="1">
      <c r="A291" s="831" t="s">
        <v>49</v>
      </c>
      <c r="B291" s="831" t="s">
        <v>1236</v>
      </c>
      <c r="C291" s="844"/>
      <c r="D291" s="743"/>
      <c r="E291" s="726"/>
      <c r="F291" s="726"/>
      <c r="G291" s="726"/>
      <c r="H291" s="726"/>
      <c r="I291" s="725"/>
      <c r="J291" s="725"/>
      <c r="K291" s="725"/>
      <c r="L291" s="756"/>
      <c r="M291" s="756"/>
      <c r="N291" s="756"/>
      <c r="O291" s="756"/>
      <c r="P291" s="756"/>
      <c r="Q291" s="756"/>
      <c r="R291" s="756"/>
      <c r="S291" s="756"/>
      <c r="T291" s="756"/>
      <c r="U291" s="756"/>
      <c r="V291" s="756"/>
      <c r="W291" s="756"/>
      <c r="X291" s="756"/>
      <c r="Y291" s="756"/>
      <c r="Z291" s="756"/>
      <c r="AA291" s="756"/>
      <c r="AB291" s="756"/>
      <c r="AC291" s="756"/>
      <c r="AD291" s="756"/>
      <c r="AE291" s="774"/>
      <c r="AF291" s="756"/>
      <c r="AG291" s="897"/>
      <c r="AH291" s="819"/>
      <c r="AI291" s="786">
        <f t="shared" si="13"/>
        <v>0</v>
      </c>
      <c r="AJ291" s="725">
        <v>0</v>
      </c>
      <c r="AK291" s="726">
        <f t="shared" si="14"/>
        <v>0</v>
      </c>
      <c r="AL291" s="847" t="s">
        <v>1619</v>
      </c>
      <c r="AM291" s="729">
        <f t="shared" si="15"/>
        <v>72.27</v>
      </c>
    </row>
    <row r="292" spans="1:39" s="730" customFormat="1">
      <c r="A292" s="720" t="s">
        <v>801</v>
      </c>
      <c r="B292" s="720" t="s">
        <v>1237</v>
      </c>
      <c r="C292" s="823" t="s">
        <v>37</v>
      </c>
      <c r="D292" s="743"/>
      <c r="E292" s="726"/>
      <c r="F292" s="726"/>
      <c r="G292" s="726"/>
      <c r="H292" s="726"/>
      <c r="I292" s="725"/>
      <c r="J292" s="725"/>
      <c r="K292" s="725"/>
      <c r="L292" s="756"/>
      <c r="M292" s="756"/>
      <c r="N292" s="756"/>
      <c r="O292" s="756"/>
      <c r="P292" s="756"/>
      <c r="Q292" s="756"/>
      <c r="R292" s="756"/>
      <c r="S292" s="756"/>
      <c r="T292" s="756"/>
      <c r="U292" s="756"/>
      <c r="V292" s="756"/>
      <c r="W292" s="756"/>
      <c r="X292" s="756"/>
      <c r="Y292" s="756"/>
      <c r="Z292" s="756"/>
      <c r="AA292" s="756"/>
      <c r="AB292" s="756"/>
      <c r="AC292" s="756"/>
      <c r="AD292" s="756"/>
      <c r="AE292" s="774"/>
      <c r="AF292" s="756"/>
      <c r="AG292" s="897"/>
      <c r="AH292" s="819"/>
      <c r="AI292" s="786">
        <f t="shared" si="13"/>
        <v>0</v>
      </c>
      <c r="AJ292" s="725">
        <v>0</v>
      </c>
      <c r="AK292" s="726">
        <f t="shared" si="14"/>
        <v>0</v>
      </c>
      <c r="AL292" s="847" t="s">
        <v>1620</v>
      </c>
      <c r="AM292" s="729">
        <f t="shared" si="15"/>
        <v>15.22</v>
      </c>
    </row>
    <row r="293" spans="1:39" s="730" customFormat="1">
      <c r="A293" s="720" t="s">
        <v>802</v>
      </c>
      <c r="B293" s="720" t="s">
        <v>1238</v>
      </c>
      <c r="C293" s="823" t="s">
        <v>37</v>
      </c>
      <c r="D293" s="743"/>
      <c r="E293" s="726"/>
      <c r="F293" s="726"/>
      <c r="G293" s="726"/>
      <c r="H293" s="726"/>
      <c r="I293" s="725"/>
      <c r="J293" s="725"/>
      <c r="K293" s="725"/>
      <c r="L293" s="756"/>
      <c r="M293" s="756"/>
      <c r="N293" s="756"/>
      <c r="O293" s="756"/>
      <c r="P293" s="756"/>
      <c r="Q293" s="756"/>
      <c r="R293" s="756"/>
      <c r="S293" s="756"/>
      <c r="T293" s="756"/>
      <c r="U293" s="756"/>
      <c r="V293" s="756"/>
      <c r="W293" s="756"/>
      <c r="X293" s="756"/>
      <c r="Y293" s="756"/>
      <c r="Z293" s="756"/>
      <c r="AA293" s="756"/>
      <c r="AB293" s="756"/>
      <c r="AC293" s="756"/>
      <c r="AD293" s="756"/>
      <c r="AE293" s="774"/>
      <c r="AF293" s="756"/>
      <c r="AG293" s="897"/>
      <c r="AH293" s="819"/>
      <c r="AI293" s="786">
        <f t="shared" si="13"/>
        <v>0</v>
      </c>
      <c r="AJ293" s="725">
        <v>0</v>
      </c>
      <c r="AK293" s="726">
        <f t="shared" si="14"/>
        <v>0</v>
      </c>
      <c r="AL293" s="847"/>
      <c r="AM293" s="729">
        <f t="shared" si="15"/>
        <v>0</v>
      </c>
    </row>
    <row r="294" spans="1:39" s="500" customFormat="1">
      <c r="A294" s="542" t="s">
        <v>50</v>
      </c>
      <c r="B294" s="542" t="s">
        <v>1239</v>
      </c>
      <c r="C294" s="616"/>
      <c r="D294" s="519"/>
      <c r="E294" s="726"/>
      <c r="F294" s="520"/>
      <c r="G294" s="520"/>
      <c r="H294" s="520"/>
      <c r="I294" s="521"/>
      <c r="J294" s="521"/>
      <c r="K294" s="521"/>
      <c r="L294" s="756"/>
      <c r="M294" s="514"/>
      <c r="N294" s="514"/>
      <c r="O294" s="514"/>
      <c r="P294" s="514"/>
      <c r="Q294" s="514"/>
      <c r="R294" s="514"/>
      <c r="S294" s="756"/>
      <c r="T294" s="514"/>
      <c r="U294" s="514"/>
      <c r="V294" s="514"/>
      <c r="W294" s="514"/>
      <c r="X294" s="514"/>
      <c r="Y294" s="514"/>
      <c r="Z294" s="756"/>
      <c r="AA294" s="514"/>
      <c r="AB294" s="514"/>
      <c r="AC294" s="514"/>
      <c r="AD294" s="514"/>
      <c r="AE294" s="774"/>
      <c r="AF294" s="514"/>
      <c r="AG294" s="897"/>
      <c r="AH294" s="789"/>
      <c r="AI294" s="664">
        <f t="shared" si="13"/>
        <v>0</v>
      </c>
      <c r="AJ294" s="521">
        <v>0</v>
      </c>
      <c r="AK294" s="520">
        <f t="shared" si="14"/>
        <v>0</v>
      </c>
      <c r="AL294" s="695" t="s">
        <v>1621</v>
      </c>
      <c r="AM294" s="669">
        <f t="shared" si="15"/>
        <v>123.1</v>
      </c>
    </row>
    <row r="295" spans="1:39" s="500" customFormat="1">
      <c r="A295" s="539" t="s">
        <v>803</v>
      </c>
      <c r="B295" s="539" t="s">
        <v>1240</v>
      </c>
      <c r="C295" s="548" t="s">
        <v>37</v>
      </c>
      <c r="D295" s="519"/>
      <c r="E295" s="726"/>
      <c r="F295" s="520"/>
      <c r="G295" s="520"/>
      <c r="H295" s="520"/>
      <c r="I295" s="521"/>
      <c r="J295" s="521"/>
      <c r="K295" s="521"/>
      <c r="L295" s="756"/>
      <c r="M295" s="514"/>
      <c r="N295" s="514"/>
      <c r="O295" s="514"/>
      <c r="P295" s="514"/>
      <c r="Q295" s="514"/>
      <c r="R295" s="514"/>
      <c r="S295" s="756"/>
      <c r="T295" s="514"/>
      <c r="U295" s="514"/>
      <c r="V295" s="514"/>
      <c r="W295" s="514"/>
      <c r="X295" s="514"/>
      <c r="Y295" s="514"/>
      <c r="Z295" s="756"/>
      <c r="AA295" s="514"/>
      <c r="AB295" s="514"/>
      <c r="AC295" s="514"/>
      <c r="AD295" s="514"/>
      <c r="AE295" s="774"/>
      <c r="AF295" s="514"/>
      <c r="AG295" s="897"/>
      <c r="AH295" s="789"/>
      <c r="AI295" s="664">
        <f t="shared" si="13"/>
        <v>0</v>
      </c>
      <c r="AJ295" s="521">
        <v>0</v>
      </c>
      <c r="AK295" s="520">
        <f t="shared" si="14"/>
        <v>0</v>
      </c>
      <c r="AL295" s="695" t="s">
        <v>1622</v>
      </c>
      <c r="AM295" s="669">
        <f t="shared" si="15"/>
        <v>54.38</v>
      </c>
    </row>
    <row r="296" spans="1:39" s="500" customFormat="1">
      <c r="A296" s="539" t="s">
        <v>804</v>
      </c>
      <c r="B296" s="539" t="s">
        <v>1241</v>
      </c>
      <c r="C296" s="548" t="s">
        <v>37</v>
      </c>
      <c r="D296" s="519"/>
      <c r="E296" s="726"/>
      <c r="F296" s="520"/>
      <c r="G296" s="520"/>
      <c r="H296" s="520"/>
      <c r="I296" s="521"/>
      <c r="J296" s="521"/>
      <c r="K296" s="521"/>
      <c r="L296" s="756"/>
      <c r="M296" s="514"/>
      <c r="N296" s="514"/>
      <c r="O296" s="514"/>
      <c r="P296" s="514"/>
      <c r="Q296" s="514"/>
      <c r="R296" s="514"/>
      <c r="S296" s="756"/>
      <c r="T296" s="514"/>
      <c r="U296" s="514"/>
      <c r="V296" s="514"/>
      <c r="W296" s="514"/>
      <c r="X296" s="514"/>
      <c r="Y296" s="514"/>
      <c r="Z296" s="756"/>
      <c r="AA296" s="514"/>
      <c r="AB296" s="514"/>
      <c r="AC296" s="514"/>
      <c r="AD296" s="514"/>
      <c r="AE296" s="774"/>
      <c r="AF296" s="514"/>
      <c r="AG296" s="897"/>
      <c r="AH296" s="789"/>
      <c r="AI296" s="664">
        <f t="shared" si="13"/>
        <v>0</v>
      </c>
      <c r="AJ296" s="521">
        <v>0</v>
      </c>
      <c r="AK296" s="520">
        <f t="shared" si="14"/>
        <v>0</v>
      </c>
      <c r="AL296" s="695" t="s">
        <v>1623</v>
      </c>
      <c r="AM296" s="669">
        <f t="shared" si="15"/>
        <v>34.44</v>
      </c>
    </row>
    <row r="297" spans="1:39" s="500" customFormat="1">
      <c r="A297" s="539" t="s">
        <v>805</v>
      </c>
      <c r="B297" s="539" t="s">
        <v>1242</v>
      </c>
      <c r="C297" s="548" t="s">
        <v>37</v>
      </c>
      <c r="D297" s="519"/>
      <c r="E297" s="726"/>
      <c r="F297" s="520"/>
      <c r="G297" s="520"/>
      <c r="H297" s="520"/>
      <c r="I297" s="521"/>
      <c r="J297" s="521"/>
      <c r="K297" s="521"/>
      <c r="L297" s="756"/>
      <c r="M297" s="514"/>
      <c r="N297" s="514"/>
      <c r="O297" s="514"/>
      <c r="P297" s="514"/>
      <c r="Q297" s="514"/>
      <c r="R297" s="514"/>
      <c r="S297" s="756"/>
      <c r="T297" s="514"/>
      <c r="U297" s="514"/>
      <c r="V297" s="514"/>
      <c r="W297" s="514"/>
      <c r="X297" s="514"/>
      <c r="Y297" s="514"/>
      <c r="Z297" s="756"/>
      <c r="AA297" s="514"/>
      <c r="AB297" s="514"/>
      <c r="AC297" s="514"/>
      <c r="AD297" s="514"/>
      <c r="AE297" s="774"/>
      <c r="AF297" s="514"/>
      <c r="AG297" s="897"/>
      <c r="AH297" s="789"/>
      <c r="AI297" s="664">
        <f t="shared" si="13"/>
        <v>0</v>
      </c>
      <c r="AJ297" s="521">
        <v>0</v>
      </c>
      <c r="AK297" s="520">
        <f t="shared" si="14"/>
        <v>0</v>
      </c>
      <c r="AL297" s="695" t="s">
        <v>1624</v>
      </c>
      <c r="AM297" s="669">
        <f t="shared" si="15"/>
        <v>30.39</v>
      </c>
    </row>
    <row r="298" spans="1:39" s="500" customFormat="1">
      <c r="A298" s="539" t="s">
        <v>806</v>
      </c>
      <c r="B298" s="539" t="s">
        <v>1243</v>
      </c>
      <c r="C298" s="548" t="s">
        <v>37</v>
      </c>
      <c r="D298" s="519"/>
      <c r="E298" s="726"/>
      <c r="F298" s="520"/>
      <c r="G298" s="520"/>
      <c r="H298" s="520"/>
      <c r="I298" s="521"/>
      <c r="J298" s="521"/>
      <c r="K298" s="521"/>
      <c r="L298" s="756"/>
      <c r="M298" s="514"/>
      <c r="N298" s="514"/>
      <c r="O298" s="514"/>
      <c r="P298" s="514"/>
      <c r="Q298" s="514"/>
      <c r="R298" s="514"/>
      <c r="S298" s="756"/>
      <c r="T298" s="514"/>
      <c r="U298" s="514"/>
      <c r="V298" s="514"/>
      <c r="W298" s="514"/>
      <c r="X298" s="514"/>
      <c r="Y298" s="514"/>
      <c r="Z298" s="756"/>
      <c r="AA298" s="514"/>
      <c r="AB298" s="514"/>
      <c r="AC298" s="514"/>
      <c r="AD298" s="514"/>
      <c r="AE298" s="774"/>
      <c r="AF298" s="514"/>
      <c r="AG298" s="897"/>
      <c r="AH298" s="789"/>
      <c r="AI298" s="664">
        <f t="shared" si="13"/>
        <v>0</v>
      </c>
      <c r="AJ298" s="521">
        <v>0</v>
      </c>
      <c r="AK298" s="520">
        <f t="shared" si="14"/>
        <v>0</v>
      </c>
      <c r="AL298" s="695" t="s">
        <v>1625</v>
      </c>
      <c r="AM298" s="669">
        <f t="shared" si="15"/>
        <v>39.17</v>
      </c>
    </row>
    <row r="299" spans="1:39" s="500" customFormat="1">
      <c r="A299" s="539" t="s">
        <v>807</v>
      </c>
      <c r="B299" s="539" t="s">
        <v>1244</v>
      </c>
      <c r="C299" s="548" t="s">
        <v>37</v>
      </c>
      <c r="D299" s="519"/>
      <c r="E299" s="726"/>
      <c r="F299" s="520"/>
      <c r="G299" s="520"/>
      <c r="H299" s="520"/>
      <c r="I299" s="521"/>
      <c r="J299" s="521"/>
      <c r="K299" s="521"/>
      <c r="L299" s="756"/>
      <c r="M299" s="514"/>
      <c r="N299" s="514"/>
      <c r="O299" s="514"/>
      <c r="P299" s="514"/>
      <c r="Q299" s="514"/>
      <c r="R299" s="514"/>
      <c r="S299" s="756"/>
      <c r="T299" s="514"/>
      <c r="U299" s="514"/>
      <c r="V299" s="514"/>
      <c r="W299" s="514"/>
      <c r="X299" s="514"/>
      <c r="Y299" s="514"/>
      <c r="Z299" s="756"/>
      <c r="AA299" s="514"/>
      <c r="AB299" s="514"/>
      <c r="AC299" s="514"/>
      <c r="AD299" s="514"/>
      <c r="AE299" s="774"/>
      <c r="AF299" s="514"/>
      <c r="AG299" s="897"/>
      <c r="AH299" s="789"/>
      <c r="AI299" s="664">
        <f t="shared" ref="AI299:AI362" si="16">ROUND((SUM(D299:L299)),2)</f>
        <v>0</v>
      </c>
      <c r="AJ299" s="521">
        <v>0</v>
      </c>
      <c r="AK299" s="520">
        <f t="shared" si="14"/>
        <v>0</v>
      </c>
      <c r="AL299" s="695" t="s">
        <v>1626</v>
      </c>
      <c r="AM299" s="669">
        <f t="shared" si="15"/>
        <v>68.38</v>
      </c>
    </row>
    <row r="300" spans="1:39" s="500" customFormat="1">
      <c r="A300" s="539" t="s">
        <v>808</v>
      </c>
      <c r="B300" s="539" t="s">
        <v>1245</v>
      </c>
      <c r="C300" s="548" t="s">
        <v>38</v>
      </c>
      <c r="D300" s="519"/>
      <c r="E300" s="726"/>
      <c r="F300" s="520"/>
      <c r="G300" s="520"/>
      <c r="H300" s="520"/>
      <c r="I300" s="521"/>
      <c r="J300" s="521"/>
      <c r="K300" s="521"/>
      <c r="L300" s="756"/>
      <c r="M300" s="514"/>
      <c r="N300" s="514"/>
      <c r="O300" s="514"/>
      <c r="P300" s="514"/>
      <c r="Q300" s="514"/>
      <c r="R300" s="514"/>
      <c r="S300" s="756"/>
      <c r="T300" s="514"/>
      <c r="U300" s="514"/>
      <c r="V300" s="514"/>
      <c r="W300" s="514"/>
      <c r="X300" s="514"/>
      <c r="Y300" s="514"/>
      <c r="Z300" s="756"/>
      <c r="AA300" s="514"/>
      <c r="AB300" s="514"/>
      <c r="AC300" s="514"/>
      <c r="AD300" s="514"/>
      <c r="AE300" s="774"/>
      <c r="AF300" s="514"/>
      <c r="AG300" s="897"/>
      <c r="AH300" s="789"/>
      <c r="AI300" s="664">
        <f t="shared" si="16"/>
        <v>0</v>
      </c>
      <c r="AJ300" s="521">
        <v>0</v>
      </c>
      <c r="AK300" s="520">
        <f t="shared" si="14"/>
        <v>0</v>
      </c>
      <c r="AL300" s="695" t="s">
        <v>1627</v>
      </c>
      <c r="AM300" s="669">
        <f t="shared" si="15"/>
        <v>228.32</v>
      </c>
    </row>
    <row r="301" spans="1:39" s="500" customFormat="1">
      <c r="A301" s="539" t="s">
        <v>809</v>
      </c>
      <c r="B301" s="539" t="s">
        <v>1246</v>
      </c>
      <c r="C301" s="548" t="s">
        <v>38</v>
      </c>
      <c r="D301" s="519"/>
      <c r="E301" s="726"/>
      <c r="F301" s="520"/>
      <c r="G301" s="520"/>
      <c r="H301" s="520"/>
      <c r="I301" s="521"/>
      <c r="J301" s="521"/>
      <c r="K301" s="521"/>
      <c r="L301" s="756"/>
      <c r="M301" s="514"/>
      <c r="N301" s="514"/>
      <c r="O301" s="514"/>
      <c r="P301" s="514"/>
      <c r="Q301" s="514"/>
      <c r="R301" s="514"/>
      <c r="S301" s="756"/>
      <c r="T301" s="514"/>
      <c r="U301" s="514"/>
      <c r="V301" s="514"/>
      <c r="W301" s="514"/>
      <c r="X301" s="514"/>
      <c r="Y301" s="514"/>
      <c r="Z301" s="756"/>
      <c r="AA301" s="514"/>
      <c r="AB301" s="514"/>
      <c r="AC301" s="514"/>
      <c r="AD301" s="514"/>
      <c r="AE301" s="774"/>
      <c r="AF301" s="514"/>
      <c r="AG301" s="897"/>
      <c r="AH301" s="789"/>
      <c r="AI301" s="664">
        <f t="shared" si="16"/>
        <v>0</v>
      </c>
      <c r="AJ301" s="521">
        <v>0</v>
      </c>
      <c r="AK301" s="520">
        <f t="shared" si="14"/>
        <v>0</v>
      </c>
      <c r="AL301" s="695"/>
      <c r="AM301" s="669">
        <f t="shared" si="15"/>
        <v>0</v>
      </c>
    </row>
    <row r="302" spans="1:39" s="500" customFormat="1">
      <c r="A302" s="542" t="s">
        <v>51</v>
      </c>
      <c r="B302" s="542" t="s">
        <v>1247</v>
      </c>
      <c r="C302" s="616"/>
      <c r="D302" s="519"/>
      <c r="E302" s="726"/>
      <c r="F302" s="520"/>
      <c r="G302" s="520"/>
      <c r="H302" s="520"/>
      <c r="I302" s="521"/>
      <c r="J302" s="521"/>
      <c r="K302" s="521"/>
      <c r="L302" s="756"/>
      <c r="M302" s="514"/>
      <c r="N302" s="514"/>
      <c r="O302" s="514"/>
      <c r="P302" s="514"/>
      <c r="Q302" s="514"/>
      <c r="R302" s="514"/>
      <c r="S302" s="756"/>
      <c r="T302" s="514"/>
      <c r="U302" s="514"/>
      <c r="V302" s="514"/>
      <c r="W302" s="514"/>
      <c r="X302" s="514"/>
      <c r="Y302" s="514"/>
      <c r="Z302" s="756"/>
      <c r="AA302" s="514"/>
      <c r="AB302" s="514"/>
      <c r="AC302" s="514"/>
      <c r="AD302" s="514"/>
      <c r="AE302" s="774"/>
      <c r="AF302" s="514"/>
      <c r="AG302" s="897"/>
      <c r="AH302" s="789"/>
      <c r="AI302" s="664">
        <f t="shared" si="16"/>
        <v>0</v>
      </c>
      <c r="AJ302" s="521">
        <v>0</v>
      </c>
      <c r="AK302" s="520">
        <f t="shared" si="14"/>
        <v>0</v>
      </c>
      <c r="AL302" s="695" t="s">
        <v>1628</v>
      </c>
      <c r="AM302" s="669">
        <f t="shared" si="15"/>
        <v>90.62</v>
      </c>
    </row>
    <row r="303" spans="1:39" s="500" customFormat="1">
      <c r="A303" s="539" t="s">
        <v>810</v>
      </c>
      <c r="B303" s="539" t="s">
        <v>1248</v>
      </c>
      <c r="C303" s="548" t="s">
        <v>37</v>
      </c>
      <c r="D303" s="519"/>
      <c r="E303" s="726"/>
      <c r="F303" s="520"/>
      <c r="G303" s="520"/>
      <c r="H303" s="520"/>
      <c r="I303" s="521"/>
      <c r="J303" s="521"/>
      <c r="K303" s="521"/>
      <c r="L303" s="756"/>
      <c r="M303" s="514"/>
      <c r="N303" s="514"/>
      <c r="O303" s="514"/>
      <c r="P303" s="514"/>
      <c r="Q303" s="514"/>
      <c r="R303" s="514"/>
      <c r="S303" s="756"/>
      <c r="T303" s="514"/>
      <c r="U303" s="514"/>
      <c r="V303" s="514"/>
      <c r="W303" s="514"/>
      <c r="X303" s="514"/>
      <c r="Y303" s="514"/>
      <c r="Z303" s="756"/>
      <c r="AA303" s="514"/>
      <c r="AB303" s="514"/>
      <c r="AC303" s="514"/>
      <c r="AD303" s="514"/>
      <c r="AE303" s="774"/>
      <c r="AF303" s="514"/>
      <c r="AG303" s="897"/>
      <c r="AH303" s="789"/>
      <c r="AI303" s="664">
        <f t="shared" si="16"/>
        <v>0</v>
      </c>
      <c r="AJ303" s="521">
        <v>0</v>
      </c>
      <c r="AK303" s="520">
        <f t="shared" si="14"/>
        <v>0</v>
      </c>
      <c r="AL303" s="695"/>
      <c r="AM303" s="669">
        <f t="shared" si="15"/>
        <v>0</v>
      </c>
    </row>
    <row r="304" spans="1:39" s="730" customFormat="1">
      <c r="A304" s="831" t="s">
        <v>277</v>
      </c>
      <c r="B304" s="831" t="s">
        <v>1249</v>
      </c>
      <c r="C304" s="844"/>
      <c r="D304" s="743"/>
      <c r="E304" s="726"/>
      <c r="F304" s="726"/>
      <c r="G304" s="726"/>
      <c r="H304" s="726"/>
      <c r="I304" s="725"/>
      <c r="J304" s="725"/>
      <c r="K304" s="725"/>
      <c r="L304" s="756"/>
      <c r="M304" s="756"/>
      <c r="N304" s="756"/>
      <c r="O304" s="756"/>
      <c r="P304" s="756"/>
      <c r="Q304" s="756"/>
      <c r="R304" s="756"/>
      <c r="S304" s="756"/>
      <c r="T304" s="756"/>
      <c r="U304" s="756"/>
      <c r="V304" s="756"/>
      <c r="W304" s="756"/>
      <c r="X304" s="756"/>
      <c r="Y304" s="756"/>
      <c r="Z304" s="756"/>
      <c r="AA304" s="756"/>
      <c r="AB304" s="756"/>
      <c r="AC304" s="756"/>
      <c r="AD304" s="756"/>
      <c r="AE304" s="774"/>
      <c r="AF304" s="756"/>
      <c r="AG304" s="897"/>
      <c r="AH304" s="819"/>
      <c r="AI304" s="786">
        <f t="shared" si="16"/>
        <v>0</v>
      </c>
      <c r="AJ304" s="725">
        <v>0</v>
      </c>
      <c r="AK304" s="726">
        <f t="shared" si="14"/>
        <v>0</v>
      </c>
      <c r="AL304" s="847" t="s">
        <v>1629</v>
      </c>
      <c r="AM304" s="729">
        <f t="shared" si="15"/>
        <v>72.22</v>
      </c>
    </row>
    <row r="305" spans="1:39" s="730" customFormat="1">
      <c r="A305" s="720" t="s">
        <v>811</v>
      </c>
      <c r="B305" s="720" t="s">
        <v>1250</v>
      </c>
      <c r="C305" s="823" t="s">
        <v>37</v>
      </c>
      <c r="D305" s="743"/>
      <c r="E305" s="726"/>
      <c r="F305" s="726"/>
      <c r="G305" s="726"/>
      <c r="H305" s="726"/>
      <c r="I305" s="725"/>
      <c r="J305" s="725"/>
      <c r="K305" s="725"/>
      <c r="L305" s="756"/>
      <c r="M305" s="756"/>
      <c r="N305" s="756"/>
      <c r="O305" s="756"/>
      <c r="P305" s="756"/>
      <c r="Q305" s="756"/>
      <c r="R305" s="756"/>
      <c r="S305" s="756"/>
      <c r="T305" s="756"/>
      <c r="U305" s="756"/>
      <c r="V305" s="756"/>
      <c r="W305" s="756"/>
      <c r="X305" s="756"/>
      <c r="Y305" s="756"/>
      <c r="Z305" s="756"/>
      <c r="AA305" s="756"/>
      <c r="AB305" s="756"/>
      <c r="AC305" s="756"/>
      <c r="AD305" s="756"/>
      <c r="AE305" s="774"/>
      <c r="AF305" s="756"/>
      <c r="AG305" s="897"/>
      <c r="AH305" s="819"/>
      <c r="AI305" s="786">
        <f t="shared" si="16"/>
        <v>0</v>
      </c>
      <c r="AJ305" s="725">
        <v>0</v>
      </c>
      <c r="AK305" s="726">
        <f t="shared" si="14"/>
        <v>0</v>
      </c>
      <c r="AL305" s="847" t="s">
        <v>1630</v>
      </c>
      <c r="AM305" s="729">
        <f t="shared" si="15"/>
        <v>56.44</v>
      </c>
    </row>
    <row r="306" spans="1:39" s="500" customFormat="1">
      <c r="A306" s="539" t="s">
        <v>812</v>
      </c>
      <c r="B306" s="539" t="s">
        <v>1251</v>
      </c>
      <c r="C306" s="548" t="s">
        <v>37</v>
      </c>
      <c r="D306" s="519"/>
      <c r="E306" s="726"/>
      <c r="F306" s="520"/>
      <c r="G306" s="520"/>
      <c r="H306" s="520"/>
      <c r="I306" s="521"/>
      <c r="J306" s="521"/>
      <c r="K306" s="521"/>
      <c r="L306" s="756"/>
      <c r="M306" s="514"/>
      <c r="N306" s="514"/>
      <c r="O306" s="514"/>
      <c r="P306" s="514"/>
      <c r="Q306" s="514"/>
      <c r="R306" s="514"/>
      <c r="S306" s="756"/>
      <c r="T306" s="514"/>
      <c r="U306" s="514"/>
      <c r="V306" s="514"/>
      <c r="W306" s="514"/>
      <c r="X306" s="514"/>
      <c r="Y306" s="514"/>
      <c r="Z306" s="756"/>
      <c r="AA306" s="514"/>
      <c r="AB306" s="514"/>
      <c r="AC306" s="514"/>
      <c r="AD306" s="514"/>
      <c r="AE306" s="774"/>
      <c r="AF306" s="514"/>
      <c r="AG306" s="897"/>
      <c r="AH306" s="789"/>
      <c r="AI306" s="664">
        <f t="shared" si="16"/>
        <v>0</v>
      </c>
      <c r="AJ306" s="521">
        <v>0</v>
      </c>
      <c r="AK306" s="520">
        <f t="shared" si="14"/>
        <v>0</v>
      </c>
      <c r="AL306" s="695" t="s">
        <v>1631</v>
      </c>
      <c r="AM306" s="669">
        <f t="shared" si="15"/>
        <v>15.78</v>
      </c>
    </row>
    <row r="307" spans="1:39" s="500" customFormat="1">
      <c r="A307" s="539" t="s">
        <v>813</v>
      </c>
      <c r="B307" s="539" t="s">
        <v>1252</v>
      </c>
      <c r="C307" s="548" t="s">
        <v>37</v>
      </c>
      <c r="D307" s="519"/>
      <c r="E307" s="726"/>
      <c r="F307" s="520"/>
      <c r="G307" s="520"/>
      <c r="H307" s="520"/>
      <c r="I307" s="521"/>
      <c r="J307" s="521"/>
      <c r="K307" s="521"/>
      <c r="L307" s="756"/>
      <c r="M307" s="514"/>
      <c r="N307" s="514"/>
      <c r="O307" s="514"/>
      <c r="P307" s="514"/>
      <c r="Q307" s="514"/>
      <c r="R307" s="514"/>
      <c r="S307" s="756"/>
      <c r="T307" s="514"/>
      <c r="U307" s="514"/>
      <c r="V307" s="514"/>
      <c r="W307" s="514"/>
      <c r="X307" s="514"/>
      <c r="Y307" s="514"/>
      <c r="Z307" s="756"/>
      <c r="AA307" s="514"/>
      <c r="AB307" s="514"/>
      <c r="AC307" s="514"/>
      <c r="AD307" s="514"/>
      <c r="AE307" s="774"/>
      <c r="AF307" s="514"/>
      <c r="AG307" s="897"/>
      <c r="AH307" s="789"/>
      <c r="AI307" s="664">
        <f t="shared" si="16"/>
        <v>0</v>
      </c>
      <c r="AJ307" s="521">
        <v>0</v>
      </c>
      <c r="AK307" s="520">
        <f t="shared" si="14"/>
        <v>0</v>
      </c>
      <c r="AL307" s="695"/>
      <c r="AM307" s="669">
        <f t="shared" si="15"/>
        <v>0</v>
      </c>
    </row>
    <row r="308" spans="1:39" s="500" customFormat="1">
      <c r="A308" s="542" t="s">
        <v>279</v>
      </c>
      <c r="B308" s="542" t="s">
        <v>1253</v>
      </c>
      <c r="C308" s="616"/>
      <c r="D308" s="519"/>
      <c r="E308" s="726"/>
      <c r="F308" s="520"/>
      <c r="G308" s="520"/>
      <c r="H308" s="520"/>
      <c r="I308" s="521"/>
      <c r="J308" s="521"/>
      <c r="K308" s="521"/>
      <c r="L308" s="756"/>
      <c r="M308" s="514"/>
      <c r="N308" s="514"/>
      <c r="O308" s="514"/>
      <c r="P308" s="514"/>
      <c r="Q308" s="514"/>
      <c r="R308" s="514"/>
      <c r="S308" s="756"/>
      <c r="T308" s="514"/>
      <c r="U308" s="514"/>
      <c r="V308" s="514"/>
      <c r="W308" s="514"/>
      <c r="X308" s="514"/>
      <c r="Y308" s="514"/>
      <c r="Z308" s="756"/>
      <c r="AA308" s="514"/>
      <c r="AB308" s="514"/>
      <c r="AC308" s="514"/>
      <c r="AD308" s="514"/>
      <c r="AE308" s="774"/>
      <c r="AF308" s="514"/>
      <c r="AG308" s="897"/>
      <c r="AH308" s="789"/>
      <c r="AI308" s="664">
        <f t="shared" si="16"/>
        <v>0</v>
      </c>
      <c r="AJ308" s="521">
        <v>0</v>
      </c>
      <c r="AK308" s="520">
        <f t="shared" si="14"/>
        <v>0</v>
      </c>
      <c r="AL308" s="695" t="s">
        <v>1632</v>
      </c>
      <c r="AM308" s="669">
        <f t="shared" si="15"/>
        <v>11.52</v>
      </c>
    </row>
    <row r="309" spans="1:39" s="500" customFormat="1">
      <c r="A309" s="539" t="s">
        <v>814</v>
      </c>
      <c r="B309" s="539" t="s">
        <v>1254</v>
      </c>
      <c r="C309" s="548" t="s">
        <v>38</v>
      </c>
      <c r="D309" s="519"/>
      <c r="E309" s="726"/>
      <c r="F309" s="520"/>
      <c r="G309" s="520"/>
      <c r="H309" s="520"/>
      <c r="I309" s="521"/>
      <c r="J309" s="521"/>
      <c r="K309" s="521"/>
      <c r="L309" s="756"/>
      <c r="M309" s="514"/>
      <c r="N309" s="514"/>
      <c r="O309" s="514"/>
      <c r="P309" s="514"/>
      <c r="Q309" s="514"/>
      <c r="R309" s="514"/>
      <c r="S309" s="756"/>
      <c r="T309" s="514"/>
      <c r="U309" s="514"/>
      <c r="V309" s="514"/>
      <c r="W309" s="514"/>
      <c r="X309" s="514"/>
      <c r="Y309" s="514"/>
      <c r="Z309" s="756"/>
      <c r="AA309" s="514"/>
      <c r="AB309" s="514"/>
      <c r="AC309" s="514"/>
      <c r="AD309" s="514"/>
      <c r="AE309" s="774"/>
      <c r="AF309" s="514"/>
      <c r="AG309" s="897"/>
      <c r="AH309" s="789"/>
      <c r="AI309" s="664">
        <f t="shared" si="16"/>
        <v>0</v>
      </c>
      <c r="AJ309" s="521">
        <v>0</v>
      </c>
      <c r="AK309" s="520">
        <f t="shared" si="14"/>
        <v>0</v>
      </c>
      <c r="AL309" s="695" t="s">
        <v>1633</v>
      </c>
      <c r="AM309" s="669">
        <f t="shared" si="15"/>
        <v>5.18</v>
      </c>
    </row>
    <row r="310" spans="1:39" s="500" customFormat="1">
      <c r="A310" s="539" t="s">
        <v>815</v>
      </c>
      <c r="B310" s="539" t="s">
        <v>1255</v>
      </c>
      <c r="C310" s="548" t="s">
        <v>37</v>
      </c>
      <c r="D310" s="519"/>
      <c r="E310" s="726"/>
      <c r="F310" s="520"/>
      <c r="G310" s="520"/>
      <c r="H310" s="520"/>
      <c r="I310" s="521"/>
      <c r="J310" s="521"/>
      <c r="K310" s="521"/>
      <c r="L310" s="756"/>
      <c r="M310" s="514"/>
      <c r="N310" s="514"/>
      <c r="O310" s="514"/>
      <c r="P310" s="514"/>
      <c r="Q310" s="514"/>
      <c r="R310" s="514"/>
      <c r="S310" s="756"/>
      <c r="T310" s="514"/>
      <c r="U310" s="514"/>
      <c r="V310" s="514"/>
      <c r="W310" s="514"/>
      <c r="X310" s="514"/>
      <c r="Y310" s="514"/>
      <c r="Z310" s="756"/>
      <c r="AA310" s="514"/>
      <c r="AB310" s="514"/>
      <c r="AC310" s="514"/>
      <c r="AD310" s="514"/>
      <c r="AE310" s="774"/>
      <c r="AF310" s="514"/>
      <c r="AG310" s="897"/>
      <c r="AH310" s="789"/>
      <c r="AI310" s="664">
        <f t="shared" si="16"/>
        <v>0</v>
      </c>
      <c r="AJ310" s="521">
        <v>0</v>
      </c>
      <c r="AK310" s="520">
        <f t="shared" si="14"/>
        <v>0</v>
      </c>
      <c r="AL310" s="695"/>
      <c r="AM310" s="669">
        <f t="shared" si="15"/>
        <v>0</v>
      </c>
    </row>
    <row r="311" spans="1:39" s="500" customFormat="1">
      <c r="A311" s="542" t="s">
        <v>280</v>
      </c>
      <c r="B311" s="542" t="s">
        <v>1256</v>
      </c>
      <c r="C311" s="616"/>
      <c r="D311" s="519"/>
      <c r="E311" s="726"/>
      <c r="F311" s="520"/>
      <c r="G311" s="520"/>
      <c r="H311" s="520"/>
      <c r="I311" s="521"/>
      <c r="J311" s="521"/>
      <c r="K311" s="521"/>
      <c r="L311" s="756"/>
      <c r="M311" s="514"/>
      <c r="N311" s="514"/>
      <c r="O311" s="514"/>
      <c r="P311" s="514"/>
      <c r="Q311" s="514"/>
      <c r="R311" s="514"/>
      <c r="S311" s="756"/>
      <c r="T311" s="514"/>
      <c r="U311" s="514"/>
      <c r="V311" s="514"/>
      <c r="W311" s="514"/>
      <c r="X311" s="514"/>
      <c r="Y311" s="514"/>
      <c r="Z311" s="756"/>
      <c r="AA311" s="514"/>
      <c r="AB311" s="514"/>
      <c r="AC311" s="514"/>
      <c r="AD311" s="514"/>
      <c r="AE311" s="774"/>
      <c r="AF311" s="514"/>
      <c r="AG311" s="897"/>
      <c r="AH311" s="789"/>
      <c r="AI311" s="664">
        <f t="shared" si="16"/>
        <v>0</v>
      </c>
      <c r="AJ311" s="521">
        <v>0</v>
      </c>
      <c r="AK311" s="520">
        <f t="shared" si="14"/>
        <v>0</v>
      </c>
      <c r="AL311" s="695" t="s">
        <v>1634</v>
      </c>
      <c r="AM311" s="669">
        <f t="shared" si="15"/>
        <v>73.5</v>
      </c>
    </row>
    <row r="312" spans="1:39" s="500" customFormat="1">
      <c r="A312" s="539" t="s">
        <v>816</v>
      </c>
      <c r="B312" s="539" t="s">
        <v>1257</v>
      </c>
      <c r="C312" s="548" t="s">
        <v>37</v>
      </c>
      <c r="D312" s="519"/>
      <c r="E312" s="726"/>
      <c r="F312" s="520"/>
      <c r="G312" s="520"/>
      <c r="H312" s="520"/>
      <c r="I312" s="521"/>
      <c r="J312" s="521"/>
      <c r="K312" s="521"/>
      <c r="L312" s="756"/>
      <c r="M312" s="514"/>
      <c r="N312" s="514"/>
      <c r="O312" s="514"/>
      <c r="P312" s="514"/>
      <c r="Q312" s="514"/>
      <c r="R312" s="514"/>
      <c r="S312" s="756"/>
      <c r="T312" s="514"/>
      <c r="U312" s="514"/>
      <c r="V312" s="514"/>
      <c r="W312" s="514"/>
      <c r="X312" s="514"/>
      <c r="Y312" s="514"/>
      <c r="Z312" s="756"/>
      <c r="AA312" s="514"/>
      <c r="AB312" s="514"/>
      <c r="AC312" s="514"/>
      <c r="AD312" s="514"/>
      <c r="AE312" s="774"/>
      <c r="AF312" s="514"/>
      <c r="AG312" s="897"/>
      <c r="AH312" s="789"/>
      <c r="AI312" s="664">
        <f t="shared" si="16"/>
        <v>0</v>
      </c>
      <c r="AJ312" s="521">
        <v>0</v>
      </c>
      <c r="AK312" s="520">
        <f t="shared" si="14"/>
        <v>0</v>
      </c>
      <c r="AL312" s="695"/>
      <c r="AM312" s="669">
        <f t="shared" si="15"/>
        <v>0</v>
      </c>
    </row>
    <row r="313" spans="1:39" s="500" customFormat="1">
      <c r="A313" s="542" t="s">
        <v>281</v>
      </c>
      <c r="B313" s="542" t="s">
        <v>1258</v>
      </c>
      <c r="C313" s="616"/>
      <c r="D313" s="519"/>
      <c r="E313" s="726"/>
      <c r="F313" s="520"/>
      <c r="G313" s="520"/>
      <c r="H313" s="520"/>
      <c r="I313" s="521"/>
      <c r="J313" s="521"/>
      <c r="K313" s="521"/>
      <c r="L313" s="756"/>
      <c r="M313" s="514"/>
      <c r="N313" s="514"/>
      <c r="O313" s="514"/>
      <c r="P313" s="514"/>
      <c r="Q313" s="514"/>
      <c r="R313" s="514"/>
      <c r="S313" s="756"/>
      <c r="T313" s="514"/>
      <c r="U313" s="514"/>
      <c r="V313" s="514"/>
      <c r="W313" s="514"/>
      <c r="X313" s="514"/>
      <c r="Y313" s="514"/>
      <c r="Z313" s="756"/>
      <c r="AA313" s="514"/>
      <c r="AB313" s="514"/>
      <c r="AC313" s="514"/>
      <c r="AD313" s="514"/>
      <c r="AE313" s="774"/>
      <c r="AF313" s="514"/>
      <c r="AG313" s="897"/>
      <c r="AH313" s="789"/>
      <c r="AI313" s="664">
        <f t="shared" si="16"/>
        <v>0</v>
      </c>
      <c r="AJ313" s="521">
        <v>0</v>
      </c>
      <c r="AK313" s="520">
        <f t="shared" si="14"/>
        <v>0</v>
      </c>
      <c r="AL313" s="695" t="s">
        <v>1635</v>
      </c>
      <c r="AM313" s="669">
        <f t="shared" si="15"/>
        <v>15.8</v>
      </c>
    </row>
    <row r="314" spans="1:39" s="500" customFormat="1">
      <c r="A314" s="539" t="s">
        <v>817</v>
      </c>
      <c r="B314" s="539" t="s">
        <v>1259</v>
      </c>
      <c r="C314" s="548" t="s">
        <v>37</v>
      </c>
      <c r="D314" s="519"/>
      <c r="E314" s="726"/>
      <c r="F314" s="520"/>
      <c r="G314" s="520"/>
      <c r="H314" s="520"/>
      <c r="I314" s="521"/>
      <c r="J314" s="521"/>
      <c r="K314" s="521"/>
      <c r="L314" s="756"/>
      <c r="M314" s="514"/>
      <c r="N314" s="514"/>
      <c r="O314" s="514"/>
      <c r="P314" s="514"/>
      <c r="Q314" s="514"/>
      <c r="R314" s="514"/>
      <c r="S314" s="756"/>
      <c r="T314" s="514"/>
      <c r="U314" s="514"/>
      <c r="V314" s="514"/>
      <c r="W314" s="514"/>
      <c r="X314" s="514"/>
      <c r="Y314" s="514"/>
      <c r="Z314" s="756"/>
      <c r="AA314" s="514"/>
      <c r="AB314" s="514"/>
      <c r="AC314" s="514"/>
      <c r="AD314" s="514"/>
      <c r="AE314" s="774"/>
      <c r="AF314" s="514"/>
      <c r="AG314" s="897"/>
      <c r="AH314" s="789"/>
      <c r="AI314" s="664">
        <f t="shared" si="16"/>
        <v>0</v>
      </c>
      <c r="AJ314" s="521">
        <v>0</v>
      </c>
      <c r="AK314" s="520">
        <f t="shared" si="14"/>
        <v>0</v>
      </c>
      <c r="AL314" s="695" t="s">
        <v>1636</v>
      </c>
      <c r="AM314" s="669">
        <f t="shared" si="15"/>
        <v>27.62</v>
      </c>
    </row>
    <row r="315" spans="1:39" s="500" customFormat="1">
      <c r="A315" s="539" t="s">
        <v>818</v>
      </c>
      <c r="B315" s="539" t="s">
        <v>1260</v>
      </c>
      <c r="C315" s="548" t="s">
        <v>38</v>
      </c>
      <c r="D315" s="519"/>
      <c r="E315" s="726"/>
      <c r="F315" s="520"/>
      <c r="G315" s="520"/>
      <c r="H315" s="520"/>
      <c r="I315" s="521"/>
      <c r="J315" s="521"/>
      <c r="K315" s="521"/>
      <c r="L315" s="756"/>
      <c r="M315" s="514"/>
      <c r="N315" s="514"/>
      <c r="O315" s="514"/>
      <c r="P315" s="514"/>
      <c r="Q315" s="514"/>
      <c r="R315" s="514"/>
      <c r="S315" s="756"/>
      <c r="T315" s="514"/>
      <c r="U315" s="514"/>
      <c r="V315" s="514"/>
      <c r="W315" s="514"/>
      <c r="X315" s="514"/>
      <c r="Y315" s="514"/>
      <c r="Z315" s="756"/>
      <c r="AA315" s="514"/>
      <c r="AB315" s="514"/>
      <c r="AC315" s="514"/>
      <c r="AD315" s="514"/>
      <c r="AE315" s="774"/>
      <c r="AF315" s="514"/>
      <c r="AG315" s="897"/>
      <c r="AH315" s="789"/>
      <c r="AI315" s="664">
        <f t="shared" si="16"/>
        <v>0</v>
      </c>
      <c r="AJ315" s="521">
        <v>0</v>
      </c>
      <c r="AK315" s="520">
        <f t="shared" si="14"/>
        <v>0</v>
      </c>
      <c r="AL315" s="695" t="s">
        <v>1637</v>
      </c>
      <c r="AM315" s="669">
        <f t="shared" si="15"/>
        <v>30.2</v>
      </c>
    </row>
    <row r="316" spans="1:39" s="500" customFormat="1">
      <c r="A316" s="539" t="s">
        <v>819</v>
      </c>
      <c r="B316" s="539" t="s">
        <v>1261</v>
      </c>
      <c r="C316" s="548" t="s">
        <v>38</v>
      </c>
      <c r="D316" s="519"/>
      <c r="E316" s="726"/>
      <c r="F316" s="520"/>
      <c r="G316" s="520"/>
      <c r="H316" s="520"/>
      <c r="I316" s="521"/>
      <c r="J316" s="521"/>
      <c r="K316" s="521"/>
      <c r="L316" s="756"/>
      <c r="M316" s="514"/>
      <c r="N316" s="514"/>
      <c r="O316" s="514"/>
      <c r="P316" s="514"/>
      <c r="Q316" s="514"/>
      <c r="R316" s="514"/>
      <c r="S316" s="756"/>
      <c r="T316" s="514"/>
      <c r="U316" s="514"/>
      <c r="V316" s="514"/>
      <c r="W316" s="514"/>
      <c r="X316" s="514"/>
      <c r="Y316" s="514"/>
      <c r="Z316" s="756"/>
      <c r="AA316" s="514"/>
      <c r="AB316" s="514"/>
      <c r="AC316" s="514"/>
      <c r="AD316" s="514"/>
      <c r="AE316" s="774"/>
      <c r="AF316" s="514"/>
      <c r="AG316" s="897"/>
      <c r="AH316" s="789"/>
      <c r="AI316" s="664">
        <f t="shared" si="16"/>
        <v>0</v>
      </c>
      <c r="AJ316" s="521">
        <v>0</v>
      </c>
      <c r="AK316" s="520">
        <f t="shared" si="14"/>
        <v>0</v>
      </c>
      <c r="AL316" s="695"/>
      <c r="AM316" s="669">
        <f t="shared" si="15"/>
        <v>0</v>
      </c>
    </row>
    <row r="317" spans="1:39" s="500" customFormat="1">
      <c r="A317" s="542" t="s">
        <v>282</v>
      </c>
      <c r="B317" s="542" t="s">
        <v>1198</v>
      </c>
      <c r="C317" s="616"/>
      <c r="D317" s="519"/>
      <c r="E317" s="726"/>
      <c r="F317" s="520"/>
      <c r="G317" s="520"/>
      <c r="H317" s="520"/>
      <c r="I317" s="521"/>
      <c r="J317" s="521"/>
      <c r="K317" s="521"/>
      <c r="L317" s="756"/>
      <c r="M317" s="514"/>
      <c r="N317" s="514"/>
      <c r="O317" s="514"/>
      <c r="P317" s="514"/>
      <c r="Q317" s="514"/>
      <c r="R317" s="514"/>
      <c r="S317" s="756"/>
      <c r="T317" s="514"/>
      <c r="U317" s="514"/>
      <c r="V317" s="514"/>
      <c r="W317" s="514"/>
      <c r="X317" s="514"/>
      <c r="Y317" s="514"/>
      <c r="Z317" s="756"/>
      <c r="AA317" s="514"/>
      <c r="AB317" s="514"/>
      <c r="AC317" s="514"/>
      <c r="AD317" s="514"/>
      <c r="AE317" s="774"/>
      <c r="AF317" s="514"/>
      <c r="AG317" s="897"/>
      <c r="AH317" s="789"/>
      <c r="AI317" s="664">
        <f t="shared" si="16"/>
        <v>0</v>
      </c>
      <c r="AJ317" s="521">
        <v>0</v>
      </c>
      <c r="AK317" s="520">
        <f t="shared" si="14"/>
        <v>0</v>
      </c>
      <c r="AL317" s="695" t="s">
        <v>1638</v>
      </c>
      <c r="AM317" s="669">
        <f t="shared" si="15"/>
        <v>90.78</v>
      </c>
    </row>
    <row r="318" spans="1:39" s="500" customFormat="1">
      <c r="A318" s="539" t="s">
        <v>820</v>
      </c>
      <c r="B318" s="539" t="s">
        <v>1262</v>
      </c>
      <c r="C318" s="548" t="s">
        <v>37</v>
      </c>
      <c r="D318" s="519"/>
      <c r="E318" s="726"/>
      <c r="F318" s="520"/>
      <c r="G318" s="520"/>
      <c r="H318" s="520"/>
      <c r="I318" s="521"/>
      <c r="J318" s="521"/>
      <c r="K318" s="521"/>
      <c r="L318" s="756"/>
      <c r="M318" s="514"/>
      <c r="N318" s="514"/>
      <c r="O318" s="514"/>
      <c r="P318" s="514"/>
      <c r="Q318" s="514"/>
      <c r="R318" s="514"/>
      <c r="S318" s="756"/>
      <c r="T318" s="514"/>
      <c r="U318" s="514"/>
      <c r="V318" s="514"/>
      <c r="W318" s="514"/>
      <c r="X318" s="514"/>
      <c r="Y318" s="514"/>
      <c r="Z318" s="756"/>
      <c r="AA318" s="514"/>
      <c r="AB318" s="514"/>
      <c r="AC318" s="514"/>
      <c r="AD318" s="514"/>
      <c r="AE318" s="774"/>
      <c r="AF318" s="514"/>
      <c r="AG318" s="897"/>
      <c r="AH318" s="789"/>
      <c r="AI318" s="664">
        <f t="shared" si="16"/>
        <v>0</v>
      </c>
      <c r="AJ318" s="521">
        <v>0</v>
      </c>
      <c r="AK318" s="520">
        <f t="shared" si="14"/>
        <v>0</v>
      </c>
      <c r="AL318" s="695" t="s">
        <v>1639</v>
      </c>
      <c r="AM318" s="669">
        <f t="shared" si="15"/>
        <v>29.18</v>
      </c>
    </row>
    <row r="319" spans="1:39" s="500" customFormat="1">
      <c r="A319" s="539" t="s">
        <v>821</v>
      </c>
      <c r="B319" s="539" t="s">
        <v>1263</v>
      </c>
      <c r="C319" s="548" t="s">
        <v>38</v>
      </c>
      <c r="D319" s="519"/>
      <c r="E319" s="726"/>
      <c r="F319" s="520"/>
      <c r="G319" s="520"/>
      <c r="H319" s="520"/>
      <c r="I319" s="521"/>
      <c r="J319" s="521"/>
      <c r="K319" s="521"/>
      <c r="L319" s="756"/>
      <c r="M319" s="514"/>
      <c r="N319" s="514"/>
      <c r="O319" s="514"/>
      <c r="P319" s="514"/>
      <c r="Q319" s="514"/>
      <c r="R319" s="514"/>
      <c r="S319" s="756"/>
      <c r="T319" s="514"/>
      <c r="U319" s="514"/>
      <c r="V319" s="514"/>
      <c r="W319" s="514"/>
      <c r="X319" s="514"/>
      <c r="Y319" s="514"/>
      <c r="Z319" s="756"/>
      <c r="AA319" s="514"/>
      <c r="AB319" s="514"/>
      <c r="AC319" s="514"/>
      <c r="AD319" s="514"/>
      <c r="AE319" s="774"/>
      <c r="AF319" s="514"/>
      <c r="AG319" s="897"/>
      <c r="AH319" s="789"/>
      <c r="AI319" s="664">
        <f t="shared" si="16"/>
        <v>0</v>
      </c>
      <c r="AJ319" s="521">
        <v>0</v>
      </c>
      <c r="AK319" s="520">
        <f t="shared" si="14"/>
        <v>0</v>
      </c>
      <c r="AL319" s="695"/>
      <c r="AM319" s="669">
        <f t="shared" si="15"/>
        <v>0</v>
      </c>
    </row>
    <row r="320" spans="1:39" s="500" customFormat="1">
      <c r="A320" s="542" t="s">
        <v>822</v>
      </c>
      <c r="B320" s="542" t="s">
        <v>1264</v>
      </c>
      <c r="C320" s="616"/>
      <c r="D320" s="519"/>
      <c r="E320" s="726"/>
      <c r="F320" s="520"/>
      <c r="G320" s="520"/>
      <c r="H320" s="520"/>
      <c r="I320" s="521"/>
      <c r="J320" s="521"/>
      <c r="K320" s="521"/>
      <c r="L320" s="756"/>
      <c r="M320" s="514"/>
      <c r="N320" s="514"/>
      <c r="O320" s="514"/>
      <c r="P320" s="514"/>
      <c r="Q320" s="514"/>
      <c r="R320" s="514"/>
      <c r="S320" s="756"/>
      <c r="T320" s="514"/>
      <c r="U320" s="514"/>
      <c r="V320" s="514"/>
      <c r="W320" s="514"/>
      <c r="X320" s="514"/>
      <c r="Y320" s="514"/>
      <c r="Z320" s="756"/>
      <c r="AA320" s="514"/>
      <c r="AB320" s="514"/>
      <c r="AC320" s="514"/>
      <c r="AD320" s="514"/>
      <c r="AE320" s="774"/>
      <c r="AF320" s="514"/>
      <c r="AG320" s="897"/>
      <c r="AH320" s="789"/>
      <c r="AI320" s="664">
        <f t="shared" si="16"/>
        <v>0</v>
      </c>
      <c r="AJ320" s="521">
        <v>0</v>
      </c>
      <c r="AK320" s="520">
        <f t="shared" si="14"/>
        <v>0</v>
      </c>
      <c r="AL320" s="695" t="s">
        <v>1640</v>
      </c>
      <c r="AM320" s="669">
        <f t="shared" si="15"/>
        <v>6.3</v>
      </c>
    </row>
    <row r="321" spans="1:39" s="500" customFormat="1">
      <c r="A321" s="539" t="s">
        <v>823</v>
      </c>
      <c r="B321" s="539" t="s">
        <v>1265</v>
      </c>
      <c r="C321" s="548" t="s">
        <v>37</v>
      </c>
      <c r="D321" s="519"/>
      <c r="E321" s="726"/>
      <c r="F321" s="520"/>
      <c r="G321" s="520"/>
      <c r="H321" s="520"/>
      <c r="I321" s="521"/>
      <c r="J321" s="521"/>
      <c r="K321" s="521"/>
      <c r="L321" s="756"/>
      <c r="M321" s="514"/>
      <c r="N321" s="514"/>
      <c r="O321" s="514"/>
      <c r="P321" s="514"/>
      <c r="Q321" s="514"/>
      <c r="R321" s="514"/>
      <c r="S321" s="756"/>
      <c r="T321" s="514"/>
      <c r="U321" s="514"/>
      <c r="V321" s="514"/>
      <c r="W321" s="514"/>
      <c r="X321" s="514"/>
      <c r="Y321" s="514"/>
      <c r="Z321" s="756"/>
      <c r="AA321" s="514"/>
      <c r="AB321" s="514"/>
      <c r="AC321" s="514"/>
      <c r="AD321" s="514"/>
      <c r="AE321" s="774"/>
      <c r="AF321" s="514"/>
      <c r="AG321" s="897"/>
      <c r="AH321" s="789"/>
      <c r="AI321" s="664">
        <f t="shared" si="16"/>
        <v>0</v>
      </c>
      <c r="AJ321" s="521">
        <v>0</v>
      </c>
      <c r="AK321" s="520">
        <f t="shared" si="14"/>
        <v>0</v>
      </c>
      <c r="AL321" s="695"/>
      <c r="AM321" s="669">
        <f t="shared" si="15"/>
        <v>0</v>
      </c>
    </row>
    <row r="322" spans="1:39" s="500" customFormat="1">
      <c r="A322" s="542" t="s">
        <v>824</v>
      </c>
      <c r="B322" s="542" t="s">
        <v>1266</v>
      </c>
      <c r="C322" s="616"/>
      <c r="D322" s="519"/>
      <c r="E322" s="726"/>
      <c r="F322" s="520"/>
      <c r="G322" s="520"/>
      <c r="H322" s="520"/>
      <c r="I322" s="521"/>
      <c r="J322" s="521"/>
      <c r="K322" s="521"/>
      <c r="L322" s="756"/>
      <c r="M322" s="514"/>
      <c r="N322" s="514"/>
      <c r="O322" s="514"/>
      <c r="P322" s="514"/>
      <c r="Q322" s="514"/>
      <c r="R322" s="514"/>
      <c r="S322" s="756"/>
      <c r="T322" s="514"/>
      <c r="U322" s="514"/>
      <c r="V322" s="514"/>
      <c r="W322" s="514"/>
      <c r="X322" s="514"/>
      <c r="Y322" s="514"/>
      <c r="Z322" s="756"/>
      <c r="AA322" s="514"/>
      <c r="AB322" s="514"/>
      <c r="AC322" s="514"/>
      <c r="AD322" s="514"/>
      <c r="AE322" s="774"/>
      <c r="AF322" s="514"/>
      <c r="AG322" s="897"/>
      <c r="AH322" s="789"/>
      <c r="AI322" s="664">
        <f t="shared" si="16"/>
        <v>0</v>
      </c>
      <c r="AJ322" s="521">
        <v>0</v>
      </c>
      <c r="AK322" s="520">
        <f t="shared" si="14"/>
        <v>0</v>
      </c>
      <c r="AL322" s="695" t="s">
        <v>1641</v>
      </c>
      <c r="AM322" s="669">
        <f t="shared" si="15"/>
        <v>9</v>
      </c>
    </row>
    <row r="323" spans="1:39" s="500" customFormat="1">
      <c r="A323" s="539" t="s">
        <v>825</v>
      </c>
      <c r="B323" s="539" t="s">
        <v>1267</v>
      </c>
      <c r="C323" s="548" t="s">
        <v>1451</v>
      </c>
      <c r="D323" s="519"/>
      <c r="E323" s="726"/>
      <c r="F323" s="520"/>
      <c r="G323" s="520"/>
      <c r="H323" s="520"/>
      <c r="I323" s="521"/>
      <c r="J323" s="521"/>
      <c r="K323" s="521"/>
      <c r="L323" s="756"/>
      <c r="M323" s="514"/>
      <c r="N323" s="514"/>
      <c r="O323" s="514"/>
      <c r="P323" s="514"/>
      <c r="Q323" s="514"/>
      <c r="R323" s="514"/>
      <c r="S323" s="756"/>
      <c r="T323" s="514"/>
      <c r="U323" s="514"/>
      <c r="V323" s="514"/>
      <c r="W323" s="514"/>
      <c r="X323" s="514"/>
      <c r="Y323" s="514"/>
      <c r="Z323" s="756"/>
      <c r="AA323" s="514"/>
      <c r="AB323" s="514"/>
      <c r="AC323" s="514"/>
      <c r="AD323" s="514"/>
      <c r="AE323" s="774"/>
      <c r="AF323" s="514"/>
      <c r="AG323" s="897"/>
      <c r="AH323" s="789"/>
      <c r="AI323" s="664">
        <f t="shared" si="16"/>
        <v>0</v>
      </c>
      <c r="AJ323" s="521">
        <v>0</v>
      </c>
      <c r="AK323" s="520">
        <f t="shared" si="14"/>
        <v>0</v>
      </c>
      <c r="AL323" s="695" t="s">
        <v>1618</v>
      </c>
      <c r="AM323" s="669">
        <f t="shared" si="15"/>
        <v>3</v>
      </c>
    </row>
    <row r="324" spans="1:39" s="500" customFormat="1">
      <c r="A324" s="539" t="s">
        <v>826</v>
      </c>
      <c r="B324" s="539" t="s">
        <v>1268</v>
      </c>
      <c r="C324" s="548" t="s">
        <v>36</v>
      </c>
      <c r="D324" s="519"/>
      <c r="E324" s="726"/>
      <c r="F324" s="520"/>
      <c r="G324" s="520"/>
      <c r="H324" s="520"/>
      <c r="I324" s="521"/>
      <c r="J324" s="521"/>
      <c r="K324" s="521"/>
      <c r="L324" s="756"/>
      <c r="M324" s="514"/>
      <c r="N324" s="514"/>
      <c r="O324" s="514"/>
      <c r="P324" s="514"/>
      <c r="Q324" s="514"/>
      <c r="R324" s="514"/>
      <c r="S324" s="756"/>
      <c r="T324" s="514"/>
      <c r="U324" s="514"/>
      <c r="V324" s="514"/>
      <c r="W324" s="514"/>
      <c r="X324" s="514"/>
      <c r="Y324" s="514"/>
      <c r="Z324" s="756"/>
      <c r="AA324" s="514"/>
      <c r="AB324" s="514"/>
      <c r="AC324" s="514"/>
      <c r="AD324" s="514"/>
      <c r="AE324" s="774"/>
      <c r="AF324" s="514"/>
      <c r="AG324" s="897"/>
      <c r="AH324" s="789"/>
      <c r="AI324" s="664">
        <f t="shared" si="16"/>
        <v>0</v>
      </c>
      <c r="AJ324" s="521">
        <v>0</v>
      </c>
      <c r="AK324" s="520">
        <f t="shared" si="14"/>
        <v>0</v>
      </c>
      <c r="AL324" s="695"/>
      <c r="AM324" s="669">
        <f t="shared" si="15"/>
        <v>0</v>
      </c>
    </row>
    <row r="325" spans="1:39" s="500" customFormat="1">
      <c r="A325" s="542" t="s">
        <v>827</v>
      </c>
      <c r="B325" s="542" t="s">
        <v>1269</v>
      </c>
      <c r="C325" s="616"/>
      <c r="D325" s="519"/>
      <c r="E325" s="726"/>
      <c r="F325" s="520"/>
      <c r="G325" s="520"/>
      <c r="H325" s="520"/>
      <c r="I325" s="521"/>
      <c r="J325" s="521"/>
      <c r="K325" s="521"/>
      <c r="L325" s="756"/>
      <c r="M325" s="514"/>
      <c r="N325" s="514"/>
      <c r="O325" s="514"/>
      <c r="P325" s="514"/>
      <c r="Q325" s="514"/>
      <c r="R325" s="514"/>
      <c r="S325" s="756"/>
      <c r="T325" s="514"/>
      <c r="U325" s="514"/>
      <c r="V325" s="514"/>
      <c r="W325" s="514"/>
      <c r="X325" s="514"/>
      <c r="Y325" s="514"/>
      <c r="Z325" s="756"/>
      <c r="AA325" s="514"/>
      <c r="AB325" s="514"/>
      <c r="AC325" s="514"/>
      <c r="AD325" s="514"/>
      <c r="AE325" s="774"/>
      <c r="AF325" s="514"/>
      <c r="AG325" s="897"/>
      <c r="AH325" s="789"/>
      <c r="AI325" s="664">
        <f t="shared" si="16"/>
        <v>0</v>
      </c>
      <c r="AJ325" s="521">
        <v>0</v>
      </c>
      <c r="AK325" s="520">
        <f t="shared" si="14"/>
        <v>0</v>
      </c>
      <c r="AL325" s="695" t="s">
        <v>1642</v>
      </c>
      <c r="AM325" s="669">
        <f t="shared" si="15"/>
        <v>19.149999999999999</v>
      </c>
    </row>
    <row r="326" spans="1:39" s="500" customFormat="1">
      <c r="A326" s="539" t="s">
        <v>828</v>
      </c>
      <c r="B326" s="539" t="s">
        <v>1270</v>
      </c>
      <c r="C326" s="548" t="s">
        <v>37</v>
      </c>
      <c r="D326" s="519"/>
      <c r="E326" s="726"/>
      <c r="F326" s="520"/>
      <c r="G326" s="520"/>
      <c r="H326" s="520"/>
      <c r="I326" s="521"/>
      <c r="J326" s="521"/>
      <c r="K326" s="521"/>
      <c r="L326" s="756"/>
      <c r="M326" s="514"/>
      <c r="N326" s="514"/>
      <c r="O326" s="514"/>
      <c r="P326" s="514"/>
      <c r="Q326" s="514"/>
      <c r="R326" s="514"/>
      <c r="S326" s="756"/>
      <c r="T326" s="514"/>
      <c r="U326" s="514"/>
      <c r="V326" s="514"/>
      <c r="W326" s="514"/>
      <c r="X326" s="514"/>
      <c r="Y326" s="514"/>
      <c r="Z326" s="756"/>
      <c r="AA326" s="514"/>
      <c r="AB326" s="514"/>
      <c r="AC326" s="514"/>
      <c r="AD326" s="514"/>
      <c r="AE326" s="774"/>
      <c r="AF326" s="514"/>
      <c r="AG326" s="897"/>
      <c r="AH326" s="789"/>
      <c r="AI326" s="664">
        <f t="shared" si="16"/>
        <v>0</v>
      </c>
      <c r="AJ326" s="521">
        <v>0</v>
      </c>
      <c r="AK326" s="520">
        <f t="shared" si="14"/>
        <v>0</v>
      </c>
      <c r="AL326" s="695" t="s">
        <v>1643</v>
      </c>
      <c r="AM326" s="669">
        <f t="shared" si="15"/>
        <v>1.5</v>
      </c>
    </row>
    <row r="327" spans="1:39" s="500" customFormat="1">
      <c r="A327" s="539" t="s">
        <v>829</v>
      </c>
      <c r="B327" s="539" t="s">
        <v>1271</v>
      </c>
      <c r="C327" s="548" t="s">
        <v>37</v>
      </c>
      <c r="D327" s="519"/>
      <c r="E327" s="726"/>
      <c r="F327" s="520"/>
      <c r="G327" s="520"/>
      <c r="H327" s="520"/>
      <c r="I327" s="521"/>
      <c r="J327" s="521"/>
      <c r="K327" s="521"/>
      <c r="L327" s="756"/>
      <c r="M327" s="514"/>
      <c r="N327" s="514"/>
      <c r="O327" s="514"/>
      <c r="P327" s="514"/>
      <c r="Q327" s="514"/>
      <c r="R327" s="514"/>
      <c r="S327" s="756"/>
      <c r="T327" s="514"/>
      <c r="U327" s="514"/>
      <c r="V327" s="514"/>
      <c r="W327" s="514"/>
      <c r="X327" s="514"/>
      <c r="Y327" s="514"/>
      <c r="Z327" s="756"/>
      <c r="AA327" s="514"/>
      <c r="AB327" s="514"/>
      <c r="AC327" s="514"/>
      <c r="AD327" s="514"/>
      <c r="AE327" s="774"/>
      <c r="AF327" s="514"/>
      <c r="AG327" s="897"/>
      <c r="AH327" s="789"/>
      <c r="AI327" s="664">
        <f t="shared" si="16"/>
        <v>0</v>
      </c>
      <c r="AJ327" s="521">
        <v>0</v>
      </c>
      <c r="AK327" s="520">
        <f t="shared" si="14"/>
        <v>0</v>
      </c>
      <c r="AL327" s="695"/>
      <c r="AM327" s="669">
        <f t="shared" si="15"/>
        <v>0</v>
      </c>
    </row>
    <row r="328" spans="1:39" s="500" customFormat="1">
      <c r="A328" s="542" t="s">
        <v>830</v>
      </c>
      <c r="B328" s="542" t="s">
        <v>1272</v>
      </c>
      <c r="C328" s="616"/>
      <c r="D328" s="519"/>
      <c r="E328" s="726"/>
      <c r="F328" s="520"/>
      <c r="G328" s="520"/>
      <c r="H328" s="520"/>
      <c r="I328" s="521"/>
      <c r="J328" s="521"/>
      <c r="K328" s="521"/>
      <c r="L328" s="756"/>
      <c r="M328" s="514"/>
      <c r="N328" s="514"/>
      <c r="O328" s="514"/>
      <c r="P328" s="514"/>
      <c r="Q328" s="514"/>
      <c r="R328" s="514"/>
      <c r="S328" s="756"/>
      <c r="T328" s="514"/>
      <c r="U328" s="514"/>
      <c r="V328" s="514"/>
      <c r="W328" s="514"/>
      <c r="X328" s="514"/>
      <c r="Y328" s="514"/>
      <c r="Z328" s="756"/>
      <c r="AA328" s="514"/>
      <c r="AB328" s="514"/>
      <c r="AC328" s="514"/>
      <c r="AD328" s="514"/>
      <c r="AE328" s="774"/>
      <c r="AF328" s="514"/>
      <c r="AG328" s="897"/>
      <c r="AH328" s="789"/>
      <c r="AI328" s="664">
        <f t="shared" si="16"/>
        <v>0</v>
      </c>
      <c r="AJ328" s="521">
        <v>0</v>
      </c>
      <c r="AK328" s="520">
        <f t="shared" si="14"/>
        <v>0</v>
      </c>
      <c r="AL328" s="695" t="s">
        <v>1628</v>
      </c>
      <c r="AM328" s="669">
        <f t="shared" si="15"/>
        <v>90.62</v>
      </c>
    </row>
    <row r="329" spans="1:39" s="500" customFormat="1">
      <c r="A329" s="539" t="s">
        <v>831</v>
      </c>
      <c r="B329" s="539" t="s">
        <v>1273</v>
      </c>
      <c r="C329" s="548" t="s">
        <v>37</v>
      </c>
      <c r="D329" s="519"/>
      <c r="E329" s="726"/>
      <c r="F329" s="520"/>
      <c r="G329" s="520"/>
      <c r="H329" s="520"/>
      <c r="I329" s="521"/>
      <c r="J329" s="521"/>
      <c r="K329" s="521"/>
      <c r="L329" s="756"/>
      <c r="M329" s="514"/>
      <c r="N329" s="514"/>
      <c r="O329" s="514"/>
      <c r="P329" s="514"/>
      <c r="Q329" s="514"/>
      <c r="R329" s="514"/>
      <c r="S329" s="756"/>
      <c r="T329" s="514"/>
      <c r="U329" s="514"/>
      <c r="V329" s="514"/>
      <c r="W329" s="514"/>
      <c r="X329" s="514"/>
      <c r="Y329" s="514"/>
      <c r="Z329" s="756"/>
      <c r="AA329" s="514"/>
      <c r="AB329" s="514"/>
      <c r="AC329" s="514"/>
      <c r="AD329" s="514"/>
      <c r="AE329" s="774"/>
      <c r="AF329" s="514"/>
      <c r="AG329" s="897"/>
      <c r="AH329" s="789"/>
      <c r="AI329" s="664">
        <f t="shared" si="16"/>
        <v>0</v>
      </c>
      <c r="AJ329" s="521">
        <v>0</v>
      </c>
      <c r="AK329" s="520">
        <f t="shared" si="14"/>
        <v>0</v>
      </c>
      <c r="AL329" s="695" t="s">
        <v>1621</v>
      </c>
      <c r="AM329" s="669">
        <f t="shared" si="15"/>
        <v>123.1</v>
      </c>
    </row>
    <row r="330" spans="1:39" s="500" customFormat="1">
      <c r="A330" s="539" t="s">
        <v>832</v>
      </c>
      <c r="B330" s="539" t="s">
        <v>1274</v>
      </c>
      <c r="C330" s="548" t="s">
        <v>37</v>
      </c>
      <c r="D330" s="519"/>
      <c r="E330" s="726"/>
      <c r="F330" s="520"/>
      <c r="G330" s="520"/>
      <c r="H330" s="520"/>
      <c r="I330" s="521"/>
      <c r="J330" s="521"/>
      <c r="K330" s="521"/>
      <c r="L330" s="756"/>
      <c r="M330" s="514"/>
      <c r="N330" s="514"/>
      <c r="O330" s="514"/>
      <c r="P330" s="514"/>
      <c r="Q330" s="514"/>
      <c r="R330" s="514"/>
      <c r="S330" s="756"/>
      <c r="T330" s="514"/>
      <c r="U330" s="514"/>
      <c r="V330" s="514"/>
      <c r="W330" s="514"/>
      <c r="X330" s="514"/>
      <c r="Y330" s="514"/>
      <c r="Z330" s="756"/>
      <c r="AA330" s="514"/>
      <c r="AB330" s="514"/>
      <c r="AC330" s="514"/>
      <c r="AD330" s="514"/>
      <c r="AE330" s="774"/>
      <c r="AF330" s="514"/>
      <c r="AG330" s="897"/>
      <c r="AH330" s="789"/>
      <c r="AI330" s="664">
        <f t="shared" si="16"/>
        <v>0</v>
      </c>
      <c r="AJ330" s="521">
        <v>0</v>
      </c>
      <c r="AK330" s="520">
        <f t="shared" si="14"/>
        <v>0</v>
      </c>
      <c r="AL330" s="695" t="s">
        <v>1622</v>
      </c>
      <c r="AM330" s="669">
        <f t="shared" si="15"/>
        <v>54.38</v>
      </c>
    </row>
    <row r="331" spans="1:39" s="500" customFormat="1">
      <c r="A331" s="539" t="s">
        <v>833</v>
      </c>
      <c r="B331" s="539" t="s">
        <v>1275</v>
      </c>
      <c r="C331" s="548" t="s">
        <v>37</v>
      </c>
      <c r="D331" s="519"/>
      <c r="E331" s="726"/>
      <c r="F331" s="520"/>
      <c r="G331" s="520"/>
      <c r="H331" s="520"/>
      <c r="I331" s="521"/>
      <c r="J331" s="521"/>
      <c r="K331" s="521"/>
      <c r="L331" s="756"/>
      <c r="M331" s="514"/>
      <c r="N331" s="514"/>
      <c r="O331" s="514"/>
      <c r="P331" s="514"/>
      <c r="Q331" s="514"/>
      <c r="R331" s="514"/>
      <c r="S331" s="756"/>
      <c r="T331" s="514"/>
      <c r="U331" s="514"/>
      <c r="V331" s="514"/>
      <c r="W331" s="514"/>
      <c r="X331" s="514"/>
      <c r="Y331" s="514"/>
      <c r="Z331" s="756"/>
      <c r="AA331" s="514"/>
      <c r="AB331" s="514"/>
      <c r="AC331" s="514"/>
      <c r="AD331" s="514"/>
      <c r="AE331" s="774"/>
      <c r="AF331" s="514"/>
      <c r="AG331" s="897"/>
      <c r="AH331" s="789"/>
      <c r="AI331" s="664">
        <f t="shared" si="16"/>
        <v>0</v>
      </c>
      <c r="AJ331" s="521">
        <v>0</v>
      </c>
      <c r="AK331" s="520">
        <f t="shared" si="14"/>
        <v>0</v>
      </c>
      <c r="AL331" s="695" t="s">
        <v>1623</v>
      </c>
      <c r="AM331" s="669">
        <f t="shared" si="15"/>
        <v>34.44</v>
      </c>
    </row>
    <row r="332" spans="1:39" s="500" customFormat="1">
      <c r="A332" s="539" t="s">
        <v>834</v>
      </c>
      <c r="B332" s="539" t="s">
        <v>1276</v>
      </c>
      <c r="C332" s="548" t="s">
        <v>37</v>
      </c>
      <c r="D332" s="519"/>
      <c r="E332" s="726"/>
      <c r="F332" s="520"/>
      <c r="G332" s="520"/>
      <c r="H332" s="520"/>
      <c r="I332" s="521"/>
      <c r="J332" s="521"/>
      <c r="K332" s="521"/>
      <c r="L332" s="756"/>
      <c r="M332" s="514"/>
      <c r="N332" s="514"/>
      <c r="O332" s="514"/>
      <c r="P332" s="514"/>
      <c r="Q332" s="514"/>
      <c r="R332" s="514"/>
      <c r="S332" s="756"/>
      <c r="T332" s="514"/>
      <c r="U332" s="514"/>
      <c r="V332" s="514"/>
      <c r="W332" s="514"/>
      <c r="X332" s="514"/>
      <c r="Y332" s="514"/>
      <c r="Z332" s="756"/>
      <c r="AA332" s="514"/>
      <c r="AB332" s="514"/>
      <c r="AC332" s="514"/>
      <c r="AD332" s="514"/>
      <c r="AE332" s="774"/>
      <c r="AF332" s="514"/>
      <c r="AG332" s="897"/>
      <c r="AH332" s="789"/>
      <c r="AI332" s="664">
        <f t="shared" si="16"/>
        <v>0</v>
      </c>
      <c r="AJ332" s="521">
        <v>0</v>
      </c>
      <c r="AK332" s="520">
        <f t="shared" si="14"/>
        <v>0</v>
      </c>
      <c r="AL332" s="695" t="s">
        <v>1624</v>
      </c>
      <c r="AM332" s="669">
        <f t="shared" si="15"/>
        <v>30.39</v>
      </c>
    </row>
    <row r="333" spans="1:39" s="500" customFormat="1">
      <c r="A333" s="539" t="s">
        <v>835</v>
      </c>
      <c r="B333" s="539" t="s">
        <v>1277</v>
      </c>
      <c r="C333" s="548" t="s">
        <v>37</v>
      </c>
      <c r="D333" s="519"/>
      <c r="E333" s="726"/>
      <c r="F333" s="520"/>
      <c r="G333" s="520"/>
      <c r="H333" s="520"/>
      <c r="I333" s="521"/>
      <c r="J333" s="521"/>
      <c r="K333" s="521"/>
      <c r="L333" s="756"/>
      <c r="M333" s="514"/>
      <c r="N333" s="514"/>
      <c r="O333" s="514"/>
      <c r="P333" s="514"/>
      <c r="Q333" s="514"/>
      <c r="R333" s="514"/>
      <c r="S333" s="756"/>
      <c r="T333" s="514"/>
      <c r="U333" s="514"/>
      <c r="V333" s="514"/>
      <c r="W333" s="514"/>
      <c r="X333" s="514"/>
      <c r="Y333" s="514"/>
      <c r="Z333" s="756"/>
      <c r="AA333" s="514"/>
      <c r="AB333" s="514"/>
      <c r="AC333" s="514"/>
      <c r="AD333" s="514"/>
      <c r="AE333" s="774"/>
      <c r="AF333" s="514"/>
      <c r="AG333" s="897"/>
      <c r="AH333" s="789"/>
      <c r="AI333" s="664">
        <f t="shared" si="16"/>
        <v>0</v>
      </c>
      <c r="AJ333" s="521">
        <v>0</v>
      </c>
      <c r="AK333" s="520">
        <f t="shared" si="14"/>
        <v>0</v>
      </c>
      <c r="AL333" s="695" t="s">
        <v>1635</v>
      </c>
      <c r="AM333" s="669">
        <f t="shared" si="15"/>
        <v>15.8</v>
      </c>
    </row>
    <row r="334" spans="1:39" s="500" customFormat="1">
      <c r="A334" s="539" t="s">
        <v>836</v>
      </c>
      <c r="B334" s="539" t="s">
        <v>1278</v>
      </c>
      <c r="C334" s="548" t="s">
        <v>37</v>
      </c>
      <c r="D334" s="519"/>
      <c r="E334" s="726"/>
      <c r="F334" s="520"/>
      <c r="G334" s="520"/>
      <c r="H334" s="520"/>
      <c r="I334" s="521"/>
      <c r="J334" s="521"/>
      <c r="K334" s="521"/>
      <c r="L334" s="756"/>
      <c r="M334" s="514"/>
      <c r="N334" s="514"/>
      <c r="O334" s="514"/>
      <c r="P334" s="514"/>
      <c r="Q334" s="514"/>
      <c r="R334" s="514"/>
      <c r="S334" s="756"/>
      <c r="T334" s="514"/>
      <c r="U334" s="514"/>
      <c r="V334" s="514"/>
      <c r="W334" s="514"/>
      <c r="X334" s="514"/>
      <c r="Y334" s="514"/>
      <c r="Z334" s="756"/>
      <c r="AA334" s="514"/>
      <c r="AB334" s="514"/>
      <c r="AC334" s="514"/>
      <c r="AD334" s="514"/>
      <c r="AE334" s="774"/>
      <c r="AF334" s="514"/>
      <c r="AG334" s="897"/>
      <c r="AH334" s="789"/>
      <c r="AI334" s="664">
        <f t="shared" si="16"/>
        <v>0</v>
      </c>
      <c r="AJ334" s="521">
        <v>0</v>
      </c>
      <c r="AK334" s="520">
        <f t="shared" ref="AK334:AK397" si="17">AI334+AJ334</f>
        <v>0</v>
      </c>
      <c r="AL334" s="695" t="s">
        <v>1644</v>
      </c>
      <c r="AM334" s="669">
        <f t="shared" ref="AM334:AM397" si="18">AL334-AK334</f>
        <v>12.6</v>
      </c>
    </row>
    <row r="335" spans="1:39" s="500" customFormat="1">
      <c r="A335" s="539" t="s">
        <v>837</v>
      </c>
      <c r="B335" s="539" t="s">
        <v>1279</v>
      </c>
      <c r="C335" s="548" t="s">
        <v>37</v>
      </c>
      <c r="D335" s="519"/>
      <c r="E335" s="726"/>
      <c r="F335" s="520"/>
      <c r="G335" s="520"/>
      <c r="H335" s="520"/>
      <c r="I335" s="521"/>
      <c r="J335" s="521"/>
      <c r="K335" s="521"/>
      <c r="L335" s="756"/>
      <c r="M335" s="514"/>
      <c r="N335" s="514"/>
      <c r="O335" s="514"/>
      <c r="P335" s="514"/>
      <c r="Q335" s="514"/>
      <c r="R335" s="514"/>
      <c r="S335" s="756"/>
      <c r="T335" s="514"/>
      <c r="U335" s="514"/>
      <c r="V335" s="514"/>
      <c r="W335" s="514"/>
      <c r="X335" s="514"/>
      <c r="Y335" s="514"/>
      <c r="Z335" s="756"/>
      <c r="AA335" s="514"/>
      <c r="AB335" s="514"/>
      <c r="AC335" s="514"/>
      <c r="AD335" s="514"/>
      <c r="AE335" s="774"/>
      <c r="AF335" s="514"/>
      <c r="AG335" s="897"/>
      <c r="AH335" s="789"/>
      <c r="AI335" s="664">
        <f t="shared" si="16"/>
        <v>0</v>
      </c>
      <c r="AJ335" s="521">
        <v>0</v>
      </c>
      <c r="AK335" s="520">
        <f t="shared" si="17"/>
        <v>0</v>
      </c>
      <c r="AL335" s="695"/>
      <c r="AM335" s="669">
        <f t="shared" si="18"/>
        <v>0</v>
      </c>
    </row>
    <row r="336" spans="1:39" s="500" customFormat="1">
      <c r="A336" s="542" t="s">
        <v>838</v>
      </c>
      <c r="B336" s="542" t="s">
        <v>1280</v>
      </c>
      <c r="C336" s="616"/>
      <c r="D336" s="519"/>
      <c r="E336" s="726"/>
      <c r="F336" s="520"/>
      <c r="G336" s="520"/>
      <c r="H336" s="520"/>
      <c r="I336" s="521"/>
      <c r="J336" s="521"/>
      <c r="K336" s="521"/>
      <c r="L336" s="756"/>
      <c r="M336" s="514"/>
      <c r="N336" s="514"/>
      <c r="O336" s="514"/>
      <c r="P336" s="514"/>
      <c r="Q336" s="514"/>
      <c r="R336" s="514"/>
      <c r="S336" s="756"/>
      <c r="T336" s="514"/>
      <c r="U336" s="514"/>
      <c r="V336" s="514"/>
      <c r="W336" s="514"/>
      <c r="X336" s="514"/>
      <c r="Y336" s="514"/>
      <c r="Z336" s="756"/>
      <c r="AA336" s="514"/>
      <c r="AB336" s="514"/>
      <c r="AC336" s="514"/>
      <c r="AD336" s="514"/>
      <c r="AE336" s="774"/>
      <c r="AF336" s="514"/>
      <c r="AG336" s="897"/>
      <c r="AH336" s="789"/>
      <c r="AI336" s="664">
        <f t="shared" si="16"/>
        <v>0</v>
      </c>
      <c r="AJ336" s="521">
        <v>0</v>
      </c>
      <c r="AK336" s="520">
        <f t="shared" si="17"/>
        <v>0</v>
      </c>
      <c r="AL336" s="695" t="s">
        <v>1641</v>
      </c>
      <c r="AM336" s="669">
        <f t="shared" si="18"/>
        <v>9</v>
      </c>
    </row>
    <row r="337" spans="1:39" s="500" customFormat="1">
      <c r="A337" s="539" t="s">
        <v>839</v>
      </c>
      <c r="B337" s="539" t="s">
        <v>1281</v>
      </c>
      <c r="C337" s="548" t="s">
        <v>1450</v>
      </c>
      <c r="D337" s="519"/>
      <c r="E337" s="726"/>
      <c r="F337" s="520"/>
      <c r="G337" s="520"/>
      <c r="H337" s="520"/>
      <c r="I337" s="521"/>
      <c r="J337" s="521"/>
      <c r="K337" s="521"/>
      <c r="L337" s="756"/>
      <c r="M337" s="514"/>
      <c r="N337" s="514"/>
      <c r="O337" s="514"/>
      <c r="P337" s="514"/>
      <c r="Q337" s="514"/>
      <c r="R337" s="514"/>
      <c r="S337" s="756"/>
      <c r="T337" s="514"/>
      <c r="U337" s="514"/>
      <c r="V337" s="514"/>
      <c r="W337" s="514"/>
      <c r="X337" s="514"/>
      <c r="Y337" s="514"/>
      <c r="Z337" s="756"/>
      <c r="AA337" s="514"/>
      <c r="AB337" s="514"/>
      <c r="AC337" s="514"/>
      <c r="AD337" s="514"/>
      <c r="AE337" s="774"/>
      <c r="AF337" s="514"/>
      <c r="AG337" s="897"/>
      <c r="AH337" s="789"/>
      <c r="AI337" s="664">
        <f t="shared" si="16"/>
        <v>0</v>
      </c>
      <c r="AJ337" s="521">
        <v>0</v>
      </c>
      <c r="AK337" s="520">
        <f t="shared" si="17"/>
        <v>0</v>
      </c>
      <c r="AL337" s="695" t="s">
        <v>1455</v>
      </c>
      <c r="AM337" s="669">
        <f t="shared" si="18"/>
        <v>1</v>
      </c>
    </row>
    <row r="338" spans="1:39" s="500" customFormat="1">
      <c r="A338" s="539" t="s">
        <v>840</v>
      </c>
      <c r="B338" s="539" t="s">
        <v>1282</v>
      </c>
      <c r="C338" s="548" t="s">
        <v>64</v>
      </c>
      <c r="D338" s="519"/>
      <c r="E338" s="726"/>
      <c r="F338" s="520"/>
      <c r="G338" s="520"/>
      <c r="H338" s="520"/>
      <c r="I338" s="521"/>
      <c r="J338" s="521"/>
      <c r="K338" s="521"/>
      <c r="L338" s="756"/>
      <c r="M338" s="514"/>
      <c r="N338" s="514"/>
      <c r="O338" s="514"/>
      <c r="P338" s="514"/>
      <c r="Q338" s="514"/>
      <c r="R338" s="514"/>
      <c r="S338" s="756"/>
      <c r="T338" s="514"/>
      <c r="U338" s="514"/>
      <c r="V338" s="514"/>
      <c r="W338" s="514"/>
      <c r="X338" s="514"/>
      <c r="Y338" s="514"/>
      <c r="Z338" s="756"/>
      <c r="AA338" s="514"/>
      <c r="AB338" s="514"/>
      <c r="AC338" s="514"/>
      <c r="AD338" s="514"/>
      <c r="AE338" s="774"/>
      <c r="AF338" s="514"/>
      <c r="AG338" s="897"/>
      <c r="AH338" s="789"/>
      <c r="AI338" s="664">
        <f t="shared" si="16"/>
        <v>0</v>
      </c>
      <c r="AJ338" s="521">
        <v>0</v>
      </c>
      <c r="AK338" s="520">
        <f t="shared" si="17"/>
        <v>0</v>
      </c>
      <c r="AL338" s="695" t="s">
        <v>1645</v>
      </c>
      <c r="AM338" s="669">
        <f t="shared" si="18"/>
        <v>21.02</v>
      </c>
    </row>
    <row r="339" spans="1:39" s="500" customFormat="1">
      <c r="A339" s="539" t="s">
        <v>841</v>
      </c>
      <c r="B339" s="539" t="s">
        <v>1283</v>
      </c>
      <c r="C339" s="548" t="s">
        <v>37</v>
      </c>
      <c r="D339" s="519"/>
      <c r="E339" s="726"/>
      <c r="F339" s="520"/>
      <c r="G339" s="520"/>
      <c r="H339" s="520"/>
      <c r="I339" s="521"/>
      <c r="J339" s="521"/>
      <c r="K339" s="521"/>
      <c r="L339" s="756"/>
      <c r="M339" s="514"/>
      <c r="N339" s="514"/>
      <c r="O339" s="514"/>
      <c r="P339" s="514"/>
      <c r="Q339" s="514"/>
      <c r="R339" s="514"/>
      <c r="S339" s="756"/>
      <c r="T339" s="514"/>
      <c r="U339" s="514"/>
      <c r="V339" s="514"/>
      <c r="W339" s="514"/>
      <c r="X339" s="514"/>
      <c r="Y339" s="514"/>
      <c r="Z339" s="756"/>
      <c r="AA339" s="514"/>
      <c r="AB339" s="514"/>
      <c r="AC339" s="514"/>
      <c r="AD339" s="514"/>
      <c r="AE339" s="774"/>
      <c r="AF339" s="514"/>
      <c r="AG339" s="897"/>
      <c r="AH339" s="789"/>
      <c r="AI339" s="664">
        <f t="shared" si="16"/>
        <v>0</v>
      </c>
      <c r="AJ339" s="521">
        <v>0</v>
      </c>
      <c r="AK339" s="520">
        <f t="shared" si="17"/>
        <v>0</v>
      </c>
      <c r="AL339" s="695"/>
      <c r="AM339" s="669">
        <f t="shared" si="18"/>
        <v>0</v>
      </c>
    </row>
    <row r="340" spans="1:39" s="730" customFormat="1">
      <c r="A340" s="814" t="s">
        <v>475</v>
      </c>
      <c r="B340" s="815" t="s">
        <v>1284</v>
      </c>
      <c r="C340" s="844"/>
      <c r="D340" s="743"/>
      <c r="E340" s="726"/>
      <c r="F340" s="726"/>
      <c r="G340" s="726"/>
      <c r="H340" s="726"/>
      <c r="I340" s="725"/>
      <c r="J340" s="725"/>
      <c r="K340" s="725"/>
      <c r="L340" s="756"/>
      <c r="M340" s="756"/>
      <c r="N340" s="756"/>
      <c r="O340" s="756"/>
      <c r="P340" s="756"/>
      <c r="Q340" s="756"/>
      <c r="R340" s="756"/>
      <c r="S340" s="756"/>
      <c r="T340" s="756"/>
      <c r="U340" s="756"/>
      <c r="V340" s="756"/>
      <c r="W340" s="756"/>
      <c r="X340" s="756"/>
      <c r="Y340" s="756"/>
      <c r="Z340" s="756"/>
      <c r="AA340" s="756"/>
      <c r="AB340" s="756"/>
      <c r="AC340" s="756"/>
      <c r="AD340" s="756"/>
      <c r="AE340" s="774"/>
      <c r="AF340" s="756"/>
      <c r="AG340" s="897"/>
      <c r="AH340" s="819"/>
      <c r="AI340" s="786">
        <f t="shared" si="16"/>
        <v>0</v>
      </c>
      <c r="AJ340" s="725">
        <v>0</v>
      </c>
      <c r="AK340" s="726">
        <f t="shared" si="17"/>
        <v>0</v>
      </c>
      <c r="AL340" s="847"/>
      <c r="AM340" s="729">
        <f t="shared" si="18"/>
        <v>0</v>
      </c>
    </row>
    <row r="341" spans="1:39" s="730" customFormat="1">
      <c r="A341" s="831" t="s">
        <v>476</v>
      </c>
      <c r="B341" s="831" t="s">
        <v>1236</v>
      </c>
      <c r="C341" s="844"/>
      <c r="D341" s="743"/>
      <c r="E341" s="726"/>
      <c r="F341" s="726"/>
      <c r="G341" s="726"/>
      <c r="H341" s="726"/>
      <c r="I341" s="725"/>
      <c r="J341" s="725"/>
      <c r="K341" s="725"/>
      <c r="L341" s="756"/>
      <c r="M341" s="756"/>
      <c r="N341" s="756"/>
      <c r="O341" s="756"/>
      <c r="P341" s="756"/>
      <c r="Q341" s="756"/>
      <c r="R341" s="756"/>
      <c r="S341" s="756"/>
      <c r="T341" s="756"/>
      <c r="U341" s="756"/>
      <c r="V341" s="756"/>
      <c r="W341" s="756"/>
      <c r="X341" s="756"/>
      <c r="Y341" s="756"/>
      <c r="Z341" s="756"/>
      <c r="AA341" s="756"/>
      <c r="AB341" s="756"/>
      <c r="AC341" s="756"/>
      <c r="AD341" s="756"/>
      <c r="AE341" s="774"/>
      <c r="AF341" s="756"/>
      <c r="AG341" s="897"/>
      <c r="AH341" s="819"/>
      <c r="AI341" s="786">
        <f t="shared" si="16"/>
        <v>0</v>
      </c>
      <c r="AJ341" s="725">
        <v>0</v>
      </c>
      <c r="AK341" s="726">
        <f t="shared" si="17"/>
        <v>0</v>
      </c>
      <c r="AL341" s="847" t="s">
        <v>1646</v>
      </c>
      <c r="AM341" s="729">
        <f t="shared" si="18"/>
        <v>73.59</v>
      </c>
    </row>
    <row r="342" spans="1:39" s="730" customFormat="1">
      <c r="A342" s="720" t="s">
        <v>842</v>
      </c>
      <c r="B342" s="720" t="s">
        <v>1237</v>
      </c>
      <c r="C342" s="823" t="s">
        <v>37</v>
      </c>
      <c r="D342" s="743"/>
      <c r="E342" s="726"/>
      <c r="F342" s="726"/>
      <c r="G342" s="726"/>
      <c r="H342" s="726"/>
      <c r="I342" s="725"/>
      <c r="J342" s="725"/>
      <c r="K342" s="725"/>
      <c r="L342" s="756"/>
      <c r="M342" s="756"/>
      <c r="N342" s="756"/>
      <c r="O342" s="756"/>
      <c r="P342" s="756"/>
      <c r="Q342" s="756"/>
      <c r="R342" s="756"/>
      <c r="S342" s="756"/>
      <c r="T342" s="756"/>
      <c r="U342" s="756"/>
      <c r="V342" s="756"/>
      <c r="W342" s="756"/>
      <c r="X342" s="756"/>
      <c r="Y342" s="756"/>
      <c r="Z342" s="756"/>
      <c r="AA342" s="756"/>
      <c r="AB342" s="756"/>
      <c r="AC342" s="756"/>
      <c r="AD342" s="756"/>
      <c r="AE342" s="774"/>
      <c r="AF342" s="756"/>
      <c r="AG342" s="897"/>
      <c r="AH342" s="819"/>
      <c r="AI342" s="786">
        <f t="shared" si="16"/>
        <v>0</v>
      </c>
      <c r="AJ342" s="725">
        <v>0</v>
      </c>
      <c r="AK342" s="726">
        <f t="shared" si="17"/>
        <v>0</v>
      </c>
      <c r="AL342" s="847" t="s">
        <v>1647</v>
      </c>
      <c r="AM342" s="729">
        <f t="shared" si="18"/>
        <v>6.44</v>
      </c>
    </row>
    <row r="343" spans="1:39" s="730" customFormat="1">
      <c r="A343" s="720" t="s">
        <v>843</v>
      </c>
      <c r="B343" s="720" t="s">
        <v>1238</v>
      </c>
      <c r="C343" s="823" t="s">
        <v>37</v>
      </c>
      <c r="D343" s="743"/>
      <c r="E343" s="726"/>
      <c r="F343" s="726"/>
      <c r="G343" s="726"/>
      <c r="H343" s="726"/>
      <c r="I343" s="725"/>
      <c r="J343" s="725"/>
      <c r="K343" s="725"/>
      <c r="L343" s="756"/>
      <c r="M343" s="756"/>
      <c r="N343" s="756"/>
      <c r="O343" s="756"/>
      <c r="P343" s="756"/>
      <c r="Q343" s="756"/>
      <c r="R343" s="756"/>
      <c r="S343" s="756"/>
      <c r="T343" s="756"/>
      <c r="U343" s="756"/>
      <c r="V343" s="756"/>
      <c r="W343" s="756"/>
      <c r="X343" s="756"/>
      <c r="Y343" s="756"/>
      <c r="Z343" s="756"/>
      <c r="AA343" s="756"/>
      <c r="AB343" s="756"/>
      <c r="AC343" s="756"/>
      <c r="AD343" s="756"/>
      <c r="AE343" s="774"/>
      <c r="AF343" s="756"/>
      <c r="AG343" s="897"/>
      <c r="AH343" s="819"/>
      <c r="AI343" s="786">
        <f t="shared" si="16"/>
        <v>0</v>
      </c>
      <c r="AJ343" s="725">
        <v>0</v>
      </c>
      <c r="AK343" s="726">
        <f t="shared" si="17"/>
        <v>0</v>
      </c>
      <c r="AL343" s="847"/>
      <c r="AM343" s="729">
        <f t="shared" si="18"/>
        <v>0</v>
      </c>
    </row>
    <row r="344" spans="1:39" s="500" customFormat="1">
      <c r="A344" s="542" t="s">
        <v>477</v>
      </c>
      <c r="B344" s="542" t="s">
        <v>1239</v>
      </c>
      <c r="C344" s="616"/>
      <c r="D344" s="519"/>
      <c r="E344" s="726"/>
      <c r="F344" s="520"/>
      <c r="G344" s="520"/>
      <c r="H344" s="520"/>
      <c r="I344" s="521"/>
      <c r="J344" s="521"/>
      <c r="K344" s="521"/>
      <c r="L344" s="756"/>
      <c r="M344" s="514"/>
      <c r="N344" s="514"/>
      <c r="O344" s="514"/>
      <c r="P344" s="514"/>
      <c r="Q344" s="514"/>
      <c r="R344" s="514"/>
      <c r="S344" s="756"/>
      <c r="T344" s="514"/>
      <c r="U344" s="514"/>
      <c r="V344" s="514"/>
      <c r="W344" s="514"/>
      <c r="X344" s="514"/>
      <c r="Y344" s="514"/>
      <c r="Z344" s="756"/>
      <c r="AA344" s="514"/>
      <c r="AB344" s="514"/>
      <c r="AC344" s="514"/>
      <c r="AD344" s="514"/>
      <c r="AE344" s="774"/>
      <c r="AF344" s="514"/>
      <c r="AG344" s="897"/>
      <c r="AH344" s="789"/>
      <c r="AI344" s="664">
        <f t="shared" si="16"/>
        <v>0</v>
      </c>
      <c r="AJ344" s="521">
        <v>0</v>
      </c>
      <c r="AK344" s="520">
        <f t="shared" si="17"/>
        <v>0</v>
      </c>
      <c r="AL344" s="695" t="s">
        <v>1648</v>
      </c>
      <c r="AM344" s="669">
        <f t="shared" si="18"/>
        <v>99.99</v>
      </c>
    </row>
    <row r="345" spans="1:39" s="500" customFormat="1">
      <c r="A345" s="539" t="s">
        <v>844</v>
      </c>
      <c r="B345" s="539" t="s">
        <v>1240</v>
      </c>
      <c r="C345" s="548" t="s">
        <v>37</v>
      </c>
      <c r="D345" s="519"/>
      <c r="E345" s="726"/>
      <c r="F345" s="520"/>
      <c r="G345" s="520"/>
      <c r="H345" s="520"/>
      <c r="I345" s="521"/>
      <c r="J345" s="521"/>
      <c r="K345" s="521"/>
      <c r="L345" s="756"/>
      <c r="M345" s="514"/>
      <c r="N345" s="514"/>
      <c r="O345" s="514"/>
      <c r="P345" s="514"/>
      <c r="Q345" s="514"/>
      <c r="R345" s="514"/>
      <c r="S345" s="756"/>
      <c r="T345" s="514"/>
      <c r="U345" s="514"/>
      <c r="V345" s="514"/>
      <c r="W345" s="514"/>
      <c r="X345" s="514"/>
      <c r="Y345" s="514"/>
      <c r="Z345" s="756"/>
      <c r="AA345" s="514"/>
      <c r="AB345" s="514"/>
      <c r="AC345" s="514"/>
      <c r="AD345" s="514"/>
      <c r="AE345" s="774"/>
      <c r="AF345" s="514"/>
      <c r="AG345" s="897"/>
      <c r="AH345" s="789"/>
      <c r="AI345" s="664">
        <f t="shared" si="16"/>
        <v>0</v>
      </c>
      <c r="AJ345" s="521">
        <v>0</v>
      </c>
      <c r="AK345" s="520">
        <f t="shared" si="17"/>
        <v>0</v>
      </c>
      <c r="AL345" s="695" t="s">
        <v>1649</v>
      </c>
      <c r="AM345" s="669">
        <f t="shared" si="18"/>
        <v>60.07</v>
      </c>
    </row>
    <row r="346" spans="1:39" s="500" customFormat="1">
      <c r="A346" s="539" t="s">
        <v>845</v>
      </c>
      <c r="B346" s="539" t="s">
        <v>1241</v>
      </c>
      <c r="C346" s="548" t="s">
        <v>37</v>
      </c>
      <c r="D346" s="519"/>
      <c r="E346" s="726"/>
      <c r="F346" s="520"/>
      <c r="G346" s="520"/>
      <c r="H346" s="520"/>
      <c r="I346" s="521"/>
      <c r="J346" s="521"/>
      <c r="K346" s="521"/>
      <c r="L346" s="756"/>
      <c r="M346" s="514"/>
      <c r="N346" s="514"/>
      <c r="O346" s="514"/>
      <c r="P346" s="514"/>
      <c r="Q346" s="514"/>
      <c r="R346" s="514"/>
      <c r="S346" s="756"/>
      <c r="T346" s="514"/>
      <c r="U346" s="514"/>
      <c r="V346" s="514"/>
      <c r="W346" s="514"/>
      <c r="X346" s="514"/>
      <c r="Y346" s="514"/>
      <c r="Z346" s="756"/>
      <c r="AA346" s="514"/>
      <c r="AB346" s="514"/>
      <c r="AC346" s="514"/>
      <c r="AD346" s="514"/>
      <c r="AE346" s="774"/>
      <c r="AF346" s="514"/>
      <c r="AG346" s="897"/>
      <c r="AH346" s="789"/>
      <c r="AI346" s="664">
        <f t="shared" si="16"/>
        <v>0</v>
      </c>
      <c r="AJ346" s="521">
        <v>0</v>
      </c>
      <c r="AK346" s="520">
        <f t="shared" si="17"/>
        <v>0</v>
      </c>
      <c r="AL346" s="695" t="s">
        <v>1650</v>
      </c>
      <c r="AM346" s="669">
        <f t="shared" si="18"/>
        <v>33.6</v>
      </c>
    </row>
    <row r="347" spans="1:39" s="500" customFormat="1">
      <c r="A347" s="539" t="s">
        <v>846</v>
      </c>
      <c r="B347" s="539" t="s">
        <v>1242</v>
      </c>
      <c r="C347" s="548" t="s">
        <v>37</v>
      </c>
      <c r="D347" s="519"/>
      <c r="E347" s="726"/>
      <c r="F347" s="520"/>
      <c r="G347" s="520"/>
      <c r="H347" s="520"/>
      <c r="I347" s="521"/>
      <c r="J347" s="521"/>
      <c r="K347" s="521"/>
      <c r="L347" s="756"/>
      <c r="M347" s="514"/>
      <c r="N347" s="514"/>
      <c r="O347" s="514"/>
      <c r="P347" s="514"/>
      <c r="Q347" s="514"/>
      <c r="R347" s="514"/>
      <c r="S347" s="756"/>
      <c r="T347" s="514"/>
      <c r="U347" s="514"/>
      <c r="V347" s="514"/>
      <c r="W347" s="514"/>
      <c r="X347" s="514"/>
      <c r="Y347" s="514"/>
      <c r="Z347" s="756"/>
      <c r="AA347" s="514"/>
      <c r="AB347" s="514"/>
      <c r="AC347" s="514"/>
      <c r="AD347" s="514"/>
      <c r="AE347" s="774"/>
      <c r="AF347" s="514"/>
      <c r="AG347" s="897"/>
      <c r="AH347" s="789"/>
      <c r="AI347" s="664">
        <f t="shared" si="16"/>
        <v>0</v>
      </c>
      <c r="AJ347" s="521">
        <v>0</v>
      </c>
      <c r="AK347" s="520">
        <f t="shared" si="17"/>
        <v>0</v>
      </c>
      <c r="AL347" s="695" t="s">
        <v>1651</v>
      </c>
      <c r="AM347" s="669">
        <f t="shared" si="18"/>
        <v>27.42</v>
      </c>
    </row>
    <row r="348" spans="1:39" s="500" customFormat="1">
      <c r="A348" s="539" t="s">
        <v>847</v>
      </c>
      <c r="B348" s="539" t="s">
        <v>1243</v>
      </c>
      <c r="C348" s="548" t="s">
        <v>37</v>
      </c>
      <c r="D348" s="519"/>
      <c r="E348" s="726"/>
      <c r="F348" s="520"/>
      <c r="G348" s="520"/>
      <c r="H348" s="520"/>
      <c r="I348" s="521"/>
      <c r="J348" s="521"/>
      <c r="K348" s="521"/>
      <c r="L348" s="756"/>
      <c r="M348" s="514"/>
      <c r="N348" s="514"/>
      <c r="O348" s="514"/>
      <c r="P348" s="514"/>
      <c r="Q348" s="514"/>
      <c r="R348" s="514"/>
      <c r="S348" s="756"/>
      <c r="T348" s="514"/>
      <c r="U348" s="514"/>
      <c r="V348" s="514"/>
      <c r="W348" s="514"/>
      <c r="X348" s="514"/>
      <c r="Y348" s="514"/>
      <c r="Z348" s="756"/>
      <c r="AA348" s="514"/>
      <c r="AB348" s="514"/>
      <c r="AC348" s="514"/>
      <c r="AD348" s="514"/>
      <c r="AE348" s="774"/>
      <c r="AF348" s="514"/>
      <c r="AG348" s="897"/>
      <c r="AH348" s="789"/>
      <c r="AI348" s="664">
        <f t="shared" si="16"/>
        <v>0</v>
      </c>
      <c r="AJ348" s="521">
        <v>0</v>
      </c>
      <c r="AK348" s="520">
        <f t="shared" si="17"/>
        <v>0</v>
      </c>
      <c r="AL348" s="695" t="s">
        <v>1652</v>
      </c>
      <c r="AM348" s="669">
        <f t="shared" si="18"/>
        <v>79.459999999999994</v>
      </c>
    </row>
    <row r="349" spans="1:39" s="500" customFormat="1">
      <c r="A349" s="539" t="s">
        <v>848</v>
      </c>
      <c r="B349" s="539" t="s">
        <v>1244</v>
      </c>
      <c r="C349" s="548" t="s">
        <v>37</v>
      </c>
      <c r="D349" s="519"/>
      <c r="E349" s="726"/>
      <c r="F349" s="520"/>
      <c r="G349" s="520"/>
      <c r="H349" s="520"/>
      <c r="I349" s="521"/>
      <c r="J349" s="521"/>
      <c r="K349" s="521"/>
      <c r="L349" s="756"/>
      <c r="M349" s="514"/>
      <c r="N349" s="514"/>
      <c r="O349" s="514"/>
      <c r="P349" s="514"/>
      <c r="Q349" s="514"/>
      <c r="R349" s="514"/>
      <c r="S349" s="756"/>
      <c r="T349" s="514"/>
      <c r="U349" s="514"/>
      <c r="V349" s="514"/>
      <c r="W349" s="514"/>
      <c r="X349" s="514"/>
      <c r="Y349" s="514"/>
      <c r="Z349" s="756"/>
      <c r="AA349" s="514"/>
      <c r="AB349" s="514"/>
      <c r="AC349" s="514"/>
      <c r="AD349" s="514"/>
      <c r="AE349" s="774"/>
      <c r="AF349" s="514"/>
      <c r="AG349" s="897"/>
      <c r="AH349" s="789"/>
      <c r="AI349" s="664">
        <f t="shared" si="16"/>
        <v>0</v>
      </c>
      <c r="AJ349" s="521">
        <v>0</v>
      </c>
      <c r="AK349" s="520">
        <f t="shared" si="17"/>
        <v>0</v>
      </c>
      <c r="AL349" s="695" t="s">
        <v>1653</v>
      </c>
      <c r="AM349" s="669">
        <f t="shared" si="18"/>
        <v>80.02</v>
      </c>
    </row>
    <row r="350" spans="1:39" s="500" customFormat="1">
      <c r="A350" s="539" t="s">
        <v>849</v>
      </c>
      <c r="B350" s="539" t="s">
        <v>1245</v>
      </c>
      <c r="C350" s="548" t="s">
        <v>38</v>
      </c>
      <c r="D350" s="519"/>
      <c r="E350" s="726"/>
      <c r="F350" s="520"/>
      <c r="G350" s="520"/>
      <c r="H350" s="520"/>
      <c r="I350" s="521"/>
      <c r="J350" s="521"/>
      <c r="K350" s="521"/>
      <c r="L350" s="756"/>
      <c r="M350" s="514"/>
      <c r="N350" s="514"/>
      <c r="O350" s="514"/>
      <c r="P350" s="514"/>
      <c r="Q350" s="514"/>
      <c r="R350" s="514"/>
      <c r="S350" s="756"/>
      <c r="T350" s="514"/>
      <c r="U350" s="514"/>
      <c r="V350" s="514"/>
      <c r="W350" s="514"/>
      <c r="X350" s="514"/>
      <c r="Y350" s="514"/>
      <c r="Z350" s="756"/>
      <c r="AA350" s="514"/>
      <c r="AB350" s="514"/>
      <c r="AC350" s="514"/>
      <c r="AD350" s="514"/>
      <c r="AE350" s="774"/>
      <c r="AF350" s="514"/>
      <c r="AG350" s="897"/>
      <c r="AH350" s="789"/>
      <c r="AI350" s="664">
        <f t="shared" si="16"/>
        <v>0</v>
      </c>
      <c r="AJ350" s="521">
        <v>0</v>
      </c>
      <c r="AK350" s="520">
        <f t="shared" si="17"/>
        <v>0</v>
      </c>
      <c r="AL350" s="695" t="s">
        <v>1654</v>
      </c>
      <c r="AM350" s="669">
        <f t="shared" si="18"/>
        <v>245.52</v>
      </c>
    </row>
    <row r="351" spans="1:39" s="500" customFormat="1">
      <c r="A351" s="539" t="s">
        <v>850</v>
      </c>
      <c r="B351" s="539" t="s">
        <v>1246</v>
      </c>
      <c r="C351" s="548" t="s">
        <v>38</v>
      </c>
      <c r="D351" s="519"/>
      <c r="E351" s="726"/>
      <c r="F351" s="520"/>
      <c r="G351" s="520"/>
      <c r="H351" s="520"/>
      <c r="I351" s="521"/>
      <c r="J351" s="521"/>
      <c r="K351" s="521"/>
      <c r="L351" s="756"/>
      <c r="M351" s="514"/>
      <c r="N351" s="514"/>
      <c r="O351" s="514"/>
      <c r="P351" s="514"/>
      <c r="Q351" s="514"/>
      <c r="R351" s="514"/>
      <c r="S351" s="756"/>
      <c r="T351" s="514"/>
      <c r="U351" s="514"/>
      <c r="V351" s="514"/>
      <c r="W351" s="514"/>
      <c r="X351" s="514"/>
      <c r="Y351" s="514"/>
      <c r="Z351" s="756"/>
      <c r="AA351" s="514"/>
      <c r="AB351" s="514"/>
      <c r="AC351" s="514"/>
      <c r="AD351" s="514"/>
      <c r="AE351" s="774"/>
      <c r="AF351" s="514"/>
      <c r="AG351" s="897"/>
      <c r="AH351" s="789"/>
      <c r="AI351" s="664">
        <f t="shared" si="16"/>
        <v>0</v>
      </c>
      <c r="AJ351" s="521">
        <v>0</v>
      </c>
      <c r="AK351" s="520">
        <f t="shared" si="17"/>
        <v>0</v>
      </c>
      <c r="AL351" s="695"/>
      <c r="AM351" s="669">
        <f t="shared" si="18"/>
        <v>0</v>
      </c>
    </row>
    <row r="352" spans="1:39" s="500" customFormat="1">
      <c r="A352" s="542" t="s">
        <v>478</v>
      </c>
      <c r="B352" s="542" t="s">
        <v>1247</v>
      </c>
      <c r="C352" s="616"/>
      <c r="D352" s="519"/>
      <c r="E352" s="726"/>
      <c r="F352" s="520"/>
      <c r="G352" s="520"/>
      <c r="H352" s="520"/>
      <c r="I352" s="521"/>
      <c r="J352" s="521"/>
      <c r="K352" s="521"/>
      <c r="L352" s="756"/>
      <c r="M352" s="514"/>
      <c r="N352" s="514"/>
      <c r="O352" s="514"/>
      <c r="P352" s="514"/>
      <c r="Q352" s="514"/>
      <c r="R352" s="514"/>
      <c r="S352" s="756"/>
      <c r="T352" s="514"/>
      <c r="U352" s="514"/>
      <c r="V352" s="514"/>
      <c r="W352" s="514"/>
      <c r="X352" s="514"/>
      <c r="Y352" s="514"/>
      <c r="Z352" s="756"/>
      <c r="AA352" s="514"/>
      <c r="AB352" s="514"/>
      <c r="AC352" s="514"/>
      <c r="AD352" s="514"/>
      <c r="AE352" s="774"/>
      <c r="AF352" s="514"/>
      <c r="AG352" s="897"/>
      <c r="AH352" s="789"/>
      <c r="AI352" s="664">
        <f t="shared" si="16"/>
        <v>0</v>
      </c>
      <c r="AJ352" s="521">
        <v>0</v>
      </c>
      <c r="AK352" s="520">
        <f t="shared" si="17"/>
        <v>0</v>
      </c>
      <c r="AL352" s="695" t="s">
        <v>1655</v>
      </c>
      <c r="AM352" s="669">
        <f t="shared" si="18"/>
        <v>65.92</v>
      </c>
    </row>
    <row r="353" spans="1:39" s="500" customFormat="1">
      <c r="A353" s="539" t="s">
        <v>851</v>
      </c>
      <c r="B353" s="539" t="s">
        <v>1248</v>
      </c>
      <c r="C353" s="548" t="s">
        <v>37</v>
      </c>
      <c r="D353" s="519"/>
      <c r="E353" s="726"/>
      <c r="F353" s="520"/>
      <c r="G353" s="520"/>
      <c r="H353" s="520"/>
      <c r="I353" s="521"/>
      <c r="J353" s="521"/>
      <c r="K353" s="521"/>
      <c r="L353" s="756"/>
      <c r="M353" s="514"/>
      <c r="N353" s="514"/>
      <c r="O353" s="514"/>
      <c r="P353" s="514"/>
      <c r="Q353" s="514"/>
      <c r="R353" s="514"/>
      <c r="S353" s="756"/>
      <c r="T353" s="514"/>
      <c r="U353" s="514"/>
      <c r="V353" s="514"/>
      <c r="W353" s="514"/>
      <c r="X353" s="514"/>
      <c r="Y353" s="514"/>
      <c r="Z353" s="756"/>
      <c r="AA353" s="514"/>
      <c r="AB353" s="514"/>
      <c r="AC353" s="514"/>
      <c r="AD353" s="514"/>
      <c r="AE353" s="774"/>
      <c r="AF353" s="514"/>
      <c r="AG353" s="897"/>
      <c r="AH353" s="789"/>
      <c r="AI353" s="664">
        <f t="shared" si="16"/>
        <v>0</v>
      </c>
      <c r="AJ353" s="521">
        <v>0</v>
      </c>
      <c r="AK353" s="520">
        <f t="shared" si="17"/>
        <v>0</v>
      </c>
      <c r="AL353" s="695"/>
      <c r="AM353" s="669">
        <f t="shared" si="18"/>
        <v>0</v>
      </c>
    </row>
    <row r="354" spans="1:39" s="730" customFormat="1">
      <c r="A354" s="831" t="s">
        <v>479</v>
      </c>
      <c r="B354" s="831" t="s">
        <v>1249</v>
      </c>
      <c r="C354" s="844"/>
      <c r="D354" s="743"/>
      <c r="E354" s="726"/>
      <c r="F354" s="726"/>
      <c r="G354" s="726"/>
      <c r="H354" s="726"/>
      <c r="I354" s="725"/>
      <c r="J354" s="725"/>
      <c r="K354" s="725"/>
      <c r="L354" s="756"/>
      <c r="M354" s="756"/>
      <c r="N354" s="756"/>
      <c r="O354" s="756"/>
      <c r="P354" s="756"/>
      <c r="Q354" s="756"/>
      <c r="R354" s="756"/>
      <c r="S354" s="756"/>
      <c r="T354" s="756"/>
      <c r="U354" s="756"/>
      <c r="V354" s="756"/>
      <c r="W354" s="756"/>
      <c r="X354" s="756"/>
      <c r="Y354" s="756"/>
      <c r="Z354" s="756"/>
      <c r="AA354" s="756"/>
      <c r="AB354" s="756"/>
      <c r="AC354" s="756"/>
      <c r="AD354" s="756"/>
      <c r="AE354" s="774"/>
      <c r="AF354" s="756"/>
      <c r="AG354" s="897"/>
      <c r="AH354" s="819"/>
      <c r="AI354" s="786">
        <f t="shared" si="16"/>
        <v>0</v>
      </c>
      <c r="AJ354" s="725">
        <v>0</v>
      </c>
      <c r="AK354" s="726">
        <f t="shared" si="17"/>
        <v>0</v>
      </c>
      <c r="AL354" s="847" t="s">
        <v>1656</v>
      </c>
      <c r="AM354" s="729">
        <f t="shared" si="18"/>
        <v>57.88</v>
      </c>
    </row>
    <row r="355" spans="1:39" s="730" customFormat="1">
      <c r="A355" s="720" t="s">
        <v>852</v>
      </c>
      <c r="B355" s="720" t="s">
        <v>1250</v>
      </c>
      <c r="C355" s="823" t="s">
        <v>37</v>
      </c>
      <c r="D355" s="743"/>
      <c r="E355" s="726"/>
      <c r="F355" s="726"/>
      <c r="G355" s="726"/>
      <c r="H355" s="726"/>
      <c r="I355" s="725"/>
      <c r="J355" s="725"/>
      <c r="K355" s="725"/>
      <c r="L355" s="756"/>
      <c r="M355" s="756"/>
      <c r="N355" s="756"/>
      <c r="O355" s="756"/>
      <c r="P355" s="756"/>
      <c r="Q355" s="756"/>
      <c r="R355" s="756"/>
      <c r="S355" s="756"/>
      <c r="T355" s="756"/>
      <c r="U355" s="756"/>
      <c r="V355" s="756"/>
      <c r="W355" s="756"/>
      <c r="X355" s="756"/>
      <c r="Y355" s="756"/>
      <c r="Z355" s="756"/>
      <c r="AA355" s="756"/>
      <c r="AB355" s="756"/>
      <c r="AC355" s="756"/>
      <c r="AD355" s="756"/>
      <c r="AE355" s="774"/>
      <c r="AF355" s="756"/>
      <c r="AG355" s="897"/>
      <c r="AH355" s="819"/>
      <c r="AI355" s="786">
        <f t="shared" si="16"/>
        <v>0</v>
      </c>
      <c r="AJ355" s="725">
        <v>0</v>
      </c>
      <c r="AK355" s="726">
        <f t="shared" si="17"/>
        <v>0</v>
      </c>
      <c r="AL355" s="847" t="s">
        <v>1657</v>
      </c>
      <c r="AM355" s="729">
        <f t="shared" si="18"/>
        <v>40.200000000000003</v>
      </c>
    </row>
    <row r="356" spans="1:39" s="500" customFormat="1">
      <c r="A356" s="539" t="s">
        <v>853</v>
      </c>
      <c r="B356" s="539" t="s">
        <v>1285</v>
      </c>
      <c r="C356" s="548" t="s">
        <v>37</v>
      </c>
      <c r="D356" s="519"/>
      <c r="E356" s="726"/>
      <c r="F356" s="520"/>
      <c r="G356" s="520"/>
      <c r="H356" s="520"/>
      <c r="I356" s="521"/>
      <c r="J356" s="521"/>
      <c r="K356" s="521"/>
      <c r="L356" s="756"/>
      <c r="M356" s="514"/>
      <c r="N356" s="514"/>
      <c r="O356" s="514"/>
      <c r="P356" s="514"/>
      <c r="Q356" s="514"/>
      <c r="R356" s="514"/>
      <c r="S356" s="756"/>
      <c r="T356" s="514"/>
      <c r="U356" s="514"/>
      <c r="V356" s="514"/>
      <c r="W356" s="514"/>
      <c r="X356" s="514"/>
      <c r="Y356" s="514"/>
      <c r="Z356" s="756"/>
      <c r="AA356" s="514"/>
      <c r="AB356" s="514"/>
      <c r="AC356" s="514"/>
      <c r="AD356" s="514"/>
      <c r="AE356" s="774"/>
      <c r="AF356" s="514"/>
      <c r="AG356" s="897"/>
      <c r="AH356" s="789"/>
      <c r="AI356" s="664">
        <f t="shared" si="16"/>
        <v>0</v>
      </c>
      <c r="AJ356" s="521">
        <v>0</v>
      </c>
      <c r="AK356" s="520">
        <f t="shared" si="17"/>
        <v>0</v>
      </c>
      <c r="AL356" s="695" t="s">
        <v>1658</v>
      </c>
      <c r="AM356" s="669">
        <f t="shared" si="18"/>
        <v>5.72</v>
      </c>
    </row>
    <row r="357" spans="1:39" s="500" customFormat="1">
      <c r="A357" s="539" t="s">
        <v>854</v>
      </c>
      <c r="B357" s="539" t="s">
        <v>1251</v>
      </c>
      <c r="C357" s="548" t="s">
        <v>37</v>
      </c>
      <c r="D357" s="519"/>
      <c r="E357" s="726"/>
      <c r="F357" s="520"/>
      <c r="G357" s="520"/>
      <c r="H357" s="520"/>
      <c r="I357" s="521"/>
      <c r="J357" s="521"/>
      <c r="K357" s="521"/>
      <c r="L357" s="756"/>
      <c r="M357" s="514"/>
      <c r="N357" s="514"/>
      <c r="O357" s="514"/>
      <c r="P357" s="514"/>
      <c r="Q357" s="514"/>
      <c r="R357" s="514"/>
      <c r="S357" s="756"/>
      <c r="T357" s="514"/>
      <c r="U357" s="514"/>
      <c r="V357" s="514"/>
      <c r="W357" s="514"/>
      <c r="X357" s="514"/>
      <c r="Y357" s="514"/>
      <c r="Z357" s="756"/>
      <c r="AA357" s="514"/>
      <c r="AB357" s="514"/>
      <c r="AC357" s="514"/>
      <c r="AD357" s="514"/>
      <c r="AE357" s="774"/>
      <c r="AF357" s="514"/>
      <c r="AG357" s="897"/>
      <c r="AH357" s="789"/>
      <c r="AI357" s="664">
        <f t="shared" si="16"/>
        <v>0</v>
      </c>
      <c r="AJ357" s="521">
        <v>0</v>
      </c>
      <c r="AK357" s="520">
        <f t="shared" si="17"/>
        <v>0</v>
      </c>
      <c r="AL357" s="695" t="s">
        <v>1659</v>
      </c>
      <c r="AM357" s="669">
        <f t="shared" si="18"/>
        <v>11.96</v>
      </c>
    </row>
    <row r="358" spans="1:39" s="500" customFormat="1">
      <c r="A358" s="539" t="s">
        <v>855</v>
      </c>
      <c r="B358" s="539" t="s">
        <v>1252</v>
      </c>
      <c r="C358" s="548" t="s">
        <v>37</v>
      </c>
      <c r="D358" s="519"/>
      <c r="E358" s="726"/>
      <c r="F358" s="520"/>
      <c r="G358" s="520"/>
      <c r="H358" s="520"/>
      <c r="I358" s="521"/>
      <c r="J358" s="521"/>
      <c r="K358" s="521"/>
      <c r="L358" s="756"/>
      <c r="M358" s="514"/>
      <c r="N358" s="514"/>
      <c r="O358" s="514"/>
      <c r="P358" s="514"/>
      <c r="Q358" s="514"/>
      <c r="R358" s="514"/>
      <c r="S358" s="756"/>
      <c r="T358" s="514"/>
      <c r="U358" s="514"/>
      <c r="V358" s="514"/>
      <c r="W358" s="514"/>
      <c r="X358" s="514"/>
      <c r="Y358" s="514"/>
      <c r="Z358" s="756"/>
      <c r="AA358" s="514"/>
      <c r="AB358" s="514"/>
      <c r="AC358" s="514"/>
      <c r="AD358" s="514"/>
      <c r="AE358" s="774"/>
      <c r="AF358" s="514"/>
      <c r="AG358" s="897"/>
      <c r="AH358" s="789"/>
      <c r="AI358" s="664">
        <f t="shared" si="16"/>
        <v>0</v>
      </c>
      <c r="AJ358" s="521">
        <v>0</v>
      </c>
      <c r="AK358" s="520">
        <f t="shared" si="17"/>
        <v>0</v>
      </c>
      <c r="AL358" s="695"/>
      <c r="AM358" s="669">
        <f t="shared" si="18"/>
        <v>0</v>
      </c>
    </row>
    <row r="359" spans="1:39" s="500" customFormat="1">
      <c r="A359" s="542" t="s">
        <v>480</v>
      </c>
      <c r="B359" s="542" t="s">
        <v>1256</v>
      </c>
      <c r="C359" s="616"/>
      <c r="D359" s="519"/>
      <c r="E359" s="726"/>
      <c r="F359" s="520"/>
      <c r="G359" s="520"/>
      <c r="H359" s="520"/>
      <c r="I359" s="521"/>
      <c r="J359" s="521"/>
      <c r="K359" s="521"/>
      <c r="L359" s="756"/>
      <c r="M359" s="514"/>
      <c r="N359" s="514"/>
      <c r="O359" s="514"/>
      <c r="P359" s="514"/>
      <c r="Q359" s="514"/>
      <c r="R359" s="514"/>
      <c r="S359" s="756"/>
      <c r="T359" s="514"/>
      <c r="U359" s="514"/>
      <c r="V359" s="514"/>
      <c r="W359" s="514"/>
      <c r="X359" s="514"/>
      <c r="Y359" s="514"/>
      <c r="Z359" s="756"/>
      <c r="AA359" s="514"/>
      <c r="AB359" s="514"/>
      <c r="AC359" s="514"/>
      <c r="AD359" s="514"/>
      <c r="AE359" s="774"/>
      <c r="AF359" s="514"/>
      <c r="AG359" s="897"/>
      <c r="AH359" s="789"/>
      <c r="AI359" s="664">
        <f t="shared" si="16"/>
        <v>0</v>
      </c>
      <c r="AJ359" s="521">
        <v>0</v>
      </c>
      <c r="AK359" s="520">
        <f t="shared" si="17"/>
        <v>0</v>
      </c>
      <c r="AL359" s="695" t="s">
        <v>1660</v>
      </c>
      <c r="AM359" s="669">
        <f t="shared" si="18"/>
        <v>55.35</v>
      </c>
    </row>
    <row r="360" spans="1:39" s="500" customFormat="1">
      <c r="A360" s="539" t="s">
        <v>856</v>
      </c>
      <c r="B360" s="539" t="s">
        <v>1257</v>
      </c>
      <c r="C360" s="548" t="s">
        <v>37</v>
      </c>
      <c r="D360" s="519"/>
      <c r="E360" s="726"/>
      <c r="F360" s="520"/>
      <c r="G360" s="520"/>
      <c r="H360" s="520"/>
      <c r="I360" s="521"/>
      <c r="J360" s="521"/>
      <c r="K360" s="521"/>
      <c r="L360" s="756"/>
      <c r="M360" s="514"/>
      <c r="N360" s="514"/>
      <c r="O360" s="514"/>
      <c r="P360" s="514"/>
      <c r="Q360" s="514"/>
      <c r="R360" s="514"/>
      <c r="S360" s="756"/>
      <c r="T360" s="514"/>
      <c r="U360" s="514"/>
      <c r="V360" s="514"/>
      <c r="W360" s="514"/>
      <c r="X360" s="514"/>
      <c r="Y360" s="514"/>
      <c r="Z360" s="756"/>
      <c r="AA360" s="514"/>
      <c r="AB360" s="514"/>
      <c r="AC360" s="514"/>
      <c r="AD360" s="514"/>
      <c r="AE360" s="774"/>
      <c r="AF360" s="514"/>
      <c r="AG360" s="897"/>
      <c r="AH360" s="789"/>
      <c r="AI360" s="664">
        <f t="shared" si="16"/>
        <v>0</v>
      </c>
      <c r="AJ360" s="521">
        <v>0</v>
      </c>
      <c r="AK360" s="520">
        <f t="shared" si="17"/>
        <v>0</v>
      </c>
      <c r="AL360" s="695"/>
      <c r="AM360" s="669">
        <f t="shared" si="18"/>
        <v>0</v>
      </c>
    </row>
    <row r="361" spans="1:39" s="500" customFormat="1">
      <c r="A361" s="542" t="s">
        <v>481</v>
      </c>
      <c r="B361" s="542" t="s">
        <v>1258</v>
      </c>
      <c r="C361" s="616"/>
      <c r="D361" s="519"/>
      <c r="E361" s="726"/>
      <c r="F361" s="520"/>
      <c r="G361" s="520"/>
      <c r="H361" s="520"/>
      <c r="I361" s="521"/>
      <c r="J361" s="521"/>
      <c r="K361" s="521"/>
      <c r="L361" s="756"/>
      <c r="M361" s="514"/>
      <c r="N361" s="514"/>
      <c r="O361" s="514"/>
      <c r="P361" s="514"/>
      <c r="Q361" s="514"/>
      <c r="R361" s="514"/>
      <c r="S361" s="756"/>
      <c r="T361" s="514"/>
      <c r="U361" s="514"/>
      <c r="V361" s="514"/>
      <c r="W361" s="514"/>
      <c r="X361" s="514"/>
      <c r="Y361" s="514"/>
      <c r="Z361" s="756"/>
      <c r="AA361" s="514"/>
      <c r="AB361" s="514"/>
      <c r="AC361" s="514"/>
      <c r="AD361" s="514"/>
      <c r="AE361" s="774"/>
      <c r="AF361" s="514"/>
      <c r="AG361" s="897"/>
      <c r="AH361" s="789"/>
      <c r="AI361" s="664">
        <f t="shared" si="16"/>
        <v>0</v>
      </c>
      <c r="AJ361" s="521">
        <v>0</v>
      </c>
      <c r="AK361" s="520">
        <f t="shared" si="17"/>
        <v>0</v>
      </c>
      <c r="AL361" s="695" t="s">
        <v>1635</v>
      </c>
      <c r="AM361" s="669">
        <f t="shared" si="18"/>
        <v>15.8</v>
      </c>
    </row>
    <row r="362" spans="1:39" s="500" customFormat="1">
      <c r="A362" s="539" t="s">
        <v>857</v>
      </c>
      <c r="B362" s="539" t="s">
        <v>1259</v>
      </c>
      <c r="C362" s="548" t="s">
        <v>37</v>
      </c>
      <c r="D362" s="519"/>
      <c r="E362" s="726"/>
      <c r="F362" s="520"/>
      <c r="G362" s="520"/>
      <c r="H362" s="520"/>
      <c r="I362" s="521"/>
      <c r="J362" s="521"/>
      <c r="K362" s="521"/>
      <c r="L362" s="756"/>
      <c r="M362" s="514"/>
      <c r="N362" s="514"/>
      <c r="O362" s="514"/>
      <c r="P362" s="514"/>
      <c r="Q362" s="514"/>
      <c r="R362" s="514"/>
      <c r="S362" s="756"/>
      <c r="T362" s="514"/>
      <c r="U362" s="514"/>
      <c r="V362" s="514"/>
      <c r="W362" s="514"/>
      <c r="X362" s="514"/>
      <c r="Y362" s="514"/>
      <c r="Z362" s="756"/>
      <c r="AA362" s="514"/>
      <c r="AB362" s="514"/>
      <c r="AC362" s="514"/>
      <c r="AD362" s="514"/>
      <c r="AE362" s="774"/>
      <c r="AF362" s="514"/>
      <c r="AG362" s="897"/>
      <c r="AH362" s="789"/>
      <c r="AI362" s="664">
        <f t="shared" si="16"/>
        <v>0</v>
      </c>
      <c r="AJ362" s="521">
        <v>0</v>
      </c>
      <c r="AK362" s="520">
        <f t="shared" si="17"/>
        <v>0</v>
      </c>
      <c r="AL362" s="695" t="s">
        <v>1661</v>
      </c>
      <c r="AM362" s="669">
        <f t="shared" si="18"/>
        <v>29.4</v>
      </c>
    </row>
    <row r="363" spans="1:39" s="500" customFormat="1">
      <c r="A363" s="539" t="s">
        <v>858</v>
      </c>
      <c r="B363" s="539" t="s">
        <v>1286</v>
      </c>
      <c r="C363" s="548" t="s">
        <v>37</v>
      </c>
      <c r="D363" s="519"/>
      <c r="E363" s="726"/>
      <c r="F363" s="520"/>
      <c r="G363" s="520"/>
      <c r="H363" s="520"/>
      <c r="I363" s="521"/>
      <c r="J363" s="521"/>
      <c r="K363" s="521"/>
      <c r="L363" s="756"/>
      <c r="M363" s="514"/>
      <c r="N363" s="514"/>
      <c r="O363" s="514"/>
      <c r="P363" s="514"/>
      <c r="Q363" s="514"/>
      <c r="R363" s="514"/>
      <c r="S363" s="756"/>
      <c r="T363" s="514"/>
      <c r="U363" s="514"/>
      <c r="V363" s="514"/>
      <c r="W363" s="514"/>
      <c r="X363" s="514"/>
      <c r="Y363" s="514"/>
      <c r="Z363" s="756"/>
      <c r="AA363" s="514"/>
      <c r="AB363" s="514"/>
      <c r="AC363" s="514"/>
      <c r="AD363" s="514"/>
      <c r="AE363" s="774"/>
      <c r="AF363" s="514"/>
      <c r="AG363" s="897"/>
      <c r="AH363" s="789"/>
      <c r="AI363" s="664">
        <f t="shared" ref="AI363:AI426" si="19">ROUND((SUM(D363:L363)),2)</f>
        <v>0</v>
      </c>
      <c r="AJ363" s="521">
        <v>0</v>
      </c>
      <c r="AK363" s="520">
        <f t="shared" si="17"/>
        <v>0</v>
      </c>
      <c r="AL363" s="695" t="s">
        <v>1662</v>
      </c>
      <c r="AM363" s="669">
        <f t="shared" si="18"/>
        <v>9.6</v>
      </c>
    </row>
    <row r="364" spans="1:39" s="500" customFormat="1">
      <c r="A364" s="539" t="s">
        <v>859</v>
      </c>
      <c r="B364" s="539" t="s">
        <v>1261</v>
      </c>
      <c r="C364" s="548" t="s">
        <v>38</v>
      </c>
      <c r="D364" s="519"/>
      <c r="E364" s="726"/>
      <c r="F364" s="520"/>
      <c r="G364" s="520"/>
      <c r="H364" s="520"/>
      <c r="I364" s="521"/>
      <c r="J364" s="521"/>
      <c r="K364" s="521"/>
      <c r="L364" s="756"/>
      <c r="M364" s="514"/>
      <c r="N364" s="514"/>
      <c r="O364" s="514"/>
      <c r="P364" s="514"/>
      <c r="Q364" s="514"/>
      <c r="R364" s="514"/>
      <c r="S364" s="756"/>
      <c r="T364" s="514"/>
      <c r="U364" s="514"/>
      <c r="V364" s="514"/>
      <c r="W364" s="514"/>
      <c r="X364" s="514"/>
      <c r="Y364" s="514"/>
      <c r="Z364" s="756"/>
      <c r="AA364" s="514"/>
      <c r="AB364" s="514"/>
      <c r="AC364" s="514"/>
      <c r="AD364" s="514"/>
      <c r="AE364" s="774"/>
      <c r="AF364" s="514"/>
      <c r="AG364" s="897"/>
      <c r="AH364" s="789"/>
      <c r="AI364" s="664">
        <f t="shared" si="19"/>
        <v>0</v>
      </c>
      <c r="AJ364" s="521">
        <v>0</v>
      </c>
      <c r="AK364" s="520">
        <f t="shared" si="17"/>
        <v>0</v>
      </c>
      <c r="AL364" s="695" t="s">
        <v>1663</v>
      </c>
      <c r="AM364" s="669">
        <f t="shared" si="18"/>
        <v>23.08</v>
      </c>
    </row>
    <row r="365" spans="1:39" s="500" customFormat="1">
      <c r="A365" s="539" t="s">
        <v>860</v>
      </c>
      <c r="B365" s="539" t="s">
        <v>1287</v>
      </c>
      <c r="C365" s="548" t="s">
        <v>38</v>
      </c>
      <c r="D365" s="519"/>
      <c r="E365" s="726"/>
      <c r="F365" s="520"/>
      <c r="G365" s="520"/>
      <c r="H365" s="520"/>
      <c r="I365" s="521"/>
      <c r="J365" s="521"/>
      <c r="K365" s="521"/>
      <c r="L365" s="756"/>
      <c r="M365" s="514"/>
      <c r="N365" s="514"/>
      <c r="O365" s="514"/>
      <c r="P365" s="514"/>
      <c r="Q365" s="514"/>
      <c r="R365" s="514"/>
      <c r="S365" s="756"/>
      <c r="T365" s="514"/>
      <c r="U365" s="514"/>
      <c r="V365" s="514"/>
      <c r="W365" s="514"/>
      <c r="X365" s="514"/>
      <c r="Y365" s="514"/>
      <c r="Z365" s="756"/>
      <c r="AA365" s="514"/>
      <c r="AB365" s="514"/>
      <c r="AC365" s="514"/>
      <c r="AD365" s="514"/>
      <c r="AE365" s="774"/>
      <c r="AF365" s="514"/>
      <c r="AG365" s="897"/>
      <c r="AH365" s="789"/>
      <c r="AI365" s="664">
        <f t="shared" si="19"/>
        <v>0</v>
      </c>
      <c r="AJ365" s="521">
        <v>0</v>
      </c>
      <c r="AK365" s="520">
        <f t="shared" si="17"/>
        <v>0</v>
      </c>
      <c r="AL365" s="695"/>
      <c r="AM365" s="669">
        <f t="shared" si="18"/>
        <v>0</v>
      </c>
    </row>
    <row r="366" spans="1:39" s="500" customFormat="1">
      <c r="A366" s="542" t="s">
        <v>482</v>
      </c>
      <c r="B366" s="542" t="s">
        <v>1198</v>
      </c>
      <c r="C366" s="616"/>
      <c r="D366" s="519"/>
      <c r="E366" s="726"/>
      <c r="F366" s="520"/>
      <c r="G366" s="520"/>
      <c r="H366" s="520"/>
      <c r="I366" s="521"/>
      <c r="J366" s="521"/>
      <c r="K366" s="521"/>
      <c r="L366" s="756"/>
      <c r="M366" s="514"/>
      <c r="N366" s="514"/>
      <c r="O366" s="514"/>
      <c r="P366" s="514"/>
      <c r="Q366" s="514"/>
      <c r="R366" s="514"/>
      <c r="S366" s="756"/>
      <c r="T366" s="514"/>
      <c r="U366" s="514"/>
      <c r="V366" s="514"/>
      <c r="W366" s="514"/>
      <c r="X366" s="514"/>
      <c r="Y366" s="514"/>
      <c r="Z366" s="756"/>
      <c r="AA366" s="514"/>
      <c r="AB366" s="514"/>
      <c r="AC366" s="514"/>
      <c r="AD366" s="514"/>
      <c r="AE366" s="774"/>
      <c r="AF366" s="514"/>
      <c r="AG366" s="897"/>
      <c r="AH366" s="789"/>
      <c r="AI366" s="664">
        <f t="shared" si="19"/>
        <v>0</v>
      </c>
      <c r="AJ366" s="521">
        <v>0</v>
      </c>
      <c r="AK366" s="520">
        <f t="shared" si="17"/>
        <v>0</v>
      </c>
      <c r="AL366" s="695" t="s">
        <v>1664</v>
      </c>
      <c r="AM366" s="669">
        <f t="shared" si="18"/>
        <v>48.24</v>
      </c>
    </row>
    <row r="367" spans="1:39" s="500" customFormat="1">
      <c r="A367" s="539" t="s">
        <v>861</v>
      </c>
      <c r="B367" s="539" t="s">
        <v>1262</v>
      </c>
      <c r="C367" s="548" t="s">
        <v>37</v>
      </c>
      <c r="D367" s="519"/>
      <c r="E367" s="726"/>
      <c r="F367" s="520"/>
      <c r="G367" s="520"/>
      <c r="H367" s="520"/>
      <c r="I367" s="521"/>
      <c r="J367" s="521"/>
      <c r="K367" s="521"/>
      <c r="L367" s="756"/>
      <c r="M367" s="514"/>
      <c r="N367" s="514"/>
      <c r="O367" s="514"/>
      <c r="P367" s="514"/>
      <c r="Q367" s="514"/>
      <c r="R367" s="514"/>
      <c r="S367" s="756"/>
      <c r="T367" s="514"/>
      <c r="U367" s="514"/>
      <c r="V367" s="514"/>
      <c r="W367" s="514"/>
      <c r="X367" s="514"/>
      <c r="Y367" s="514"/>
      <c r="Z367" s="756"/>
      <c r="AA367" s="514"/>
      <c r="AB367" s="514"/>
      <c r="AC367" s="514"/>
      <c r="AD367" s="514"/>
      <c r="AE367" s="774"/>
      <c r="AF367" s="514"/>
      <c r="AG367" s="897"/>
      <c r="AH367" s="789"/>
      <c r="AI367" s="664">
        <f t="shared" si="19"/>
        <v>0</v>
      </c>
      <c r="AJ367" s="521">
        <v>0</v>
      </c>
      <c r="AK367" s="520">
        <f t="shared" si="17"/>
        <v>0</v>
      </c>
      <c r="AL367" s="695" t="s">
        <v>1665</v>
      </c>
      <c r="AM367" s="669">
        <f t="shared" si="18"/>
        <v>34.880000000000003</v>
      </c>
    </row>
    <row r="368" spans="1:39" s="500" customFormat="1">
      <c r="A368" s="539" t="s">
        <v>862</v>
      </c>
      <c r="B368" s="539" t="s">
        <v>1263</v>
      </c>
      <c r="C368" s="548" t="s">
        <v>38</v>
      </c>
      <c r="D368" s="519"/>
      <c r="E368" s="726"/>
      <c r="F368" s="520"/>
      <c r="G368" s="520"/>
      <c r="H368" s="520"/>
      <c r="I368" s="521"/>
      <c r="J368" s="521"/>
      <c r="K368" s="521"/>
      <c r="L368" s="756"/>
      <c r="M368" s="514"/>
      <c r="N368" s="514"/>
      <c r="O368" s="514"/>
      <c r="P368" s="514"/>
      <c r="Q368" s="514"/>
      <c r="R368" s="514"/>
      <c r="S368" s="756"/>
      <c r="T368" s="514"/>
      <c r="U368" s="514"/>
      <c r="V368" s="514"/>
      <c r="W368" s="514"/>
      <c r="X368" s="514"/>
      <c r="Y368" s="514"/>
      <c r="Z368" s="756"/>
      <c r="AA368" s="514"/>
      <c r="AB368" s="514"/>
      <c r="AC368" s="514"/>
      <c r="AD368" s="514"/>
      <c r="AE368" s="774"/>
      <c r="AF368" s="514"/>
      <c r="AG368" s="897"/>
      <c r="AH368" s="789"/>
      <c r="AI368" s="664">
        <f t="shared" si="19"/>
        <v>0</v>
      </c>
      <c r="AJ368" s="521">
        <v>0</v>
      </c>
      <c r="AK368" s="520">
        <f t="shared" si="17"/>
        <v>0</v>
      </c>
      <c r="AL368" s="695" t="s">
        <v>1666</v>
      </c>
      <c r="AM368" s="669">
        <f t="shared" si="18"/>
        <v>22.97</v>
      </c>
    </row>
    <row r="369" spans="1:39" s="500" customFormat="1">
      <c r="A369" s="539" t="s">
        <v>863</v>
      </c>
      <c r="B369" s="539" t="s">
        <v>1288</v>
      </c>
      <c r="C369" s="548" t="s">
        <v>37</v>
      </c>
      <c r="D369" s="519"/>
      <c r="E369" s="726"/>
      <c r="F369" s="520"/>
      <c r="G369" s="520"/>
      <c r="H369" s="520"/>
      <c r="I369" s="521"/>
      <c r="J369" s="521"/>
      <c r="K369" s="521"/>
      <c r="L369" s="756"/>
      <c r="M369" s="514"/>
      <c r="N369" s="514"/>
      <c r="O369" s="514"/>
      <c r="P369" s="514"/>
      <c r="Q369" s="514"/>
      <c r="R369" s="514"/>
      <c r="S369" s="756"/>
      <c r="T369" s="514"/>
      <c r="U369" s="514"/>
      <c r="V369" s="514"/>
      <c r="W369" s="514"/>
      <c r="X369" s="514"/>
      <c r="Y369" s="514"/>
      <c r="Z369" s="756"/>
      <c r="AA369" s="514"/>
      <c r="AB369" s="514"/>
      <c r="AC369" s="514"/>
      <c r="AD369" s="514"/>
      <c r="AE369" s="774"/>
      <c r="AF369" s="514"/>
      <c r="AG369" s="897"/>
      <c r="AH369" s="789"/>
      <c r="AI369" s="664">
        <f t="shared" si="19"/>
        <v>0</v>
      </c>
      <c r="AJ369" s="521">
        <v>0</v>
      </c>
      <c r="AK369" s="520">
        <f t="shared" si="17"/>
        <v>0</v>
      </c>
      <c r="AL369" s="695"/>
      <c r="AM369" s="669">
        <f t="shared" si="18"/>
        <v>0</v>
      </c>
    </row>
    <row r="370" spans="1:39" s="500" customFormat="1">
      <c r="A370" s="542" t="s">
        <v>483</v>
      </c>
      <c r="B370" s="542" t="s">
        <v>1264</v>
      </c>
      <c r="C370" s="548"/>
      <c r="D370" s="519"/>
      <c r="E370" s="726"/>
      <c r="F370" s="520"/>
      <c r="G370" s="520"/>
      <c r="H370" s="520"/>
      <c r="I370" s="521"/>
      <c r="J370" s="521"/>
      <c r="K370" s="521"/>
      <c r="L370" s="756"/>
      <c r="M370" s="514"/>
      <c r="N370" s="514"/>
      <c r="O370" s="514"/>
      <c r="P370" s="514"/>
      <c r="Q370" s="514"/>
      <c r="R370" s="514"/>
      <c r="S370" s="756"/>
      <c r="T370" s="514"/>
      <c r="U370" s="514"/>
      <c r="V370" s="514"/>
      <c r="W370" s="514"/>
      <c r="X370" s="514"/>
      <c r="Y370" s="514"/>
      <c r="Z370" s="756"/>
      <c r="AA370" s="514"/>
      <c r="AB370" s="514"/>
      <c r="AC370" s="514"/>
      <c r="AD370" s="514"/>
      <c r="AE370" s="774"/>
      <c r="AF370" s="514"/>
      <c r="AG370" s="897"/>
      <c r="AH370" s="789"/>
      <c r="AI370" s="664">
        <f t="shared" si="19"/>
        <v>0</v>
      </c>
      <c r="AJ370" s="521">
        <v>0</v>
      </c>
      <c r="AK370" s="520">
        <f t="shared" si="17"/>
        <v>0</v>
      </c>
      <c r="AL370" s="695" t="s">
        <v>1667</v>
      </c>
      <c r="AM370" s="669">
        <f t="shared" si="18"/>
        <v>5.88</v>
      </c>
    </row>
    <row r="371" spans="1:39" s="500" customFormat="1">
      <c r="A371" s="539" t="s">
        <v>864</v>
      </c>
      <c r="B371" s="539" t="s">
        <v>1289</v>
      </c>
      <c r="C371" s="548" t="s">
        <v>37</v>
      </c>
      <c r="D371" s="519"/>
      <c r="E371" s="726"/>
      <c r="F371" s="520"/>
      <c r="G371" s="520"/>
      <c r="H371" s="520"/>
      <c r="I371" s="521"/>
      <c r="J371" s="521"/>
      <c r="K371" s="521"/>
      <c r="L371" s="756"/>
      <c r="M371" s="514"/>
      <c r="N371" s="514"/>
      <c r="O371" s="514"/>
      <c r="P371" s="514"/>
      <c r="Q371" s="514"/>
      <c r="R371" s="514"/>
      <c r="S371" s="756"/>
      <c r="T371" s="514"/>
      <c r="U371" s="514"/>
      <c r="V371" s="514"/>
      <c r="W371" s="514"/>
      <c r="X371" s="514"/>
      <c r="Y371" s="514"/>
      <c r="Z371" s="756"/>
      <c r="AA371" s="514"/>
      <c r="AB371" s="514"/>
      <c r="AC371" s="514"/>
      <c r="AD371" s="514"/>
      <c r="AE371" s="774"/>
      <c r="AF371" s="514"/>
      <c r="AG371" s="897"/>
      <c r="AH371" s="789"/>
      <c r="AI371" s="664">
        <f t="shared" si="19"/>
        <v>0</v>
      </c>
      <c r="AJ371" s="521">
        <v>0</v>
      </c>
      <c r="AK371" s="520">
        <f t="shared" si="17"/>
        <v>0</v>
      </c>
      <c r="AL371" s="695" t="s">
        <v>1668</v>
      </c>
      <c r="AM371" s="669">
        <f t="shared" si="18"/>
        <v>1.68</v>
      </c>
    </row>
    <row r="372" spans="1:39" s="500" customFormat="1">
      <c r="A372" s="539" t="s">
        <v>865</v>
      </c>
      <c r="B372" s="539" t="s">
        <v>1290</v>
      </c>
      <c r="C372" s="548" t="s">
        <v>37</v>
      </c>
      <c r="D372" s="519"/>
      <c r="E372" s="726"/>
      <c r="F372" s="520"/>
      <c r="G372" s="520"/>
      <c r="H372" s="520"/>
      <c r="I372" s="521"/>
      <c r="J372" s="521"/>
      <c r="K372" s="521"/>
      <c r="L372" s="756"/>
      <c r="M372" s="514"/>
      <c r="N372" s="514"/>
      <c r="O372" s="514"/>
      <c r="P372" s="514"/>
      <c r="Q372" s="514"/>
      <c r="R372" s="514"/>
      <c r="S372" s="756"/>
      <c r="T372" s="514"/>
      <c r="U372" s="514"/>
      <c r="V372" s="514"/>
      <c r="W372" s="514"/>
      <c r="X372" s="514"/>
      <c r="Y372" s="514"/>
      <c r="Z372" s="756"/>
      <c r="AA372" s="514"/>
      <c r="AB372" s="514"/>
      <c r="AC372" s="514"/>
      <c r="AD372" s="514"/>
      <c r="AE372" s="774"/>
      <c r="AF372" s="514"/>
      <c r="AG372" s="897"/>
      <c r="AH372" s="789"/>
      <c r="AI372" s="664">
        <f t="shared" si="19"/>
        <v>0</v>
      </c>
      <c r="AJ372" s="521">
        <v>0</v>
      </c>
      <c r="AK372" s="520">
        <f t="shared" si="17"/>
        <v>0</v>
      </c>
      <c r="AL372" s="695"/>
      <c r="AM372" s="669">
        <f t="shared" si="18"/>
        <v>0</v>
      </c>
    </row>
    <row r="373" spans="1:39" s="500" customFormat="1">
      <c r="A373" s="542" t="s">
        <v>866</v>
      </c>
      <c r="B373" s="542" t="s">
        <v>1291</v>
      </c>
      <c r="C373" s="616"/>
      <c r="D373" s="519"/>
      <c r="E373" s="726"/>
      <c r="F373" s="520"/>
      <c r="G373" s="520"/>
      <c r="H373" s="520"/>
      <c r="I373" s="521"/>
      <c r="J373" s="521"/>
      <c r="K373" s="521"/>
      <c r="L373" s="756"/>
      <c r="M373" s="514"/>
      <c r="N373" s="514"/>
      <c r="O373" s="514"/>
      <c r="P373" s="514"/>
      <c r="Q373" s="514"/>
      <c r="R373" s="514"/>
      <c r="S373" s="756"/>
      <c r="T373" s="514"/>
      <c r="U373" s="514"/>
      <c r="V373" s="514"/>
      <c r="W373" s="514"/>
      <c r="X373" s="514"/>
      <c r="Y373" s="514"/>
      <c r="Z373" s="756"/>
      <c r="AA373" s="514"/>
      <c r="AB373" s="514"/>
      <c r="AC373" s="514"/>
      <c r="AD373" s="514"/>
      <c r="AE373" s="774"/>
      <c r="AF373" s="514"/>
      <c r="AG373" s="897"/>
      <c r="AH373" s="789"/>
      <c r="AI373" s="664">
        <f t="shared" si="19"/>
        <v>0</v>
      </c>
      <c r="AJ373" s="521">
        <v>0</v>
      </c>
      <c r="AK373" s="520">
        <f t="shared" si="17"/>
        <v>0</v>
      </c>
      <c r="AL373" s="695" t="s">
        <v>1669</v>
      </c>
      <c r="AM373" s="669">
        <f t="shared" si="18"/>
        <v>9.24</v>
      </c>
    </row>
    <row r="374" spans="1:39" s="500" customFormat="1">
      <c r="A374" s="539" t="s">
        <v>867</v>
      </c>
      <c r="B374" s="539" t="s">
        <v>1292</v>
      </c>
      <c r="C374" s="548" t="s">
        <v>37</v>
      </c>
      <c r="D374" s="519"/>
      <c r="E374" s="726"/>
      <c r="F374" s="520"/>
      <c r="G374" s="520"/>
      <c r="H374" s="520"/>
      <c r="I374" s="521"/>
      <c r="J374" s="521"/>
      <c r="K374" s="521"/>
      <c r="L374" s="756"/>
      <c r="M374" s="514"/>
      <c r="N374" s="514"/>
      <c r="O374" s="514"/>
      <c r="P374" s="514"/>
      <c r="Q374" s="514"/>
      <c r="R374" s="514"/>
      <c r="S374" s="756"/>
      <c r="T374" s="514"/>
      <c r="U374" s="514"/>
      <c r="V374" s="514"/>
      <c r="W374" s="514"/>
      <c r="X374" s="514"/>
      <c r="Y374" s="514"/>
      <c r="Z374" s="756"/>
      <c r="AA374" s="514"/>
      <c r="AB374" s="514"/>
      <c r="AC374" s="514"/>
      <c r="AD374" s="514"/>
      <c r="AE374" s="774"/>
      <c r="AF374" s="514"/>
      <c r="AG374" s="897"/>
      <c r="AH374" s="789"/>
      <c r="AI374" s="664">
        <f t="shared" si="19"/>
        <v>0</v>
      </c>
      <c r="AJ374" s="521">
        <v>0</v>
      </c>
      <c r="AK374" s="520">
        <f t="shared" si="17"/>
        <v>0</v>
      </c>
      <c r="AL374" s="695"/>
      <c r="AM374" s="669">
        <f t="shared" si="18"/>
        <v>0</v>
      </c>
    </row>
    <row r="375" spans="1:39" s="500" customFormat="1">
      <c r="A375" s="542" t="s">
        <v>868</v>
      </c>
      <c r="B375" s="542" t="s">
        <v>1266</v>
      </c>
      <c r="C375" s="616"/>
      <c r="D375" s="519"/>
      <c r="E375" s="726"/>
      <c r="F375" s="520"/>
      <c r="G375" s="520"/>
      <c r="H375" s="520"/>
      <c r="I375" s="521"/>
      <c r="J375" s="521"/>
      <c r="K375" s="521"/>
      <c r="L375" s="756"/>
      <c r="M375" s="514"/>
      <c r="N375" s="514"/>
      <c r="O375" s="514"/>
      <c r="P375" s="514"/>
      <c r="Q375" s="514"/>
      <c r="R375" s="514"/>
      <c r="S375" s="756"/>
      <c r="T375" s="514"/>
      <c r="U375" s="514"/>
      <c r="V375" s="514"/>
      <c r="W375" s="514"/>
      <c r="X375" s="514"/>
      <c r="Y375" s="514"/>
      <c r="Z375" s="756"/>
      <c r="AA375" s="514"/>
      <c r="AB375" s="514"/>
      <c r="AC375" s="514"/>
      <c r="AD375" s="514"/>
      <c r="AE375" s="774"/>
      <c r="AF375" s="514"/>
      <c r="AG375" s="897"/>
      <c r="AH375" s="789"/>
      <c r="AI375" s="664">
        <f t="shared" si="19"/>
        <v>0</v>
      </c>
      <c r="AJ375" s="521">
        <v>0</v>
      </c>
      <c r="AK375" s="520">
        <f t="shared" si="17"/>
        <v>0</v>
      </c>
      <c r="AL375" s="695" t="s">
        <v>1670</v>
      </c>
      <c r="AM375" s="669">
        <f t="shared" si="18"/>
        <v>20</v>
      </c>
    </row>
    <row r="376" spans="1:39" s="500" customFormat="1">
      <c r="A376" s="539" t="s">
        <v>869</v>
      </c>
      <c r="B376" s="539" t="s">
        <v>1267</v>
      </c>
      <c r="C376" s="548" t="s">
        <v>1451</v>
      </c>
      <c r="D376" s="519"/>
      <c r="E376" s="726"/>
      <c r="F376" s="520"/>
      <c r="G376" s="520"/>
      <c r="H376" s="520"/>
      <c r="I376" s="521"/>
      <c r="J376" s="521"/>
      <c r="K376" s="521"/>
      <c r="L376" s="756"/>
      <c r="M376" s="514"/>
      <c r="N376" s="514"/>
      <c r="O376" s="514"/>
      <c r="P376" s="514"/>
      <c r="Q376" s="514"/>
      <c r="R376" s="514"/>
      <c r="S376" s="756"/>
      <c r="T376" s="514"/>
      <c r="U376" s="514"/>
      <c r="V376" s="514"/>
      <c r="W376" s="514"/>
      <c r="X376" s="514"/>
      <c r="Y376" s="514"/>
      <c r="Z376" s="756"/>
      <c r="AA376" s="514"/>
      <c r="AB376" s="514"/>
      <c r="AC376" s="514"/>
      <c r="AD376" s="514"/>
      <c r="AE376" s="774"/>
      <c r="AF376" s="514"/>
      <c r="AG376" s="897"/>
      <c r="AH376" s="789"/>
      <c r="AI376" s="664">
        <f t="shared" si="19"/>
        <v>0</v>
      </c>
      <c r="AJ376" s="521">
        <v>0</v>
      </c>
      <c r="AK376" s="520">
        <f t="shared" si="17"/>
        <v>0</v>
      </c>
      <c r="AL376" s="695" t="s">
        <v>1671</v>
      </c>
      <c r="AM376" s="669">
        <f t="shared" si="18"/>
        <v>4</v>
      </c>
    </row>
    <row r="377" spans="1:39" s="500" customFormat="1">
      <c r="A377" s="539" t="s">
        <v>870</v>
      </c>
      <c r="B377" s="539" t="s">
        <v>1268</v>
      </c>
      <c r="C377" s="548" t="s">
        <v>36</v>
      </c>
      <c r="D377" s="519"/>
      <c r="E377" s="726"/>
      <c r="F377" s="520"/>
      <c r="G377" s="520"/>
      <c r="H377" s="520"/>
      <c r="I377" s="521"/>
      <c r="J377" s="521"/>
      <c r="K377" s="521"/>
      <c r="L377" s="756"/>
      <c r="M377" s="514"/>
      <c r="N377" s="514"/>
      <c r="O377" s="514"/>
      <c r="P377" s="514"/>
      <c r="Q377" s="514"/>
      <c r="R377" s="514"/>
      <c r="S377" s="756"/>
      <c r="T377" s="514"/>
      <c r="U377" s="514"/>
      <c r="V377" s="514"/>
      <c r="W377" s="514"/>
      <c r="X377" s="514"/>
      <c r="Y377" s="514"/>
      <c r="Z377" s="756"/>
      <c r="AA377" s="514"/>
      <c r="AB377" s="514"/>
      <c r="AC377" s="514"/>
      <c r="AD377" s="514"/>
      <c r="AE377" s="774"/>
      <c r="AF377" s="514"/>
      <c r="AG377" s="897"/>
      <c r="AH377" s="789"/>
      <c r="AI377" s="664">
        <f t="shared" si="19"/>
        <v>0</v>
      </c>
      <c r="AJ377" s="521">
        <v>0</v>
      </c>
      <c r="AK377" s="520">
        <f t="shared" si="17"/>
        <v>0</v>
      </c>
      <c r="AL377" s="695" t="s">
        <v>1671</v>
      </c>
      <c r="AM377" s="669">
        <f t="shared" si="18"/>
        <v>4</v>
      </c>
    </row>
    <row r="378" spans="1:39" s="500" customFormat="1">
      <c r="A378" s="539" t="s">
        <v>871</v>
      </c>
      <c r="B378" s="539" t="s">
        <v>1293</v>
      </c>
      <c r="C378" s="548" t="s">
        <v>1451</v>
      </c>
      <c r="D378" s="519"/>
      <c r="E378" s="726"/>
      <c r="F378" s="520"/>
      <c r="G378" s="520"/>
      <c r="H378" s="520"/>
      <c r="I378" s="521"/>
      <c r="J378" s="521"/>
      <c r="K378" s="521"/>
      <c r="L378" s="756"/>
      <c r="M378" s="514"/>
      <c r="N378" s="514"/>
      <c r="O378" s="514"/>
      <c r="P378" s="514"/>
      <c r="Q378" s="514"/>
      <c r="R378" s="514"/>
      <c r="S378" s="756"/>
      <c r="T378" s="514"/>
      <c r="U378" s="514"/>
      <c r="V378" s="514"/>
      <c r="W378" s="514"/>
      <c r="X378" s="514"/>
      <c r="Y378" s="514"/>
      <c r="Z378" s="756"/>
      <c r="AA378" s="514"/>
      <c r="AB378" s="514"/>
      <c r="AC378" s="514"/>
      <c r="AD378" s="514"/>
      <c r="AE378" s="774"/>
      <c r="AF378" s="514"/>
      <c r="AG378" s="897"/>
      <c r="AH378" s="789"/>
      <c r="AI378" s="664">
        <f t="shared" si="19"/>
        <v>0</v>
      </c>
      <c r="AJ378" s="521">
        <v>0</v>
      </c>
      <c r="AK378" s="520">
        <f t="shared" si="17"/>
        <v>0</v>
      </c>
      <c r="AL378" s="695"/>
      <c r="AM378" s="669">
        <f t="shared" si="18"/>
        <v>0</v>
      </c>
    </row>
    <row r="379" spans="1:39" s="500" customFormat="1">
      <c r="A379" s="542" t="s">
        <v>872</v>
      </c>
      <c r="B379" s="542" t="s">
        <v>1269</v>
      </c>
      <c r="C379" s="616"/>
      <c r="D379" s="519"/>
      <c r="E379" s="726"/>
      <c r="F379" s="520"/>
      <c r="G379" s="520"/>
      <c r="H379" s="520"/>
      <c r="I379" s="521"/>
      <c r="J379" s="521"/>
      <c r="K379" s="521"/>
      <c r="L379" s="756"/>
      <c r="M379" s="514"/>
      <c r="N379" s="514"/>
      <c r="O379" s="514"/>
      <c r="P379" s="514"/>
      <c r="Q379" s="514"/>
      <c r="R379" s="514"/>
      <c r="S379" s="756"/>
      <c r="T379" s="514"/>
      <c r="U379" s="514"/>
      <c r="V379" s="514"/>
      <c r="W379" s="514"/>
      <c r="X379" s="514"/>
      <c r="Y379" s="514"/>
      <c r="Z379" s="756"/>
      <c r="AA379" s="514"/>
      <c r="AB379" s="514"/>
      <c r="AC379" s="514"/>
      <c r="AD379" s="514"/>
      <c r="AE379" s="774"/>
      <c r="AF379" s="514"/>
      <c r="AG379" s="897"/>
      <c r="AH379" s="789"/>
      <c r="AI379" s="664">
        <f t="shared" si="19"/>
        <v>0</v>
      </c>
      <c r="AJ379" s="521">
        <v>0</v>
      </c>
      <c r="AK379" s="520">
        <f t="shared" si="17"/>
        <v>0</v>
      </c>
      <c r="AL379" s="695" t="s">
        <v>1672</v>
      </c>
      <c r="AM379" s="669">
        <f t="shared" si="18"/>
        <v>18.09</v>
      </c>
    </row>
    <row r="380" spans="1:39" s="500" customFormat="1">
      <c r="A380" s="539" t="s">
        <v>873</v>
      </c>
      <c r="B380" s="539" t="s">
        <v>1270</v>
      </c>
      <c r="C380" s="548" t="s">
        <v>37</v>
      </c>
      <c r="D380" s="519"/>
      <c r="E380" s="726"/>
      <c r="F380" s="520"/>
      <c r="G380" s="520"/>
      <c r="H380" s="520"/>
      <c r="I380" s="521"/>
      <c r="J380" s="521"/>
      <c r="K380" s="521"/>
      <c r="L380" s="756"/>
      <c r="M380" s="514"/>
      <c r="N380" s="514"/>
      <c r="O380" s="514"/>
      <c r="P380" s="514"/>
      <c r="Q380" s="514"/>
      <c r="R380" s="514"/>
      <c r="S380" s="756"/>
      <c r="T380" s="514"/>
      <c r="U380" s="514"/>
      <c r="V380" s="514"/>
      <c r="W380" s="514"/>
      <c r="X380" s="514"/>
      <c r="Y380" s="514"/>
      <c r="Z380" s="756"/>
      <c r="AA380" s="514"/>
      <c r="AB380" s="514"/>
      <c r="AC380" s="514"/>
      <c r="AD380" s="514"/>
      <c r="AE380" s="774"/>
      <c r="AF380" s="514"/>
      <c r="AG380" s="897"/>
      <c r="AH380" s="789"/>
      <c r="AI380" s="664">
        <f t="shared" si="19"/>
        <v>0</v>
      </c>
      <c r="AJ380" s="521">
        <v>0</v>
      </c>
      <c r="AK380" s="520">
        <f t="shared" si="17"/>
        <v>0</v>
      </c>
      <c r="AL380" s="695" t="s">
        <v>1673</v>
      </c>
      <c r="AM380" s="669">
        <f t="shared" si="18"/>
        <v>1.75</v>
      </c>
    </row>
    <row r="381" spans="1:39" s="500" customFormat="1">
      <c r="A381" s="539" t="s">
        <v>874</v>
      </c>
      <c r="B381" s="539" t="s">
        <v>1271</v>
      </c>
      <c r="C381" s="548" t="s">
        <v>37</v>
      </c>
      <c r="D381" s="519"/>
      <c r="E381" s="726"/>
      <c r="F381" s="520"/>
      <c r="G381" s="520"/>
      <c r="H381" s="520"/>
      <c r="I381" s="521"/>
      <c r="J381" s="521"/>
      <c r="K381" s="521"/>
      <c r="L381" s="756"/>
      <c r="M381" s="514"/>
      <c r="N381" s="514"/>
      <c r="O381" s="514"/>
      <c r="P381" s="514"/>
      <c r="Q381" s="514"/>
      <c r="R381" s="514"/>
      <c r="S381" s="756"/>
      <c r="T381" s="514"/>
      <c r="U381" s="514"/>
      <c r="V381" s="514"/>
      <c r="W381" s="514"/>
      <c r="X381" s="514"/>
      <c r="Y381" s="514"/>
      <c r="Z381" s="756"/>
      <c r="AA381" s="514"/>
      <c r="AB381" s="514"/>
      <c r="AC381" s="514"/>
      <c r="AD381" s="514"/>
      <c r="AE381" s="774"/>
      <c r="AF381" s="514"/>
      <c r="AG381" s="897"/>
      <c r="AH381" s="789"/>
      <c r="AI381" s="664">
        <f t="shared" si="19"/>
        <v>0</v>
      </c>
      <c r="AJ381" s="521">
        <v>0</v>
      </c>
      <c r="AK381" s="520">
        <f t="shared" si="17"/>
        <v>0</v>
      </c>
      <c r="AL381" s="695"/>
      <c r="AM381" s="669">
        <f t="shared" si="18"/>
        <v>0</v>
      </c>
    </row>
    <row r="382" spans="1:39" s="500" customFormat="1">
      <c r="A382" s="542" t="s">
        <v>875</v>
      </c>
      <c r="B382" s="542" t="s">
        <v>1272</v>
      </c>
      <c r="C382" s="616"/>
      <c r="D382" s="519"/>
      <c r="E382" s="726"/>
      <c r="F382" s="520"/>
      <c r="G382" s="520"/>
      <c r="H382" s="520"/>
      <c r="I382" s="521"/>
      <c r="J382" s="521"/>
      <c r="K382" s="521"/>
      <c r="L382" s="756"/>
      <c r="M382" s="514"/>
      <c r="N382" s="514"/>
      <c r="O382" s="514"/>
      <c r="P382" s="514"/>
      <c r="Q382" s="514"/>
      <c r="R382" s="514"/>
      <c r="S382" s="756"/>
      <c r="T382" s="514"/>
      <c r="U382" s="514"/>
      <c r="V382" s="514"/>
      <c r="W382" s="514"/>
      <c r="X382" s="514"/>
      <c r="Y382" s="514"/>
      <c r="Z382" s="756"/>
      <c r="AA382" s="514"/>
      <c r="AB382" s="514"/>
      <c r="AC382" s="514"/>
      <c r="AD382" s="514"/>
      <c r="AE382" s="774"/>
      <c r="AF382" s="514"/>
      <c r="AG382" s="897"/>
      <c r="AH382" s="789"/>
      <c r="AI382" s="664">
        <f t="shared" si="19"/>
        <v>0</v>
      </c>
      <c r="AJ382" s="521">
        <v>0</v>
      </c>
      <c r="AK382" s="520">
        <f t="shared" si="17"/>
        <v>0</v>
      </c>
      <c r="AL382" s="695" t="s">
        <v>1655</v>
      </c>
      <c r="AM382" s="669">
        <f t="shared" si="18"/>
        <v>65.92</v>
      </c>
    </row>
    <row r="383" spans="1:39" s="500" customFormat="1">
      <c r="A383" s="539" t="s">
        <v>876</v>
      </c>
      <c r="B383" s="539" t="s">
        <v>1273</v>
      </c>
      <c r="C383" s="548" t="s">
        <v>37</v>
      </c>
      <c r="D383" s="519"/>
      <c r="E383" s="726"/>
      <c r="F383" s="520"/>
      <c r="G383" s="520"/>
      <c r="H383" s="520"/>
      <c r="I383" s="521"/>
      <c r="J383" s="521"/>
      <c r="K383" s="521"/>
      <c r="L383" s="756"/>
      <c r="M383" s="514"/>
      <c r="N383" s="514"/>
      <c r="O383" s="514"/>
      <c r="P383" s="514"/>
      <c r="Q383" s="514"/>
      <c r="R383" s="514"/>
      <c r="S383" s="756"/>
      <c r="T383" s="514"/>
      <c r="U383" s="514"/>
      <c r="V383" s="514"/>
      <c r="W383" s="514"/>
      <c r="X383" s="514"/>
      <c r="Y383" s="514"/>
      <c r="Z383" s="756"/>
      <c r="AA383" s="514"/>
      <c r="AB383" s="514"/>
      <c r="AC383" s="514"/>
      <c r="AD383" s="514"/>
      <c r="AE383" s="774"/>
      <c r="AF383" s="514"/>
      <c r="AG383" s="897"/>
      <c r="AH383" s="789"/>
      <c r="AI383" s="664">
        <f t="shared" si="19"/>
        <v>0</v>
      </c>
      <c r="AJ383" s="521">
        <v>0</v>
      </c>
      <c r="AK383" s="520">
        <f t="shared" si="17"/>
        <v>0</v>
      </c>
      <c r="AL383" s="695" t="s">
        <v>1648</v>
      </c>
      <c r="AM383" s="669">
        <f t="shared" si="18"/>
        <v>99.99</v>
      </c>
    </row>
    <row r="384" spans="1:39" s="500" customFormat="1">
      <c r="A384" s="539" t="s">
        <v>877</v>
      </c>
      <c r="B384" s="539" t="s">
        <v>1274</v>
      </c>
      <c r="C384" s="548" t="s">
        <v>37</v>
      </c>
      <c r="D384" s="519"/>
      <c r="E384" s="726"/>
      <c r="F384" s="520"/>
      <c r="G384" s="520"/>
      <c r="H384" s="520"/>
      <c r="I384" s="521"/>
      <c r="J384" s="521"/>
      <c r="K384" s="521"/>
      <c r="L384" s="756"/>
      <c r="M384" s="514"/>
      <c r="N384" s="514"/>
      <c r="O384" s="514"/>
      <c r="P384" s="514"/>
      <c r="Q384" s="514"/>
      <c r="R384" s="514"/>
      <c r="S384" s="756"/>
      <c r="T384" s="514"/>
      <c r="U384" s="514"/>
      <c r="V384" s="514"/>
      <c r="W384" s="514"/>
      <c r="X384" s="514"/>
      <c r="Y384" s="514"/>
      <c r="Z384" s="756"/>
      <c r="AA384" s="514"/>
      <c r="AB384" s="514"/>
      <c r="AC384" s="514"/>
      <c r="AD384" s="514"/>
      <c r="AE384" s="774"/>
      <c r="AF384" s="514"/>
      <c r="AG384" s="897"/>
      <c r="AH384" s="789"/>
      <c r="AI384" s="664">
        <f t="shared" si="19"/>
        <v>0</v>
      </c>
      <c r="AJ384" s="521">
        <v>0</v>
      </c>
      <c r="AK384" s="520">
        <f t="shared" si="17"/>
        <v>0</v>
      </c>
      <c r="AL384" s="695" t="s">
        <v>1649</v>
      </c>
      <c r="AM384" s="669">
        <f t="shared" si="18"/>
        <v>60.07</v>
      </c>
    </row>
    <row r="385" spans="1:39" s="500" customFormat="1">
      <c r="A385" s="539" t="s">
        <v>878</v>
      </c>
      <c r="B385" s="539" t="s">
        <v>1275</v>
      </c>
      <c r="C385" s="548" t="s">
        <v>37</v>
      </c>
      <c r="D385" s="519"/>
      <c r="E385" s="726"/>
      <c r="F385" s="520"/>
      <c r="G385" s="520"/>
      <c r="H385" s="520"/>
      <c r="I385" s="521"/>
      <c r="J385" s="521"/>
      <c r="K385" s="521"/>
      <c r="L385" s="756"/>
      <c r="M385" s="514"/>
      <c r="N385" s="514"/>
      <c r="O385" s="514"/>
      <c r="P385" s="514"/>
      <c r="Q385" s="514"/>
      <c r="R385" s="514"/>
      <c r="S385" s="756"/>
      <c r="T385" s="514"/>
      <c r="U385" s="514"/>
      <c r="V385" s="514"/>
      <c r="W385" s="514"/>
      <c r="X385" s="514"/>
      <c r="Y385" s="514"/>
      <c r="Z385" s="756"/>
      <c r="AA385" s="514"/>
      <c r="AB385" s="514"/>
      <c r="AC385" s="514"/>
      <c r="AD385" s="514"/>
      <c r="AE385" s="774"/>
      <c r="AF385" s="514"/>
      <c r="AG385" s="897"/>
      <c r="AH385" s="789"/>
      <c r="AI385" s="664">
        <f t="shared" si="19"/>
        <v>0</v>
      </c>
      <c r="AJ385" s="521">
        <v>0</v>
      </c>
      <c r="AK385" s="520">
        <f t="shared" si="17"/>
        <v>0</v>
      </c>
      <c r="AL385" s="695" t="s">
        <v>1650</v>
      </c>
      <c r="AM385" s="669">
        <f t="shared" si="18"/>
        <v>33.6</v>
      </c>
    </row>
    <row r="386" spans="1:39" s="500" customFormat="1">
      <c r="A386" s="539" t="s">
        <v>879</v>
      </c>
      <c r="B386" s="539" t="s">
        <v>1276</v>
      </c>
      <c r="C386" s="548" t="s">
        <v>37</v>
      </c>
      <c r="D386" s="519"/>
      <c r="E386" s="726"/>
      <c r="F386" s="520"/>
      <c r="G386" s="520"/>
      <c r="H386" s="520"/>
      <c r="I386" s="521"/>
      <c r="J386" s="521"/>
      <c r="K386" s="521"/>
      <c r="L386" s="756"/>
      <c r="M386" s="514"/>
      <c r="N386" s="514"/>
      <c r="O386" s="514"/>
      <c r="P386" s="514"/>
      <c r="Q386" s="514"/>
      <c r="R386" s="514"/>
      <c r="S386" s="756"/>
      <c r="T386" s="514"/>
      <c r="U386" s="514"/>
      <c r="V386" s="514"/>
      <c r="W386" s="514"/>
      <c r="X386" s="514"/>
      <c r="Y386" s="514"/>
      <c r="Z386" s="756"/>
      <c r="AA386" s="514"/>
      <c r="AB386" s="514"/>
      <c r="AC386" s="514"/>
      <c r="AD386" s="514"/>
      <c r="AE386" s="774"/>
      <c r="AF386" s="514"/>
      <c r="AG386" s="897"/>
      <c r="AH386" s="789"/>
      <c r="AI386" s="664">
        <f t="shared" si="19"/>
        <v>0</v>
      </c>
      <c r="AJ386" s="521">
        <v>0</v>
      </c>
      <c r="AK386" s="520">
        <f t="shared" si="17"/>
        <v>0</v>
      </c>
      <c r="AL386" s="695" t="s">
        <v>1651</v>
      </c>
      <c r="AM386" s="669">
        <f t="shared" si="18"/>
        <v>27.42</v>
      </c>
    </row>
    <row r="387" spans="1:39" s="500" customFormat="1">
      <c r="A387" s="539" t="s">
        <v>880</v>
      </c>
      <c r="B387" s="539" t="s">
        <v>1277</v>
      </c>
      <c r="C387" s="548" t="s">
        <v>37</v>
      </c>
      <c r="D387" s="519"/>
      <c r="E387" s="726"/>
      <c r="F387" s="520"/>
      <c r="G387" s="520"/>
      <c r="H387" s="520"/>
      <c r="I387" s="521"/>
      <c r="J387" s="521"/>
      <c r="K387" s="521"/>
      <c r="L387" s="756"/>
      <c r="M387" s="514"/>
      <c r="N387" s="514"/>
      <c r="O387" s="514"/>
      <c r="P387" s="514"/>
      <c r="Q387" s="514"/>
      <c r="R387" s="514"/>
      <c r="S387" s="756"/>
      <c r="T387" s="514"/>
      <c r="U387" s="514"/>
      <c r="V387" s="514"/>
      <c r="W387" s="514"/>
      <c r="X387" s="514"/>
      <c r="Y387" s="514"/>
      <c r="Z387" s="756"/>
      <c r="AA387" s="514"/>
      <c r="AB387" s="514"/>
      <c r="AC387" s="514"/>
      <c r="AD387" s="514"/>
      <c r="AE387" s="774"/>
      <c r="AF387" s="514"/>
      <c r="AG387" s="897"/>
      <c r="AH387" s="789"/>
      <c r="AI387" s="664">
        <f t="shared" si="19"/>
        <v>0</v>
      </c>
      <c r="AJ387" s="521">
        <v>0</v>
      </c>
      <c r="AK387" s="520">
        <f t="shared" si="17"/>
        <v>0</v>
      </c>
      <c r="AL387" s="695" t="s">
        <v>1635</v>
      </c>
      <c r="AM387" s="669">
        <f t="shared" si="18"/>
        <v>15.8</v>
      </c>
    </row>
    <row r="388" spans="1:39" s="500" customFormat="1">
      <c r="A388" s="539" t="s">
        <v>881</v>
      </c>
      <c r="B388" s="539" t="s">
        <v>1278</v>
      </c>
      <c r="C388" s="548" t="s">
        <v>37</v>
      </c>
      <c r="D388" s="519"/>
      <c r="E388" s="726"/>
      <c r="F388" s="520"/>
      <c r="G388" s="520"/>
      <c r="H388" s="520"/>
      <c r="I388" s="521"/>
      <c r="J388" s="521"/>
      <c r="K388" s="521"/>
      <c r="L388" s="756"/>
      <c r="M388" s="514"/>
      <c r="N388" s="514"/>
      <c r="O388" s="514"/>
      <c r="P388" s="514"/>
      <c r="Q388" s="514"/>
      <c r="R388" s="514"/>
      <c r="S388" s="756"/>
      <c r="T388" s="514"/>
      <c r="U388" s="514"/>
      <c r="V388" s="514"/>
      <c r="W388" s="514"/>
      <c r="X388" s="514"/>
      <c r="Y388" s="514"/>
      <c r="Z388" s="756"/>
      <c r="AA388" s="514"/>
      <c r="AB388" s="514"/>
      <c r="AC388" s="514"/>
      <c r="AD388" s="514"/>
      <c r="AE388" s="774"/>
      <c r="AF388" s="514"/>
      <c r="AG388" s="897"/>
      <c r="AH388" s="789"/>
      <c r="AI388" s="664">
        <f t="shared" si="19"/>
        <v>0</v>
      </c>
      <c r="AJ388" s="521">
        <v>0</v>
      </c>
      <c r="AK388" s="520">
        <f t="shared" si="17"/>
        <v>0</v>
      </c>
      <c r="AL388" s="695" t="s">
        <v>1674</v>
      </c>
      <c r="AM388" s="669">
        <f t="shared" si="18"/>
        <v>14.7</v>
      </c>
    </row>
    <row r="389" spans="1:39" s="500" customFormat="1">
      <c r="A389" s="539" t="s">
        <v>882</v>
      </c>
      <c r="B389" s="539" t="s">
        <v>1279</v>
      </c>
      <c r="C389" s="548" t="s">
        <v>37</v>
      </c>
      <c r="D389" s="519"/>
      <c r="E389" s="726"/>
      <c r="F389" s="520"/>
      <c r="G389" s="520"/>
      <c r="H389" s="520"/>
      <c r="I389" s="521"/>
      <c r="J389" s="521"/>
      <c r="K389" s="521"/>
      <c r="L389" s="756"/>
      <c r="M389" s="514"/>
      <c r="N389" s="514"/>
      <c r="O389" s="514"/>
      <c r="P389" s="514"/>
      <c r="Q389" s="514"/>
      <c r="R389" s="514"/>
      <c r="S389" s="756"/>
      <c r="T389" s="514"/>
      <c r="U389" s="514"/>
      <c r="V389" s="514"/>
      <c r="W389" s="514"/>
      <c r="X389" s="514"/>
      <c r="Y389" s="514"/>
      <c r="Z389" s="756"/>
      <c r="AA389" s="514"/>
      <c r="AB389" s="514"/>
      <c r="AC389" s="514"/>
      <c r="AD389" s="514"/>
      <c r="AE389" s="774"/>
      <c r="AF389" s="514"/>
      <c r="AG389" s="897"/>
      <c r="AH389" s="789"/>
      <c r="AI389" s="664">
        <f t="shared" si="19"/>
        <v>0</v>
      </c>
      <c r="AJ389" s="521">
        <v>0</v>
      </c>
      <c r="AK389" s="520">
        <f t="shared" si="17"/>
        <v>0</v>
      </c>
      <c r="AL389" s="695"/>
      <c r="AM389" s="669">
        <f t="shared" si="18"/>
        <v>0</v>
      </c>
    </row>
    <row r="390" spans="1:39" s="500" customFormat="1">
      <c r="A390" s="542" t="s">
        <v>883</v>
      </c>
      <c r="B390" s="542" t="s">
        <v>1280</v>
      </c>
      <c r="C390" s="616"/>
      <c r="D390" s="519"/>
      <c r="E390" s="726"/>
      <c r="F390" s="520"/>
      <c r="G390" s="520"/>
      <c r="H390" s="520"/>
      <c r="I390" s="521"/>
      <c r="J390" s="521"/>
      <c r="K390" s="521"/>
      <c r="L390" s="756"/>
      <c r="M390" s="514"/>
      <c r="N390" s="514"/>
      <c r="O390" s="514"/>
      <c r="P390" s="514"/>
      <c r="Q390" s="514"/>
      <c r="R390" s="514"/>
      <c r="S390" s="756"/>
      <c r="T390" s="514"/>
      <c r="U390" s="514"/>
      <c r="V390" s="514"/>
      <c r="W390" s="514"/>
      <c r="X390" s="514"/>
      <c r="Y390" s="514"/>
      <c r="Z390" s="756"/>
      <c r="AA390" s="514"/>
      <c r="AB390" s="514"/>
      <c r="AC390" s="514"/>
      <c r="AD390" s="514"/>
      <c r="AE390" s="774"/>
      <c r="AF390" s="514"/>
      <c r="AG390" s="897"/>
      <c r="AH390" s="789"/>
      <c r="AI390" s="664">
        <f t="shared" si="19"/>
        <v>0</v>
      </c>
      <c r="AJ390" s="521">
        <v>0</v>
      </c>
      <c r="AK390" s="520">
        <f t="shared" si="17"/>
        <v>0</v>
      </c>
      <c r="AL390" s="695" t="s">
        <v>1675</v>
      </c>
      <c r="AM390" s="669">
        <f t="shared" si="18"/>
        <v>8</v>
      </c>
    </row>
    <row r="391" spans="1:39" s="500" customFormat="1">
      <c r="A391" s="539" t="s">
        <v>884</v>
      </c>
      <c r="B391" s="539" t="s">
        <v>1281</v>
      </c>
      <c r="C391" s="548" t="s">
        <v>1450</v>
      </c>
      <c r="D391" s="519"/>
      <c r="E391" s="726"/>
      <c r="F391" s="520"/>
      <c r="G391" s="520"/>
      <c r="H391" s="520"/>
      <c r="I391" s="521"/>
      <c r="J391" s="521"/>
      <c r="K391" s="521"/>
      <c r="L391" s="756"/>
      <c r="M391" s="514"/>
      <c r="N391" s="514"/>
      <c r="O391" s="514"/>
      <c r="P391" s="514"/>
      <c r="Q391" s="514"/>
      <c r="R391" s="514"/>
      <c r="S391" s="756"/>
      <c r="T391" s="514"/>
      <c r="U391" s="514"/>
      <c r="V391" s="514"/>
      <c r="W391" s="514"/>
      <c r="X391" s="514"/>
      <c r="Y391" s="514"/>
      <c r="Z391" s="756"/>
      <c r="AA391" s="514"/>
      <c r="AB391" s="514"/>
      <c r="AC391" s="514"/>
      <c r="AD391" s="514"/>
      <c r="AE391" s="774"/>
      <c r="AF391" s="514"/>
      <c r="AG391" s="897"/>
      <c r="AH391" s="789"/>
      <c r="AI391" s="664">
        <f t="shared" si="19"/>
        <v>0</v>
      </c>
      <c r="AJ391" s="521">
        <v>0</v>
      </c>
      <c r="AK391" s="520">
        <f t="shared" si="17"/>
        <v>0</v>
      </c>
      <c r="AL391" s="695" t="s">
        <v>1455</v>
      </c>
      <c r="AM391" s="669">
        <f t="shared" si="18"/>
        <v>1</v>
      </c>
    </row>
    <row r="392" spans="1:39" s="500" customFormat="1">
      <c r="A392" s="539" t="s">
        <v>885</v>
      </c>
      <c r="B392" s="539" t="s">
        <v>1282</v>
      </c>
      <c r="C392" s="548" t="s">
        <v>64</v>
      </c>
      <c r="D392" s="519"/>
      <c r="E392" s="726"/>
      <c r="F392" s="520"/>
      <c r="G392" s="520"/>
      <c r="H392" s="520"/>
      <c r="I392" s="521"/>
      <c r="J392" s="521"/>
      <c r="K392" s="521"/>
      <c r="L392" s="756"/>
      <c r="M392" s="514"/>
      <c r="N392" s="514"/>
      <c r="O392" s="514"/>
      <c r="P392" s="514"/>
      <c r="Q392" s="514"/>
      <c r="R392" s="514"/>
      <c r="S392" s="756"/>
      <c r="T392" s="514"/>
      <c r="U392" s="514"/>
      <c r="V392" s="514"/>
      <c r="W392" s="514"/>
      <c r="X392" s="514"/>
      <c r="Y392" s="514"/>
      <c r="Z392" s="756"/>
      <c r="AA392" s="514"/>
      <c r="AB392" s="514"/>
      <c r="AC392" s="514"/>
      <c r="AD392" s="514"/>
      <c r="AE392" s="774"/>
      <c r="AF392" s="514"/>
      <c r="AG392" s="897"/>
      <c r="AH392" s="789"/>
      <c r="AI392" s="664">
        <f t="shared" si="19"/>
        <v>0</v>
      </c>
      <c r="AJ392" s="521">
        <v>0</v>
      </c>
      <c r="AK392" s="520">
        <f t="shared" si="17"/>
        <v>0</v>
      </c>
      <c r="AL392" s="695" t="s">
        <v>1676</v>
      </c>
      <c r="AM392" s="669">
        <f t="shared" si="18"/>
        <v>19.84</v>
      </c>
    </row>
    <row r="393" spans="1:39" s="500" customFormat="1">
      <c r="A393" s="539" t="s">
        <v>886</v>
      </c>
      <c r="B393" s="539" t="s">
        <v>1283</v>
      </c>
      <c r="C393" s="548" t="s">
        <v>37</v>
      </c>
      <c r="D393" s="519"/>
      <c r="E393" s="726"/>
      <c r="F393" s="520"/>
      <c r="G393" s="520"/>
      <c r="H393" s="520"/>
      <c r="I393" s="521"/>
      <c r="J393" s="521"/>
      <c r="K393" s="521"/>
      <c r="L393" s="756"/>
      <c r="M393" s="514"/>
      <c r="N393" s="514"/>
      <c r="O393" s="514"/>
      <c r="P393" s="514"/>
      <c r="Q393" s="514"/>
      <c r="R393" s="514"/>
      <c r="S393" s="756"/>
      <c r="T393" s="514"/>
      <c r="U393" s="514"/>
      <c r="V393" s="514"/>
      <c r="W393" s="514"/>
      <c r="X393" s="514"/>
      <c r="Y393" s="514"/>
      <c r="Z393" s="756"/>
      <c r="AA393" s="514"/>
      <c r="AB393" s="514"/>
      <c r="AC393" s="514"/>
      <c r="AD393" s="514"/>
      <c r="AE393" s="774"/>
      <c r="AF393" s="514"/>
      <c r="AG393" s="897"/>
      <c r="AH393" s="789"/>
      <c r="AI393" s="664">
        <f t="shared" si="19"/>
        <v>0</v>
      </c>
      <c r="AJ393" s="521">
        <v>0</v>
      </c>
      <c r="AK393" s="520">
        <f t="shared" si="17"/>
        <v>0</v>
      </c>
      <c r="AL393" s="695"/>
      <c r="AM393" s="669">
        <f t="shared" si="18"/>
        <v>0</v>
      </c>
    </row>
    <row r="394" spans="1:39" s="500" customFormat="1">
      <c r="A394" s="440" t="s">
        <v>484</v>
      </c>
      <c r="B394" s="543" t="s">
        <v>1155</v>
      </c>
      <c r="C394" s="616"/>
      <c r="D394" s="519"/>
      <c r="E394" s="726"/>
      <c r="F394" s="520"/>
      <c r="G394" s="520"/>
      <c r="H394" s="520"/>
      <c r="I394" s="521"/>
      <c r="J394" s="521"/>
      <c r="K394" s="521"/>
      <c r="L394" s="756"/>
      <c r="M394" s="514"/>
      <c r="N394" s="514"/>
      <c r="O394" s="514"/>
      <c r="P394" s="514"/>
      <c r="Q394" s="514"/>
      <c r="R394" s="514"/>
      <c r="S394" s="756"/>
      <c r="T394" s="514"/>
      <c r="U394" s="514"/>
      <c r="V394" s="514"/>
      <c r="W394" s="514"/>
      <c r="X394" s="514"/>
      <c r="Y394" s="514"/>
      <c r="Z394" s="756"/>
      <c r="AA394" s="514"/>
      <c r="AB394" s="514"/>
      <c r="AC394" s="514"/>
      <c r="AD394" s="514"/>
      <c r="AE394" s="774"/>
      <c r="AF394" s="514"/>
      <c r="AG394" s="897"/>
      <c r="AH394" s="789"/>
      <c r="AI394" s="664">
        <f t="shared" si="19"/>
        <v>0</v>
      </c>
      <c r="AJ394" s="521">
        <v>0</v>
      </c>
      <c r="AK394" s="520">
        <f t="shared" si="17"/>
        <v>0</v>
      </c>
      <c r="AL394" s="695"/>
      <c r="AM394" s="669">
        <f t="shared" si="18"/>
        <v>0</v>
      </c>
    </row>
    <row r="395" spans="1:39" s="500" customFormat="1">
      <c r="A395" s="542" t="s">
        <v>485</v>
      </c>
      <c r="B395" s="542" t="s">
        <v>1236</v>
      </c>
      <c r="C395" s="616"/>
      <c r="D395" s="519"/>
      <c r="E395" s="726"/>
      <c r="F395" s="520"/>
      <c r="G395" s="520"/>
      <c r="H395" s="520"/>
      <c r="I395" s="521"/>
      <c r="J395" s="521"/>
      <c r="K395" s="521"/>
      <c r="L395" s="756"/>
      <c r="M395" s="514"/>
      <c r="N395" s="514"/>
      <c r="O395" s="514"/>
      <c r="P395" s="514"/>
      <c r="Q395" s="514"/>
      <c r="R395" s="514"/>
      <c r="S395" s="756"/>
      <c r="T395" s="514"/>
      <c r="U395" s="514"/>
      <c r="V395" s="514"/>
      <c r="W395" s="514"/>
      <c r="X395" s="514"/>
      <c r="Y395" s="514"/>
      <c r="Z395" s="756"/>
      <c r="AA395" s="514"/>
      <c r="AB395" s="514"/>
      <c r="AC395" s="514"/>
      <c r="AD395" s="514"/>
      <c r="AE395" s="774"/>
      <c r="AF395" s="514"/>
      <c r="AG395" s="897"/>
      <c r="AH395" s="789"/>
      <c r="AI395" s="664">
        <f t="shared" si="19"/>
        <v>0</v>
      </c>
      <c r="AJ395" s="521">
        <v>0</v>
      </c>
      <c r="AK395" s="520">
        <f t="shared" si="17"/>
        <v>0</v>
      </c>
      <c r="AL395" s="695" t="s">
        <v>1677</v>
      </c>
      <c r="AM395" s="669">
        <f t="shared" si="18"/>
        <v>45.75</v>
      </c>
    </row>
    <row r="396" spans="1:39" s="500" customFormat="1">
      <c r="A396" s="539" t="s">
        <v>887</v>
      </c>
      <c r="B396" s="539" t="s">
        <v>1237</v>
      </c>
      <c r="C396" s="548" t="s">
        <v>37</v>
      </c>
      <c r="D396" s="519"/>
      <c r="E396" s="726"/>
      <c r="F396" s="520"/>
      <c r="G396" s="520"/>
      <c r="H396" s="520"/>
      <c r="I396" s="521"/>
      <c r="J396" s="521"/>
      <c r="K396" s="521"/>
      <c r="L396" s="756"/>
      <c r="M396" s="514"/>
      <c r="N396" s="514"/>
      <c r="O396" s="514"/>
      <c r="P396" s="514"/>
      <c r="Q396" s="514"/>
      <c r="R396" s="514"/>
      <c r="S396" s="756"/>
      <c r="T396" s="514"/>
      <c r="U396" s="514"/>
      <c r="V396" s="514"/>
      <c r="W396" s="514"/>
      <c r="X396" s="514"/>
      <c r="Y396" s="514"/>
      <c r="Z396" s="756"/>
      <c r="AA396" s="514"/>
      <c r="AB396" s="514"/>
      <c r="AC396" s="514"/>
      <c r="AD396" s="514"/>
      <c r="AE396" s="774"/>
      <c r="AF396" s="514"/>
      <c r="AG396" s="897"/>
      <c r="AH396" s="789"/>
      <c r="AI396" s="664">
        <f t="shared" si="19"/>
        <v>0</v>
      </c>
      <c r="AJ396" s="521">
        <v>0</v>
      </c>
      <c r="AK396" s="520">
        <f t="shared" si="17"/>
        <v>0</v>
      </c>
      <c r="AL396" s="695" t="s">
        <v>1678</v>
      </c>
      <c r="AM396" s="669">
        <f t="shared" si="18"/>
        <v>18.920000000000002</v>
      </c>
    </row>
    <row r="397" spans="1:39" s="500" customFormat="1">
      <c r="A397" s="539" t="s">
        <v>888</v>
      </c>
      <c r="B397" s="539" t="s">
        <v>1238</v>
      </c>
      <c r="C397" s="548" t="s">
        <v>37</v>
      </c>
      <c r="D397" s="519"/>
      <c r="E397" s="726"/>
      <c r="F397" s="520"/>
      <c r="G397" s="520"/>
      <c r="H397" s="520"/>
      <c r="I397" s="521"/>
      <c r="J397" s="521"/>
      <c r="K397" s="521"/>
      <c r="L397" s="756"/>
      <c r="M397" s="514"/>
      <c r="N397" s="514"/>
      <c r="O397" s="514"/>
      <c r="P397" s="514"/>
      <c r="Q397" s="514"/>
      <c r="R397" s="514"/>
      <c r="S397" s="756"/>
      <c r="T397" s="514"/>
      <c r="U397" s="514"/>
      <c r="V397" s="514"/>
      <c r="W397" s="514"/>
      <c r="X397" s="514"/>
      <c r="Y397" s="514"/>
      <c r="Z397" s="756"/>
      <c r="AA397" s="514"/>
      <c r="AB397" s="514"/>
      <c r="AC397" s="514"/>
      <c r="AD397" s="514"/>
      <c r="AE397" s="774"/>
      <c r="AF397" s="514"/>
      <c r="AG397" s="897"/>
      <c r="AH397" s="789"/>
      <c r="AI397" s="664">
        <f t="shared" si="19"/>
        <v>0</v>
      </c>
      <c r="AJ397" s="521">
        <v>0</v>
      </c>
      <c r="AK397" s="520">
        <f t="shared" si="17"/>
        <v>0</v>
      </c>
      <c r="AL397" s="695"/>
      <c r="AM397" s="669">
        <f t="shared" si="18"/>
        <v>0</v>
      </c>
    </row>
    <row r="398" spans="1:39" s="500" customFormat="1">
      <c r="A398" s="542" t="s">
        <v>486</v>
      </c>
      <c r="B398" s="542" t="s">
        <v>1239</v>
      </c>
      <c r="C398" s="616"/>
      <c r="D398" s="519"/>
      <c r="E398" s="726"/>
      <c r="F398" s="520"/>
      <c r="G398" s="520"/>
      <c r="H398" s="520"/>
      <c r="I398" s="521"/>
      <c r="J398" s="521"/>
      <c r="K398" s="521"/>
      <c r="L398" s="756"/>
      <c r="M398" s="514"/>
      <c r="N398" s="514"/>
      <c r="O398" s="514"/>
      <c r="P398" s="514"/>
      <c r="Q398" s="514"/>
      <c r="R398" s="514"/>
      <c r="S398" s="756"/>
      <c r="T398" s="514"/>
      <c r="U398" s="514"/>
      <c r="V398" s="514"/>
      <c r="W398" s="514"/>
      <c r="X398" s="514"/>
      <c r="Y398" s="514"/>
      <c r="Z398" s="756"/>
      <c r="AA398" s="514"/>
      <c r="AB398" s="514"/>
      <c r="AC398" s="514"/>
      <c r="AD398" s="514"/>
      <c r="AE398" s="774"/>
      <c r="AF398" s="514"/>
      <c r="AG398" s="897"/>
      <c r="AH398" s="789"/>
      <c r="AI398" s="664">
        <f t="shared" si="19"/>
        <v>0</v>
      </c>
      <c r="AJ398" s="521">
        <v>0</v>
      </c>
      <c r="AK398" s="520">
        <f t="shared" ref="AK398:AK461" si="20">AI398+AJ398</f>
        <v>0</v>
      </c>
      <c r="AL398" s="695" t="s">
        <v>1679</v>
      </c>
      <c r="AM398" s="669">
        <f t="shared" ref="AM398:AM461" si="21">AL398-AK398</f>
        <v>83.58</v>
      </c>
    </row>
    <row r="399" spans="1:39" s="500" customFormat="1">
      <c r="A399" s="539" t="s">
        <v>889</v>
      </c>
      <c r="B399" s="539" t="s">
        <v>1240</v>
      </c>
      <c r="C399" s="548" t="s">
        <v>37</v>
      </c>
      <c r="D399" s="519"/>
      <c r="E399" s="726"/>
      <c r="F399" s="520"/>
      <c r="G399" s="520"/>
      <c r="H399" s="520"/>
      <c r="I399" s="521"/>
      <c r="J399" s="521"/>
      <c r="K399" s="521"/>
      <c r="L399" s="756"/>
      <c r="M399" s="514"/>
      <c r="N399" s="514"/>
      <c r="O399" s="514"/>
      <c r="P399" s="514"/>
      <c r="Q399" s="514"/>
      <c r="R399" s="514"/>
      <c r="S399" s="756"/>
      <c r="T399" s="514"/>
      <c r="U399" s="514"/>
      <c r="V399" s="514"/>
      <c r="W399" s="514"/>
      <c r="X399" s="514"/>
      <c r="Y399" s="514"/>
      <c r="Z399" s="756"/>
      <c r="AA399" s="514"/>
      <c r="AB399" s="514"/>
      <c r="AC399" s="514"/>
      <c r="AD399" s="514"/>
      <c r="AE399" s="774"/>
      <c r="AF399" s="514"/>
      <c r="AG399" s="897"/>
      <c r="AH399" s="789"/>
      <c r="AI399" s="664">
        <f t="shared" si="19"/>
        <v>0</v>
      </c>
      <c r="AJ399" s="521">
        <v>0</v>
      </c>
      <c r="AK399" s="520">
        <f t="shared" si="20"/>
        <v>0</v>
      </c>
      <c r="AL399" s="695" t="s">
        <v>1677</v>
      </c>
      <c r="AM399" s="669">
        <f t="shared" si="21"/>
        <v>45.75</v>
      </c>
    </row>
    <row r="400" spans="1:39" s="500" customFormat="1">
      <c r="A400" s="539" t="s">
        <v>890</v>
      </c>
      <c r="B400" s="539" t="s">
        <v>1241</v>
      </c>
      <c r="C400" s="548" t="s">
        <v>37</v>
      </c>
      <c r="D400" s="519"/>
      <c r="E400" s="726"/>
      <c r="F400" s="520"/>
      <c r="G400" s="520"/>
      <c r="H400" s="520"/>
      <c r="I400" s="521"/>
      <c r="J400" s="521"/>
      <c r="K400" s="521"/>
      <c r="L400" s="756"/>
      <c r="M400" s="514"/>
      <c r="N400" s="514"/>
      <c r="O400" s="514"/>
      <c r="P400" s="514"/>
      <c r="Q400" s="514"/>
      <c r="R400" s="514"/>
      <c r="S400" s="756"/>
      <c r="T400" s="514"/>
      <c r="U400" s="514"/>
      <c r="V400" s="514"/>
      <c r="W400" s="514"/>
      <c r="X400" s="514"/>
      <c r="Y400" s="514"/>
      <c r="Z400" s="756"/>
      <c r="AA400" s="514"/>
      <c r="AB400" s="514"/>
      <c r="AC400" s="514"/>
      <c r="AD400" s="514"/>
      <c r="AE400" s="774"/>
      <c r="AF400" s="514"/>
      <c r="AG400" s="897"/>
      <c r="AH400" s="789"/>
      <c r="AI400" s="664">
        <f t="shared" si="19"/>
        <v>0</v>
      </c>
      <c r="AJ400" s="521">
        <v>0</v>
      </c>
      <c r="AK400" s="520">
        <f t="shared" si="20"/>
        <v>0</v>
      </c>
      <c r="AL400" s="695" t="s">
        <v>1680</v>
      </c>
      <c r="AM400" s="669">
        <f t="shared" si="21"/>
        <v>12.95</v>
      </c>
    </row>
    <row r="401" spans="1:39" s="500" customFormat="1">
      <c r="A401" s="539" t="s">
        <v>891</v>
      </c>
      <c r="B401" s="539" t="s">
        <v>1242</v>
      </c>
      <c r="C401" s="548" t="s">
        <v>37</v>
      </c>
      <c r="D401" s="519"/>
      <c r="E401" s="726"/>
      <c r="F401" s="520"/>
      <c r="G401" s="520"/>
      <c r="H401" s="520"/>
      <c r="I401" s="521"/>
      <c r="J401" s="521"/>
      <c r="K401" s="521"/>
      <c r="L401" s="756"/>
      <c r="M401" s="514"/>
      <c r="N401" s="514"/>
      <c r="O401" s="514"/>
      <c r="P401" s="514"/>
      <c r="Q401" s="514"/>
      <c r="R401" s="514"/>
      <c r="S401" s="756"/>
      <c r="T401" s="514"/>
      <c r="U401" s="514"/>
      <c r="V401" s="514"/>
      <c r="W401" s="514"/>
      <c r="X401" s="514"/>
      <c r="Y401" s="514"/>
      <c r="Z401" s="756"/>
      <c r="AA401" s="514"/>
      <c r="AB401" s="514"/>
      <c r="AC401" s="514"/>
      <c r="AD401" s="514"/>
      <c r="AE401" s="774"/>
      <c r="AF401" s="514"/>
      <c r="AG401" s="897"/>
      <c r="AH401" s="789"/>
      <c r="AI401" s="664">
        <f t="shared" si="19"/>
        <v>0</v>
      </c>
      <c r="AJ401" s="521">
        <v>0</v>
      </c>
      <c r="AK401" s="520">
        <f t="shared" si="20"/>
        <v>0</v>
      </c>
      <c r="AL401" s="695" t="s">
        <v>1681</v>
      </c>
      <c r="AM401" s="669">
        <f t="shared" si="21"/>
        <v>24.87</v>
      </c>
    </row>
    <row r="402" spans="1:39" s="500" customFormat="1">
      <c r="A402" s="539" t="s">
        <v>892</v>
      </c>
      <c r="B402" s="539" t="s">
        <v>1243</v>
      </c>
      <c r="C402" s="548" t="s">
        <v>37</v>
      </c>
      <c r="D402" s="519"/>
      <c r="E402" s="726"/>
      <c r="F402" s="520"/>
      <c r="G402" s="520"/>
      <c r="H402" s="520"/>
      <c r="I402" s="521"/>
      <c r="J402" s="521"/>
      <c r="K402" s="521"/>
      <c r="L402" s="756"/>
      <c r="M402" s="514"/>
      <c r="N402" s="514"/>
      <c r="O402" s="514"/>
      <c r="P402" s="514"/>
      <c r="Q402" s="514"/>
      <c r="R402" s="514"/>
      <c r="S402" s="756"/>
      <c r="T402" s="514"/>
      <c r="U402" s="514"/>
      <c r="V402" s="514"/>
      <c r="W402" s="514"/>
      <c r="X402" s="514"/>
      <c r="Y402" s="514"/>
      <c r="Z402" s="756"/>
      <c r="AA402" s="514"/>
      <c r="AB402" s="514"/>
      <c r="AC402" s="514"/>
      <c r="AD402" s="514"/>
      <c r="AE402" s="774"/>
      <c r="AF402" s="514"/>
      <c r="AG402" s="897"/>
      <c r="AH402" s="789"/>
      <c r="AI402" s="664">
        <f t="shared" si="19"/>
        <v>0</v>
      </c>
      <c r="AJ402" s="521">
        <v>0</v>
      </c>
      <c r="AK402" s="520">
        <f t="shared" si="20"/>
        <v>0</v>
      </c>
      <c r="AL402" s="695" t="s">
        <v>1682</v>
      </c>
      <c r="AM402" s="669">
        <f t="shared" si="21"/>
        <v>17.22</v>
      </c>
    </row>
    <row r="403" spans="1:39" s="500" customFormat="1">
      <c r="A403" s="539" t="s">
        <v>893</v>
      </c>
      <c r="B403" s="539" t="s">
        <v>1244</v>
      </c>
      <c r="C403" s="548" t="s">
        <v>37</v>
      </c>
      <c r="D403" s="519"/>
      <c r="E403" s="726"/>
      <c r="F403" s="520"/>
      <c r="G403" s="520"/>
      <c r="H403" s="520"/>
      <c r="I403" s="521"/>
      <c r="J403" s="521"/>
      <c r="K403" s="521"/>
      <c r="L403" s="756"/>
      <c r="M403" s="514"/>
      <c r="N403" s="514"/>
      <c r="O403" s="514"/>
      <c r="P403" s="514"/>
      <c r="Q403" s="514"/>
      <c r="R403" s="514"/>
      <c r="S403" s="756"/>
      <c r="T403" s="514"/>
      <c r="U403" s="514"/>
      <c r="V403" s="514"/>
      <c r="W403" s="514"/>
      <c r="X403" s="514"/>
      <c r="Y403" s="514"/>
      <c r="Z403" s="756"/>
      <c r="AA403" s="514"/>
      <c r="AB403" s="514"/>
      <c r="AC403" s="514"/>
      <c r="AD403" s="514"/>
      <c r="AE403" s="774"/>
      <c r="AF403" s="514"/>
      <c r="AG403" s="897"/>
      <c r="AH403" s="789"/>
      <c r="AI403" s="664">
        <f t="shared" si="19"/>
        <v>0</v>
      </c>
      <c r="AJ403" s="521">
        <v>0</v>
      </c>
      <c r="AK403" s="520">
        <f t="shared" si="20"/>
        <v>0</v>
      </c>
      <c r="AL403" s="695" t="s">
        <v>1683</v>
      </c>
      <c r="AM403" s="669">
        <f t="shared" si="21"/>
        <v>48.7</v>
      </c>
    </row>
    <row r="404" spans="1:39" s="500" customFormat="1">
      <c r="A404" s="539" t="s">
        <v>894</v>
      </c>
      <c r="B404" s="539" t="s">
        <v>1245</v>
      </c>
      <c r="C404" s="548" t="s">
        <v>38</v>
      </c>
      <c r="D404" s="519"/>
      <c r="E404" s="726"/>
      <c r="F404" s="520"/>
      <c r="G404" s="520"/>
      <c r="H404" s="520"/>
      <c r="I404" s="521"/>
      <c r="J404" s="521"/>
      <c r="K404" s="521"/>
      <c r="L404" s="756"/>
      <c r="M404" s="514"/>
      <c r="N404" s="514"/>
      <c r="O404" s="514"/>
      <c r="P404" s="514"/>
      <c r="Q404" s="514"/>
      <c r="R404" s="514"/>
      <c r="S404" s="756"/>
      <c r="T404" s="514"/>
      <c r="U404" s="514"/>
      <c r="V404" s="514"/>
      <c r="W404" s="514"/>
      <c r="X404" s="514"/>
      <c r="Y404" s="514"/>
      <c r="Z404" s="756"/>
      <c r="AA404" s="514"/>
      <c r="AB404" s="514"/>
      <c r="AC404" s="514"/>
      <c r="AD404" s="514"/>
      <c r="AE404" s="774"/>
      <c r="AF404" s="514"/>
      <c r="AG404" s="897"/>
      <c r="AH404" s="789"/>
      <c r="AI404" s="664">
        <f t="shared" si="19"/>
        <v>0</v>
      </c>
      <c r="AJ404" s="521">
        <v>0</v>
      </c>
      <c r="AK404" s="520">
        <f t="shared" si="20"/>
        <v>0</v>
      </c>
      <c r="AL404" s="695" t="s">
        <v>1684</v>
      </c>
      <c r="AM404" s="669">
        <f t="shared" si="21"/>
        <v>172.48</v>
      </c>
    </row>
    <row r="405" spans="1:39" s="500" customFormat="1">
      <c r="A405" s="539" t="s">
        <v>895</v>
      </c>
      <c r="B405" s="539" t="s">
        <v>1246</v>
      </c>
      <c r="C405" s="548" t="s">
        <v>38</v>
      </c>
      <c r="D405" s="519"/>
      <c r="E405" s="726"/>
      <c r="F405" s="520"/>
      <c r="G405" s="520"/>
      <c r="H405" s="520"/>
      <c r="I405" s="521"/>
      <c r="J405" s="521"/>
      <c r="K405" s="521"/>
      <c r="L405" s="756"/>
      <c r="M405" s="514"/>
      <c r="N405" s="514"/>
      <c r="O405" s="514"/>
      <c r="P405" s="514"/>
      <c r="Q405" s="514"/>
      <c r="R405" s="514"/>
      <c r="S405" s="756"/>
      <c r="T405" s="514"/>
      <c r="U405" s="514"/>
      <c r="V405" s="514"/>
      <c r="W405" s="514"/>
      <c r="X405" s="514"/>
      <c r="Y405" s="514"/>
      <c r="Z405" s="756"/>
      <c r="AA405" s="514"/>
      <c r="AB405" s="514"/>
      <c r="AC405" s="514"/>
      <c r="AD405" s="514"/>
      <c r="AE405" s="774"/>
      <c r="AF405" s="514"/>
      <c r="AG405" s="897"/>
      <c r="AH405" s="789"/>
      <c r="AI405" s="664">
        <f t="shared" si="19"/>
        <v>0</v>
      </c>
      <c r="AJ405" s="521">
        <v>0</v>
      </c>
      <c r="AK405" s="520">
        <f t="shared" si="20"/>
        <v>0</v>
      </c>
      <c r="AL405" s="695"/>
      <c r="AM405" s="669">
        <f t="shared" si="21"/>
        <v>0</v>
      </c>
    </row>
    <row r="406" spans="1:39" s="500" customFormat="1">
      <c r="A406" s="542" t="s">
        <v>487</v>
      </c>
      <c r="B406" s="542" t="s">
        <v>1247</v>
      </c>
      <c r="C406" s="616"/>
      <c r="D406" s="519"/>
      <c r="E406" s="726"/>
      <c r="F406" s="520"/>
      <c r="G406" s="520"/>
      <c r="H406" s="520"/>
      <c r="I406" s="521"/>
      <c r="J406" s="521"/>
      <c r="K406" s="521"/>
      <c r="L406" s="756"/>
      <c r="M406" s="514"/>
      <c r="N406" s="514"/>
      <c r="O406" s="514"/>
      <c r="P406" s="514"/>
      <c r="Q406" s="514"/>
      <c r="R406" s="514"/>
      <c r="S406" s="756"/>
      <c r="T406" s="514"/>
      <c r="U406" s="514"/>
      <c r="V406" s="514"/>
      <c r="W406" s="514"/>
      <c r="X406" s="514"/>
      <c r="Y406" s="514"/>
      <c r="Z406" s="756"/>
      <c r="AA406" s="514"/>
      <c r="AB406" s="514"/>
      <c r="AC406" s="514"/>
      <c r="AD406" s="514"/>
      <c r="AE406" s="774"/>
      <c r="AF406" s="514"/>
      <c r="AG406" s="897"/>
      <c r="AH406" s="789"/>
      <c r="AI406" s="664">
        <f t="shared" si="19"/>
        <v>0</v>
      </c>
      <c r="AJ406" s="521">
        <v>0</v>
      </c>
      <c r="AK406" s="520">
        <f t="shared" si="20"/>
        <v>0</v>
      </c>
      <c r="AL406" s="695" t="s">
        <v>1685</v>
      </c>
      <c r="AM406" s="669">
        <f t="shared" si="21"/>
        <v>38.24</v>
      </c>
    </row>
    <row r="407" spans="1:39" s="500" customFormat="1">
      <c r="A407" s="539" t="s">
        <v>896</v>
      </c>
      <c r="B407" s="539" t="s">
        <v>1248</v>
      </c>
      <c r="C407" s="548" t="s">
        <v>37</v>
      </c>
      <c r="D407" s="519"/>
      <c r="E407" s="726"/>
      <c r="F407" s="520"/>
      <c r="G407" s="520"/>
      <c r="H407" s="520"/>
      <c r="I407" s="521"/>
      <c r="J407" s="521"/>
      <c r="K407" s="521"/>
      <c r="L407" s="756"/>
      <c r="M407" s="514"/>
      <c r="N407" s="514"/>
      <c r="O407" s="514"/>
      <c r="P407" s="514"/>
      <c r="Q407" s="514"/>
      <c r="R407" s="514"/>
      <c r="S407" s="756"/>
      <c r="T407" s="514"/>
      <c r="U407" s="514"/>
      <c r="V407" s="514"/>
      <c r="W407" s="514"/>
      <c r="X407" s="514"/>
      <c r="Y407" s="514"/>
      <c r="Z407" s="756"/>
      <c r="AA407" s="514"/>
      <c r="AB407" s="514"/>
      <c r="AC407" s="514"/>
      <c r="AD407" s="514"/>
      <c r="AE407" s="774"/>
      <c r="AF407" s="514"/>
      <c r="AG407" s="897"/>
      <c r="AH407" s="789"/>
      <c r="AI407" s="664">
        <f t="shared" si="19"/>
        <v>0</v>
      </c>
      <c r="AJ407" s="521">
        <v>0</v>
      </c>
      <c r="AK407" s="520">
        <f t="shared" si="20"/>
        <v>0</v>
      </c>
      <c r="AL407" s="695"/>
      <c r="AM407" s="669">
        <f t="shared" si="21"/>
        <v>0</v>
      </c>
    </row>
    <row r="408" spans="1:39" s="500" customFormat="1">
      <c r="A408" s="542" t="s">
        <v>897</v>
      </c>
      <c r="B408" s="542" t="s">
        <v>1249</v>
      </c>
      <c r="C408" s="616"/>
      <c r="D408" s="519"/>
      <c r="E408" s="726"/>
      <c r="F408" s="520"/>
      <c r="G408" s="520"/>
      <c r="H408" s="520"/>
      <c r="I408" s="521"/>
      <c r="J408" s="521"/>
      <c r="K408" s="521"/>
      <c r="L408" s="756"/>
      <c r="M408" s="514"/>
      <c r="N408" s="514"/>
      <c r="O408" s="514"/>
      <c r="P408" s="514"/>
      <c r="Q408" s="514"/>
      <c r="R408" s="514"/>
      <c r="S408" s="756"/>
      <c r="T408" s="514"/>
      <c r="U408" s="514"/>
      <c r="V408" s="514"/>
      <c r="W408" s="514"/>
      <c r="X408" s="514"/>
      <c r="Y408" s="514"/>
      <c r="Z408" s="756"/>
      <c r="AA408" s="514"/>
      <c r="AB408" s="514"/>
      <c r="AC408" s="514"/>
      <c r="AD408" s="514"/>
      <c r="AE408" s="774"/>
      <c r="AF408" s="514"/>
      <c r="AG408" s="897"/>
      <c r="AH408" s="789"/>
      <c r="AI408" s="664">
        <f t="shared" si="19"/>
        <v>0</v>
      </c>
      <c r="AJ408" s="521">
        <v>0</v>
      </c>
      <c r="AK408" s="520">
        <f t="shared" si="20"/>
        <v>0</v>
      </c>
      <c r="AL408" s="695" t="s">
        <v>1686</v>
      </c>
      <c r="AM408" s="669">
        <f t="shared" si="21"/>
        <v>33.03</v>
      </c>
    </row>
    <row r="409" spans="1:39" s="500" customFormat="1">
      <c r="A409" s="539" t="s">
        <v>898</v>
      </c>
      <c r="B409" s="539" t="s">
        <v>1250</v>
      </c>
      <c r="C409" s="548" t="s">
        <v>37</v>
      </c>
      <c r="D409" s="519"/>
      <c r="E409" s="726"/>
      <c r="F409" s="520"/>
      <c r="G409" s="520"/>
      <c r="H409" s="520"/>
      <c r="I409" s="521"/>
      <c r="J409" s="521"/>
      <c r="K409" s="521"/>
      <c r="L409" s="756"/>
      <c r="M409" s="514"/>
      <c r="N409" s="514"/>
      <c r="O409" s="514"/>
      <c r="P409" s="514"/>
      <c r="Q409" s="514"/>
      <c r="R409" s="514"/>
      <c r="S409" s="756"/>
      <c r="T409" s="514"/>
      <c r="U409" s="514"/>
      <c r="V409" s="514"/>
      <c r="W409" s="514"/>
      <c r="X409" s="514"/>
      <c r="Y409" s="514"/>
      <c r="Z409" s="756"/>
      <c r="AA409" s="514"/>
      <c r="AB409" s="514"/>
      <c r="AC409" s="514"/>
      <c r="AD409" s="514"/>
      <c r="AE409" s="774"/>
      <c r="AF409" s="514"/>
      <c r="AG409" s="897"/>
      <c r="AH409" s="789"/>
      <c r="AI409" s="664">
        <f t="shared" si="19"/>
        <v>0</v>
      </c>
      <c r="AJ409" s="521">
        <v>0</v>
      </c>
      <c r="AK409" s="520">
        <f t="shared" si="20"/>
        <v>0</v>
      </c>
      <c r="AL409" s="695" t="s">
        <v>1687</v>
      </c>
      <c r="AM409" s="669">
        <f t="shared" si="21"/>
        <v>30.08</v>
      </c>
    </row>
    <row r="410" spans="1:39" s="500" customFormat="1">
      <c r="A410" s="539" t="s">
        <v>899</v>
      </c>
      <c r="B410" s="539" t="s">
        <v>1251</v>
      </c>
      <c r="C410" s="548" t="s">
        <v>37</v>
      </c>
      <c r="D410" s="519"/>
      <c r="E410" s="726"/>
      <c r="F410" s="520"/>
      <c r="G410" s="520"/>
      <c r="H410" s="520"/>
      <c r="I410" s="521"/>
      <c r="J410" s="521"/>
      <c r="K410" s="521"/>
      <c r="L410" s="756"/>
      <c r="M410" s="514"/>
      <c r="N410" s="514"/>
      <c r="O410" s="514"/>
      <c r="P410" s="514"/>
      <c r="Q410" s="514"/>
      <c r="R410" s="514"/>
      <c r="S410" s="756"/>
      <c r="T410" s="514"/>
      <c r="U410" s="514"/>
      <c r="V410" s="514"/>
      <c r="W410" s="514"/>
      <c r="X410" s="514"/>
      <c r="Y410" s="514"/>
      <c r="Z410" s="756"/>
      <c r="AA410" s="514"/>
      <c r="AB410" s="514"/>
      <c r="AC410" s="514"/>
      <c r="AD410" s="514"/>
      <c r="AE410" s="774"/>
      <c r="AF410" s="514"/>
      <c r="AG410" s="897"/>
      <c r="AH410" s="789"/>
      <c r="AI410" s="664">
        <f t="shared" si="19"/>
        <v>0</v>
      </c>
      <c r="AJ410" s="521">
        <v>0</v>
      </c>
      <c r="AK410" s="520">
        <f t="shared" si="20"/>
        <v>0</v>
      </c>
      <c r="AL410" s="695" t="s">
        <v>1688</v>
      </c>
      <c r="AM410" s="669">
        <f t="shared" si="21"/>
        <v>2.95</v>
      </c>
    </row>
    <row r="411" spans="1:39" s="500" customFormat="1">
      <c r="A411" s="539" t="s">
        <v>900</v>
      </c>
      <c r="B411" s="539" t="s">
        <v>1252</v>
      </c>
      <c r="C411" s="548" t="s">
        <v>37</v>
      </c>
      <c r="D411" s="519"/>
      <c r="E411" s="726"/>
      <c r="F411" s="520"/>
      <c r="G411" s="520"/>
      <c r="H411" s="520"/>
      <c r="I411" s="521"/>
      <c r="J411" s="521"/>
      <c r="K411" s="521"/>
      <c r="L411" s="756"/>
      <c r="M411" s="514"/>
      <c r="N411" s="514"/>
      <c r="O411" s="514"/>
      <c r="P411" s="514"/>
      <c r="Q411" s="514"/>
      <c r="R411" s="514"/>
      <c r="S411" s="756"/>
      <c r="T411" s="514"/>
      <c r="U411" s="514"/>
      <c r="V411" s="514"/>
      <c r="W411" s="514"/>
      <c r="X411" s="514"/>
      <c r="Y411" s="514"/>
      <c r="Z411" s="756"/>
      <c r="AA411" s="514"/>
      <c r="AB411" s="514"/>
      <c r="AC411" s="514"/>
      <c r="AD411" s="514"/>
      <c r="AE411" s="774"/>
      <c r="AF411" s="514"/>
      <c r="AG411" s="897"/>
      <c r="AH411" s="789"/>
      <c r="AI411" s="664">
        <f t="shared" si="19"/>
        <v>0</v>
      </c>
      <c r="AJ411" s="521">
        <v>0</v>
      </c>
      <c r="AK411" s="520">
        <f t="shared" si="20"/>
        <v>0</v>
      </c>
      <c r="AL411" s="695"/>
      <c r="AM411" s="669">
        <f t="shared" si="21"/>
        <v>0</v>
      </c>
    </row>
    <row r="412" spans="1:39" s="500" customFormat="1">
      <c r="A412" s="542" t="s">
        <v>901</v>
      </c>
      <c r="B412" s="542" t="s">
        <v>1253</v>
      </c>
      <c r="C412" s="616"/>
      <c r="D412" s="519"/>
      <c r="E412" s="726"/>
      <c r="F412" s="520"/>
      <c r="G412" s="520"/>
      <c r="H412" s="520"/>
      <c r="I412" s="521"/>
      <c r="J412" s="521"/>
      <c r="K412" s="521"/>
      <c r="L412" s="756"/>
      <c r="M412" s="514"/>
      <c r="N412" s="514"/>
      <c r="O412" s="514"/>
      <c r="P412" s="514"/>
      <c r="Q412" s="514"/>
      <c r="R412" s="514"/>
      <c r="S412" s="756"/>
      <c r="T412" s="514"/>
      <c r="U412" s="514"/>
      <c r="V412" s="514"/>
      <c r="W412" s="514"/>
      <c r="X412" s="514"/>
      <c r="Y412" s="514"/>
      <c r="Z412" s="756"/>
      <c r="AA412" s="514"/>
      <c r="AB412" s="514"/>
      <c r="AC412" s="514"/>
      <c r="AD412" s="514"/>
      <c r="AE412" s="774"/>
      <c r="AF412" s="514"/>
      <c r="AG412" s="897"/>
      <c r="AH412" s="789"/>
      <c r="AI412" s="664">
        <f t="shared" si="19"/>
        <v>0</v>
      </c>
      <c r="AJ412" s="521">
        <v>0</v>
      </c>
      <c r="AK412" s="520">
        <f t="shared" si="20"/>
        <v>0</v>
      </c>
      <c r="AL412" s="695" t="s">
        <v>1689</v>
      </c>
      <c r="AM412" s="669">
        <f t="shared" si="21"/>
        <v>6.15</v>
      </c>
    </row>
    <row r="413" spans="1:39" s="500" customFormat="1">
      <c r="A413" s="539" t="s">
        <v>902</v>
      </c>
      <c r="B413" s="539" t="s">
        <v>1294</v>
      </c>
      <c r="C413" s="548" t="s">
        <v>38</v>
      </c>
      <c r="D413" s="519"/>
      <c r="E413" s="726"/>
      <c r="F413" s="520"/>
      <c r="G413" s="520"/>
      <c r="H413" s="520"/>
      <c r="I413" s="521"/>
      <c r="J413" s="521"/>
      <c r="K413" s="521"/>
      <c r="L413" s="756"/>
      <c r="M413" s="514"/>
      <c r="N413" s="514"/>
      <c r="O413" s="514"/>
      <c r="P413" s="514"/>
      <c r="Q413" s="514"/>
      <c r="R413" s="514"/>
      <c r="S413" s="756"/>
      <c r="T413" s="514"/>
      <c r="U413" s="514"/>
      <c r="V413" s="514"/>
      <c r="W413" s="514"/>
      <c r="X413" s="514"/>
      <c r="Y413" s="514"/>
      <c r="Z413" s="756"/>
      <c r="AA413" s="514"/>
      <c r="AB413" s="514"/>
      <c r="AC413" s="514"/>
      <c r="AD413" s="514"/>
      <c r="AE413" s="774"/>
      <c r="AF413" s="514"/>
      <c r="AG413" s="897"/>
      <c r="AH413" s="789"/>
      <c r="AI413" s="664">
        <f t="shared" si="19"/>
        <v>0</v>
      </c>
      <c r="AJ413" s="521">
        <v>0</v>
      </c>
      <c r="AK413" s="520">
        <f t="shared" si="20"/>
        <v>0</v>
      </c>
      <c r="AL413" s="695" t="s">
        <v>1690</v>
      </c>
      <c r="AM413" s="669">
        <f t="shared" si="21"/>
        <v>2.77</v>
      </c>
    </row>
    <row r="414" spans="1:39" s="500" customFormat="1">
      <c r="A414" s="539" t="s">
        <v>903</v>
      </c>
      <c r="B414" s="539" t="s">
        <v>1255</v>
      </c>
      <c r="C414" s="548" t="s">
        <v>37</v>
      </c>
      <c r="D414" s="519"/>
      <c r="E414" s="726"/>
      <c r="F414" s="520"/>
      <c r="G414" s="520"/>
      <c r="H414" s="520"/>
      <c r="I414" s="521"/>
      <c r="J414" s="521"/>
      <c r="K414" s="521"/>
      <c r="L414" s="756"/>
      <c r="M414" s="514"/>
      <c r="N414" s="514"/>
      <c r="O414" s="514"/>
      <c r="P414" s="514"/>
      <c r="Q414" s="514"/>
      <c r="R414" s="514"/>
      <c r="S414" s="756"/>
      <c r="T414" s="514"/>
      <c r="U414" s="514"/>
      <c r="V414" s="514"/>
      <c r="W414" s="514"/>
      <c r="X414" s="514"/>
      <c r="Y414" s="514"/>
      <c r="Z414" s="756"/>
      <c r="AA414" s="514"/>
      <c r="AB414" s="514"/>
      <c r="AC414" s="514"/>
      <c r="AD414" s="514"/>
      <c r="AE414" s="774"/>
      <c r="AF414" s="514"/>
      <c r="AG414" s="897"/>
      <c r="AH414" s="789"/>
      <c r="AI414" s="664">
        <f t="shared" si="19"/>
        <v>0</v>
      </c>
      <c r="AJ414" s="521">
        <v>0</v>
      </c>
      <c r="AK414" s="520">
        <f t="shared" si="20"/>
        <v>0</v>
      </c>
      <c r="AL414" s="695"/>
      <c r="AM414" s="669">
        <f t="shared" si="21"/>
        <v>0</v>
      </c>
    </row>
    <row r="415" spans="1:39" s="500" customFormat="1">
      <c r="A415" s="542" t="s">
        <v>904</v>
      </c>
      <c r="B415" s="542" t="s">
        <v>1256</v>
      </c>
      <c r="C415" s="616"/>
      <c r="D415" s="519"/>
      <c r="E415" s="726"/>
      <c r="F415" s="520"/>
      <c r="G415" s="520"/>
      <c r="H415" s="520"/>
      <c r="I415" s="521"/>
      <c r="J415" s="521"/>
      <c r="K415" s="521"/>
      <c r="L415" s="756"/>
      <c r="M415" s="514"/>
      <c r="N415" s="514"/>
      <c r="O415" s="514"/>
      <c r="P415" s="514"/>
      <c r="Q415" s="514"/>
      <c r="R415" s="514"/>
      <c r="S415" s="756"/>
      <c r="T415" s="514"/>
      <c r="U415" s="514"/>
      <c r="V415" s="514"/>
      <c r="W415" s="514"/>
      <c r="X415" s="514"/>
      <c r="Y415" s="514"/>
      <c r="Z415" s="756"/>
      <c r="AA415" s="514"/>
      <c r="AB415" s="514"/>
      <c r="AC415" s="514"/>
      <c r="AD415" s="514"/>
      <c r="AE415" s="774"/>
      <c r="AF415" s="514"/>
      <c r="AG415" s="897"/>
      <c r="AH415" s="789"/>
      <c r="AI415" s="664">
        <f t="shared" si="19"/>
        <v>0</v>
      </c>
      <c r="AJ415" s="521">
        <v>0</v>
      </c>
      <c r="AK415" s="520">
        <f t="shared" si="20"/>
        <v>0</v>
      </c>
      <c r="AL415" s="695" t="s">
        <v>1691</v>
      </c>
      <c r="AM415" s="669">
        <f t="shared" si="21"/>
        <v>8.3000000000000007</v>
      </c>
    </row>
    <row r="416" spans="1:39" s="500" customFormat="1">
      <c r="A416" s="539" t="s">
        <v>905</v>
      </c>
      <c r="B416" s="539" t="s">
        <v>1257</v>
      </c>
      <c r="C416" s="548" t="s">
        <v>37</v>
      </c>
      <c r="D416" s="519"/>
      <c r="E416" s="726"/>
      <c r="F416" s="520"/>
      <c r="G416" s="520"/>
      <c r="H416" s="520"/>
      <c r="I416" s="521"/>
      <c r="J416" s="521"/>
      <c r="K416" s="521"/>
      <c r="L416" s="756"/>
      <c r="M416" s="514"/>
      <c r="N416" s="514"/>
      <c r="O416" s="514"/>
      <c r="P416" s="514"/>
      <c r="Q416" s="514"/>
      <c r="R416" s="514"/>
      <c r="S416" s="756"/>
      <c r="T416" s="514"/>
      <c r="U416" s="514"/>
      <c r="V416" s="514"/>
      <c r="W416" s="514"/>
      <c r="X416" s="514"/>
      <c r="Y416" s="514"/>
      <c r="Z416" s="756"/>
      <c r="AA416" s="514"/>
      <c r="AB416" s="514"/>
      <c r="AC416" s="514"/>
      <c r="AD416" s="514"/>
      <c r="AE416" s="774"/>
      <c r="AF416" s="514"/>
      <c r="AG416" s="897"/>
      <c r="AH416" s="789"/>
      <c r="AI416" s="664">
        <f t="shared" si="19"/>
        <v>0</v>
      </c>
      <c r="AJ416" s="521">
        <v>0</v>
      </c>
      <c r="AK416" s="520">
        <f t="shared" si="20"/>
        <v>0</v>
      </c>
      <c r="AL416" s="695"/>
      <c r="AM416" s="669">
        <f t="shared" si="21"/>
        <v>0</v>
      </c>
    </row>
    <row r="417" spans="1:39" s="500" customFormat="1">
      <c r="A417" s="539" t="s">
        <v>906</v>
      </c>
      <c r="B417" s="539" t="s">
        <v>1258</v>
      </c>
      <c r="C417" s="616"/>
      <c r="D417" s="519"/>
      <c r="E417" s="726"/>
      <c r="F417" s="520"/>
      <c r="G417" s="520"/>
      <c r="H417" s="520"/>
      <c r="I417" s="521"/>
      <c r="J417" s="521"/>
      <c r="K417" s="521"/>
      <c r="L417" s="756"/>
      <c r="M417" s="514"/>
      <c r="N417" s="514"/>
      <c r="O417" s="514"/>
      <c r="P417" s="514"/>
      <c r="Q417" s="514"/>
      <c r="R417" s="514"/>
      <c r="S417" s="756"/>
      <c r="T417" s="514"/>
      <c r="U417" s="514"/>
      <c r="V417" s="514"/>
      <c r="W417" s="514"/>
      <c r="X417" s="514"/>
      <c r="Y417" s="514"/>
      <c r="Z417" s="756"/>
      <c r="AA417" s="514"/>
      <c r="AB417" s="514"/>
      <c r="AC417" s="514"/>
      <c r="AD417" s="514"/>
      <c r="AE417" s="774"/>
      <c r="AF417" s="514"/>
      <c r="AG417" s="897"/>
      <c r="AH417" s="789"/>
      <c r="AI417" s="664">
        <f t="shared" si="19"/>
        <v>0</v>
      </c>
      <c r="AJ417" s="521">
        <v>0</v>
      </c>
      <c r="AK417" s="520">
        <f t="shared" si="20"/>
        <v>0</v>
      </c>
      <c r="AL417" s="695" t="s">
        <v>1692</v>
      </c>
      <c r="AM417" s="669">
        <f t="shared" si="21"/>
        <v>6.66</v>
      </c>
    </row>
    <row r="418" spans="1:39" s="500" customFormat="1">
      <c r="A418" s="539" t="s">
        <v>907</v>
      </c>
      <c r="B418" s="539" t="s">
        <v>1259</v>
      </c>
      <c r="C418" s="548" t="s">
        <v>37</v>
      </c>
      <c r="D418" s="519"/>
      <c r="E418" s="726"/>
      <c r="F418" s="520"/>
      <c r="G418" s="520"/>
      <c r="H418" s="520"/>
      <c r="I418" s="521"/>
      <c r="J418" s="521"/>
      <c r="K418" s="521"/>
      <c r="L418" s="756"/>
      <c r="M418" s="514"/>
      <c r="N418" s="514"/>
      <c r="O418" s="514"/>
      <c r="P418" s="514"/>
      <c r="Q418" s="514"/>
      <c r="R418" s="514"/>
      <c r="S418" s="756"/>
      <c r="T418" s="514"/>
      <c r="U418" s="514"/>
      <c r="V418" s="514"/>
      <c r="W418" s="514"/>
      <c r="X418" s="514"/>
      <c r="Y418" s="514"/>
      <c r="Z418" s="756"/>
      <c r="AA418" s="514"/>
      <c r="AB418" s="514"/>
      <c r="AC418" s="514"/>
      <c r="AD418" s="514"/>
      <c r="AE418" s="774"/>
      <c r="AF418" s="514"/>
      <c r="AG418" s="897"/>
      <c r="AH418" s="789"/>
      <c r="AI418" s="664">
        <f t="shared" si="19"/>
        <v>0</v>
      </c>
      <c r="AJ418" s="521">
        <v>0</v>
      </c>
      <c r="AK418" s="520">
        <f t="shared" si="20"/>
        <v>0</v>
      </c>
      <c r="AL418" s="695" t="s">
        <v>1693</v>
      </c>
      <c r="AM418" s="669">
        <f t="shared" si="21"/>
        <v>7.76</v>
      </c>
    </row>
    <row r="419" spans="1:39" s="500" customFormat="1">
      <c r="A419" s="539" t="s">
        <v>908</v>
      </c>
      <c r="B419" s="539" t="s">
        <v>1286</v>
      </c>
      <c r="C419" s="548" t="s">
        <v>37</v>
      </c>
      <c r="D419" s="519"/>
      <c r="E419" s="726"/>
      <c r="F419" s="520"/>
      <c r="G419" s="520"/>
      <c r="H419" s="520"/>
      <c r="I419" s="521"/>
      <c r="J419" s="521"/>
      <c r="K419" s="521"/>
      <c r="L419" s="756"/>
      <c r="M419" s="514"/>
      <c r="N419" s="514"/>
      <c r="O419" s="514"/>
      <c r="P419" s="514"/>
      <c r="Q419" s="514"/>
      <c r="R419" s="514"/>
      <c r="S419" s="756"/>
      <c r="T419" s="514"/>
      <c r="U419" s="514"/>
      <c r="V419" s="514"/>
      <c r="W419" s="514"/>
      <c r="X419" s="514"/>
      <c r="Y419" s="514"/>
      <c r="Z419" s="756"/>
      <c r="AA419" s="514"/>
      <c r="AB419" s="514"/>
      <c r="AC419" s="514"/>
      <c r="AD419" s="514"/>
      <c r="AE419" s="774"/>
      <c r="AF419" s="514"/>
      <c r="AG419" s="897"/>
      <c r="AH419" s="789"/>
      <c r="AI419" s="664">
        <f t="shared" si="19"/>
        <v>0</v>
      </c>
      <c r="AJ419" s="521">
        <v>0</v>
      </c>
      <c r="AK419" s="520">
        <f t="shared" si="20"/>
        <v>0</v>
      </c>
      <c r="AL419" s="695" t="s">
        <v>1694</v>
      </c>
      <c r="AM419" s="669">
        <f t="shared" si="21"/>
        <v>25.31</v>
      </c>
    </row>
    <row r="420" spans="1:39" s="500" customFormat="1">
      <c r="A420" s="539" t="s">
        <v>909</v>
      </c>
      <c r="B420" s="539" t="s">
        <v>1261</v>
      </c>
      <c r="C420" s="548" t="s">
        <v>38</v>
      </c>
      <c r="D420" s="519"/>
      <c r="E420" s="726"/>
      <c r="F420" s="520"/>
      <c r="G420" s="520"/>
      <c r="H420" s="520"/>
      <c r="I420" s="521"/>
      <c r="J420" s="521"/>
      <c r="K420" s="521"/>
      <c r="L420" s="756"/>
      <c r="M420" s="514"/>
      <c r="N420" s="514"/>
      <c r="O420" s="514"/>
      <c r="P420" s="514"/>
      <c r="Q420" s="514"/>
      <c r="R420" s="514"/>
      <c r="S420" s="756"/>
      <c r="T420" s="514"/>
      <c r="U420" s="514"/>
      <c r="V420" s="514"/>
      <c r="W420" s="514"/>
      <c r="X420" s="514"/>
      <c r="Y420" s="514"/>
      <c r="Z420" s="756"/>
      <c r="AA420" s="514"/>
      <c r="AB420" s="514"/>
      <c r="AC420" s="514"/>
      <c r="AD420" s="514"/>
      <c r="AE420" s="774"/>
      <c r="AF420" s="514"/>
      <c r="AG420" s="897"/>
      <c r="AH420" s="789"/>
      <c r="AI420" s="664">
        <f t="shared" si="19"/>
        <v>0</v>
      </c>
      <c r="AJ420" s="521">
        <v>0</v>
      </c>
      <c r="AK420" s="520">
        <f t="shared" si="20"/>
        <v>0</v>
      </c>
      <c r="AL420" s="695"/>
      <c r="AM420" s="669">
        <f t="shared" si="21"/>
        <v>0</v>
      </c>
    </row>
    <row r="421" spans="1:39" s="500" customFormat="1">
      <c r="A421" s="542" t="s">
        <v>910</v>
      </c>
      <c r="B421" s="542" t="s">
        <v>1198</v>
      </c>
      <c r="C421" s="616"/>
      <c r="D421" s="519"/>
      <c r="E421" s="726"/>
      <c r="F421" s="520"/>
      <c r="G421" s="520"/>
      <c r="H421" s="520"/>
      <c r="I421" s="521"/>
      <c r="J421" s="521"/>
      <c r="K421" s="521"/>
      <c r="L421" s="756"/>
      <c r="M421" s="514"/>
      <c r="N421" s="514"/>
      <c r="O421" s="514"/>
      <c r="P421" s="514"/>
      <c r="Q421" s="514"/>
      <c r="R421" s="514"/>
      <c r="S421" s="756"/>
      <c r="T421" s="514"/>
      <c r="U421" s="514"/>
      <c r="V421" s="514"/>
      <c r="W421" s="514"/>
      <c r="X421" s="514"/>
      <c r="Y421" s="514"/>
      <c r="Z421" s="756"/>
      <c r="AA421" s="514"/>
      <c r="AB421" s="514"/>
      <c r="AC421" s="514"/>
      <c r="AD421" s="514"/>
      <c r="AE421" s="774"/>
      <c r="AF421" s="514"/>
      <c r="AG421" s="897"/>
      <c r="AH421" s="789"/>
      <c r="AI421" s="664">
        <f t="shared" si="19"/>
        <v>0</v>
      </c>
      <c r="AJ421" s="521">
        <v>0</v>
      </c>
      <c r="AK421" s="520">
        <f t="shared" si="20"/>
        <v>0</v>
      </c>
      <c r="AL421" s="695" t="s">
        <v>1695</v>
      </c>
      <c r="AM421" s="669">
        <f t="shared" si="21"/>
        <v>34.93</v>
      </c>
    </row>
    <row r="422" spans="1:39" s="500" customFormat="1">
      <c r="A422" s="539" t="s">
        <v>911</v>
      </c>
      <c r="B422" s="539" t="s">
        <v>1262</v>
      </c>
      <c r="C422" s="548" t="s">
        <v>37</v>
      </c>
      <c r="D422" s="519"/>
      <c r="E422" s="726"/>
      <c r="F422" s="520"/>
      <c r="G422" s="520"/>
      <c r="H422" s="520"/>
      <c r="I422" s="521"/>
      <c r="J422" s="521"/>
      <c r="K422" s="521"/>
      <c r="L422" s="756"/>
      <c r="M422" s="514"/>
      <c r="N422" s="514"/>
      <c r="O422" s="514"/>
      <c r="P422" s="514"/>
      <c r="Q422" s="514"/>
      <c r="R422" s="514"/>
      <c r="S422" s="756"/>
      <c r="T422" s="514"/>
      <c r="U422" s="514"/>
      <c r="V422" s="514"/>
      <c r="W422" s="514"/>
      <c r="X422" s="514"/>
      <c r="Y422" s="514"/>
      <c r="Z422" s="756"/>
      <c r="AA422" s="514"/>
      <c r="AB422" s="514"/>
      <c r="AC422" s="514"/>
      <c r="AD422" s="514"/>
      <c r="AE422" s="774"/>
      <c r="AF422" s="514"/>
      <c r="AG422" s="897"/>
      <c r="AH422" s="789"/>
      <c r="AI422" s="664">
        <f t="shared" si="19"/>
        <v>0</v>
      </c>
      <c r="AJ422" s="521">
        <v>0</v>
      </c>
      <c r="AK422" s="520">
        <f t="shared" si="20"/>
        <v>0</v>
      </c>
      <c r="AL422" s="695" t="s">
        <v>1689</v>
      </c>
      <c r="AM422" s="669">
        <f t="shared" si="21"/>
        <v>6.15</v>
      </c>
    </row>
    <row r="423" spans="1:39" s="500" customFormat="1">
      <c r="A423" s="539" t="s">
        <v>912</v>
      </c>
      <c r="B423" s="539" t="s">
        <v>1263</v>
      </c>
      <c r="C423" s="548" t="s">
        <v>38</v>
      </c>
      <c r="D423" s="519"/>
      <c r="E423" s="726"/>
      <c r="F423" s="520"/>
      <c r="G423" s="520"/>
      <c r="H423" s="520"/>
      <c r="I423" s="521"/>
      <c r="J423" s="521"/>
      <c r="K423" s="521"/>
      <c r="L423" s="756"/>
      <c r="M423" s="514"/>
      <c r="N423" s="514"/>
      <c r="O423" s="514"/>
      <c r="P423" s="514"/>
      <c r="Q423" s="514"/>
      <c r="R423" s="514"/>
      <c r="S423" s="756"/>
      <c r="T423" s="514"/>
      <c r="U423" s="514"/>
      <c r="V423" s="514"/>
      <c r="W423" s="514"/>
      <c r="X423" s="514"/>
      <c r="Y423" s="514"/>
      <c r="Z423" s="756"/>
      <c r="AA423" s="514"/>
      <c r="AB423" s="514"/>
      <c r="AC423" s="514"/>
      <c r="AD423" s="514"/>
      <c r="AE423" s="774"/>
      <c r="AF423" s="514"/>
      <c r="AG423" s="897"/>
      <c r="AH423" s="789"/>
      <c r="AI423" s="664">
        <f t="shared" si="19"/>
        <v>0</v>
      </c>
      <c r="AJ423" s="521">
        <v>0</v>
      </c>
      <c r="AK423" s="520">
        <f t="shared" si="20"/>
        <v>0</v>
      </c>
      <c r="AL423" s="695"/>
      <c r="AM423" s="669">
        <f t="shared" si="21"/>
        <v>0</v>
      </c>
    </row>
    <row r="424" spans="1:39" s="500" customFormat="1">
      <c r="A424" s="542" t="s">
        <v>913</v>
      </c>
      <c r="B424" s="542" t="s">
        <v>1264</v>
      </c>
      <c r="C424" s="616"/>
      <c r="D424" s="519"/>
      <c r="E424" s="726"/>
      <c r="F424" s="520"/>
      <c r="G424" s="520"/>
      <c r="H424" s="520"/>
      <c r="I424" s="521"/>
      <c r="J424" s="521"/>
      <c r="K424" s="521"/>
      <c r="L424" s="756"/>
      <c r="M424" s="514"/>
      <c r="N424" s="514"/>
      <c r="O424" s="514"/>
      <c r="P424" s="514"/>
      <c r="Q424" s="514"/>
      <c r="R424" s="514"/>
      <c r="S424" s="756"/>
      <c r="T424" s="514"/>
      <c r="U424" s="514"/>
      <c r="V424" s="514"/>
      <c r="W424" s="514"/>
      <c r="X424" s="514"/>
      <c r="Y424" s="514"/>
      <c r="Z424" s="756"/>
      <c r="AA424" s="514"/>
      <c r="AB424" s="514"/>
      <c r="AC424" s="514"/>
      <c r="AD424" s="514"/>
      <c r="AE424" s="774"/>
      <c r="AF424" s="514"/>
      <c r="AG424" s="897"/>
      <c r="AH424" s="789"/>
      <c r="AI424" s="664">
        <f t="shared" si="19"/>
        <v>0</v>
      </c>
      <c r="AJ424" s="521">
        <v>0</v>
      </c>
      <c r="AK424" s="520">
        <f t="shared" si="20"/>
        <v>0</v>
      </c>
      <c r="AL424" s="695" t="s">
        <v>1696</v>
      </c>
      <c r="AM424" s="669">
        <f t="shared" si="21"/>
        <v>3.78</v>
      </c>
    </row>
    <row r="425" spans="1:39" s="500" customFormat="1">
      <c r="A425" s="539" t="s">
        <v>914</v>
      </c>
      <c r="B425" s="539" t="s">
        <v>1265</v>
      </c>
      <c r="C425" s="548" t="s">
        <v>37</v>
      </c>
      <c r="D425" s="519"/>
      <c r="E425" s="726"/>
      <c r="F425" s="520"/>
      <c r="G425" s="520"/>
      <c r="H425" s="520"/>
      <c r="I425" s="521"/>
      <c r="J425" s="521"/>
      <c r="K425" s="521"/>
      <c r="L425" s="756"/>
      <c r="M425" s="514"/>
      <c r="N425" s="514"/>
      <c r="O425" s="514"/>
      <c r="P425" s="514"/>
      <c r="Q425" s="514"/>
      <c r="R425" s="514"/>
      <c r="S425" s="756"/>
      <c r="T425" s="514"/>
      <c r="U425" s="514"/>
      <c r="V425" s="514"/>
      <c r="W425" s="514"/>
      <c r="X425" s="514"/>
      <c r="Y425" s="514"/>
      <c r="Z425" s="756"/>
      <c r="AA425" s="514"/>
      <c r="AB425" s="514"/>
      <c r="AC425" s="514"/>
      <c r="AD425" s="514"/>
      <c r="AE425" s="774"/>
      <c r="AF425" s="514"/>
      <c r="AG425" s="897"/>
      <c r="AH425" s="789"/>
      <c r="AI425" s="664">
        <f t="shared" si="19"/>
        <v>0</v>
      </c>
      <c r="AJ425" s="521">
        <v>0</v>
      </c>
      <c r="AK425" s="520">
        <f t="shared" si="20"/>
        <v>0</v>
      </c>
      <c r="AL425" s="695" t="s">
        <v>1697</v>
      </c>
      <c r="AM425" s="669">
        <f t="shared" si="21"/>
        <v>1.47</v>
      </c>
    </row>
    <row r="426" spans="1:39" s="500" customFormat="1">
      <c r="A426" s="539" t="s">
        <v>915</v>
      </c>
      <c r="B426" s="539" t="s">
        <v>1295</v>
      </c>
      <c r="C426" s="548" t="s">
        <v>37</v>
      </c>
      <c r="D426" s="519"/>
      <c r="E426" s="726"/>
      <c r="F426" s="520"/>
      <c r="G426" s="520"/>
      <c r="H426" s="520"/>
      <c r="I426" s="521"/>
      <c r="J426" s="521"/>
      <c r="K426" s="521"/>
      <c r="L426" s="756"/>
      <c r="M426" s="514"/>
      <c r="N426" s="514"/>
      <c r="O426" s="514"/>
      <c r="P426" s="514"/>
      <c r="Q426" s="514"/>
      <c r="R426" s="514"/>
      <c r="S426" s="756"/>
      <c r="T426" s="514"/>
      <c r="U426" s="514"/>
      <c r="V426" s="514"/>
      <c r="W426" s="514"/>
      <c r="X426" s="514"/>
      <c r="Y426" s="514"/>
      <c r="Z426" s="756"/>
      <c r="AA426" s="514"/>
      <c r="AB426" s="514"/>
      <c r="AC426" s="514"/>
      <c r="AD426" s="514"/>
      <c r="AE426" s="774"/>
      <c r="AF426" s="514"/>
      <c r="AG426" s="897"/>
      <c r="AH426" s="789"/>
      <c r="AI426" s="664">
        <f t="shared" si="19"/>
        <v>0</v>
      </c>
      <c r="AJ426" s="521">
        <v>0</v>
      </c>
      <c r="AK426" s="520">
        <f t="shared" si="20"/>
        <v>0</v>
      </c>
      <c r="AL426" s="695"/>
      <c r="AM426" s="669">
        <f t="shared" si="21"/>
        <v>0</v>
      </c>
    </row>
    <row r="427" spans="1:39" s="500" customFormat="1">
      <c r="A427" s="542" t="s">
        <v>916</v>
      </c>
      <c r="B427" s="542" t="s">
        <v>1266</v>
      </c>
      <c r="C427" s="616"/>
      <c r="D427" s="519"/>
      <c r="E427" s="726"/>
      <c r="F427" s="520"/>
      <c r="G427" s="520"/>
      <c r="H427" s="520"/>
      <c r="I427" s="521"/>
      <c r="J427" s="521"/>
      <c r="K427" s="521"/>
      <c r="L427" s="756"/>
      <c r="M427" s="514"/>
      <c r="N427" s="514"/>
      <c r="O427" s="514"/>
      <c r="P427" s="514"/>
      <c r="Q427" s="514"/>
      <c r="R427" s="514"/>
      <c r="S427" s="756"/>
      <c r="T427" s="514"/>
      <c r="U427" s="514"/>
      <c r="V427" s="514"/>
      <c r="W427" s="514"/>
      <c r="X427" s="514"/>
      <c r="Y427" s="514"/>
      <c r="Z427" s="756"/>
      <c r="AA427" s="514"/>
      <c r="AB427" s="514"/>
      <c r="AC427" s="514"/>
      <c r="AD427" s="514"/>
      <c r="AE427" s="774"/>
      <c r="AF427" s="514"/>
      <c r="AG427" s="897"/>
      <c r="AH427" s="789"/>
      <c r="AI427" s="664">
        <f t="shared" ref="AI427:AI490" si="22">ROUND((SUM(D427:L427)),2)</f>
        <v>0</v>
      </c>
      <c r="AJ427" s="521">
        <v>0</v>
      </c>
      <c r="AK427" s="520">
        <f t="shared" si="20"/>
        <v>0</v>
      </c>
      <c r="AL427" s="695" t="s">
        <v>1641</v>
      </c>
      <c r="AM427" s="669">
        <f t="shared" si="21"/>
        <v>9</v>
      </c>
    </row>
    <row r="428" spans="1:39" s="500" customFormat="1">
      <c r="A428" s="539" t="s">
        <v>917</v>
      </c>
      <c r="B428" s="539" t="s">
        <v>1267</v>
      </c>
      <c r="C428" s="548" t="s">
        <v>1451</v>
      </c>
      <c r="D428" s="519"/>
      <c r="E428" s="726"/>
      <c r="F428" s="520"/>
      <c r="G428" s="520"/>
      <c r="H428" s="520"/>
      <c r="I428" s="521"/>
      <c r="J428" s="521"/>
      <c r="K428" s="521"/>
      <c r="L428" s="756"/>
      <c r="M428" s="514"/>
      <c r="N428" s="514"/>
      <c r="O428" s="514"/>
      <c r="P428" s="514"/>
      <c r="Q428" s="514"/>
      <c r="R428" s="514"/>
      <c r="S428" s="756"/>
      <c r="T428" s="514"/>
      <c r="U428" s="514"/>
      <c r="V428" s="514"/>
      <c r="W428" s="514"/>
      <c r="X428" s="514"/>
      <c r="Y428" s="514"/>
      <c r="Z428" s="756"/>
      <c r="AA428" s="514"/>
      <c r="AB428" s="514"/>
      <c r="AC428" s="514"/>
      <c r="AD428" s="514"/>
      <c r="AE428" s="774"/>
      <c r="AF428" s="514"/>
      <c r="AG428" s="897"/>
      <c r="AH428" s="789"/>
      <c r="AI428" s="664">
        <f t="shared" si="22"/>
        <v>0</v>
      </c>
      <c r="AJ428" s="521">
        <v>0</v>
      </c>
      <c r="AK428" s="520">
        <f t="shared" si="20"/>
        <v>0</v>
      </c>
      <c r="AL428" s="695" t="s">
        <v>1698</v>
      </c>
      <c r="AM428" s="669">
        <f t="shared" si="21"/>
        <v>2</v>
      </c>
    </row>
    <row r="429" spans="1:39" s="500" customFormat="1">
      <c r="A429" s="539" t="s">
        <v>918</v>
      </c>
      <c r="B429" s="539" t="s">
        <v>1268</v>
      </c>
      <c r="C429" s="548" t="s">
        <v>36</v>
      </c>
      <c r="D429" s="519"/>
      <c r="E429" s="726"/>
      <c r="F429" s="520"/>
      <c r="G429" s="520"/>
      <c r="H429" s="520"/>
      <c r="I429" s="521"/>
      <c r="J429" s="521"/>
      <c r="K429" s="521"/>
      <c r="L429" s="756"/>
      <c r="M429" s="514"/>
      <c r="N429" s="514"/>
      <c r="O429" s="514"/>
      <c r="P429" s="514"/>
      <c r="Q429" s="514"/>
      <c r="R429" s="514"/>
      <c r="S429" s="756"/>
      <c r="T429" s="514"/>
      <c r="U429" s="514"/>
      <c r="V429" s="514"/>
      <c r="W429" s="514"/>
      <c r="X429" s="514"/>
      <c r="Y429" s="514"/>
      <c r="Z429" s="756"/>
      <c r="AA429" s="514"/>
      <c r="AB429" s="514"/>
      <c r="AC429" s="514"/>
      <c r="AD429" s="514"/>
      <c r="AE429" s="774"/>
      <c r="AF429" s="514"/>
      <c r="AG429" s="897"/>
      <c r="AH429" s="789"/>
      <c r="AI429" s="664">
        <f t="shared" si="22"/>
        <v>0</v>
      </c>
      <c r="AJ429" s="521">
        <v>0</v>
      </c>
      <c r="AK429" s="520">
        <f t="shared" si="20"/>
        <v>0</v>
      </c>
      <c r="AL429" s="695" t="s">
        <v>1455</v>
      </c>
      <c r="AM429" s="669">
        <f t="shared" si="21"/>
        <v>1</v>
      </c>
    </row>
    <row r="430" spans="1:39" s="500" customFormat="1">
      <c r="A430" s="539" t="s">
        <v>919</v>
      </c>
      <c r="B430" s="539" t="s">
        <v>1296</v>
      </c>
      <c r="C430" s="548" t="s">
        <v>36</v>
      </c>
      <c r="D430" s="519"/>
      <c r="E430" s="726"/>
      <c r="F430" s="520"/>
      <c r="G430" s="520"/>
      <c r="H430" s="520"/>
      <c r="I430" s="521"/>
      <c r="J430" s="521"/>
      <c r="K430" s="521"/>
      <c r="L430" s="756"/>
      <c r="M430" s="514"/>
      <c r="N430" s="514"/>
      <c r="O430" s="514"/>
      <c r="P430" s="514"/>
      <c r="Q430" s="514"/>
      <c r="R430" s="514"/>
      <c r="S430" s="756"/>
      <c r="T430" s="514"/>
      <c r="U430" s="514"/>
      <c r="V430" s="514"/>
      <c r="W430" s="514"/>
      <c r="X430" s="514"/>
      <c r="Y430" s="514"/>
      <c r="Z430" s="756"/>
      <c r="AA430" s="514"/>
      <c r="AB430" s="514"/>
      <c r="AC430" s="514"/>
      <c r="AD430" s="514"/>
      <c r="AE430" s="774"/>
      <c r="AF430" s="514"/>
      <c r="AG430" s="897"/>
      <c r="AH430" s="789"/>
      <c r="AI430" s="664">
        <f t="shared" si="22"/>
        <v>0</v>
      </c>
      <c r="AJ430" s="521">
        <v>0</v>
      </c>
      <c r="AK430" s="520">
        <f t="shared" si="20"/>
        <v>0</v>
      </c>
      <c r="AL430" s="695"/>
      <c r="AM430" s="669">
        <f t="shared" si="21"/>
        <v>0</v>
      </c>
    </row>
    <row r="431" spans="1:39" s="500" customFormat="1">
      <c r="A431" s="542" t="s">
        <v>920</v>
      </c>
      <c r="B431" s="542" t="s">
        <v>1269</v>
      </c>
      <c r="C431" s="616"/>
      <c r="D431" s="519"/>
      <c r="E431" s="726"/>
      <c r="F431" s="520"/>
      <c r="G431" s="520"/>
      <c r="H431" s="520"/>
      <c r="I431" s="521"/>
      <c r="J431" s="521"/>
      <c r="K431" s="521"/>
      <c r="L431" s="756"/>
      <c r="M431" s="514"/>
      <c r="N431" s="514"/>
      <c r="O431" s="514"/>
      <c r="P431" s="514"/>
      <c r="Q431" s="514"/>
      <c r="R431" s="514"/>
      <c r="S431" s="756"/>
      <c r="T431" s="514"/>
      <c r="U431" s="514"/>
      <c r="V431" s="514"/>
      <c r="W431" s="514"/>
      <c r="X431" s="514"/>
      <c r="Y431" s="514"/>
      <c r="Z431" s="756"/>
      <c r="AA431" s="514"/>
      <c r="AB431" s="514"/>
      <c r="AC431" s="514"/>
      <c r="AD431" s="514"/>
      <c r="AE431" s="774"/>
      <c r="AF431" s="514"/>
      <c r="AG431" s="897"/>
      <c r="AH431" s="789"/>
      <c r="AI431" s="664">
        <f t="shared" si="22"/>
        <v>0</v>
      </c>
      <c r="AJ431" s="521">
        <v>0</v>
      </c>
      <c r="AK431" s="520">
        <f t="shared" si="20"/>
        <v>0</v>
      </c>
      <c r="AL431" s="695" t="s">
        <v>1699</v>
      </c>
      <c r="AM431" s="669">
        <f t="shared" si="21"/>
        <v>7.54</v>
      </c>
    </row>
    <row r="432" spans="1:39" s="500" customFormat="1">
      <c r="A432" s="539" t="s">
        <v>921</v>
      </c>
      <c r="B432" s="539" t="s">
        <v>1270</v>
      </c>
      <c r="C432" s="548" t="s">
        <v>37</v>
      </c>
      <c r="D432" s="519"/>
      <c r="E432" s="726"/>
      <c r="F432" s="520"/>
      <c r="G432" s="520"/>
      <c r="H432" s="520"/>
      <c r="I432" s="521"/>
      <c r="J432" s="521"/>
      <c r="K432" s="521"/>
      <c r="L432" s="756"/>
      <c r="M432" s="514"/>
      <c r="N432" s="514"/>
      <c r="O432" s="514"/>
      <c r="P432" s="514"/>
      <c r="Q432" s="514"/>
      <c r="R432" s="514"/>
      <c r="S432" s="756"/>
      <c r="T432" s="514"/>
      <c r="U432" s="514"/>
      <c r="V432" s="514"/>
      <c r="W432" s="514"/>
      <c r="X432" s="514"/>
      <c r="Y432" s="514"/>
      <c r="Z432" s="756"/>
      <c r="AA432" s="514"/>
      <c r="AB432" s="514"/>
      <c r="AC432" s="514"/>
      <c r="AD432" s="514"/>
      <c r="AE432" s="774"/>
      <c r="AF432" s="514"/>
      <c r="AG432" s="897"/>
      <c r="AH432" s="789"/>
      <c r="AI432" s="664">
        <f t="shared" si="22"/>
        <v>0</v>
      </c>
      <c r="AJ432" s="521">
        <v>0</v>
      </c>
      <c r="AK432" s="520">
        <f t="shared" si="20"/>
        <v>0</v>
      </c>
      <c r="AL432" s="695" t="s">
        <v>1700</v>
      </c>
      <c r="AM432" s="669">
        <f t="shared" si="21"/>
        <v>1.25</v>
      </c>
    </row>
    <row r="433" spans="1:39" s="500" customFormat="1">
      <c r="A433" s="539" t="s">
        <v>922</v>
      </c>
      <c r="B433" s="539" t="s">
        <v>1271</v>
      </c>
      <c r="C433" s="548" t="s">
        <v>37</v>
      </c>
      <c r="D433" s="519"/>
      <c r="E433" s="726"/>
      <c r="F433" s="520"/>
      <c r="G433" s="520"/>
      <c r="H433" s="520"/>
      <c r="I433" s="521"/>
      <c r="J433" s="521"/>
      <c r="K433" s="521"/>
      <c r="L433" s="756"/>
      <c r="M433" s="514"/>
      <c r="N433" s="514"/>
      <c r="O433" s="514"/>
      <c r="P433" s="514"/>
      <c r="Q433" s="514"/>
      <c r="R433" s="514"/>
      <c r="S433" s="756"/>
      <c r="T433" s="514"/>
      <c r="U433" s="514"/>
      <c r="V433" s="514"/>
      <c r="W433" s="514"/>
      <c r="X433" s="514"/>
      <c r="Y433" s="514"/>
      <c r="Z433" s="756"/>
      <c r="AA433" s="514"/>
      <c r="AB433" s="514"/>
      <c r="AC433" s="514"/>
      <c r="AD433" s="514"/>
      <c r="AE433" s="774"/>
      <c r="AF433" s="514"/>
      <c r="AG433" s="897"/>
      <c r="AH433" s="789"/>
      <c r="AI433" s="664">
        <f t="shared" si="22"/>
        <v>0</v>
      </c>
      <c r="AJ433" s="521">
        <v>0</v>
      </c>
      <c r="AK433" s="520">
        <f t="shared" si="20"/>
        <v>0</v>
      </c>
      <c r="AL433" s="695"/>
      <c r="AM433" s="669">
        <f t="shared" si="21"/>
        <v>0</v>
      </c>
    </row>
    <row r="434" spans="1:39" s="500" customFormat="1">
      <c r="A434" s="542" t="s">
        <v>923</v>
      </c>
      <c r="B434" s="542" t="s">
        <v>1272</v>
      </c>
      <c r="C434" s="616"/>
      <c r="D434" s="519"/>
      <c r="E434" s="726"/>
      <c r="F434" s="520"/>
      <c r="G434" s="520"/>
      <c r="H434" s="520"/>
      <c r="I434" s="521"/>
      <c r="J434" s="521"/>
      <c r="K434" s="521"/>
      <c r="L434" s="756"/>
      <c r="M434" s="514"/>
      <c r="N434" s="514"/>
      <c r="O434" s="514"/>
      <c r="P434" s="514"/>
      <c r="Q434" s="514"/>
      <c r="R434" s="514"/>
      <c r="S434" s="756"/>
      <c r="T434" s="514"/>
      <c r="U434" s="514"/>
      <c r="V434" s="514"/>
      <c r="W434" s="514"/>
      <c r="X434" s="514"/>
      <c r="Y434" s="514"/>
      <c r="Z434" s="756"/>
      <c r="AA434" s="514"/>
      <c r="AB434" s="514"/>
      <c r="AC434" s="514"/>
      <c r="AD434" s="514"/>
      <c r="AE434" s="774"/>
      <c r="AF434" s="514"/>
      <c r="AG434" s="897"/>
      <c r="AH434" s="789"/>
      <c r="AI434" s="664">
        <f t="shared" si="22"/>
        <v>0</v>
      </c>
      <c r="AJ434" s="521">
        <v>0</v>
      </c>
      <c r="AK434" s="520">
        <f t="shared" si="20"/>
        <v>0</v>
      </c>
      <c r="AL434" s="695" t="s">
        <v>1685</v>
      </c>
      <c r="AM434" s="669">
        <f t="shared" si="21"/>
        <v>38.24</v>
      </c>
    </row>
    <row r="435" spans="1:39" s="500" customFormat="1">
      <c r="A435" s="539" t="s">
        <v>924</v>
      </c>
      <c r="B435" s="539" t="s">
        <v>1273</v>
      </c>
      <c r="C435" s="548" t="s">
        <v>37</v>
      </c>
      <c r="D435" s="519"/>
      <c r="E435" s="726"/>
      <c r="F435" s="520"/>
      <c r="G435" s="520"/>
      <c r="H435" s="520"/>
      <c r="I435" s="521"/>
      <c r="J435" s="521"/>
      <c r="K435" s="521"/>
      <c r="L435" s="756"/>
      <c r="M435" s="514"/>
      <c r="N435" s="514"/>
      <c r="O435" s="514"/>
      <c r="P435" s="514"/>
      <c r="Q435" s="514"/>
      <c r="R435" s="514"/>
      <c r="S435" s="756"/>
      <c r="T435" s="514"/>
      <c r="U435" s="514"/>
      <c r="V435" s="514"/>
      <c r="W435" s="514"/>
      <c r="X435" s="514"/>
      <c r="Y435" s="514"/>
      <c r="Z435" s="756"/>
      <c r="AA435" s="514"/>
      <c r="AB435" s="514"/>
      <c r="AC435" s="514"/>
      <c r="AD435" s="514"/>
      <c r="AE435" s="774"/>
      <c r="AF435" s="514"/>
      <c r="AG435" s="897"/>
      <c r="AH435" s="789"/>
      <c r="AI435" s="664">
        <f t="shared" si="22"/>
        <v>0</v>
      </c>
      <c r="AJ435" s="521">
        <v>0</v>
      </c>
      <c r="AK435" s="520">
        <f t="shared" si="20"/>
        <v>0</v>
      </c>
      <c r="AL435" s="695" t="s">
        <v>1679</v>
      </c>
      <c r="AM435" s="669">
        <f t="shared" si="21"/>
        <v>83.58</v>
      </c>
    </row>
    <row r="436" spans="1:39" s="500" customFormat="1">
      <c r="A436" s="539" t="s">
        <v>925</v>
      </c>
      <c r="B436" s="539" t="s">
        <v>1274</v>
      </c>
      <c r="C436" s="548" t="s">
        <v>37</v>
      </c>
      <c r="D436" s="519"/>
      <c r="E436" s="726"/>
      <c r="F436" s="520"/>
      <c r="G436" s="520"/>
      <c r="H436" s="520"/>
      <c r="I436" s="521"/>
      <c r="J436" s="521"/>
      <c r="K436" s="521"/>
      <c r="L436" s="756"/>
      <c r="M436" s="514"/>
      <c r="N436" s="514"/>
      <c r="O436" s="514"/>
      <c r="P436" s="514"/>
      <c r="Q436" s="514"/>
      <c r="R436" s="514"/>
      <c r="S436" s="756"/>
      <c r="T436" s="514"/>
      <c r="U436" s="514"/>
      <c r="V436" s="514"/>
      <c r="W436" s="514"/>
      <c r="X436" s="514"/>
      <c r="Y436" s="514"/>
      <c r="Z436" s="756"/>
      <c r="AA436" s="514"/>
      <c r="AB436" s="514"/>
      <c r="AC436" s="514"/>
      <c r="AD436" s="514"/>
      <c r="AE436" s="774"/>
      <c r="AF436" s="514"/>
      <c r="AG436" s="897"/>
      <c r="AH436" s="789"/>
      <c r="AI436" s="664">
        <f t="shared" si="22"/>
        <v>0</v>
      </c>
      <c r="AJ436" s="521">
        <v>0</v>
      </c>
      <c r="AK436" s="520">
        <f t="shared" si="20"/>
        <v>0</v>
      </c>
      <c r="AL436" s="695" t="s">
        <v>1677</v>
      </c>
      <c r="AM436" s="669">
        <f t="shared" si="21"/>
        <v>45.75</v>
      </c>
    </row>
    <row r="437" spans="1:39" s="500" customFormat="1">
      <c r="A437" s="539" t="s">
        <v>926</v>
      </c>
      <c r="B437" s="539" t="s">
        <v>1275</v>
      </c>
      <c r="C437" s="548" t="s">
        <v>37</v>
      </c>
      <c r="D437" s="519"/>
      <c r="E437" s="726"/>
      <c r="F437" s="520"/>
      <c r="G437" s="520"/>
      <c r="H437" s="520"/>
      <c r="I437" s="521"/>
      <c r="J437" s="521"/>
      <c r="K437" s="521"/>
      <c r="L437" s="756"/>
      <c r="M437" s="514"/>
      <c r="N437" s="514"/>
      <c r="O437" s="514"/>
      <c r="P437" s="514"/>
      <c r="Q437" s="514"/>
      <c r="R437" s="514"/>
      <c r="S437" s="756"/>
      <c r="T437" s="514"/>
      <c r="U437" s="514"/>
      <c r="V437" s="514"/>
      <c r="W437" s="514"/>
      <c r="X437" s="514"/>
      <c r="Y437" s="514"/>
      <c r="Z437" s="756"/>
      <c r="AA437" s="514"/>
      <c r="AB437" s="514"/>
      <c r="AC437" s="514"/>
      <c r="AD437" s="514"/>
      <c r="AE437" s="774"/>
      <c r="AF437" s="514"/>
      <c r="AG437" s="897"/>
      <c r="AH437" s="789"/>
      <c r="AI437" s="664">
        <f t="shared" si="22"/>
        <v>0</v>
      </c>
      <c r="AJ437" s="521">
        <v>0</v>
      </c>
      <c r="AK437" s="520">
        <f t="shared" si="20"/>
        <v>0</v>
      </c>
      <c r="AL437" s="695" t="s">
        <v>1680</v>
      </c>
      <c r="AM437" s="669">
        <f t="shared" si="21"/>
        <v>12.95</v>
      </c>
    </row>
    <row r="438" spans="1:39" s="500" customFormat="1">
      <c r="A438" s="539" t="s">
        <v>927</v>
      </c>
      <c r="B438" s="539" t="s">
        <v>1276</v>
      </c>
      <c r="C438" s="548" t="s">
        <v>37</v>
      </c>
      <c r="D438" s="519"/>
      <c r="E438" s="726"/>
      <c r="F438" s="520"/>
      <c r="G438" s="520"/>
      <c r="H438" s="520"/>
      <c r="I438" s="521"/>
      <c r="J438" s="521"/>
      <c r="K438" s="521"/>
      <c r="L438" s="756"/>
      <c r="M438" s="514"/>
      <c r="N438" s="514"/>
      <c r="O438" s="514"/>
      <c r="P438" s="514"/>
      <c r="Q438" s="514"/>
      <c r="R438" s="514"/>
      <c r="S438" s="756"/>
      <c r="T438" s="514"/>
      <c r="U438" s="514"/>
      <c r="V438" s="514"/>
      <c r="W438" s="514"/>
      <c r="X438" s="514"/>
      <c r="Y438" s="514"/>
      <c r="Z438" s="756"/>
      <c r="AA438" s="514"/>
      <c r="AB438" s="514"/>
      <c r="AC438" s="514"/>
      <c r="AD438" s="514"/>
      <c r="AE438" s="774"/>
      <c r="AF438" s="514"/>
      <c r="AG438" s="897"/>
      <c r="AH438" s="789"/>
      <c r="AI438" s="664">
        <f t="shared" si="22"/>
        <v>0</v>
      </c>
      <c r="AJ438" s="521">
        <v>0</v>
      </c>
      <c r="AK438" s="520">
        <f t="shared" si="20"/>
        <v>0</v>
      </c>
      <c r="AL438" s="695" t="s">
        <v>1681</v>
      </c>
      <c r="AM438" s="669">
        <f t="shared" si="21"/>
        <v>24.87</v>
      </c>
    </row>
    <row r="439" spans="1:39" s="500" customFormat="1">
      <c r="A439" s="539" t="s">
        <v>928</v>
      </c>
      <c r="B439" s="539" t="s">
        <v>1277</v>
      </c>
      <c r="C439" s="548" t="s">
        <v>37</v>
      </c>
      <c r="D439" s="519"/>
      <c r="E439" s="726"/>
      <c r="F439" s="520"/>
      <c r="G439" s="520"/>
      <c r="H439" s="520"/>
      <c r="I439" s="521"/>
      <c r="J439" s="521"/>
      <c r="K439" s="521"/>
      <c r="L439" s="756"/>
      <c r="M439" s="514"/>
      <c r="N439" s="514"/>
      <c r="O439" s="514"/>
      <c r="P439" s="514"/>
      <c r="Q439" s="514"/>
      <c r="R439" s="514"/>
      <c r="S439" s="756"/>
      <c r="T439" s="514"/>
      <c r="U439" s="514"/>
      <c r="V439" s="514"/>
      <c r="W439" s="514"/>
      <c r="X439" s="514"/>
      <c r="Y439" s="514"/>
      <c r="Z439" s="756"/>
      <c r="AA439" s="514"/>
      <c r="AB439" s="514"/>
      <c r="AC439" s="514"/>
      <c r="AD439" s="514"/>
      <c r="AE439" s="774"/>
      <c r="AF439" s="514"/>
      <c r="AG439" s="897"/>
      <c r="AH439" s="789"/>
      <c r="AI439" s="664">
        <f t="shared" si="22"/>
        <v>0</v>
      </c>
      <c r="AJ439" s="521">
        <v>0</v>
      </c>
      <c r="AK439" s="520">
        <f t="shared" si="20"/>
        <v>0</v>
      </c>
      <c r="AL439" s="695" t="s">
        <v>1692</v>
      </c>
      <c r="AM439" s="669">
        <f t="shared" si="21"/>
        <v>6.66</v>
      </c>
    </row>
    <row r="440" spans="1:39" s="500" customFormat="1">
      <c r="A440" s="539" t="s">
        <v>929</v>
      </c>
      <c r="B440" s="539" t="s">
        <v>1278</v>
      </c>
      <c r="C440" s="548" t="s">
        <v>37</v>
      </c>
      <c r="D440" s="519"/>
      <c r="E440" s="726"/>
      <c r="F440" s="520"/>
      <c r="G440" s="520"/>
      <c r="H440" s="520"/>
      <c r="I440" s="521"/>
      <c r="J440" s="521"/>
      <c r="K440" s="521"/>
      <c r="L440" s="756"/>
      <c r="M440" s="514"/>
      <c r="N440" s="514"/>
      <c r="O440" s="514"/>
      <c r="P440" s="514"/>
      <c r="Q440" s="514"/>
      <c r="R440" s="514"/>
      <c r="S440" s="756"/>
      <c r="T440" s="514"/>
      <c r="U440" s="514"/>
      <c r="V440" s="514"/>
      <c r="W440" s="514"/>
      <c r="X440" s="514"/>
      <c r="Y440" s="514"/>
      <c r="Z440" s="756"/>
      <c r="AA440" s="514"/>
      <c r="AB440" s="514"/>
      <c r="AC440" s="514"/>
      <c r="AD440" s="514"/>
      <c r="AE440" s="774"/>
      <c r="AF440" s="514"/>
      <c r="AG440" s="897"/>
      <c r="AH440" s="789"/>
      <c r="AI440" s="664">
        <f t="shared" si="22"/>
        <v>0</v>
      </c>
      <c r="AJ440" s="521">
        <v>0</v>
      </c>
      <c r="AK440" s="520">
        <f t="shared" si="20"/>
        <v>0</v>
      </c>
      <c r="AL440" s="695" t="s">
        <v>1701</v>
      </c>
      <c r="AM440" s="669">
        <f t="shared" si="21"/>
        <v>12.48</v>
      </c>
    </row>
    <row r="441" spans="1:39" s="500" customFormat="1">
      <c r="A441" s="539" t="s">
        <v>930</v>
      </c>
      <c r="B441" s="539" t="s">
        <v>1279</v>
      </c>
      <c r="C441" s="548" t="s">
        <v>37</v>
      </c>
      <c r="D441" s="519"/>
      <c r="E441" s="726"/>
      <c r="F441" s="520"/>
      <c r="G441" s="520"/>
      <c r="H441" s="520"/>
      <c r="I441" s="521"/>
      <c r="J441" s="521"/>
      <c r="K441" s="521"/>
      <c r="L441" s="756"/>
      <c r="M441" s="514"/>
      <c r="N441" s="514"/>
      <c r="O441" s="514"/>
      <c r="P441" s="514"/>
      <c r="Q441" s="514"/>
      <c r="R441" s="514"/>
      <c r="S441" s="756"/>
      <c r="T441" s="514"/>
      <c r="U441" s="514"/>
      <c r="V441" s="514"/>
      <c r="W441" s="514"/>
      <c r="X441" s="514"/>
      <c r="Y441" s="514"/>
      <c r="Z441" s="756"/>
      <c r="AA441" s="514"/>
      <c r="AB441" s="514"/>
      <c r="AC441" s="514"/>
      <c r="AD441" s="514"/>
      <c r="AE441" s="774"/>
      <c r="AF441" s="514"/>
      <c r="AG441" s="897"/>
      <c r="AH441" s="789"/>
      <c r="AI441" s="664">
        <f t="shared" si="22"/>
        <v>0</v>
      </c>
      <c r="AJ441" s="521">
        <v>0</v>
      </c>
      <c r="AK441" s="520">
        <f t="shared" si="20"/>
        <v>0</v>
      </c>
      <c r="AL441" s="695"/>
      <c r="AM441" s="669">
        <f t="shared" si="21"/>
        <v>0</v>
      </c>
    </row>
    <row r="442" spans="1:39" s="500" customFormat="1">
      <c r="A442" s="542" t="s">
        <v>931</v>
      </c>
      <c r="B442" s="542" t="s">
        <v>1280</v>
      </c>
      <c r="C442" s="616"/>
      <c r="D442" s="519"/>
      <c r="E442" s="726"/>
      <c r="F442" s="520"/>
      <c r="G442" s="520"/>
      <c r="H442" s="520"/>
      <c r="I442" s="521"/>
      <c r="J442" s="521"/>
      <c r="K442" s="521"/>
      <c r="L442" s="756"/>
      <c r="M442" s="514"/>
      <c r="N442" s="514"/>
      <c r="O442" s="514"/>
      <c r="P442" s="514"/>
      <c r="Q442" s="514"/>
      <c r="R442" s="514"/>
      <c r="S442" s="756"/>
      <c r="T442" s="514"/>
      <c r="U442" s="514"/>
      <c r="V442" s="514"/>
      <c r="W442" s="514"/>
      <c r="X442" s="514"/>
      <c r="Y442" s="514"/>
      <c r="Z442" s="756"/>
      <c r="AA442" s="514"/>
      <c r="AB442" s="514"/>
      <c r="AC442" s="514"/>
      <c r="AD442" s="514"/>
      <c r="AE442" s="774"/>
      <c r="AF442" s="514"/>
      <c r="AG442" s="897"/>
      <c r="AH442" s="789"/>
      <c r="AI442" s="664">
        <f t="shared" si="22"/>
        <v>0</v>
      </c>
      <c r="AJ442" s="521">
        <v>0</v>
      </c>
      <c r="AK442" s="520">
        <f t="shared" si="20"/>
        <v>0</v>
      </c>
      <c r="AL442" s="695" t="s">
        <v>1455</v>
      </c>
      <c r="AM442" s="669">
        <f t="shared" si="21"/>
        <v>1</v>
      </c>
    </row>
    <row r="443" spans="1:39" s="500" customFormat="1">
      <c r="A443" s="539" t="s">
        <v>932</v>
      </c>
      <c r="B443" s="539" t="s">
        <v>1281</v>
      </c>
      <c r="C443" s="548" t="s">
        <v>1450</v>
      </c>
      <c r="D443" s="519"/>
      <c r="E443" s="726"/>
      <c r="F443" s="520"/>
      <c r="G443" s="520"/>
      <c r="H443" s="520"/>
      <c r="I443" s="521"/>
      <c r="J443" s="521"/>
      <c r="K443" s="521"/>
      <c r="L443" s="756"/>
      <c r="M443" s="514"/>
      <c r="N443" s="514"/>
      <c r="O443" s="514"/>
      <c r="P443" s="514"/>
      <c r="Q443" s="514"/>
      <c r="R443" s="514"/>
      <c r="S443" s="756"/>
      <c r="T443" s="514"/>
      <c r="U443" s="514"/>
      <c r="V443" s="514"/>
      <c r="W443" s="514"/>
      <c r="X443" s="514"/>
      <c r="Y443" s="514"/>
      <c r="Z443" s="756"/>
      <c r="AA443" s="514"/>
      <c r="AB443" s="514"/>
      <c r="AC443" s="514"/>
      <c r="AD443" s="514"/>
      <c r="AE443" s="774"/>
      <c r="AF443" s="514"/>
      <c r="AG443" s="897"/>
      <c r="AH443" s="789"/>
      <c r="AI443" s="664">
        <f t="shared" si="22"/>
        <v>0</v>
      </c>
      <c r="AJ443" s="521">
        <v>0</v>
      </c>
      <c r="AK443" s="520">
        <f t="shared" si="20"/>
        <v>0</v>
      </c>
      <c r="AL443" s="695" t="s">
        <v>1455</v>
      </c>
      <c r="AM443" s="669">
        <f t="shared" si="21"/>
        <v>1</v>
      </c>
    </row>
    <row r="444" spans="1:39" s="500" customFormat="1">
      <c r="A444" s="539" t="s">
        <v>933</v>
      </c>
      <c r="B444" s="539" t="s">
        <v>1282</v>
      </c>
      <c r="C444" s="548" t="s">
        <v>64</v>
      </c>
      <c r="D444" s="519"/>
      <c r="E444" s="726"/>
      <c r="F444" s="520"/>
      <c r="G444" s="520"/>
      <c r="H444" s="520"/>
      <c r="I444" s="521"/>
      <c r="J444" s="521"/>
      <c r="K444" s="521"/>
      <c r="L444" s="756"/>
      <c r="M444" s="514"/>
      <c r="N444" s="514"/>
      <c r="O444" s="514"/>
      <c r="P444" s="514"/>
      <c r="Q444" s="514"/>
      <c r="R444" s="514"/>
      <c r="S444" s="756"/>
      <c r="T444" s="514"/>
      <c r="U444" s="514"/>
      <c r="V444" s="514"/>
      <c r="W444" s="514"/>
      <c r="X444" s="514"/>
      <c r="Y444" s="514"/>
      <c r="Z444" s="756"/>
      <c r="AA444" s="514"/>
      <c r="AB444" s="514"/>
      <c r="AC444" s="514"/>
      <c r="AD444" s="514"/>
      <c r="AE444" s="774"/>
      <c r="AF444" s="514"/>
      <c r="AG444" s="897"/>
      <c r="AH444" s="789"/>
      <c r="AI444" s="664">
        <f t="shared" si="22"/>
        <v>0</v>
      </c>
      <c r="AJ444" s="521">
        <v>0</v>
      </c>
      <c r="AK444" s="520">
        <f t="shared" si="20"/>
        <v>0</v>
      </c>
      <c r="AL444" s="695" t="s">
        <v>1702</v>
      </c>
      <c r="AM444" s="669">
        <f t="shared" si="21"/>
        <v>6.79</v>
      </c>
    </row>
    <row r="445" spans="1:39" s="500" customFormat="1">
      <c r="A445" s="539" t="s">
        <v>934</v>
      </c>
      <c r="B445" s="539" t="s">
        <v>1283</v>
      </c>
      <c r="C445" s="548" t="s">
        <v>37</v>
      </c>
      <c r="D445" s="519"/>
      <c r="E445" s="726"/>
      <c r="F445" s="520"/>
      <c r="G445" s="520"/>
      <c r="H445" s="520"/>
      <c r="I445" s="521"/>
      <c r="J445" s="521"/>
      <c r="K445" s="521"/>
      <c r="L445" s="756"/>
      <c r="M445" s="514"/>
      <c r="N445" s="514"/>
      <c r="O445" s="514"/>
      <c r="P445" s="514"/>
      <c r="Q445" s="514"/>
      <c r="R445" s="514"/>
      <c r="S445" s="756"/>
      <c r="T445" s="514"/>
      <c r="U445" s="514"/>
      <c r="V445" s="514"/>
      <c r="W445" s="514"/>
      <c r="X445" s="514"/>
      <c r="Y445" s="514"/>
      <c r="Z445" s="756"/>
      <c r="AA445" s="514"/>
      <c r="AB445" s="514"/>
      <c r="AC445" s="514"/>
      <c r="AD445" s="514"/>
      <c r="AE445" s="774"/>
      <c r="AF445" s="514"/>
      <c r="AG445" s="897"/>
      <c r="AH445" s="789"/>
      <c r="AI445" s="664">
        <f t="shared" si="22"/>
        <v>0</v>
      </c>
      <c r="AJ445" s="521">
        <v>0</v>
      </c>
      <c r="AK445" s="520">
        <f t="shared" si="20"/>
        <v>0</v>
      </c>
      <c r="AL445" s="695"/>
      <c r="AM445" s="669">
        <f t="shared" si="21"/>
        <v>0</v>
      </c>
    </row>
    <row r="446" spans="1:39" s="500" customFormat="1">
      <c r="A446" s="440" t="s">
        <v>518</v>
      </c>
      <c r="B446" s="543" t="s">
        <v>1297</v>
      </c>
      <c r="C446" s="616"/>
      <c r="D446" s="519"/>
      <c r="E446" s="726"/>
      <c r="F446" s="520"/>
      <c r="G446" s="520"/>
      <c r="H446" s="520"/>
      <c r="I446" s="521"/>
      <c r="J446" s="521"/>
      <c r="K446" s="521"/>
      <c r="L446" s="756"/>
      <c r="M446" s="514"/>
      <c r="N446" s="514"/>
      <c r="O446" s="514"/>
      <c r="P446" s="514"/>
      <c r="Q446" s="514"/>
      <c r="R446" s="514"/>
      <c r="S446" s="756"/>
      <c r="T446" s="514"/>
      <c r="U446" s="514"/>
      <c r="V446" s="514"/>
      <c r="W446" s="514"/>
      <c r="X446" s="514"/>
      <c r="Y446" s="514"/>
      <c r="Z446" s="756"/>
      <c r="AA446" s="514"/>
      <c r="AB446" s="514"/>
      <c r="AC446" s="514"/>
      <c r="AD446" s="514"/>
      <c r="AE446" s="774"/>
      <c r="AF446" s="514"/>
      <c r="AG446" s="897"/>
      <c r="AH446" s="789"/>
      <c r="AI446" s="664">
        <f t="shared" si="22"/>
        <v>0</v>
      </c>
      <c r="AJ446" s="521">
        <v>0</v>
      </c>
      <c r="AK446" s="520">
        <f t="shared" si="20"/>
        <v>0</v>
      </c>
      <c r="AL446" s="695"/>
      <c r="AM446" s="669">
        <f t="shared" si="21"/>
        <v>0</v>
      </c>
    </row>
    <row r="447" spans="1:39" s="500" customFormat="1">
      <c r="A447" s="542" t="s">
        <v>519</v>
      </c>
      <c r="B447" s="542" t="s">
        <v>1236</v>
      </c>
      <c r="C447" s="616"/>
      <c r="D447" s="519"/>
      <c r="E447" s="726"/>
      <c r="F447" s="520"/>
      <c r="G447" s="520"/>
      <c r="H447" s="520"/>
      <c r="I447" s="521"/>
      <c r="J447" s="521"/>
      <c r="K447" s="521"/>
      <c r="L447" s="756"/>
      <c r="M447" s="514"/>
      <c r="N447" s="514"/>
      <c r="O447" s="514"/>
      <c r="P447" s="514"/>
      <c r="Q447" s="514"/>
      <c r="R447" s="514"/>
      <c r="S447" s="756"/>
      <c r="T447" s="514"/>
      <c r="U447" s="514"/>
      <c r="V447" s="514"/>
      <c r="W447" s="514"/>
      <c r="X447" s="514"/>
      <c r="Y447" s="514"/>
      <c r="Z447" s="756"/>
      <c r="AA447" s="514"/>
      <c r="AB447" s="514"/>
      <c r="AC447" s="514"/>
      <c r="AD447" s="514"/>
      <c r="AE447" s="774"/>
      <c r="AF447" s="514"/>
      <c r="AG447" s="897"/>
      <c r="AH447" s="789"/>
      <c r="AI447" s="664">
        <f t="shared" si="22"/>
        <v>0</v>
      </c>
      <c r="AJ447" s="521">
        <v>0</v>
      </c>
      <c r="AK447" s="520">
        <f t="shared" si="20"/>
        <v>0</v>
      </c>
      <c r="AL447" s="695" t="s">
        <v>1703</v>
      </c>
      <c r="AM447" s="669">
        <f t="shared" si="21"/>
        <v>56.66</v>
      </c>
    </row>
    <row r="448" spans="1:39" s="500" customFormat="1">
      <c r="A448" s="539" t="s">
        <v>520</v>
      </c>
      <c r="B448" s="539" t="s">
        <v>1237</v>
      </c>
      <c r="C448" s="548" t="s">
        <v>37</v>
      </c>
      <c r="D448" s="519"/>
      <c r="E448" s="726"/>
      <c r="F448" s="520"/>
      <c r="G448" s="520"/>
      <c r="H448" s="520"/>
      <c r="I448" s="521"/>
      <c r="J448" s="521"/>
      <c r="K448" s="521"/>
      <c r="L448" s="756"/>
      <c r="M448" s="514"/>
      <c r="N448" s="514"/>
      <c r="O448" s="514"/>
      <c r="P448" s="514"/>
      <c r="Q448" s="514"/>
      <c r="R448" s="514"/>
      <c r="S448" s="756"/>
      <c r="T448" s="514"/>
      <c r="U448" s="514"/>
      <c r="V448" s="514"/>
      <c r="W448" s="514"/>
      <c r="X448" s="514"/>
      <c r="Y448" s="514"/>
      <c r="Z448" s="756"/>
      <c r="AA448" s="514"/>
      <c r="AB448" s="514"/>
      <c r="AC448" s="514"/>
      <c r="AD448" s="514"/>
      <c r="AE448" s="774"/>
      <c r="AF448" s="514"/>
      <c r="AG448" s="897"/>
      <c r="AH448" s="789"/>
      <c r="AI448" s="664">
        <f t="shared" si="22"/>
        <v>0</v>
      </c>
      <c r="AJ448" s="521">
        <v>0</v>
      </c>
      <c r="AK448" s="520">
        <f t="shared" si="20"/>
        <v>0</v>
      </c>
      <c r="AL448" s="695" t="s">
        <v>1704</v>
      </c>
      <c r="AM448" s="669">
        <f t="shared" si="21"/>
        <v>8.17</v>
      </c>
    </row>
    <row r="449" spans="1:39" s="500" customFormat="1">
      <c r="A449" s="539" t="s">
        <v>521</v>
      </c>
      <c r="B449" s="539" t="s">
        <v>1238</v>
      </c>
      <c r="C449" s="548" t="s">
        <v>37</v>
      </c>
      <c r="D449" s="519"/>
      <c r="E449" s="726"/>
      <c r="F449" s="520"/>
      <c r="G449" s="520"/>
      <c r="H449" s="520"/>
      <c r="I449" s="521"/>
      <c r="J449" s="521"/>
      <c r="K449" s="521"/>
      <c r="L449" s="756"/>
      <c r="M449" s="514"/>
      <c r="N449" s="514"/>
      <c r="O449" s="514"/>
      <c r="P449" s="514"/>
      <c r="Q449" s="514"/>
      <c r="R449" s="514"/>
      <c r="S449" s="756"/>
      <c r="T449" s="514"/>
      <c r="U449" s="514"/>
      <c r="V449" s="514"/>
      <c r="W449" s="514"/>
      <c r="X449" s="514"/>
      <c r="Y449" s="514"/>
      <c r="Z449" s="756"/>
      <c r="AA449" s="514"/>
      <c r="AB449" s="514"/>
      <c r="AC449" s="514"/>
      <c r="AD449" s="514"/>
      <c r="AE449" s="774"/>
      <c r="AF449" s="514"/>
      <c r="AG449" s="897"/>
      <c r="AH449" s="789"/>
      <c r="AI449" s="664">
        <f t="shared" si="22"/>
        <v>0</v>
      </c>
      <c r="AJ449" s="521">
        <v>0</v>
      </c>
      <c r="AK449" s="520">
        <f t="shared" si="20"/>
        <v>0</v>
      </c>
      <c r="AL449" s="695"/>
      <c r="AM449" s="669">
        <f t="shared" si="21"/>
        <v>0</v>
      </c>
    </row>
    <row r="450" spans="1:39" s="500" customFormat="1">
      <c r="A450" s="542" t="s">
        <v>522</v>
      </c>
      <c r="B450" s="542" t="s">
        <v>1239</v>
      </c>
      <c r="C450" s="616"/>
      <c r="D450" s="519"/>
      <c r="E450" s="726"/>
      <c r="F450" s="520"/>
      <c r="G450" s="520"/>
      <c r="H450" s="520"/>
      <c r="I450" s="521"/>
      <c r="J450" s="521"/>
      <c r="K450" s="521"/>
      <c r="L450" s="756"/>
      <c r="M450" s="514"/>
      <c r="N450" s="514"/>
      <c r="O450" s="514"/>
      <c r="P450" s="514"/>
      <c r="Q450" s="514"/>
      <c r="R450" s="514"/>
      <c r="S450" s="756"/>
      <c r="T450" s="514"/>
      <c r="U450" s="514"/>
      <c r="V450" s="514"/>
      <c r="W450" s="514"/>
      <c r="X450" s="514"/>
      <c r="Y450" s="514"/>
      <c r="Z450" s="756"/>
      <c r="AA450" s="514"/>
      <c r="AB450" s="514"/>
      <c r="AC450" s="514"/>
      <c r="AD450" s="514"/>
      <c r="AE450" s="774"/>
      <c r="AF450" s="514"/>
      <c r="AG450" s="897"/>
      <c r="AH450" s="789"/>
      <c r="AI450" s="664">
        <f t="shared" si="22"/>
        <v>0</v>
      </c>
      <c r="AJ450" s="521">
        <v>0</v>
      </c>
      <c r="AK450" s="520">
        <f t="shared" si="20"/>
        <v>0</v>
      </c>
      <c r="AL450" s="695" t="s">
        <v>1705</v>
      </c>
      <c r="AM450" s="669">
        <f t="shared" si="21"/>
        <v>77.680000000000007</v>
      </c>
    </row>
    <row r="451" spans="1:39" s="500" customFormat="1">
      <c r="A451" s="539" t="s">
        <v>523</v>
      </c>
      <c r="B451" s="539" t="s">
        <v>1240</v>
      </c>
      <c r="C451" s="548" t="s">
        <v>37</v>
      </c>
      <c r="D451" s="519"/>
      <c r="E451" s="726"/>
      <c r="F451" s="520"/>
      <c r="G451" s="520"/>
      <c r="H451" s="520"/>
      <c r="I451" s="521"/>
      <c r="J451" s="521"/>
      <c r="K451" s="521"/>
      <c r="L451" s="756"/>
      <c r="M451" s="514"/>
      <c r="N451" s="514"/>
      <c r="O451" s="514"/>
      <c r="P451" s="514"/>
      <c r="Q451" s="514"/>
      <c r="R451" s="514"/>
      <c r="S451" s="756"/>
      <c r="T451" s="514"/>
      <c r="U451" s="514"/>
      <c r="V451" s="514"/>
      <c r="W451" s="514"/>
      <c r="X451" s="514"/>
      <c r="Y451" s="514"/>
      <c r="Z451" s="756"/>
      <c r="AA451" s="514"/>
      <c r="AB451" s="514"/>
      <c r="AC451" s="514"/>
      <c r="AD451" s="514"/>
      <c r="AE451" s="774"/>
      <c r="AF451" s="514"/>
      <c r="AG451" s="897"/>
      <c r="AH451" s="789"/>
      <c r="AI451" s="664">
        <f t="shared" si="22"/>
        <v>0</v>
      </c>
      <c r="AJ451" s="521">
        <v>0</v>
      </c>
      <c r="AK451" s="520">
        <f t="shared" si="20"/>
        <v>0</v>
      </c>
      <c r="AL451" s="695" t="s">
        <v>1706</v>
      </c>
      <c r="AM451" s="669">
        <f t="shared" si="21"/>
        <v>51.98</v>
      </c>
    </row>
    <row r="452" spans="1:39" s="500" customFormat="1">
      <c r="A452" s="539" t="s">
        <v>935</v>
      </c>
      <c r="B452" s="539" t="s">
        <v>1241</v>
      </c>
      <c r="C452" s="548" t="s">
        <v>37</v>
      </c>
      <c r="D452" s="519"/>
      <c r="E452" s="726"/>
      <c r="F452" s="520"/>
      <c r="G452" s="520"/>
      <c r="H452" s="520"/>
      <c r="I452" s="521"/>
      <c r="J452" s="521"/>
      <c r="K452" s="521"/>
      <c r="L452" s="756"/>
      <c r="M452" s="514"/>
      <c r="N452" s="514"/>
      <c r="O452" s="514"/>
      <c r="P452" s="514"/>
      <c r="Q452" s="514"/>
      <c r="R452" s="514"/>
      <c r="S452" s="756"/>
      <c r="T452" s="514"/>
      <c r="U452" s="514"/>
      <c r="V452" s="514"/>
      <c r="W452" s="514"/>
      <c r="X452" s="514"/>
      <c r="Y452" s="514"/>
      <c r="Z452" s="756"/>
      <c r="AA452" s="514"/>
      <c r="AB452" s="514"/>
      <c r="AC452" s="514"/>
      <c r="AD452" s="514"/>
      <c r="AE452" s="774"/>
      <c r="AF452" s="514"/>
      <c r="AG452" s="897"/>
      <c r="AH452" s="789"/>
      <c r="AI452" s="664">
        <f t="shared" si="22"/>
        <v>0</v>
      </c>
      <c r="AJ452" s="521">
        <v>0</v>
      </c>
      <c r="AK452" s="520">
        <f t="shared" si="20"/>
        <v>0</v>
      </c>
      <c r="AL452" s="695" t="s">
        <v>1707</v>
      </c>
      <c r="AM452" s="669">
        <f t="shared" si="21"/>
        <v>12</v>
      </c>
    </row>
    <row r="453" spans="1:39" s="500" customFormat="1">
      <c r="A453" s="539" t="s">
        <v>936</v>
      </c>
      <c r="B453" s="539" t="s">
        <v>1242</v>
      </c>
      <c r="C453" s="548" t="s">
        <v>37</v>
      </c>
      <c r="D453" s="519"/>
      <c r="E453" s="726"/>
      <c r="F453" s="520"/>
      <c r="G453" s="520"/>
      <c r="H453" s="520"/>
      <c r="I453" s="521"/>
      <c r="J453" s="521"/>
      <c r="K453" s="521"/>
      <c r="L453" s="756"/>
      <c r="M453" s="514"/>
      <c r="N453" s="514"/>
      <c r="O453" s="514"/>
      <c r="P453" s="514"/>
      <c r="Q453" s="514"/>
      <c r="R453" s="514"/>
      <c r="S453" s="756"/>
      <c r="T453" s="514"/>
      <c r="U453" s="514"/>
      <c r="V453" s="514"/>
      <c r="W453" s="514"/>
      <c r="X453" s="514"/>
      <c r="Y453" s="514"/>
      <c r="Z453" s="756"/>
      <c r="AA453" s="514"/>
      <c r="AB453" s="514"/>
      <c r="AC453" s="514"/>
      <c r="AD453" s="514"/>
      <c r="AE453" s="774"/>
      <c r="AF453" s="514"/>
      <c r="AG453" s="897"/>
      <c r="AH453" s="789"/>
      <c r="AI453" s="664">
        <f t="shared" si="22"/>
        <v>0</v>
      </c>
      <c r="AJ453" s="521">
        <v>0</v>
      </c>
      <c r="AK453" s="520">
        <f t="shared" si="20"/>
        <v>0</v>
      </c>
      <c r="AL453" s="695" t="s">
        <v>1708</v>
      </c>
      <c r="AM453" s="669">
        <f t="shared" si="21"/>
        <v>19.97</v>
      </c>
    </row>
    <row r="454" spans="1:39" s="500" customFormat="1">
      <c r="A454" s="539" t="s">
        <v>937</v>
      </c>
      <c r="B454" s="539" t="s">
        <v>1243</v>
      </c>
      <c r="C454" s="548" t="s">
        <v>37</v>
      </c>
      <c r="D454" s="519"/>
      <c r="E454" s="726"/>
      <c r="F454" s="520"/>
      <c r="G454" s="520"/>
      <c r="H454" s="520"/>
      <c r="I454" s="521"/>
      <c r="J454" s="521"/>
      <c r="K454" s="521"/>
      <c r="L454" s="756"/>
      <c r="M454" s="514"/>
      <c r="N454" s="514"/>
      <c r="O454" s="514"/>
      <c r="P454" s="514"/>
      <c r="Q454" s="514"/>
      <c r="R454" s="514"/>
      <c r="S454" s="756"/>
      <c r="T454" s="514"/>
      <c r="U454" s="514"/>
      <c r="V454" s="514"/>
      <c r="W454" s="514"/>
      <c r="X454" s="514"/>
      <c r="Y454" s="514"/>
      <c r="Z454" s="756"/>
      <c r="AA454" s="514"/>
      <c r="AB454" s="514"/>
      <c r="AC454" s="514"/>
      <c r="AD454" s="514"/>
      <c r="AE454" s="774"/>
      <c r="AF454" s="514"/>
      <c r="AG454" s="897"/>
      <c r="AH454" s="789"/>
      <c r="AI454" s="664">
        <f t="shared" si="22"/>
        <v>0</v>
      </c>
      <c r="AJ454" s="521">
        <v>0</v>
      </c>
      <c r="AK454" s="520">
        <f t="shared" si="20"/>
        <v>0</v>
      </c>
      <c r="AL454" s="695" t="s">
        <v>1709</v>
      </c>
      <c r="AM454" s="669">
        <f t="shared" si="21"/>
        <v>35.729999999999997</v>
      </c>
    </row>
    <row r="455" spans="1:39" s="500" customFormat="1">
      <c r="A455" s="539" t="s">
        <v>938</v>
      </c>
      <c r="B455" s="539" t="s">
        <v>1244</v>
      </c>
      <c r="C455" s="548" t="s">
        <v>37</v>
      </c>
      <c r="D455" s="519"/>
      <c r="E455" s="726"/>
      <c r="F455" s="520"/>
      <c r="G455" s="520"/>
      <c r="H455" s="520"/>
      <c r="I455" s="521"/>
      <c r="J455" s="521"/>
      <c r="K455" s="521"/>
      <c r="L455" s="756"/>
      <c r="M455" s="514"/>
      <c r="N455" s="514"/>
      <c r="O455" s="514"/>
      <c r="P455" s="514"/>
      <c r="Q455" s="514"/>
      <c r="R455" s="514"/>
      <c r="S455" s="756"/>
      <c r="T455" s="514"/>
      <c r="U455" s="514"/>
      <c r="V455" s="514"/>
      <c r="W455" s="514"/>
      <c r="X455" s="514"/>
      <c r="Y455" s="514"/>
      <c r="Z455" s="756"/>
      <c r="AA455" s="514"/>
      <c r="AB455" s="514"/>
      <c r="AC455" s="514"/>
      <c r="AD455" s="514"/>
      <c r="AE455" s="774"/>
      <c r="AF455" s="514"/>
      <c r="AG455" s="897"/>
      <c r="AH455" s="789"/>
      <c r="AI455" s="664">
        <f t="shared" si="22"/>
        <v>0</v>
      </c>
      <c r="AJ455" s="521">
        <v>0</v>
      </c>
      <c r="AK455" s="520">
        <f t="shared" si="20"/>
        <v>0</v>
      </c>
      <c r="AL455" s="695" t="s">
        <v>1710</v>
      </c>
      <c r="AM455" s="669">
        <f t="shared" si="21"/>
        <v>35.9</v>
      </c>
    </row>
    <row r="456" spans="1:39" s="500" customFormat="1">
      <c r="A456" s="539" t="s">
        <v>939</v>
      </c>
      <c r="B456" s="539" t="s">
        <v>1245</v>
      </c>
      <c r="C456" s="548" t="s">
        <v>38</v>
      </c>
      <c r="D456" s="519"/>
      <c r="E456" s="726"/>
      <c r="F456" s="520"/>
      <c r="G456" s="520"/>
      <c r="H456" s="520"/>
      <c r="I456" s="521"/>
      <c r="J456" s="521"/>
      <c r="K456" s="521"/>
      <c r="L456" s="756"/>
      <c r="M456" s="514"/>
      <c r="N456" s="514"/>
      <c r="O456" s="514"/>
      <c r="P456" s="514"/>
      <c r="Q456" s="514"/>
      <c r="R456" s="514"/>
      <c r="S456" s="756"/>
      <c r="T456" s="514"/>
      <c r="U456" s="514"/>
      <c r="V456" s="514"/>
      <c r="W456" s="514"/>
      <c r="X456" s="514"/>
      <c r="Y456" s="514"/>
      <c r="Z456" s="756"/>
      <c r="AA456" s="514"/>
      <c r="AB456" s="514"/>
      <c r="AC456" s="514"/>
      <c r="AD456" s="514"/>
      <c r="AE456" s="774"/>
      <c r="AF456" s="514"/>
      <c r="AG456" s="897"/>
      <c r="AH456" s="789"/>
      <c r="AI456" s="664">
        <f t="shared" si="22"/>
        <v>0</v>
      </c>
      <c r="AJ456" s="521">
        <v>0</v>
      </c>
      <c r="AK456" s="520">
        <f t="shared" si="20"/>
        <v>0</v>
      </c>
      <c r="AL456" s="695" t="s">
        <v>1711</v>
      </c>
      <c r="AM456" s="669">
        <f t="shared" si="21"/>
        <v>151.28</v>
      </c>
    </row>
    <row r="457" spans="1:39" s="500" customFormat="1">
      <c r="A457" s="539" t="s">
        <v>940</v>
      </c>
      <c r="B457" s="539" t="s">
        <v>1246</v>
      </c>
      <c r="C457" s="548" t="s">
        <v>38</v>
      </c>
      <c r="D457" s="519"/>
      <c r="E457" s="726"/>
      <c r="F457" s="520"/>
      <c r="G457" s="520"/>
      <c r="H457" s="520"/>
      <c r="I457" s="521"/>
      <c r="J457" s="521"/>
      <c r="K457" s="521"/>
      <c r="L457" s="756"/>
      <c r="M457" s="514"/>
      <c r="N457" s="514"/>
      <c r="O457" s="514"/>
      <c r="P457" s="514"/>
      <c r="Q457" s="514"/>
      <c r="R457" s="514"/>
      <c r="S457" s="756"/>
      <c r="T457" s="514"/>
      <c r="U457" s="514"/>
      <c r="V457" s="514"/>
      <c r="W457" s="514"/>
      <c r="X457" s="514"/>
      <c r="Y457" s="514"/>
      <c r="Z457" s="756"/>
      <c r="AA457" s="514"/>
      <c r="AB457" s="514"/>
      <c r="AC457" s="514"/>
      <c r="AD457" s="514"/>
      <c r="AE457" s="774"/>
      <c r="AF457" s="514"/>
      <c r="AG457" s="897"/>
      <c r="AH457" s="789"/>
      <c r="AI457" s="664">
        <f t="shared" si="22"/>
        <v>0</v>
      </c>
      <c r="AJ457" s="521">
        <v>0</v>
      </c>
      <c r="AK457" s="520">
        <f t="shared" si="20"/>
        <v>0</v>
      </c>
      <c r="AL457" s="695"/>
      <c r="AM457" s="669">
        <f t="shared" si="21"/>
        <v>0</v>
      </c>
    </row>
    <row r="458" spans="1:39" s="500" customFormat="1">
      <c r="A458" s="542" t="s">
        <v>524</v>
      </c>
      <c r="B458" s="542" t="s">
        <v>1247</v>
      </c>
      <c r="C458" s="616"/>
      <c r="D458" s="519"/>
      <c r="E458" s="726"/>
      <c r="F458" s="520"/>
      <c r="G458" s="520"/>
      <c r="H458" s="520"/>
      <c r="I458" s="521"/>
      <c r="J458" s="521"/>
      <c r="K458" s="521"/>
      <c r="L458" s="756"/>
      <c r="M458" s="514"/>
      <c r="N458" s="514"/>
      <c r="O458" s="514"/>
      <c r="P458" s="514"/>
      <c r="Q458" s="514"/>
      <c r="R458" s="514"/>
      <c r="S458" s="756"/>
      <c r="T458" s="514"/>
      <c r="U458" s="514"/>
      <c r="V458" s="514"/>
      <c r="W458" s="514"/>
      <c r="X458" s="514"/>
      <c r="Y458" s="514"/>
      <c r="Z458" s="756"/>
      <c r="AA458" s="514"/>
      <c r="AB458" s="514"/>
      <c r="AC458" s="514"/>
      <c r="AD458" s="514"/>
      <c r="AE458" s="774"/>
      <c r="AF458" s="514"/>
      <c r="AG458" s="897"/>
      <c r="AH458" s="789"/>
      <c r="AI458" s="664">
        <f t="shared" si="22"/>
        <v>0</v>
      </c>
      <c r="AJ458" s="521">
        <v>0</v>
      </c>
      <c r="AK458" s="520">
        <f t="shared" si="20"/>
        <v>0</v>
      </c>
      <c r="AL458" s="695" t="s">
        <v>1712</v>
      </c>
      <c r="AM458" s="669">
        <f t="shared" si="21"/>
        <v>33.950000000000003</v>
      </c>
    </row>
    <row r="459" spans="1:39" s="500" customFormat="1">
      <c r="A459" s="539" t="s">
        <v>525</v>
      </c>
      <c r="B459" s="539" t="s">
        <v>1248</v>
      </c>
      <c r="C459" s="548" t="s">
        <v>37</v>
      </c>
      <c r="D459" s="519"/>
      <c r="E459" s="726"/>
      <c r="F459" s="520"/>
      <c r="G459" s="520"/>
      <c r="H459" s="520"/>
      <c r="I459" s="521"/>
      <c r="J459" s="521"/>
      <c r="K459" s="521"/>
      <c r="L459" s="756"/>
      <c r="M459" s="514"/>
      <c r="N459" s="514"/>
      <c r="O459" s="514"/>
      <c r="P459" s="514"/>
      <c r="Q459" s="514"/>
      <c r="R459" s="514"/>
      <c r="S459" s="756"/>
      <c r="T459" s="514"/>
      <c r="U459" s="514"/>
      <c r="V459" s="514"/>
      <c r="W459" s="514"/>
      <c r="X459" s="514"/>
      <c r="Y459" s="514"/>
      <c r="Z459" s="756"/>
      <c r="AA459" s="514"/>
      <c r="AB459" s="514"/>
      <c r="AC459" s="514"/>
      <c r="AD459" s="514"/>
      <c r="AE459" s="774"/>
      <c r="AF459" s="514"/>
      <c r="AG459" s="897"/>
      <c r="AH459" s="789"/>
      <c r="AI459" s="664">
        <f t="shared" si="22"/>
        <v>0</v>
      </c>
      <c r="AJ459" s="521">
        <v>0</v>
      </c>
      <c r="AK459" s="520">
        <f t="shared" si="20"/>
        <v>0</v>
      </c>
      <c r="AL459" s="695"/>
      <c r="AM459" s="669">
        <f t="shared" si="21"/>
        <v>0</v>
      </c>
    </row>
    <row r="460" spans="1:39" s="500" customFormat="1">
      <c r="A460" s="542" t="s">
        <v>941</v>
      </c>
      <c r="B460" s="542" t="s">
        <v>1249</v>
      </c>
      <c r="C460" s="616"/>
      <c r="D460" s="519"/>
      <c r="E460" s="726"/>
      <c r="F460" s="520"/>
      <c r="G460" s="520"/>
      <c r="H460" s="520"/>
      <c r="I460" s="521"/>
      <c r="J460" s="521"/>
      <c r="K460" s="521"/>
      <c r="L460" s="756"/>
      <c r="M460" s="514"/>
      <c r="N460" s="514"/>
      <c r="O460" s="514"/>
      <c r="P460" s="514"/>
      <c r="Q460" s="514"/>
      <c r="R460" s="514"/>
      <c r="S460" s="756"/>
      <c r="T460" s="514"/>
      <c r="U460" s="514"/>
      <c r="V460" s="514"/>
      <c r="W460" s="514"/>
      <c r="X460" s="514"/>
      <c r="Y460" s="514"/>
      <c r="Z460" s="756"/>
      <c r="AA460" s="514"/>
      <c r="AB460" s="514"/>
      <c r="AC460" s="514"/>
      <c r="AD460" s="514"/>
      <c r="AE460" s="774"/>
      <c r="AF460" s="514"/>
      <c r="AG460" s="897"/>
      <c r="AH460" s="789"/>
      <c r="AI460" s="664">
        <f t="shared" si="22"/>
        <v>0</v>
      </c>
      <c r="AJ460" s="521">
        <v>0</v>
      </c>
      <c r="AK460" s="520">
        <f t="shared" si="20"/>
        <v>0</v>
      </c>
      <c r="AL460" s="695" t="s">
        <v>1713</v>
      </c>
      <c r="AM460" s="669">
        <f t="shared" si="21"/>
        <v>22.08</v>
      </c>
    </row>
    <row r="461" spans="1:39" s="500" customFormat="1">
      <c r="A461" s="539" t="s">
        <v>942</v>
      </c>
      <c r="B461" s="539" t="s">
        <v>1250</v>
      </c>
      <c r="C461" s="548" t="s">
        <v>37</v>
      </c>
      <c r="D461" s="519"/>
      <c r="E461" s="726"/>
      <c r="F461" s="520"/>
      <c r="G461" s="520"/>
      <c r="H461" s="520"/>
      <c r="I461" s="521"/>
      <c r="J461" s="521"/>
      <c r="K461" s="521"/>
      <c r="L461" s="756"/>
      <c r="M461" s="514"/>
      <c r="N461" s="514"/>
      <c r="O461" s="514"/>
      <c r="P461" s="514"/>
      <c r="Q461" s="514"/>
      <c r="R461" s="514"/>
      <c r="S461" s="756"/>
      <c r="T461" s="514"/>
      <c r="U461" s="514"/>
      <c r="V461" s="514"/>
      <c r="W461" s="514"/>
      <c r="X461" s="514"/>
      <c r="Y461" s="514"/>
      <c r="Z461" s="756"/>
      <c r="AA461" s="514"/>
      <c r="AB461" s="514"/>
      <c r="AC461" s="514"/>
      <c r="AD461" s="514"/>
      <c r="AE461" s="774"/>
      <c r="AF461" s="514"/>
      <c r="AG461" s="897"/>
      <c r="AH461" s="789"/>
      <c r="AI461" s="664">
        <f t="shared" si="22"/>
        <v>0</v>
      </c>
      <c r="AJ461" s="521">
        <v>0</v>
      </c>
      <c r="AK461" s="520">
        <f t="shared" si="20"/>
        <v>0</v>
      </c>
      <c r="AL461" s="695" t="s">
        <v>1714</v>
      </c>
      <c r="AM461" s="669">
        <f t="shared" si="21"/>
        <v>12.13</v>
      </c>
    </row>
    <row r="462" spans="1:39" s="500" customFormat="1">
      <c r="A462" s="539" t="s">
        <v>943</v>
      </c>
      <c r="B462" s="539" t="s">
        <v>1251</v>
      </c>
      <c r="C462" s="548" t="s">
        <v>37</v>
      </c>
      <c r="D462" s="519"/>
      <c r="E462" s="726"/>
      <c r="F462" s="520"/>
      <c r="G462" s="520"/>
      <c r="H462" s="520"/>
      <c r="I462" s="521"/>
      <c r="J462" s="521"/>
      <c r="K462" s="521"/>
      <c r="L462" s="756"/>
      <c r="M462" s="514"/>
      <c r="N462" s="514"/>
      <c r="O462" s="514"/>
      <c r="P462" s="514"/>
      <c r="Q462" s="514"/>
      <c r="R462" s="514"/>
      <c r="S462" s="756"/>
      <c r="T462" s="514"/>
      <c r="U462" s="514"/>
      <c r="V462" s="514"/>
      <c r="W462" s="514"/>
      <c r="X462" s="514"/>
      <c r="Y462" s="514"/>
      <c r="Z462" s="756"/>
      <c r="AA462" s="514"/>
      <c r="AB462" s="514"/>
      <c r="AC462" s="514"/>
      <c r="AD462" s="514"/>
      <c r="AE462" s="774"/>
      <c r="AF462" s="514"/>
      <c r="AG462" s="897"/>
      <c r="AH462" s="789"/>
      <c r="AI462" s="664">
        <f t="shared" si="22"/>
        <v>0</v>
      </c>
      <c r="AJ462" s="521">
        <v>0</v>
      </c>
      <c r="AK462" s="520">
        <f t="shared" ref="AK462:AK525" si="23">AI462+AJ462</f>
        <v>0</v>
      </c>
      <c r="AL462" s="695" t="s">
        <v>1715</v>
      </c>
      <c r="AM462" s="669">
        <f t="shared" ref="AM462:AM525" si="24">AL462-AK462</f>
        <v>9.9499999999999993</v>
      </c>
    </row>
    <row r="463" spans="1:39" s="500" customFormat="1">
      <c r="A463" s="539" t="s">
        <v>944</v>
      </c>
      <c r="B463" s="539" t="s">
        <v>1252</v>
      </c>
      <c r="C463" s="548" t="s">
        <v>37</v>
      </c>
      <c r="D463" s="519"/>
      <c r="E463" s="726"/>
      <c r="F463" s="520"/>
      <c r="G463" s="520"/>
      <c r="H463" s="520"/>
      <c r="I463" s="521"/>
      <c r="J463" s="521"/>
      <c r="K463" s="521"/>
      <c r="L463" s="756"/>
      <c r="M463" s="514"/>
      <c r="N463" s="514"/>
      <c r="O463" s="514"/>
      <c r="P463" s="514"/>
      <c r="Q463" s="514"/>
      <c r="R463" s="514"/>
      <c r="S463" s="756"/>
      <c r="T463" s="514"/>
      <c r="U463" s="514"/>
      <c r="V463" s="514"/>
      <c r="W463" s="514"/>
      <c r="X463" s="514"/>
      <c r="Y463" s="514"/>
      <c r="Z463" s="756"/>
      <c r="AA463" s="514"/>
      <c r="AB463" s="514"/>
      <c r="AC463" s="514"/>
      <c r="AD463" s="514"/>
      <c r="AE463" s="774"/>
      <c r="AF463" s="514"/>
      <c r="AG463" s="897"/>
      <c r="AH463" s="789"/>
      <c r="AI463" s="664">
        <f t="shared" si="22"/>
        <v>0</v>
      </c>
      <c r="AJ463" s="521">
        <v>0</v>
      </c>
      <c r="AK463" s="520">
        <f t="shared" si="23"/>
        <v>0</v>
      </c>
      <c r="AL463" s="695"/>
      <c r="AM463" s="669">
        <f t="shared" si="24"/>
        <v>0</v>
      </c>
    </row>
    <row r="464" spans="1:39" s="500" customFormat="1">
      <c r="A464" s="542" t="s">
        <v>945</v>
      </c>
      <c r="B464" s="542" t="s">
        <v>1256</v>
      </c>
      <c r="C464" s="616"/>
      <c r="D464" s="519"/>
      <c r="E464" s="726"/>
      <c r="F464" s="520"/>
      <c r="G464" s="520"/>
      <c r="H464" s="520"/>
      <c r="I464" s="521"/>
      <c r="J464" s="521"/>
      <c r="K464" s="521"/>
      <c r="L464" s="756"/>
      <c r="M464" s="514"/>
      <c r="N464" s="514"/>
      <c r="O464" s="514"/>
      <c r="P464" s="514"/>
      <c r="Q464" s="514"/>
      <c r="R464" s="514"/>
      <c r="S464" s="756"/>
      <c r="T464" s="514"/>
      <c r="U464" s="514"/>
      <c r="V464" s="514"/>
      <c r="W464" s="514"/>
      <c r="X464" s="514"/>
      <c r="Y464" s="514"/>
      <c r="Z464" s="756"/>
      <c r="AA464" s="514"/>
      <c r="AB464" s="514"/>
      <c r="AC464" s="514"/>
      <c r="AD464" s="514"/>
      <c r="AE464" s="774"/>
      <c r="AF464" s="514"/>
      <c r="AG464" s="897"/>
      <c r="AH464" s="789"/>
      <c r="AI464" s="664">
        <f t="shared" si="22"/>
        <v>0</v>
      </c>
      <c r="AJ464" s="521">
        <v>0</v>
      </c>
      <c r="AK464" s="520">
        <f t="shared" si="23"/>
        <v>0</v>
      </c>
      <c r="AL464" s="695" t="s">
        <v>1716</v>
      </c>
      <c r="AM464" s="669">
        <f t="shared" si="24"/>
        <v>8.93</v>
      </c>
    </row>
    <row r="465" spans="1:39" s="500" customFormat="1">
      <c r="A465" s="539" t="s">
        <v>946</v>
      </c>
      <c r="B465" s="539" t="s">
        <v>1257</v>
      </c>
      <c r="C465" s="548" t="s">
        <v>37</v>
      </c>
      <c r="D465" s="519"/>
      <c r="E465" s="726"/>
      <c r="F465" s="520"/>
      <c r="G465" s="520"/>
      <c r="H465" s="520"/>
      <c r="I465" s="521"/>
      <c r="J465" s="521"/>
      <c r="K465" s="521"/>
      <c r="L465" s="756"/>
      <c r="M465" s="514"/>
      <c r="N465" s="514"/>
      <c r="O465" s="514"/>
      <c r="P465" s="514"/>
      <c r="Q465" s="514"/>
      <c r="R465" s="514"/>
      <c r="S465" s="756"/>
      <c r="T465" s="514"/>
      <c r="U465" s="514"/>
      <c r="V465" s="514"/>
      <c r="W465" s="514"/>
      <c r="X465" s="514"/>
      <c r="Y465" s="514"/>
      <c r="Z465" s="756"/>
      <c r="AA465" s="514"/>
      <c r="AB465" s="514"/>
      <c r="AC465" s="514"/>
      <c r="AD465" s="514"/>
      <c r="AE465" s="774"/>
      <c r="AF465" s="514"/>
      <c r="AG465" s="897"/>
      <c r="AH465" s="789"/>
      <c r="AI465" s="664">
        <f t="shared" si="22"/>
        <v>0</v>
      </c>
      <c r="AJ465" s="521">
        <v>0</v>
      </c>
      <c r="AK465" s="520">
        <f t="shared" si="23"/>
        <v>0</v>
      </c>
      <c r="AL465" s="695"/>
      <c r="AM465" s="669">
        <f t="shared" si="24"/>
        <v>0</v>
      </c>
    </row>
    <row r="466" spans="1:39" s="500" customFormat="1">
      <c r="A466" s="542" t="s">
        <v>947</v>
      </c>
      <c r="B466" s="542" t="s">
        <v>1258</v>
      </c>
      <c r="C466" s="616"/>
      <c r="D466" s="519"/>
      <c r="E466" s="726"/>
      <c r="F466" s="520"/>
      <c r="G466" s="520"/>
      <c r="H466" s="520"/>
      <c r="I466" s="521"/>
      <c r="J466" s="521"/>
      <c r="K466" s="521"/>
      <c r="L466" s="756"/>
      <c r="M466" s="514"/>
      <c r="N466" s="514"/>
      <c r="O466" s="514"/>
      <c r="P466" s="514"/>
      <c r="Q466" s="514"/>
      <c r="R466" s="514"/>
      <c r="S466" s="756"/>
      <c r="T466" s="514"/>
      <c r="U466" s="514"/>
      <c r="V466" s="514"/>
      <c r="W466" s="514"/>
      <c r="X466" s="514"/>
      <c r="Y466" s="514"/>
      <c r="Z466" s="756"/>
      <c r="AA466" s="514"/>
      <c r="AB466" s="514"/>
      <c r="AC466" s="514"/>
      <c r="AD466" s="514"/>
      <c r="AE466" s="774"/>
      <c r="AF466" s="514"/>
      <c r="AG466" s="897"/>
      <c r="AH466" s="789"/>
      <c r="AI466" s="664">
        <f t="shared" si="22"/>
        <v>0</v>
      </c>
      <c r="AJ466" s="521">
        <v>0</v>
      </c>
      <c r="AK466" s="520">
        <f t="shared" si="23"/>
        <v>0</v>
      </c>
      <c r="AL466" s="695" t="s">
        <v>1717</v>
      </c>
      <c r="AM466" s="669">
        <f t="shared" si="24"/>
        <v>6.91</v>
      </c>
    </row>
    <row r="467" spans="1:39" s="500" customFormat="1">
      <c r="A467" s="539" t="s">
        <v>948</v>
      </c>
      <c r="B467" s="539" t="s">
        <v>1259</v>
      </c>
      <c r="C467" s="548" t="s">
        <v>37</v>
      </c>
      <c r="D467" s="519"/>
      <c r="E467" s="726"/>
      <c r="F467" s="520"/>
      <c r="G467" s="520"/>
      <c r="H467" s="520"/>
      <c r="I467" s="521"/>
      <c r="J467" s="521"/>
      <c r="K467" s="521"/>
      <c r="L467" s="756"/>
      <c r="M467" s="514"/>
      <c r="N467" s="514"/>
      <c r="O467" s="514"/>
      <c r="P467" s="514"/>
      <c r="Q467" s="514"/>
      <c r="R467" s="514"/>
      <c r="S467" s="756"/>
      <c r="T467" s="514"/>
      <c r="U467" s="514"/>
      <c r="V467" s="514"/>
      <c r="W467" s="514"/>
      <c r="X467" s="514"/>
      <c r="Y467" s="514"/>
      <c r="Z467" s="756"/>
      <c r="AA467" s="514"/>
      <c r="AB467" s="514"/>
      <c r="AC467" s="514"/>
      <c r="AD467" s="514"/>
      <c r="AE467" s="774"/>
      <c r="AF467" s="514"/>
      <c r="AG467" s="897"/>
      <c r="AH467" s="789"/>
      <c r="AI467" s="664">
        <f t="shared" si="22"/>
        <v>0</v>
      </c>
      <c r="AJ467" s="521">
        <v>0</v>
      </c>
      <c r="AK467" s="520">
        <f t="shared" si="23"/>
        <v>0</v>
      </c>
      <c r="AL467" s="695" t="s">
        <v>1718</v>
      </c>
      <c r="AM467" s="669">
        <f t="shared" si="24"/>
        <v>8.86</v>
      </c>
    </row>
    <row r="468" spans="1:39" s="500" customFormat="1">
      <c r="A468" s="539" t="s">
        <v>949</v>
      </c>
      <c r="B468" s="539" t="s">
        <v>1286</v>
      </c>
      <c r="C468" s="548" t="s">
        <v>37</v>
      </c>
      <c r="D468" s="519"/>
      <c r="E468" s="726"/>
      <c r="F468" s="520"/>
      <c r="G468" s="520"/>
      <c r="H468" s="520"/>
      <c r="I468" s="521"/>
      <c r="J468" s="521"/>
      <c r="K468" s="521"/>
      <c r="L468" s="756"/>
      <c r="M468" s="514"/>
      <c r="N468" s="514"/>
      <c r="O468" s="514"/>
      <c r="P468" s="514"/>
      <c r="Q468" s="514"/>
      <c r="R468" s="514"/>
      <c r="S468" s="756"/>
      <c r="T468" s="514"/>
      <c r="U468" s="514"/>
      <c r="V468" s="514"/>
      <c r="W468" s="514"/>
      <c r="X468" s="514"/>
      <c r="Y468" s="514"/>
      <c r="Z468" s="756"/>
      <c r="AA468" s="514"/>
      <c r="AB468" s="514"/>
      <c r="AC468" s="514"/>
      <c r="AD468" s="514"/>
      <c r="AE468" s="774"/>
      <c r="AF468" s="514"/>
      <c r="AG468" s="897"/>
      <c r="AH468" s="789"/>
      <c r="AI468" s="664">
        <f t="shared" si="22"/>
        <v>0</v>
      </c>
      <c r="AJ468" s="521">
        <v>0</v>
      </c>
      <c r="AK468" s="520">
        <f t="shared" si="23"/>
        <v>0</v>
      </c>
      <c r="AL468" s="695" t="s">
        <v>1719</v>
      </c>
      <c r="AM468" s="669">
        <f t="shared" si="24"/>
        <v>10.78</v>
      </c>
    </row>
    <row r="469" spans="1:39" s="500" customFormat="1">
      <c r="A469" s="539" t="s">
        <v>950</v>
      </c>
      <c r="B469" s="539" t="s">
        <v>1260</v>
      </c>
      <c r="C469" s="548" t="s">
        <v>38</v>
      </c>
      <c r="D469" s="519"/>
      <c r="E469" s="726"/>
      <c r="F469" s="520"/>
      <c r="G469" s="520"/>
      <c r="H469" s="520"/>
      <c r="I469" s="521"/>
      <c r="J469" s="521"/>
      <c r="K469" s="521"/>
      <c r="L469" s="756"/>
      <c r="M469" s="514"/>
      <c r="N469" s="514"/>
      <c r="O469" s="514"/>
      <c r="P469" s="514"/>
      <c r="Q469" s="514"/>
      <c r="R469" s="514"/>
      <c r="S469" s="756"/>
      <c r="T469" s="514"/>
      <c r="U469" s="514"/>
      <c r="V469" s="514"/>
      <c r="W469" s="514"/>
      <c r="X469" s="514"/>
      <c r="Y469" s="514"/>
      <c r="Z469" s="756"/>
      <c r="AA469" s="514"/>
      <c r="AB469" s="514"/>
      <c r="AC469" s="514"/>
      <c r="AD469" s="514"/>
      <c r="AE469" s="774"/>
      <c r="AF469" s="514"/>
      <c r="AG469" s="897"/>
      <c r="AH469" s="789"/>
      <c r="AI469" s="664">
        <f t="shared" si="22"/>
        <v>0</v>
      </c>
      <c r="AJ469" s="521">
        <v>0</v>
      </c>
      <c r="AK469" s="520">
        <f t="shared" si="23"/>
        <v>0</v>
      </c>
      <c r="AL469" s="695" t="s">
        <v>1720</v>
      </c>
      <c r="AM469" s="669">
        <f t="shared" si="24"/>
        <v>14.4</v>
      </c>
    </row>
    <row r="470" spans="1:39" s="500" customFormat="1">
      <c r="A470" s="539" t="s">
        <v>951</v>
      </c>
      <c r="B470" s="539" t="s">
        <v>1261</v>
      </c>
      <c r="C470" s="548" t="s">
        <v>38</v>
      </c>
      <c r="D470" s="519"/>
      <c r="E470" s="726"/>
      <c r="F470" s="520"/>
      <c r="G470" s="520"/>
      <c r="H470" s="520"/>
      <c r="I470" s="521"/>
      <c r="J470" s="521"/>
      <c r="K470" s="521"/>
      <c r="L470" s="756"/>
      <c r="M470" s="514"/>
      <c r="N470" s="514"/>
      <c r="O470" s="514"/>
      <c r="P470" s="514"/>
      <c r="Q470" s="514"/>
      <c r="R470" s="514"/>
      <c r="S470" s="756"/>
      <c r="T470" s="514"/>
      <c r="U470" s="514"/>
      <c r="V470" s="514"/>
      <c r="W470" s="514"/>
      <c r="X470" s="514"/>
      <c r="Y470" s="514"/>
      <c r="Z470" s="756"/>
      <c r="AA470" s="514"/>
      <c r="AB470" s="514"/>
      <c r="AC470" s="514"/>
      <c r="AD470" s="514"/>
      <c r="AE470" s="774"/>
      <c r="AF470" s="514"/>
      <c r="AG470" s="897"/>
      <c r="AH470" s="789"/>
      <c r="AI470" s="664">
        <f t="shared" si="22"/>
        <v>0</v>
      </c>
      <c r="AJ470" s="521">
        <v>0</v>
      </c>
      <c r="AK470" s="520">
        <f t="shared" si="23"/>
        <v>0</v>
      </c>
      <c r="AL470" s="695"/>
      <c r="AM470" s="669">
        <f t="shared" si="24"/>
        <v>0</v>
      </c>
    </row>
    <row r="471" spans="1:39" s="500" customFormat="1">
      <c r="A471" s="542" t="s">
        <v>952</v>
      </c>
      <c r="B471" s="542" t="s">
        <v>1198</v>
      </c>
      <c r="C471" s="616"/>
      <c r="D471" s="519"/>
      <c r="E471" s="726"/>
      <c r="F471" s="520"/>
      <c r="G471" s="520"/>
      <c r="H471" s="520"/>
      <c r="I471" s="521"/>
      <c r="J471" s="521"/>
      <c r="K471" s="521"/>
      <c r="L471" s="756"/>
      <c r="M471" s="514"/>
      <c r="N471" s="514"/>
      <c r="O471" s="514"/>
      <c r="P471" s="514"/>
      <c r="Q471" s="514"/>
      <c r="R471" s="514"/>
      <c r="S471" s="756"/>
      <c r="T471" s="514"/>
      <c r="U471" s="514"/>
      <c r="V471" s="514"/>
      <c r="W471" s="514"/>
      <c r="X471" s="514"/>
      <c r="Y471" s="514"/>
      <c r="Z471" s="756"/>
      <c r="AA471" s="514"/>
      <c r="AB471" s="514"/>
      <c r="AC471" s="514"/>
      <c r="AD471" s="514"/>
      <c r="AE471" s="774"/>
      <c r="AF471" s="514"/>
      <c r="AG471" s="897"/>
      <c r="AH471" s="789"/>
      <c r="AI471" s="664">
        <f t="shared" si="22"/>
        <v>0</v>
      </c>
      <c r="AJ471" s="521">
        <v>0</v>
      </c>
      <c r="AK471" s="520">
        <f t="shared" si="23"/>
        <v>0</v>
      </c>
      <c r="AL471" s="695" t="s">
        <v>1721</v>
      </c>
      <c r="AM471" s="669">
        <f t="shared" si="24"/>
        <v>21.28</v>
      </c>
    </row>
    <row r="472" spans="1:39" s="500" customFormat="1">
      <c r="A472" s="539" t="s">
        <v>953</v>
      </c>
      <c r="B472" s="539" t="s">
        <v>1262</v>
      </c>
      <c r="C472" s="548" t="s">
        <v>37</v>
      </c>
      <c r="D472" s="519"/>
      <c r="E472" s="726"/>
      <c r="F472" s="520"/>
      <c r="G472" s="520"/>
      <c r="H472" s="520"/>
      <c r="I472" s="521"/>
      <c r="J472" s="521"/>
      <c r="K472" s="521"/>
      <c r="L472" s="756"/>
      <c r="M472" s="514"/>
      <c r="N472" s="514"/>
      <c r="O472" s="514"/>
      <c r="P472" s="514"/>
      <c r="Q472" s="514"/>
      <c r="R472" s="514"/>
      <c r="S472" s="756"/>
      <c r="T472" s="514"/>
      <c r="U472" s="514"/>
      <c r="V472" s="514"/>
      <c r="W472" s="514"/>
      <c r="X472" s="514"/>
      <c r="Y472" s="514"/>
      <c r="Z472" s="756"/>
      <c r="AA472" s="514"/>
      <c r="AB472" s="514"/>
      <c r="AC472" s="514"/>
      <c r="AD472" s="514"/>
      <c r="AE472" s="774"/>
      <c r="AF472" s="514"/>
      <c r="AG472" s="897"/>
      <c r="AH472" s="789"/>
      <c r="AI472" s="664">
        <f t="shared" si="22"/>
        <v>0</v>
      </c>
      <c r="AJ472" s="521">
        <v>0</v>
      </c>
      <c r="AK472" s="520">
        <f t="shared" si="23"/>
        <v>0</v>
      </c>
      <c r="AL472" s="695" t="s">
        <v>1689</v>
      </c>
      <c r="AM472" s="669">
        <f t="shared" si="24"/>
        <v>6.15</v>
      </c>
    </row>
    <row r="473" spans="1:39" s="500" customFormat="1">
      <c r="A473" s="539" t="s">
        <v>954</v>
      </c>
      <c r="B473" s="539" t="s">
        <v>1263</v>
      </c>
      <c r="C473" s="548" t="s">
        <v>38</v>
      </c>
      <c r="D473" s="519"/>
      <c r="E473" s="726"/>
      <c r="F473" s="520"/>
      <c r="G473" s="520"/>
      <c r="H473" s="520"/>
      <c r="I473" s="521"/>
      <c r="J473" s="521"/>
      <c r="K473" s="521"/>
      <c r="L473" s="756"/>
      <c r="M473" s="514"/>
      <c r="N473" s="514"/>
      <c r="O473" s="514"/>
      <c r="P473" s="514"/>
      <c r="Q473" s="514"/>
      <c r="R473" s="514"/>
      <c r="S473" s="756"/>
      <c r="T473" s="514"/>
      <c r="U473" s="514"/>
      <c r="V473" s="514"/>
      <c r="W473" s="514"/>
      <c r="X473" s="514"/>
      <c r="Y473" s="514"/>
      <c r="Z473" s="756"/>
      <c r="AA473" s="514"/>
      <c r="AB473" s="514"/>
      <c r="AC473" s="514"/>
      <c r="AD473" s="514"/>
      <c r="AE473" s="774"/>
      <c r="AF473" s="514"/>
      <c r="AG473" s="897"/>
      <c r="AH473" s="789"/>
      <c r="AI473" s="664">
        <f t="shared" si="22"/>
        <v>0</v>
      </c>
      <c r="AJ473" s="521">
        <v>0</v>
      </c>
      <c r="AK473" s="520">
        <f t="shared" si="23"/>
        <v>0</v>
      </c>
      <c r="AL473" s="695"/>
      <c r="AM473" s="669">
        <f t="shared" si="24"/>
        <v>0</v>
      </c>
    </row>
    <row r="474" spans="1:39" s="500" customFormat="1">
      <c r="A474" s="542" t="s">
        <v>955</v>
      </c>
      <c r="B474" s="542" t="s">
        <v>1264</v>
      </c>
      <c r="C474" s="616"/>
      <c r="D474" s="519"/>
      <c r="E474" s="726"/>
      <c r="F474" s="520"/>
      <c r="G474" s="520"/>
      <c r="H474" s="520"/>
      <c r="I474" s="521"/>
      <c r="J474" s="521"/>
      <c r="K474" s="521"/>
      <c r="L474" s="756"/>
      <c r="M474" s="514"/>
      <c r="N474" s="514"/>
      <c r="O474" s="514"/>
      <c r="P474" s="514"/>
      <c r="Q474" s="514"/>
      <c r="R474" s="514"/>
      <c r="S474" s="756"/>
      <c r="T474" s="514"/>
      <c r="U474" s="514"/>
      <c r="V474" s="514"/>
      <c r="W474" s="514"/>
      <c r="X474" s="514"/>
      <c r="Y474" s="514"/>
      <c r="Z474" s="756"/>
      <c r="AA474" s="514"/>
      <c r="AB474" s="514"/>
      <c r="AC474" s="514"/>
      <c r="AD474" s="514"/>
      <c r="AE474" s="774"/>
      <c r="AF474" s="514"/>
      <c r="AG474" s="897"/>
      <c r="AH474" s="789"/>
      <c r="AI474" s="664">
        <f t="shared" si="22"/>
        <v>0</v>
      </c>
      <c r="AJ474" s="521">
        <v>0</v>
      </c>
      <c r="AK474" s="520">
        <f t="shared" si="23"/>
        <v>0</v>
      </c>
      <c r="AL474" s="695" t="s">
        <v>1722</v>
      </c>
      <c r="AM474" s="669">
        <f t="shared" si="24"/>
        <v>1.89</v>
      </c>
    </row>
    <row r="475" spans="1:39" s="500" customFormat="1">
      <c r="A475" s="539" t="s">
        <v>956</v>
      </c>
      <c r="B475" s="539" t="s">
        <v>1265</v>
      </c>
      <c r="C475" s="548" t="s">
        <v>37</v>
      </c>
      <c r="D475" s="519"/>
      <c r="E475" s="726"/>
      <c r="F475" s="520"/>
      <c r="G475" s="520"/>
      <c r="H475" s="520"/>
      <c r="I475" s="521"/>
      <c r="J475" s="521"/>
      <c r="K475" s="521"/>
      <c r="L475" s="756"/>
      <c r="M475" s="514"/>
      <c r="N475" s="514"/>
      <c r="O475" s="514"/>
      <c r="P475" s="514"/>
      <c r="Q475" s="514"/>
      <c r="R475" s="514"/>
      <c r="S475" s="756"/>
      <c r="T475" s="514"/>
      <c r="U475" s="514"/>
      <c r="V475" s="514"/>
      <c r="W475" s="514"/>
      <c r="X475" s="514"/>
      <c r="Y475" s="514"/>
      <c r="Z475" s="756"/>
      <c r="AA475" s="514"/>
      <c r="AB475" s="514"/>
      <c r="AC475" s="514"/>
      <c r="AD475" s="514"/>
      <c r="AE475" s="774"/>
      <c r="AF475" s="514"/>
      <c r="AG475" s="897"/>
      <c r="AH475" s="789"/>
      <c r="AI475" s="664">
        <f t="shared" si="22"/>
        <v>0</v>
      </c>
      <c r="AJ475" s="521">
        <v>0</v>
      </c>
      <c r="AK475" s="520">
        <f t="shared" si="23"/>
        <v>0</v>
      </c>
      <c r="AL475" s="695" t="s">
        <v>1723</v>
      </c>
      <c r="AM475" s="669">
        <f t="shared" si="24"/>
        <v>3.15</v>
      </c>
    </row>
    <row r="476" spans="1:39" s="500" customFormat="1">
      <c r="A476" s="539" t="s">
        <v>957</v>
      </c>
      <c r="B476" s="539" t="s">
        <v>1295</v>
      </c>
      <c r="C476" s="548" t="s">
        <v>37</v>
      </c>
      <c r="D476" s="519"/>
      <c r="E476" s="726"/>
      <c r="F476" s="520"/>
      <c r="G476" s="520"/>
      <c r="H476" s="520"/>
      <c r="I476" s="521"/>
      <c r="J476" s="521"/>
      <c r="K476" s="521"/>
      <c r="L476" s="756"/>
      <c r="M476" s="514"/>
      <c r="N476" s="514"/>
      <c r="O476" s="514"/>
      <c r="P476" s="514"/>
      <c r="Q476" s="514"/>
      <c r="R476" s="514"/>
      <c r="S476" s="756"/>
      <c r="T476" s="514"/>
      <c r="U476" s="514"/>
      <c r="V476" s="514"/>
      <c r="W476" s="514"/>
      <c r="X476" s="514"/>
      <c r="Y476" s="514"/>
      <c r="Z476" s="756"/>
      <c r="AA476" s="514"/>
      <c r="AB476" s="514"/>
      <c r="AC476" s="514"/>
      <c r="AD476" s="514"/>
      <c r="AE476" s="774"/>
      <c r="AF476" s="514"/>
      <c r="AG476" s="897"/>
      <c r="AH476" s="789"/>
      <c r="AI476" s="664">
        <f t="shared" si="22"/>
        <v>0</v>
      </c>
      <c r="AJ476" s="521">
        <v>0</v>
      </c>
      <c r="AK476" s="520">
        <f t="shared" si="23"/>
        <v>0</v>
      </c>
      <c r="AL476" s="695"/>
      <c r="AM476" s="669">
        <f t="shared" si="24"/>
        <v>0</v>
      </c>
    </row>
    <row r="477" spans="1:39" s="500" customFormat="1">
      <c r="A477" s="542" t="s">
        <v>958</v>
      </c>
      <c r="B477" s="542" t="s">
        <v>1266</v>
      </c>
      <c r="C477" s="616"/>
      <c r="D477" s="519"/>
      <c r="E477" s="726"/>
      <c r="F477" s="520"/>
      <c r="G477" s="520"/>
      <c r="H477" s="520"/>
      <c r="I477" s="521"/>
      <c r="J477" s="521"/>
      <c r="K477" s="521"/>
      <c r="L477" s="756"/>
      <c r="M477" s="514"/>
      <c r="N477" s="514"/>
      <c r="O477" s="514"/>
      <c r="P477" s="514"/>
      <c r="Q477" s="514"/>
      <c r="R477" s="514"/>
      <c r="S477" s="756"/>
      <c r="T477" s="514"/>
      <c r="U477" s="514"/>
      <c r="V477" s="514"/>
      <c r="W477" s="514"/>
      <c r="X477" s="514"/>
      <c r="Y477" s="514"/>
      <c r="Z477" s="756"/>
      <c r="AA477" s="514"/>
      <c r="AB477" s="514"/>
      <c r="AC477" s="514"/>
      <c r="AD477" s="514"/>
      <c r="AE477" s="774"/>
      <c r="AF477" s="514"/>
      <c r="AG477" s="897"/>
      <c r="AH477" s="789"/>
      <c r="AI477" s="664">
        <f t="shared" si="22"/>
        <v>0</v>
      </c>
      <c r="AJ477" s="521">
        <v>0</v>
      </c>
      <c r="AK477" s="520">
        <f t="shared" si="23"/>
        <v>0</v>
      </c>
      <c r="AL477" s="695" t="s">
        <v>1641</v>
      </c>
      <c r="AM477" s="669">
        <f t="shared" si="24"/>
        <v>9</v>
      </c>
    </row>
    <row r="478" spans="1:39" s="500" customFormat="1">
      <c r="A478" s="539" t="s">
        <v>959</v>
      </c>
      <c r="B478" s="539" t="s">
        <v>1267</v>
      </c>
      <c r="C478" s="548" t="s">
        <v>1451</v>
      </c>
      <c r="D478" s="519"/>
      <c r="E478" s="726"/>
      <c r="F478" s="520"/>
      <c r="G478" s="520"/>
      <c r="H478" s="520"/>
      <c r="I478" s="521"/>
      <c r="J478" s="521"/>
      <c r="K478" s="521"/>
      <c r="L478" s="756"/>
      <c r="M478" s="514"/>
      <c r="N478" s="514"/>
      <c r="O478" s="514"/>
      <c r="P478" s="514"/>
      <c r="Q478" s="514"/>
      <c r="R478" s="514"/>
      <c r="S478" s="756"/>
      <c r="T478" s="514"/>
      <c r="U478" s="514"/>
      <c r="V478" s="514"/>
      <c r="W478" s="514"/>
      <c r="X478" s="514"/>
      <c r="Y478" s="514"/>
      <c r="Z478" s="756"/>
      <c r="AA478" s="514"/>
      <c r="AB478" s="514"/>
      <c r="AC478" s="514"/>
      <c r="AD478" s="514"/>
      <c r="AE478" s="774"/>
      <c r="AF478" s="514"/>
      <c r="AG478" s="897"/>
      <c r="AH478" s="789"/>
      <c r="AI478" s="664">
        <f t="shared" si="22"/>
        <v>0</v>
      </c>
      <c r="AJ478" s="521">
        <v>0</v>
      </c>
      <c r="AK478" s="520">
        <f t="shared" si="23"/>
        <v>0</v>
      </c>
      <c r="AL478" s="695" t="s">
        <v>1455</v>
      </c>
      <c r="AM478" s="669">
        <f t="shared" si="24"/>
        <v>1</v>
      </c>
    </row>
    <row r="479" spans="1:39" s="500" customFormat="1">
      <c r="A479" s="539" t="s">
        <v>960</v>
      </c>
      <c r="B479" s="539" t="s">
        <v>1268</v>
      </c>
      <c r="C479" s="548" t="s">
        <v>36</v>
      </c>
      <c r="D479" s="519"/>
      <c r="E479" s="726"/>
      <c r="F479" s="520"/>
      <c r="G479" s="520"/>
      <c r="H479" s="520"/>
      <c r="I479" s="521"/>
      <c r="J479" s="521"/>
      <c r="K479" s="521"/>
      <c r="L479" s="756"/>
      <c r="M479" s="514"/>
      <c r="N479" s="514"/>
      <c r="O479" s="514"/>
      <c r="P479" s="514"/>
      <c r="Q479" s="514"/>
      <c r="R479" s="514"/>
      <c r="S479" s="756"/>
      <c r="T479" s="514"/>
      <c r="U479" s="514"/>
      <c r="V479" s="514"/>
      <c r="W479" s="514"/>
      <c r="X479" s="514"/>
      <c r="Y479" s="514"/>
      <c r="Z479" s="756"/>
      <c r="AA479" s="514"/>
      <c r="AB479" s="514"/>
      <c r="AC479" s="514"/>
      <c r="AD479" s="514"/>
      <c r="AE479" s="774"/>
      <c r="AF479" s="514"/>
      <c r="AG479" s="897"/>
      <c r="AH479" s="789"/>
      <c r="AI479" s="664">
        <f t="shared" si="22"/>
        <v>0</v>
      </c>
      <c r="AJ479" s="521">
        <v>0</v>
      </c>
      <c r="AK479" s="520">
        <f t="shared" si="23"/>
        <v>0</v>
      </c>
      <c r="AL479" s="695" t="s">
        <v>1698</v>
      </c>
      <c r="AM479" s="669">
        <f t="shared" si="24"/>
        <v>2</v>
      </c>
    </row>
    <row r="480" spans="1:39" s="500" customFormat="1">
      <c r="A480" s="539" t="s">
        <v>961</v>
      </c>
      <c r="B480" s="539" t="s">
        <v>1296</v>
      </c>
      <c r="C480" s="548" t="s">
        <v>36</v>
      </c>
      <c r="D480" s="519"/>
      <c r="E480" s="726"/>
      <c r="F480" s="520"/>
      <c r="G480" s="520"/>
      <c r="H480" s="520"/>
      <c r="I480" s="521"/>
      <c r="J480" s="521"/>
      <c r="K480" s="521"/>
      <c r="L480" s="756"/>
      <c r="M480" s="514"/>
      <c r="N480" s="514"/>
      <c r="O480" s="514"/>
      <c r="P480" s="514"/>
      <c r="Q480" s="514"/>
      <c r="R480" s="514"/>
      <c r="S480" s="756"/>
      <c r="T480" s="514"/>
      <c r="U480" s="514"/>
      <c r="V480" s="514"/>
      <c r="W480" s="514"/>
      <c r="X480" s="514"/>
      <c r="Y480" s="514"/>
      <c r="Z480" s="756"/>
      <c r="AA480" s="514"/>
      <c r="AB480" s="514"/>
      <c r="AC480" s="514"/>
      <c r="AD480" s="514"/>
      <c r="AE480" s="774"/>
      <c r="AF480" s="514"/>
      <c r="AG480" s="897"/>
      <c r="AH480" s="789"/>
      <c r="AI480" s="664">
        <f t="shared" si="22"/>
        <v>0</v>
      </c>
      <c r="AJ480" s="521">
        <v>0</v>
      </c>
      <c r="AK480" s="520">
        <f t="shared" si="23"/>
        <v>0</v>
      </c>
      <c r="AL480" s="695"/>
      <c r="AM480" s="669">
        <f t="shared" si="24"/>
        <v>0</v>
      </c>
    </row>
    <row r="481" spans="1:39" s="500" customFormat="1">
      <c r="A481" s="542" t="s">
        <v>962</v>
      </c>
      <c r="B481" s="542" t="s">
        <v>1269</v>
      </c>
      <c r="C481" s="616"/>
      <c r="D481" s="519"/>
      <c r="E481" s="726"/>
      <c r="F481" s="520"/>
      <c r="G481" s="520"/>
      <c r="H481" s="520"/>
      <c r="I481" s="521"/>
      <c r="J481" s="521"/>
      <c r="K481" s="521"/>
      <c r="L481" s="756"/>
      <c r="M481" s="514"/>
      <c r="N481" s="514"/>
      <c r="O481" s="514"/>
      <c r="P481" s="514"/>
      <c r="Q481" s="514"/>
      <c r="R481" s="514"/>
      <c r="S481" s="756"/>
      <c r="T481" s="514"/>
      <c r="U481" s="514"/>
      <c r="V481" s="514"/>
      <c r="W481" s="514"/>
      <c r="X481" s="514"/>
      <c r="Y481" s="514"/>
      <c r="Z481" s="756"/>
      <c r="AA481" s="514"/>
      <c r="AB481" s="514"/>
      <c r="AC481" s="514"/>
      <c r="AD481" s="514"/>
      <c r="AE481" s="774"/>
      <c r="AF481" s="514"/>
      <c r="AG481" s="897"/>
      <c r="AH481" s="789"/>
      <c r="AI481" s="664">
        <f t="shared" si="22"/>
        <v>0</v>
      </c>
      <c r="AJ481" s="521">
        <v>0</v>
      </c>
      <c r="AK481" s="520">
        <f t="shared" si="23"/>
        <v>0</v>
      </c>
      <c r="AL481" s="695" t="s">
        <v>1724</v>
      </c>
      <c r="AM481" s="669">
        <f t="shared" si="24"/>
        <v>4.96</v>
      </c>
    </row>
    <row r="482" spans="1:39" s="500" customFormat="1">
      <c r="A482" s="539" t="s">
        <v>963</v>
      </c>
      <c r="B482" s="539" t="s">
        <v>1270</v>
      </c>
      <c r="C482" s="548" t="s">
        <v>37</v>
      </c>
      <c r="D482" s="519"/>
      <c r="E482" s="726"/>
      <c r="F482" s="520"/>
      <c r="G482" s="520"/>
      <c r="H482" s="520"/>
      <c r="I482" s="521"/>
      <c r="J482" s="521"/>
      <c r="K482" s="521"/>
      <c r="L482" s="756"/>
      <c r="M482" s="514"/>
      <c r="N482" s="514"/>
      <c r="O482" s="514"/>
      <c r="P482" s="514"/>
      <c r="Q482" s="514"/>
      <c r="R482" s="514"/>
      <c r="S482" s="756"/>
      <c r="T482" s="514"/>
      <c r="U482" s="514"/>
      <c r="V482" s="514"/>
      <c r="W482" s="514"/>
      <c r="X482" s="514"/>
      <c r="Y482" s="514"/>
      <c r="Z482" s="756"/>
      <c r="AA482" s="514"/>
      <c r="AB482" s="514"/>
      <c r="AC482" s="514"/>
      <c r="AD482" s="514"/>
      <c r="AE482" s="774"/>
      <c r="AF482" s="514"/>
      <c r="AG482" s="897"/>
      <c r="AH482" s="789"/>
      <c r="AI482" s="664">
        <f t="shared" si="22"/>
        <v>0</v>
      </c>
      <c r="AJ482" s="521">
        <v>0</v>
      </c>
      <c r="AK482" s="520">
        <f t="shared" si="23"/>
        <v>0</v>
      </c>
      <c r="AL482" s="695" t="s">
        <v>1488</v>
      </c>
      <c r="AM482" s="669">
        <f t="shared" si="24"/>
        <v>1.2</v>
      </c>
    </row>
    <row r="483" spans="1:39" s="500" customFormat="1">
      <c r="A483" s="539" t="s">
        <v>964</v>
      </c>
      <c r="B483" s="539" t="s">
        <v>1271</v>
      </c>
      <c r="C483" s="548" t="s">
        <v>37</v>
      </c>
      <c r="D483" s="519"/>
      <c r="E483" s="726"/>
      <c r="F483" s="520"/>
      <c r="G483" s="520"/>
      <c r="H483" s="520"/>
      <c r="I483" s="521"/>
      <c r="J483" s="521"/>
      <c r="K483" s="521"/>
      <c r="L483" s="756"/>
      <c r="M483" s="514"/>
      <c r="N483" s="514"/>
      <c r="O483" s="514"/>
      <c r="P483" s="514"/>
      <c r="Q483" s="514"/>
      <c r="R483" s="514"/>
      <c r="S483" s="756"/>
      <c r="T483" s="514"/>
      <c r="U483" s="514"/>
      <c r="V483" s="514"/>
      <c r="W483" s="514"/>
      <c r="X483" s="514"/>
      <c r="Y483" s="514"/>
      <c r="Z483" s="756"/>
      <c r="AA483" s="514"/>
      <c r="AB483" s="514"/>
      <c r="AC483" s="514"/>
      <c r="AD483" s="514"/>
      <c r="AE483" s="774"/>
      <c r="AF483" s="514"/>
      <c r="AG483" s="897"/>
      <c r="AH483" s="789"/>
      <c r="AI483" s="664">
        <f t="shared" si="22"/>
        <v>0</v>
      </c>
      <c r="AJ483" s="521">
        <v>0</v>
      </c>
      <c r="AK483" s="520">
        <f t="shared" si="23"/>
        <v>0</v>
      </c>
      <c r="AL483" s="695"/>
      <c r="AM483" s="669">
        <f t="shared" si="24"/>
        <v>0</v>
      </c>
    </row>
    <row r="484" spans="1:39" s="500" customFormat="1">
      <c r="A484" s="542" t="s">
        <v>965</v>
      </c>
      <c r="B484" s="542" t="s">
        <v>1272</v>
      </c>
      <c r="C484" s="616"/>
      <c r="D484" s="519"/>
      <c r="E484" s="726"/>
      <c r="F484" s="520"/>
      <c r="G484" s="520"/>
      <c r="H484" s="520"/>
      <c r="I484" s="521"/>
      <c r="J484" s="521"/>
      <c r="K484" s="521"/>
      <c r="L484" s="756"/>
      <c r="M484" s="514"/>
      <c r="N484" s="514"/>
      <c r="O484" s="514"/>
      <c r="P484" s="514"/>
      <c r="Q484" s="514"/>
      <c r="R484" s="514"/>
      <c r="S484" s="756"/>
      <c r="T484" s="514"/>
      <c r="U484" s="514"/>
      <c r="V484" s="514"/>
      <c r="W484" s="514"/>
      <c r="X484" s="514"/>
      <c r="Y484" s="514"/>
      <c r="Z484" s="756"/>
      <c r="AA484" s="514"/>
      <c r="AB484" s="514"/>
      <c r="AC484" s="514"/>
      <c r="AD484" s="514"/>
      <c r="AE484" s="774"/>
      <c r="AF484" s="514"/>
      <c r="AG484" s="897"/>
      <c r="AH484" s="789"/>
      <c r="AI484" s="664">
        <f t="shared" si="22"/>
        <v>0</v>
      </c>
      <c r="AJ484" s="521">
        <v>0</v>
      </c>
      <c r="AK484" s="520">
        <f t="shared" si="23"/>
        <v>0</v>
      </c>
      <c r="AL484" s="695" t="s">
        <v>1712</v>
      </c>
      <c r="AM484" s="669">
        <f t="shared" si="24"/>
        <v>33.950000000000003</v>
      </c>
    </row>
    <row r="485" spans="1:39" s="500" customFormat="1">
      <c r="A485" s="539" t="s">
        <v>966</v>
      </c>
      <c r="B485" s="539" t="s">
        <v>1273</v>
      </c>
      <c r="C485" s="548" t="s">
        <v>37</v>
      </c>
      <c r="D485" s="519"/>
      <c r="E485" s="726"/>
      <c r="F485" s="520"/>
      <c r="G485" s="520"/>
      <c r="H485" s="520"/>
      <c r="I485" s="521"/>
      <c r="J485" s="521"/>
      <c r="K485" s="521"/>
      <c r="L485" s="756"/>
      <c r="M485" s="514"/>
      <c r="N485" s="514"/>
      <c r="O485" s="514"/>
      <c r="P485" s="514"/>
      <c r="Q485" s="514"/>
      <c r="R485" s="514"/>
      <c r="S485" s="756"/>
      <c r="T485" s="514"/>
      <c r="U485" s="514"/>
      <c r="V485" s="514"/>
      <c r="W485" s="514"/>
      <c r="X485" s="514"/>
      <c r="Y485" s="514"/>
      <c r="Z485" s="756"/>
      <c r="AA485" s="514"/>
      <c r="AB485" s="514"/>
      <c r="AC485" s="514"/>
      <c r="AD485" s="514"/>
      <c r="AE485" s="774"/>
      <c r="AF485" s="514"/>
      <c r="AG485" s="897"/>
      <c r="AH485" s="789"/>
      <c r="AI485" s="664">
        <f t="shared" si="22"/>
        <v>0</v>
      </c>
      <c r="AJ485" s="521">
        <v>0</v>
      </c>
      <c r="AK485" s="520">
        <f t="shared" si="23"/>
        <v>0</v>
      </c>
      <c r="AL485" s="695" t="s">
        <v>1705</v>
      </c>
      <c r="AM485" s="669">
        <f t="shared" si="24"/>
        <v>77.680000000000007</v>
      </c>
    </row>
    <row r="486" spans="1:39" s="500" customFormat="1">
      <c r="A486" s="539" t="s">
        <v>967</v>
      </c>
      <c r="B486" s="539" t="s">
        <v>1274</v>
      </c>
      <c r="C486" s="548" t="s">
        <v>37</v>
      </c>
      <c r="D486" s="519"/>
      <c r="E486" s="726"/>
      <c r="F486" s="520"/>
      <c r="G486" s="520"/>
      <c r="H486" s="520"/>
      <c r="I486" s="521"/>
      <c r="J486" s="521"/>
      <c r="K486" s="521"/>
      <c r="L486" s="756"/>
      <c r="M486" s="514"/>
      <c r="N486" s="514"/>
      <c r="O486" s="514"/>
      <c r="P486" s="514"/>
      <c r="Q486" s="514"/>
      <c r="R486" s="514"/>
      <c r="S486" s="756"/>
      <c r="T486" s="514"/>
      <c r="U486" s="514"/>
      <c r="V486" s="514"/>
      <c r="W486" s="514"/>
      <c r="X486" s="514"/>
      <c r="Y486" s="514"/>
      <c r="Z486" s="756"/>
      <c r="AA486" s="514"/>
      <c r="AB486" s="514"/>
      <c r="AC486" s="514"/>
      <c r="AD486" s="514"/>
      <c r="AE486" s="774"/>
      <c r="AF486" s="514"/>
      <c r="AG486" s="897"/>
      <c r="AH486" s="789"/>
      <c r="AI486" s="664">
        <f t="shared" si="22"/>
        <v>0</v>
      </c>
      <c r="AJ486" s="521">
        <v>0</v>
      </c>
      <c r="AK486" s="520">
        <f t="shared" si="23"/>
        <v>0</v>
      </c>
      <c r="AL486" s="695" t="s">
        <v>1706</v>
      </c>
      <c r="AM486" s="669">
        <f t="shared" si="24"/>
        <v>51.98</v>
      </c>
    </row>
    <row r="487" spans="1:39" s="500" customFormat="1">
      <c r="A487" s="539" t="s">
        <v>968</v>
      </c>
      <c r="B487" s="539" t="s">
        <v>1275</v>
      </c>
      <c r="C487" s="548" t="s">
        <v>37</v>
      </c>
      <c r="D487" s="519"/>
      <c r="E487" s="726"/>
      <c r="F487" s="520"/>
      <c r="G487" s="520"/>
      <c r="H487" s="520"/>
      <c r="I487" s="521"/>
      <c r="J487" s="521"/>
      <c r="K487" s="521"/>
      <c r="L487" s="756"/>
      <c r="M487" s="514"/>
      <c r="N487" s="514"/>
      <c r="O487" s="514"/>
      <c r="P487" s="514"/>
      <c r="Q487" s="514"/>
      <c r="R487" s="514"/>
      <c r="S487" s="756"/>
      <c r="T487" s="514"/>
      <c r="U487" s="514"/>
      <c r="V487" s="514"/>
      <c r="W487" s="514"/>
      <c r="X487" s="514"/>
      <c r="Y487" s="514"/>
      <c r="Z487" s="756"/>
      <c r="AA487" s="514"/>
      <c r="AB487" s="514"/>
      <c r="AC487" s="514"/>
      <c r="AD487" s="514"/>
      <c r="AE487" s="774"/>
      <c r="AF487" s="514"/>
      <c r="AG487" s="897"/>
      <c r="AH487" s="789"/>
      <c r="AI487" s="664">
        <f t="shared" si="22"/>
        <v>0</v>
      </c>
      <c r="AJ487" s="521">
        <v>0</v>
      </c>
      <c r="AK487" s="520">
        <f t="shared" si="23"/>
        <v>0</v>
      </c>
      <c r="AL487" s="695" t="s">
        <v>1707</v>
      </c>
      <c r="AM487" s="669">
        <f t="shared" si="24"/>
        <v>12</v>
      </c>
    </row>
    <row r="488" spans="1:39" s="500" customFormat="1">
      <c r="A488" s="539" t="s">
        <v>969</v>
      </c>
      <c r="B488" s="539" t="s">
        <v>1276</v>
      </c>
      <c r="C488" s="548" t="s">
        <v>37</v>
      </c>
      <c r="D488" s="519"/>
      <c r="E488" s="726"/>
      <c r="F488" s="520"/>
      <c r="G488" s="520"/>
      <c r="H488" s="520"/>
      <c r="I488" s="521"/>
      <c r="J488" s="521"/>
      <c r="K488" s="521"/>
      <c r="L488" s="756"/>
      <c r="M488" s="514"/>
      <c r="N488" s="514"/>
      <c r="O488" s="514"/>
      <c r="P488" s="514"/>
      <c r="Q488" s="514"/>
      <c r="R488" s="514"/>
      <c r="S488" s="756"/>
      <c r="T488" s="514"/>
      <c r="U488" s="514"/>
      <c r="V488" s="514"/>
      <c r="W488" s="514"/>
      <c r="X488" s="514"/>
      <c r="Y488" s="514"/>
      <c r="Z488" s="756"/>
      <c r="AA488" s="514"/>
      <c r="AB488" s="514"/>
      <c r="AC488" s="514"/>
      <c r="AD488" s="514"/>
      <c r="AE488" s="774"/>
      <c r="AF488" s="514"/>
      <c r="AG488" s="897"/>
      <c r="AH488" s="789"/>
      <c r="AI488" s="664">
        <f t="shared" si="22"/>
        <v>0</v>
      </c>
      <c r="AJ488" s="521">
        <v>0</v>
      </c>
      <c r="AK488" s="520">
        <f t="shared" si="23"/>
        <v>0</v>
      </c>
      <c r="AL488" s="695" t="s">
        <v>1708</v>
      </c>
      <c r="AM488" s="669">
        <f t="shared" si="24"/>
        <v>19.97</v>
      </c>
    </row>
    <row r="489" spans="1:39" s="500" customFormat="1">
      <c r="A489" s="539" t="s">
        <v>970</v>
      </c>
      <c r="B489" s="539" t="s">
        <v>1277</v>
      </c>
      <c r="C489" s="548" t="s">
        <v>37</v>
      </c>
      <c r="D489" s="519"/>
      <c r="E489" s="726"/>
      <c r="F489" s="520"/>
      <c r="G489" s="520"/>
      <c r="H489" s="520"/>
      <c r="I489" s="521"/>
      <c r="J489" s="521"/>
      <c r="K489" s="521"/>
      <c r="L489" s="756"/>
      <c r="M489" s="514"/>
      <c r="N489" s="514"/>
      <c r="O489" s="514"/>
      <c r="P489" s="514"/>
      <c r="Q489" s="514"/>
      <c r="R489" s="514"/>
      <c r="S489" s="756"/>
      <c r="T489" s="514"/>
      <c r="U489" s="514"/>
      <c r="V489" s="514"/>
      <c r="W489" s="514"/>
      <c r="X489" s="514"/>
      <c r="Y489" s="514"/>
      <c r="Z489" s="756"/>
      <c r="AA489" s="514"/>
      <c r="AB489" s="514"/>
      <c r="AC489" s="514"/>
      <c r="AD489" s="514"/>
      <c r="AE489" s="774"/>
      <c r="AF489" s="514"/>
      <c r="AG489" s="897"/>
      <c r="AH489" s="789"/>
      <c r="AI489" s="664">
        <f t="shared" si="22"/>
        <v>0</v>
      </c>
      <c r="AJ489" s="521">
        <v>0</v>
      </c>
      <c r="AK489" s="520">
        <f t="shared" si="23"/>
        <v>0</v>
      </c>
      <c r="AL489" s="695" t="s">
        <v>1717</v>
      </c>
      <c r="AM489" s="669">
        <f t="shared" si="24"/>
        <v>6.91</v>
      </c>
    </row>
    <row r="490" spans="1:39" s="500" customFormat="1">
      <c r="A490" s="539" t="s">
        <v>971</v>
      </c>
      <c r="B490" s="539" t="s">
        <v>1278</v>
      </c>
      <c r="C490" s="548" t="s">
        <v>37</v>
      </c>
      <c r="D490" s="519"/>
      <c r="E490" s="726"/>
      <c r="F490" s="520"/>
      <c r="G490" s="520"/>
      <c r="H490" s="520"/>
      <c r="I490" s="521"/>
      <c r="J490" s="521"/>
      <c r="K490" s="521"/>
      <c r="L490" s="756"/>
      <c r="M490" s="514"/>
      <c r="N490" s="514"/>
      <c r="O490" s="514"/>
      <c r="P490" s="514"/>
      <c r="Q490" s="514"/>
      <c r="R490" s="514"/>
      <c r="S490" s="756"/>
      <c r="T490" s="514"/>
      <c r="U490" s="514"/>
      <c r="V490" s="514"/>
      <c r="W490" s="514"/>
      <c r="X490" s="514"/>
      <c r="Y490" s="514"/>
      <c r="Z490" s="756"/>
      <c r="AA490" s="514"/>
      <c r="AB490" s="514"/>
      <c r="AC490" s="514"/>
      <c r="AD490" s="514"/>
      <c r="AE490" s="774"/>
      <c r="AF490" s="514"/>
      <c r="AG490" s="897"/>
      <c r="AH490" s="789"/>
      <c r="AI490" s="664">
        <f t="shared" si="22"/>
        <v>0</v>
      </c>
      <c r="AJ490" s="521">
        <v>0</v>
      </c>
      <c r="AK490" s="520">
        <f t="shared" si="23"/>
        <v>0</v>
      </c>
      <c r="AL490" s="695" t="s">
        <v>1725</v>
      </c>
      <c r="AM490" s="669">
        <f t="shared" si="24"/>
        <v>10.5</v>
      </c>
    </row>
    <row r="491" spans="1:39" s="500" customFormat="1">
      <c r="A491" s="539" t="s">
        <v>972</v>
      </c>
      <c r="B491" s="539" t="s">
        <v>1279</v>
      </c>
      <c r="C491" s="548" t="s">
        <v>37</v>
      </c>
      <c r="D491" s="519"/>
      <c r="E491" s="726"/>
      <c r="F491" s="520"/>
      <c r="G491" s="520"/>
      <c r="H491" s="520"/>
      <c r="I491" s="521"/>
      <c r="J491" s="521"/>
      <c r="K491" s="521"/>
      <c r="L491" s="756"/>
      <c r="M491" s="514"/>
      <c r="N491" s="514"/>
      <c r="O491" s="514"/>
      <c r="P491" s="514"/>
      <c r="Q491" s="514"/>
      <c r="R491" s="514"/>
      <c r="S491" s="756"/>
      <c r="T491" s="514"/>
      <c r="U491" s="514"/>
      <c r="V491" s="514"/>
      <c r="W491" s="514"/>
      <c r="X491" s="514"/>
      <c r="Y491" s="514"/>
      <c r="Z491" s="756"/>
      <c r="AA491" s="514"/>
      <c r="AB491" s="514"/>
      <c r="AC491" s="514"/>
      <c r="AD491" s="514"/>
      <c r="AE491" s="774"/>
      <c r="AF491" s="514"/>
      <c r="AG491" s="897"/>
      <c r="AH491" s="789"/>
      <c r="AI491" s="664">
        <f t="shared" ref="AI491:AI554" si="25">ROUND((SUM(D491:L491)),2)</f>
        <v>0</v>
      </c>
      <c r="AJ491" s="521">
        <v>0</v>
      </c>
      <c r="AK491" s="520">
        <f t="shared" si="23"/>
        <v>0</v>
      </c>
      <c r="AL491" s="695"/>
      <c r="AM491" s="669">
        <f t="shared" si="24"/>
        <v>0</v>
      </c>
    </row>
    <row r="492" spans="1:39" s="500" customFormat="1">
      <c r="A492" s="542" t="s">
        <v>973</v>
      </c>
      <c r="B492" s="542" t="s">
        <v>1280</v>
      </c>
      <c r="C492" s="616"/>
      <c r="D492" s="519"/>
      <c r="E492" s="726"/>
      <c r="F492" s="520"/>
      <c r="G492" s="520"/>
      <c r="H492" s="520"/>
      <c r="I492" s="521"/>
      <c r="J492" s="521"/>
      <c r="K492" s="521"/>
      <c r="L492" s="756"/>
      <c r="M492" s="514"/>
      <c r="N492" s="514"/>
      <c r="O492" s="514"/>
      <c r="P492" s="514"/>
      <c r="Q492" s="514"/>
      <c r="R492" s="514"/>
      <c r="S492" s="756"/>
      <c r="T492" s="514"/>
      <c r="U492" s="514"/>
      <c r="V492" s="514"/>
      <c r="W492" s="514"/>
      <c r="X492" s="514"/>
      <c r="Y492" s="514"/>
      <c r="Z492" s="756"/>
      <c r="AA492" s="514"/>
      <c r="AB492" s="514"/>
      <c r="AC492" s="514"/>
      <c r="AD492" s="514"/>
      <c r="AE492" s="774"/>
      <c r="AF492" s="514"/>
      <c r="AG492" s="897"/>
      <c r="AH492" s="789"/>
      <c r="AI492" s="664">
        <f t="shared" si="25"/>
        <v>0</v>
      </c>
      <c r="AJ492" s="521">
        <v>0</v>
      </c>
      <c r="AK492" s="520">
        <f t="shared" si="23"/>
        <v>0</v>
      </c>
      <c r="AL492" s="695" t="s">
        <v>1726</v>
      </c>
      <c r="AM492" s="669">
        <f t="shared" si="24"/>
        <v>11</v>
      </c>
    </row>
    <row r="493" spans="1:39" s="500" customFormat="1">
      <c r="A493" s="539" t="s">
        <v>974</v>
      </c>
      <c r="B493" s="539" t="s">
        <v>1281</v>
      </c>
      <c r="C493" s="548" t="s">
        <v>1450</v>
      </c>
      <c r="D493" s="519"/>
      <c r="E493" s="726"/>
      <c r="F493" s="520"/>
      <c r="G493" s="520"/>
      <c r="H493" s="520"/>
      <c r="I493" s="521"/>
      <c r="J493" s="521"/>
      <c r="K493" s="521"/>
      <c r="L493" s="756"/>
      <c r="M493" s="514"/>
      <c r="N493" s="514"/>
      <c r="O493" s="514"/>
      <c r="P493" s="514"/>
      <c r="Q493" s="514"/>
      <c r="R493" s="514"/>
      <c r="S493" s="756"/>
      <c r="T493" s="514"/>
      <c r="U493" s="514"/>
      <c r="V493" s="514"/>
      <c r="W493" s="514"/>
      <c r="X493" s="514"/>
      <c r="Y493" s="514"/>
      <c r="Z493" s="756"/>
      <c r="AA493" s="514"/>
      <c r="AB493" s="514"/>
      <c r="AC493" s="514"/>
      <c r="AD493" s="514"/>
      <c r="AE493" s="774"/>
      <c r="AF493" s="514"/>
      <c r="AG493" s="897"/>
      <c r="AH493" s="789"/>
      <c r="AI493" s="664">
        <f t="shared" si="25"/>
        <v>0</v>
      </c>
      <c r="AJ493" s="521">
        <v>0</v>
      </c>
      <c r="AK493" s="520">
        <f t="shared" si="23"/>
        <v>0</v>
      </c>
      <c r="AL493" s="695" t="s">
        <v>1455</v>
      </c>
      <c r="AM493" s="669">
        <f t="shared" si="24"/>
        <v>1</v>
      </c>
    </row>
    <row r="494" spans="1:39" s="500" customFormat="1">
      <c r="A494" s="539" t="s">
        <v>975</v>
      </c>
      <c r="B494" s="539" t="s">
        <v>1282</v>
      </c>
      <c r="C494" s="548" t="s">
        <v>64</v>
      </c>
      <c r="D494" s="519"/>
      <c r="E494" s="726"/>
      <c r="F494" s="520"/>
      <c r="G494" s="520"/>
      <c r="H494" s="520"/>
      <c r="I494" s="521"/>
      <c r="J494" s="521"/>
      <c r="K494" s="521"/>
      <c r="L494" s="756"/>
      <c r="M494" s="514"/>
      <c r="N494" s="514"/>
      <c r="O494" s="514"/>
      <c r="P494" s="514"/>
      <c r="Q494" s="514"/>
      <c r="R494" s="514"/>
      <c r="S494" s="756"/>
      <c r="T494" s="514"/>
      <c r="U494" s="514"/>
      <c r="V494" s="514"/>
      <c r="W494" s="514"/>
      <c r="X494" s="514"/>
      <c r="Y494" s="514"/>
      <c r="Z494" s="756"/>
      <c r="AA494" s="514"/>
      <c r="AB494" s="514"/>
      <c r="AC494" s="514"/>
      <c r="AD494" s="514"/>
      <c r="AE494" s="774"/>
      <c r="AF494" s="514"/>
      <c r="AG494" s="897"/>
      <c r="AH494" s="789"/>
      <c r="AI494" s="664">
        <f t="shared" si="25"/>
        <v>0</v>
      </c>
      <c r="AJ494" s="521">
        <v>0</v>
      </c>
      <c r="AK494" s="520">
        <f t="shared" si="23"/>
        <v>0</v>
      </c>
      <c r="AL494" s="695" t="s">
        <v>1727</v>
      </c>
      <c r="AM494" s="669">
        <f t="shared" si="24"/>
        <v>8.15</v>
      </c>
    </row>
    <row r="495" spans="1:39" s="500" customFormat="1">
      <c r="A495" s="539" t="s">
        <v>976</v>
      </c>
      <c r="B495" s="539" t="s">
        <v>1283</v>
      </c>
      <c r="C495" s="548" t="s">
        <v>37</v>
      </c>
      <c r="D495" s="519"/>
      <c r="E495" s="726"/>
      <c r="F495" s="520"/>
      <c r="G495" s="520"/>
      <c r="H495" s="520"/>
      <c r="I495" s="521"/>
      <c r="J495" s="521"/>
      <c r="K495" s="521"/>
      <c r="L495" s="756"/>
      <c r="M495" s="514"/>
      <c r="N495" s="514"/>
      <c r="O495" s="514"/>
      <c r="P495" s="514"/>
      <c r="Q495" s="514"/>
      <c r="R495" s="514"/>
      <c r="S495" s="756"/>
      <c r="T495" s="514"/>
      <c r="U495" s="514"/>
      <c r="V495" s="514"/>
      <c r="W495" s="514"/>
      <c r="X495" s="514"/>
      <c r="Y495" s="514"/>
      <c r="Z495" s="756"/>
      <c r="AA495" s="514"/>
      <c r="AB495" s="514"/>
      <c r="AC495" s="514"/>
      <c r="AD495" s="514"/>
      <c r="AE495" s="774"/>
      <c r="AF495" s="514"/>
      <c r="AG495" s="897"/>
      <c r="AH495" s="789"/>
      <c r="AI495" s="664">
        <f t="shared" si="25"/>
        <v>0</v>
      </c>
      <c r="AJ495" s="521">
        <v>0</v>
      </c>
      <c r="AK495" s="520">
        <f t="shared" si="23"/>
        <v>0</v>
      </c>
      <c r="AL495" s="695"/>
      <c r="AM495" s="669">
        <f t="shared" si="24"/>
        <v>0</v>
      </c>
    </row>
    <row r="496" spans="1:39" s="730" customFormat="1">
      <c r="A496" s="814" t="s">
        <v>526</v>
      </c>
      <c r="B496" s="815" t="s">
        <v>1298</v>
      </c>
      <c r="C496" s="844"/>
      <c r="D496" s="743"/>
      <c r="E496" s="726"/>
      <c r="F496" s="726"/>
      <c r="G496" s="726"/>
      <c r="H496" s="726"/>
      <c r="I496" s="725"/>
      <c r="J496" s="725"/>
      <c r="K496" s="725"/>
      <c r="L496" s="756"/>
      <c r="M496" s="756"/>
      <c r="N496" s="756"/>
      <c r="O496" s="756"/>
      <c r="P496" s="756"/>
      <c r="Q496" s="756"/>
      <c r="R496" s="756"/>
      <c r="S496" s="756"/>
      <c r="T496" s="756"/>
      <c r="U496" s="756"/>
      <c r="V496" s="756"/>
      <c r="W496" s="756"/>
      <c r="X496" s="756"/>
      <c r="Y496" s="756"/>
      <c r="Z496" s="756"/>
      <c r="AA496" s="756"/>
      <c r="AB496" s="756"/>
      <c r="AC496" s="756"/>
      <c r="AD496" s="756"/>
      <c r="AE496" s="774"/>
      <c r="AF496" s="756"/>
      <c r="AG496" s="897"/>
      <c r="AH496" s="819"/>
      <c r="AI496" s="786">
        <f t="shared" si="25"/>
        <v>0</v>
      </c>
      <c r="AJ496" s="725">
        <v>0</v>
      </c>
      <c r="AK496" s="726">
        <f t="shared" si="23"/>
        <v>0</v>
      </c>
      <c r="AL496" s="847"/>
      <c r="AM496" s="729">
        <f t="shared" si="24"/>
        <v>0</v>
      </c>
    </row>
    <row r="497" spans="1:39" s="730" customFormat="1">
      <c r="A497" s="831" t="s">
        <v>527</v>
      </c>
      <c r="B497" s="831" t="s">
        <v>1236</v>
      </c>
      <c r="C497" s="844"/>
      <c r="D497" s="743"/>
      <c r="E497" s="726"/>
      <c r="F497" s="726"/>
      <c r="G497" s="726"/>
      <c r="H497" s="726"/>
      <c r="I497" s="725"/>
      <c r="J497" s="725"/>
      <c r="K497" s="725"/>
      <c r="L497" s="756"/>
      <c r="M497" s="756"/>
      <c r="N497" s="756"/>
      <c r="O497" s="756"/>
      <c r="P497" s="756"/>
      <c r="Q497" s="756"/>
      <c r="R497" s="756"/>
      <c r="S497" s="756"/>
      <c r="T497" s="756"/>
      <c r="U497" s="756"/>
      <c r="V497" s="756"/>
      <c r="W497" s="756"/>
      <c r="X497" s="756"/>
      <c r="Y497" s="756"/>
      <c r="Z497" s="756"/>
      <c r="AA497" s="756"/>
      <c r="AB497" s="756"/>
      <c r="AC497" s="756"/>
      <c r="AD497" s="756"/>
      <c r="AE497" s="774"/>
      <c r="AF497" s="756"/>
      <c r="AG497" s="897"/>
      <c r="AH497" s="819"/>
      <c r="AI497" s="786">
        <f t="shared" si="25"/>
        <v>0</v>
      </c>
      <c r="AJ497" s="725">
        <v>0</v>
      </c>
      <c r="AK497" s="726">
        <f t="shared" si="23"/>
        <v>0</v>
      </c>
      <c r="AL497" s="847" t="s">
        <v>1728</v>
      </c>
      <c r="AM497" s="729">
        <f t="shared" si="24"/>
        <v>239.98</v>
      </c>
    </row>
    <row r="498" spans="1:39" s="730" customFormat="1">
      <c r="A498" s="720" t="s">
        <v>528</v>
      </c>
      <c r="B498" s="720" t="s">
        <v>1299</v>
      </c>
      <c r="C498" s="823" t="s">
        <v>37</v>
      </c>
      <c r="D498" s="743"/>
      <c r="E498" s="726"/>
      <c r="F498" s="726"/>
      <c r="G498" s="726"/>
      <c r="H498" s="726"/>
      <c r="I498" s="725"/>
      <c r="J498" s="725"/>
      <c r="K498" s="725"/>
      <c r="L498" s="756"/>
      <c r="M498" s="756"/>
      <c r="N498" s="756"/>
      <c r="O498" s="756"/>
      <c r="P498" s="756"/>
      <c r="Q498" s="756"/>
      <c r="R498" s="756"/>
      <c r="S498" s="756"/>
      <c r="T498" s="756"/>
      <c r="U498" s="756"/>
      <c r="V498" s="756"/>
      <c r="W498" s="756"/>
      <c r="X498" s="756"/>
      <c r="Y498" s="756"/>
      <c r="Z498" s="756"/>
      <c r="AA498" s="756"/>
      <c r="AB498" s="756"/>
      <c r="AC498" s="756"/>
      <c r="AD498" s="756"/>
      <c r="AE498" s="774"/>
      <c r="AF498" s="756"/>
      <c r="AG498" s="897"/>
      <c r="AH498" s="819"/>
      <c r="AI498" s="786">
        <f t="shared" si="25"/>
        <v>0</v>
      </c>
      <c r="AJ498" s="725">
        <v>0</v>
      </c>
      <c r="AK498" s="726">
        <f t="shared" si="23"/>
        <v>0</v>
      </c>
      <c r="AL498" s="847"/>
      <c r="AM498" s="729">
        <f t="shared" si="24"/>
        <v>0</v>
      </c>
    </row>
    <row r="499" spans="1:39" s="500" customFormat="1">
      <c r="A499" s="542" t="s">
        <v>977</v>
      </c>
      <c r="B499" s="542" t="s">
        <v>1239</v>
      </c>
      <c r="C499" s="616"/>
      <c r="D499" s="519"/>
      <c r="E499" s="726"/>
      <c r="F499" s="520"/>
      <c r="G499" s="520"/>
      <c r="H499" s="520"/>
      <c r="I499" s="521"/>
      <c r="J499" s="521"/>
      <c r="K499" s="521"/>
      <c r="L499" s="756"/>
      <c r="M499" s="514"/>
      <c r="N499" s="514"/>
      <c r="O499" s="514"/>
      <c r="P499" s="514"/>
      <c r="Q499" s="514"/>
      <c r="R499" s="514"/>
      <c r="S499" s="756"/>
      <c r="T499" s="514"/>
      <c r="U499" s="514"/>
      <c r="V499" s="514"/>
      <c r="W499" s="514"/>
      <c r="X499" s="514"/>
      <c r="Y499" s="514"/>
      <c r="Z499" s="756"/>
      <c r="AA499" s="514"/>
      <c r="AB499" s="514"/>
      <c r="AC499" s="514"/>
      <c r="AD499" s="514"/>
      <c r="AE499" s="774"/>
      <c r="AF499" s="514"/>
      <c r="AG499" s="897"/>
      <c r="AH499" s="789"/>
      <c r="AI499" s="664">
        <f t="shared" si="25"/>
        <v>0</v>
      </c>
      <c r="AJ499" s="521">
        <v>0</v>
      </c>
      <c r="AK499" s="520">
        <f t="shared" si="23"/>
        <v>0</v>
      </c>
      <c r="AL499" s="695" t="s">
        <v>1729</v>
      </c>
      <c r="AM499" s="669">
        <f t="shared" si="24"/>
        <v>117.85</v>
      </c>
    </row>
    <row r="500" spans="1:39" s="500" customFormat="1">
      <c r="A500" s="539" t="s">
        <v>978</v>
      </c>
      <c r="B500" s="539" t="s">
        <v>1300</v>
      </c>
      <c r="C500" s="548" t="s">
        <v>37</v>
      </c>
      <c r="D500" s="519"/>
      <c r="E500" s="726"/>
      <c r="F500" s="520"/>
      <c r="G500" s="520"/>
      <c r="H500" s="520"/>
      <c r="I500" s="521"/>
      <c r="J500" s="521"/>
      <c r="K500" s="521"/>
      <c r="L500" s="756"/>
      <c r="M500" s="514"/>
      <c r="N500" s="514"/>
      <c r="O500" s="514"/>
      <c r="P500" s="514"/>
      <c r="Q500" s="514"/>
      <c r="R500" s="514"/>
      <c r="S500" s="756"/>
      <c r="T500" s="514"/>
      <c r="U500" s="514"/>
      <c r="V500" s="514"/>
      <c r="W500" s="514"/>
      <c r="X500" s="514"/>
      <c r="Y500" s="514"/>
      <c r="Z500" s="756"/>
      <c r="AA500" s="514"/>
      <c r="AB500" s="514"/>
      <c r="AC500" s="514"/>
      <c r="AD500" s="514"/>
      <c r="AE500" s="774"/>
      <c r="AF500" s="514"/>
      <c r="AG500" s="897"/>
      <c r="AH500" s="789"/>
      <c r="AI500" s="664">
        <f t="shared" si="25"/>
        <v>0</v>
      </c>
      <c r="AJ500" s="521">
        <v>0</v>
      </c>
      <c r="AK500" s="520">
        <f t="shared" si="23"/>
        <v>0</v>
      </c>
      <c r="AL500" s="695" t="s">
        <v>1730</v>
      </c>
      <c r="AM500" s="669">
        <f t="shared" si="24"/>
        <v>65.94</v>
      </c>
    </row>
    <row r="501" spans="1:39" s="500" customFormat="1">
      <c r="A501" s="539" t="s">
        <v>979</v>
      </c>
      <c r="B501" s="539" t="s">
        <v>1301</v>
      </c>
      <c r="C501" s="548" t="s">
        <v>37</v>
      </c>
      <c r="D501" s="519"/>
      <c r="E501" s="726"/>
      <c r="F501" s="520"/>
      <c r="G501" s="520"/>
      <c r="H501" s="520"/>
      <c r="I501" s="521"/>
      <c r="J501" s="521"/>
      <c r="K501" s="521"/>
      <c r="L501" s="756"/>
      <c r="M501" s="514"/>
      <c r="N501" s="514"/>
      <c r="O501" s="514"/>
      <c r="P501" s="514"/>
      <c r="Q501" s="514"/>
      <c r="R501" s="514"/>
      <c r="S501" s="756"/>
      <c r="T501" s="514"/>
      <c r="U501" s="514"/>
      <c r="V501" s="514"/>
      <c r="W501" s="514"/>
      <c r="X501" s="514"/>
      <c r="Y501" s="514"/>
      <c r="Z501" s="756"/>
      <c r="AA501" s="514"/>
      <c r="AB501" s="514"/>
      <c r="AC501" s="514"/>
      <c r="AD501" s="514"/>
      <c r="AE501" s="774"/>
      <c r="AF501" s="514"/>
      <c r="AG501" s="897"/>
      <c r="AH501" s="789"/>
      <c r="AI501" s="664">
        <f t="shared" si="25"/>
        <v>0</v>
      </c>
      <c r="AJ501" s="521">
        <v>0</v>
      </c>
      <c r="AK501" s="520">
        <f t="shared" si="23"/>
        <v>0</v>
      </c>
      <c r="AL501" s="695" t="s">
        <v>1590</v>
      </c>
      <c r="AM501" s="669">
        <f t="shared" si="24"/>
        <v>49.66</v>
      </c>
    </row>
    <row r="502" spans="1:39" s="500" customFormat="1">
      <c r="A502" s="539" t="s">
        <v>980</v>
      </c>
      <c r="B502" s="539" t="s">
        <v>1302</v>
      </c>
      <c r="C502" s="548" t="s">
        <v>37</v>
      </c>
      <c r="D502" s="519"/>
      <c r="E502" s="726"/>
      <c r="F502" s="520"/>
      <c r="G502" s="520"/>
      <c r="H502" s="520"/>
      <c r="I502" s="521"/>
      <c r="J502" s="521"/>
      <c r="K502" s="521"/>
      <c r="L502" s="756"/>
      <c r="M502" s="514"/>
      <c r="N502" s="514"/>
      <c r="O502" s="514"/>
      <c r="P502" s="514"/>
      <c r="Q502" s="514"/>
      <c r="R502" s="514"/>
      <c r="S502" s="756"/>
      <c r="T502" s="514"/>
      <c r="U502" s="514"/>
      <c r="V502" s="514"/>
      <c r="W502" s="514"/>
      <c r="X502" s="514"/>
      <c r="Y502" s="514"/>
      <c r="Z502" s="756"/>
      <c r="AA502" s="514"/>
      <c r="AB502" s="514"/>
      <c r="AC502" s="514"/>
      <c r="AD502" s="514"/>
      <c r="AE502" s="774"/>
      <c r="AF502" s="514"/>
      <c r="AG502" s="897"/>
      <c r="AH502" s="789"/>
      <c r="AI502" s="664">
        <f t="shared" si="25"/>
        <v>0</v>
      </c>
      <c r="AJ502" s="521">
        <v>0</v>
      </c>
      <c r="AK502" s="520">
        <f t="shared" si="23"/>
        <v>0</v>
      </c>
      <c r="AL502" s="695"/>
      <c r="AM502" s="669">
        <f t="shared" si="24"/>
        <v>0</v>
      </c>
    </row>
    <row r="503" spans="1:39" s="500" customFormat="1">
      <c r="A503" s="542" t="s">
        <v>981</v>
      </c>
      <c r="B503" s="542" t="s">
        <v>1291</v>
      </c>
      <c r="C503" s="616"/>
      <c r="D503" s="519"/>
      <c r="E503" s="726"/>
      <c r="F503" s="520"/>
      <c r="G503" s="520"/>
      <c r="H503" s="520"/>
      <c r="I503" s="521"/>
      <c r="J503" s="521"/>
      <c r="K503" s="521"/>
      <c r="L503" s="756"/>
      <c r="M503" s="514"/>
      <c r="N503" s="514"/>
      <c r="O503" s="514"/>
      <c r="P503" s="514"/>
      <c r="Q503" s="514"/>
      <c r="R503" s="514"/>
      <c r="S503" s="756"/>
      <c r="T503" s="514"/>
      <c r="U503" s="514"/>
      <c r="V503" s="514"/>
      <c r="W503" s="514"/>
      <c r="X503" s="514"/>
      <c r="Y503" s="514"/>
      <c r="Z503" s="756"/>
      <c r="AA503" s="514"/>
      <c r="AB503" s="514"/>
      <c r="AC503" s="514"/>
      <c r="AD503" s="514"/>
      <c r="AE503" s="774"/>
      <c r="AF503" s="514"/>
      <c r="AG503" s="897"/>
      <c r="AH503" s="789"/>
      <c r="AI503" s="664">
        <f t="shared" si="25"/>
        <v>0</v>
      </c>
      <c r="AJ503" s="521">
        <v>0</v>
      </c>
      <c r="AK503" s="520">
        <f t="shared" si="23"/>
        <v>0</v>
      </c>
      <c r="AL503" s="695" t="s">
        <v>1731</v>
      </c>
      <c r="AM503" s="669">
        <f t="shared" si="24"/>
        <v>7.98</v>
      </c>
    </row>
    <row r="504" spans="1:39" s="500" customFormat="1">
      <c r="A504" s="539" t="s">
        <v>982</v>
      </c>
      <c r="B504" s="539" t="s">
        <v>1303</v>
      </c>
      <c r="C504" s="548" t="s">
        <v>37</v>
      </c>
      <c r="D504" s="519"/>
      <c r="E504" s="726"/>
      <c r="F504" s="520"/>
      <c r="G504" s="520"/>
      <c r="H504" s="520"/>
      <c r="I504" s="521"/>
      <c r="J504" s="521"/>
      <c r="K504" s="521"/>
      <c r="L504" s="756"/>
      <c r="M504" s="514"/>
      <c r="N504" s="514"/>
      <c r="O504" s="514"/>
      <c r="P504" s="514"/>
      <c r="Q504" s="514"/>
      <c r="R504" s="514"/>
      <c r="S504" s="756"/>
      <c r="T504" s="514"/>
      <c r="U504" s="514"/>
      <c r="V504" s="514"/>
      <c r="W504" s="514"/>
      <c r="X504" s="514"/>
      <c r="Y504" s="514"/>
      <c r="Z504" s="756"/>
      <c r="AA504" s="514"/>
      <c r="AB504" s="514"/>
      <c r="AC504" s="514"/>
      <c r="AD504" s="514"/>
      <c r="AE504" s="774"/>
      <c r="AF504" s="514"/>
      <c r="AG504" s="897"/>
      <c r="AH504" s="789"/>
      <c r="AI504" s="664">
        <f t="shared" si="25"/>
        <v>0</v>
      </c>
      <c r="AJ504" s="521">
        <v>0</v>
      </c>
      <c r="AK504" s="520">
        <f t="shared" si="23"/>
        <v>0</v>
      </c>
      <c r="AL504" s="695"/>
      <c r="AM504" s="669">
        <f t="shared" si="24"/>
        <v>0</v>
      </c>
    </row>
    <row r="505" spans="1:39" s="500" customFormat="1">
      <c r="A505" s="542" t="s">
        <v>983</v>
      </c>
      <c r="B505" s="542" t="s">
        <v>1272</v>
      </c>
      <c r="C505" s="616"/>
      <c r="D505" s="519"/>
      <c r="E505" s="726"/>
      <c r="F505" s="520"/>
      <c r="G505" s="520"/>
      <c r="H505" s="520"/>
      <c r="I505" s="521"/>
      <c r="J505" s="521"/>
      <c r="K505" s="521"/>
      <c r="L505" s="756"/>
      <c r="M505" s="514"/>
      <c r="N505" s="514"/>
      <c r="O505" s="514"/>
      <c r="P505" s="514"/>
      <c r="Q505" s="514"/>
      <c r="R505" s="514"/>
      <c r="S505" s="756"/>
      <c r="T505" s="514"/>
      <c r="U505" s="514"/>
      <c r="V505" s="514"/>
      <c r="W505" s="514"/>
      <c r="X505" s="514"/>
      <c r="Y505" s="514"/>
      <c r="Z505" s="756"/>
      <c r="AA505" s="514"/>
      <c r="AB505" s="514"/>
      <c r="AC505" s="514"/>
      <c r="AD505" s="514"/>
      <c r="AE505" s="774"/>
      <c r="AF505" s="514"/>
      <c r="AG505" s="897"/>
      <c r="AH505" s="789"/>
      <c r="AI505" s="664">
        <f t="shared" si="25"/>
        <v>0</v>
      </c>
      <c r="AJ505" s="521">
        <v>0</v>
      </c>
      <c r="AK505" s="520">
        <f t="shared" si="23"/>
        <v>0</v>
      </c>
      <c r="AL505" s="695" t="s">
        <v>1729</v>
      </c>
      <c r="AM505" s="669">
        <f t="shared" si="24"/>
        <v>117.85</v>
      </c>
    </row>
    <row r="506" spans="1:39" s="500" customFormat="1">
      <c r="A506" s="539" t="s">
        <v>984</v>
      </c>
      <c r="B506" s="539" t="s">
        <v>1304</v>
      </c>
      <c r="C506" s="548" t="s">
        <v>37</v>
      </c>
      <c r="D506" s="519"/>
      <c r="E506" s="726"/>
      <c r="F506" s="520"/>
      <c r="G506" s="520"/>
      <c r="H506" s="520"/>
      <c r="I506" s="521"/>
      <c r="J506" s="521"/>
      <c r="K506" s="521"/>
      <c r="L506" s="756"/>
      <c r="M506" s="514"/>
      <c r="N506" s="514"/>
      <c r="O506" s="514"/>
      <c r="P506" s="514"/>
      <c r="Q506" s="514"/>
      <c r="R506" s="514"/>
      <c r="S506" s="756"/>
      <c r="T506" s="514"/>
      <c r="U506" s="514"/>
      <c r="V506" s="514"/>
      <c r="W506" s="514"/>
      <c r="X506" s="514"/>
      <c r="Y506" s="514"/>
      <c r="Z506" s="756"/>
      <c r="AA506" s="514"/>
      <c r="AB506" s="514"/>
      <c r="AC506" s="514"/>
      <c r="AD506" s="514"/>
      <c r="AE506" s="774"/>
      <c r="AF506" s="514"/>
      <c r="AG506" s="897"/>
      <c r="AH506" s="789"/>
      <c r="AI506" s="664">
        <f t="shared" si="25"/>
        <v>0</v>
      </c>
      <c r="AJ506" s="521">
        <v>0</v>
      </c>
      <c r="AK506" s="520">
        <f t="shared" si="23"/>
        <v>0</v>
      </c>
      <c r="AL506" s="695" t="s">
        <v>1730</v>
      </c>
      <c r="AM506" s="669">
        <f t="shared" si="24"/>
        <v>65.94</v>
      </c>
    </row>
    <row r="507" spans="1:39" s="500" customFormat="1">
      <c r="A507" s="539" t="s">
        <v>985</v>
      </c>
      <c r="B507" s="539" t="s">
        <v>1276</v>
      </c>
      <c r="C507" s="548" t="s">
        <v>37</v>
      </c>
      <c r="D507" s="519"/>
      <c r="E507" s="726"/>
      <c r="F507" s="520"/>
      <c r="G507" s="520"/>
      <c r="H507" s="520"/>
      <c r="I507" s="521"/>
      <c r="J507" s="521"/>
      <c r="K507" s="521"/>
      <c r="L507" s="756"/>
      <c r="M507" s="514"/>
      <c r="N507" s="514"/>
      <c r="O507" s="514"/>
      <c r="P507" s="514"/>
      <c r="Q507" s="514"/>
      <c r="R507" s="514"/>
      <c r="S507" s="756"/>
      <c r="T507" s="514"/>
      <c r="U507" s="514"/>
      <c r="V507" s="514"/>
      <c r="W507" s="514"/>
      <c r="X507" s="514"/>
      <c r="Y507" s="514"/>
      <c r="Z507" s="756"/>
      <c r="AA507" s="514"/>
      <c r="AB507" s="514"/>
      <c r="AC507" s="514"/>
      <c r="AD507" s="514"/>
      <c r="AE507" s="774"/>
      <c r="AF507" s="514"/>
      <c r="AG507" s="897"/>
      <c r="AH507" s="789"/>
      <c r="AI507" s="664">
        <f t="shared" si="25"/>
        <v>0</v>
      </c>
      <c r="AJ507" s="521">
        <v>0</v>
      </c>
      <c r="AK507" s="520">
        <f t="shared" si="23"/>
        <v>0</v>
      </c>
      <c r="AL507" s="695" t="s">
        <v>1590</v>
      </c>
      <c r="AM507" s="669">
        <f t="shared" si="24"/>
        <v>49.66</v>
      </c>
    </row>
    <row r="508" spans="1:39" s="500" customFormat="1">
      <c r="A508" s="539" t="s">
        <v>986</v>
      </c>
      <c r="B508" s="539" t="s">
        <v>1277</v>
      </c>
      <c r="C508" s="548" t="s">
        <v>37</v>
      </c>
      <c r="D508" s="519"/>
      <c r="E508" s="726"/>
      <c r="F508" s="520"/>
      <c r="G508" s="520"/>
      <c r="H508" s="520"/>
      <c r="I508" s="521"/>
      <c r="J508" s="521"/>
      <c r="K508" s="521"/>
      <c r="L508" s="756"/>
      <c r="M508" s="514"/>
      <c r="N508" s="514"/>
      <c r="O508" s="514"/>
      <c r="P508" s="514"/>
      <c r="Q508" s="514"/>
      <c r="R508" s="514"/>
      <c r="S508" s="756"/>
      <c r="T508" s="514"/>
      <c r="U508" s="514"/>
      <c r="V508" s="514"/>
      <c r="W508" s="514"/>
      <c r="X508" s="514"/>
      <c r="Y508" s="514"/>
      <c r="Z508" s="756"/>
      <c r="AA508" s="514"/>
      <c r="AB508" s="514"/>
      <c r="AC508" s="514"/>
      <c r="AD508" s="514"/>
      <c r="AE508" s="774"/>
      <c r="AF508" s="514"/>
      <c r="AG508" s="897"/>
      <c r="AH508" s="789"/>
      <c r="AI508" s="664">
        <f t="shared" si="25"/>
        <v>0</v>
      </c>
      <c r="AJ508" s="521">
        <v>0</v>
      </c>
      <c r="AK508" s="520">
        <f t="shared" si="23"/>
        <v>0</v>
      </c>
      <c r="AL508" s="695"/>
      <c r="AM508" s="669">
        <f t="shared" si="24"/>
        <v>0</v>
      </c>
    </row>
    <row r="509" spans="1:39" s="500" customFormat="1">
      <c r="A509" s="440" t="s">
        <v>987</v>
      </c>
      <c r="B509" s="543" t="s">
        <v>1305</v>
      </c>
      <c r="C509" s="616"/>
      <c r="D509" s="519"/>
      <c r="E509" s="726"/>
      <c r="F509" s="520"/>
      <c r="G509" s="520"/>
      <c r="H509" s="520"/>
      <c r="I509" s="521"/>
      <c r="J509" s="521"/>
      <c r="K509" s="521"/>
      <c r="L509" s="756"/>
      <c r="M509" s="514"/>
      <c r="N509" s="514"/>
      <c r="O509" s="514"/>
      <c r="P509" s="514"/>
      <c r="Q509" s="514"/>
      <c r="R509" s="514"/>
      <c r="S509" s="756"/>
      <c r="T509" s="514"/>
      <c r="U509" s="514"/>
      <c r="V509" s="514"/>
      <c r="W509" s="514"/>
      <c r="X509" s="514"/>
      <c r="Y509" s="514"/>
      <c r="Z509" s="756"/>
      <c r="AA509" s="514"/>
      <c r="AB509" s="514"/>
      <c r="AC509" s="514"/>
      <c r="AD509" s="514"/>
      <c r="AE509" s="774"/>
      <c r="AF509" s="514"/>
      <c r="AG509" s="897"/>
      <c r="AH509" s="789"/>
      <c r="AI509" s="664">
        <f t="shared" si="25"/>
        <v>0</v>
      </c>
      <c r="AJ509" s="521">
        <v>0</v>
      </c>
      <c r="AK509" s="520">
        <f t="shared" si="23"/>
        <v>0</v>
      </c>
      <c r="AL509" s="695" t="s">
        <v>1732</v>
      </c>
      <c r="AM509" s="669">
        <f t="shared" si="24"/>
        <v>154.19</v>
      </c>
    </row>
    <row r="510" spans="1:39" s="500" customFormat="1">
      <c r="A510" s="542" t="s">
        <v>988</v>
      </c>
      <c r="B510" s="542" t="s">
        <v>1306</v>
      </c>
      <c r="C510" s="548" t="s">
        <v>37</v>
      </c>
      <c r="D510" s="519"/>
      <c r="E510" s="726"/>
      <c r="F510" s="520"/>
      <c r="G510" s="520"/>
      <c r="H510" s="520"/>
      <c r="I510" s="521"/>
      <c r="J510" s="521"/>
      <c r="K510" s="521"/>
      <c r="L510" s="756"/>
      <c r="M510" s="514"/>
      <c r="N510" s="514"/>
      <c r="O510" s="514"/>
      <c r="P510" s="514"/>
      <c r="Q510" s="514"/>
      <c r="R510" s="514"/>
      <c r="S510" s="756"/>
      <c r="T510" s="514"/>
      <c r="U510" s="514"/>
      <c r="V510" s="514"/>
      <c r="W510" s="514"/>
      <c r="X510" s="514"/>
      <c r="Y510" s="514"/>
      <c r="Z510" s="756"/>
      <c r="AA510" s="514"/>
      <c r="AB510" s="514"/>
      <c r="AC510" s="514"/>
      <c r="AD510" s="514"/>
      <c r="AE510" s="774"/>
      <c r="AF510" s="514"/>
      <c r="AG510" s="897"/>
      <c r="AH510" s="789"/>
      <c r="AI510" s="664">
        <f t="shared" si="25"/>
        <v>0</v>
      </c>
      <c r="AJ510" s="521">
        <v>0</v>
      </c>
      <c r="AK510" s="520">
        <f t="shared" si="23"/>
        <v>0</v>
      </c>
      <c r="AL510" s="695" t="s">
        <v>1733</v>
      </c>
      <c r="AM510" s="669">
        <f t="shared" si="24"/>
        <v>48.81</v>
      </c>
    </row>
    <row r="511" spans="1:39" s="500" customFormat="1">
      <c r="A511" s="542" t="s">
        <v>989</v>
      </c>
      <c r="B511" s="542" t="s">
        <v>1307</v>
      </c>
      <c r="C511" s="548" t="s">
        <v>37</v>
      </c>
      <c r="D511" s="519"/>
      <c r="E511" s="726"/>
      <c r="F511" s="520"/>
      <c r="G511" s="520"/>
      <c r="H511" s="520"/>
      <c r="I511" s="521"/>
      <c r="J511" s="521"/>
      <c r="K511" s="521"/>
      <c r="L511" s="756"/>
      <c r="M511" s="514"/>
      <c r="N511" s="514"/>
      <c r="O511" s="514"/>
      <c r="P511" s="514"/>
      <c r="Q511" s="514"/>
      <c r="R511" s="514"/>
      <c r="S511" s="756"/>
      <c r="T511" s="514"/>
      <c r="U511" s="514"/>
      <c r="V511" s="514"/>
      <c r="W511" s="514"/>
      <c r="X511" s="514"/>
      <c r="Y511" s="514"/>
      <c r="Z511" s="756"/>
      <c r="AA511" s="514"/>
      <c r="AB511" s="514"/>
      <c r="AC511" s="514"/>
      <c r="AD511" s="514"/>
      <c r="AE511" s="774"/>
      <c r="AF511" s="514"/>
      <c r="AG511" s="897"/>
      <c r="AH511" s="789"/>
      <c r="AI511" s="664">
        <f t="shared" si="25"/>
        <v>0</v>
      </c>
      <c r="AJ511" s="521">
        <v>0</v>
      </c>
      <c r="AK511" s="520">
        <f t="shared" si="23"/>
        <v>0</v>
      </c>
      <c r="AL511" s="695"/>
      <c r="AM511" s="669">
        <f t="shared" si="24"/>
        <v>0</v>
      </c>
    </row>
    <row r="512" spans="1:39" s="500" customFormat="1">
      <c r="A512" s="440" t="s">
        <v>990</v>
      </c>
      <c r="B512" s="543" t="s">
        <v>1308</v>
      </c>
      <c r="C512" s="616"/>
      <c r="D512" s="519"/>
      <c r="E512" s="726"/>
      <c r="F512" s="520"/>
      <c r="G512" s="520"/>
      <c r="H512" s="520"/>
      <c r="I512" s="521"/>
      <c r="J512" s="521"/>
      <c r="K512" s="521"/>
      <c r="L512" s="756"/>
      <c r="M512" s="514"/>
      <c r="N512" s="514"/>
      <c r="O512" s="514"/>
      <c r="P512" s="514"/>
      <c r="Q512" s="514"/>
      <c r="R512" s="514"/>
      <c r="S512" s="756"/>
      <c r="T512" s="514"/>
      <c r="U512" s="514"/>
      <c r="V512" s="514"/>
      <c r="W512" s="514"/>
      <c r="X512" s="514"/>
      <c r="Y512" s="514"/>
      <c r="Z512" s="756"/>
      <c r="AA512" s="514"/>
      <c r="AB512" s="514"/>
      <c r="AC512" s="514"/>
      <c r="AD512" s="514"/>
      <c r="AE512" s="774"/>
      <c r="AF512" s="514"/>
      <c r="AG512" s="897"/>
      <c r="AH512" s="789"/>
      <c r="AI512" s="664">
        <f t="shared" si="25"/>
        <v>0</v>
      </c>
      <c r="AJ512" s="521">
        <v>0</v>
      </c>
      <c r="AK512" s="520">
        <f t="shared" si="23"/>
        <v>0</v>
      </c>
      <c r="AL512" s="695"/>
      <c r="AM512" s="669">
        <f t="shared" si="24"/>
        <v>0</v>
      </c>
    </row>
    <row r="513" spans="1:39" s="500" customFormat="1">
      <c r="A513" s="542" t="s">
        <v>991</v>
      </c>
      <c r="B513" s="542" t="s">
        <v>1249</v>
      </c>
      <c r="C513" s="616"/>
      <c r="D513" s="519"/>
      <c r="E513" s="726"/>
      <c r="F513" s="520"/>
      <c r="G513" s="520"/>
      <c r="H513" s="520"/>
      <c r="I513" s="521"/>
      <c r="J513" s="521"/>
      <c r="K513" s="521"/>
      <c r="L513" s="756"/>
      <c r="M513" s="514"/>
      <c r="N513" s="514"/>
      <c r="O513" s="514"/>
      <c r="P513" s="514"/>
      <c r="Q513" s="514"/>
      <c r="R513" s="514"/>
      <c r="S513" s="756"/>
      <c r="T513" s="514"/>
      <c r="U513" s="514"/>
      <c r="V513" s="514"/>
      <c r="W513" s="514"/>
      <c r="X513" s="514"/>
      <c r="Y513" s="514"/>
      <c r="Z513" s="756"/>
      <c r="AA513" s="514"/>
      <c r="AB513" s="514"/>
      <c r="AC513" s="514"/>
      <c r="AD513" s="514"/>
      <c r="AE513" s="774"/>
      <c r="AF513" s="514"/>
      <c r="AG513" s="897"/>
      <c r="AH513" s="789"/>
      <c r="AI513" s="664">
        <f t="shared" si="25"/>
        <v>0</v>
      </c>
      <c r="AJ513" s="521">
        <v>0</v>
      </c>
      <c r="AK513" s="520">
        <f t="shared" si="23"/>
        <v>0</v>
      </c>
      <c r="AL513" s="695" t="s">
        <v>1608</v>
      </c>
      <c r="AM513" s="669">
        <f t="shared" si="24"/>
        <v>60</v>
      </c>
    </row>
    <row r="514" spans="1:39" s="500" customFormat="1">
      <c r="A514" s="539" t="s">
        <v>992</v>
      </c>
      <c r="B514" s="539" t="s">
        <v>1309</v>
      </c>
      <c r="C514" s="548" t="s">
        <v>37</v>
      </c>
      <c r="D514" s="519"/>
      <c r="E514" s="726"/>
      <c r="F514" s="520"/>
      <c r="G514" s="520"/>
      <c r="H514" s="520"/>
      <c r="I514" s="521"/>
      <c r="J514" s="521"/>
      <c r="K514" s="521"/>
      <c r="L514" s="756"/>
      <c r="M514" s="514"/>
      <c r="N514" s="514"/>
      <c r="O514" s="514"/>
      <c r="P514" s="514"/>
      <c r="Q514" s="514"/>
      <c r="R514" s="514"/>
      <c r="S514" s="756"/>
      <c r="T514" s="514"/>
      <c r="U514" s="514"/>
      <c r="V514" s="514"/>
      <c r="W514" s="514"/>
      <c r="X514" s="514"/>
      <c r="Y514" s="514"/>
      <c r="Z514" s="756"/>
      <c r="AA514" s="514"/>
      <c r="AB514" s="514"/>
      <c r="AC514" s="514"/>
      <c r="AD514" s="514"/>
      <c r="AE514" s="774"/>
      <c r="AF514" s="514"/>
      <c r="AG514" s="897"/>
      <c r="AH514" s="789"/>
      <c r="AI514" s="664">
        <f t="shared" si="25"/>
        <v>0</v>
      </c>
      <c r="AJ514" s="521">
        <v>0</v>
      </c>
      <c r="AK514" s="520">
        <f t="shared" si="23"/>
        <v>0</v>
      </c>
      <c r="AL514" s="695" t="s">
        <v>1633</v>
      </c>
      <c r="AM514" s="669">
        <f t="shared" si="24"/>
        <v>5.18</v>
      </c>
    </row>
    <row r="515" spans="1:39" s="500" customFormat="1">
      <c r="A515" s="539" t="s">
        <v>993</v>
      </c>
      <c r="B515" s="539" t="s">
        <v>1310</v>
      </c>
      <c r="C515" s="548" t="s">
        <v>37</v>
      </c>
      <c r="D515" s="519"/>
      <c r="E515" s="726"/>
      <c r="F515" s="520"/>
      <c r="G515" s="520"/>
      <c r="H515" s="520"/>
      <c r="I515" s="521"/>
      <c r="J515" s="521"/>
      <c r="K515" s="521"/>
      <c r="L515" s="756"/>
      <c r="M515" s="514"/>
      <c r="N515" s="514"/>
      <c r="O515" s="514"/>
      <c r="P515" s="514"/>
      <c r="Q515" s="514"/>
      <c r="R515" s="514"/>
      <c r="S515" s="756"/>
      <c r="T515" s="514"/>
      <c r="U515" s="514"/>
      <c r="V515" s="514"/>
      <c r="W515" s="514"/>
      <c r="X515" s="514"/>
      <c r="Y515" s="514"/>
      <c r="Z515" s="756"/>
      <c r="AA515" s="514"/>
      <c r="AB515" s="514"/>
      <c r="AC515" s="514"/>
      <c r="AD515" s="514"/>
      <c r="AE515" s="774"/>
      <c r="AF515" s="514"/>
      <c r="AG515" s="897"/>
      <c r="AH515" s="789"/>
      <c r="AI515" s="664">
        <f t="shared" si="25"/>
        <v>0</v>
      </c>
      <c r="AJ515" s="521">
        <v>0</v>
      </c>
      <c r="AK515" s="520">
        <f t="shared" si="23"/>
        <v>0</v>
      </c>
      <c r="AL515" s="695"/>
      <c r="AM515" s="669">
        <f t="shared" si="24"/>
        <v>0</v>
      </c>
    </row>
    <row r="516" spans="1:39" s="500" customFormat="1">
      <c r="A516" s="542" t="s">
        <v>994</v>
      </c>
      <c r="B516" s="542" t="s">
        <v>1253</v>
      </c>
      <c r="C516" s="616"/>
      <c r="D516" s="519"/>
      <c r="E516" s="726"/>
      <c r="F516" s="520"/>
      <c r="G516" s="520"/>
      <c r="H516" s="520"/>
      <c r="I516" s="521"/>
      <c r="J516" s="521"/>
      <c r="K516" s="521"/>
      <c r="L516" s="756"/>
      <c r="M516" s="514"/>
      <c r="N516" s="514"/>
      <c r="O516" s="514"/>
      <c r="P516" s="514"/>
      <c r="Q516" s="514"/>
      <c r="R516" s="514"/>
      <c r="S516" s="756"/>
      <c r="T516" s="514"/>
      <c r="U516" s="514"/>
      <c r="V516" s="514"/>
      <c r="W516" s="514"/>
      <c r="X516" s="514"/>
      <c r="Y516" s="514"/>
      <c r="Z516" s="756"/>
      <c r="AA516" s="514"/>
      <c r="AB516" s="514"/>
      <c r="AC516" s="514"/>
      <c r="AD516" s="514"/>
      <c r="AE516" s="774"/>
      <c r="AF516" s="514"/>
      <c r="AG516" s="897"/>
      <c r="AH516" s="789"/>
      <c r="AI516" s="664">
        <f t="shared" si="25"/>
        <v>0</v>
      </c>
      <c r="AJ516" s="521">
        <v>0</v>
      </c>
      <c r="AK516" s="520">
        <f t="shared" si="23"/>
        <v>0</v>
      </c>
      <c r="AL516" s="695" t="s">
        <v>1734</v>
      </c>
      <c r="AM516" s="669">
        <f t="shared" si="24"/>
        <v>73.98</v>
      </c>
    </row>
    <row r="517" spans="1:39" s="500" customFormat="1">
      <c r="A517" s="539" t="s">
        <v>995</v>
      </c>
      <c r="B517" s="539" t="s">
        <v>1311</v>
      </c>
      <c r="C517" s="548" t="s">
        <v>38</v>
      </c>
      <c r="D517" s="519"/>
      <c r="E517" s="726"/>
      <c r="F517" s="520"/>
      <c r="G517" s="520"/>
      <c r="H517" s="520"/>
      <c r="I517" s="521"/>
      <c r="J517" s="521"/>
      <c r="K517" s="521"/>
      <c r="L517" s="756"/>
      <c r="M517" s="514"/>
      <c r="N517" s="514"/>
      <c r="O517" s="514"/>
      <c r="P517" s="514"/>
      <c r="Q517" s="514"/>
      <c r="R517" s="514"/>
      <c r="S517" s="756"/>
      <c r="T517" s="514"/>
      <c r="U517" s="514"/>
      <c r="V517" s="514"/>
      <c r="W517" s="514"/>
      <c r="X517" s="514"/>
      <c r="Y517" s="514"/>
      <c r="Z517" s="756"/>
      <c r="AA517" s="514"/>
      <c r="AB517" s="514"/>
      <c r="AC517" s="514"/>
      <c r="AD517" s="514"/>
      <c r="AE517" s="774"/>
      <c r="AF517" s="514"/>
      <c r="AG517" s="897"/>
      <c r="AH517" s="789"/>
      <c r="AI517" s="664">
        <f t="shared" si="25"/>
        <v>0</v>
      </c>
      <c r="AJ517" s="521">
        <v>0</v>
      </c>
      <c r="AK517" s="520">
        <f t="shared" si="23"/>
        <v>0</v>
      </c>
      <c r="AL517" s="695" t="s">
        <v>1735</v>
      </c>
      <c r="AM517" s="669">
        <f t="shared" si="24"/>
        <v>44.39</v>
      </c>
    </row>
    <row r="518" spans="1:39" s="500" customFormat="1">
      <c r="A518" s="539" t="s">
        <v>996</v>
      </c>
      <c r="B518" s="539" t="s">
        <v>1255</v>
      </c>
      <c r="C518" s="548" t="s">
        <v>37</v>
      </c>
      <c r="D518" s="519"/>
      <c r="E518" s="726"/>
      <c r="F518" s="520"/>
      <c r="G518" s="520"/>
      <c r="H518" s="520"/>
      <c r="I518" s="521"/>
      <c r="J518" s="521"/>
      <c r="K518" s="521"/>
      <c r="L518" s="756"/>
      <c r="M518" s="514"/>
      <c r="N518" s="514"/>
      <c r="O518" s="514"/>
      <c r="P518" s="514"/>
      <c r="Q518" s="514"/>
      <c r="R518" s="514"/>
      <c r="S518" s="756"/>
      <c r="T518" s="514"/>
      <c r="U518" s="514"/>
      <c r="V518" s="514"/>
      <c r="W518" s="514"/>
      <c r="X518" s="514"/>
      <c r="Y518" s="514"/>
      <c r="Z518" s="756"/>
      <c r="AA518" s="514"/>
      <c r="AB518" s="514"/>
      <c r="AC518" s="514"/>
      <c r="AD518" s="514"/>
      <c r="AE518" s="774"/>
      <c r="AF518" s="514"/>
      <c r="AG518" s="897"/>
      <c r="AH518" s="789"/>
      <c r="AI518" s="664">
        <f t="shared" si="25"/>
        <v>0</v>
      </c>
      <c r="AJ518" s="521">
        <v>0</v>
      </c>
      <c r="AK518" s="520">
        <f t="shared" si="23"/>
        <v>0</v>
      </c>
      <c r="AL518" s="695"/>
      <c r="AM518" s="669">
        <f t="shared" si="24"/>
        <v>0</v>
      </c>
    </row>
    <row r="519" spans="1:39" s="500" customFormat="1">
      <c r="A519" s="542" t="s">
        <v>997</v>
      </c>
      <c r="B519" s="542" t="s">
        <v>1312</v>
      </c>
      <c r="C519" s="616"/>
      <c r="D519" s="519"/>
      <c r="E519" s="726"/>
      <c r="F519" s="520"/>
      <c r="G519" s="520"/>
      <c r="H519" s="520"/>
      <c r="I519" s="521"/>
      <c r="J519" s="521"/>
      <c r="K519" s="521"/>
      <c r="L519" s="756"/>
      <c r="M519" s="514"/>
      <c r="N519" s="514"/>
      <c r="O519" s="514"/>
      <c r="P519" s="514"/>
      <c r="Q519" s="514"/>
      <c r="R519" s="514"/>
      <c r="S519" s="756"/>
      <c r="T519" s="514"/>
      <c r="U519" s="514"/>
      <c r="V519" s="514"/>
      <c r="W519" s="514"/>
      <c r="X519" s="514"/>
      <c r="Y519" s="514"/>
      <c r="Z519" s="756"/>
      <c r="AA519" s="514"/>
      <c r="AB519" s="514"/>
      <c r="AC519" s="514"/>
      <c r="AD519" s="514"/>
      <c r="AE519" s="774"/>
      <c r="AF519" s="514"/>
      <c r="AG519" s="897"/>
      <c r="AH519" s="789"/>
      <c r="AI519" s="664">
        <f t="shared" si="25"/>
        <v>0</v>
      </c>
      <c r="AJ519" s="521">
        <v>0</v>
      </c>
      <c r="AK519" s="520">
        <f t="shared" si="23"/>
        <v>0</v>
      </c>
      <c r="AL519" s="695" t="s">
        <v>1736</v>
      </c>
      <c r="AM519" s="669">
        <f t="shared" si="24"/>
        <v>64</v>
      </c>
    </row>
    <row r="520" spans="1:39" s="500" customFormat="1">
      <c r="A520" s="539" t="s">
        <v>998</v>
      </c>
      <c r="B520" s="539" t="s">
        <v>1313</v>
      </c>
      <c r="C520" s="548" t="s">
        <v>37</v>
      </c>
      <c r="D520" s="519"/>
      <c r="E520" s="726"/>
      <c r="F520" s="520"/>
      <c r="G520" s="520"/>
      <c r="H520" s="520"/>
      <c r="I520" s="521"/>
      <c r="J520" s="521"/>
      <c r="K520" s="521"/>
      <c r="L520" s="756"/>
      <c r="M520" s="514"/>
      <c r="N520" s="514"/>
      <c r="O520" s="514"/>
      <c r="P520" s="514"/>
      <c r="Q520" s="514"/>
      <c r="R520" s="514"/>
      <c r="S520" s="756"/>
      <c r="T520" s="514"/>
      <c r="U520" s="514"/>
      <c r="V520" s="514"/>
      <c r="W520" s="514"/>
      <c r="X520" s="514"/>
      <c r="Y520" s="514"/>
      <c r="Z520" s="756"/>
      <c r="AA520" s="514"/>
      <c r="AB520" s="514"/>
      <c r="AC520" s="514"/>
      <c r="AD520" s="514"/>
      <c r="AE520" s="774"/>
      <c r="AF520" s="514"/>
      <c r="AG520" s="897"/>
      <c r="AH520" s="789"/>
      <c r="AI520" s="664">
        <f t="shared" si="25"/>
        <v>0</v>
      </c>
      <c r="AJ520" s="521">
        <v>0</v>
      </c>
      <c r="AK520" s="520">
        <f t="shared" si="23"/>
        <v>0</v>
      </c>
      <c r="AL520" s="695"/>
      <c r="AM520" s="669">
        <f t="shared" si="24"/>
        <v>0</v>
      </c>
    </row>
    <row r="521" spans="1:39" s="500" customFormat="1">
      <c r="A521" s="542" t="s">
        <v>999</v>
      </c>
      <c r="B521" s="542" t="s">
        <v>1200</v>
      </c>
      <c r="C521" s="616"/>
      <c r="D521" s="519"/>
      <c r="E521" s="726"/>
      <c r="F521" s="520"/>
      <c r="G521" s="520"/>
      <c r="H521" s="520"/>
      <c r="I521" s="521"/>
      <c r="J521" s="521"/>
      <c r="K521" s="521"/>
      <c r="L521" s="756"/>
      <c r="M521" s="514"/>
      <c r="N521" s="514"/>
      <c r="O521" s="514"/>
      <c r="P521" s="514"/>
      <c r="Q521" s="514"/>
      <c r="R521" s="514"/>
      <c r="S521" s="756"/>
      <c r="T521" s="514"/>
      <c r="U521" s="514"/>
      <c r="V521" s="514"/>
      <c r="W521" s="514"/>
      <c r="X521" s="514"/>
      <c r="Y521" s="514"/>
      <c r="Z521" s="756"/>
      <c r="AA521" s="514"/>
      <c r="AB521" s="514"/>
      <c r="AC521" s="514"/>
      <c r="AD521" s="514"/>
      <c r="AE521" s="774"/>
      <c r="AF521" s="514"/>
      <c r="AG521" s="897"/>
      <c r="AH521" s="789"/>
      <c r="AI521" s="664">
        <f t="shared" si="25"/>
        <v>0</v>
      </c>
      <c r="AJ521" s="521">
        <v>0</v>
      </c>
      <c r="AK521" s="520">
        <f t="shared" si="23"/>
        <v>0</v>
      </c>
      <c r="AL521" s="695" t="s">
        <v>1737</v>
      </c>
      <c r="AM521" s="669">
        <f t="shared" si="24"/>
        <v>22</v>
      </c>
    </row>
    <row r="522" spans="1:39" s="500" customFormat="1">
      <c r="A522" s="539" t="s">
        <v>1000</v>
      </c>
      <c r="B522" s="539" t="s">
        <v>1314</v>
      </c>
      <c r="C522" s="548" t="s">
        <v>38</v>
      </c>
      <c r="D522" s="519"/>
      <c r="E522" s="726"/>
      <c r="F522" s="520"/>
      <c r="G522" s="520"/>
      <c r="H522" s="520"/>
      <c r="I522" s="521"/>
      <c r="J522" s="521"/>
      <c r="K522" s="521"/>
      <c r="L522" s="756"/>
      <c r="M522" s="514"/>
      <c r="N522" s="514"/>
      <c r="O522" s="514"/>
      <c r="P522" s="514"/>
      <c r="Q522" s="514"/>
      <c r="R522" s="514"/>
      <c r="S522" s="756"/>
      <c r="T522" s="514"/>
      <c r="U522" s="514"/>
      <c r="V522" s="514"/>
      <c r="W522" s="514"/>
      <c r="X522" s="514"/>
      <c r="Y522" s="514"/>
      <c r="Z522" s="756"/>
      <c r="AA522" s="514"/>
      <c r="AB522" s="514"/>
      <c r="AC522" s="514"/>
      <c r="AD522" s="514"/>
      <c r="AE522" s="774"/>
      <c r="AF522" s="514"/>
      <c r="AG522" s="897"/>
      <c r="AH522" s="789"/>
      <c r="AI522" s="664">
        <f t="shared" si="25"/>
        <v>0</v>
      </c>
      <c r="AJ522" s="521">
        <v>0</v>
      </c>
      <c r="AK522" s="520">
        <f t="shared" si="23"/>
        <v>0</v>
      </c>
      <c r="AL522" s="695" t="s">
        <v>1455</v>
      </c>
      <c r="AM522" s="669">
        <f t="shared" si="24"/>
        <v>1</v>
      </c>
    </row>
    <row r="523" spans="1:39" s="500" customFormat="1">
      <c r="A523" s="539" t="s">
        <v>1001</v>
      </c>
      <c r="B523" s="539" t="s">
        <v>1315</v>
      </c>
      <c r="C523" s="548" t="s">
        <v>1450</v>
      </c>
      <c r="D523" s="519"/>
      <c r="E523" s="726"/>
      <c r="F523" s="520"/>
      <c r="G523" s="520"/>
      <c r="H523" s="520"/>
      <c r="I523" s="521"/>
      <c r="J523" s="521"/>
      <c r="K523" s="521"/>
      <c r="L523" s="756"/>
      <c r="M523" s="514"/>
      <c r="N523" s="514"/>
      <c r="O523" s="514"/>
      <c r="P523" s="514"/>
      <c r="Q523" s="514"/>
      <c r="R523" s="514"/>
      <c r="S523" s="756"/>
      <c r="T523" s="514"/>
      <c r="U523" s="514"/>
      <c r="V523" s="514"/>
      <c r="W523" s="514"/>
      <c r="X523" s="514"/>
      <c r="Y523" s="514"/>
      <c r="Z523" s="756"/>
      <c r="AA523" s="514"/>
      <c r="AB523" s="514"/>
      <c r="AC523" s="514"/>
      <c r="AD523" s="514"/>
      <c r="AE523" s="774"/>
      <c r="AF523" s="514"/>
      <c r="AG523" s="897"/>
      <c r="AH523" s="789"/>
      <c r="AI523" s="664">
        <f t="shared" si="25"/>
        <v>0</v>
      </c>
      <c r="AJ523" s="521">
        <v>0</v>
      </c>
      <c r="AK523" s="520">
        <f t="shared" si="23"/>
        <v>0</v>
      </c>
      <c r="AL523" s="695"/>
      <c r="AM523" s="669">
        <f t="shared" si="24"/>
        <v>0</v>
      </c>
    </row>
    <row r="524" spans="1:39" s="500" customFormat="1">
      <c r="A524" s="440" t="s">
        <v>1002</v>
      </c>
      <c r="B524" s="543" t="s">
        <v>1316</v>
      </c>
      <c r="C524" s="616"/>
      <c r="D524" s="519"/>
      <c r="E524" s="726"/>
      <c r="F524" s="520"/>
      <c r="G524" s="520"/>
      <c r="H524" s="520"/>
      <c r="I524" s="521"/>
      <c r="J524" s="521"/>
      <c r="K524" s="521"/>
      <c r="L524" s="756"/>
      <c r="M524" s="514"/>
      <c r="N524" s="514"/>
      <c r="O524" s="514"/>
      <c r="P524" s="514"/>
      <c r="Q524" s="514"/>
      <c r="R524" s="514"/>
      <c r="S524" s="756"/>
      <c r="T524" s="514"/>
      <c r="U524" s="514"/>
      <c r="V524" s="514"/>
      <c r="W524" s="514"/>
      <c r="X524" s="514"/>
      <c r="Y524" s="514"/>
      <c r="Z524" s="756"/>
      <c r="AA524" s="514"/>
      <c r="AB524" s="514"/>
      <c r="AC524" s="514"/>
      <c r="AD524" s="514"/>
      <c r="AE524" s="774"/>
      <c r="AF524" s="514"/>
      <c r="AG524" s="897"/>
      <c r="AH524" s="789"/>
      <c r="AI524" s="664">
        <f t="shared" si="25"/>
        <v>0</v>
      </c>
      <c r="AJ524" s="521">
        <v>0</v>
      </c>
      <c r="AK524" s="520">
        <f t="shared" si="23"/>
        <v>0</v>
      </c>
      <c r="AL524" s="695"/>
      <c r="AM524" s="669">
        <f t="shared" si="24"/>
        <v>0</v>
      </c>
    </row>
    <row r="525" spans="1:39" s="500" customFormat="1">
      <c r="A525" s="542" t="s">
        <v>1003</v>
      </c>
      <c r="B525" s="542" t="s">
        <v>1249</v>
      </c>
      <c r="C525" s="616"/>
      <c r="D525" s="519"/>
      <c r="E525" s="726"/>
      <c r="F525" s="520"/>
      <c r="G525" s="520"/>
      <c r="H525" s="520"/>
      <c r="I525" s="521"/>
      <c r="J525" s="521"/>
      <c r="K525" s="521"/>
      <c r="L525" s="756"/>
      <c r="M525" s="514"/>
      <c r="N525" s="514"/>
      <c r="O525" s="514"/>
      <c r="P525" s="514"/>
      <c r="Q525" s="514"/>
      <c r="R525" s="514"/>
      <c r="S525" s="756"/>
      <c r="T525" s="514"/>
      <c r="U525" s="514"/>
      <c r="V525" s="514"/>
      <c r="W525" s="514"/>
      <c r="X525" s="514"/>
      <c r="Y525" s="514"/>
      <c r="Z525" s="756"/>
      <c r="AA525" s="514"/>
      <c r="AB525" s="514"/>
      <c r="AC525" s="514"/>
      <c r="AD525" s="514"/>
      <c r="AE525" s="774"/>
      <c r="AF525" s="514"/>
      <c r="AG525" s="897"/>
      <c r="AH525" s="789"/>
      <c r="AI525" s="664">
        <f t="shared" si="25"/>
        <v>0</v>
      </c>
      <c r="AJ525" s="521">
        <v>0</v>
      </c>
      <c r="AK525" s="520">
        <f t="shared" si="23"/>
        <v>0</v>
      </c>
      <c r="AL525" s="695" t="s">
        <v>1738</v>
      </c>
      <c r="AM525" s="669">
        <f t="shared" si="24"/>
        <v>28.21</v>
      </c>
    </row>
    <row r="526" spans="1:39" s="500" customFormat="1">
      <c r="A526" s="539" t="s">
        <v>1004</v>
      </c>
      <c r="B526" s="539" t="s">
        <v>1317</v>
      </c>
      <c r="C526" s="548" t="s">
        <v>37</v>
      </c>
      <c r="D526" s="519"/>
      <c r="E526" s="726"/>
      <c r="F526" s="520"/>
      <c r="G526" s="520"/>
      <c r="H526" s="520"/>
      <c r="I526" s="521"/>
      <c r="J526" s="521"/>
      <c r="K526" s="521"/>
      <c r="L526" s="756"/>
      <c r="M526" s="514"/>
      <c r="N526" s="514"/>
      <c r="O526" s="514"/>
      <c r="P526" s="514"/>
      <c r="Q526" s="514"/>
      <c r="R526" s="514"/>
      <c r="S526" s="756"/>
      <c r="T526" s="514"/>
      <c r="U526" s="514"/>
      <c r="V526" s="514"/>
      <c r="W526" s="514"/>
      <c r="X526" s="514"/>
      <c r="Y526" s="514"/>
      <c r="Z526" s="756"/>
      <c r="AA526" s="514"/>
      <c r="AB526" s="514"/>
      <c r="AC526" s="514"/>
      <c r="AD526" s="514"/>
      <c r="AE526" s="774"/>
      <c r="AF526" s="514"/>
      <c r="AG526" s="897"/>
      <c r="AH526" s="789"/>
      <c r="AI526" s="664">
        <f t="shared" si="25"/>
        <v>0</v>
      </c>
      <c r="AJ526" s="521">
        <v>0</v>
      </c>
      <c r="AK526" s="520">
        <f t="shared" ref="AK526:AK589" si="26">AI526+AJ526</f>
        <v>0</v>
      </c>
      <c r="AL526" s="695"/>
      <c r="AM526" s="669">
        <f t="shared" ref="AM526:AM589" si="27">AL526-AK526</f>
        <v>0</v>
      </c>
    </row>
    <row r="527" spans="1:39" s="500" customFormat="1">
      <c r="A527" s="542" t="s">
        <v>1005</v>
      </c>
      <c r="B527" s="542" t="s">
        <v>1318</v>
      </c>
      <c r="C527" s="616"/>
      <c r="D527" s="519"/>
      <c r="E527" s="726"/>
      <c r="F527" s="520"/>
      <c r="G527" s="520"/>
      <c r="H527" s="520"/>
      <c r="I527" s="521"/>
      <c r="J527" s="521"/>
      <c r="K527" s="521"/>
      <c r="L527" s="756"/>
      <c r="M527" s="514"/>
      <c r="N527" s="514"/>
      <c r="O527" s="514"/>
      <c r="P527" s="514"/>
      <c r="Q527" s="514"/>
      <c r="R527" s="514"/>
      <c r="S527" s="756"/>
      <c r="T527" s="514"/>
      <c r="U527" s="514"/>
      <c r="V527" s="514"/>
      <c r="W527" s="514"/>
      <c r="X527" s="514"/>
      <c r="Y527" s="514"/>
      <c r="Z527" s="756"/>
      <c r="AA527" s="514"/>
      <c r="AB527" s="514"/>
      <c r="AC527" s="514"/>
      <c r="AD527" s="514"/>
      <c r="AE527" s="774"/>
      <c r="AF527" s="514"/>
      <c r="AG527" s="897"/>
      <c r="AH527" s="789"/>
      <c r="AI527" s="664">
        <f t="shared" si="25"/>
        <v>0</v>
      </c>
      <c r="AJ527" s="521">
        <v>0</v>
      </c>
      <c r="AK527" s="520">
        <f t="shared" si="26"/>
        <v>0</v>
      </c>
      <c r="AL527" s="695" t="s">
        <v>1739</v>
      </c>
      <c r="AM527" s="669">
        <f t="shared" si="27"/>
        <v>5.9</v>
      </c>
    </row>
    <row r="528" spans="1:39" s="500" customFormat="1">
      <c r="A528" s="539" t="s">
        <v>1006</v>
      </c>
      <c r="B528" s="539" t="s">
        <v>1319</v>
      </c>
      <c r="C528" s="548" t="s">
        <v>40</v>
      </c>
      <c r="D528" s="519"/>
      <c r="E528" s="726"/>
      <c r="F528" s="520"/>
      <c r="G528" s="520"/>
      <c r="H528" s="520"/>
      <c r="I528" s="521"/>
      <c r="J528" s="521"/>
      <c r="K528" s="521"/>
      <c r="L528" s="756"/>
      <c r="M528" s="514"/>
      <c r="N528" s="514"/>
      <c r="O528" s="514"/>
      <c r="P528" s="514"/>
      <c r="Q528" s="514"/>
      <c r="R528" s="514"/>
      <c r="S528" s="756"/>
      <c r="T528" s="514"/>
      <c r="U528" s="514"/>
      <c r="V528" s="514"/>
      <c r="W528" s="514"/>
      <c r="X528" s="514"/>
      <c r="Y528" s="514"/>
      <c r="Z528" s="756"/>
      <c r="AA528" s="514"/>
      <c r="AB528" s="514"/>
      <c r="AC528" s="514"/>
      <c r="AD528" s="514"/>
      <c r="AE528" s="774"/>
      <c r="AF528" s="514"/>
      <c r="AG528" s="897"/>
      <c r="AH528" s="789"/>
      <c r="AI528" s="664">
        <f t="shared" si="25"/>
        <v>0</v>
      </c>
      <c r="AJ528" s="521">
        <v>0</v>
      </c>
      <c r="AK528" s="520">
        <f t="shared" si="26"/>
        <v>0</v>
      </c>
      <c r="AL528" s="695" t="s">
        <v>1678</v>
      </c>
      <c r="AM528" s="669">
        <f t="shared" si="27"/>
        <v>18.920000000000002</v>
      </c>
    </row>
    <row r="529" spans="1:39" s="500" customFormat="1">
      <c r="A529" s="539" t="s">
        <v>1007</v>
      </c>
      <c r="B529" s="539" t="s">
        <v>1196</v>
      </c>
      <c r="C529" s="548" t="s">
        <v>37</v>
      </c>
      <c r="D529" s="519"/>
      <c r="E529" s="726"/>
      <c r="F529" s="520"/>
      <c r="G529" s="520"/>
      <c r="H529" s="520"/>
      <c r="I529" s="521"/>
      <c r="J529" s="521"/>
      <c r="K529" s="521"/>
      <c r="L529" s="756"/>
      <c r="M529" s="514"/>
      <c r="N529" s="514"/>
      <c r="O529" s="514"/>
      <c r="P529" s="514"/>
      <c r="Q529" s="514"/>
      <c r="R529" s="514"/>
      <c r="S529" s="756"/>
      <c r="T529" s="514"/>
      <c r="U529" s="514"/>
      <c r="V529" s="514"/>
      <c r="W529" s="514"/>
      <c r="X529" s="514"/>
      <c r="Y529" s="514"/>
      <c r="Z529" s="756"/>
      <c r="AA529" s="514"/>
      <c r="AB529" s="514"/>
      <c r="AC529" s="514"/>
      <c r="AD529" s="514"/>
      <c r="AE529" s="774"/>
      <c r="AF529" s="514"/>
      <c r="AG529" s="897"/>
      <c r="AH529" s="789"/>
      <c r="AI529" s="664">
        <f t="shared" si="25"/>
        <v>0</v>
      </c>
      <c r="AJ529" s="521">
        <v>0</v>
      </c>
      <c r="AK529" s="520">
        <f t="shared" si="26"/>
        <v>0</v>
      </c>
      <c r="AL529" s="695"/>
      <c r="AM529" s="669">
        <f t="shared" si="27"/>
        <v>0</v>
      </c>
    </row>
    <row r="530" spans="1:39" s="500" customFormat="1">
      <c r="A530" s="542" t="s">
        <v>1008</v>
      </c>
      <c r="B530" s="542" t="s">
        <v>1291</v>
      </c>
      <c r="C530" s="616"/>
      <c r="D530" s="519"/>
      <c r="E530" s="726"/>
      <c r="F530" s="520"/>
      <c r="G530" s="520"/>
      <c r="H530" s="520"/>
      <c r="I530" s="521"/>
      <c r="J530" s="521"/>
      <c r="K530" s="521"/>
      <c r="L530" s="756"/>
      <c r="M530" s="514"/>
      <c r="N530" s="514"/>
      <c r="O530" s="514"/>
      <c r="P530" s="514"/>
      <c r="Q530" s="514"/>
      <c r="R530" s="514"/>
      <c r="S530" s="756"/>
      <c r="T530" s="514"/>
      <c r="U530" s="514"/>
      <c r="V530" s="514"/>
      <c r="W530" s="514"/>
      <c r="X530" s="514"/>
      <c r="Y530" s="514"/>
      <c r="Z530" s="756"/>
      <c r="AA530" s="514"/>
      <c r="AB530" s="514"/>
      <c r="AC530" s="514"/>
      <c r="AD530" s="514"/>
      <c r="AE530" s="774"/>
      <c r="AF530" s="514"/>
      <c r="AG530" s="897"/>
      <c r="AH530" s="789"/>
      <c r="AI530" s="664">
        <f t="shared" si="25"/>
        <v>0</v>
      </c>
      <c r="AJ530" s="521">
        <v>0</v>
      </c>
      <c r="AK530" s="520">
        <f t="shared" si="26"/>
        <v>0</v>
      </c>
      <c r="AL530" s="695" t="s">
        <v>1628</v>
      </c>
      <c r="AM530" s="669">
        <f t="shared" si="27"/>
        <v>90.62</v>
      </c>
    </row>
    <row r="531" spans="1:39" s="500" customFormat="1">
      <c r="A531" s="539" t="s">
        <v>1009</v>
      </c>
      <c r="B531" s="539" t="s">
        <v>1320</v>
      </c>
      <c r="C531" s="548" t="s">
        <v>38</v>
      </c>
      <c r="D531" s="519"/>
      <c r="E531" s="726"/>
      <c r="F531" s="520"/>
      <c r="G531" s="520"/>
      <c r="H531" s="520"/>
      <c r="I531" s="521"/>
      <c r="J531" s="521"/>
      <c r="K531" s="521"/>
      <c r="L531" s="756"/>
      <c r="M531" s="514"/>
      <c r="N531" s="514"/>
      <c r="O531" s="514"/>
      <c r="P531" s="514"/>
      <c r="Q531" s="514"/>
      <c r="R531" s="514"/>
      <c r="S531" s="756"/>
      <c r="T531" s="514"/>
      <c r="U531" s="514"/>
      <c r="V531" s="514"/>
      <c r="W531" s="514"/>
      <c r="X531" s="514"/>
      <c r="Y531" s="514"/>
      <c r="Z531" s="756"/>
      <c r="AA531" s="514"/>
      <c r="AB531" s="514"/>
      <c r="AC531" s="514"/>
      <c r="AD531" s="514"/>
      <c r="AE531" s="774"/>
      <c r="AF531" s="514"/>
      <c r="AG531" s="897"/>
      <c r="AH531" s="789"/>
      <c r="AI531" s="664">
        <f t="shared" si="25"/>
        <v>0</v>
      </c>
      <c r="AJ531" s="521">
        <v>0</v>
      </c>
      <c r="AK531" s="520">
        <f t="shared" si="26"/>
        <v>0</v>
      </c>
      <c r="AL531" s="695"/>
      <c r="AM531" s="669">
        <f t="shared" si="27"/>
        <v>0</v>
      </c>
    </row>
    <row r="532" spans="1:39" s="500" customFormat="1">
      <c r="A532" s="542" t="s">
        <v>1010</v>
      </c>
      <c r="B532" s="542" t="s">
        <v>1321</v>
      </c>
      <c r="C532" s="616"/>
      <c r="D532" s="519"/>
      <c r="E532" s="726"/>
      <c r="F532" s="520"/>
      <c r="G532" s="520"/>
      <c r="H532" s="520"/>
      <c r="I532" s="521"/>
      <c r="J532" s="521"/>
      <c r="K532" s="521"/>
      <c r="L532" s="756"/>
      <c r="M532" s="514"/>
      <c r="N532" s="514"/>
      <c r="O532" s="514"/>
      <c r="P532" s="514"/>
      <c r="Q532" s="514"/>
      <c r="R532" s="514"/>
      <c r="S532" s="756"/>
      <c r="T532" s="514"/>
      <c r="U532" s="514"/>
      <c r="V532" s="514"/>
      <c r="W532" s="514"/>
      <c r="X532" s="514"/>
      <c r="Y532" s="514"/>
      <c r="Z532" s="756"/>
      <c r="AA532" s="514"/>
      <c r="AB532" s="514"/>
      <c r="AC532" s="514"/>
      <c r="AD532" s="514"/>
      <c r="AE532" s="774"/>
      <c r="AF532" s="514"/>
      <c r="AG532" s="897"/>
      <c r="AH532" s="789"/>
      <c r="AI532" s="664">
        <f t="shared" si="25"/>
        <v>0</v>
      </c>
      <c r="AJ532" s="521">
        <v>0</v>
      </c>
      <c r="AK532" s="520">
        <f t="shared" si="26"/>
        <v>0</v>
      </c>
      <c r="AL532" s="695" t="s">
        <v>1740</v>
      </c>
      <c r="AM532" s="669">
        <f t="shared" si="27"/>
        <v>36.799999999999997</v>
      </c>
    </row>
    <row r="533" spans="1:39" s="500" customFormat="1">
      <c r="A533" s="539" t="s">
        <v>1011</v>
      </c>
      <c r="B533" s="539" t="s">
        <v>1314</v>
      </c>
      <c r="C533" s="548" t="s">
        <v>38</v>
      </c>
      <c r="D533" s="519"/>
      <c r="E533" s="726"/>
      <c r="F533" s="520"/>
      <c r="G533" s="520"/>
      <c r="H533" s="520"/>
      <c r="I533" s="521"/>
      <c r="J533" s="521"/>
      <c r="K533" s="521"/>
      <c r="L533" s="756"/>
      <c r="M533" s="514"/>
      <c r="N533" s="514"/>
      <c r="O533" s="514"/>
      <c r="P533" s="514"/>
      <c r="Q533" s="514"/>
      <c r="R533" s="514"/>
      <c r="S533" s="756"/>
      <c r="T533" s="514"/>
      <c r="U533" s="514"/>
      <c r="V533" s="514"/>
      <c r="W533" s="514"/>
      <c r="X533" s="514"/>
      <c r="Y533" s="514"/>
      <c r="Z533" s="756"/>
      <c r="AA533" s="514"/>
      <c r="AB533" s="514"/>
      <c r="AC533" s="514"/>
      <c r="AD533" s="514"/>
      <c r="AE533" s="774"/>
      <c r="AF533" s="514"/>
      <c r="AG533" s="897"/>
      <c r="AH533" s="789"/>
      <c r="AI533" s="664">
        <f t="shared" si="25"/>
        <v>0</v>
      </c>
      <c r="AJ533" s="521">
        <v>0</v>
      </c>
      <c r="AK533" s="520">
        <f t="shared" si="26"/>
        <v>0</v>
      </c>
      <c r="AL533" s="695"/>
      <c r="AM533" s="669">
        <f t="shared" si="27"/>
        <v>0</v>
      </c>
    </row>
    <row r="534" spans="1:39" s="500" customFormat="1">
      <c r="A534" s="440" t="s">
        <v>1012</v>
      </c>
      <c r="B534" s="543" t="s">
        <v>1322</v>
      </c>
      <c r="C534" s="616"/>
      <c r="D534" s="519"/>
      <c r="E534" s="726"/>
      <c r="F534" s="520"/>
      <c r="G534" s="520"/>
      <c r="H534" s="520"/>
      <c r="I534" s="521"/>
      <c r="J534" s="521"/>
      <c r="K534" s="521"/>
      <c r="L534" s="756"/>
      <c r="M534" s="514"/>
      <c r="N534" s="514"/>
      <c r="O534" s="514"/>
      <c r="P534" s="514"/>
      <c r="Q534" s="514"/>
      <c r="R534" s="514"/>
      <c r="S534" s="756"/>
      <c r="T534" s="514"/>
      <c r="U534" s="514"/>
      <c r="V534" s="514"/>
      <c r="W534" s="514"/>
      <c r="X534" s="514"/>
      <c r="Y534" s="514"/>
      <c r="Z534" s="756"/>
      <c r="AA534" s="514"/>
      <c r="AB534" s="514"/>
      <c r="AC534" s="514"/>
      <c r="AD534" s="514"/>
      <c r="AE534" s="774"/>
      <c r="AF534" s="514"/>
      <c r="AG534" s="897"/>
      <c r="AH534" s="789"/>
      <c r="AI534" s="664">
        <f t="shared" si="25"/>
        <v>0</v>
      </c>
      <c r="AJ534" s="521">
        <v>0</v>
      </c>
      <c r="AK534" s="520">
        <f t="shared" si="26"/>
        <v>0</v>
      </c>
      <c r="AL534" s="695"/>
      <c r="AM534" s="669">
        <f t="shared" si="27"/>
        <v>0</v>
      </c>
    </row>
    <row r="535" spans="1:39" s="500" customFormat="1">
      <c r="A535" s="542" t="s">
        <v>1013</v>
      </c>
      <c r="B535" s="542" t="s">
        <v>1323</v>
      </c>
      <c r="C535" s="616"/>
      <c r="D535" s="519"/>
      <c r="E535" s="726"/>
      <c r="F535" s="520"/>
      <c r="G535" s="520"/>
      <c r="H535" s="520"/>
      <c r="I535" s="521"/>
      <c r="J535" s="521"/>
      <c r="K535" s="521"/>
      <c r="L535" s="756"/>
      <c r="M535" s="514"/>
      <c r="N535" s="514"/>
      <c r="O535" s="514"/>
      <c r="P535" s="514"/>
      <c r="Q535" s="514"/>
      <c r="R535" s="514"/>
      <c r="S535" s="756"/>
      <c r="T535" s="514"/>
      <c r="U535" s="514"/>
      <c r="V535" s="514"/>
      <c r="W535" s="514"/>
      <c r="X535" s="514"/>
      <c r="Y535" s="514"/>
      <c r="Z535" s="756"/>
      <c r="AA535" s="514"/>
      <c r="AB535" s="514"/>
      <c r="AC535" s="514"/>
      <c r="AD535" s="514"/>
      <c r="AE535" s="774"/>
      <c r="AF535" s="514"/>
      <c r="AG535" s="897"/>
      <c r="AH535" s="789"/>
      <c r="AI535" s="664">
        <f t="shared" si="25"/>
        <v>0</v>
      </c>
      <c r="AJ535" s="521">
        <v>0</v>
      </c>
      <c r="AK535" s="520">
        <f t="shared" si="26"/>
        <v>0</v>
      </c>
      <c r="AL535" s="695" t="s">
        <v>1741</v>
      </c>
      <c r="AM535" s="669">
        <f t="shared" si="27"/>
        <v>42.32</v>
      </c>
    </row>
    <row r="536" spans="1:39" s="500" customFormat="1">
      <c r="A536" s="539" t="s">
        <v>1014</v>
      </c>
      <c r="B536" s="539" t="s">
        <v>1324</v>
      </c>
      <c r="C536" s="548" t="s">
        <v>37</v>
      </c>
      <c r="D536" s="519"/>
      <c r="E536" s="726"/>
      <c r="F536" s="520"/>
      <c r="G536" s="520"/>
      <c r="H536" s="520"/>
      <c r="I536" s="521"/>
      <c r="J536" s="521"/>
      <c r="K536" s="521"/>
      <c r="L536" s="756"/>
      <c r="M536" s="514"/>
      <c r="N536" s="514"/>
      <c r="O536" s="514"/>
      <c r="P536" s="514"/>
      <c r="Q536" s="514"/>
      <c r="R536" s="514"/>
      <c r="S536" s="756"/>
      <c r="T536" s="514"/>
      <c r="U536" s="514"/>
      <c r="V536" s="514"/>
      <c r="W536" s="514"/>
      <c r="X536" s="514"/>
      <c r="Y536" s="514"/>
      <c r="Z536" s="756"/>
      <c r="AA536" s="514"/>
      <c r="AB536" s="514"/>
      <c r="AC536" s="514"/>
      <c r="AD536" s="514"/>
      <c r="AE536" s="774"/>
      <c r="AF536" s="514"/>
      <c r="AG536" s="897"/>
      <c r="AH536" s="789"/>
      <c r="AI536" s="664">
        <f t="shared" si="25"/>
        <v>0</v>
      </c>
      <c r="AJ536" s="521">
        <v>0</v>
      </c>
      <c r="AK536" s="520">
        <f t="shared" si="26"/>
        <v>0</v>
      </c>
      <c r="AL536" s="695" t="s">
        <v>1741</v>
      </c>
      <c r="AM536" s="669">
        <f t="shared" si="27"/>
        <v>42.32</v>
      </c>
    </row>
    <row r="537" spans="1:39" s="500" customFormat="1">
      <c r="A537" s="539" t="s">
        <v>1015</v>
      </c>
      <c r="B537" s="539" t="s">
        <v>1325</v>
      </c>
      <c r="C537" s="548" t="s">
        <v>37</v>
      </c>
      <c r="D537" s="519"/>
      <c r="E537" s="726"/>
      <c r="F537" s="520"/>
      <c r="G537" s="520"/>
      <c r="H537" s="520"/>
      <c r="I537" s="521"/>
      <c r="J537" s="521"/>
      <c r="K537" s="521"/>
      <c r="L537" s="756"/>
      <c r="M537" s="514"/>
      <c r="N537" s="514"/>
      <c r="O537" s="514"/>
      <c r="P537" s="514"/>
      <c r="Q537" s="514"/>
      <c r="R537" s="514"/>
      <c r="S537" s="756"/>
      <c r="T537" s="514"/>
      <c r="U537" s="514"/>
      <c r="V537" s="514"/>
      <c r="W537" s="514"/>
      <c r="X537" s="514"/>
      <c r="Y537" s="514"/>
      <c r="Z537" s="756"/>
      <c r="AA537" s="514"/>
      <c r="AB537" s="514"/>
      <c r="AC537" s="514"/>
      <c r="AD537" s="514"/>
      <c r="AE537" s="774"/>
      <c r="AF537" s="514"/>
      <c r="AG537" s="897"/>
      <c r="AH537" s="789"/>
      <c r="AI537" s="664">
        <f t="shared" si="25"/>
        <v>0</v>
      </c>
      <c r="AJ537" s="521">
        <v>0</v>
      </c>
      <c r="AK537" s="520">
        <f t="shared" si="26"/>
        <v>0</v>
      </c>
      <c r="AL537" s="695" t="s">
        <v>1742</v>
      </c>
      <c r="AM537" s="669">
        <f t="shared" si="27"/>
        <v>10</v>
      </c>
    </row>
    <row r="538" spans="1:39" s="500" customFormat="1" ht="13.5" thickBot="1">
      <c r="A538" s="539" t="s">
        <v>1016</v>
      </c>
      <c r="B538" s="539" t="s">
        <v>1326</v>
      </c>
      <c r="C538" s="548" t="s">
        <v>36</v>
      </c>
      <c r="D538" s="519"/>
      <c r="E538" s="726"/>
      <c r="F538" s="520"/>
      <c r="G538" s="520"/>
      <c r="H538" s="520"/>
      <c r="I538" s="521"/>
      <c r="J538" s="521"/>
      <c r="K538" s="521"/>
      <c r="L538" s="756"/>
      <c r="M538" s="514"/>
      <c r="N538" s="514"/>
      <c r="O538" s="514"/>
      <c r="P538" s="514"/>
      <c r="Q538" s="514"/>
      <c r="R538" s="514"/>
      <c r="S538" s="756"/>
      <c r="T538" s="514"/>
      <c r="U538" s="514"/>
      <c r="V538" s="514"/>
      <c r="W538" s="514"/>
      <c r="X538" s="514"/>
      <c r="Y538" s="514"/>
      <c r="Z538" s="756"/>
      <c r="AA538" s="514"/>
      <c r="AB538" s="514"/>
      <c r="AC538" s="514"/>
      <c r="AD538" s="514"/>
      <c r="AE538" s="774"/>
      <c r="AF538" s="514"/>
      <c r="AG538" s="897"/>
      <c r="AH538" s="789"/>
      <c r="AI538" s="664">
        <f t="shared" si="25"/>
        <v>0</v>
      </c>
      <c r="AJ538" s="521">
        <v>0</v>
      </c>
      <c r="AK538" s="520">
        <f t="shared" si="26"/>
        <v>0</v>
      </c>
      <c r="AL538" s="695"/>
      <c r="AM538" s="669">
        <f t="shared" si="27"/>
        <v>0</v>
      </c>
    </row>
    <row r="539" spans="1:39" s="500" customFormat="1">
      <c r="A539" s="541" t="s">
        <v>488</v>
      </c>
      <c r="B539" s="541" t="s">
        <v>1327</v>
      </c>
      <c r="C539" s="616"/>
      <c r="D539" s="519"/>
      <c r="E539" s="726"/>
      <c r="F539" s="520"/>
      <c r="G539" s="520"/>
      <c r="H539" s="520"/>
      <c r="I539" s="521"/>
      <c r="J539" s="521"/>
      <c r="K539" s="521"/>
      <c r="L539" s="756"/>
      <c r="M539" s="514"/>
      <c r="N539" s="514"/>
      <c r="O539" s="514"/>
      <c r="P539" s="514"/>
      <c r="Q539" s="514"/>
      <c r="R539" s="514"/>
      <c r="S539" s="756"/>
      <c r="T539" s="514"/>
      <c r="U539" s="514"/>
      <c r="V539" s="514"/>
      <c r="W539" s="514"/>
      <c r="X539" s="514"/>
      <c r="Y539" s="514"/>
      <c r="Z539" s="756"/>
      <c r="AA539" s="514"/>
      <c r="AB539" s="514"/>
      <c r="AC539" s="514"/>
      <c r="AD539" s="514"/>
      <c r="AE539" s="774"/>
      <c r="AF539" s="514"/>
      <c r="AG539" s="897"/>
      <c r="AH539" s="789"/>
      <c r="AI539" s="664">
        <f t="shared" si="25"/>
        <v>0</v>
      </c>
      <c r="AJ539" s="521">
        <v>0</v>
      </c>
      <c r="AK539" s="520">
        <f t="shared" si="26"/>
        <v>0</v>
      </c>
      <c r="AL539" s="695"/>
      <c r="AM539" s="669">
        <f t="shared" si="27"/>
        <v>0</v>
      </c>
    </row>
    <row r="540" spans="1:39" s="500" customFormat="1">
      <c r="A540" s="440" t="s">
        <v>489</v>
      </c>
      <c r="B540" s="543" t="s">
        <v>1328</v>
      </c>
      <c r="C540" s="616"/>
      <c r="D540" s="519"/>
      <c r="E540" s="726"/>
      <c r="F540" s="520"/>
      <c r="G540" s="520"/>
      <c r="H540" s="520"/>
      <c r="I540" s="521"/>
      <c r="J540" s="521"/>
      <c r="K540" s="521"/>
      <c r="L540" s="756"/>
      <c r="M540" s="514"/>
      <c r="N540" s="514"/>
      <c r="O540" s="514"/>
      <c r="P540" s="514"/>
      <c r="Q540" s="514"/>
      <c r="R540" s="514"/>
      <c r="S540" s="756"/>
      <c r="T540" s="514"/>
      <c r="U540" s="514"/>
      <c r="V540" s="514"/>
      <c r="W540" s="514"/>
      <c r="X540" s="514"/>
      <c r="Y540" s="514"/>
      <c r="Z540" s="756"/>
      <c r="AA540" s="514"/>
      <c r="AB540" s="514"/>
      <c r="AC540" s="514"/>
      <c r="AD540" s="514"/>
      <c r="AE540" s="774"/>
      <c r="AF540" s="514"/>
      <c r="AG540" s="897"/>
      <c r="AH540" s="789"/>
      <c r="AI540" s="664">
        <f t="shared" si="25"/>
        <v>0</v>
      </c>
      <c r="AJ540" s="521">
        <v>0</v>
      </c>
      <c r="AK540" s="520">
        <f t="shared" si="26"/>
        <v>0</v>
      </c>
      <c r="AL540" s="695" t="s">
        <v>1671</v>
      </c>
      <c r="AM540" s="669">
        <f t="shared" si="27"/>
        <v>4</v>
      </c>
    </row>
    <row r="541" spans="1:39" s="500" customFormat="1">
      <c r="A541" s="542" t="s">
        <v>490</v>
      </c>
      <c r="B541" s="542" t="s">
        <v>1329</v>
      </c>
      <c r="C541" s="548" t="s">
        <v>1450</v>
      </c>
      <c r="D541" s="519"/>
      <c r="E541" s="726"/>
      <c r="F541" s="520"/>
      <c r="G541" s="520"/>
      <c r="H541" s="520"/>
      <c r="I541" s="521"/>
      <c r="J541" s="521"/>
      <c r="K541" s="521"/>
      <c r="L541" s="756"/>
      <c r="M541" s="514"/>
      <c r="N541" s="514"/>
      <c r="O541" s="514"/>
      <c r="P541" s="514"/>
      <c r="Q541" s="514"/>
      <c r="R541" s="514"/>
      <c r="S541" s="756"/>
      <c r="T541" s="514"/>
      <c r="U541" s="514"/>
      <c r="V541" s="514"/>
      <c r="W541" s="514"/>
      <c r="X541" s="514"/>
      <c r="Y541" s="514"/>
      <c r="Z541" s="756"/>
      <c r="AA541" s="514"/>
      <c r="AB541" s="514"/>
      <c r="AC541" s="514"/>
      <c r="AD541" s="514"/>
      <c r="AE541" s="774"/>
      <c r="AF541" s="514"/>
      <c r="AG541" s="897"/>
      <c r="AH541" s="789"/>
      <c r="AI541" s="664">
        <f t="shared" si="25"/>
        <v>0</v>
      </c>
      <c r="AJ541" s="521">
        <v>0</v>
      </c>
      <c r="AK541" s="520">
        <f t="shared" si="26"/>
        <v>0</v>
      </c>
      <c r="AL541" s="695" t="s">
        <v>1698</v>
      </c>
      <c r="AM541" s="669">
        <f t="shared" si="27"/>
        <v>2</v>
      </c>
    </row>
    <row r="542" spans="1:39" s="500" customFormat="1">
      <c r="A542" s="542" t="s">
        <v>491</v>
      </c>
      <c r="B542" s="542" t="s">
        <v>1330</v>
      </c>
      <c r="C542" s="548" t="s">
        <v>1450</v>
      </c>
      <c r="D542" s="519"/>
      <c r="E542" s="726"/>
      <c r="F542" s="520"/>
      <c r="G542" s="520"/>
      <c r="H542" s="520"/>
      <c r="I542" s="521"/>
      <c r="J542" s="521"/>
      <c r="K542" s="521"/>
      <c r="L542" s="756"/>
      <c r="M542" s="514"/>
      <c r="N542" s="514"/>
      <c r="O542" s="514"/>
      <c r="P542" s="514"/>
      <c r="Q542" s="514"/>
      <c r="R542" s="514"/>
      <c r="S542" s="756"/>
      <c r="T542" s="514"/>
      <c r="U542" s="514"/>
      <c r="V542" s="514"/>
      <c r="W542" s="514"/>
      <c r="X542" s="514"/>
      <c r="Y542" s="514"/>
      <c r="Z542" s="756"/>
      <c r="AA542" s="514"/>
      <c r="AB542" s="514"/>
      <c r="AC542" s="514"/>
      <c r="AD542" s="514"/>
      <c r="AE542" s="774"/>
      <c r="AF542" s="514"/>
      <c r="AG542" s="897"/>
      <c r="AH542" s="789"/>
      <c r="AI542" s="664">
        <f t="shared" si="25"/>
        <v>0</v>
      </c>
      <c r="AJ542" s="521">
        <v>0</v>
      </c>
      <c r="AK542" s="520">
        <f t="shared" si="26"/>
        <v>0</v>
      </c>
      <c r="AL542" s="695" t="s">
        <v>1671</v>
      </c>
      <c r="AM542" s="669">
        <f t="shared" si="27"/>
        <v>4</v>
      </c>
    </row>
    <row r="543" spans="1:39" s="500" customFormat="1">
      <c r="A543" s="542" t="s">
        <v>492</v>
      </c>
      <c r="B543" s="542" t="s">
        <v>1331</v>
      </c>
      <c r="C543" s="548" t="s">
        <v>1450</v>
      </c>
      <c r="D543" s="519"/>
      <c r="E543" s="726"/>
      <c r="F543" s="520"/>
      <c r="G543" s="520"/>
      <c r="H543" s="520"/>
      <c r="I543" s="521"/>
      <c r="J543" s="521"/>
      <c r="K543" s="521"/>
      <c r="L543" s="756"/>
      <c r="M543" s="514"/>
      <c r="N543" s="514"/>
      <c r="O543" s="514"/>
      <c r="P543" s="514"/>
      <c r="Q543" s="514"/>
      <c r="R543" s="514"/>
      <c r="S543" s="756"/>
      <c r="T543" s="514"/>
      <c r="U543" s="514"/>
      <c r="V543" s="514"/>
      <c r="W543" s="514"/>
      <c r="X543" s="514"/>
      <c r="Y543" s="514"/>
      <c r="Z543" s="756"/>
      <c r="AA543" s="514"/>
      <c r="AB543" s="514"/>
      <c r="AC543" s="514"/>
      <c r="AD543" s="514"/>
      <c r="AE543" s="774"/>
      <c r="AF543" s="514"/>
      <c r="AG543" s="897"/>
      <c r="AH543" s="789"/>
      <c r="AI543" s="664">
        <f t="shared" si="25"/>
        <v>0</v>
      </c>
      <c r="AJ543" s="521">
        <v>0</v>
      </c>
      <c r="AK543" s="520">
        <f t="shared" si="26"/>
        <v>0</v>
      </c>
      <c r="AL543" s="695" t="s">
        <v>1698</v>
      </c>
      <c r="AM543" s="669">
        <f t="shared" si="27"/>
        <v>2</v>
      </c>
    </row>
    <row r="544" spans="1:39" s="500" customFormat="1">
      <c r="A544" s="542" t="s">
        <v>1017</v>
      </c>
      <c r="B544" s="542" t="s">
        <v>1332</v>
      </c>
      <c r="C544" s="548" t="s">
        <v>1450</v>
      </c>
      <c r="D544" s="519"/>
      <c r="E544" s="726"/>
      <c r="F544" s="520"/>
      <c r="G544" s="520"/>
      <c r="H544" s="520"/>
      <c r="I544" s="521"/>
      <c r="J544" s="521"/>
      <c r="K544" s="521"/>
      <c r="L544" s="756"/>
      <c r="M544" s="514"/>
      <c r="N544" s="514"/>
      <c r="O544" s="514"/>
      <c r="P544" s="514"/>
      <c r="Q544" s="514"/>
      <c r="R544" s="514"/>
      <c r="S544" s="756"/>
      <c r="T544" s="514"/>
      <c r="U544" s="514"/>
      <c r="V544" s="514"/>
      <c r="W544" s="514"/>
      <c r="X544" s="514"/>
      <c r="Y544" s="514"/>
      <c r="Z544" s="756"/>
      <c r="AA544" s="514"/>
      <c r="AB544" s="514"/>
      <c r="AC544" s="514"/>
      <c r="AD544" s="514"/>
      <c r="AE544" s="774"/>
      <c r="AF544" s="514"/>
      <c r="AG544" s="897"/>
      <c r="AH544" s="789"/>
      <c r="AI544" s="664">
        <f t="shared" si="25"/>
        <v>0</v>
      </c>
      <c r="AJ544" s="521">
        <v>0</v>
      </c>
      <c r="AK544" s="520">
        <f t="shared" si="26"/>
        <v>0</v>
      </c>
      <c r="AL544" s="695" t="s">
        <v>1455</v>
      </c>
      <c r="AM544" s="669">
        <f t="shared" si="27"/>
        <v>1</v>
      </c>
    </row>
    <row r="545" spans="1:39" s="500" customFormat="1">
      <c r="A545" s="542" t="s">
        <v>1018</v>
      </c>
      <c r="B545" s="542" t="s">
        <v>1333</v>
      </c>
      <c r="C545" s="548" t="s">
        <v>1450</v>
      </c>
      <c r="D545" s="519"/>
      <c r="E545" s="726"/>
      <c r="F545" s="520"/>
      <c r="G545" s="520"/>
      <c r="H545" s="520"/>
      <c r="I545" s="521"/>
      <c r="J545" s="521"/>
      <c r="K545" s="521"/>
      <c r="L545" s="756"/>
      <c r="M545" s="514"/>
      <c r="N545" s="514"/>
      <c r="O545" s="514"/>
      <c r="P545" s="514"/>
      <c r="Q545" s="514"/>
      <c r="R545" s="514"/>
      <c r="S545" s="756"/>
      <c r="T545" s="514"/>
      <c r="U545" s="514"/>
      <c r="V545" s="514"/>
      <c r="W545" s="514"/>
      <c r="X545" s="514"/>
      <c r="Y545" s="514"/>
      <c r="Z545" s="756"/>
      <c r="AA545" s="514"/>
      <c r="AB545" s="514"/>
      <c r="AC545" s="514"/>
      <c r="AD545" s="514"/>
      <c r="AE545" s="774"/>
      <c r="AF545" s="514"/>
      <c r="AG545" s="897"/>
      <c r="AH545" s="789"/>
      <c r="AI545" s="664">
        <f t="shared" si="25"/>
        <v>0</v>
      </c>
      <c r="AJ545" s="521">
        <v>0</v>
      </c>
      <c r="AK545" s="520">
        <f t="shared" si="26"/>
        <v>0</v>
      </c>
      <c r="AL545" s="695" t="s">
        <v>1617</v>
      </c>
      <c r="AM545" s="669">
        <f t="shared" si="27"/>
        <v>6</v>
      </c>
    </row>
    <row r="546" spans="1:39" s="500" customFormat="1">
      <c r="A546" s="542" t="s">
        <v>1019</v>
      </c>
      <c r="B546" s="542" t="s">
        <v>1334</v>
      </c>
      <c r="C546" s="548" t="s">
        <v>1450</v>
      </c>
      <c r="D546" s="519"/>
      <c r="E546" s="726"/>
      <c r="F546" s="520"/>
      <c r="G546" s="520"/>
      <c r="H546" s="520"/>
      <c r="I546" s="521"/>
      <c r="J546" s="521"/>
      <c r="K546" s="521"/>
      <c r="L546" s="756"/>
      <c r="M546" s="514"/>
      <c r="N546" s="514"/>
      <c r="O546" s="514"/>
      <c r="P546" s="514"/>
      <c r="Q546" s="514"/>
      <c r="R546" s="514"/>
      <c r="S546" s="756"/>
      <c r="T546" s="514"/>
      <c r="U546" s="514"/>
      <c r="V546" s="514"/>
      <c r="W546" s="514"/>
      <c r="X546" s="514"/>
      <c r="Y546" s="514"/>
      <c r="Z546" s="756"/>
      <c r="AA546" s="514"/>
      <c r="AB546" s="514"/>
      <c r="AC546" s="514"/>
      <c r="AD546" s="514"/>
      <c r="AE546" s="774"/>
      <c r="AF546" s="514"/>
      <c r="AG546" s="897"/>
      <c r="AH546" s="789"/>
      <c r="AI546" s="664">
        <f t="shared" si="25"/>
        <v>0</v>
      </c>
      <c r="AJ546" s="521">
        <v>0</v>
      </c>
      <c r="AK546" s="520">
        <f t="shared" si="26"/>
        <v>0</v>
      </c>
      <c r="AL546" s="695" t="s">
        <v>1671</v>
      </c>
      <c r="AM546" s="669">
        <f t="shared" si="27"/>
        <v>4</v>
      </c>
    </row>
    <row r="547" spans="1:39" s="500" customFormat="1">
      <c r="A547" s="542" t="s">
        <v>1020</v>
      </c>
      <c r="B547" s="542" t="s">
        <v>1335</v>
      </c>
      <c r="C547" s="548" t="s">
        <v>1450</v>
      </c>
      <c r="D547" s="519"/>
      <c r="E547" s="726"/>
      <c r="F547" s="520"/>
      <c r="G547" s="520"/>
      <c r="H547" s="520"/>
      <c r="I547" s="521"/>
      <c r="J547" s="521"/>
      <c r="K547" s="521"/>
      <c r="L547" s="756"/>
      <c r="M547" s="514"/>
      <c r="N547" s="514"/>
      <c r="O547" s="514"/>
      <c r="P547" s="514"/>
      <c r="Q547" s="514"/>
      <c r="R547" s="514"/>
      <c r="S547" s="756"/>
      <c r="T547" s="514"/>
      <c r="U547" s="514"/>
      <c r="V547" s="514"/>
      <c r="W547" s="514"/>
      <c r="X547" s="514"/>
      <c r="Y547" s="514"/>
      <c r="Z547" s="756"/>
      <c r="AA547" s="514"/>
      <c r="AB547" s="514"/>
      <c r="AC547" s="514"/>
      <c r="AD547" s="514"/>
      <c r="AE547" s="774"/>
      <c r="AF547" s="514"/>
      <c r="AG547" s="897"/>
      <c r="AH547" s="789"/>
      <c r="AI547" s="664">
        <f t="shared" si="25"/>
        <v>0</v>
      </c>
      <c r="AJ547" s="521">
        <v>0</v>
      </c>
      <c r="AK547" s="520">
        <f t="shared" si="26"/>
        <v>0</v>
      </c>
      <c r="AL547" s="695" t="s">
        <v>1455</v>
      </c>
      <c r="AM547" s="669">
        <f t="shared" si="27"/>
        <v>1</v>
      </c>
    </row>
    <row r="548" spans="1:39" s="500" customFormat="1">
      <c r="A548" s="542" t="s">
        <v>1021</v>
      </c>
      <c r="B548" s="542" t="s">
        <v>1336</v>
      </c>
      <c r="C548" s="548" t="s">
        <v>1451</v>
      </c>
      <c r="D548" s="519"/>
      <c r="E548" s="726"/>
      <c r="F548" s="520"/>
      <c r="G548" s="520"/>
      <c r="H548" s="520"/>
      <c r="I548" s="521"/>
      <c r="J548" s="521"/>
      <c r="K548" s="521"/>
      <c r="L548" s="756"/>
      <c r="M548" s="514"/>
      <c r="N548" s="514"/>
      <c r="O548" s="514"/>
      <c r="P548" s="514"/>
      <c r="Q548" s="514"/>
      <c r="R548" s="514"/>
      <c r="S548" s="756"/>
      <c r="T548" s="514"/>
      <c r="U548" s="514"/>
      <c r="V548" s="514"/>
      <c r="W548" s="514"/>
      <c r="X548" s="514"/>
      <c r="Y548" s="514"/>
      <c r="Z548" s="756"/>
      <c r="AA548" s="514"/>
      <c r="AB548" s="514"/>
      <c r="AC548" s="514"/>
      <c r="AD548" s="514"/>
      <c r="AE548" s="774"/>
      <c r="AF548" s="514"/>
      <c r="AG548" s="897"/>
      <c r="AH548" s="789"/>
      <c r="AI548" s="664">
        <f t="shared" si="25"/>
        <v>0</v>
      </c>
      <c r="AJ548" s="521">
        <v>0</v>
      </c>
      <c r="AK548" s="520">
        <f t="shared" si="26"/>
        <v>0</v>
      </c>
      <c r="AL548" s="695" t="s">
        <v>1455</v>
      </c>
      <c r="AM548" s="669">
        <f t="shared" si="27"/>
        <v>1</v>
      </c>
    </row>
    <row r="549" spans="1:39" s="500" customFormat="1">
      <c r="A549" s="542" t="s">
        <v>1022</v>
      </c>
      <c r="B549" s="542" t="s">
        <v>1337</v>
      </c>
      <c r="C549" s="548" t="s">
        <v>41</v>
      </c>
      <c r="D549" s="519"/>
      <c r="E549" s="726"/>
      <c r="F549" s="520"/>
      <c r="G549" s="520"/>
      <c r="H549" s="520"/>
      <c r="I549" s="521"/>
      <c r="J549" s="521"/>
      <c r="K549" s="521"/>
      <c r="L549" s="756"/>
      <c r="M549" s="514"/>
      <c r="N549" s="514"/>
      <c r="O549" s="514"/>
      <c r="P549" s="514"/>
      <c r="Q549" s="514"/>
      <c r="R549" s="514"/>
      <c r="S549" s="756"/>
      <c r="T549" s="514"/>
      <c r="U549" s="514"/>
      <c r="V549" s="514"/>
      <c r="W549" s="514"/>
      <c r="X549" s="514"/>
      <c r="Y549" s="514"/>
      <c r="Z549" s="756"/>
      <c r="AA549" s="514"/>
      <c r="AB549" s="514"/>
      <c r="AC549" s="514"/>
      <c r="AD549" s="514"/>
      <c r="AE549" s="774"/>
      <c r="AF549" s="514"/>
      <c r="AG549" s="897"/>
      <c r="AH549" s="789"/>
      <c r="AI549" s="664">
        <f t="shared" si="25"/>
        <v>0</v>
      </c>
      <c r="AJ549" s="521">
        <v>0</v>
      </c>
      <c r="AK549" s="520">
        <f t="shared" si="26"/>
        <v>0</v>
      </c>
      <c r="AL549" s="695" t="s">
        <v>1455</v>
      </c>
      <c r="AM549" s="669">
        <f t="shared" si="27"/>
        <v>1</v>
      </c>
    </row>
    <row r="550" spans="1:39" s="500" customFormat="1">
      <c r="A550" s="542" t="s">
        <v>1023</v>
      </c>
      <c r="B550" s="542" t="s">
        <v>1338</v>
      </c>
      <c r="C550" s="548" t="s">
        <v>1450</v>
      </c>
      <c r="D550" s="519"/>
      <c r="E550" s="726"/>
      <c r="F550" s="520"/>
      <c r="G550" s="520"/>
      <c r="H550" s="520"/>
      <c r="I550" s="521"/>
      <c r="J550" s="521"/>
      <c r="K550" s="521"/>
      <c r="L550" s="756"/>
      <c r="M550" s="514"/>
      <c r="N550" s="514"/>
      <c r="O550" s="514"/>
      <c r="P550" s="514"/>
      <c r="Q550" s="514"/>
      <c r="R550" s="514"/>
      <c r="S550" s="756"/>
      <c r="T550" s="514"/>
      <c r="U550" s="514"/>
      <c r="V550" s="514"/>
      <c r="W550" s="514"/>
      <c r="X550" s="514"/>
      <c r="Y550" s="514"/>
      <c r="Z550" s="756"/>
      <c r="AA550" s="514"/>
      <c r="AB550" s="514"/>
      <c r="AC550" s="514"/>
      <c r="AD550" s="514"/>
      <c r="AE550" s="774"/>
      <c r="AF550" s="514"/>
      <c r="AG550" s="897"/>
      <c r="AH550" s="789"/>
      <c r="AI550" s="664">
        <f t="shared" si="25"/>
        <v>0</v>
      </c>
      <c r="AJ550" s="521">
        <v>0</v>
      </c>
      <c r="AK550" s="520">
        <f t="shared" si="26"/>
        <v>0</v>
      </c>
      <c r="AL550" s="695" t="s">
        <v>1743</v>
      </c>
      <c r="AM550" s="669">
        <f t="shared" si="27"/>
        <v>19</v>
      </c>
    </row>
    <row r="551" spans="1:39" s="500" customFormat="1">
      <c r="A551" s="542" t="s">
        <v>1024</v>
      </c>
      <c r="B551" s="542" t="s">
        <v>1339</v>
      </c>
      <c r="C551" s="548" t="s">
        <v>1451</v>
      </c>
      <c r="D551" s="519"/>
      <c r="E551" s="726"/>
      <c r="F551" s="520"/>
      <c r="G551" s="520"/>
      <c r="H551" s="520"/>
      <c r="I551" s="521"/>
      <c r="J551" s="521"/>
      <c r="K551" s="521"/>
      <c r="L551" s="756"/>
      <c r="M551" s="514"/>
      <c r="N551" s="514"/>
      <c r="O551" s="514"/>
      <c r="P551" s="514"/>
      <c r="Q551" s="514"/>
      <c r="R551" s="514"/>
      <c r="S551" s="756"/>
      <c r="T551" s="514"/>
      <c r="U551" s="514"/>
      <c r="V551" s="514"/>
      <c r="W551" s="514"/>
      <c r="X551" s="514"/>
      <c r="Y551" s="514"/>
      <c r="Z551" s="756"/>
      <c r="AA551" s="514"/>
      <c r="AB551" s="514"/>
      <c r="AC551" s="514"/>
      <c r="AD551" s="514"/>
      <c r="AE551" s="774"/>
      <c r="AF551" s="514"/>
      <c r="AG551" s="897"/>
      <c r="AH551" s="789"/>
      <c r="AI551" s="664">
        <f t="shared" si="25"/>
        <v>0</v>
      </c>
      <c r="AJ551" s="521">
        <v>0</v>
      </c>
      <c r="AK551" s="520">
        <f t="shared" si="26"/>
        <v>0</v>
      </c>
      <c r="AL551" s="695"/>
      <c r="AM551" s="669">
        <f t="shared" si="27"/>
        <v>0</v>
      </c>
    </row>
    <row r="552" spans="1:39" s="500" customFormat="1">
      <c r="A552" s="440" t="s">
        <v>493</v>
      </c>
      <c r="B552" s="543" t="s">
        <v>1340</v>
      </c>
      <c r="C552" s="616"/>
      <c r="D552" s="519"/>
      <c r="E552" s="726"/>
      <c r="F552" s="520"/>
      <c r="G552" s="520"/>
      <c r="H552" s="520"/>
      <c r="I552" s="521"/>
      <c r="J552" s="521"/>
      <c r="K552" s="521"/>
      <c r="L552" s="756"/>
      <c r="M552" s="514"/>
      <c r="N552" s="514"/>
      <c r="O552" s="514"/>
      <c r="P552" s="514"/>
      <c r="Q552" s="514"/>
      <c r="R552" s="514"/>
      <c r="S552" s="756"/>
      <c r="T552" s="514"/>
      <c r="U552" s="514"/>
      <c r="V552" s="514"/>
      <c r="W552" s="514"/>
      <c r="X552" s="514"/>
      <c r="Y552" s="514"/>
      <c r="Z552" s="756"/>
      <c r="AA552" s="514"/>
      <c r="AB552" s="514"/>
      <c r="AC552" s="514"/>
      <c r="AD552" s="514"/>
      <c r="AE552" s="774"/>
      <c r="AF552" s="514"/>
      <c r="AG552" s="897"/>
      <c r="AH552" s="789"/>
      <c r="AI552" s="664">
        <f t="shared" si="25"/>
        <v>0</v>
      </c>
      <c r="AJ552" s="521">
        <v>0</v>
      </c>
      <c r="AK552" s="520">
        <f t="shared" si="26"/>
        <v>0</v>
      </c>
      <c r="AL552" s="695" t="s">
        <v>1671</v>
      </c>
      <c r="AM552" s="669">
        <f t="shared" si="27"/>
        <v>4</v>
      </c>
    </row>
    <row r="553" spans="1:39" s="500" customFormat="1">
      <c r="A553" s="542" t="s">
        <v>494</v>
      </c>
      <c r="B553" s="542" t="s">
        <v>1341</v>
      </c>
      <c r="C553" s="548" t="s">
        <v>1452</v>
      </c>
      <c r="D553" s="519"/>
      <c r="E553" s="726"/>
      <c r="F553" s="520"/>
      <c r="G553" s="520"/>
      <c r="H553" s="520"/>
      <c r="I553" s="521"/>
      <c r="J553" s="521"/>
      <c r="K553" s="521"/>
      <c r="L553" s="756"/>
      <c r="M553" s="514"/>
      <c r="N553" s="514"/>
      <c r="O553" s="514"/>
      <c r="P553" s="514"/>
      <c r="Q553" s="514"/>
      <c r="R553" s="514"/>
      <c r="S553" s="756"/>
      <c r="T553" s="514"/>
      <c r="U553" s="514"/>
      <c r="V553" s="514"/>
      <c r="W553" s="514"/>
      <c r="X553" s="514"/>
      <c r="Y553" s="514"/>
      <c r="Z553" s="756"/>
      <c r="AA553" s="514"/>
      <c r="AB553" s="514"/>
      <c r="AC553" s="514"/>
      <c r="AD553" s="514"/>
      <c r="AE553" s="774"/>
      <c r="AF553" s="514"/>
      <c r="AG553" s="897"/>
      <c r="AH553" s="789"/>
      <c r="AI553" s="664">
        <f t="shared" si="25"/>
        <v>0</v>
      </c>
      <c r="AJ553" s="521">
        <v>0</v>
      </c>
      <c r="AK553" s="520">
        <f t="shared" si="26"/>
        <v>0</v>
      </c>
      <c r="AL553" s="695" t="s">
        <v>1617</v>
      </c>
      <c r="AM553" s="669">
        <f t="shared" si="27"/>
        <v>6</v>
      </c>
    </row>
    <row r="554" spans="1:39" s="500" customFormat="1">
      <c r="A554" s="542" t="s">
        <v>495</v>
      </c>
      <c r="B554" s="542" t="s">
        <v>1342</v>
      </c>
      <c r="C554" s="548" t="s">
        <v>1452</v>
      </c>
      <c r="D554" s="519"/>
      <c r="E554" s="726"/>
      <c r="F554" s="520"/>
      <c r="G554" s="520"/>
      <c r="H554" s="520"/>
      <c r="I554" s="521"/>
      <c r="J554" s="521"/>
      <c r="K554" s="521"/>
      <c r="L554" s="756"/>
      <c r="M554" s="514"/>
      <c r="N554" s="514"/>
      <c r="O554" s="514"/>
      <c r="P554" s="514"/>
      <c r="Q554" s="514"/>
      <c r="R554" s="514"/>
      <c r="S554" s="756"/>
      <c r="T554" s="514"/>
      <c r="U554" s="514"/>
      <c r="V554" s="514"/>
      <c r="W554" s="514"/>
      <c r="X554" s="514"/>
      <c r="Y554" s="514"/>
      <c r="Z554" s="756"/>
      <c r="AA554" s="514"/>
      <c r="AB554" s="514"/>
      <c r="AC554" s="514"/>
      <c r="AD554" s="514"/>
      <c r="AE554" s="774"/>
      <c r="AF554" s="514"/>
      <c r="AG554" s="897"/>
      <c r="AH554" s="789"/>
      <c r="AI554" s="664">
        <f t="shared" si="25"/>
        <v>0</v>
      </c>
      <c r="AJ554" s="521">
        <v>0</v>
      </c>
      <c r="AK554" s="520">
        <f t="shared" si="26"/>
        <v>0</v>
      </c>
      <c r="AL554" s="695" t="s">
        <v>1742</v>
      </c>
      <c r="AM554" s="669">
        <f t="shared" si="27"/>
        <v>10</v>
      </c>
    </row>
    <row r="555" spans="1:39" s="500" customFormat="1">
      <c r="A555" s="542" t="s">
        <v>496</v>
      </c>
      <c r="B555" s="542" t="s">
        <v>1343</v>
      </c>
      <c r="C555" s="548" t="s">
        <v>1452</v>
      </c>
      <c r="D555" s="519"/>
      <c r="E555" s="726"/>
      <c r="F555" s="520"/>
      <c r="G555" s="520"/>
      <c r="H555" s="520"/>
      <c r="I555" s="521"/>
      <c r="J555" s="521"/>
      <c r="K555" s="521"/>
      <c r="L555" s="756"/>
      <c r="M555" s="514"/>
      <c r="N555" s="514"/>
      <c r="O555" s="514"/>
      <c r="P555" s="514"/>
      <c r="Q555" s="514"/>
      <c r="R555" s="514"/>
      <c r="S555" s="756"/>
      <c r="T555" s="514"/>
      <c r="U555" s="514"/>
      <c r="V555" s="514"/>
      <c r="W555" s="514"/>
      <c r="X555" s="514"/>
      <c r="Y555" s="514"/>
      <c r="Z555" s="756"/>
      <c r="AA555" s="514"/>
      <c r="AB555" s="514"/>
      <c r="AC555" s="514"/>
      <c r="AD555" s="514"/>
      <c r="AE555" s="774"/>
      <c r="AF555" s="514"/>
      <c r="AG555" s="897"/>
      <c r="AH555" s="789"/>
      <c r="AI555" s="664">
        <f t="shared" ref="AI555:AI618" si="28">ROUND((SUM(D555:L555)),2)</f>
        <v>0</v>
      </c>
      <c r="AJ555" s="521">
        <v>0</v>
      </c>
      <c r="AK555" s="520">
        <f t="shared" si="26"/>
        <v>0</v>
      </c>
      <c r="AL555" s="695" t="s">
        <v>1744</v>
      </c>
      <c r="AM555" s="669">
        <f t="shared" si="27"/>
        <v>32.450000000000003</v>
      </c>
    </row>
    <row r="556" spans="1:39" s="500" customFormat="1">
      <c r="A556" s="542" t="s">
        <v>1025</v>
      </c>
      <c r="B556" s="542" t="s">
        <v>1344</v>
      </c>
      <c r="C556" s="548" t="s">
        <v>38</v>
      </c>
      <c r="D556" s="519"/>
      <c r="E556" s="726"/>
      <c r="F556" s="520"/>
      <c r="G556" s="520"/>
      <c r="H556" s="520"/>
      <c r="I556" s="521"/>
      <c r="J556" s="521"/>
      <c r="K556" s="521"/>
      <c r="L556" s="756"/>
      <c r="M556" s="514"/>
      <c r="N556" s="514"/>
      <c r="O556" s="514"/>
      <c r="P556" s="514"/>
      <c r="Q556" s="514"/>
      <c r="R556" s="514"/>
      <c r="S556" s="756"/>
      <c r="T556" s="514"/>
      <c r="U556" s="514"/>
      <c r="V556" s="514"/>
      <c r="W556" s="514"/>
      <c r="X556" s="514"/>
      <c r="Y556" s="514"/>
      <c r="Z556" s="756"/>
      <c r="AA556" s="514"/>
      <c r="AB556" s="514"/>
      <c r="AC556" s="514"/>
      <c r="AD556" s="514"/>
      <c r="AE556" s="774"/>
      <c r="AF556" s="514"/>
      <c r="AG556" s="897"/>
      <c r="AH556" s="789"/>
      <c r="AI556" s="664">
        <f t="shared" si="28"/>
        <v>0</v>
      </c>
      <c r="AJ556" s="521">
        <v>0</v>
      </c>
      <c r="AK556" s="520">
        <f t="shared" si="26"/>
        <v>0</v>
      </c>
      <c r="AL556" s="695" t="s">
        <v>1745</v>
      </c>
      <c r="AM556" s="669">
        <f t="shared" si="27"/>
        <v>45.55</v>
      </c>
    </row>
    <row r="557" spans="1:39" s="500" customFormat="1">
      <c r="A557" s="542" t="s">
        <v>1026</v>
      </c>
      <c r="B557" s="542" t="s">
        <v>1345</v>
      </c>
      <c r="C557" s="548" t="s">
        <v>38</v>
      </c>
      <c r="D557" s="519"/>
      <c r="E557" s="726"/>
      <c r="F557" s="520"/>
      <c r="G557" s="520"/>
      <c r="H557" s="520"/>
      <c r="I557" s="521"/>
      <c r="J557" s="521"/>
      <c r="K557" s="521"/>
      <c r="L557" s="756"/>
      <c r="M557" s="514"/>
      <c r="N557" s="514"/>
      <c r="O557" s="514"/>
      <c r="P557" s="514"/>
      <c r="Q557" s="514"/>
      <c r="R557" s="514"/>
      <c r="S557" s="756"/>
      <c r="T557" s="514"/>
      <c r="U557" s="514"/>
      <c r="V557" s="514"/>
      <c r="W557" s="514"/>
      <c r="X557" s="514"/>
      <c r="Y557" s="514"/>
      <c r="Z557" s="756"/>
      <c r="AA557" s="514"/>
      <c r="AB557" s="514"/>
      <c r="AC557" s="514"/>
      <c r="AD557" s="514"/>
      <c r="AE557" s="774"/>
      <c r="AF557" s="514"/>
      <c r="AG557" s="897"/>
      <c r="AH557" s="789"/>
      <c r="AI557" s="664">
        <f t="shared" si="28"/>
        <v>0</v>
      </c>
      <c r="AJ557" s="521">
        <v>0</v>
      </c>
      <c r="AK557" s="520">
        <f t="shared" si="26"/>
        <v>0</v>
      </c>
      <c r="AL557" s="695" t="s">
        <v>1671</v>
      </c>
      <c r="AM557" s="669">
        <f t="shared" si="27"/>
        <v>4</v>
      </c>
    </row>
    <row r="558" spans="1:39" s="500" customFormat="1">
      <c r="A558" s="542" t="s">
        <v>1027</v>
      </c>
      <c r="B558" s="542" t="s">
        <v>1346</v>
      </c>
      <c r="C558" s="548" t="s">
        <v>1450</v>
      </c>
      <c r="D558" s="519"/>
      <c r="E558" s="726"/>
      <c r="F558" s="520"/>
      <c r="G558" s="520"/>
      <c r="H558" s="520"/>
      <c r="I558" s="521"/>
      <c r="J558" s="521"/>
      <c r="K558" s="521"/>
      <c r="L558" s="756"/>
      <c r="M558" s="514"/>
      <c r="N558" s="514"/>
      <c r="O558" s="514"/>
      <c r="P558" s="514"/>
      <c r="Q558" s="514"/>
      <c r="R558" s="514"/>
      <c r="S558" s="756"/>
      <c r="T558" s="514"/>
      <c r="U558" s="514"/>
      <c r="V558" s="514"/>
      <c r="W558" s="514"/>
      <c r="X558" s="514"/>
      <c r="Y558" s="514"/>
      <c r="Z558" s="756"/>
      <c r="AA558" s="514"/>
      <c r="AB558" s="514"/>
      <c r="AC558" s="514"/>
      <c r="AD558" s="514"/>
      <c r="AE558" s="774"/>
      <c r="AF558" s="514"/>
      <c r="AG558" s="897"/>
      <c r="AH558" s="789"/>
      <c r="AI558" s="664">
        <f t="shared" si="28"/>
        <v>0</v>
      </c>
      <c r="AJ558" s="521">
        <v>0</v>
      </c>
      <c r="AK558" s="520">
        <f t="shared" si="26"/>
        <v>0</v>
      </c>
      <c r="AL558" s="695" t="s">
        <v>1698</v>
      </c>
      <c r="AM558" s="669">
        <f t="shared" si="27"/>
        <v>2</v>
      </c>
    </row>
    <row r="559" spans="1:39" s="500" customFormat="1">
      <c r="A559" s="542" t="s">
        <v>1028</v>
      </c>
      <c r="B559" s="542" t="s">
        <v>1347</v>
      </c>
      <c r="C559" s="548" t="s">
        <v>1450</v>
      </c>
      <c r="D559" s="519"/>
      <c r="E559" s="726"/>
      <c r="F559" s="520"/>
      <c r="G559" s="520"/>
      <c r="H559" s="520"/>
      <c r="I559" s="521"/>
      <c r="J559" s="521"/>
      <c r="K559" s="521"/>
      <c r="L559" s="756"/>
      <c r="M559" s="514"/>
      <c r="N559" s="514"/>
      <c r="O559" s="514"/>
      <c r="P559" s="514"/>
      <c r="Q559" s="514"/>
      <c r="R559" s="514"/>
      <c r="S559" s="756"/>
      <c r="T559" s="514"/>
      <c r="U559" s="514"/>
      <c r="V559" s="514"/>
      <c r="W559" s="514"/>
      <c r="X559" s="514"/>
      <c r="Y559" s="514"/>
      <c r="Z559" s="756"/>
      <c r="AA559" s="514"/>
      <c r="AB559" s="514"/>
      <c r="AC559" s="514"/>
      <c r="AD559" s="514"/>
      <c r="AE559" s="774"/>
      <c r="AF559" s="514"/>
      <c r="AG559" s="897"/>
      <c r="AH559" s="789"/>
      <c r="AI559" s="664">
        <f t="shared" si="28"/>
        <v>0</v>
      </c>
      <c r="AJ559" s="521">
        <v>0</v>
      </c>
      <c r="AK559" s="520">
        <f t="shared" si="26"/>
        <v>0</v>
      </c>
      <c r="AL559" s="695" t="s">
        <v>1617</v>
      </c>
      <c r="AM559" s="669">
        <f t="shared" si="27"/>
        <v>6</v>
      </c>
    </row>
    <row r="560" spans="1:39" s="500" customFormat="1">
      <c r="A560" s="542" t="s">
        <v>1029</v>
      </c>
      <c r="B560" s="542" t="s">
        <v>1348</v>
      </c>
      <c r="C560" s="548" t="s">
        <v>1450</v>
      </c>
      <c r="D560" s="519"/>
      <c r="E560" s="726"/>
      <c r="F560" s="520"/>
      <c r="G560" s="520"/>
      <c r="H560" s="520"/>
      <c r="I560" s="521"/>
      <c r="J560" s="521"/>
      <c r="K560" s="521"/>
      <c r="L560" s="756"/>
      <c r="M560" s="514"/>
      <c r="N560" s="514"/>
      <c r="O560" s="514"/>
      <c r="P560" s="514"/>
      <c r="Q560" s="514"/>
      <c r="R560" s="514"/>
      <c r="S560" s="756"/>
      <c r="T560" s="514"/>
      <c r="U560" s="514"/>
      <c r="V560" s="514"/>
      <c r="W560" s="514"/>
      <c r="X560" s="514"/>
      <c r="Y560" s="514"/>
      <c r="Z560" s="756"/>
      <c r="AA560" s="514"/>
      <c r="AB560" s="514"/>
      <c r="AC560" s="514"/>
      <c r="AD560" s="514"/>
      <c r="AE560" s="774"/>
      <c r="AF560" s="514"/>
      <c r="AG560" s="897"/>
      <c r="AH560" s="789"/>
      <c r="AI560" s="664">
        <f t="shared" si="28"/>
        <v>0</v>
      </c>
      <c r="AJ560" s="521">
        <v>0</v>
      </c>
      <c r="AK560" s="520">
        <f t="shared" si="26"/>
        <v>0</v>
      </c>
      <c r="AL560" s="695" t="s">
        <v>1617</v>
      </c>
      <c r="AM560" s="669">
        <f t="shared" si="27"/>
        <v>6</v>
      </c>
    </row>
    <row r="561" spans="1:39" s="500" customFormat="1">
      <c r="A561" s="542" t="s">
        <v>1030</v>
      </c>
      <c r="B561" s="542" t="s">
        <v>1349</v>
      </c>
      <c r="C561" s="548" t="s">
        <v>1450</v>
      </c>
      <c r="D561" s="519"/>
      <c r="E561" s="726"/>
      <c r="F561" s="520"/>
      <c r="G561" s="520"/>
      <c r="H561" s="520"/>
      <c r="I561" s="521"/>
      <c r="J561" s="521"/>
      <c r="K561" s="521"/>
      <c r="L561" s="756"/>
      <c r="M561" s="514"/>
      <c r="N561" s="514"/>
      <c r="O561" s="514"/>
      <c r="P561" s="514"/>
      <c r="Q561" s="514"/>
      <c r="R561" s="514"/>
      <c r="S561" s="756"/>
      <c r="T561" s="514"/>
      <c r="U561" s="514"/>
      <c r="V561" s="514"/>
      <c r="W561" s="514"/>
      <c r="X561" s="514"/>
      <c r="Y561" s="514"/>
      <c r="Z561" s="756"/>
      <c r="AA561" s="514"/>
      <c r="AB561" s="514"/>
      <c r="AC561" s="514"/>
      <c r="AD561" s="514"/>
      <c r="AE561" s="774"/>
      <c r="AF561" s="514"/>
      <c r="AG561" s="897"/>
      <c r="AH561" s="789"/>
      <c r="AI561" s="664">
        <f t="shared" si="28"/>
        <v>0</v>
      </c>
      <c r="AJ561" s="521">
        <v>0</v>
      </c>
      <c r="AK561" s="520">
        <f t="shared" si="26"/>
        <v>0</v>
      </c>
      <c r="AL561" s="695" t="s">
        <v>1617</v>
      </c>
      <c r="AM561" s="669">
        <f t="shared" si="27"/>
        <v>6</v>
      </c>
    </row>
    <row r="562" spans="1:39" s="500" customFormat="1">
      <c r="A562" s="542" t="s">
        <v>1031</v>
      </c>
      <c r="B562" s="542" t="s">
        <v>1350</v>
      </c>
      <c r="C562" s="548" t="s">
        <v>1451</v>
      </c>
      <c r="D562" s="519"/>
      <c r="E562" s="726"/>
      <c r="F562" s="520"/>
      <c r="G562" s="520"/>
      <c r="H562" s="520"/>
      <c r="I562" s="521"/>
      <c r="J562" s="521"/>
      <c r="K562" s="521"/>
      <c r="L562" s="756"/>
      <c r="M562" s="514"/>
      <c r="N562" s="514"/>
      <c r="O562" s="514"/>
      <c r="P562" s="514"/>
      <c r="Q562" s="514"/>
      <c r="R562" s="514"/>
      <c r="S562" s="756"/>
      <c r="T562" s="514"/>
      <c r="U562" s="514"/>
      <c r="V562" s="514"/>
      <c r="W562" s="514"/>
      <c r="X562" s="514"/>
      <c r="Y562" s="514"/>
      <c r="Z562" s="756"/>
      <c r="AA562" s="514"/>
      <c r="AB562" s="514"/>
      <c r="AC562" s="514"/>
      <c r="AD562" s="514"/>
      <c r="AE562" s="774"/>
      <c r="AF562" s="514"/>
      <c r="AG562" s="897"/>
      <c r="AH562" s="789"/>
      <c r="AI562" s="664">
        <f t="shared" si="28"/>
        <v>0</v>
      </c>
      <c r="AJ562" s="521">
        <v>0</v>
      </c>
      <c r="AK562" s="520">
        <f t="shared" si="26"/>
        <v>0</v>
      </c>
      <c r="AL562" s="695"/>
      <c r="AM562" s="669">
        <f t="shared" si="27"/>
        <v>0</v>
      </c>
    </row>
    <row r="563" spans="1:39" s="500" customFormat="1">
      <c r="A563" s="440" t="s">
        <v>497</v>
      </c>
      <c r="B563" s="543" t="s">
        <v>1351</v>
      </c>
      <c r="C563" s="616"/>
      <c r="D563" s="519"/>
      <c r="E563" s="726"/>
      <c r="F563" s="520"/>
      <c r="G563" s="520"/>
      <c r="H563" s="520"/>
      <c r="I563" s="521"/>
      <c r="J563" s="521"/>
      <c r="K563" s="521"/>
      <c r="L563" s="756"/>
      <c r="M563" s="514"/>
      <c r="N563" s="514"/>
      <c r="O563" s="514"/>
      <c r="P563" s="514"/>
      <c r="Q563" s="514"/>
      <c r="R563" s="514"/>
      <c r="S563" s="756"/>
      <c r="T563" s="514"/>
      <c r="U563" s="514"/>
      <c r="V563" s="514"/>
      <c r="W563" s="514"/>
      <c r="X563" s="514"/>
      <c r="Y563" s="514"/>
      <c r="Z563" s="756"/>
      <c r="AA563" s="514"/>
      <c r="AB563" s="514"/>
      <c r="AC563" s="514"/>
      <c r="AD563" s="514"/>
      <c r="AE563" s="774"/>
      <c r="AF563" s="514"/>
      <c r="AG563" s="897"/>
      <c r="AH563" s="789"/>
      <c r="AI563" s="664">
        <f t="shared" si="28"/>
        <v>0</v>
      </c>
      <c r="AJ563" s="521">
        <v>0</v>
      </c>
      <c r="AK563" s="520">
        <f t="shared" si="26"/>
        <v>0</v>
      </c>
      <c r="AL563" s="695" t="s">
        <v>1746</v>
      </c>
      <c r="AM563" s="669">
        <f t="shared" si="27"/>
        <v>18.04</v>
      </c>
    </row>
    <row r="564" spans="1:39" s="500" customFormat="1">
      <c r="A564" s="542" t="s">
        <v>498</v>
      </c>
      <c r="B564" s="542" t="s">
        <v>1352</v>
      </c>
      <c r="C564" s="548" t="s">
        <v>40</v>
      </c>
      <c r="D564" s="519"/>
      <c r="E564" s="726"/>
      <c r="F564" s="520"/>
      <c r="G564" s="520"/>
      <c r="H564" s="520"/>
      <c r="I564" s="521"/>
      <c r="J564" s="521"/>
      <c r="K564" s="521"/>
      <c r="L564" s="756"/>
      <c r="M564" s="514"/>
      <c r="N564" s="514"/>
      <c r="O564" s="514"/>
      <c r="P564" s="514"/>
      <c r="Q564" s="514"/>
      <c r="R564" s="514"/>
      <c r="S564" s="756"/>
      <c r="T564" s="514"/>
      <c r="U564" s="514"/>
      <c r="V564" s="514"/>
      <c r="W564" s="514"/>
      <c r="X564" s="514"/>
      <c r="Y564" s="514"/>
      <c r="Z564" s="756"/>
      <c r="AA564" s="514"/>
      <c r="AB564" s="514"/>
      <c r="AC564" s="514"/>
      <c r="AD564" s="514"/>
      <c r="AE564" s="774"/>
      <c r="AF564" s="514"/>
      <c r="AG564" s="897"/>
      <c r="AH564" s="789"/>
      <c r="AI564" s="664">
        <f t="shared" si="28"/>
        <v>0</v>
      </c>
      <c r="AJ564" s="521">
        <v>0</v>
      </c>
      <c r="AK564" s="520">
        <f t="shared" si="26"/>
        <v>0</v>
      </c>
      <c r="AL564" s="695" t="s">
        <v>1746</v>
      </c>
      <c r="AM564" s="669">
        <f t="shared" si="27"/>
        <v>18.04</v>
      </c>
    </row>
    <row r="565" spans="1:39" s="500" customFormat="1">
      <c r="A565" s="542" t="s">
        <v>499</v>
      </c>
      <c r="B565" s="542" t="s">
        <v>1353</v>
      </c>
      <c r="C565" s="548" t="s">
        <v>40</v>
      </c>
      <c r="D565" s="519"/>
      <c r="E565" s="726"/>
      <c r="F565" s="520"/>
      <c r="G565" s="520"/>
      <c r="H565" s="520"/>
      <c r="I565" s="521"/>
      <c r="J565" s="521"/>
      <c r="K565" s="521"/>
      <c r="L565" s="756"/>
      <c r="M565" s="514"/>
      <c r="N565" s="514"/>
      <c r="O565" s="514"/>
      <c r="P565" s="514"/>
      <c r="Q565" s="514"/>
      <c r="R565" s="514"/>
      <c r="S565" s="756"/>
      <c r="T565" s="514"/>
      <c r="U565" s="514"/>
      <c r="V565" s="514"/>
      <c r="W565" s="514"/>
      <c r="X565" s="514"/>
      <c r="Y565" s="514"/>
      <c r="Z565" s="756"/>
      <c r="AA565" s="514"/>
      <c r="AB565" s="514"/>
      <c r="AC565" s="514"/>
      <c r="AD565" s="514"/>
      <c r="AE565" s="774"/>
      <c r="AF565" s="514"/>
      <c r="AG565" s="897"/>
      <c r="AH565" s="789"/>
      <c r="AI565" s="664">
        <f t="shared" si="28"/>
        <v>0</v>
      </c>
      <c r="AJ565" s="521">
        <v>0</v>
      </c>
      <c r="AK565" s="520">
        <f t="shared" si="26"/>
        <v>0</v>
      </c>
      <c r="AL565" s="695" t="s">
        <v>1455</v>
      </c>
      <c r="AM565" s="669">
        <f t="shared" si="27"/>
        <v>1</v>
      </c>
    </row>
    <row r="566" spans="1:39" s="500" customFormat="1">
      <c r="A566" s="542" t="s">
        <v>1032</v>
      </c>
      <c r="B566" s="542" t="s">
        <v>1354</v>
      </c>
      <c r="C566" s="548" t="s">
        <v>36</v>
      </c>
      <c r="D566" s="519"/>
      <c r="E566" s="726"/>
      <c r="F566" s="520"/>
      <c r="G566" s="520"/>
      <c r="H566" s="520"/>
      <c r="I566" s="521"/>
      <c r="J566" s="521"/>
      <c r="K566" s="521"/>
      <c r="L566" s="756"/>
      <c r="M566" s="514"/>
      <c r="N566" s="514"/>
      <c r="O566" s="514"/>
      <c r="P566" s="514"/>
      <c r="Q566" s="514"/>
      <c r="R566" s="514"/>
      <c r="S566" s="756"/>
      <c r="T566" s="514"/>
      <c r="U566" s="514"/>
      <c r="V566" s="514"/>
      <c r="W566" s="514"/>
      <c r="X566" s="514"/>
      <c r="Y566" s="514"/>
      <c r="Z566" s="756"/>
      <c r="AA566" s="514"/>
      <c r="AB566" s="514"/>
      <c r="AC566" s="514"/>
      <c r="AD566" s="514"/>
      <c r="AE566" s="774"/>
      <c r="AF566" s="514"/>
      <c r="AG566" s="897"/>
      <c r="AH566" s="789"/>
      <c r="AI566" s="664">
        <f t="shared" si="28"/>
        <v>0</v>
      </c>
      <c r="AJ566" s="521">
        <v>0</v>
      </c>
      <c r="AK566" s="520">
        <f t="shared" si="26"/>
        <v>0</v>
      </c>
      <c r="AL566" s="695" t="s">
        <v>1455</v>
      </c>
      <c r="AM566" s="669">
        <f t="shared" si="27"/>
        <v>1</v>
      </c>
    </row>
    <row r="567" spans="1:39" s="500" customFormat="1">
      <c r="A567" s="542" t="s">
        <v>1033</v>
      </c>
      <c r="B567" s="542" t="s">
        <v>1355</v>
      </c>
      <c r="C567" s="548" t="s">
        <v>41</v>
      </c>
      <c r="D567" s="519"/>
      <c r="E567" s="726"/>
      <c r="F567" s="520"/>
      <c r="G567" s="520"/>
      <c r="H567" s="520"/>
      <c r="I567" s="521"/>
      <c r="J567" s="521"/>
      <c r="K567" s="521"/>
      <c r="L567" s="756"/>
      <c r="M567" s="514"/>
      <c r="N567" s="514"/>
      <c r="O567" s="514"/>
      <c r="P567" s="514"/>
      <c r="Q567" s="514"/>
      <c r="R567" s="514"/>
      <c r="S567" s="756"/>
      <c r="T567" s="514"/>
      <c r="U567" s="514"/>
      <c r="V567" s="514"/>
      <c r="W567" s="514"/>
      <c r="X567" s="514"/>
      <c r="Y567" s="514"/>
      <c r="Z567" s="756"/>
      <c r="AA567" s="514"/>
      <c r="AB567" s="514"/>
      <c r="AC567" s="514"/>
      <c r="AD567" s="514"/>
      <c r="AE567" s="774"/>
      <c r="AF567" s="514"/>
      <c r="AG567" s="897"/>
      <c r="AH567" s="789"/>
      <c r="AI567" s="664">
        <f t="shared" si="28"/>
        <v>0</v>
      </c>
      <c r="AJ567" s="521">
        <v>0</v>
      </c>
      <c r="AK567" s="520">
        <f t="shared" si="26"/>
        <v>0</v>
      </c>
      <c r="AL567" s="695"/>
      <c r="AM567" s="669">
        <f t="shared" si="27"/>
        <v>0</v>
      </c>
    </row>
    <row r="568" spans="1:39" s="500" customFormat="1">
      <c r="A568" s="440" t="s">
        <v>500</v>
      </c>
      <c r="B568" s="543" t="s">
        <v>1356</v>
      </c>
      <c r="C568" s="616"/>
      <c r="D568" s="519"/>
      <c r="E568" s="726"/>
      <c r="F568" s="520"/>
      <c r="G568" s="520"/>
      <c r="H568" s="520"/>
      <c r="I568" s="521"/>
      <c r="J568" s="521"/>
      <c r="K568" s="521"/>
      <c r="L568" s="756"/>
      <c r="M568" s="514"/>
      <c r="N568" s="514"/>
      <c r="O568" s="514"/>
      <c r="P568" s="514"/>
      <c r="Q568" s="514"/>
      <c r="R568" s="514"/>
      <c r="S568" s="756"/>
      <c r="T568" s="514"/>
      <c r="U568" s="514"/>
      <c r="V568" s="514"/>
      <c r="W568" s="514"/>
      <c r="X568" s="514"/>
      <c r="Y568" s="514"/>
      <c r="Z568" s="756"/>
      <c r="AA568" s="514"/>
      <c r="AB568" s="514"/>
      <c r="AC568" s="514"/>
      <c r="AD568" s="514"/>
      <c r="AE568" s="774"/>
      <c r="AF568" s="514"/>
      <c r="AG568" s="897"/>
      <c r="AH568" s="789"/>
      <c r="AI568" s="664">
        <f t="shared" si="28"/>
        <v>0</v>
      </c>
      <c r="AJ568" s="521">
        <v>0</v>
      </c>
      <c r="AK568" s="520">
        <f t="shared" si="26"/>
        <v>0</v>
      </c>
      <c r="AL568" s="695" t="s">
        <v>1747</v>
      </c>
      <c r="AM568" s="669">
        <f t="shared" si="27"/>
        <v>10.08</v>
      </c>
    </row>
    <row r="569" spans="1:39" s="500" customFormat="1">
      <c r="A569" s="542" t="s">
        <v>501</v>
      </c>
      <c r="B569" s="542" t="s">
        <v>1352</v>
      </c>
      <c r="C569" s="548" t="s">
        <v>40</v>
      </c>
      <c r="D569" s="519"/>
      <c r="E569" s="726"/>
      <c r="F569" s="520"/>
      <c r="G569" s="520"/>
      <c r="H569" s="520"/>
      <c r="I569" s="521"/>
      <c r="J569" s="521"/>
      <c r="K569" s="521"/>
      <c r="L569" s="756"/>
      <c r="M569" s="514"/>
      <c r="N569" s="514"/>
      <c r="O569" s="514"/>
      <c r="P569" s="514"/>
      <c r="Q569" s="514"/>
      <c r="R569" s="514"/>
      <c r="S569" s="756"/>
      <c r="T569" s="514"/>
      <c r="U569" s="514"/>
      <c r="V569" s="514"/>
      <c r="W569" s="514"/>
      <c r="X569" s="514"/>
      <c r="Y569" s="514"/>
      <c r="Z569" s="756"/>
      <c r="AA569" s="514"/>
      <c r="AB569" s="514"/>
      <c r="AC569" s="514"/>
      <c r="AD569" s="514"/>
      <c r="AE569" s="774"/>
      <c r="AF569" s="514"/>
      <c r="AG569" s="897"/>
      <c r="AH569" s="789"/>
      <c r="AI569" s="664">
        <f t="shared" si="28"/>
        <v>0</v>
      </c>
      <c r="AJ569" s="521">
        <v>0</v>
      </c>
      <c r="AK569" s="520">
        <f t="shared" si="26"/>
        <v>0</v>
      </c>
      <c r="AL569" s="695" t="s">
        <v>1747</v>
      </c>
      <c r="AM569" s="669">
        <f t="shared" si="27"/>
        <v>10.08</v>
      </c>
    </row>
    <row r="570" spans="1:39" s="500" customFormat="1">
      <c r="A570" s="542" t="s">
        <v>502</v>
      </c>
      <c r="B570" s="542" t="s">
        <v>1353</v>
      </c>
      <c r="C570" s="548" t="s">
        <v>40</v>
      </c>
      <c r="D570" s="519"/>
      <c r="E570" s="726"/>
      <c r="F570" s="520"/>
      <c r="G570" s="520"/>
      <c r="H570" s="520"/>
      <c r="I570" s="521"/>
      <c r="J570" s="521"/>
      <c r="K570" s="521"/>
      <c r="L570" s="756"/>
      <c r="M570" s="514"/>
      <c r="N570" s="514"/>
      <c r="O570" s="514"/>
      <c r="P570" s="514"/>
      <c r="Q570" s="514"/>
      <c r="R570" s="514"/>
      <c r="S570" s="756"/>
      <c r="T570" s="514"/>
      <c r="U570" s="514"/>
      <c r="V570" s="514"/>
      <c r="W570" s="514"/>
      <c r="X570" s="514"/>
      <c r="Y570" s="514"/>
      <c r="Z570" s="756"/>
      <c r="AA570" s="514"/>
      <c r="AB570" s="514"/>
      <c r="AC570" s="514"/>
      <c r="AD570" s="514"/>
      <c r="AE570" s="774"/>
      <c r="AF570" s="514"/>
      <c r="AG570" s="897"/>
      <c r="AH570" s="789"/>
      <c r="AI570" s="664">
        <f t="shared" si="28"/>
        <v>0</v>
      </c>
      <c r="AJ570" s="521">
        <v>0</v>
      </c>
      <c r="AK570" s="520">
        <f t="shared" si="26"/>
        <v>0</v>
      </c>
      <c r="AL570" s="695" t="s">
        <v>1748</v>
      </c>
      <c r="AM570" s="669">
        <f t="shared" si="27"/>
        <v>5.04</v>
      </c>
    </row>
    <row r="571" spans="1:39" s="500" customFormat="1">
      <c r="A571" s="542" t="s">
        <v>503</v>
      </c>
      <c r="B571" s="542" t="s">
        <v>1357</v>
      </c>
      <c r="C571" s="548" t="s">
        <v>40</v>
      </c>
      <c r="D571" s="519"/>
      <c r="E571" s="726"/>
      <c r="F571" s="520"/>
      <c r="G571" s="520"/>
      <c r="H571" s="520"/>
      <c r="I571" s="521"/>
      <c r="J571" s="521"/>
      <c r="K571" s="521"/>
      <c r="L571" s="756"/>
      <c r="M571" s="514"/>
      <c r="N571" s="514"/>
      <c r="O571" s="514"/>
      <c r="P571" s="514"/>
      <c r="Q571" s="514"/>
      <c r="R571" s="514"/>
      <c r="S571" s="756"/>
      <c r="T571" s="514"/>
      <c r="U571" s="514"/>
      <c r="V571" s="514"/>
      <c r="W571" s="514"/>
      <c r="X571" s="514"/>
      <c r="Y571" s="514"/>
      <c r="Z571" s="756"/>
      <c r="AA571" s="514"/>
      <c r="AB571" s="514"/>
      <c r="AC571" s="514"/>
      <c r="AD571" s="514"/>
      <c r="AE571" s="774"/>
      <c r="AF571" s="514"/>
      <c r="AG571" s="897"/>
      <c r="AH571" s="789"/>
      <c r="AI571" s="664">
        <f t="shared" si="28"/>
        <v>0</v>
      </c>
      <c r="AJ571" s="521">
        <v>0</v>
      </c>
      <c r="AK571" s="520">
        <f t="shared" si="26"/>
        <v>0</v>
      </c>
      <c r="AL571" s="695" t="s">
        <v>1455</v>
      </c>
      <c r="AM571" s="669">
        <f t="shared" si="27"/>
        <v>1</v>
      </c>
    </row>
    <row r="572" spans="1:39" s="500" customFormat="1">
      <c r="A572" s="542" t="s">
        <v>504</v>
      </c>
      <c r="B572" s="542" t="s">
        <v>1358</v>
      </c>
      <c r="C572" s="548" t="s">
        <v>41</v>
      </c>
      <c r="D572" s="519"/>
      <c r="E572" s="726"/>
      <c r="F572" s="520"/>
      <c r="G572" s="520"/>
      <c r="H572" s="520"/>
      <c r="I572" s="521"/>
      <c r="J572" s="521"/>
      <c r="K572" s="521"/>
      <c r="L572" s="756"/>
      <c r="M572" s="514"/>
      <c r="N572" s="514"/>
      <c r="O572" s="514"/>
      <c r="P572" s="514"/>
      <c r="Q572" s="514"/>
      <c r="R572" s="514"/>
      <c r="S572" s="756"/>
      <c r="T572" s="514"/>
      <c r="U572" s="514"/>
      <c r="V572" s="514"/>
      <c r="W572" s="514"/>
      <c r="X572" s="514"/>
      <c r="Y572" s="514"/>
      <c r="Z572" s="756"/>
      <c r="AA572" s="514"/>
      <c r="AB572" s="514"/>
      <c r="AC572" s="514"/>
      <c r="AD572" s="514"/>
      <c r="AE572" s="774"/>
      <c r="AF572" s="514"/>
      <c r="AG572" s="897"/>
      <c r="AH572" s="789"/>
      <c r="AI572" s="664">
        <f t="shared" si="28"/>
        <v>0</v>
      </c>
      <c r="AJ572" s="521">
        <v>0</v>
      </c>
      <c r="AK572" s="520">
        <f t="shared" si="26"/>
        <v>0</v>
      </c>
      <c r="AL572" s="695" t="s">
        <v>1602</v>
      </c>
      <c r="AM572" s="669">
        <f t="shared" si="27"/>
        <v>24</v>
      </c>
    </row>
    <row r="573" spans="1:39" s="500" customFormat="1">
      <c r="A573" s="542" t="s">
        <v>1034</v>
      </c>
      <c r="B573" s="542" t="s">
        <v>1359</v>
      </c>
      <c r="C573" s="548" t="s">
        <v>38</v>
      </c>
      <c r="D573" s="519"/>
      <c r="E573" s="726"/>
      <c r="F573" s="520"/>
      <c r="G573" s="520"/>
      <c r="H573" s="520"/>
      <c r="I573" s="521"/>
      <c r="J573" s="521"/>
      <c r="K573" s="521"/>
      <c r="L573" s="756"/>
      <c r="M573" s="514"/>
      <c r="N573" s="514"/>
      <c r="O573" s="514"/>
      <c r="P573" s="514"/>
      <c r="Q573" s="514"/>
      <c r="R573" s="514"/>
      <c r="S573" s="756"/>
      <c r="T573" s="514"/>
      <c r="U573" s="514"/>
      <c r="V573" s="514"/>
      <c r="W573" s="514"/>
      <c r="X573" s="514"/>
      <c r="Y573" s="514"/>
      <c r="Z573" s="756"/>
      <c r="AA573" s="514"/>
      <c r="AB573" s="514"/>
      <c r="AC573" s="514"/>
      <c r="AD573" s="514"/>
      <c r="AE573" s="774"/>
      <c r="AF573" s="514"/>
      <c r="AG573" s="897"/>
      <c r="AH573" s="789"/>
      <c r="AI573" s="664">
        <f t="shared" si="28"/>
        <v>0</v>
      </c>
      <c r="AJ573" s="521">
        <v>0</v>
      </c>
      <c r="AK573" s="520">
        <f t="shared" si="26"/>
        <v>0</v>
      </c>
      <c r="AL573" s="695"/>
      <c r="AM573" s="669">
        <f t="shared" si="27"/>
        <v>0</v>
      </c>
    </row>
    <row r="574" spans="1:39" s="500" customFormat="1">
      <c r="A574" s="440" t="s">
        <v>505</v>
      </c>
      <c r="B574" s="543" t="s">
        <v>1360</v>
      </c>
      <c r="C574" s="616"/>
      <c r="D574" s="519"/>
      <c r="E574" s="726"/>
      <c r="F574" s="520"/>
      <c r="G574" s="520"/>
      <c r="H574" s="520"/>
      <c r="I574" s="521"/>
      <c r="J574" s="521"/>
      <c r="K574" s="521"/>
      <c r="L574" s="756"/>
      <c r="M574" s="514"/>
      <c r="N574" s="514"/>
      <c r="O574" s="514"/>
      <c r="P574" s="514"/>
      <c r="Q574" s="514"/>
      <c r="R574" s="514"/>
      <c r="S574" s="756"/>
      <c r="T574" s="514"/>
      <c r="U574" s="514"/>
      <c r="V574" s="514"/>
      <c r="W574" s="514"/>
      <c r="X574" s="514"/>
      <c r="Y574" s="514"/>
      <c r="Z574" s="756"/>
      <c r="AA574" s="514"/>
      <c r="AB574" s="514"/>
      <c r="AC574" s="514"/>
      <c r="AD574" s="514"/>
      <c r="AE574" s="774"/>
      <c r="AF574" s="514"/>
      <c r="AG574" s="897"/>
      <c r="AH574" s="789"/>
      <c r="AI574" s="664">
        <f t="shared" si="28"/>
        <v>0</v>
      </c>
      <c r="AJ574" s="521">
        <v>0</v>
      </c>
      <c r="AK574" s="520">
        <f t="shared" si="26"/>
        <v>0</v>
      </c>
      <c r="AL574" s="695" t="s">
        <v>1493</v>
      </c>
      <c r="AM574" s="669">
        <f t="shared" si="27"/>
        <v>15</v>
      </c>
    </row>
    <row r="575" spans="1:39" s="500" customFormat="1">
      <c r="A575" s="542" t="s">
        <v>506</v>
      </c>
      <c r="B575" s="542" t="s">
        <v>1361</v>
      </c>
      <c r="C575" s="548" t="s">
        <v>1452</v>
      </c>
      <c r="D575" s="519"/>
      <c r="E575" s="726"/>
      <c r="F575" s="520"/>
      <c r="G575" s="520"/>
      <c r="H575" s="520"/>
      <c r="I575" s="521"/>
      <c r="J575" s="521"/>
      <c r="K575" s="521"/>
      <c r="L575" s="756"/>
      <c r="M575" s="514"/>
      <c r="N575" s="514"/>
      <c r="O575" s="514"/>
      <c r="P575" s="514"/>
      <c r="Q575" s="514"/>
      <c r="R575" s="514"/>
      <c r="S575" s="756"/>
      <c r="T575" s="514"/>
      <c r="U575" s="514"/>
      <c r="V575" s="514"/>
      <c r="W575" s="514"/>
      <c r="X575" s="514"/>
      <c r="Y575" s="514"/>
      <c r="Z575" s="756"/>
      <c r="AA575" s="514"/>
      <c r="AB575" s="514"/>
      <c r="AC575" s="514"/>
      <c r="AD575" s="514"/>
      <c r="AE575" s="774"/>
      <c r="AF575" s="514"/>
      <c r="AG575" s="897"/>
      <c r="AH575" s="789"/>
      <c r="AI575" s="664">
        <f t="shared" si="28"/>
        <v>0</v>
      </c>
      <c r="AJ575" s="521">
        <v>0</v>
      </c>
      <c r="AK575" s="520">
        <f t="shared" si="26"/>
        <v>0</v>
      </c>
      <c r="AL575" s="695" t="s">
        <v>1749</v>
      </c>
      <c r="AM575" s="669">
        <f t="shared" si="27"/>
        <v>31.6</v>
      </c>
    </row>
    <row r="576" spans="1:39" s="500" customFormat="1">
      <c r="A576" s="542" t="s">
        <v>507</v>
      </c>
      <c r="B576" s="542" t="s">
        <v>1362</v>
      </c>
      <c r="C576" s="548" t="s">
        <v>38</v>
      </c>
      <c r="D576" s="519"/>
      <c r="E576" s="726"/>
      <c r="F576" s="520"/>
      <c r="G576" s="520"/>
      <c r="H576" s="520"/>
      <c r="I576" s="521"/>
      <c r="J576" s="521"/>
      <c r="K576" s="521"/>
      <c r="L576" s="756"/>
      <c r="M576" s="514"/>
      <c r="N576" s="514"/>
      <c r="O576" s="514"/>
      <c r="P576" s="514"/>
      <c r="Q576" s="514"/>
      <c r="R576" s="514"/>
      <c r="S576" s="756"/>
      <c r="T576" s="514"/>
      <c r="U576" s="514"/>
      <c r="V576" s="514"/>
      <c r="W576" s="514"/>
      <c r="X576" s="514"/>
      <c r="Y576" s="514"/>
      <c r="Z576" s="756"/>
      <c r="AA576" s="514"/>
      <c r="AB576" s="514"/>
      <c r="AC576" s="514"/>
      <c r="AD576" s="514"/>
      <c r="AE576" s="774"/>
      <c r="AF576" s="514"/>
      <c r="AG576" s="897"/>
      <c r="AH576" s="789"/>
      <c r="AI576" s="664">
        <f t="shared" si="28"/>
        <v>0</v>
      </c>
      <c r="AJ576" s="521">
        <v>0</v>
      </c>
      <c r="AK576" s="520">
        <f t="shared" si="26"/>
        <v>0</v>
      </c>
      <c r="AL576" s="695" t="s">
        <v>1750</v>
      </c>
      <c r="AM576" s="669">
        <f t="shared" si="27"/>
        <v>46.35</v>
      </c>
    </row>
    <row r="577" spans="1:39" s="500" customFormat="1">
      <c r="A577" s="542" t="s">
        <v>508</v>
      </c>
      <c r="B577" s="542" t="s">
        <v>1363</v>
      </c>
      <c r="C577" s="548" t="s">
        <v>38</v>
      </c>
      <c r="D577" s="519"/>
      <c r="E577" s="726"/>
      <c r="F577" s="520"/>
      <c r="G577" s="520"/>
      <c r="H577" s="520"/>
      <c r="I577" s="521"/>
      <c r="J577" s="521"/>
      <c r="K577" s="521"/>
      <c r="L577" s="756"/>
      <c r="M577" s="514"/>
      <c r="N577" s="514"/>
      <c r="O577" s="514"/>
      <c r="P577" s="514"/>
      <c r="Q577" s="514"/>
      <c r="R577" s="514"/>
      <c r="S577" s="756"/>
      <c r="T577" s="514"/>
      <c r="U577" s="514"/>
      <c r="V577" s="514"/>
      <c r="W577" s="514"/>
      <c r="X577" s="514"/>
      <c r="Y577" s="514"/>
      <c r="Z577" s="756"/>
      <c r="AA577" s="514"/>
      <c r="AB577" s="514"/>
      <c r="AC577" s="514"/>
      <c r="AD577" s="514"/>
      <c r="AE577" s="774"/>
      <c r="AF577" s="514"/>
      <c r="AG577" s="897"/>
      <c r="AH577" s="789"/>
      <c r="AI577" s="664">
        <f t="shared" si="28"/>
        <v>0</v>
      </c>
      <c r="AJ577" s="521">
        <v>0</v>
      </c>
      <c r="AK577" s="520">
        <f t="shared" si="26"/>
        <v>0</v>
      </c>
      <c r="AL577" s="695" t="s">
        <v>1617</v>
      </c>
      <c r="AM577" s="669">
        <f t="shared" si="27"/>
        <v>6</v>
      </c>
    </row>
    <row r="578" spans="1:39" s="500" customFormat="1">
      <c r="A578" s="542" t="s">
        <v>1035</v>
      </c>
      <c r="B578" s="542" t="s">
        <v>1364</v>
      </c>
      <c r="C578" s="548" t="s">
        <v>1450</v>
      </c>
      <c r="D578" s="519"/>
      <c r="E578" s="726"/>
      <c r="F578" s="520"/>
      <c r="G578" s="520"/>
      <c r="H578" s="520"/>
      <c r="I578" s="521"/>
      <c r="J578" s="521"/>
      <c r="K578" s="521"/>
      <c r="L578" s="756"/>
      <c r="M578" s="514"/>
      <c r="N578" s="514"/>
      <c r="O578" s="514"/>
      <c r="P578" s="514"/>
      <c r="Q578" s="514"/>
      <c r="R578" s="514"/>
      <c r="S578" s="756"/>
      <c r="T578" s="514"/>
      <c r="U578" s="514"/>
      <c r="V578" s="514"/>
      <c r="W578" s="514"/>
      <c r="X578" s="514"/>
      <c r="Y578" s="514"/>
      <c r="Z578" s="756"/>
      <c r="AA578" s="514"/>
      <c r="AB578" s="514"/>
      <c r="AC578" s="514"/>
      <c r="AD578" s="514"/>
      <c r="AE578" s="774"/>
      <c r="AF578" s="514"/>
      <c r="AG578" s="897"/>
      <c r="AH578" s="789"/>
      <c r="AI578" s="664">
        <f t="shared" si="28"/>
        <v>0</v>
      </c>
      <c r="AJ578" s="521">
        <v>0</v>
      </c>
      <c r="AK578" s="520">
        <f t="shared" si="26"/>
        <v>0</v>
      </c>
      <c r="AL578" s="695" t="s">
        <v>1455</v>
      </c>
      <c r="AM578" s="669">
        <f t="shared" si="27"/>
        <v>1</v>
      </c>
    </row>
    <row r="579" spans="1:39" s="500" customFormat="1">
      <c r="A579" s="542" t="s">
        <v>1036</v>
      </c>
      <c r="B579" s="542" t="s">
        <v>1365</v>
      </c>
      <c r="C579" s="548" t="s">
        <v>1451</v>
      </c>
      <c r="D579" s="519"/>
      <c r="E579" s="726"/>
      <c r="F579" s="520"/>
      <c r="G579" s="520"/>
      <c r="H579" s="520"/>
      <c r="I579" s="521"/>
      <c r="J579" s="521"/>
      <c r="K579" s="521"/>
      <c r="L579" s="756"/>
      <c r="M579" s="514"/>
      <c r="N579" s="514"/>
      <c r="O579" s="514"/>
      <c r="P579" s="514"/>
      <c r="Q579" s="514"/>
      <c r="R579" s="514"/>
      <c r="S579" s="756"/>
      <c r="T579" s="514"/>
      <c r="U579" s="514"/>
      <c r="V579" s="514"/>
      <c r="W579" s="514"/>
      <c r="X579" s="514"/>
      <c r="Y579" s="514"/>
      <c r="Z579" s="756"/>
      <c r="AA579" s="514"/>
      <c r="AB579" s="514"/>
      <c r="AC579" s="514"/>
      <c r="AD579" s="514"/>
      <c r="AE579" s="774"/>
      <c r="AF579" s="514"/>
      <c r="AG579" s="897"/>
      <c r="AH579" s="789"/>
      <c r="AI579" s="664">
        <f t="shared" si="28"/>
        <v>0</v>
      </c>
      <c r="AJ579" s="521">
        <v>0</v>
      </c>
      <c r="AK579" s="520">
        <f t="shared" si="26"/>
        <v>0</v>
      </c>
      <c r="AL579" s="695" t="s">
        <v>1698</v>
      </c>
      <c r="AM579" s="669">
        <f t="shared" si="27"/>
        <v>2</v>
      </c>
    </row>
    <row r="580" spans="1:39" s="500" customFormat="1">
      <c r="A580" s="542" t="s">
        <v>1037</v>
      </c>
      <c r="B580" s="542" t="s">
        <v>1366</v>
      </c>
      <c r="C580" s="548" t="s">
        <v>1450</v>
      </c>
      <c r="D580" s="519"/>
      <c r="E580" s="726"/>
      <c r="F580" s="520"/>
      <c r="G580" s="520"/>
      <c r="H580" s="520"/>
      <c r="I580" s="521"/>
      <c r="J580" s="521"/>
      <c r="K580" s="521"/>
      <c r="L580" s="756"/>
      <c r="M580" s="514"/>
      <c r="N580" s="514"/>
      <c r="O580" s="514"/>
      <c r="P580" s="514"/>
      <c r="Q580" s="514"/>
      <c r="R580" s="514"/>
      <c r="S580" s="756"/>
      <c r="T580" s="514"/>
      <c r="U580" s="514"/>
      <c r="V580" s="514"/>
      <c r="W580" s="514"/>
      <c r="X580" s="514"/>
      <c r="Y580" s="514"/>
      <c r="Z580" s="756"/>
      <c r="AA580" s="514"/>
      <c r="AB580" s="514"/>
      <c r="AC580" s="514"/>
      <c r="AD580" s="514"/>
      <c r="AE580" s="774"/>
      <c r="AF580" s="514"/>
      <c r="AG580" s="897"/>
      <c r="AH580" s="789"/>
      <c r="AI580" s="664">
        <f t="shared" si="28"/>
        <v>0</v>
      </c>
      <c r="AJ580" s="521">
        <v>0</v>
      </c>
      <c r="AK580" s="520">
        <f t="shared" si="26"/>
        <v>0</v>
      </c>
      <c r="AL580" s="695"/>
      <c r="AM580" s="669">
        <f t="shared" si="27"/>
        <v>0</v>
      </c>
    </row>
    <row r="581" spans="1:39" s="500" customFormat="1">
      <c r="A581" s="440" t="s">
        <v>1038</v>
      </c>
      <c r="B581" s="543" t="s">
        <v>1367</v>
      </c>
      <c r="C581" s="548"/>
      <c r="D581" s="519"/>
      <c r="E581" s="726"/>
      <c r="F581" s="520"/>
      <c r="G581" s="520"/>
      <c r="H581" s="520"/>
      <c r="I581" s="521"/>
      <c r="J581" s="521"/>
      <c r="K581" s="521"/>
      <c r="L581" s="756"/>
      <c r="M581" s="514"/>
      <c r="N581" s="514"/>
      <c r="O581" s="514"/>
      <c r="P581" s="514"/>
      <c r="Q581" s="514"/>
      <c r="R581" s="514"/>
      <c r="S581" s="756"/>
      <c r="T581" s="514"/>
      <c r="U581" s="514"/>
      <c r="V581" s="514"/>
      <c r="W581" s="514"/>
      <c r="X581" s="514"/>
      <c r="Y581" s="514"/>
      <c r="Z581" s="756"/>
      <c r="AA581" s="514"/>
      <c r="AB581" s="514"/>
      <c r="AC581" s="514"/>
      <c r="AD581" s="514"/>
      <c r="AE581" s="774"/>
      <c r="AF581" s="514"/>
      <c r="AG581" s="897"/>
      <c r="AH581" s="789"/>
      <c r="AI581" s="664">
        <f t="shared" si="28"/>
        <v>0</v>
      </c>
      <c r="AJ581" s="521">
        <v>0</v>
      </c>
      <c r="AK581" s="520">
        <f t="shared" si="26"/>
        <v>0</v>
      </c>
      <c r="AL581" s="695" t="s">
        <v>1455</v>
      </c>
      <c r="AM581" s="669">
        <f t="shared" si="27"/>
        <v>1</v>
      </c>
    </row>
    <row r="582" spans="1:39" s="500" customFormat="1">
      <c r="A582" s="542" t="s">
        <v>509</v>
      </c>
      <c r="B582" s="542" t="s">
        <v>1368</v>
      </c>
      <c r="C582" s="548" t="s">
        <v>64</v>
      </c>
      <c r="D582" s="519"/>
      <c r="E582" s="726"/>
      <c r="F582" s="520"/>
      <c r="G582" s="520"/>
      <c r="H582" s="520"/>
      <c r="I582" s="521"/>
      <c r="J582" s="521"/>
      <c r="K582" s="521"/>
      <c r="L582" s="756"/>
      <c r="M582" s="514"/>
      <c r="N582" s="514"/>
      <c r="O582" s="514"/>
      <c r="P582" s="514"/>
      <c r="Q582" s="514"/>
      <c r="R582" s="514"/>
      <c r="S582" s="756"/>
      <c r="T582" s="514"/>
      <c r="U582" s="514"/>
      <c r="V582" s="514"/>
      <c r="W582" s="514"/>
      <c r="X582" s="514"/>
      <c r="Y582" s="514"/>
      <c r="Z582" s="756"/>
      <c r="AA582" s="514"/>
      <c r="AB582" s="514"/>
      <c r="AC582" s="514"/>
      <c r="AD582" s="514"/>
      <c r="AE582" s="774"/>
      <c r="AF582" s="514"/>
      <c r="AG582" s="897"/>
      <c r="AH582" s="789"/>
      <c r="AI582" s="664">
        <f t="shared" si="28"/>
        <v>0</v>
      </c>
      <c r="AJ582" s="521">
        <v>0</v>
      </c>
      <c r="AK582" s="520">
        <f t="shared" si="26"/>
        <v>0</v>
      </c>
      <c r="AL582" s="695" t="s">
        <v>1751</v>
      </c>
      <c r="AM582" s="669">
        <f t="shared" si="27"/>
        <v>77.95</v>
      </c>
    </row>
    <row r="583" spans="1:39" s="500" customFormat="1">
      <c r="A583" s="542" t="s">
        <v>510</v>
      </c>
      <c r="B583" s="542" t="s">
        <v>1369</v>
      </c>
      <c r="C583" s="548" t="s">
        <v>38</v>
      </c>
      <c r="D583" s="519"/>
      <c r="E583" s="726"/>
      <c r="F583" s="520"/>
      <c r="G583" s="520"/>
      <c r="H583" s="520"/>
      <c r="I583" s="521"/>
      <c r="J583" s="521"/>
      <c r="K583" s="521"/>
      <c r="L583" s="756"/>
      <c r="M583" s="514"/>
      <c r="N583" s="514"/>
      <c r="O583" s="514"/>
      <c r="P583" s="514"/>
      <c r="Q583" s="514"/>
      <c r="R583" s="514"/>
      <c r="S583" s="756"/>
      <c r="T583" s="514"/>
      <c r="U583" s="514"/>
      <c r="V583" s="514"/>
      <c r="W583" s="514"/>
      <c r="X583" s="514"/>
      <c r="Y583" s="514"/>
      <c r="Z583" s="756"/>
      <c r="AA583" s="514"/>
      <c r="AB583" s="514"/>
      <c r="AC583" s="514"/>
      <c r="AD583" s="514"/>
      <c r="AE583" s="774"/>
      <c r="AF583" s="514"/>
      <c r="AG583" s="897"/>
      <c r="AH583" s="789"/>
      <c r="AI583" s="664">
        <f t="shared" si="28"/>
        <v>0</v>
      </c>
      <c r="AJ583" s="521">
        <v>0</v>
      </c>
      <c r="AK583" s="520">
        <f t="shared" si="26"/>
        <v>0</v>
      </c>
      <c r="AL583" s="695"/>
      <c r="AM583" s="669">
        <f t="shared" si="27"/>
        <v>0</v>
      </c>
    </row>
    <row r="584" spans="1:39" s="500" customFormat="1">
      <c r="A584" s="440" t="s">
        <v>1039</v>
      </c>
      <c r="B584" s="543" t="s">
        <v>1370</v>
      </c>
      <c r="C584" s="548"/>
      <c r="D584" s="519"/>
      <c r="E584" s="726"/>
      <c r="F584" s="520"/>
      <c r="G584" s="520"/>
      <c r="H584" s="520"/>
      <c r="I584" s="521"/>
      <c r="J584" s="521"/>
      <c r="K584" s="521"/>
      <c r="L584" s="756"/>
      <c r="M584" s="514"/>
      <c r="N584" s="514"/>
      <c r="O584" s="514"/>
      <c r="P584" s="514"/>
      <c r="Q584" s="514"/>
      <c r="R584" s="514"/>
      <c r="S584" s="756"/>
      <c r="T584" s="514"/>
      <c r="U584" s="514"/>
      <c r="V584" s="514"/>
      <c r="W584" s="514"/>
      <c r="X584" s="514"/>
      <c r="Y584" s="514"/>
      <c r="Z584" s="756"/>
      <c r="AA584" s="514"/>
      <c r="AB584" s="514"/>
      <c r="AC584" s="514"/>
      <c r="AD584" s="514"/>
      <c r="AE584" s="774"/>
      <c r="AF584" s="514"/>
      <c r="AG584" s="897"/>
      <c r="AH584" s="789"/>
      <c r="AI584" s="664">
        <f t="shared" si="28"/>
        <v>0</v>
      </c>
      <c r="AJ584" s="521">
        <v>0</v>
      </c>
      <c r="AK584" s="520">
        <f t="shared" si="26"/>
        <v>0</v>
      </c>
      <c r="AL584" s="695" t="s">
        <v>1752</v>
      </c>
      <c r="AM584" s="669">
        <f t="shared" si="27"/>
        <v>110.78</v>
      </c>
    </row>
    <row r="585" spans="1:39" s="500" customFormat="1">
      <c r="A585" s="542" t="s">
        <v>1040</v>
      </c>
      <c r="B585" s="542" t="s">
        <v>1371</v>
      </c>
      <c r="C585" s="548" t="s">
        <v>38</v>
      </c>
      <c r="D585" s="519"/>
      <c r="E585" s="726"/>
      <c r="F585" s="520"/>
      <c r="G585" s="520"/>
      <c r="H585" s="520"/>
      <c r="I585" s="521"/>
      <c r="J585" s="521"/>
      <c r="K585" s="521"/>
      <c r="L585" s="756"/>
      <c r="M585" s="514"/>
      <c r="N585" s="514"/>
      <c r="O585" s="514"/>
      <c r="P585" s="514"/>
      <c r="Q585" s="514"/>
      <c r="R585" s="514"/>
      <c r="S585" s="756"/>
      <c r="T585" s="514"/>
      <c r="U585" s="514"/>
      <c r="V585" s="514"/>
      <c r="W585" s="514"/>
      <c r="X585" s="514"/>
      <c r="Y585" s="514"/>
      <c r="Z585" s="756"/>
      <c r="AA585" s="514"/>
      <c r="AB585" s="514"/>
      <c r="AC585" s="514"/>
      <c r="AD585" s="514"/>
      <c r="AE585" s="774"/>
      <c r="AF585" s="514"/>
      <c r="AG585" s="897"/>
      <c r="AH585" s="789"/>
      <c r="AI585" s="664">
        <f t="shared" si="28"/>
        <v>0</v>
      </c>
      <c r="AJ585" s="521">
        <v>0</v>
      </c>
      <c r="AK585" s="520">
        <f t="shared" si="26"/>
        <v>0</v>
      </c>
      <c r="AL585" s="695" t="s">
        <v>1753</v>
      </c>
      <c r="AM585" s="669">
        <f t="shared" si="27"/>
        <v>34</v>
      </c>
    </row>
    <row r="586" spans="1:39" s="500" customFormat="1">
      <c r="A586" s="542" t="s">
        <v>1041</v>
      </c>
      <c r="B586" s="542" t="s">
        <v>1372</v>
      </c>
      <c r="C586" s="548" t="s">
        <v>1450</v>
      </c>
      <c r="D586" s="519"/>
      <c r="E586" s="726"/>
      <c r="F586" s="520"/>
      <c r="G586" s="520"/>
      <c r="H586" s="520"/>
      <c r="I586" s="521"/>
      <c r="J586" s="521"/>
      <c r="K586" s="521"/>
      <c r="L586" s="756"/>
      <c r="M586" s="514"/>
      <c r="N586" s="514"/>
      <c r="O586" s="514"/>
      <c r="P586" s="514"/>
      <c r="Q586" s="514"/>
      <c r="R586" s="514"/>
      <c r="S586" s="756"/>
      <c r="T586" s="514"/>
      <c r="U586" s="514"/>
      <c r="V586" s="514"/>
      <c r="W586" s="514"/>
      <c r="X586" s="514"/>
      <c r="Y586" s="514"/>
      <c r="Z586" s="756"/>
      <c r="AA586" s="514"/>
      <c r="AB586" s="514"/>
      <c r="AC586" s="514"/>
      <c r="AD586" s="514"/>
      <c r="AE586" s="774"/>
      <c r="AF586" s="514"/>
      <c r="AG586" s="897"/>
      <c r="AH586" s="789"/>
      <c r="AI586" s="664">
        <f t="shared" si="28"/>
        <v>0</v>
      </c>
      <c r="AJ586" s="521">
        <v>0</v>
      </c>
      <c r="AK586" s="520">
        <f t="shared" si="26"/>
        <v>0</v>
      </c>
      <c r="AL586" s="695" t="s">
        <v>1754</v>
      </c>
      <c r="AM586" s="669">
        <f t="shared" si="27"/>
        <v>35.200000000000003</v>
      </c>
    </row>
    <row r="587" spans="1:39" s="500" customFormat="1">
      <c r="A587" s="542" t="s">
        <v>1042</v>
      </c>
      <c r="B587" s="542" t="s">
        <v>1373</v>
      </c>
      <c r="C587" s="548" t="s">
        <v>37</v>
      </c>
      <c r="D587" s="519"/>
      <c r="E587" s="726"/>
      <c r="F587" s="520"/>
      <c r="G587" s="520"/>
      <c r="H587" s="520"/>
      <c r="I587" s="521"/>
      <c r="J587" s="521"/>
      <c r="K587" s="521"/>
      <c r="L587" s="756"/>
      <c r="M587" s="514"/>
      <c r="N587" s="514"/>
      <c r="O587" s="514"/>
      <c r="P587" s="514"/>
      <c r="Q587" s="514"/>
      <c r="R587" s="514"/>
      <c r="S587" s="756"/>
      <c r="T587" s="514"/>
      <c r="U587" s="514"/>
      <c r="V587" s="514"/>
      <c r="W587" s="514"/>
      <c r="X587" s="514"/>
      <c r="Y587" s="514"/>
      <c r="Z587" s="756"/>
      <c r="AA587" s="514"/>
      <c r="AB587" s="514"/>
      <c r="AC587" s="514"/>
      <c r="AD587" s="514"/>
      <c r="AE587" s="774"/>
      <c r="AF587" s="514"/>
      <c r="AG587" s="897"/>
      <c r="AH587" s="789"/>
      <c r="AI587" s="664">
        <f t="shared" si="28"/>
        <v>0</v>
      </c>
      <c r="AJ587" s="521">
        <v>0</v>
      </c>
      <c r="AK587" s="520">
        <f t="shared" si="26"/>
        <v>0</v>
      </c>
      <c r="AL587" s="695" t="s">
        <v>1755</v>
      </c>
      <c r="AM587" s="669">
        <f t="shared" si="27"/>
        <v>1.32</v>
      </c>
    </row>
    <row r="588" spans="1:39" s="500" customFormat="1">
      <c r="A588" s="542" t="s">
        <v>1043</v>
      </c>
      <c r="B588" s="542" t="s">
        <v>1374</v>
      </c>
      <c r="C588" s="548" t="s">
        <v>40</v>
      </c>
      <c r="D588" s="519"/>
      <c r="E588" s="726"/>
      <c r="F588" s="520"/>
      <c r="G588" s="520"/>
      <c r="H588" s="520"/>
      <c r="I588" s="521"/>
      <c r="J588" s="521"/>
      <c r="K588" s="521"/>
      <c r="L588" s="756"/>
      <c r="M588" s="514"/>
      <c r="N588" s="514"/>
      <c r="O588" s="514"/>
      <c r="P588" s="514"/>
      <c r="Q588" s="514"/>
      <c r="R588" s="514"/>
      <c r="S588" s="756"/>
      <c r="T588" s="514"/>
      <c r="U588" s="514"/>
      <c r="V588" s="514"/>
      <c r="W588" s="514"/>
      <c r="X588" s="514"/>
      <c r="Y588" s="514"/>
      <c r="Z588" s="756"/>
      <c r="AA588" s="514"/>
      <c r="AB588" s="514"/>
      <c r="AC588" s="514"/>
      <c r="AD588" s="514"/>
      <c r="AE588" s="774"/>
      <c r="AF588" s="514"/>
      <c r="AG588" s="897"/>
      <c r="AH588" s="789"/>
      <c r="AI588" s="664">
        <f t="shared" si="28"/>
        <v>0</v>
      </c>
      <c r="AJ588" s="521">
        <v>0</v>
      </c>
      <c r="AK588" s="520">
        <f t="shared" si="26"/>
        <v>0</v>
      </c>
      <c r="AL588" s="695" t="s">
        <v>1756</v>
      </c>
      <c r="AM588" s="669">
        <f t="shared" si="27"/>
        <v>114.4</v>
      </c>
    </row>
    <row r="589" spans="1:39" s="500" customFormat="1">
      <c r="A589" s="542" t="s">
        <v>1044</v>
      </c>
      <c r="B589" s="542" t="s">
        <v>1375</v>
      </c>
      <c r="C589" s="548" t="s">
        <v>48</v>
      </c>
      <c r="D589" s="519"/>
      <c r="E589" s="726"/>
      <c r="F589" s="520"/>
      <c r="G589" s="520"/>
      <c r="H589" s="520"/>
      <c r="I589" s="521"/>
      <c r="J589" s="521"/>
      <c r="K589" s="521"/>
      <c r="L589" s="756"/>
      <c r="M589" s="514"/>
      <c r="N589" s="514"/>
      <c r="O589" s="514"/>
      <c r="P589" s="514"/>
      <c r="Q589" s="514"/>
      <c r="R589" s="514"/>
      <c r="S589" s="756"/>
      <c r="T589" s="514"/>
      <c r="U589" s="514"/>
      <c r="V589" s="514"/>
      <c r="W589" s="514"/>
      <c r="X589" s="514"/>
      <c r="Y589" s="514"/>
      <c r="Z589" s="756"/>
      <c r="AA589" s="514"/>
      <c r="AB589" s="514"/>
      <c r="AC589" s="514"/>
      <c r="AD589" s="514"/>
      <c r="AE589" s="774"/>
      <c r="AF589" s="514"/>
      <c r="AG589" s="897"/>
      <c r="AH589" s="789"/>
      <c r="AI589" s="664">
        <f t="shared" si="28"/>
        <v>0</v>
      </c>
      <c r="AJ589" s="521">
        <v>0</v>
      </c>
      <c r="AK589" s="520">
        <f t="shared" si="26"/>
        <v>0</v>
      </c>
      <c r="AL589" s="695" t="s">
        <v>1757</v>
      </c>
      <c r="AM589" s="669">
        <f t="shared" si="27"/>
        <v>89.98</v>
      </c>
    </row>
    <row r="590" spans="1:39" s="500" customFormat="1">
      <c r="A590" s="542" t="s">
        <v>1045</v>
      </c>
      <c r="B590" s="542" t="s">
        <v>1376</v>
      </c>
      <c r="C590" s="548" t="s">
        <v>38</v>
      </c>
      <c r="D590" s="519"/>
      <c r="E590" s="726"/>
      <c r="F590" s="520"/>
      <c r="G590" s="520"/>
      <c r="H590" s="520"/>
      <c r="I590" s="521"/>
      <c r="J590" s="521"/>
      <c r="K590" s="521"/>
      <c r="L590" s="756"/>
      <c r="M590" s="514"/>
      <c r="N590" s="514"/>
      <c r="O590" s="514"/>
      <c r="P590" s="514"/>
      <c r="Q590" s="514"/>
      <c r="R590" s="514"/>
      <c r="S590" s="756"/>
      <c r="T590" s="514"/>
      <c r="U590" s="514"/>
      <c r="V590" s="514"/>
      <c r="W590" s="514"/>
      <c r="X590" s="514"/>
      <c r="Y590" s="514"/>
      <c r="Z590" s="756"/>
      <c r="AA590" s="514"/>
      <c r="AB590" s="514"/>
      <c r="AC590" s="514"/>
      <c r="AD590" s="514"/>
      <c r="AE590" s="774"/>
      <c r="AF590" s="514"/>
      <c r="AG590" s="897"/>
      <c r="AH590" s="789"/>
      <c r="AI590" s="664">
        <f t="shared" si="28"/>
        <v>0</v>
      </c>
      <c r="AJ590" s="521">
        <v>0</v>
      </c>
      <c r="AK590" s="520">
        <f t="shared" ref="AK590:AK653" si="29">AI590+AJ590</f>
        <v>0</v>
      </c>
      <c r="AL590" s="695" t="s">
        <v>1758</v>
      </c>
      <c r="AM590" s="669">
        <f t="shared" ref="AM590:AM653" si="30">AL590-AK590</f>
        <v>33.78</v>
      </c>
    </row>
    <row r="591" spans="1:39" s="500" customFormat="1">
      <c r="A591" s="542" t="s">
        <v>1046</v>
      </c>
      <c r="B591" s="542" t="s">
        <v>1377</v>
      </c>
      <c r="C591" s="548" t="s">
        <v>38</v>
      </c>
      <c r="D591" s="519"/>
      <c r="E591" s="726"/>
      <c r="F591" s="520"/>
      <c r="G591" s="520"/>
      <c r="H591" s="520"/>
      <c r="I591" s="521"/>
      <c r="J591" s="521"/>
      <c r="K591" s="521"/>
      <c r="L591" s="756"/>
      <c r="M591" s="514"/>
      <c r="N591" s="514"/>
      <c r="O591" s="514"/>
      <c r="P591" s="514"/>
      <c r="Q591" s="514"/>
      <c r="R591" s="514"/>
      <c r="S591" s="756"/>
      <c r="T591" s="514"/>
      <c r="U591" s="514"/>
      <c r="V591" s="514"/>
      <c r="W591" s="514"/>
      <c r="X591" s="514"/>
      <c r="Y591" s="514"/>
      <c r="Z591" s="756"/>
      <c r="AA591" s="514"/>
      <c r="AB591" s="514"/>
      <c r="AC591" s="514"/>
      <c r="AD591" s="514"/>
      <c r="AE591" s="774"/>
      <c r="AF591" s="514"/>
      <c r="AG591" s="897"/>
      <c r="AH591" s="789"/>
      <c r="AI591" s="664">
        <f t="shared" si="28"/>
        <v>0</v>
      </c>
      <c r="AJ591" s="521">
        <v>0</v>
      </c>
      <c r="AK591" s="520">
        <f t="shared" si="29"/>
        <v>0</v>
      </c>
      <c r="AL591" s="695" t="s">
        <v>1759</v>
      </c>
      <c r="AM591" s="669">
        <f t="shared" si="30"/>
        <v>18</v>
      </c>
    </row>
    <row r="592" spans="1:39" s="500" customFormat="1">
      <c r="A592" s="542" t="s">
        <v>1047</v>
      </c>
      <c r="B592" s="542" t="s">
        <v>1353</v>
      </c>
      <c r="C592" s="548" t="s">
        <v>40</v>
      </c>
      <c r="D592" s="519"/>
      <c r="E592" s="726"/>
      <c r="F592" s="520"/>
      <c r="G592" s="520"/>
      <c r="H592" s="520"/>
      <c r="I592" s="521"/>
      <c r="J592" s="521"/>
      <c r="K592" s="521"/>
      <c r="L592" s="756"/>
      <c r="M592" s="514"/>
      <c r="N592" s="514"/>
      <c r="O592" s="514"/>
      <c r="P592" s="514"/>
      <c r="Q592" s="514"/>
      <c r="R592" s="514"/>
      <c r="S592" s="756"/>
      <c r="T592" s="514"/>
      <c r="U592" s="514"/>
      <c r="V592" s="514"/>
      <c r="W592" s="514"/>
      <c r="X592" s="514"/>
      <c r="Y592" s="514"/>
      <c r="Z592" s="756"/>
      <c r="AA592" s="514"/>
      <c r="AB592" s="514"/>
      <c r="AC592" s="514"/>
      <c r="AD592" s="514"/>
      <c r="AE592" s="774"/>
      <c r="AF592" s="514"/>
      <c r="AG592" s="897"/>
      <c r="AH592" s="789"/>
      <c r="AI592" s="664">
        <f t="shared" si="28"/>
        <v>0</v>
      </c>
      <c r="AJ592" s="521">
        <v>0</v>
      </c>
      <c r="AK592" s="520">
        <f t="shared" si="29"/>
        <v>0</v>
      </c>
      <c r="AL592" s="695" t="s">
        <v>1760</v>
      </c>
      <c r="AM592" s="669">
        <f t="shared" si="30"/>
        <v>56.2</v>
      </c>
    </row>
    <row r="593" spans="1:39" s="500" customFormat="1">
      <c r="A593" s="542" t="s">
        <v>1048</v>
      </c>
      <c r="B593" s="542" t="s">
        <v>1378</v>
      </c>
      <c r="C593" s="548" t="s">
        <v>38</v>
      </c>
      <c r="D593" s="519"/>
      <c r="E593" s="726"/>
      <c r="F593" s="520"/>
      <c r="G593" s="520"/>
      <c r="H593" s="520"/>
      <c r="I593" s="521"/>
      <c r="J593" s="521"/>
      <c r="K593" s="521"/>
      <c r="L593" s="756"/>
      <c r="M593" s="514"/>
      <c r="N593" s="514"/>
      <c r="O593" s="514"/>
      <c r="P593" s="514"/>
      <c r="Q593" s="514"/>
      <c r="R593" s="514"/>
      <c r="S593" s="756"/>
      <c r="T593" s="514"/>
      <c r="U593" s="514"/>
      <c r="V593" s="514"/>
      <c r="W593" s="514"/>
      <c r="X593" s="514"/>
      <c r="Y593" s="514"/>
      <c r="Z593" s="756"/>
      <c r="AA593" s="514"/>
      <c r="AB593" s="514"/>
      <c r="AC593" s="514"/>
      <c r="AD593" s="514"/>
      <c r="AE593" s="774"/>
      <c r="AF593" s="514"/>
      <c r="AG593" s="897"/>
      <c r="AH593" s="789"/>
      <c r="AI593" s="664">
        <f t="shared" si="28"/>
        <v>0</v>
      </c>
      <c r="AJ593" s="521">
        <v>0</v>
      </c>
      <c r="AK593" s="520">
        <f t="shared" si="29"/>
        <v>0</v>
      </c>
      <c r="AL593" s="695" t="s">
        <v>1760</v>
      </c>
      <c r="AM593" s="669">
        <f t="shared" si="30"/>
        <v>56.2</v>
      </c>
    </row>
    <row r="594" spans="1:39" s="500" customFormat="1">
      <c r="A594" s="542" t="s">
        <v>1049</v>
      </c>
      <c r="B594" s="542" t="s">
        <v>1379</v>
      </c>
      <c r="C594" s="548" t="s">
        <v>38</v>
      </c>
      <c r="D594" s="519"/>
      <c r="E594" s="726"/>
      <c r="F594" s="520"/>
      <c r="G594" s="520"/>
      <c r="H594" s="520"/>
      <c r="I594" s="521"/>
      <c r="J594" s="521"/>
      <c r="K594" s="521"/>
      <c r="L594" s="756"/>
      <c r="M594" s="514"/>
      <c r="N594" s="514"/>
      <c r="O594" s="514"/>
      <c r="P594" s="514"/>
      <c r="Q594" s="514"/>
      <c r="R594" s="514"/>
      <c r="S594" s="756"/>
      <c r="T594" s="514"/>
      <c r="U594" s="514"/>
      <c r="V594" s="514"/>
      <c r="W594" s="514"/>
      <c r="X594" s="514"/>
      <c r="Y594" s="514"/>
      <c r="Z594" s="756"/>
      <c r="AA594" s="514"/>
      <c r="AB594" s="514"/>
      <c r="AC594" s="514"/>
      <c r="AD594" s="514"/>
      <c r="AE594" s="774"/>
      <c r="AF594" s="514"/>
      <c r="AG594" s="897"/>
      <c r="AH594" s="789"/>
      <c r="AI594" s="664">
        <f t="shared" si="28"/>
        <v>0</v>
      </c>
      <c r="AJ594" s="521">
        <v>0</v>
      </c>
      <c r="AK594" s="520">
        <f t="shared" si="29"/>
        <v>0</v>
      </c>
      <c r="AL594" s="695" t="s">
        <v>1761</v>
      </c>
      <c r="AM594" s="669">
        <f t="shared" si="30"/>
        <v>59.01</v>
      </c>
    </row>
    <row r="595" spans="1:39" s="500" customFormat="1">
      <c r="A595" s="542" t="s">
        <v>1050</v>
      </c>
      <c r="B595" s="542" t="s">
        <v>1380</v>
      </c>
      <c r="C595" s="548" t="s">
        <v>37</v>
      </c>
      <c r="D595" s="519"/>
      <c r="E595" s="726"/>
      <c r="F595" s="520"/>
      <c r="G595" s="520"/>
      <c r="H595" s="520"/>
      <c r="I595" s="521"/>
      <c r="J595" s="521"/>
      <c r="K595" s="521"/>
      <c r="L595" s="756"/>
      <c r="M595" s="514"/>
      <c r="N595" s="514"/>
      <c r="O595" s="514"/>
      <c r="P595" s="514"/>
      <c r="Q595" s="514"/>
      <c r="R595" s="514"/>
      <c r="S595" s="756"/>
      <c r="T595" s="514"/>
      <c r="U595" s="514"/>
      <c r="V595" s="514"/>
      <c r="W595" s="514"/>
      <c r="X595" s="514"/>
      <c r="Y595" s="514"/>
      <c r="Z595" s="756"/>
      <c r="AA595" s="514"/>
      <c r="AB595" s="514"/>
      <c r="AC595" s="514"/>
      <c r="AD595" s="514"/>
      <c r="AE595" s="774"/>
      <c r="AF595" s="514"/>
      <c r="AG595" s="897"/>
      <c r="AH595" s="789"/>
      <c r="AI595" s="664">
        <f t="shared" si="28"/>
        <v>0</v>
      </c>
      <c r="AJ595" s="521">
        <v>0</v>
      </c>
      <c r="AK595" s="520">
        <f t="shared" si="29"/>
        <v>0</v>
      </c>
      <c r="AL595" s="695" t="s">
        <v>1762</v>
      </c>
      <c r="AM595" s="669">
        <f t="shared" si="30"/>
        <v>36.119999999999997</v>
      </c>
    </row>
    <row r="596" spans="1:39" s="500" customFormat="1">
      <c r="A596" s="542" t="s">
        <v>1051</v>
      </c>
      <c r="B596" s="542" t="s">
        <v>1381</v>
      </c>
      <c r="C596" s="548" t="s">
        <v>38</v>
      </c>
      <c r="D596" s="519"/>
      <c r="E596" s="726"/>
      <c r="F596" s="520"/>
      <c r="G596" s="520"/>
      <c r="H596" s="520"/>
      <c r="I596" s="521"/>
      <c r="J596" s="521"/>
      <c r="K596" s="521"/>
      <c r="L596" s="756"/>
      <c r="M596" s="514"/>
      <c r="N596" s="514"/>
      <c r="O596" s="514"/>
      <c r="P596" s="514"/>
      <c r="Q596" s="514"/>
      <c r="R596" s="514"/>
      <c r="S596" s="756"/>
      <c r="T596" s="514"/>
      <c r="U596" s="514"/>
      <c r="V596" s="514"/>
      <c r="W596" s="514"/>
      <c r="X596" s="514"/>
      <c r="Y596" s="514"/>
      <c r="Z596" s="756"/>
      <c r="AA596" s="514"/>
      <c r="AB596" s="514"/>
      <c r="AC596" s="514"/>
      <c r="AD596" s="514"/>
      <c r="AE596" s="774"/>
      <c r="AF596" s="514"/>
      <c r="AG596" s="897"/>
      <c r="AH596" s="789"/>
      <c r="AI596" s="664">
        <f t="shared" si="28"/>
        <v>0</v>
      </c>
      <c r="AJ596" s="521">
        <v>0</v>
      </c>
      <c r="AK596" s="520">
        <f t="shared" si="29"/>
        <v>0</v>
      </c>
      <c r="AL596" s="695" t="s">
        <v>1670</v>
      </c>
      <c r="AM596" s="669">
        <f t="shared" si="30"/>
        <v>20</v>
      </c>
    </row>
    <row r="597" spans="1:39" s="500" customFormat="1" ht="13.5" thickBot="1">
      <c r="A597" s="542" t="s">
        <v>1052</v>
      </c>
      <c r="B597" s="542" t="s">
        <v>1382</v>
      </c>
      <c r="C597" s="548" t="s">
        <v>38</v>
      </c>
      <c r="D597" s="519"/>
      <c r="E597" s="726"/>
      <c r="F597" s="520"/>
      <c r="G597" s="520"/>
      <c r="H597" s="520"/>
      <c r="I597" s="521"/>
      <c r="J597" s="521"/>
      <c r="K597" s="521"/>
      <c r="L597" s="756"/>
      <c r="M597" s="514"/>
      <c r="N597" s="514"/>
      <c r="O597" s="514"/>
      <c r="P597" s="514"/>
      <c r="Q597" s="514"/>
      <c r="R597" s="514"/>
      <c r="S597" s="756"/>
      <c r="T597" s="514"/>
      <c r="U597" s="514"/>
      <c r="V597" s="514"/>
      <c r="W597" s="514"/>
      <c r="X597" s="514"/>
      <c r="Y597" s="514"/>
      <c r="Z597" s="756"/>
      <c r="AA597" s="514"/>
      <c r="AB597" s="514"/>
      <c r="AC597" s="514"/>
      <c r="AD597" s="514"/>
      <c r="AE597" s="774"/>
      <c r="AF597" s="514"/>
      <c r="AG597" s="897"/>
      <c r="AH597" s="789"/>
      <c r="AI597" s="664">
        <f t="shared" si="28"/>
        <v>0</v>
      </c>
      <c r="AJ597" s="521">
        <v>0</v>
      </c>
      <c r="AK597" s="520">
        <f t="shared" si="29"/>
        <v>0</v>
      </c>
      <c r="AL597" s="695"/>
      <c r="AM597" s="669">
        <f t="shared" si="30"/>
        <v>0</v>
      </c>
    </row>
    <row r="598" spans="1:39" s="730" customFormat="1">
      <c r="A598" s="816" t="s">
        <v>511</v>
      </c>
      <c r="B598" s="816" t="s">
        <v>1383</v>
      </c>
      <c r="C598" s="844"/>
      <c r="D598" s="743"/>
      <c r="E598" s="726"/>
      <c r="F598" s="726"/>
      <c r="G598" s="726"/>
      <c r="H598" s="726"/>
      <c r="I598" s="725"/>
      <c r="J598" s="725"/>
      <c r="K598" s="725"/>
      <c r="L598" s="756"/>
      <c r="M598" s="756"/>
      <c r="N598" s="756"/>
      <c r="O598" s="756"/>
      <c r="P598" s="756"/>
      <c r="Q598" s="756"/>
      <c r="R598" s="756"/>
      <c r="S598" s="756"/>
      <c r="T598" s="756"/>
      <c r="U598" s="756"/>
      <c r="V598" s="756"/>
      <c r="W598" s="756"/>
      <c r="X598" s="756"/>
      <c r="Y598" s="756"/>
      <c r="Z598" s="756"/>
      <c r="AA598" s="756"/>
      <c r="AB598" s="756"/>
      <c r="AC598" s="756"/>
      <c r="AD598" s="756"/>
      <c r="AE598" s="774"/>
      <c r="AF598" s="756"/>
      <c r="AG598" s="897"/>
      <c r="AH598" s="819"/>
      <c r="AI598" s="786">
        <f t="shared" si="28"/>
        <v>0</v>
      </c>
      <c r="AJ598" s="725">
        <v>0</v>
      </c>
      <c r="AK598" s="726">
        <f t="shared" si="29"/>
        <v>0</v>
      </c>
      <c r="AL598" s="847"/>
      <c r="AM598" s="729">
        <f t="shared" si="30"/>
        <v>0</v>
      </c>
    </row>
    <row r="599" spans="1:39" s="500" customFormat="1">
      <c r="A599" s="440" t="s">
        <v>512</v>
      </c>
      <c r="B599" s="543" t="s">
        <v>1384</v>
      </c>
      <c r="C599" s="616"/>
      <c r="D599" s="519"/>
      <c r="E599" s="726"/>
      <c r="F599" s="520"/>
      <c r="G599" s="520"/>
      <c r="H599" s="520"/>
      <c r="I599" s="521"/>
      <c r="J599" s="521"/>
      <c r="K599" s="521"/>
      <c r="L599" s="756"/>
      <c r="M599" s="514"/>
      <c r="N599" s="514"/>
      <c r="O599" s="514"/>
      <c r="P599" s="514"/>
      <c r="Q599" s="514"/>
      <c r="R599" s="514"/>
      <c r="S599" s="756"/>
      <c r="T599" s="514"/>
      <c r="U599" s="514"/>
      <c r="V599" s="514"/>
      <c r="W599" s="514"/>
      <c r="X599" s="514"/>
      <c r="Y599" s="514"/>
      <c r="Z599" s="756"/>
      <c r="AA599" s="514"/>
      <c r="AB599" s="514"/>
      <c r="AC599" s="514"/>
      <c r="AD599" s="514"/>
      <c r="AE599" s="774"/>
      <c r="AF599" s="514"/>
      <c r="AG599" s="897"/>
      <c r="AH599" s="789"/>
      <c r="AI599" s="664">
        <f t="shared" si="28"/>
        <v>0</v>
      </c>
      <c r="AJ599" s="521">
        <v>0</v>
      </c>
      <c r="AK599" s="520">
        <f t="shared" si="29"/>
        <v>0</v>
      </c>
      <c r="AL599" s="695"/>
      <c r="AM599" s="669">
        <f t="shared" si="30"/>
        <v>0</v>
      </c>
    </row>
    <row r="600" spans="1:39" s="500" customFormat="1">
      <c r="A600" s="542" t="s">
        <v>1053</v>
      </c>
      <c r="B600" s="542" t="s">
        <v>1385</v>
      </c>
      <c r="C600" s="616"/>
      <c r="D600" s="519"/>
      <c r="E600" s="726"/>
      <c r="F600" s="520"/>
      <c r="G600" s="520"/>
      <c r="H600" s="520"/>
      <c r="I600" s="521"/>
      <c r="J600" s="521"/>
      <c r="K600" s="521"/>
      <c r="L600" s="756"/>
      <c r="M600" s="514"/>
      <c r="N600" s="514"/>
      <c r="O600" s="514"/>
      <c r="P600" s="514"/>
      <c r="Q600" s="514"/>
      <c r="R600" s="514"/>
      <c r="S600" s="756"/>
      <c r="T600" s="514"/>
      <c r="U600" s="514"/>
      <c r="V600" s="514"/>
      <c r="W600" s="514"/>
      <c r="X600" s="514"/>
      <c r="Y600" s="514"/>
      <c r="Z600" s="756"/>
      <c r="AA600" s="514"/>
      <c r="AB600" s="514"/>
      <c r="AC600" s="514"/>
      <c r="AD600" s="514"/>
      <c r="AE600" s="774"/>
      <c r="AF600" s="514"/>
      <c r="AG600" s="897"/>
      <c r="AH600" s="789"/>
      <c r="AI600" s="664">
        <f t="shared" si="28"/>
        <v>0</v>
      </c>
      <c r="AJ600" s="521">
        <v>0</v>
      </c>
      <c r="AK600" s="520">
        <f t="shared" si="29"/>
        <v>0</v>
      </c>
      <c r="AL600" s="695" t="s">
        <v>1455</v>
      </c>
      <c r="AM600" s="669">
        <f t="shared" si="30"/>
        <v>1</v>
      </c>
    </row>
    <row r="601" spans="1:39" s="500" customFormat="1">
      <c r="A601" s="539" t="s">
        <v>1054</v>
      </c>
      <c r="B601" s="539" t="s">
        <v>1386</v>
      </c>
      <c r="C601" s="548" t="s">
        <v>1453</v>
      </c>
      <c r="D601" s="519"/>
      <c r="E601" s="726"/>
      <c r="F601" s="520"/>
      <c r="G601" s="520"/>
      <c r="H601" s="520"/>
      <c r="I601" s="521"/>
      <c r="J601" s="521"/>
      <c r="K601" s="521"/>
      <c r="L601" s="756"/>
      <c r="M601" s="514"/>
      <c r="N601" s="514"/>
      <c r="O601" s="514"/>
      <c r="P601" s="514"/>
      <c r="Q601" s="514"/>
      <c r="R601" s="514"/>
      <c r="S601" s="756"/>
      <c r="T601" s="514"/>
      <c r="U601" s="514"/>
      <c r="V601" s="514"/>
      <c r="W601" s="514"/>
      <c r="X601" s="514"/>
      <c r="Y601" s="514"/>
      <c r="Z601" s="756"/>
      <c r="AA601" s="514"/>
      <c r="AB601" s="514"/>
      <c r="AC601" s="514"/>
      <c r="AD601" s="514"/>
      <c r="AE601" s="774"/>
      <c r="AF601" s="514"/>
      <c r="AG601" s="897"/>
      <c r="AH601" s="789"/>
      <c r="AI601" s="664">
        <f t="shared" si="28"/>
        <v>0</v>
      </c>
      <c r="AJ601" s="521">
        <v>0</v>
      </c>
      <c r="AK601" s="520">
        <f t="shared" si="29"/>
        <v>0</v>
      </c>
      <c r="AL601" s="695" t="s">
        <v>1455</v>
      </c>
      <c r="AM601" s="669">
        <f t="shared" si="30"/>
        <v>1</v>
      </c>
    </row>
    <row r="602" spans="1:39" s="500" customFormat="1">
      <c r="A602" s="539" t="s">
        <v>1055</v>
      </c>
      <c r="B602" s="539" t="s">
        <v>1387</v>
      </c>
      <c r="C602" s="548" t="s">
        <v>1453</v>
      </c>
      <c r="D602" s="519"/>
      <c r="E602" s="726"/>
      <c r="F602" s="520"/>
      <c r="G602" s="520"/>
      <c r="H602" s="520"/>
      <c r="I602" s="521"/>
      <c r="J602" s="521"/>
      <c r="K602" s="521"/>
      <c r="L602" s="756"/>
      <c r="M602" s="514"/>
      <c r="N602" s="514"/>
      <c r="O602" s="514"/>
      <c r="P602" s="514"/>
      <c r="Q602" s="514"/>
      <c r="R602" s="514"/>
      <c r="S602" s="756"/>
      <c r="T602" s="514"/>
      <c r="U602" s="514"/>
      <c r="V602" s="514"/>
      <c r="W602" s="514"/>
      <c r="X602" s="514"/>
      <c r="Y602" s="514"/>
      <c r="Z602" s="756"/>
      <c r="AA602" s="514"/>
      <c r="AB602" s="514"/>
      <c r="AC602" s="514"/>
      <c r="AD602" s="514"/>
      <c r="AE602" s="774"/>
      <c r="AF602" s="514"/>
      <c r="AG602" s="897"/>
      <c r="AH602" s="789"/>
      <c r="AI602" s="664">
        <f t="shared" si="28"/>
        <v>0</v>
      </c>
      <c r="AJ602" s="521">
        <v>0</v>
      </c>
      <c r="AK602" s="520">
        <f t="shared" si="29"/>
        <v>0</v>
      </c>
      <c r="AL602" s="695" t="s">
        <v>1455</v>
      </c>
      <c r="AM602" s="669">
        <f t="shared" si="30"/>
        <v>1</v>
      </c>
    </row>
    <row r="603" spans="1:39" s="500" customFormat="1">
      <c r="A603" s="539" t="s">
        <v>1056</v>
      </c>
      <c r="B603" s="539" t="s">
        <v>1388</v>
      </c>
      <c r="C603" s="548" t="s">
        <v>1453</v>
      </c>
      <c r="D603" s="519"/>
      <c r="E603" s="726"/>
      <c r="F603" s="520"/>
      <c r="G603" s="520"/>
      <c r="H603" s="520"/>
      <c r="I603" s="521"/>
      <c r="J603" s="521"/>
      <c r="K603" s="521"/>
      <c r="L603" s="756"/>
      <c r="M603" s="514"/>
      <c r="N603" s="514"/>
      <c r="O603" s="514"/>
      <c r="P603" s="514"/>
      <c r="Q603" s="514"/>
      <c r="R603" s="514"/>
      <c r="S603" s="756"/>
      <c r="T603" s="514"/>
      <c r="U603" s="514"/>
      <c r="V603" s="514"/>
      <c r="W603" s="514"/>
      <c r="X603" s="514"/>
      <c r="Y603" s="514"/>
      <c r="Z603" s="756"/>
      <c r="AA603" s="514"/>
      <c r="AB603" s="514"/>
      <c r="AC603" s="514"/>
      <c r="AD603" s="514"/>
      <c r="AE603" s="774"/>
      <c r="AF603" s="514"/>
      <c r="AG603" s="897"/>
      <c r="AH603" s="789"/>
      <c r="AI603" s="664">
        <f t="shared" si="28"/>
        <v>0</v>
      </c>
      <c r="AJ603" s="521">
        <v>0</v>
      </c>
      <c r="AK603" s="520">
        <f t="shared" si="29"/>
        <v>0</v>
      </c>
      <c r="AL603" s="695" t="s">
        <v>1455</v>
      </c>
      <c r="AM603" s="669">
        <f t="shared" si="30"/>
        <v>1</v>
      </c>
    </row>
    <row r="604" spans="1:39" s="500" customFormat="1">
      <c r="A604" s="539" t="s">
        <v>1057</v>
      </c>
      <c r="B604" s="539" t="s">
        <v>1389</v>
      </c>
      <c r="C604" s="548" t="s">
        <v>1453</v>
      </c>
      <c r="D604" s="519"/>
      <c r="E604" s="726"/>
      <c r="F604" s="520"/>
      <c r="G604" s="520"/>
      <c r="H604" s="520"/>
      <c r="I604" s="521"/>
      <c r="J604" s="521"/>
      <c r="K604" s="521"/>
      <c r="L604" s="756"/>
      <c r="M604" s="514"/>
      <c r="N604" s="514"/>
      <c r="O604" s="514"/>
      <c r="P604" s="514"/>
      <c r="Q604" s="514"/>
      <c r="R604" s="514"/>
      <c r="S604" s="756"/>
      <c r="T604" s="514"/>
      <c r="U604" s="514"/>
      <c r="V604" s="514"/>
      <c r="W604" s="514"/>
      <c r="X604" s="514"/>
      <c r="Y604" s="514"/>
      <c r="Z604" s="756"/>
      <c r="AA604" s="514"/>
      <c r="AB604" s="514"/>
      <c r="AC604" s="514"/>
      <c r="AD604" s="514"/>
      <c r="AE604" s="774"/>
      <c r="AF604" s="514"/>
      <c r="AG604" s="897"/>
      <c r="AH604" s="789"/>
      <c r="AI604" s="664">
        <f t="shared" si="28"/>
        <v>0</v>
      </c>
      <c r="AJ604" s="521">
        <v>0</v>
      </c>
      <c r="AK604" s="520">
        <f t="shared" si="29"/>
        <v>0</v>
      </c>
      <c r="AL604" s="695"/>
      <c r="AM604" s="669">
        <f t="shared" si="30"/>
        <v>0</v>
      </c>
    </row>
    <row r="605" spans="1:39" s="730" customFormat="1">
      <c r="A605" s="831" t="s">
        <v>1058</v>
      </c>
      <c r="B605" s="831" t="s">
        <v>1390</v>
      </c>
      <c r="C605" s="844"/>
      <c r="D605" s="743"/>
      <c r="E605" s="726"/>
      <c r="F605" s="726"/>
      <c r="G605" s="726"/>
      <c r="H605" s="726"/>
      <c r="I605" s="725"/>
      <c r="J605" s="725"/>
      <c r="K605" s="725"/>
      <c r="L605" s="756"/>
      <c r="M605" s="756"/>
      <c r="N605" s="756"/>
      <c r="O605" s="756"/>
      <c r="P605" s="756"/>
      <c r="Q605" s="756"/>
      <c r="R605" s="756"/>
      <c r="S605" s="756"/>
      <c r="T605" s="756"/>
      <c r="U605" s="756"/>
      <c r="V605" s="756"/>
      <c r="W605" s="756"/>
      <c r="X605" s="756"/>
      <c r="Y605" s="756"/>
      <c r="Z605" s="756"/>
      <c r="AA605" s="756"/>
      <c r="AB605" s="756"/>
      <c r="AC605" s="756"/>
      <c r="AD605" s="756"/>
      <c r="AE605" s="774"/>
      <c r="AF605" s="756"/>
      <c r="AG605" s="897"/>
      <c r="AH605" s="819"/>
      <c r="AI605" s="786">
        <f t="shared" si="28"/>
        <v>0</v>
      </c>
      <c r="AJ605" s="725">
        <v>0</v>
      </c>
      <c r="AK605" s="726">
        <f t="shared" si="29"/>
        <v>0</v>
      </c>
      <c r="AL605" s="847" t="s">
        <v>1763</v>
      </c>
      <c r="AM605" s="729">
        <f t="shared" si="30"/>
        <v>43</v>
      </c>
    </row>
    <row r="606" spans="1:39" s="730" customFormat="1">
      <c r="A606" s="720" t="s">
        <v>1059</v>
      </c>
      <c r="B606" s="720" t="s">
        <v>1390</v>
      </c>
      <c r="C606" s="823" t="s">
        <v>1452</v>
      </c>
      <c r="D606" s="743"/>
      <c r="E606" s="726"/>
      <c r="F606" s="726"/>
      <c r="G606" s="726"/>
      <c r="H606" s="726"/>
      <c r="I606" s="725"/>
      <c r="J606" s="725"/>
      <c r="K606" s="725"/>
      <c r="L606" s="756"/>
      <c r="M606" s="756"/>
      <c r="N606" s="756"/>
      <c r="O606" s="756"/>
      <c r="P606" s="756"/>
      <c r="Q606" s="756"/>
      <c r="R606" s="756"/>
      <c r="S606" s="756"/>
      <c r="T606" s="756"/>
      <c r="U606" s="756"/>
      <c r="V606" s="756"/>
      <c r="W606" s="756"/>
      <c r="X606" s="756"/>
      <c r="Y606" s="756"/>
      <c r="Z606" s="756"/>
      <c r="AA606" s="756"/>
      <c r="AB606" s="756"/>
      <c r="AC606" s="756"/>
      <c r="AD606" s="756"/>
      <c r="AE606" s="774"/>
      <c r="AF606" s="756"/>
      <c r="AG606" s="897"/>
      <c r="AH606" s="819"/>
      <c r="AI606" s="786">
        <f t="shared" si="28"/>
        <v>0</v>
      </c>
      <c r="AJ606" s="725">
        <v>0</v>
      </c>
      <c r="AK606" s="726">
        <f t="shared" si="29"/>
        <v>0</v>
      </c>
      <c r="AL606" s="847" t="s">
        <v>1764</v>
      </c>
      <c r="AM606" s="729">
        <f t="shared" si="30"/>
        <v>7</v>
      </c>
    </row>
    <row r="607" spans="1:39" s="730" customFormat="1">
      <c r="A607" s="720" t="s">
        <v>1060</v>
      </c>
      <c r="B607" s="720" t="s">
        <v>1391</v>
      </c>
      <c r="C607" s="823" t="s">
        <v>1452</v>
      </c>
      <c r="D607" s="743"/>
      <c r="E607" s="726"/>
      <c r="F607" s="726"/>
      <c r="G607" s="726"/>
      <c r="H607" s="726"/>
      <c r="I607" s="725"/>
      <c r="J607" s="725"/>
      <c r="K607" s="725"/>
      <c r="L607" s="756"/>
      <c r="M607" s="756"/>
      <c r="N607" s="756"/>
      <c r="O607" s="756"/>
      <c r="P607" s="756"/>
      <c r="Q607" s="756"/>
      <c r="R607" s="756"/>
      <c r="S607" s="756"/>
      <c r="T607" s="756"/>
      <c r="U607" s="756"/>
      <c r="V607" s="756"/>
      <c r="W607" s="756"/>
      <c r="X607" s="756"/>
      <c r="Y607" s="756"/>
      <c r="Z607" s="756"/>
      <c r="AA607" s="756"/>
      <c r="AB607" s="756"/>
      <c r="AC607" s="756"/>
      <c r="AD607" s="756"/>
      <c r="AE607" s="774"/>
      <c r="AF607" s="756"/>
      <c r="AG607" s="897"/>
      <c r="AH607" s="819"/>
      <c r="AI607" s="786">
        <f t="shared" si="28"/>
        <v>0</v>
      </c>
      <c r="AJ607" s="725">
        <v>0</v>
      </c>
      <c r="AK607" s="726">
        <f t="shared" si="29"/>
        <v>0</v>
      </c>
      <c r="AL607" s="847"/>
      <c r="AM607" s="729">
        <f t="shared" si="30"/>
        <v>0</v>
      </c>
    </row>
    <row r="608" spans="1:39" s="500" customFormat="1">
      <c r="A608" s="542" t="s">
        <v>1061</v>
      </c>
      <c r="B608" s="542" t="s">
        <v>1392</v>
      </c>
      <c r="C608" s="616"/>
      <c r="D608" s="519"/>
      <c r="E608" s="726"/>
      <c r="F608" s="520"/>
      <c r="G608" s="520"/>
      <c r="H608" s="520"/>
      <c r="I608" s="521"/>
      <c r="J608" s="521"/>
      <c r="K608" s="521"/>
      <c r="L608" s="756"/>
      <c r="M608" s="514"/>
      <c r="N608" s="514"/>
      <c r="O608" s="514"/>
      <c r="P608" s="514"/>
      <c r="Q608" s="514"/>
      <c r="R608" s="514"/>
      <c r="S608" s="756"/>
      <c r="T608" s="514"/>
      <c r="U608" s="514"/>
      <c r="V608" s="514"/>
      <c r="W608" s="514"/>
      <c r="X608" s="514"/>
      <c r="Y608" s="514"/>
      <c r="Z608" s="756"/>
      <c r="AA608" s="514"/>
      <c r="AB608" s="514"/>
      <c r="AC608" s="514"/>
      <c r="AD608" s="514"/>
      <c r="AE608" s="774"/>
      <c r="AF608" s="514"/>
      <c r="AG608" s="897"/>
      <c r="AH608" s="789"/>
      <c r="AI608" s="664">
        <f t="shared" si="28"/>
        <v>0</v>
      </c>
      <c r="AJ608" s="521">
        <v>0</v>
      </c>
      <c r="AK608" s="520">
        <f t="shared" si="29"/>
        <v>0</v>
      </c>
      <c r="AL608" s="695" t="s">
        <v>1765</v>
      </c>
      <c r="AM608" s="669">
        <f t="shared" si="30"/>
        <v>17</v>
      </c>
    </row>
    <row r="609" spans="1:39" s="500" customFormat="1">
      <c r="A609" s="539" t="s">
        <v>1062</v>
      </c>
      <c r="B609" s="539" t="s">
        <v>1393</v>
      </c>
      <c r="C609" s="548" t="s">
        <v>36</v>
      </c>
      <c r="D609" s="519"/>
      <c r="E609" s="726"/>
      <c r="F609" s="520"/>
      <c r="G609" s="520"/>
      <c r="H609" s="520"/>
      <c r="I609" s="521"/>
      <c r="J609" s="521"/>
      <c r="K609" s="521"/>
      <c r="L609" s="756"/>
      <c r="M609" s="514"/>
      <c r="N609" s="514"/>
      <c r="O609" s="514"/>
      <c r="P609" s="514"/>
      <c r="Q609" s="514"/>
      <c r="R609" s="514"/>
      <c r="S609" s="756"/>
      <c r="T609" s="514"/>
      <c r="U609" s="514"/>
      <c r="V609" s="514"/>
      <c r="W609" s="514"/>
      <c r="X609" s="514"/>
      <c r="Y609" s="514"/>
      <c r="Z609" s="756"/>
      <c r="AA609" s="514"/>
      <c r="AB609" s="514"/>
      <c r="AC609" s="514"/>
      <c r="AD609" s="514"/>
      <c r="AE609" s="774"/>
      <c r="AF609" s="514"/>
      <c r="AG609" s="897"/>
      <c r="AH609" s="789"/>
      <c r="AI609" s="664">
        <f t="shared" si="28"/>
        <v>0</v>
      </c>
      <c r="AJ609" s="521">
        <v>0</v>
      </c>
      <c r="AK609" s="520">
        <f t="shared" si="29"/>
        <v>0</v>
      </c>
      <c r="AL609" s="695" t="s">
        <v>1766</v>
      </c>
      <c r="AM609" s="669">
        <f t="shared" si="30"/>
        <v>23</v>
      </c>
    </row>
    <row r="610" spans="1:39" s="500" customFormat="1">
      <c r="A610" s="539" t="s">
        <v>1063</v>
      </c>
      <c r="B610" s="539" t="s">
        <v>1394</v>
      </c>
      <c r="C610" s="548" t="s">
        <v>36</v>
      </c>
      <c r="D610" s="519"/>
      <c r="E610" s="726"/>
      <c r="F610" s="520"/>
      <c r="G610" s="520"/>
      <c r="H610" s="520"/>
      <c r="I610" s="521"/>
      <c r="J610" s="521"/>
      <c r="K610" s="521"/>
      <c r="L610" s="756"/>
      <c r="M610" s="514"/>
      <c r="N610" s="514"/>
      <c r="O610" s="514"/>
      <c r="P610" s="514"/>
      <c r="Q610" s="514"/>
      <c r="R610" s="514"/>
      <c r="S610" s="756"/>
      <c r="T610" s="514"/>
      <c r="U610" s="514"/>
      <c r="V610" s="514"/>
      <c r="W610" s="514"/>
      <c r="X610" s="514"/>
      <c r="Y610" s="514"/>
      <c r="Z610" s="756"/>
      <c r="AA610" s="514"/>
      <c r="AB610" s="514"/>
      <c r="AC610" s="514"/>
      <c r="AD610" s="514"/>
      <c r="AE610" s="774"/>
      <c r="AF610" s="514"/>
      <c r="AG610" s="897"/>
      <c r="AH610" s="789"/>
      <c r="AI610" s="664">
        <f t="shared" si="28"/>
        <v>0</v>
      </c>
      <c r="AJ610" s="521">
        <v>0</v>
      </c>
      <c r="AK610" s="520">
        <f t="shared" si="29"/>
        <v>0</v>
      </c>
      <c r="AL610" s="695" t="s">
        <v>1698</v>
      </c>
      <c r="AM610" s="669">
        <f t="shared" si="30"/>
        <v>2</v>
      </c>
    </row>
    <row r="611" spans="1:39" s="500" customFormat="1">
      <c r="A611" s="539" t="s">
        <v>1064</v>
      </c>
      <c r="B611" s="539" t="s">
        <v>1395</v>
      </c>
      <c r="C611" s="548" t="s">
        <v>36</v>
      </c>
      <c r="D611" s="519"/>
      <c r="E611" s="726"/>
      <c r="F611" s="520"/>
      <c r="G611" s="520"/>
      <c r="H611" s="520"/>
      <c r="I611" s="521"/>
      <c r="J611" s="521"/>
      <c r="K611" s="521"/>
      <c r="L611" s="756"/>
      <c r="M611" s="514"/>
      <c r="N611" s="514"/>
      <c r="O611" s="514"/>
      <c r="P611" s="514"/>
      <c r="Q611" s="514"/>
      <c r="R611" s="514"/>
      <c r="S611" s="756"/>
      <c r="T611" s="514"/>
      <c r="U611" s="514"/>
      <c r="V611" s="514"/>
      <c r="W611" s="514"/>
      <c r="X611" s="514"/>
      <c r="Y611" s="514"/>
      <c r="Z611" s="756"/>
      <c r="AA611" s="514"/>
      <c r="AB611" s="514"/>
      <c r="AC611" s="514"/>
      <c r="AD611" s="514"/>
      <c r="AE611" s="774"/>
      <c r="AF611" s="514"/>
      <c r="AG611" s="897"/>
      <c r="AH611" s="789"/>
      <c r="AI611" s="664">
        <f t="shared" si="28"/>
        <v>0</v>
      </c>
      <c r="AJ611" s="521">
        <v>0</v>
      </c>
      <c r="AK611" s="520">
        <f t="shared" si="29"/>
        <v>0</v>
      </c>
      <c r="AL611" s="695" t="s">
        <v>1455</v>
      </c>
      <c r="AM611" s="669">
        <f t="shared" si="30"/>
        <v>1</v>
      </c>
    </row>
    <row r="612" spans="1:39" s="500" customFormat="1">
      <c r="A612" s="539" t="s">
        <v>1065</v>
      </c>
      <c r="B612" s="539" t="s">
        <v>1396</v>
      </c>
      <c r="C612" s="548" t="s">
        <v>36</v>
      </c>
      <c r="D612" s="519"/>
      <c r="E612" s="726"/>
      <c r="F612" s="520"/>
      <c r="G612" s="520"/>
      <c r="H612" s="520"/>
      <c r="I612" s="521"/>
      <c r="J612" s="521"/>
      <c r="K612" s="521"/>
      <c r="L612" s="756"/>
      <c r="M612" s="514"/>
      <c r="N612" s="514"/>
      <c r="O612" s="514"/>
      <c r="P612" s="514"/>
      <c r="Q612" s="514"/>
      <c r="R612" s="514"/>
      <c r="S612" s="756"/>
      <c r="T612" s="514"/>
      <c r="U612" s="514"/>
      <c r="V612" s="514"/>
      <c r="W612" s="514"/>
      <c r="X612" s="514"/>
      <c r="Y612" s="514"/>
      <c r="Z612" s="756"/>
      <c r="AA612" s="514"/>
      <c r="AB612" s="514"/>
      <c r="AC612" s="514"/>
      <c r="AD612" s="514"/>
      <c r="AE612" s="774"/>
      <c r="AF612" s="514"/>
      <c r="AG612" s="897"/>
      <c r="AH612" s="789"/>
      <c r="AI612" s="664">
        <f t="shared" si="28"/>
        <v>0</v>
      </c>
      <c r="AJ612" s="521">
        <v>0</v>
      </c>
      <c r="AK612" s="520">
        <f t="shared" si="29"/>
        <v>0</v>
      </c>
      <c r="AL612" s="695" t="s">
        <v>1764</v>
      </c>
      <c r="AM612" s="669">
        <f t="shared" si="30"/>
        <v>7</v>
      </c>
    </row>
    <row r="613" spans="1:39" s="500" customFormat="1">
      <c r="A613" s="539" t="s">
        <v>1066</v>
      </c>
      <c r="B613" s="539" t="s">
        <v>1397</v>
      </c>
      <c r="C613" s="548" t="s">
        <v>36</v>
      </c>
      <c r="D613" s="519"/>
      <c r="E613" s="726"/>
      <c r="F613" s="520"/>
      <c r="G613" s="520"/>
      <c r="H613" s="520"/>
      <c r="I613" s="521"/>
      <c r="J613" s="521"/>
      <c r="K613" s="521"/>
      <c r="L613" s="756"/>
      <c r="M613" s="514"/>
      <c r="N613" s="514"/>
      <c r="O613" s="514"/>
      <c r="P613" s="514"/>
      <c r="Q613" s="514"/>
      <c r="R613" s="514"/>
      <c r="S613" s="756"/>
      <c r="T613" s="514"/>
      <c r="U613" s="514"/>
      <c r="V613" s="514"/>
      <c r="W613" s="514"/>
      <c r="X613" s="514"/>
      <c r="Y613" s="514"/>
      <c r="Z613" s="756"/>
      <c r="AA613" s="514"/>
      <c r="AB613" s="514"/>
      <c r="AC613" s="514"/>
      <c r="AD613" s="514"/>
      <c r="AE613" s="774"/>
      <c r="AF613" s="514"/>
      <c r="AG613" s="897"/>
      <c r="AH613" s="789"/>
      <c r="AI613" s="664">
        <f t="shared" si="28"/>
        <v>0</v>
      </c>
      <c r="AJ613" s="521">
        <v>0</v>
      </c>
      <c r="AK613" s="520">
        <f t="shared" si="29"/>
        <v>0</v>
      </c>
      <c r="AL613" s="695"/>
      <c r="AM613" s="669">
        <f t="shared" si="30"/>
        <v>0</v>
      </c>
    </row>
    <row r="614" spans="1:39" s="730" customFormat="1">
      <c r="A614" s="831" t="s">
        <v>1067</v>
      </c>
      <c r="B614" s="831" t="s">
        <v>1398</v>
      </c>
      <c r="C614" s="844"/>
      <c r="D614" s="743"/>
      <c r="E614" s="726"/>
      <c r="F614" s="726"/>
      <c r="G614" s="726"/>
      <c r="H614" s="726"/>
      <c r="I614" s="725"/>
      <c r="J614" s="725"/>
      <c r="K614" s="725"/>
      <c r="L614" s="756"/>
      <c r="M614" s="756"/>
      <c r="N614" s="756"/>
      <c r="O614" s="756"/>
      <c r="P614" s="756"/>
      <c r="Q614" s="756"/>
      <c r="R614" s="756"/>
      <c r="S614" s="756"/>
      <c r="T614" s="756"/>
      <c r="U614" s="756"/>
      <c r="V614" s="756"/>
      <c r="W614" s="756"/>
      <c r="X614" s="756"/>
      <c r="Y614" s="756"/>
      <c r="Z614" s="756"/>
      <c r="AA614" s="756"/>
      <c r="AB614" s="756"/>
      <c r="AC614" s="756"/>
      <c r="AD614" s="756"/>
      <c r="AE614" s="774"/>
      <c r="AF614" s="756"/>
      <c r="AG614" s="897"/>
      <c r="AH614" s="819"/>
      <c r="AI614" s="786">
        <f t="shared" si="28"/>
        <v>0</v>
      </c>
      <c r="AJ614" s="725">
        <v>0</v>
      </c>
      <c r="AK614" s="726">
        <f t="shared" si="29"/>
        <v>0</v>
      </c>
      <c r="AL614" s="847" t="s">
        <v>1489</v>
      </c>
      <c r="AM614" s="729">
        <f t="shared" si="30"/>
        <v>16</v>
      </c>
    </row>
    <row r="615" spans="1:39" s="730" customFormat="1">
      <c r="A615" s="720" t="s">
        <v>1068</v>
      </c>
      <c r="B615" s="720" t="s">
        <v>1399</v>
      </c>
      <c r="C615" s="823" t="s">
        <v>1452</v>
      </c>
      <c r="D615" s="743"/>
      <c r="E615" s="726"/>
      <c r="F615" s="726"/>
      <c r="G615" s="726"/>
      <c r="H615" s="726"/>
      <c r="I615" s="725"/>
      <c r="J615" s="725"/>
      <c r="K615" s="725"/>
      <c r="L615" s="756"/>
      <c r="M615" s="756"/>
      <c r="N615" s="756"/>
      <c r="O615" s="756"/>
      <c r="P615" s="756"/>
      <c r="Q615" s="756"/>
      <c r="R615" s="756"/>
      <c r="S615" s="756"/>
      <c r="T615" s="756"/>
      <c r="U615" s="756"/>
      <c r="V615" s="756"/>
      <c r="W615" s="756"/>
      <c r="X615" s="756"/>
      <c r="Y615" s="756"/>
      <c r="Z615" s="756"/>
      <c r="AA615" s="756"/>
      <c r="AB615" s="756"/>
      <c r="AC615" s="756"/>
      <c r="AD615" s="756"/>
      <c r="AE615" s="774"/>
      <c r="AF615" s="756"/>
      <c r="AG615" s="897"/>
      <c r="AH615" s="819"/>
      <c r="AI615" s="786">
        <f t="shared" si="28"/>
        <v>0</v>
      </c>
      <c r="AJ615" s="725">
        <v>0</v>
      </c>
      <c r="AK615" s="726">
        <f t="shared" si="29"/>
        <v>0</v>
      </c>
      <c r="AL615" s="847" t="s">
        <v>1698</v>
      </c>
      <c r="AM615" s="729">
        <f t="shared" si="30"/>
        <v>2</v>
      </c>
    </row>
    <row r="616" spans="1:39" s="730" customFormat="1">
      <c r="A616" s="720" t="s">
        <v>1069</v>
      </c>
      <c r="B616" s="720" t="s">
        <v>1400</v>
      </c>
      <c r="C616" s="823" t="s">
        <v>1452</v>
      </c>
      <c r="D616" s="743"/>
      <c r="E616" s="726"/>
      <c r="F616" s="726"/>
      <c r="G616" s="726"/>
      <c r="H616" s="726"/>
      <c r="I616" s="725"/>
      <c r="J616" s="725"/>
      <c r="K616" s="725"/>
      <c r="L616" s="756"/>
      <c r="M616" s="756"/>
      <c r="N616" s="756"/>
      <c r="O616" s="756"/>
      <c r="P616" s="756"/>
      <c r="Q616" s="756"/>
      <c r="R616" s="756"/>
      <c r="S616" s="756"/>
      <c r="T616" s="756"/>
      <c r="U616" s="756"/>
      <c r="V616" s="756"/>
      <c r="W616" s="756"/>
      <c r="X616" s="756"/>
      <c r="Y616" s="756"/>
      <c r="Z616" s="756"/>
      <c r="AA616" s="756"/>
      <c r="AB616" s="756"/>
      <c r="AC616" s="756"/>
      <c r="AD616" s="756"/>
      <c r="AE616" s="774"/>
      <c r="AF616" s="756"/>
      <c r="AG616" s="897"/>
      <c r="AH616" s="819"/>
      <c r="AI616" s="786">
        <f t="shared" si="28"/>
        <v>0</v>
      </c>
      <c r="AJ616" s="725">
        <v>0</v>
      </c>
      <c r="AK616" s="726">
        <f t="shared" si="29"/>
        <v>0</v>
      </c>
      <c r="AL616" s="847" t="s">
        <v>1698</v>
      </c>
      <c r="AM616" s="729">
        <f t="shared" si="30"/>
        <v>2</v>
      </c>
    </row>
    <row r="617" spans="1:39" s="730" customFormat="1">
      <c r="A617" s="720" t="s">
        <v>1070</v>
      </c>
      <c r="B617" s="720" t="s">
        <v>1401</v>
      </c>
      <c r="C617" s="823" t="s">
        <v>1452</v>
      </c>
      <c r="D617" s="743"/>
      <c r="E617" s="726"/>
      <c r="F617" s="726"/>
      <c r="G617" s="726"/>
      <c r="H617" s="726"/>
      <c r="I617" s="725"/>
      <c r="J617" s="725"/>
      <c r="K617" s="725"/>
      <c r="L617" s="756"/>
      <c r="M617" s="756"/>
      <c r="N617" s="756"/>
      <c r="O617" s="756"/>
      <c r="P617" s="756"/>
      <c r="Q617" s="756"/>
      <c r="R617" s="756"/>
      <c r="S617" s="756"/>
      <c r="T617" s="756"/>
      <c r="U617" s="756"/>
      <c r="V617" s="756"/>
      <c r="W617" s="756"/>
      <c r="X617" s="756"/>
      <c r="Y617" s="756"/>
      <c r="Z617" s="756"/>
      <c r="AA617" s="756"/>
      <c r="AB617" s="756"/>
      <c r="AC617" s="756"/>
      <c r="AD617" s="756"/>
      <c r="AE617" s="774"/>
      <c r="AF617" s="756"/>
      <c r="AG617" s="897"/>
      <c r="AH617" s="819"/>
      <c r="AI617" s="786">
        <f t="shared" si="28"/>
        <v>0</v>
      </c>
      <c r="AJ617" s="725">
        <v>0</v>
      </c>
      <c r="AK617" s="726">
        <f t="shared" si="29"/>
        <v>0</v>
      </c>
      <c r="AL617" s="847"/>
      <c r="AM617" s="729">
        <f t="shared" si="30"/>
        <v>0</v>
      </c>
    </row>
    <row r="618" spans="1:39" s="730" customFormat="1">
      <c r="A618" s="831" t="s">
        <v>1071</v>
      </c>
      <c r="B618" s="831" t="s">
        <v>1402</v>
      </c>
      <c r="C618" s="844"/>
      <c r="D618" s="743"/>
      <c r="E618" s="726"/>
      <c r="F618" s="726"/>
      <c r="G618" s="726"/>
      <c r="H618" s="726"/>
      <c r="I618" s="725"/>
      <c r="J618" s="725"/>
      <c r="K618" s="725"/>
      <c r="L618" s="756"/>
      <c r="M618" s="756"/>
      <c r="N618" s="756"/>
      <c r="O618" s="756"/>
      <c r="P618" s="756"/>
      <c r="Q618" s="756"/>
      <c r="R618" s="756"/>
      <c r="S618" s="756"/>
      <c r="T618" s="756"/>
      <c r="U618" s="756"/>
      <c r="V618" s="756"/>
      <c r="W618" s="756"/>
      <c r="X618" s="756"/>
      <c r="Y618" s="756"/>
      <c r="Z618" s="756"/>
      <c r="AA618" s="756"/>
      <c r="AB618" s="756"/>
      <c r="AC618" s="756"/>
      <c r="AD618" s="756"/>
      <c r="AE618" s="774"/>
      <c r="AF618" s="756"/>
      <c r="AG618" s="897"/>
      <c r="AH618" s="819"/>
      <c r="AI618" s="786">
        <f t="shared" si="28"/>
        <v>0</v>
      </c>
      <c r="AJ618" s="725">
        <v>0</v>
      </c>
      <c r="AK618" s="726">
        <f t="shared" si="29"/>
        <v>0</v>
      </c>
      <c r="AL618" s="847" t="s">
        <v>1767</v>
      </c>
      <c r="AM618" s="729">
        <f t="shared" si="30"/>
        <v>14</v>
      </c>
    </row>
    <row r="619" spans="1:39" s="730" customFormat="1">
      <c r="A619" s="720" t="s">
        <v>1072</v>
      </c>
      <c r="B619" s="720" t="s">
        <v>1403</v>
      </c>
      <c r="C619" s="823" t="s">
        <v>1452</v>
      </c>
      <c r="D619" s="743"/>
      <c r="E619" s="726"/>
      <c r="F619" s="726"/>
      <c r="G619" s="726"/>
      <c r="H619" s="726"/>
      <c r="I619" s="725"/>
      <c r="J619" s="725"/>
      <c r="K619" s="725"/>
      <c r="L619" s="756"/>
      <c r="M619" s="756"/>
      <c r="N619" s="756"/>
      <c r="O619" s="756"/>
      <c r="P619" s="756"/>
      <c r="Q619" s="756"/>
      <c r="R619" s="756"/>
      <c r="S619" s="756"/>
      <c r="T619" s="756"/>
      <c r="U619" s="756"/>
      <c r="V619" s="756"/>
      <c r="W619" s="756"/>
      <c r="X619" s="756"/>
      <c r="Y619" s="756"/>
      <c r="Z619" s="756"/>
      <c r="AA619" s="756"/>
      <c r="AB619" s="756"/>
      <c r="AC619" s="756"/>
      <c r="AD619" s="756"/>
      <c r="AE619" s="774"/>
      <c r="AF619" s="756"/>
      <c r="AG619" s="897"/>
      <c r="AH619" s="819"/>
      <c r="AI619" s="786">
        <f t="shared" ref="AI619:AI677" si="31">ROUND((SUM(D619:L619)),2)</f>
        <v>0</v>
      </c>
      <c r="AJ619" s="725">
        <v>0</v>
      </c>
      <c r="AK619" s="726">
        <f t="shared" si="29"/>
        <v>0</v>
      </c>
      <c r="AL619" s="847" t="s">
        <v>1455</v>
      </c>
      <c r="AM619" s="729">
        <f t="shared" si="30"/>
        <v>1</v>
      </c>
    </row>
    <row r="620" spans="1:39" s="730" customFormat="1">
      <c r="A620" s="720" t="s">
        <v>1073</v>
      </c>
      <c r="B620" s="720" t="s">
        <v>1404</v>
      </c>
      <c r="C620" s="823" t="s">
        <v>1452</v>
      </c>
      <c r="D620" s="743"/>
      <c r="E620" s="726"/>
      <c r="F620" s="726"/>
      <c r="G620" s="726"/>
      <c r="H620" s="726"/>
      <c r="I620" s="725"/>
      <c r="J620" s="725"/>
      <c r="K620" s="725"/>
      <c r="L620" s="756"/>
      <c r="M620" s="756"/>
      <c r="N620" s="756"/>
      <c r="O620" s="756"/>
      <c r="P620" s="756"/>
      <c r="Q620" s="756"/>
      <c r="R620" s="756"/>
      <c r="S620" s="756"/>
      <c r="T620" s="756"/>
      <c r="U620" s="756"/>
      <c r="V620" s="756"/>
      <c r="W620" s="756"/>
      <c r="X620" s="756"/>
      <c r="Y620" s="756"/>
      <c r="Z620" s="756"/>
      <c r="AA620" s="756"/>
      <c r="AB620" s="756"/>
      <c r="AC620" s="756"/>
      <c r="AD620" s="756"/>
      <c r="AE620" s="774"/>
      <c r="AF620" s="756"/>
      <c r="AG620" s="897"/>
      <c r="AH620" s="889"/>
      <c r="AI620" s="845">
        <f t="shared" si="31"/>
        <v>0</v>
      </c>
      <c r="AJ620" s="725">
        <v>0</v>
      </c>
      <c r="AK620" s="726">
        <f t="shared" si="29"/>
        <v>0</v>
      </c>
      <c r="AL620" s="847" t="s">
        <v>1618</v>
      </c>
      <c r="AM620" s="729">
        <f t="shared" si="30"/>
        <v>3</v>
      </c>
    </row>
    <row r="621" spans="1:39" s="730" customFormat="1">
      <c r="A621" s="720" t="s">
        <v>1074</v>
      </c>
      <c r="B621" s="720" t="s">
        <v>1405</v>
      </c>
      <c r="C621" s="823" t="s">
        <v>1452</v>
      </c>
      <c r="D621" s="743"/>
      <c r="E621" s="726"/>
      <c r="F621" s="726"/>
      <c r="G621" s="726"/>
      <c r="H621" s="726"/>
      <c r="I621" s="725"/>
      <c r="J621" s="725"/>
      <c r="K621" s="725"/>
      <c r="L621" s="756"/>
      <c r="M621" s="756"/>
      <c r="N621" s="756"/>
      <c r="O621" s="756"/>
      <c r="P621" s="756"/>
      <c r="Q621" s="756"/>
      <c r="R621" s="756"/>
      <c r="S621" s="756"/>
      <c r="T621" s="756"/>
      <c r="U621" s="756"/>
      <c r="V621" s="756"/>
      <c r="W621" s="756"/>
      <c r="X621" s="756"/>
      <c r="Y621" s="756"/>
      <c r="Z621" s="756"/>
      <c r="AA621" s="756"/>
      <c r="AB621" s="756"/>
      <c r="AC621" s="756"/>
      <c r="AD621" s="756"/>
      <c r="AE621" s="774"/>
      <c r="AF621" s="756"/>
      <c r="AG621" s="897"/>
      <c r="AH621" s="889"/>
      <c r="AI621" s="845">
        <f t="shared" si="31"/>
        <v>0</v>
      </c>
      <c r="AJ621" s="725">
        <v>0</v>
      </c>
      <c r="AK621" s="726">
        <f t="shared" si="29"/>
        <v>0</v>
      </c>
      <c r="AL621" s="847" t="s">
        <v>1641</v>
      </c>
      <c r="AM621" s="729">
        <f t="shared" si="30"/>
        <v>9</v>
      </c>
    </row>
    <row r="622" spans="1:39" s="730" customFormat="1">
      <c r="A622" s="720" t="s">
        <v>1075</v>
      </c>
      <c r="B622" s="720" t="s">
        <v>1406</v>
      </c>
      <c r="C622" s="823" t="s">
        <v>1452</v>
      </c>
      <c r="D622" s="743"/>
      <c r="E622" s="726"/>
      <c r="F622" s="726"/>
      <c r="G622" s="726"/>
      <c r="H622" s="726"/>
      <c r="I622" s="725"/>
      <c r="J622" s="725"/>
      <c r="K622" s="725"/>
      <c r="L622" s="756"/>
      <c r="M622" s="756"/>
      <c r="N622" s="756"/>
      <c r="O622" s="756"/>
      <c r="P622" s="756"/>
      <c r="Q622" s="756"/>
      <c r="R622" s="756"/>
      <c r="S622" s="756"/>
      <c r="T622" s="756"/>
      <c r="U622" s="756"/>
      <c r="V622" s="756"/>
      <c r="W622" s="756"/>
      <c r="X622" s="756"/>
      <c r="Y622" s="756"/>
      <c r="Z622" s="756"/>
      <c r="AA622" s="756"/>
      <c r="AB622" s="756"/>
      <c r="AC622" s="756"/>
      <c r="AD622" s="756"/>
      <c r="AE622" s="774"/>
      <c r="AF622" s="756"/>
      <c r="AG622" s="897"/>
      <c r="AH622" s="889"/>
      <c r="AI622" s="845">
        <f t="shared" si="31"/>
        <v>0</v>
      </c>
      <c r="AJ622" s="725">
        <v>0</v>
      </c>
      <c r="AK622" s="726">
        <f t="shared" si="29"/>
        <v>0</v>
      </c>
      <c r="AL622" s="847" t="s">
        <v>1455</v>
      </c>
      <c r="AM622" s="729">
        <f t="shared" si="30"/>
        <v>1</v>
      </c>
    </row>
    <row r="623" spans="1:39" s="730" customFormat="1">
      <c r="A623" s="720" t="s">
        <v>1076</v>
      </c>
      <c r="B623" s="720" t="s">
        <v>1407</v>
      </c>
      <c r="C623" s="823" t="s">
        <v>1452</v>
      </c>
      <c r="D623" s="743"/>
      <c r="E623" s="726"/>
      <c r="F623" s="726"/>
      <c r="G623" s="726"/>
      <c r="H623" s="726"/>
      <c r="I623" s="725"/>
      <c r="J623" s="725"/>
      <c r="K623" s="725"/>
      <c r="L623" s="756"/>
      <c r="M623" s="756"/>
      <c r="N623" s="756"/>
      <c r="O623" s="756"/>
      <c r="P623" s="756"/>
      <c r="Q623" s="756"/>
      <c r="R623" s="756"/>
      <c r="S623" s="756"/>
      <c r="T623" s="756"/>
      <c r="U623" s="756"/>
      <c r="V623" s="756"/>
      <c r="W623" s="756"/>
      <c r="X623" s="756"/>
      <c r="Y623" s="756"/>
      <c r="Z623" s="756"/>
      <c r="AA623" s="756"/>
      <c r="AB623" s="756"/>
      <c r="AC623" s="756"/>
      <c r="AD623" s="756"/>
      <c r="AE623" s="774"/>
      <c r="AF623" s="756"/>
      <c r="AG623" s="897"/>
      <c r="AH623" s="889"/>
      <c r="AI623" s="845">
        <f t="shared" si="31"/>
        <v>0</v>
      </c>
      <c r="AJ623" s="725">
        <v>0</v>
      </c>
      <c r="AK623" s="726">
        <f t="shared" si="29"/>
        <v>0</v>
      </c>
      <c r="AL623" s="847"/>
      <c r="AM623" s="729">
        <f t="shared" si="30"/>
        <v>0</v>
      </c>
    </row>
    <row r="624" spans="1:39" s="500" customFormat="1">
      <c r="A624" s="542" t="s">
        <v>1077</v>
      </c>
      <c r="B624" s="542" t="s">
        <v>1408</v>
      </c>
      <c r="C624" s="616"/>
      <c r="D624" s="519"/>
      <c r="E624" s="726"/>
      <c r="F624" s="520"/>
      <c r="G624" s="520"/>
      <c r="H624" s="520"/>
      <c r="I624" s="521"/>
      <c r="J624" s="521"/>
      <c r="K624" s="521"/>
      <c r="L624" s="756"/>
      <c r="M624" s="514"/>
      <c r="N624" s="514"/>
      <c r="O624" s="514"/>
      <c r="P624" s="514"/>
      <c r="Q624" s="514"/>
      <c r="R624" s="514"/>
      <c r="S624" s="756"/>
      <c r="T624" s="514"/>
      <c r="U624" s="514"/>
      <c r="V624" s="514"/>
      <c r="W624" s="514"/>
      <c r="X624" s="514"/>
      <c r="Y624" s="514"/>
      <c r="Z624" s="756"/>
      <c r="AA624" s="514"/>
      <c r="AB624" s="514"/>
      <c r="AC624" s="514"/>
      <c r="AD624" s="514"/>
      <c r="AE624" s="774"/>
      <c r="AF624" s="514"/>
      <c r="AG624" s="897"/>
      <c r="AH624" s="890"/>
      <c r="AI624" s="790">
        <f t="shared" si="31"/>
        <v>0</v>
      </c>
      <c r="AJ624" s="521">
        <v>0</v>
      </c>
      <c r="AK624" s="520">
        <f t="shared" si="29"/>
        <v>0</v>
      </c>
      <c r="AL624" s="695" t="s">
        <v>1455</v>
      </c>
      <c r="AM624" s="669">
        <f t="shared" si="30"/>
        <v>1</v>
      </c>
    </row>
    <row r="625" spans="1:39" s="500" customFormat="1">
      <c r="A625" s="539" t="s">
        <v>1078</v>
      </c>
      <c r="B625" s="539" t="s">
        <v>1409</v>
      </c>
      <c r="C625" s="548" t="s">
        <v>1452</v>
      </c>
      <c r="D625" s="519"/>
      <c r="E625" s="726"/>
      <c r="F625" s="520"/>
      <c r="G625" s="520"/>
      <c r="H625" s="520"/>
      <c r="I625" s="521"/>
      <c r="J625" s="521"/>
      <c r="K625" s="521"/>
      <c r="L625" s="756"/>
      <c r="M625" s="514"/>
      <c r="N625" s="514"/>
      <c r="O625" s="514"/>
      <c r="P625" s="514"/>
      <c r="Q625" s="514"/>
      <c r="R625" s="514"/>
      <c r="S625" s="756"/>
      <c r="T625" s="514"/>
      <c r="U625" s="514"/>
      <c r="V625" s="514"/>
      <c r="W625" s="514"/>
      <c r="X625" s="514"/>
      <c r="Y625" s="514"/>
      <c r="Z625" s="756"/>
      <c r="AA625" s="514"/>
      <c r="AB625" s="514"/>
      <c r="AC625" s="514"/>
      <c r="AD625" s="514"/>
      <c r="AE625" s="774"/>
      <c r="AF625" s="514"/>
      <c r="AG625" s="897"/>
      <c r="AH625" s="890"/>
      <c r="AI625" s="790">
        <f t="shared" si="31"/>
        <v>0</v>
      </c>
      <c r="AJ625" s="521">
        <v>0</v>
      </c>
      <c r="AK625" s="520">
        <f t="shared" si="29"/>
        <v>0</v>
      </c>
      <c r="AL625" s="695" t="s">
        <v>1455</v>
      </c>
      <c r="AM625" s="669">
        <f t="shared" si="30"/>
        <v>1</v>
      </c>
    </row>
    <row r="626" spans="1:39" s="500" customFormat="1">
      <c r="A626" s="539" t="s">
        <v>1079</v>
      </c>
      <c r="B626" s="539" t="s">
        <v>1410</v>
      </c>
      <c r="C626" s="548" t="s">
        <v>1452</v>
      </c>
      <c r="D626" s="519"/>
      <c r="E626" s="726"/>
      <c r="F626" s="520"/>
      <c r="G626" s="520"/>
      <c r="H626" s="520"/>
      <c r="I626" s="521"/>
      <c r="J626" s="521"/>
      <c r="K626" s="521"/>
      <c r="L626" s="756"/>
      <c r="M626" s="514"/>
      <c r="N626" s="514"/>
      <c r="O626" s="514"/>
      <c r="P626" s="514"/>
      <c r="Q626" s="514"/>
      <c r="R626" s="514"/>
      <c r="S626" s="756"/>
      <c r="T626" s="514"/>
      <c r="U626" s="514"/>
      <c r="V626" s="514"/>
      <c r="W626" s="514"/>
      <c r="X626" s="514"/>
      <c r="Y626" s="514"/>
      <c r="Z626" s="756"/>
      <c r="AA626" s="514"/>
      <c r="AB626" s="514"/>
      <c r="AC626" s="514"/>
      <c r="AD626" s="514"/>
      <c r="AE626" s="774"/>
      <c r="AF626" s="514"/>
      <c r="AG626" s="897"/>
      <c r="AH626" s="890"/>
      <c r="AI626" s="790">
        <f t="shared" si="31"/>
        <v>0</v>
      </c>
      <c r="AJ626" s="521">
        <v>0</v>
      </c>
      <c r="AK626" s="520">
        <f t="shared" si="29"/>
        <v>0</v>
      </c>
      <c r="AL626" s="695" t="s">
        <v>1726</v>
      </c>
      <c r="AM626" s="669">
        <f t="shared" si="30"/>
        <v>11</v>
      </c>
    </row>
    <row r="627" spans="1:39" s="500" customFormat="1">
      <c r="A627" s="539" t="s">
        <v>1080</v>
      </c>
      <c r="B627" s="539" t="s">
        <v>1411</v>
      </c>
      <c r="C627" s="548" t="s">
        <v>1452</v>
      </c>
      <c r="D627" s="519"/>
      <c r="E627" s="726"/>
      <c r="F627" s="520"/>
      <c r="G627" s="520"/>
      <c r="H627" s="520"/>
      <c r="I627" s="521"/>
      <c r="J627" s="521"/>
      <c r="K627" s="521"/>
      <c r="L627" s="756"/>
      <c r="M627" s="514"/>
      <c r="N627" s="514"/>
      <c r="O627" s="514"/>
      <c r="P627" s="514"/>
      <c r="Q627" s="514"/>
      <c r="R627" s="514"/>
      <c r="S627" s="756"/>
      <c r="T627" s="514"/>
      <c r="U627" s="514"/>
      <c r="V627" s="514"/>
      <c r="W627" s="514"/>
      <c r="X627" s="514"/>
      <c r="Y627" s="514"/>
      <c r="Z627" s="756"/>
      <c r="AA627" s="514"/>
      <c r="AB627" s="514"/>
      <c r="AC627" s="514"/>
      <c r="AD627" s="514"/>
      <c r="AE627" s="774"/>
      <c r="AF627" s="514"/>
      <c r="AG627" s="897"/>
      <c r="AH627" s="890"/>
      <c r="AI627" s="790">
        <f t="shared" si="31"/>
        <v>0</v>
      </c>
      <c r="AJ627" s="521">
        <v>0</v>
      </c>
      <c r="AK627" s="520">
        <f t="shared" si="29"/>
        <v>0</v>
      </c>
      <c r="AL627" s="695" t="s">
        <v>1698</v>
      </c>
      <c r="AM627" s="669">
        <f t="shared" si="30"/>
        <v>2</v>
      </c>
    </row>
    <row r="628" spans="1:39" s="500" customFormat="1">
      <c r="A628" s="539" t="s">
        <v>1081</v>
      </c>
      <c r="B628" s="539" t="s">
        <v>1412</v>
      </c>
      <c r="C628" s="548" t="s">
        <v>1452</v>
      </c>
      <c r="D628" s="519"/>
      <c r="E628" s="726"/>
      <c r="F628" s="520"/>
      <c r="G628" s="520"/>
      <c r="H628" s="520"/>
      <c r="I628" s="521"/>
      <c r="J628" s="521"/>
      <c r="K628" s="521"/>
      <c r="L628" s="756"/>
      <c r="M628" s="514"/>
      <c r="N628" s="514"/>
      <c r="O628" s="514"/>
      <c r="P628" s="514"/>
      <c r="Q628" s="514"/>
      <c r="R628" s="514"/>
      <c r="S628" s="756"/>
      <c r="T628" s="514"/>
      <c r="U628" s="514"/>
      <c r="V628" s="514"/>
      <c r="W628" s="514"/>
      <c r="X628" s="514"/>
      <c r="Y628" s="514"/>
      <c r="Z628" s="756"/>
      <c r="AA628" s="514"/>
      <c r="AB628" s="514"/>
      <c r="AC628" s="514"/>
      <c r="AD628" s="514"/>
      <c r="AE628" s="774"/>
      <c r="AF628" s="514"/>
      <c r="AG628" s="897"/>
      <c r="AH628" s="890"/>
      <c r="AI628" s="790">
        <f t="shared" si="31"/>
        <v>0</v>
      </c>
      <c r="AJ628" s="521">
        <v>0</v>
      </c>
      <c r="AK628" s="520">
        <f t="shared" si="29"/>
        <v>0</v>
      </c>
      <c r="AL628" s="695" t="s">
        <v>1698</v>
      </c>
      <c r="AM628" s="669">
        <f t="shared" si="30"/>
        <v>2</v>
      </c>
    </row>
    <row r="629" spans="1:39" s="500" customFormat="1">
      <c r="A629" s="539" t="s">
        <v>1082</v>
      </c>
      <c r="B629" s="539" t="s">
        <v>1413</v>
      </c>
      <c r="C629" s="548" t="s">
        <v>1452</v>
      </c>
      <c r="D629" s="519"/>
      <c r="E629" s="726"/>
      <c r="F629" s="520"/>
      <c r="G629" s="520"/>
      <c r="H629" s="520"/>
      <c r="I629" s="521"/>
      <c r="J629" s="521"/>
      <c r="K629" s="521"/>
      <c r="L629" s="756"/>
      <c r="M629" s="514"/>
      <c r="N629" s="514"/>
      <c r="O629" s="514"/>
      <c r="P629" s="514"/>
      <c r="Q629" s="514"/>
      <c r="R629" s="514"/>
      <c r="S629" s="756"/>
      <c r="T629" s="514"/>
      <c r="U629" s="514"/>
      <c r="V629" s="514"/>
      <c r="W629" s="514"/>
      <c r="X629" s="514"/>
      <c r="Y629" s="514"/>
      <c r="Z629" s="756"/>
      <c r="AA629" s="514"/>
      <c r="AB629" s="514"/>
      <c r="AC629" s="514"/>
      <c r="AD629" s="514"/>
      <c r="AE629" s="774"/>
      <c r="AF629" s="514"/>
      <c r="AG629" s="897"/>
      <c r="AH629" s="890"/>
      <c r="AI629" s="790">
        <f t="shared" si="31"/>
        <v>0</v>
      </c>
      <c r="AJ629" s="521">
        <v>0</v>
      </c>
      <c r="AK629" s="520">
        <f t="shared" si="29"/>
        <v>0</v>
      </c>
      <c r="AL629" s="695"/>
      <c r="AM629" s="669">
        <f t="shared" si="30"/>
        <v>0</v>
      </c>
    </row>
    <row r="630" spans="1:39" s="730" customFormat="1">
      <c r="A630" s="831" t="s">
        <v>1083</v>
      </c>
      <c r="B630" s="831" t="s">
        <v>1414</v>
      </c>
      <c r="C630" s="844"/>
      <c r="D630" s="743"/>
      <c r="E630" s="726"/>
      <c r="F630" s="726"/>
      <c r="G630" s="726"/>
      <c r="H630" s="726"/>
      <c r="I630" s="725"/>
      <c r="J630" s="725"/>
      <c r="K630" s="725"/>
      <c r="L630" s="756"/>
      <c r="M630" s="756"/>
      <c r="N630" s="756"/>
      <c r="O630" s="756"/>
      <c r="P630" s="756"/>
      <c r="Q630" s="756"/>
      <c r="R630" s="756"/>
      <c r="S630" s="756"/>
      <c r="T630" s="756"/>
      <c r="U630" s="756"/>
      <c r="V630" s="756"/>
      <c r="W630" s="756"/>
      <c r="X630" s="756"/>
      <c r="Y630" s="756"/>
      <c r="Z630" s="756"/>
      <c r="AA630" s="756"/>
      <c r="AB630" s="756"/>
      <c r="AC630" s="756"/>
      <c r="AD630" s="756"/>
      <c r="AE630" s="774"/>
      <c r="AF630" s="756"/>
      <c r="AG630" s="897"/>
      <c r="AH630" s="889"/>
      <c r="AI630" s="845">
        <f t="shared" si="31"/>
        <v>0</v>
      </c>
      <c r="AJ630" s="725">
        <v>0</v>
      </c>
      <c r="AK630" s="726">
        <f t="shared" si="29"/>
        <v>0</v>
      </c>
      <c r="AL630" s="847" t="s">
        <v>1455</v>
      </c>
      <c r="AM630" s="729">
        <f t="shared" si="30"/>
        <v>1</v>
      </c>
    </row>
    <row r="631" spans="1:39" s="730" customFormat="1">
      <c r="A631" s="720" t="s">
        <v>1084</v>
      </c>
      <c r="B631" s="720" t="s">
        <v>1415</v>
      </c>
      <c r="C631" s="823" t="s">
        <v>36</v>
      </c>
      <c r="D631" s="743"/>
      <c r="E631" s="726"/>
      <c r="F631" s="726"/>
      <c r="G631" s="726"/>
      <c r="H631" s="726"/>
      <c r="I631" s="725"/>
      <c r="J631" s="725"/>
      <c r="K631" s="725"/>
      <c r="L631" s="756"/>
      <c r="M631" s="756"/>
      <c r="N631" s="756"/>
      <c r="O631" s="756"/>
      <c r="P631" s="756"/>
      <c r="Q631" s="756"/>
      <c r="R631" s="756"/>
      <c r="S631" s="756"/>
      <c r="T631" s="756"/>
      <c r="U631" s="756"/>
      <c r="V631" s="756"/>
      <c r="W631" s="756"/>
      <c r="X631" s="756"/>
      <c r="Y631" s="756"/>
      <c r="Z631" s="756"/>
      <c r="AA631" s="756"/>
      <c r="AB631" s="756"/>
      <c r="AC631" s="756"/>
      <c r="AD631" s="756"/>
      <c r="AE631" s="774"/>
      <c r="AF631" s="756"/>
      <c r="AG631" s="897"/>
      <c r="AH631" s="889"/>
      <c r="AI631" s="845">
        <f t="shared" si="31"/>
        <v>0</v>
      </c>
      <c r="AJ631" s="725">
        <v>0</v>
      </c>
      <c r="AK631" s="726">
        <f t="shared" si="29"/>
        <v>0</v>
      </c>
      <c r="AL631" s="847"/>
      <c r="AM631" s="729">
        <f t="shared" si="30"/>
        <v>0</v>
      </c>
    </row>
    <row r="632" spans="1:39" s="500" customFormat="1">
      <c r="A632" s="542" t="s">
        <v>1085</v>
      </c>
      <c r="B632" s="542" t="s">
        <v>1416</v>
      </c>
      <c r="C632" s="616"/>
      <c r="D632" s="519"/>
      <c r="E632" s="726"/>
      <c r="F632" s="520"/>
      <c r="G632" s="520"/>
      <c r="H632" s="520"/>
      <c r="I632" s="521"/>
      <c r="J632" s="521"/>
      <c r="K632" s="521"/>
      <c r="L632" s="756"/>
      <c r="M632" s="514"/>
      <c r="N632" s="514"/>
      <c r="O632" s="514"/>
      <c r="P632" s="514"/>
      <c r="Q632" s="514"/>
      <c r="R632" s="514"/>
      <c r="S632" s="756"/>
      <c r="T632" s="514"/>
      <c r="U632" s="514"/>
      <c r="V632" s="514"/>
      <c r="W632" s="514"/>
      <c r="X632" s="514"/>
      <c r="Y632" s="514"/>
      <c r="Z632" s="756"/>
      <c r="AA632" s="514"/>
      <c r="AB632" s="514"/>
      <c r="AC632" s="514"/>
      <c r="AD632" s="514"/>
      <c r="AE632" s="774"/>
      <c r="AF632" s="514"/>
      <c r="AG632" s="897"/>
      <c r="AH632" s="890"/>
      <c r="AI632" s="790">
        <f t="shared" si="31"/>
        <v>0</v>
      </c>
      <c r="AJ632" s="521">
        <v>0</v>
      </c>
      <c r="AK632" s="520">
        <f t="shared" si="29"/>
        <v>0</v>
      </c>
      <c r="AL632" s="695" t="s">
        <v>1455</v>
      </c>
      <c r="AM632" s="669">
        <f t="shared" si="30"/>
        <v>1</v>
      </c>
    </row>
    <row r="633" spans="1:39" s="500" customFormat="1">
      <c r="A633" s="539" t="s">
        <v>1086</v>
      </c>
      <c r="B633" s="539" t="s">
        <v>1417</v>
      </c>
      <c r="C633" s="548" t="s">
        <v>36</v>
      </c>
      <c r="D633" s="519"/>
      <c r="E633" s="726"/>
      <c r="F633" s="520"/>
      <c r="G633" s="520"/>
      <c r="H633" s="520"/>
      <c r="I633" s="521"/>
      <c r="J633" s="521"/>
      <c r="K633" s="521"/>
      <c r="L633" s="756"/>
      <c r="M633" s="514"/>
      <c r="N633" s="514"/>
      <c r="O633" s="514"/>
      <c r="P633" s="514"/>
      <c r="Q633" s="514"/>
      <c r="R633" s="514"/>
      <c r="S633" s="756"/>
      <c r="T633" s="514"/>
      <c r="U633" s="514"/>
      <c r="V633" s="514"/>
      <c r="W633" s="514"/>
      <c r="X633" s="514"/>
      <c r="Y633" s="514"/>
      <c r="Z633" s="756"/>
      <c r="AA633" s="514"/>
      <c r="AB633" s="514"/>
      <c r="AC633" s="514"/>
      <c r="AD633" s="514"/>
      <c r="AE633" s="774"/>
      <c r="AF633" s="514"/>
      <c r="AG633" s="897"/>
      <c r="AH633" s="890"/>
      <c r="AI633" s="790">
        <f t="shared" si="31"/>
        <v>0</v>
      </c>
      <c r="AJ633" s="521">
        <v>0</v>
      </c>
      <c r="AK633" s="520">
        <f t="shared" si="29"/>
        <v>0</v>
      </c>
      <c r="AL633" s="695"/>
      <c r="AM633" s="669">
        <f t="shared" si="30"/>
        <v>0</v>
      </c>
    </row>
    <row r="634" spans="1:39" s="500" customFormat="1">
      <c r="A634" s="440" t="s">
        <v>513</v>
      </c>
      <c r="B634" s="543" t="s">
        <v>1418</v>
      </c>
      <c r="C634" s="616"/>
      <c r="D634" s="519"/>
      <c r="E634" s="726"/>
      <c r="F634" s="520"/>
      <c r="G634" s="520"/>
      <c r="H634" s="520"/>
      <c r="I634" s="521"/>
      <c r="J634" s="521"/>
      <c r="K634" s="521"/>
      <c r="L634" s="756"/>
      <c r="M634" s="514"/>
      <c r="N634" s="514"/>
      <c r="O634" s="514"/>
      <c r="P634" s="514"/>
      <c r="Q634" s="514"/>
      <c r="R634" s="514"/>
      <c r="S634" s="756"/>
      <c r="T634" s="514"/>
      <c r="U634" s="514"/>
      <c r="V634" s="514"/>
      <c r="W634" s="514"/>
      <c r="X634" s="514"/>
      <c r="Y634" s="514"/>
      <c r="Z634" s="756"/>
      <c r="AA634" s="514"/>
      <c r="AB634" s="514"/>
      <c r="AC634" s="514"/>
      <c r="AD634" s="514"/>
      <c r="AE634" s="774"/>
      <c r="AF634" s="514"/>
      <c r="AG634" s="897"/>
      <c r="AH634" s="890"/>
      <c r="AI634" s="790">
        <f t="shared" si="31"/>
        <v>0</v>
      </c>
      <c r="AJ634" s="521">
        <v>0</v>
      </c>
      <c r="AK634" s="520">
        <f t="shared" si="29"/>
        <v>0</v>
      </c>
      <c r="AL634" s="695"/>
      <c r="AM634" s="669">
        <f t="shared" si="30"/>
        <v>0</v>
      </c>
    </row>
    <row r="635" spans="1:39" s="500" customFormat="1">
      <c r="A635" s="542" t="s">
        <v>1087</v>
      </c>
      <c r="B635" s="542" t="s">
        <v>1419</v>
      </c>
      <c r="C635" s="616"/>
      <c r="D635" s="519"/>
      <c r="E635" s="726"/>
      <c r="F635" s="520"/>
      <c r="G635" s="520"/>
      <c r="H635" s="520"/>
      <c r="I635" s="521"/>
      <c r="J635" s="521"/>
      <c r="K635" s="521"/>
      <c r="L635" s="756"/>
      <c r="M635" s="514"/>
      <c r="N635" s="514"/>
      <c r="O635" s="514"/>
      <c r="P635" s="514"/>
      <c r="Q635" s="514"/>
      <c r="R635" s="514"/>
      <c r="S635" s="756"/>
      <c r="T635" s="514"/>
      <c r="U635" s="514"/>
      <c r="V635" s="514"/>
      <c r="W635" s="514"/>
      <c r="X635" s="514"/>
      <c r="Y635" s="514"/>
      <c r="Z635" s="756"/>
      <c r="AA635" s="514"/>
      <c r="AB635" s="514"/>
      <c r="AC635" s="514"/>
      <c r="AD635" s="514"/>
      <c r="AE635" s="774"/>
      <c r="AF635" s="514"/>
      <c r="AG635" s="897"/>
      <c r="AH635" s="890"/>
      <c r="AI635" s="790">
        <f t="shared" si="31"/>
        <v>0</v>
      </c>
      <c r="AJ635" s="521">
        <v>0</v>
      </c>
      <c r="AK635" s="520">
        <f t="shared" si="29"/>
        <v>0</v>
      </c>
      <c r="AL635" s="695" t="s">
        <v>1768</v>
      </c>
      <c r="AM635" s="669">
        <f t="shared" si="30"/>
        <v>29</v>
      </c>
    </row>
    <row r="636" spans="1:39" s="500" customFormat="1">
      <c r="A636" s="539" t="s">
        <v>1088</v>
      </c>
      <c r="B636" s="539" t="s">
        <v>1420</v>
      </c>
      <c r="C636" s="548" t="s">
        <v>38</v>
      </c>
      <c r="D636" s="519"/>
      <c r="E636" s="726"/>
      <c r="F636" s="520"/>
      <c r="G636" s="520"/>
      <c r="H636" s="520"/>
      <c r="I636" s="521"/>
      <c r="J636" s="521"/>
      <c r="K636" s="521"/>
      <c r="L636" s="756"/>
      <c r="M636" s="514"/>
      <c r="N636" s="514"/>
      <c r="O636" s="514"/>
      <c r="P636" s="514"/>
      <c r="Q636" s="514"/>
      <c r="R636" s="514"/>
      <c r="S636" s="756"/>
      <c r="T636" s="514"/>
      <c r="U636" s="514"/>
      <c r="V636" s="514"/>
      <c r="W636" s="514"/>
      <c r="X636" s="514"/>
      <c r="Y636" s="514"/>
      <c r="Z636" s="756"/>
      <c r="AA636" s="514"/>
      <c r="AB636" s="514"/>
      <c r="AC636" s="514"/>
      <c r="AD636" s="514"/>
      <c r="AE636" s="774"/>
      <c r="AF636" s="514"/>
      <c r="AG636" s="897"/>
      <c r="AH636" s="890"/>
      <c r="AI636" s="790">
        <f t="shared" si="31"/>
        <v>0</v>
      </c>
      <c r="AJ636" s="521">
        <v>0</v>
      </c>
      <c r="AK636" s="520">
        <f t="shared" si="29"/>
        <v>0</v>
      </c>
      <c r="AL636" s="695"/>
      <c r="AM636" s="669">
        <f t="shared" si="30"/>
        <v>0</v>
      </c>
    </row>
    <row r="637" spans="1:39" s="500" customFormat="1">
      <c r="A637" s="542" t="s">
        <v>1089</v>
      </c>
      <c r="B637" s="542" t="s">
        <v>1421</v>
      </c>
      <c r="C637" s="616"/>
      <c r="D637" s="519"/>
      <c r="E637" s="726"/>
      <c r="F637" s="520"/>
      <c r="G637" s="520"/>
      <c r="H637" s="520"/>
      <c r="I637" s="521"/>
      <c r="J637" s="521"/>
      <c r="K637" s="521"/>
      <c r="L637" s="756"/>
      <c r="M637" s="514"/>
      <c r="N637" s="514"/>
      <c r="O637" s="514"/>
      <c r="P637" s="514"/>
      <c r="Q637" s="514"/>
      <c r="R637" s="514"/>
      <c r="S637" s="756"/>
      <c r="T637" s="514"/>
      <c r="U637" s="514"/>
      <c r="V637" s="514"/>
      <c r="W637" s="514"/>
      <c r="X637" s="514"/>
      <c r="Y637" s="514"/>
      <c r="Z637" s="756"/>
      <c r="AA637" s="514"/>
      <c r="AB637" s="514"/>
      <c r="AC637" s="514"/>
      <c r="AD637" s="514"/>
      <c r="AE637" s="774"/>
      <c r="AF637" s="514"/>
      <c r="AG637" s="897"/>
      <c r="AH637" s="890"/>
      <c r="AI637" s="790">
        <f t="shared" si="31"/>
        <v>0</v>
      </c>
      <c r="AJ637" s="521">
        <v>0</v>
      </c>
      <c r="AK637" s="520">
        <f t="shared" si="29"/>
        <v>0</v>
      </c>
      <c r="AL637" s="695" t="s">
        <v>1736</v>
      </c>
      <c r="AM637" s="669">
        <f t="shared" si="30"/>
        <v>64</v>
      </c>
    </row>
    <row r="638" spans="1:39" s="500" customFormat="1">
      <c r="A638" s="539" t="s">
        <v>1090</v>
      </c>
      <c r="B638" s="539" t="s">
        <v>1422</v>
      </c>
      <c r="C638" s="548" t="s">
        <v>38</v>
      </c>
      <c r="D638" s="519"/>
      <c r="E638" s="726"/>
      <c r="F638" s="520"/>
      <c r="G638" s="520"/>
      <c r="H638" s="520"/>
      <c r="I638" s="521"/>
      <c r="J638" s="521"/>
      <c r="K638" s="521"/>
      <c r="L638" s="756"/>
      <c r="M638" s="514"/>
      <c r="N638" s="514"/>
      <c r="O638" s="514"/>
      <c r="P638" s="514"/>
      <c r="Q638" s="514"/>
      <c r="R638" s="514"/>
      <c r="S638" s="756"/>
      <c r="T638" s="514"/>
      <c r="U638" s="514"/>
      <c r="V638" s="514"/>
      <c r="W638" s="514"/>
      <c r="X638" s="514"/>
      <c r="Y638" s="514"/>
      <c r="Z638" s="756"/>
      <c r="AA638" s="514"/>
      <c r="AB638" s="514"/>
      <c r="AC638" s="514"/>
      <c r="AD638" s="514"/>
      <c r="AE638" s="774"/>
      <c r="AF638" s="514"/>
      <c r="AG638" s="897"/>
      <c r="AH638" s="890"/>
      <c r="AI638" s="790">
        <f t="shared" si="31"/>
        <v>0</v>
      </c>
      <c r="AJ638" s="521">
        <v>0</v>
      </c>
      <c r="AK638" s="520">
        <f t="shared" si="29"/>
        <v>0</v>
      </c>
      <c r="AL638" s="695"/>
      <c r="AM638" s="669">
        <f t="shared" si="30"/>
        <v>0</v>
      </c>
    </row>
    <row r="639" spans="1:39" s="500" customFormat="1">
      <c r="A639" s="542" t="s">
        <v>1091</v>
      </c>
      <c r="B639" s="542" t="s">
        <v>1423</v>
      </c>
      <c r="C639" s="616"/>
      <c r="D639" s="519"/>
      <c r="E639" s="726"/>
      <c r="F639" s="520"/>
      <c r="G639" s="520"/>
      <c r="H639" s="520"/>
      <c r="I639" s="521"/>
      <c r="J639" s="521"/>
      <c r="K639" s="521"/>
      <c r="L639" s="756"/>
      <c r="M639" s="514"/>
      <c r="N639" s="514"/>
      <c r="O639" s="514"/>
      <c r="P639" s="514"/>
      <c r="Q639" s="514"/>
      <c r="R639" s="514"/>
      <c r="S639" s="756"/>
      <c r="T639" s="514"/>
      <c r="U639" s="514"/>
      <c r="V639" s="514"/>
      <c r="W639" s="514"/>
      <c r="X639" s="514"/>
      <c r="Y639" s="514"/>
      <c r="Z639" s="756"/>
      <c r="AA639" s="514"/>
      <c r="AB639" s="514"/>
      <c r="AC639" s="514"/>
      <c r="AD639" s="514"/>
      <c r="AE639" s="774"/>
      <c r="AF639" s="514"/>
      <c r="AG639" s="897"/>
      <c r="AH639" s="890"/>
      <c r="AI639" s="790">
        <f t="shared" si="31"/>
        <v>0</v>
      </c>
      <c r="AJ639" s="521">
        <v>0</v>
      </c>
      <c r="AK639" s="520">
        <f t="shared" si="29"/>
        <v>0</v>
      </c>
      <c r="AL639" s="695" t="s">
        <v>1736</v>
      </c>
      <c r="AM639" s="669">
        <f t="shared" si="30"/>
        <v>64</v>
      </c>
    </row>
    <row r="640" spans="1:39" s="500" customFormat="1">
      <c r="A640" s="539" t="s">
        <v>1092</v>
      </c>
      <c r="B640" s="539" t="s">
        <v>1424</v>
      </c>
      <c r="C640" s="548" t="s">
        <v>38</v>
      </c>
      <c r="D640" s="519"/>
      <c r="E640" s="726"/>
      <c r="F640" s="520"/>
      <c r="G640" s="520"/>
      <c r="H640" s="520"/>
      <c r="I640" s="521"/>
      <c r="J640" s="521"/>
      <c r="K640" s="521"/>
      <c r="L640" s="756"/>
      <c r="M640" s="514"/>
      <c r="N640" s="514"/>
      <c r="O640" s="514"/>
      <c r="P640" s="514"/>
      <c r="Q640" s="514"/>
      <c r="R640" s="514"/>
      <c r="S640" s="756"/>
      <c r="T640" s="514"/>
      <c r="U640" s="514"/>
      <c r="V640" s="514"/>
      <c r="W640" s="514"/>
      <c r="X640" s="514"/>
      <c r="Y640" s="514"/>
      <c r="Z640" s="756"/>
      <c r="AA640" s="514"/>
      <c r="AB640" s="514"/>
      <c r="AC640" s="514"/>
      <c r="AD640" s="514"/>
      <c r="AE640" s="774"/>
      <c r="AF640" s="514"/>
      <c r="AG640" s="897"/>
      <c r="AH640" s="890"/>
      <c r="AI640" s="790">
        <f t="shared" si="31"/>
        <v>0</v>
      </c>
      <c r="AJ640" s="521">
        <v>0</v>
      </c>
      <c r="AK640" s="520">
        <f t="shared" si="29"/>
        <v>0</v>
      </c>
      <c r="AL640" s="695"/>
      <c r="AM640" s="669">
        <f t="shared" si="30"/>
        <v>0</v>
      </c>
    </row>
    <row r="641" spans="1:39" s="500" customFormat="1">
      <c r="A641" s="542" t="s">
        <v>1093</v>
      </c>
      <c r="B641" s="542" t="s">
        <v>1425</v>
      </c>
      <c r="C641" s="616"/>
      <c r="D641" s="519"/>
      <c r="E641" s="726"/>
      <c r="F641" s="520"/>
      <c r="G641" s="520"/>
      <c r="H641" s="520"/>
      <c r="I641" s="521"/>
      <c r="J641" s="521"/>
      <c r="K641" s="521"/>
      <c r="L641" s="756"/>
      <c r="M641" s="514"/>
      <c r="N641" s="514"/>
      <c r="O641" s="514"/>
      <c r="P641" s="514"/>
      <c r="Q641" s="514"/>
      <c r="R641" s="514"/>
      <c r="S641" s="756"/>
      <c r="T641" s="514"/>
      <c r="U641" s="514"/>
      <c r="V641" s="514"/>
      <c r="W641" s="514"/>
      <c r="X641" s="514"/>
      <c r="Y641" s="514"/>
      <c r="Z641" s="756"/>
      <c r="AA641" s="514"/>
      <c r="AB641" s="514"/>
      <c r="AC641" s="514"/>
      <c r="AD641" s="514"/>
      <c r="AE641" s="774"/>
      <c r="AF641" s="514"/>
      <c r="AG641" s="897"/>
      <c r="AH641" s="890"/>
      <c r="AI641" s="790">
        <f t="shared" si="31"/>
        <v>0</v>
      </c>
      <c r="AJ641" s="521">
        <v>0</v>
      </c>
      <c r="AK641" s="520">
        <f t="shared" si="29"/>
        <v>0</v>
      </c>
      <c r="AL641" s="695" t="s">
        <v>1617</v>
      </c>
      <c r="AM641" s="669">
        <f t="shared" si="30"/>
        <v>6</v>
      </c>
    </row>
    <row r="642" spans="1:39" s="500" customFormat="1">
      <c r="A642" s="539" t="s">
        <v>1094</v>
      </c>
      <c r="B642" s="539" t="s">
        <v>1426</v>
      </c>
      <c r="C642" s="548" t="s">
        <v>1452</v>
      </c>
      <c r="D642" s="519"/>
      <c r="E642" s="726"/>
      <c r="F642" s="520"/>
      <c r="G642" s="520"/>
      <c r="H642" s="520"/>
      <c r="I642" s="521"/>
      <c r="J642" s="521"/>
      <c r="K642" s="521"/>
      <c r="L642" s="756"/>
      <c r="M642" s="514"/>
      <c r="N642" s="514"/>
      <c r="O642" s="514"/>
      <c r="P642" s="514"/>
      <c r="Q642" s="514"/>
      <c r="R642" s="514"/>
      <c r="S642" s="756"/>
      <c r="T642" s="514"/>
      <c r="U642" s="514"/>
      <c r="V642" s="514"/>
      <c r="W642" s="514"/>
      <c r="X642" s="514"/>
      <c r="Y642" s="514"/>
      <c r="Z642" s="756"/>
      <c r="AA642" s="514"/>
      <c r="AB642" s="514"/>
      <c r="AC642" s="514"/>
      <c r="AD642" s="514"/>
      <c r="AE642" s="774"/>
      <c r="AF642" s="514"/>
      <c r="AG642" s="897"/>
      <c r="AH642" s="890"/>
      <c r="AI642" s="790">
        <f t="shared" si="31"/>
        <v>0</v>
      </c>
      <c r="AJ642" s="521">
        <v>0</v>
      </c>
      <c r="AK642" s="520">
        <f t="shared" si="29"/>
        <v>0</v>
      </c>
      <c r="AL642" s="695"/>
      <c r="AM642" s="669">
        <f t="shared" si="30"/>
        <v>0</v>
      </c>
    </row>
    <row r="643" spans="1:39" s="500" customFormat="1">
      <c r="A643" s="542" t="s">
        <v>1095</v>
      </c>
      <c r="B643" s="542" t="s">
        <v>1392</v>
      </c>
      <c r="C643" s="616"/>
      <c r="D643" s="519"/>
      <c r="E643" s="726"/>
      <c r="F643" s="520"/>
      <c r="G643" s="520"/>
      <c r="H643" s="520"/>
      <c r="I643" s="521"/>
      <c r="J643" s="521"/>
      <c r="K643" s="521"/>
      <c r="L643" s="756"/>
      <c r="M643" s="514"/>
      <c r="N643" s="514"/>
      <c r="O643" s="514"/>
      <c r="P643" s="514"/>
      <c r="Q643" s="514"/>
      <c r="R643" s="514"/>
      <c r="S643" s="756"/>
      <c r="T643" s="514"/>
      <c r="U643" s="514"/>
      <c r="V643" s="514"/>
      <c r="W643" s="514"/>
      <c r="X643" s="514"/>
      <c r="Y643" s="514"/>
      <c r="Z643" s="756"/>
      <c r="AA643" s="514"/>
      <c r="AB643" s="514"/>
      <c r="AC643" s="514"/>
      <c r="AD643" s="514"/>
      <c r="AE643" s="774"/>
      <c r="AF643" s="514"/>
      <c r="AG643" s="897"/>
      <c r="AH643" s="890"/>
      <c r="AI643" s="790">
        <f t="shared" si="31"/>
        <v>0</v>
      </c>
      <c r="AJ643" s="521">
        <v>0</v>
      </c>
      <c r="AK643" s="520">
        <f t="shared" si="29"/>
        <v>0</v>
      </c>
      <c r="AL643" s="695" t="s">
        <v>1617</v>
      </c>
      <c r="AM643" s="669">
        <f t="shared" si="30"/>
        <v>6</v>
      </c>
    </row>
    <row r="644" spans="1:39" s="500" customFormat="1">
      <c r="A644" s="539" t="s">
        <v>1096</v>
      </c>
      <c r="B644" s="539" t="s">
        <v>1427</v>
      </c>
      <c r="C644" s="548" t="s">
        <v>36</v>
      </c>
      <c r="D644" s="519"/>
      <c r="E644" s="726"/>
      <c r="F644" s="520"/>
      <c r="G644" s="520"/>
      <c r="H644" s="520"/>
      <c r="I644" s="521"/>
      <c r="J644" s="521"/>
      <c r="K644" s="521"/>
      <c r="L644" s="756"/>
      <c r="M644" s="514"/>
      <c r="N644" s="514"/>
      <c r="O644" s="514"/>
      <c r="P644" s="514"/>
      <c r="Q644" s="514"/>
      <c r="R644" s="514"/>
      <c r="S644" s="756"/>
      <c r="T644" s="514"/>
      <c r="U644" s="514"/>
      <c r="V644" s="514"/>
      <c r="W644" s="514"/>
      <c r="X644" s="514"/>
      <c r="Y644" s="514"/>
      <c r="Z644" s="756"/>
      <c r="AA644" s="514"/>
      <c r="AB644" s="514"/>
      <c r="AC644" s="514"/>
      <c r="AD644" s="514"/>
      <c r="AE644" s="774"/>
      <c r="AF644" s="514"/>
      <c r="AG644" s="897"/>
      <c r="AH644" s="890"/>
      <c r="AI644" s="790">
        <f t="shared" si="31"/>
        <v>0</v>
      </c>
      <c r="AJ644" s="521">
        <v>0</v>
      </c>
      <c r="AK644" s="520">
        <f t="shared" si="29"/>
        <v>0</v>
      </c>
      <c r="AL644" s="695"/>
      <c r="AM644" s="669">
        <f t="shared" si="30"/>
        <v>0</v>
      </c>
    </row>
    <row r="645" spans="1:39" s="500" customFormat="1">
      <c r="A645" s="440" t="s">
        <v>1097</v>
      </c>
      <c r="B645" s="543" t="s">
        <v>1428</v>
      </c>
      <c r="C645" s="616"/>
      <c r="D645" s="519"/>
      <c r="E645" s="726"/>
      <c r="F645" s="520"/>
      <c r="G645" s="520"/>
      <c r="H645" s="520"/>
      <c r="I645" s="521"/>
      <c r="J645" s="521"/>
      <c r="K645" s="521"/>
      <c r="L645" s="756"/>
      <c r="M645" s="514"/>
      <c r="N645" s="514"/>
      <c r="O645" s="514"/>
      <c r="P645" s="514"/>
      <c r="Q645" s="514"/>
      <c r="R645" s="514"/>
      <c r="S645" s="756"/>
      <c r="T645" s="514"/>
      <c r="U645" s="514"/>
      <c r="V645" s="514"/>
      <c r="W645" s="514"/>
      <c r="X645" s="514"/>
      <c r="Y645" s="514"/>
      <c r="Z645" s="756"/>
      <c r="AA645" s="514"/>
      <c r="AB645" s="514"/>
      <c r="AC645" s="514"/>
      <c r="AD645" s="514"/>
      <c r="AE645" s="774"/>
      <c r="AF645" s="514"/>
      <c r="AG645" s="897"/>
      <c r="AH645" s="890"/>
      <c r="AI645" s="790">
        <f t="shared" si="31"/>
        <v>0</v>
      </c>
      <c r="AJ645" s="521">
        <v>0</v>
      </c>
      <c r="AK645" s="520">
        <f t="shared" si="29"/>
        <v>0</v>
      </c>
      <c r="AL645" s="695"/>
      <c r="AM645" s="669">
        <f t="shared" si="30"/>
        <v>0</v>
      </c>
    </row>
    <row r="646" spans="1:39" s="500" customFormat="1">
      <c r="A646" s="542" t="s">
        <v>1098</v>
      </c>
      <c r="B646" s="542" t="s">
        <v>1419</v>
      </c>
      <c r="C646" s="616"/>
      <c r="D646" s="519"/>
      <c r="E646" s="726"/>
      <c r="F646" s="520"/>
      <c r="G646" s="520"/>
      <c r="H646" s="520"/>
      <c r="I646" s="521"/>
      <c r="J646" s="521"/>
      <c r="K646" s="521"/>
      <c r="L646" s="756"/>
      <c r="M646" s="514"/>
      <c r="N646" s="514"/>
      <c r="O646" s="514"/>
      <c r="P646" s="514"/>
      <c r="Q646" s="514"/>
      <c r="R646" s="514"/>
      <c r="S646" s="756"/>
      <c r="T646" s="514"/>
      <c r="U646" s="514"/>
      <c r="V646" s="514"/>
      <c r="W646" s="514"/>
      <c r="X646" s="514"/>
      <c r="Y646" s="514"/>
      <c r="Z646" s="756"/>
      <c r="AA646" s="514"/>
      <c r="AB646" s="514"/>
      <c r="AC646" s="514"/>
      <c r="AD646" s="514"/>
      <c r="AE646" s="774"/>
      <c r="AF646" s="514"/>
      <c r="AG646" s="897"/>
      <c r="AH646" s="890"/>
      <c r="AI646" s="790">
        <f t="shared" si="31"/>
        <v>0</v>
      </c>
      <c r="AJ646" s="521">
        <v>0</v>
      </c>
      <c r="AK646" s="520">
        <f t="shared" si="29"/>
        <v>0</v>
      </c>
      <c r="AL646" s="695" t="s">
        <v>1769</v>
      </c>
      <c r="AM646" s="669">
        <f t="shared" si="30"/>
        <v>56</v>
      </c>
    </row>
    <row r="647" spans="1:39" s="500" customFormat="1">
      <c r="A647" s="539" t="s">
        <v>1099</v>
      </c>
      <c r="B647" s="539" t="s">
        <v>1420</v>
      </c>
      <c r="C647" s="548" t="s">
        <v>38</v>
      </c>
      <c r="D647" s="519"/>
      <c r="E647" s="726"/>
      <c r="F647" s="520"/>
      <c r="G647" s="520"/>
      <c r="H647" s="520"/>
      <c r="I647" s="521"/>
      <c r="J647" s="521"/>
      <c r="K647" s="521"/>
      <c r="L647" s="756"/>
      <c r="M647" s="514"/>
      <c r="N647" s="514"/>
      <c r="O647" s="514"/>
      <c r="P647" s="514"/>
      <c r="Q647" s="514"/>
      <c r="R647" s="514"/>
      <c r="S647" s="756"/>
      <c r="T647" s="514"/>
      <c r="U647" s="514"/>
      <c r="V647" s="514"/>
      <c r="W647" s="514"/>
      <c r="X647" s="514"/>
      <c r="Y647" s="514"/>
      <c r="Z647" s="756"/>
      <c r="AA647" s="514"/>
      <c r="AB647" s="514"/>
      <c r="AC647" s="514"/>
      <c r="AD647" s="514"/>
      <c r="AE647" s="774"/>
      <c r="AF647" s="514"/>
      <c r="AG647" s="897"/>
      <c r="AH647" s="890"/>
      <c r="AI647" s="790">
        <f t="shared" si="31"/>
        <v>0</v>
      </c>
      <c r="AJ647" s="521">
        <v>0</v>
      </c>
      <c r="AK647" s="520">
        <f t="shared" si="29"/>
        <v>0</v>
      </c>
      <c r="AL647" s="695"/>
      <c r="AM647" s="669">
        <f t="shared" si="30"/>
        <v>0</v>
      </c>
    </row>
    <row r="648" spans="1:39" s="500" customFormat="1">
      <c r="A648" s="542" t="s">
        <v>1100</v>
      </c>
      <c r="B648" s="542" t="s">
        <v>1421</v>
      </c>
      <c r="C648" s="616"/>
      <c r="D648" s="519"/>
      <c r="E648" s="726"/>
      <c r="F648" s="520"/>
      <c r="G648" s="520"/>
      <c r="H648" s="520"/>
      <c r="I648" s="521"/>
      <c r="J648" s="521"/>
      <c r="K648" s="521"/>
      <c r="L648" s="756"/>
      <c r="M648" s="514"/>
      <c r="N648" s="514"/>
      <c r="O648" s="514"/>
      <c r="P648" s="514"/>
      <c r="Q648" s="514"/>
      <c r="R648" s="514"/>
      <c r="S648" s="756"/>
      <c r="T648" s="514"/>
      <c r="U648" s="514"/>
      <c r="V648" s="514"/>
      <c r="W648" s="514"/>
      <c r="X648" s="514"/>
      <c r="Y648" s="514"/>
      <c r="Z648" s="756"/>
      <c r="AA648" s="514"/>
      <c r="AB648" s="514"/>
      <c r="AC648" s="514"/>
      <c r="AD648" s="514"/>
      <c r="AE648" s="774"/>
      <c r="AF648" s="514"/>
      <c r="AG648" s="897"/>
      <c r="AH648" s="890"/>
      <c r="AI648" s="790">
        <f t="shared" si="31"/>
        <v>0</v>
      </c>
      <c r="AJ648" s="521">
        <v>0</v>
      </c>
      <c r="AK648" s="520">
        <f t="shared" si="29"/>
        <v>0</v>
      </c>
      <c r="AL648" s="695" t="s">
        <v>1770</v>
      </c>
      <c r="AM648" s="669">
        <f t="shared" si="30"/>
        <v>80</v>
      </c>
    </row>
    <row r="649" spans="1:39" s="500" customFormat="1">
      <c r="A649" s="539" t="s">
        <v>1101</v>
      </c>
      <c r="B649" s="539" t="s">
        <v>1429</v>
      </c>
      <c r="C649" s="548" t="s">
        <v>38</v>
      </c>
      <c r="D649" s="519"/>
      <c r="E649" s="726"/>
      <c r="F649" s="520"/>
      <c r="G649" s="520"/>
      <c r="H649" s="520"/>
      <c r="I649" s="521"/>
      <c r="J649" s="521"/>
      <c r="K649" s="521"/>
      <c r="L649" s="756"/>
      <c r="M649" s="514"/>
      <c r="N649" s="514"/>
      <c r="O649" s="514"/>
      <c r="P649" s="514"/>
      <c r="Q649" s="514"/>
      <c r="R649" s="514"/>
      <c r="S649" s="756"/>
      <c r="T649" s="514"/>
      <c r="U649" s="514"/>
      <c r="V649" s="514"/>
      <c r="W649" s="514"/>
      <c r="X649" s="514"/>
      <c r="Y649" s="514"/>
      <c r="Z649" s="756"/>
      <c r="AA649" s="514"/>
      <c r="AB649" s="514"/>
      <c r="AC649" s="514"/>
      <c r="AD649" s="514"/>
      <c r="AE649" s="774"/>
      <c r="AF649" s="514"/>
      <c r="AG649" s="897"/>
      <c r="AH649" s="890"/>
      <c r="AI649" s="790">
        <f t="shared" si="31"/>
        <v>0</v>
      </c>
      <c r="AJ649" s="521">
        <v>0</v>
      </c>
      <c r="AK649" s="520">
        <f t="shared" si="29"/>
        <v>0</v>
      </c>
      <c r="AL649" s="695"/>
      <c r="AM649" s="669">
        <f t="shared" si="30"/>
        <v>0</v>
      </c>
    </row>
    <row r="650" spans="1:39" s="500" customFormat="1">
      <c r="A650" s="542" t="s">
        <v>1102</v>
      </c>
      <c r="B650" s="542" t="s">
        <v>1423</v>
      </c>
      <c r="C650" s="616"/>
      <c r="D650" s="519"/>
      <c r="E650" s="726"/>
      <c r="F650" s="520"/>
      <c r="G650" s="520"/>
      <c r="H650" s="520"/>
      <c r="I650" s="521"/>
      <c r="J650" s="521"/>
      <c r="K650" s="521"/>
      <c r="L650" s="756"/>
      <c r="M650" s="514"/>
      <c r="N650" s="514"/>
      <c r="O650" s="514"/>
      <c r="P650" s="514"/>
      <c r="Q650" s="514"/>
      <c r="R650" s="514"/>
      <c r="S650" s="756"/>
      <c r="T650" s="514"/>
      <c r="U650" s="514"/>
      <c r="V650" s="514"/>
      <c r="W650" s="514"/>
      <c r="X650" s="514"/>
      <c r="Y650" s="514"/>
      <c r="Z650" s="756"/>
      <c r="AA650" s="514"/>
      <c r="AB650" s="514"/>
      <c r="AC650" s="514"/>
      <c r="AD650" s="514"/>
      <c r="AE650" s="774"/>
      <c r="AF650" s="514"/>
      <c r="AG650" s="897"/>
      <c r="AH650" s="890"/>
      <c r="AI650" s="790">
        <f t="shared" si="31"/>
        <v>0</v>
      </c>
      <c r="AJ650" s="521">
        <v>0</v>
      </c>
      <c r="AK650" s="520">
        <f t="shared" si="29"/>
        <v>0</v>
      </c>
      <c r="AL650" s="695" t="s">
        <v>1769</v>
      </c>
      <c r="AM650" s="669">
        <f t="shared" si="30"/>
        <v>56</v>
      </c>
    </row>
    <row r="651" spans="1:39" s="500" customFormat="1">
      <c r="A651" s="539" t="s">
        <v>1103</v>
      </c>
      <c r="B651" s="539" t="s">
        <v>1430</v>
      </c>
      <c r="C651" s="548" t="s">
        <v>38</v>
      </c>
      <c r="D651" s="519"/>
      <c r="E651" s="726"/>
      <c r="F651" s="520"/>
      <c r="G651" s="520"/>
      <c r="H651" s="520"/>
      <c r="I651" s="521"/>
      <c r="J651" s="521"/>
      <c r="K651" s="521"/>
      <c r="L651" s="756"/>
      <c r="M651" s="514"/>
      <c r="N651" s="514"/>
      <c r="O651" s="514"/>
      <c r="P651" s="514"/>
      <c r="Q651" s="514"/>
      <c r="R651" s="514"/>
      <c r="S651" s="756"/>
      <c r="T651" s="514"/>
      <c r="U651" s="514"/>
      <c r="V651" s="514"/>
      <c r="W651" s="514"/>
      <c r="X651" s="514"/>
      <c r="Y651" s="514"/>
      <c r="Z651" s="756"/>
      <c r="AA651" s="514"/>
      <c r="AB651" s="514"/>
      <c r="AC651" s="514"/>
      <c r="AD651" s="514"/>
      <c r="AE651" s="774"/>
      <c r="AF651" s="514"/>
      <c r="AG651" s="897"/>
      <c r="AH651" s="890"/>
      <c r="AI651" s="790">
        <f t="shared" si="31"/>
        <v>0</v>
      </c>
      <c r="AJ651" s="521">
        <v>0</v>
      </c>
      <c r="AK651" s="520">
        <f t="shared" si="29"/>
        <v>0</v>
      </c>
      <c r="AL651" s="695"/>
      <c r="AM651" s="669">
        <f t="shared" si="30"/>
        <v>0</v>
      </c>
    </row>
    <row r="652" spans="1:39" s="500" customFormat="1">
      <c r="A652" s="542" t="s">
        <v>1104</v>
      </c>
      <c r="B652" s="542" t="s">
        <v>1431</v>
      </c>
      <c r="C652" s="616"/>
      <c r="D652" s="519"/>
      <c r="E652" s="726"/>
      <c r="F652" s="520"/>
      <c r="G652" s="520"/>
      <c r="H652" s="520"/>
      <c r="I652" s="521"/>
      <c r="J652" s="521"/>
      <c r="K652" s="521"/>
      <c r="L652" s="756"/>
      <c r="M652" s="514"/>
      <c r="N652" s="514"/>
      <c r="O652" s="514"/>
      <c r="P652" s="514"/>
      <c r="Q652" s="514"/>
      <c r="R652" s="514"/>
      <c r="S652" s="756"/>
      <c r="T652" s="514"/>
      <c r="U652" s="514"/>
      <c r="V652" s="514"/>
      <c r="W652" s="514"/>
      <c r="X652" s="514"/>
      <c r="Y652" s="514"/>
      <c r="Z652" s="756"/>
      <c r="AA652" s="514"/>
      <c r="AB652" s="514"/>
      <c r="AC652" s="514"/>
      <c r="AD652" s="514"/>
      <c r="AE652" s="774"/>
      <c r="AF652" s="514"/>
      <c r="AG652" s="897"/>
      <c r="AH652" s="890"/>
      <c r="AI652" s="790">
        <f t="shared" si="31"/>
        <v>0</v>
      </c>
      <c r="AJ652" s="521">
        <v>0</v>
      </c>
      <c r="AK652" s="520">
        <f t="shared" si="29"/>
        <v>0</v>
      </c>
      <c r="AL652" s="695" t="s">
        <v>1617</v>
      </c>
      <c r="AM652" s="669">
        <f t="shared" si="30"/>
        <v>6</v>
      </c>
    </row>
    <row r="653" spans="1:39" s="500" customFormat="1">
      <c r="A653" s="539" t="s">
        <v>1105</v>
      </c>
      <c r="B653" s="539" t="s">
        <v>1432</v>
      </c>
      <c r="C653" s="548" t="s">
        <v>36</v>
      </c>
      <c r="D653" s="519"/>
      <c r="E653" s="726"/>
      <c r="F653" s="520"/>
      <c r="G653" s="520"/>
      <c r="H653" s="520"/>
      <c r="I653" s="521"/>
      <c r="J653" s="521"/>
      <c r="K653" s="521"/>
      <c r="L653" s="756"/>
      <c r="M653" s="514"/>
      <c r="N653" s="514"/>
      <c r="O653" s="514"/>
      <c r="P653" s="514"/>
      <c r="Q653" s="514"/>
      <c r="R653" s="514"/>
      <c r="S653" s="756"/>
      <c r="T653" s="514"/>
      <c r="U653" s="514"/>
      <c r="V653" s="514"/>
      <c r="W653" s="514"/>
      <c r="X653" s="514"/>
      <c r="Y653" s="514"/>
      <c r="Z653" s="756"/>
      <c r="AA653" s="514"/>
      <c r="AB653" s="514"/>
      <c r="AC653" s="514"/>
      <c r="AD653" s="514"/>
      <c r="AE653" s="774"/>
      <c r="AF653" s="514"/>
      <c r="AG653" s="897"/>
      <c r="AH653" s="890"/>
      <c r="AI653" s="790">
        <f t="shared" si="31"/>
        <v>0</v>
      </c>
      <c r="AJ653" s="521">
        <v>0</v>
      </c>
      <c r="AK653" s="520">
        <f t="shared" si="29"/>
        <v>0</v>
      </c>
      <c r="AL653" s="695"/>
      <c r="AM653" s="669">
        <f t="shared" si="30"/>
        <v>0</v>
      </c>
    </row>
    <row r="654" spans="1:39" s="500" customFormat="1">
      <c r="A654" s="542" t="s">
        <v>1106</v>
      </c>
      <c r="B654" s="542" t="s">
        <v>1433</v>
      </c>
      <c r="C654" s="616"/>
      <c r="D654" s="519"/>
      <c r="E654" s="726"/>
      <c r="F654" s="520"/>
      <c r="G654" s="520"/>
      <c r="H654" s="520"/>
      <c r="I654" s="521"/>
      <c r="J654" s="521"/>
      <c r="K654" s="521"/>
      <c r="L654" s="756"/>
      <c r="M654" s="514"/>
      <c r="N654" s="514"/>
      <c r="O654" s="514"/>
      <c r="P654" s="514"/>
      <c r="Q654" s="514"/>
      <c r="R654" s="514"/>
      <c r="S654" s="756"/>
      <c r="T654" s="514"/>
      <c r="U654" s="514"/>
      <c r="V654" s="514"/>
      <c r="W654" s="514"/>
      <c r="X654" s="514"/>
      <c r="Y654" s="514"/>
      <c r="Z654" s="756"/>
      <c r="AA654" s="514"/>
      <c r="AB654" s="514"/>
      <c r="AC654" s="514"/>
      <c r="AD654" s="514"/>
      <c r="AE654" s="774"/>
      <c r="AF654" s="514"/>
      <c r="AG654" s="897"/>
      <c r="AH654" s="890"/>
      <c r="AI654" s="790">
        <f t="shared" si="31"/>
        <v>0</v>
      </c>
      <c r="AJ654" s="521">
        <v>0</v>
      </c>
      <c r="AK654" s="520">
        <f t="shared" ref="AK654:AK679" si="32">AI654+AJ654</f>
        <v>0</v>
      </c>
      <c r="AL654" s="695" t="s">
        <v>1617</v>
      </c>
      <c r="AM654" s="669">
        <f t="shared" ref="AM654:AM680" si="33">AL654-AK654</f>
        <v>6</v>
      </c>
    </row>
    <row r="655" spans="1:39" s="500" customFormat="1">
      <c r="A655" s="539" t="s">
        <v>1107</v>
      </c>
      <c r="B655" s="539" t="s">
        <v>1434</v>
      </c>
      <c r="C655" s="548" t="s">
        <v>1452</v>
      </c>
      <c r="D655" s="519"/>
      <c r="E655" s="726"/>
      <c r="F655" s="520"/>
      <c r="G655" s="520"/>
      <c r="H655" s="520"/>
      <c r="I655" s="521"/>
      <c r="J655" s="521"/>
      <c r="K655" s="521"/>
      <c r="L655" s="756"/>
      <c r="M655" s="514"/>
      <c r="N655" s="514"/>
      <c r="O655" s="514"/>
      <c r="P655" s="514"/>
      <c r="Q655" s="514"/>
      <c r="R655" s="514"/>
      <c r="S655" s="756"/>
      <c r="T655" s="514"/>
      <c r="U655" s="514"/>
      <c r="V655" s="514"/>
      <c r="W655" s="514"/>
      <c r="X655" s="514"/>
      <c r="Y655" s="514"/>
      <c r="Z655" s="756"/>
      <c r="AA655" s="514"/>
      <c r="AB655" s="514"/>
      <c r="AC655" s="514"/>
      <c r="AD655" s="514"/>
      <c r="AE655" s="774"/>
      <c r="AF655" s="514"/>
      <c r="AG655" s="897"/>
      <c r="AH655" s="890"/>
      <c r="AI655" s="790">
        <f t="shared" si="31"/>
        <v>0</v>
      </c>
      <c r="AJ655" s="521">
        <v>0</v>
      </c>
      <c r="AK655" s="520">
        <f t="shared" si="32"/>
        <v>0</v>
      </c>
      <c r="AL655" s="695"/>
      <c r="AM655" s="669">
        <f t="shared" si="33"/>
        <v>0</v>
      </c>
    </row>
    <row r="656" spans="1:39" s="500" customFormat="1">
      <c r="A656" s="542" t="s">
        <v>1108</v>
      </c>
      <c r="B656" s="542" t="s">
        <v>1416</v>
      </c>
      <c r="C656" s="616"/>
      <c r="D656" s="519"/>
      <c r="E656" s="726"/>
      <c r="F656" s="520"/>
      <c r="G656" s="520"/>
      <c r="H656" s="520"/>
      <c r="I656" s="521"/>
      <c r="J656" s="521"/>
      <c r="K656" s="521"/>
      <c r="L656" s="756"/>
      <c r="M656" s="514"/>
      <c r="N656" s="514"/>
      <c r="O656" s="514"/>
      <c r="P656" s="514"/>
      <c r="Q656" s="514"/>
      <c r="R656" s="514"/>
      <c r="S656" s="756"/>
      <c r="T656" s="514"/>
      <c r="U656" s="514"/>
      <c r="V656" s="514"/>
      <c r="W656" s="514"/>
      <c r="X656" s="514"/>
      <c r="Y656" s="514"/>
      <c r="Z656" s="756"/>
      <c r="AA656" s="514"/>
      <c r="AB656" s="514"/>
      <c r="AC656" s="514"/>
      <c r="AD656" s="514"/>
      <c r="AE656" s="774"/>
      <c r="AF656" s="514"/>
      <c r="AG656" s="897"/>
      <c r="AH656" s="890"/>
      <c r="AI656" s="790">
        <f t="shared" si="31"/>
        <v>0</v>
      </c>
      <c r="AJ656" s="521">
        <v>0</v>
      </c>
      <c r="AK656" s="520">
        <f t="shared" si="32"/>
        <v>0</v>
      </c>
      <c r="AL656" s="695" t="s">
        <v>1617</v>
      </c>
      <c r="AM656" s="669">
        <f t="shared" si="33"/>
        <v>6</v>
      </c>
    </row>
    <row r="657" spans="1:39" s="500" customFormat="1">
      <c r="A657" s="539" t="s">
        <v>1109</v>
      </c>
      <c r="B657" s="539" t="s">
        <v>1435</v>
      </c>
      <c r="C657" s="548" t="s">
        <v>36</v>
      </c>
      <c r="D657" s="519"/>
      <c r="E657" s="726"/>
      <c r="F657" s="520"/>
      <c r="G657" s="520"/>
      <c r="H657" s="520"/>
      <c r="I657" s="521"/>
      <c r="J657" s="521"/>
      <c r="K657" s="521"/>
      <c r="L657" s="756"/>
      <c r="M657" s="514"/>
      <c r="N657" s="514"/>
      <c r="O657" s="514"/>
      <c r="P657" s="514"/>
      <c r="Q657" s="514"/>
      <c r="R657" s="514"/>
      <c r="S657" s="756"/>
      <c r="T657" s="514"/>
      <c r="U657" s="514"/>
      <c r="V657" s="514"/>
      <c r="W657" s="514"/>
      <c r="X657" s="514"/>
      <c r="Y657" s="514"/>
      <c r="Z657" s="756"/>
      <c r="AA657" s="514"/>
      <c r="AB657" s="514"/>
      <c r="AC657" s="514"/>
      <c r="AD657" s="514"/>
      <c r="AE657" s="774"/>
      <c r="AF657" s="514"/>
      <c r="AG657" s="897"/>
      <c r="AH657" s="890"/>
      <c r="AI657" s="790">
        <f t="shared" si="31"/>
        <v>0</v>
      </c>
      <c r="AJ657" s="521">
        <v>0</v>
      </c>
      <c r="AK657" s="520">
        <f t="shared" si="32"/>
        <v>0</v>
      </c>
      <c r="AL657" s="695"/>
      <c r="AM657" s="669">
        <f t="shared" si="33"/>
        <v>0</v>
      </c>
    </row>
    <row r="658" spans="1:39" s="500" customFormat="1">
      <c r="A658" s="542" t="s">
        <v>1110</v>
      </c>
      <c r="B658" s="542" t="s">
        <v>1425</v>
      </c>
      <c r="C658" s="616"/>
      <c r="D658" s="519"/>
      <c r="E658" s="726"/>
      <c r="F658" s="520"/>
      <c r="G658" s="520"/>
      <c r="H658" s="520"/>
      <c r="I658" s="521"/>
      <c r="J658" s="521"/>
      <c r="K658" s="521"/>
      <c r="L658" s="756"/>
      <c r="M658" s="514"/>
      <c r="N658" s="514"/>
      <c r="O658" s="514"/>
      <c r="P658" s="514"/>
      <c r="Q658" s="514"/>
      <c r="R658" s="514"/>
      <c r="S658" s="756"/>
      <c r="T658" s="514"/>
      <c r="U658" s="514"/>
      <c r="V658" s="514"/>
      <c r="W658" s="514"/>
      <c r="X658" s="514"/>
      <c r="Y658" s="514"/>
      <c r="Z658" s="756"/>
      <c r="AA658" s="514"/>
      <c r="AB658" s="514"/>
      <c r="AC658" s="514"/>
      <c r="AD658" s="514"/>
      <c r="AE658" s="774"/>
      <c r="AF658" s="514"/>
      <c r="AG658" s="897"/>
      <c r="AH658" s="890"/>
      <c r="AI658" s="790">
        <f t="shared" si="31"/>
        <v>0</v>
      </c>
      <c r="AJ658" s="521">
        <v>0</v>
      </c>
      <c r="AK658" s="520">
        <f t="shared" si="32"/>
        <v>0</v>
      </c>
      <c r="AL658" s="695" t="s">
        <v>1617</v>
      </c>
      <c r="AM658" s="669">
        <f t="shared" si="33"/>
        <v>6</v>
      </c>
    </row>
    <row r="659" spans="1:39" s="500" customFormat="1">
      <c r="A659" s="539" t="s">
        <v>1111</v>
      </c>
      <c r="B659" s="539" t="s">
        <v>1436</v>
      </c>
      <c r="C659" s="548" t="s">
        <v>1452</v>
      </c>
      <c r="D659" s="519"/>
      <c r="E659" s="726"/>
      <c r="F659" s="520"/>
      <c r="G659" s="520"/>
      <c r="H659" s="520"/>
      <c r="I659" s="521"/>
      <c r="J659" s="521"/>
      <c r="K659" s="521"/>
      <c r="L659" s="756"/>
      <c r="M659" s="514"/>
      <c r="N659" s="514"/>
      <c r="O659" s="514"/>
      <c r="P659" s="514"/>
      <c r="Q659" s="514"/>
      <c r="R659" s="514"/>
      <c r="S659" s="756"/>
      <c r="T659" s="514"/>
      <c r="U659" s="514"/>
      <c r="V659" s="514"/>
      <c r="W659" s="514"/>
      <c r="X659" s="514"/>
      <c r="Y659" s="514"/>
      <c r="Z659" s="756"/>
      <c r="AA659" s="514"/>
      <c r="AB659" s="514"/>
      <c r="AC659" s="514"/>
      <c r="AD659" s="514"/>
      <c r="AE659" s="774"/>
      <c r="AF659" s="514"/>
      <c r="AG659" s="897"/>
      <c r="AH659" s="890"/>
      <c r="AI659" s="790">
        <f t="shared" si="31"/>
        <v>0</v>
      </c>
      <c r="AJ659" s="521">
        <v>0</v>
      </c>
      <c r="AK659" s="520">
        <f t="shared" si="32"/>
        <v>0</v>
      </c>
      <c r="AL659" s="695"/>
      <c r="AM659" s="669">
        <f t="shared" si="33"/>
        <v>0</v>
      </c>
    </row>
    <row r="660" spans="1:39" s="500" customFormat="1">
      <c r="A660" s="542" t="s">
        <v>1112</v>
      </c>
      <c r="B660" s="542" t="s">
        <v>1392</v>
      </c>
      <c r="C660" s="616"/>
      <c r="D660" s="519"/>
      <c r="E660" s="726"/>
      <c r="F660" s="520"/>
      <c r="G660" s="520"/>
      <c r="H660" s="520"/>
      <c r="I660" s="521"/>
      <c r="J660" s="521"/>
      <c r="K660" s="521"/>
      <c r="L660" s="756"/>
      <c r="M660" s="514"/>
      <c r="N660" s="514"/>
      <c r="O660" s="514"/>
      <c r="P660" s="514"/>
      <c r="Q660" s="514"/>
      <c r="R660" s="514"/>
      <c r="S660" s="756"/>
      <c r="T660" s="514"/>
      <c r="U660" s="514"/>
      <c r="V660" s="514"/>
      <c r="W660" s="514"/>
      <c r="X660" s="514"/>
      <c r="Y660" s="514"/>
      <c r="Z660" s="756"/>
      <c r="AA660" s="514"/>
      <c r="AB660" s="514"/>
      <c r="AC660" s="514"/>
      <c r="AD660" s="514"/>
      <c r="AE660" s="774"/>
      <c r="AF660" s="514"/>
      <c r="AG660" s="897"/>
      <c r="AH660" s="890"/>
      <c r="AI660" s="790">
        <f t="shared" si="31"/>
        <v>0</v>
      </c>
      <c r="AJ660" s="521">
        <v>0</v>
      </c>
      <c r="AK660" s="520">
        <f t="shared" si="32"/>
        <v>0</v>
      </c>
      <c r="AL660" s="695" t="s">
        <v>1617</v>
      </c>
      <c r="AM660" s="669">
        <f t="shared" si="33"/>
        <v>6</v>
      </c>
    </row>
    <row r="661" spans="1:39" s="500" customFormat="1">
      <c r="A661" s="539" t="s">
        <v>1113</v>
      </c>
      <c r="B661" s="539" t="s">
        <v>1437</v>
      </c>
      <c r="C661" s="548" t="s">
        <v>36</v>
      </c>
      <c r="D661" s="519"/>
      <c r="E661" s="726"/>
      <c r="F661" s="520"/>
      <c r="G661" s="520"/>
      <c r="H661" s="520"/>
      <c r="I661" s="521"/>
      <c r="J661" s="521"/>
      <c r="K661" s="521"/>
      <c r="L661" s="756"/>
      <c r="M661" s="514"/>
      <c r="N661" s="514"/>
      <c r="O661" s="514"/>
      <c r="P661" s="514"/>
      <c r="Q661" s="514"/>
      <c r="R661" s="514"/>
      <c r="S661" s="756"/>
      <c r="T661" s="514"/>
      <c r="U661" s="514"/>
      <c r="V661" s="514"/>
      <c r="W661" s="514"/>
      <c r="X661" s="514"/>
      <c r="Y661" s="514"/>
      <c r="Z661" s="756"/>
      <c r="AA661" s="514"/>
      <c r="AB661" s="514"/>
      <c r="AC661" s="514"/>
      <c r="AD661" s="514"/>
      <c r="AE661" s="774"/>
      <c r="AF661" s="514"/>
      <c r="AG661" s="897"/>
      <c r="AH661" s="890"/>
      <c r="AI661" s="790">
        <f t="shared" si="31"/>
        <v>0</v>
      </c>
      <c r="AJ661" s="521">
        <v>0</v>
      </c>
      <c r="AK661" s="520">
        <f t="shared" si="32"/>
        <v>0</v>
      </c>
      <c r="AL661" s="695"/>
      <c r="AM661" s="669">
        <f t="shared" si="33"/>
        <v>0</v>
      </c>
    </row>
    <row r="662" spans="1:39" s="500" customFormat="1">
      <c r="A662" s="440" t="s">
        <v>1114</v>
      </c>
      <c r="B662" s="543" t="s">
        <v>1438</v>
      </c>
      <c r="C662" s="616"/>
      <c r="D662" s="519"/>
      <c r="E662" s="726"/>
      <c r="F662" s="520"/>
      <c r="G662" s="520"/>
      <c r="H662" s="520"/>
      <c r="I662" s="521"/>
      <c r="J662" s="521"/>
      <c r="K662" s="521"/>
      <c r="L662" s="756"/>
      <c r="M662" s="514"/>
      <c r="N662" s="514"/>
      <c r="O662" s="514"/>
      <c r="P662" s="514"/>
      <c r="Q662" s="514"/>
      <c r="R662" s="514"/>
      <c r="S662" s="756"/>
      <c r="T662" s="514"/>
      <c r="U662" s="514"/>
      <c r="V662" s="514"/>
      <c r="W662" s="514"/>
      <c r="X662" s="514"/>
      <c r="Y662" s="514"/>
      <c r="Z662" s="756"/>
      <c r="AA662" s="514"/>
      <c r="AB662" s="514"/>
      <c r="AC662" s="514"/>
      <c r="AD662" s="514"/>
      <c r="AE662" s="774"/>
      <c r="AF662" s="514"/>
      <c r="AG662" s="897"/>
      <c r="AH662" s="890"/>
      <c r="AI662" s="790">
        <f t="shared" si="31"/>
        <v>0</v>
      </c>
      <c r="AJ662" s="521">
        <v>0</v>
      </c>
      <c r="AK662" s="520">
        <f t="shared" si="32"/>
        <v>0</v>
      </c>
      <c r="AL662" s="695"/>
      <c r="AM662" s="669">
        <f t="shared" si="33"/>
        <v>0</v>
      </c>
    </row>
    <row r="663" spans="1:39" s="500" customFormat="1">
      <c r="A663" s="542" t="s">
        <v>1115</v>
      </c>
      <c r="B663" s="542" t="s">
        <v>1439</v>
      </c>
      <c r="C663" s="616"/>
      <c r="D663" s="519"/>
      <c r="E663" s="726"/>
      <c r="F663" s="520"/>
      <c r="G663" s="520"/>
      <c r="H663" s="520"/>
      <c r="I663" s="521"/>
      <c r="J663" s="521"/>
      <c r="K663" s="521"/>
      <c r="L663" s="756"/>
      <c r="M663" s="514"/>
      <c r="N663" s="514"/>
      <c r="O663" s="514"/>
      <c r="P663" s="514"/>
      <c r="Q663" s="514"/>
      <c r="R663" s="514"/>
      <c r="S663" s="756"/>
      <c r="T663" s="514"/>
      <c r="U663" s="514"/>
      <c r="V663" s="514"/>
      <c r="W663" s="514"/>
      <c r="X663" s="514"/>
      <c r="Y663" s="514"/>
      <c r="Z663" s="756"/>
      <c r="AA663" s="514"/>
      <c r="AB663" s="514"/>
      <c r="AC663" s="514"/>
      <c r="AD663" s="514"/>
      <c r="AE663" s="774"/>
      <c r="AF663" s="514"/>
      <c r="AG663" s="897"/>
      <c r="AH663" s="890"/>
      <c r="AI663" s="790">
        <f t="shared" si="31"/>
        <v>0</v>
      </c>
      <c r="AJ663" s="521">
        <v>0</v>
      </c>
      <c r="AK663" s="520">
        <f t="shared" si="32"/>
        <v>0</v>
      </c>
      <c r="AL663" s="695" t="s">
        <v>1455</v>
      </c>
      <c r="AM663" s="669">
        <f t="shared" si="33"/>
        <v>1</v>
      </c>
    </row>
    <row r="664" spans="1:39" s="500" customFormat="1">
      <c r="A664" s="539" t="s">
        <v>1116</v>
      </c>
      <c r="B664" s="539" t="s">
        <v>1440</v>
      </c>
      <c r="C664" s="548" t="s">
        <v>1453</v>
      </c>
      <c r="D664" s="519"/>
      <c r="E664" s="726"/>
      <c r="F664" s="520"/>
      <c r="G664" s="520"/>
      <c r="H664" s="520"/>
      <c r="I664" s="521"/>
      <c r="J664" s="521"/>
      <c r="K664" s="521"/>
      <c r="L664" s="756"/>
      <c r="M664" s="514"/>
      <c r="N664" s="514"/>
      <c r="O664" s="514"/>
      <c r="P664" s="514"/>
      <c r="Q664" s="514"/>
      <c r="R664" s="514"/>
      <c r="S664" s="756"/>
      <c r="T664" s="514"/>
      <c r="U664" s="514"/>
      <c r="V664" s="514"/>
      <c r="W664" s="514"/>
      <c r="X664" s="514"/>
      <c r="Y664" s="514"/>
      <c r="Z664" s="756"/>
      <c r="AA664" s="514"/>
      <c r="AB664" s="514"/>
      <c r="AC664" s="514"/>
      <c r="AD664" s="514"/>
      <c r="AE664" s="774"/>
      <c r="AF664" s="514"/>
      <c r="AG664" s="897"/>
      <c r="AH664" s="890"/>
      <c r="AI664" s="790">
        <f t="shared" si="31"/>
        <v>0</v>
      </c>
      <c r="AJ664" s="521">
        <v>0</v>
      </c>
      <c r="AK664" s="520">
        <f t="shared" si="32"/>
        <v>0</v>
      </c>
      <c r="AL664" s="695"/>
      <c r="AM664" s="669">
        <f t="shared" si="33"/>
        <v>0</v>
      </c>
    </row>
    <row r="665" spans="1:39" s="500" customFormat="1">
      <c r="A665" s="542" t="s">
        <v>1117</v>
      </c>
      <c r="B665" s="542" t="s">
        <v>1441</v>
      </c>
      <c r="C665" s="616"/>
      <c r="D665" s="519"/>
      <c r="E665" s="726"/>
      <c r="F665" s="520"/>
      <c r="G665" s="520"/>
      <c r="H665" s="520"/>
      <c r="I665" s="521"/>
      <c r="J665" s="521"/>
      <c r="K665" s="521"/>
      <c r="L665" s="756"/>
      <c r="M665" s="514"/>
      <c r="N665" s="514"/>
      <c r="O665" s="514"/>
      <c r="P665" s="514"/>
      <c r="Q665" s="514"/>
      <c r="R665" s="514"/>
      <c r="S665" s="756"/>
      <c r="T665" s="514"/>
      <c r="U665" s="514"/>
      <c r="V665" s="514"/>
      <c r="W665" s="514"/>
      <c r="X665" s="514"/>
      <c r="Y665" s="514"/>
      <c r="Z665" s="756"/>
      <c r="AA665" s="514"/>
      <c r="AB665" s="514"/>
      <c r="AC665" s="514"/>
      <c r="AD665" s="514"/>
      <c r="AE665" s="774"/>
      <c r="AF665" s="514"/>
      <c r="AG665" s="897"/>
      <c r="AH665" s="890"/>
      <c r="AI665" s="790">
        <f t="shared" si="31"/>
        <v>0</v>
      </c>
      <c r="AJ665" s="521">
        <v>0</v>
      </c>
      <c r="AK665" s="520">
        <f t="shared" si="32"/>
        <v>0</v>
      </c>
      <c r="AL665" s="695" t="s">
        <v>1698</v>
      </c>
      <c r="AM665" s="669">
        <f t="shared" si="33"/>
        <v>2</v>
      </c>
    </row>
    <row r="666" spans="1:39" s="500" customFormat="1">
      <c r="A666" s="539" t="s">
        <v>1118</v>
      </c>
      <c r="B666" s="539" t="s">
        <v>1442</v>
      </c>
      <c r="C666" s="548" t="s">
        <v>1454</v>
      </c>
      <c r="D666" s="519"/>
      <c r="E666" s="726"/>
      <c r="F666" s="520"/>
      <c r="G666" s="520"/>
      <c r="H666" s="520"/>
      <c r="I666" s="521"/>
      <c r="J666" s="521"/>
      <c r="K666" s="521"/>
      <c r="L666" s="756"/>
      <c r="M666" s="514"/>
      <c r="N666" s="514"/>
      <c r="O666" s="514"/>
      <c r="P666" s="514"/>
      <c r="Q666" s="514"/>
      <c r="R666" s="514"/>
      <c r="S666" s="756"/>
      <c r="T666" s="514"/>
      <c r="U666" s="514"/>
      <c r="V666" s="514"/>
      <c r="W666" s="514"/>
      <c r="X666" s="514"/>
      <c r="Y666" s="514"/>
      <c r="Z666" s="756"/>
      <c r="AA666" s="514"/>
      <c r="AB666" s="514"/>
      <c r="AC666" s="514"/>
      <c r="AD666" s="514"/>
      <c r="AE666" s="774"/>
      <c r="AF666" s="514"/>
      <c r="AG666" s="897"/>
      <c r="AH666" s="890"/>
      <c r="AI666" s="790">
        <f t="shared" si="31"/>
        <v>0</v>
      </c>
      <c r="AJ666" s="521">
        <v>0</v>
      </c>
      <c r="AK666" s="520">
        <f t="shared" si="32"/>
        <v>0</v>
      </c>
      <c r="AL666" s="695"/>
      <c r="AM666" s="669">
        <f t="shared" si="33"/>
        <v>0</v>
      </c>
    </row>
    <row r="667" spans="1:39" s="500" customFormat="1">
      <c r="A667" s="542" t="s">
        <v>1119</v>
      </c>
      <c r="B667" s="542" t="s">
        <v>1419</v>
      </c>
      <c r="C667" s="616"/>
      <c r="D667" s="519"/>
      <c r="E667" s="726"/>
      <c r="F667" s="520"/>
      <c r="G667" s="520"/>
      <c r="H667" s="520"/>
      <c r="I667" s="521"/>
      <c r="J667" s="521"/>
      <c r="K667" s="521"/>
      <c r="L667" s="756"/>
      <c r="M667" s="514"/>
      <c r="N667" s="514"/>
      <c r="O667" s="514"/>
      <c r="P667" s="514"/>
      <c r="Q667" s="514"/>
      <c r="R667" s="514"/>
      <c r="S667" s="756"/>
      <c r="T667" s="514"/>
      <c r="U667" s="514"/>
      <c r="V667" s="514"/>
      <c r="W667" s="514"/>
      <c r="X667" s="514"/>
      <c r="Y667" s="514"/>
      <c r="Z667" s="756"/>
      <c r="AA667" s="514"/>
      <c r="AB667" s="514"/>
      <c r="AC667" s="514"/>
      <c r="AD667" s="514"/>
      <c r="AE667" s="774"/>
      <c r="AF667" s="514"/>
      <c r="AG667" s="897"/>
      <c r="AH667" s="890"/>
      <c r="AI667" s="790">
        <f t="shared" si="31"/>
        <v>0</v>
      </c>
      <c r="AJ667" s="521">
        <v>0</v>
      </c>
      <c r="AK667" s="520">
        <f t="shared" si="32"/>
        <v>0</v>
      </c>
      <c r="AL667" s="695" t="s">
        <v>1771</v>
      </c>
      <c r="AM667" s="669">
        <f t="shared" si="33"/>
        <v>90</v>
      </c>
    </row>
    <row r="668" spans="1:39" s="500" customFormat="1">
      <c r="A668" s="539" t="s">
        <v>1120</v>
      </c>
      <c r="B668" s="539" t="s">
        <v>1420</v>
      </c>
      <c r="C668" s="548" t="s">
        <v>38</v>
      </c>
      <c r="D668" s="519"/>
      <c r="E668" s="726"/>
      <c r="F668" s="520"/>
      <c r="G668" s="520"/>
      <c r="H668" s="520"/>
      <c r="I668" s="521"/>
      <c r="J668" s="521"/>
      <c r="K668" s="521"/>
      <c r="L668" s="756"/>
      <c r="M668" s="514"/>
      <c r="N668" s="514"/>
      <c r="O668" s="514"/>
      <c r="P668" s="514"/>
      <c r="Q668" s="514"/>
      <c r="R668" s="514"/>
      <c r="S668" s="756"/>
      <c r="T668" s="514"/>
      <c r="U668" s="514"/>
      <c r="V668" s="514"/>
      <c r="W668" s="514"/>
      <c r="X668" s="514"/>
      <c r="Y668" s="514"/>
      <c r="Z668" s="756"/>
      <c r="AA668" s="514"/>
      <c r="AB668" s="514"/>
      <c r="AC668" s="514"/>
      <c r="AD668" s="514"/>
      <c r="AE668" s="774"/>
      <c r="AF668" s="514"/>
      <c r="AG668" s="897"/>
      <c r="AH668" s="890"/>
      <c r="AI668" s="790">
        <f t="shared" si="31"/>
        <v>0</v>
      </c>
      <c r="AJ668" s="521">
        <v>0</v>
      </c>
      <c r="AK668" s="520">
        <f t="shared" si="32"/>
        <v>0</v>
      </c>
      <c r="AL668" s="695"/>
      <c r="AM668" s="669">
        <f t="shared" si="33"/>
        <v>0</v>
      </c>
    </row>
    <row r="669" spans="1:39" s="500" customFormat="1">
      <c r="A669" s="542" t="s">
        <v>1121</v>
      </c>
      <c r="B669" s="542" t="s">
        <v>1421</v>
      </c>
      <c r="C669" s="616"/>
      <c r="D669" s="519"/>
      <c r="E669" s="726"/>
      <c r="F669" s="520"/>
      <c r="G669" s="520"/>
      <c r="H669" s="520"/>
      <c r="I669" s="521"/>
      <c r="J669" s="521"/>
      <c r="K669" s="521"/>
      <c r="L669" s="756"/>
      <c r="M669" s="514"/>
      <c r="N669" s="514"/>
      <c r="O669" s="514"/>
      <c r="P669" s="514"/>
      <c r="Q669" s="514"/>
      <c r="R669" s="514"/>
      <c r="S669" s="756"/>
      <c r="T669" s="514"/>
      <c r="U669" s="514"/>
      <c r="V669" s="514"/>
      <c r="W669" s="514"/>
      <c r="X669" s="514"/>
      <c r="Y669" s="514"/>
      <c r="Z669" s="756"/>
      <c r="AA669" s="514"/>
      <c r="AB669" s="514"/>
      <c r="AC669" s="514"/>
      <c r="AD669" s="514"/>
      <c r="AE669" s="774"/>
      <c r="AF669" s="514"/>
      <c r="AG669" s="897"/>
      <c r="AH669" s="890"/>
      <c r="AI669" s="790">
        <f t="shared" si="31"/>
        <v>0</v>
      </c>
      <c r="AJ669" s="521">
        <v>0</v>
      </c>
      <c r="AK669" s="520">
        <f t="shared" si="32"/>
        <v>0</v>
      </c>
      <c r="AL669" s="695">
        <v>12</v>
      </c>
      <c r="AM669" s="669">
        <f t="shared" si="33"/>
        <v>12</v>
      </c>
    </row>
    <row r="670" spans="1:39" s="500" customFormat="1">
      <c r="A670" s="539" t="s">
        <v>1122</v>
      </c>
      <c r="B670" s="539" t="s">
        <v>1443</v>
      </c>
      <c r="C670" s="548" t="s">
        <v>38</v>
      </c>
      <c r="D670" s="519"/>
      <c r="E670" s="726"/>
      <c r="F670" s="520"/>
      <c r="G670" s="520"/>
      <c r="H670" s="520"/>
      <c r="I670" s="521"/>
      <c r="J670" s="521"/>
      <c r="K670" s="521"/>
      <c r="L670" s="756"/>
      <c r="M670" s="514"/>
      <c r="N670" s="514"/>
      <c r="O670" s="514"/>
      <c r="P670" s="514"/>
      <c r="Q670" s="514"/>
      <c r="R670" s="514"/>
      <c r="S670" s="756"/>
      <c r="T670" s="514"/>
      <c r="U670" s="514"/>
      <c r="V670" s="514"/>
      <c r="W670" s="514"/>
      <c r="X670" s="514"/>
      <c r="Y670" s="514"/>
      <c r="Z670" s="756"/>
      <c r="AA670" s="514"/>
      <c r="AB670" s="514"/>
      <c r="AC670" s="514"/>
      <c r="AD670" s="514"/>
      <c r="AE670" s="774"/>
      <c r="AF670" s="514"/>
      <c r="AG670" s="897"/>
      <c r="AH670" s="890"/>
      <c r="AI670" s="790">
        <f t="shared" si="31"/>
        <v>0</v>
      </c>
      <c r="AJ670" s="521">
        <v>0</v>
      </c>
      <c r="AK670" s="520">
        <f t="shared" si="32"/>
        <v>0</v>
      </c>
      <c r="AL670" s="695">
        <v>106</v>
      </c>
      <c r="AM670" s="669">
        <f t="shared" si="33"/>
        <v>106</v>
      </c>
    </row>
    <row r="671" spans="1:39" s="500" customFormat="1">
      <c r="A671" s="539" t="s">
        <v>1123</v>
      </c>
      <c r="B671" s="539" t="s">
        <v>1444</v>
      </c>
      <c r="C671" s="548" t="s">
        <v>38</v>
      </c>
      <c r="D671" s="519"/>
      <c r="E671" s="726"/>
      <c r="F671" s="520"/>
      <c r="G671" s="520"/>
      <c r="H671" s="520"/>
      <c r="I671" s="521"/>
      <c r="J671" s="521"/>
      <c r="K671" s="521"/>
      <c r="L671" s="756"/>
      <c r="M671" s="514"/>
      <c r="N671" s="514"/>
      <c r="O671" s="514"/>
      <c r="P671" s="514"/>
      <c r="Q671" s="514"/>
      <c r="R671" s="514"/>
      <c r="S671" s="756"/>
      <c r="T671" s="514"/>
      <c r="U671" s="514"/>
      <c r="V671" s="514"/>
      <c r="W671" s="514"/>
      <c r="X671" s="514"/>
      <c r="Y671" s="514"/>
      <c r="Z671" s="756"/>
      <c r="AA671" s="514"/>
      <c r="AB671" s="514"/>
      <c r="AC671" s="514"/>
      <c r="AD671" s="514"/>
      <c r="AE671" s="774"/>
      <c r="AF671" s="514"/>
      <c r="AG671" s="897"/>
      <c r="AH671" s="890"/>
      <c r="AI671" s="790">
        <f t="shared" si="31"/>
        <v>0</v>
      </c>
      <c r="AJ671" s="521">
        <v>0</v>
      </c>
      <c r="AK671" s="520">
        <f t="shared" si="32"/>
        <v>0</v>
      </c>
      <c r="AL671" s="695"/>
      <c r="AM671" s="669">
        <f t="shared" si="33"/>
        <v>0</v>
      </c>
    </row>
    <row r="672" spans="1:39" s="500" customFormat="1">
      <c r="A672" s="542" t="s">
        <v>1124</v>
      </c>
      <c r="B672" s="542" t="s">
        <v>1423</v>
      </c>
      <c r="C672" s="616"/>
      <c r="D672" s="519"/>
      <c r="E672" s="726"/>
      <c r="F672" s="520"/>
      <c r="G672" s="520"/>
      <c r="H672" s="520"/>
      <c r="I672" s="521"/>
      <c r="J672" s="521"/>
      <c r="K672" s="521"/>
      <c r="L672" s="756"/>
      <c r="M672" s="514"/>
      <c r="N672" s="514"/>
      <c r="O672" s="514"/>
      <c r="P672" s="514"/>
      <c r="Q672" s="514"/>
      <c r="R672" s="514"/>
      <c r="S672" s="756"/>
      <c r="T672" s="514"/>
      <c r="U672" s="514"/>
      <c r="V672" s="514"/>
      <c r="W672" s="514"/>
      <c r="X672" s="514"/>
      <c r="Y672" s="514"/>
      <c r="Z672" s="756"/>
      <c r="AA672" s="514"/>
      <c r="AB672" s="514"/>
      <c r="AC672" s="514"/>
      <c r="AD672" s="514"/>
      <c r="AE672" s="774"/>
      <c r="AF672" s="514"/>
      <c r="AG672" s="897"/>
      <c r="AH672" s="890"/>
      <c r="AI672" s="790">
        <f t="shared" si="31"/>
        <v>0</v>
      </c>
      <c r="AJ672" s="521">
        <v>0</v>
      </c>
      <c r="AK672" s="520">
        <f t="shared" si="32"/>
        <v>0</v>
      </c>
      <c r="AL672" s="695">
        <v>106</v>
      </c>
      <c r="AM672" s="669">
        <f t="shared" si="33"/>
        <v>106</v>
      </c>
    </row>
    <row r="673" spans="1:39" s="500" customFormat="1">
      <c r="A673" s="539" t="s">
        <v>1125</v>
      </c>
      <c r="B673" s="539" t="s">
        <v>1445</v>
      </c>
      <c r="C673" s="548" t="s">
        <v>38</v>
      </c>
      <c r="D673" s="519"/>
      <c r="E673" s="726"/>
      <c r="F673" s="520"/>
      <c r="G673" s="520"/>
      <c r="H673" s="520"/>
      <c r="I673" s="521"/>
      <c r="J673" s="521"/>
      <c r="K673" s="521"/>
      <c r="L673" s="756"/>
      <c r="M673" s="514"/>
      <c r="N673" s="514"/>
      <c r="O673" s="514"/>
      <c r="P673" s="514"/>
      <c r="Q673" s="514"/>
      <c r="R673" s="514"/>
      <c r="S673" s="756"/>
      <c r="T673" s="514"/>
      <c r="U673" s="514"/>
      <c r="V673" s="514"/>
      <c r="W673" s="514"/>
      <c r="X673" s="514"/>
      <c r="Y673" s="514"/>
      <c r="Z673" s="756"/>
      <c r="AA673" s="514"/>
      <c r="AB673" s="514"/>
      <c r="AC673" s="514"/>
      <c r="AD673" s="514"/>
      <c r="AE673" s="774"/>
      <c r="AF673" s="514"/>
      <c r="AG673" s="897"/>
      <c r="AH673" s="890"/>
      <c r="AI673" s="790">
        <f t="shared" si="31"/>
        <v>0</v>
      </c>
      <c r="AJ673" s="521">
        <v>0</v>
      </c>
      <c r="AK673" s="520">
        <f t="shared" si="32"/>
        <v>0</v>
      </c>
      <c r="AL673" s="695"/>
      <c r="AM673" s="669">
        <f t="shared" si="33"/>
        <v>0</v>
      </c>
    </row>
    <row r="674" spans="1:39" s="500" customFormat="1">
      <c r="A674" s="542" t="s">
        <v>1126</v>
      </c>
      <c r="B674" s="542" t="s">
        <v>1416</v>
      </c>
      <c r="C674" s="616"/>
      <c r="D674" s="519"/>
      <c r="E674" s="726"/>
      <c r="F674" s="520"/>
      <c r="G674" s="520"/>
      <c r="H674" s="520"/>
      <c r="I674" s="521"/>
      <c r="J674" s="521"/>
      <c r="K674" s="521"/>
      <c r="L674" s="756"/>
      <c r="M674" s="514"/>
      <c r="N674" s="514"/>
      <c r="O674" s="514"/>
      <c r="P674" s="514"/>
      <c r="Q674" s="514"/>
      <c r="R674" s="514"/>
      <c r="S674" s="756"/>
      <c r="T674" s="514"/>
      <c r="U674" s="514"/>
      <c r="V674" s="514"/>
      <c r="W674" s="514"/>
      <c r="X674" s="514"/>
      <c r="Y674" s="514"/>
      <c r="Z674" s="756"/>
      <c r="AA674" s="514"/>
      <c r="AB674" s="514"/>
      <c r="AC674" s="514"/>
      <c r="AD674" s="514"/>
      <c r="AE674" s="774"/>
      <c r="AF674" s="514"/>
      <c r="AG674" s="897"/>
      <c r="AH674" s="890"/>
      <c r="AI674" s="790">
        <f t="shared" si="31"/>
        <v>0</v>
      </c>
      <c r="AJ674" s="521">
        <v>0</v>
      </c>
      <c r="AK674" s="520">
        <f t="shared" si="32"/>
        <v>0</v>
      </c>
      <c r="AL674" s="695">
        <v>5</v>
      </c>
      <c r="AM674" s="669">
        <f t="shared" si="33"/>
        <v>5</v>
      </c>
    </row>
    <row r="675" spans="1:39" s="500" customFormat="1">
      <c r="A675" s="539" t="s">
        <v>1127</v>
      </c>
      <c r="B675" s="539" t="s">
        <v>1417</v>
      </c>
      <c r="C675" s="548" t="s">
        <v>36</v>
      </c>
      <c r="D675" s="519"/>
      <c r="E675" s="726"/>
      <c r="F675" s="520"/>
      <c r="G675" s="520"/>
      <c r="H675" s="520"/>
      <c r="I675" s="521"/>
      <c r="J675" s="521"/>
      <c r="K675" s="521"/>
      <c r="L675" s="756"/>
      <c r="M675" s="514"/>
      <c r="N675" s="514"/>
      <c r="O675" s="514"/>
      <c r="P675" s="514"/>
      <c r="Q675" s="514"/>
      <c r="R675" s="514"/>
      <c r="S675" s="756"/>
      <c r="T675" s="514"/>
      <c r="U675" s="514"/>
      <c r="V675" s="514"/>
      <c r="W675" s="514"/>
      <c r="X675" s="514"/>
      <c r="Y675" s="514"/>
      <c r="Z675" s="756"/>
      <c r="AA675" s="514"/>
      <c r="AB675" s="514"/>
      <c r="AC675" s="514"/>
      <c r="AD675" s="514"/>
      <c r="AE675" s="774"/>
      <c r="AF675" s="514"/>
      <c r="AG675" s="897"/>
      <c r="AH675" s="890"/>
      <c r="AI675" s="790">
        <f t="shared" si="31"/>
        <v>0</v>
      </c>
      <c r="AJ675" s="521">
        <v>0</v>
      </c>
      <c r="AK675" s="520">
        <f t="shared" si="32"/>
        <v>0</v>
      </c>
      <c r="AL675" s="695"/>
      <c r="AM675" s="669">
        <f t="shared" si="33"/>
        <v>0</v>
      </c>
    </row>
    <row r="676" spans="1:39" s="500" customFormat="1">
      <c r="A676" s="542" t="s">
        <v>1128</v>
      </c>
      <c r="B676" s="542" t="s">
        <v>1446</v>
      </c>
      <c r="C676" s="616"/>
      <c r="D676" s="519"/>
      <c r="E676" s="726"/>
      <c r="F676" s="520"/>
      <c r="G676" s="520"/>
      <c r="H676" s="520"/>
      <c r="I676" s="521"/>
      <c r="J676" s="521"/>
      <c r="K676" s="521"/>
      <c r="L676" s="756"/>
      <c r="M676" s="514"/>
      <c r="N676" s="514"/>
      <c r="O676" s="514"/>
      <c r="P676" s="514"/>
      <c r="Q676" s="514"/>
      <c r="R676" s="514"/>
      <c r="S676" s="756"/>
      <c r="T676" s="514"/>
      <c r="U676" s="514"/>
      <c r="V676" s="514"/>
      <c r="W676" s="514"/>
      <c r="X676" s="514"/>
      <c r="Y676" s="514"/>
      <c r="Z676" s="756"/>
      <c r="AA676" s="514"/>
      <c r="AB676" s="514"/>
      <c r="AC676" s="514"/>
      <c r="AD676" s="514"/>
      <c r="AE676" s="774"/>
      <c r="AF676" s="514"/>
      <c r="AG676" s="897"/>
      <c r="AH676" s="890"/>
      <c r="AI676" s="790">
        <f t="shared" si="31"/>
        <v>0</v>
      </c>
      <c r="AJ676" s="521">
        <v>0</v>
      </c>
      <c r="AK676" s="520">
        <f t="shared" si="32"/>
        <v>0</v>
      </c>
      <c r="AL676" s="695">
        <v>1</v>
      </c>
      <c r="AM676" s="669">
        <f t="shared" si="33"/>
        <v>1</v>
      </c>
    </row>
    <row r="677" spans="1:39" s="500" customFormat="1">
      <c r="A677" s="539" t="s">
        <v>1129</v>
      </c>
      <c r="B677" s="539" t="s">
        <v>1447</v>
      </c>
      <c r="C677" s="548" t="s">
        <v>64</v>
      </c>
      <c r="D677" s="519"/>
      <c r="E677" s="726"/>
      <c r="F677" s="520"/>
      <c r="G677" s="520"/>
      <c r="H677" s="520"/>
      <c r="I677" s="521"/>
      <c r="J677" s="521"/>
      <c r="K677" s="521"/>
      <c r="L677" s="756"/>
      <c r="M677" s="514"/>
      <c r="N677" s="514"/>
      <c r="O677" s="514"/>
      <c r="P677" s="514"/>
      <c r="Q677" s="514"/>
      <c r="R677" s="514"/>
      <c r="S677" s="756"/>
      <c r="T677" s="514"/>
      <c r="U677" s="514"/>
      <c r="V677" s="514"/>
      <c r="W677" s="514"/>
      <c r="X677" s="514"/>
      <c r="Y677" s="514"/>
      <c r="Z677" s="756"/>
      <c r="AA677" s="514"/>
      <c r="AB677" s="514"/>
      <c r="AC677" s="514"/>
      <c r="AD677" s="514"/>
      <c r="AE677" s="774"/>
      <c r="AF677" s="514"/>
      <c r="AG677" s="897"/>
      <c r="AH677" s="890"/>
      <c r="AI677" s="790">
        <f t="shared" si="31"/>
        <v>0</v>
      </c>
      <c r="AJ677" s="521">
        <v>0</v>
      </c>
      <c r="AK677" s="520">
        <f t="shared" si="32"/>
        <v>0</v>
      </c>
      <c r="AL677" s="695"/>
      <c r="AM677" s="669">
        <f t="shared" si="33"/>
        <v>0</v>
      </c>
    </row>
    <row r="678" spans="1:39" s="500" customFormat="1">
      <c r="A678" s="542" t="s">
        <v>1130</v>
      </c>
      <c r="B678" s="542" t="s">
        <v>1448</v>
      </c>
      <c r="C678" s="792"/>
      <c r="D678" s="520"/>
      <c r="E678" s="726"/>
      <c r="F678" s="520"/>
      <c r="G678" s="520"/>
      <c r="H678" s="520"/>
      <c r="I678" s="521"/>
      <c r="J678" s="521"/>
      <c r="K678" s="521"/>
      <c r="L678" s="727"/>
      <c r="M678" s="527"/>
      <c r="N678" s="527"/>
      <c r="O678" s="527"/>
      <c r="P678" s="527"/>
      <c r="Q678" s="527"/>
      <c r="R678" s="527"/>
      <c r="S678" s="727"/>
      <c r="T678" s="527"/>
      <c r="U678" s="527"/>
      <c r="V678" s="527"/>
      <c r="W678" s="527"/>
      <c r="X678" s="527"/>
      <c r="Y678" s="527"/>
      <c r="Z678" s="727"/>
      <c r="AA678" s="527"/>
      <c r="AB678" s="527"/>
      <c r="AC678" s="527"/>
      <c r="AD678" s="527"/>
      <c r="AE678" s="803"/>
      <c r="AF678" s="527"/>
      <c r="AG678" s="897"/>
      <c r="AH678" s="890"/>
      <c r="AI678" s="790">
        <f t="shared" ref="AI678:AI679" si="34">ROUND((SUM(D678:L678)),2)</f>
        <v>0</v>
      </c>
      <c r="AJ678" s="521">
        <v>1</v>
      </c>
      <c r="AK678" s="520">
        <f t="shared" si="32"/>
        <v>1</v>
      </c>
      <c r="AL678" s="695"/>
      <c r="AM678" s="669">
        <f t="shared" si="33"/>
        <v>-1</v>
      </c>
    </row>
    <row r="679" spans="1:39" s="500" customFormat="1" ht="13.5" thickBot="1">
      <c r="A679" s="554" t="s">
        <v>1131</v>
      </c>
      <c r="B679" s="554" t="s">
        <v>1449</v>
      </c>
      <c r="C679" s="793" t="s">
        <v>64</v>
      </c>
      <c r="D679" s="520"/>
      <c r="E679" s="726"/>
      <c r="F679" s="520"/>
      <c r="G679" s="520"/>
      <c r="H679" s="520"/>
      <c r="I679" s="521"/>
      <c r="J679" s="521"/>
      <c r="K679" s="521"/>
      <c r="L679" s="727"/>
      <c r="M679" s="527"/>
      <c r="N679" s="527"/>
      <c r="O679" s="527"/>
      <c r="P679" s="527"/>
      <c r="Q679" s="527"/>
      <c r="R679" s="527"/>
      <c r="S679" s="727"/>
      <c r="T679" s="527"/>
      <c r="U679" s="527"/>
      <c r="V679" s="527"/>
      <c r="W679" s="527"/>
      <c r="X679" s="527"/>
      <c r="Y679" s="527"/>
      <c r="Z679" s="727"/>
      <c r="AA679" s="527"/>
      <c r="AB679" s="527"/>
      <c r="AC679" s="527"/>
      <c r="AD679" s="527"/>
      <c r="AE679" s="803"/>
      <c r="AF679" s="527"/>
      <c r="AG679" s="897"/>
      <c r="AH679" s="890"/>
      <c r="AI679" s="790">
        <f t="shared" si="34"/>
        <v>0</v>
      </c>
      <c r="AJ679" s="521">
        <v>2</v>
      </c>
      <c r="AK679" s="520">
        <f t="shared" si="32"/>
        <v>2</v>
      </c>
      <c r="AL679" s="695"/>
      <c r="AM679" s="669">
        <f t="shared" si="33"/>
        <v>-2</v>
      </c>
    </row>
    <row r="680" spans="1:39" ht="13.5" thickBot="1">
      <c r="A680" s="556"/>
      <c r="B680" s="557" t="s">
        <v>2</v>
      </c>
      <c r="C680" s="531"/>
      <c r="D680" s="794"/>
      <c r="E680" s="796"/>
      <c r="F680" s="794"/>
      <c r="G680" s="795"/>
      <c r="H680" s="795"/>
      <c r="I680" s="794"/>
      <c r="J680" s="795"/>
      <c r="K680" s="795"/>
      <c r="L680" s="798"/>
      <c r="M680" s="791"/>
      <c r="N680" s="791"/>
      <c r="O680" s="791"/>
      <c r="P680" s="791"/>
      <c r="Q680" s="791"/>
      <c r="R680" s="791"/>
      <c r="S680" s="798"/>
      <c r="T680" s="791"/>
      <c r="U680" s="791"/>
      <c r="V680" s="791"/>
      <c r="W680" s="791"/>
      <c r="X680" s="791"/>
      <c r="Y680" s="791"/>
      <c r="Z680" s="798"/>
      <c r="AA680" s="791"/>
      <c r="AB680" s="791"/>
      <c r="AC680" s="791"/>
      <c r="AD680" s="791"/>
      <c r="AE680" s="804"/>
      <c r="AF680" s="791"/>
      <c r="AG680" s="900"/>
      <c r="AH680" s="791"/>
      <c r="AI680" s="665"/>
      <c r="AJ680" s="671"/>
      <c r="AK680" s="671"/>
      <c r="AL680" s="696">
        <f>AK680/10</f>
        <v>0</v>
      </c>
      <c r="AM680" s="669">
        <f t="shared" si="33"/>
        <v>0</v>
      </c>
    </row>
    <row r="681" spans="1:39">
      <c r="A681" s="552" t="s">
        <v>288</v>
      </c>
    </row>
    <row r="683" spans="1:39">
      <c r="B683" s="550" t="s">
        <v>1801</v>
      </c>
    </row>
    <row r="684" spans="1:39">
      <c r="B684" s="550" t="s">
        <v>289</v>
      </c>
    </row>
    <row r="685" spans="1:39">
      <c r="L685" s="799"/>
      <c r="M685" s="699"/>
      <c r="N685" s="699"/>
      <c r="O685" s="699"/>
      <c r="P685" s="699"/>
      <c r="Q685" s="699"/>
      <c r="R685" s="699"/>
      <c r="S685" s="799"/>
      <c r="T685" s="699"/>
      <c r="U685" s="699"/>
      <c r="V685" s="699"/>
      <c r="W685" s="699"/>
      <c r="X685" s="699"/>
      <c r="Y685" s="699"/>
      <c r="Z685" s="799"/>
      <c r="AA685" s="699"/>
      <c r="AB685" s="699"/>
      <c r="AC685" s="699"/>
      <c r="AD685" s="699"/>
      <c r="AE685" s="805"/>
      <c r="AF685" s="699"/>
      <c r="AG685" s="901"/>
      <c r="AH685" s="699"/>
      <c r="AI685" s="671"/>
      <c r="AJ685" s="671">
        <v>416.4</v>
      </c>
    </row>
    <row r="686" spans="1:39">
      <c r="L686" s="727" t="e">
        <f>#REF!-L135</f>
        <v>#REF!</v>
      </c>
      <c r="M686" s="527"/>
      <c r="N686" s="527"/>
      <c r="O686" s="527"/>
      <c r="P686" s="527"/>
      <c r="Q686" s="527"/>
      <c r="R686" s="527"/>
      <c r="S686" s="727"/>
      <c r="T686" s="527"/>
      <c r="U686" s="527"/>
      <c r="V686" s="527"/>
      <c r="W686" s="527"/>
      <c r="X686" s="527"/>
      <c r="Y686" s="527"/>
      <c r="Z686" s="727"/>
      <c r="AA686" s="527"/>
      <c r="AB686" s="527"/>
      <c r="AC686" s="527"/>
      <c r="AD686" s="527"/>
      <c r="AE686" s="803"/>
      <c r="AF686" s="527"/>
      <c r="AG686" s="897"/>
      <c r="AH686" s="527"/>
      <c r="AI686" s="521" t="e">
        <f>SUM(L686:L686)</f>
        <v>#REF!</v>
      </c>
      <c r="AJ686" s="521" t="e">
        <f>AJ685-AI686</f>
        <v>#REF!</v>
      </c>
      <c r="AK686" s="498" t="s">
        <v>1925</v>
      </c>
    </row>
    <row r="701" spans="2:2">
      <c r="B701" s="552"/>
    </row>
  </sheetData>
  <mergeCells count="6">
    <mergeCell ref="A1:K1"/>
    <mergeCell ref="A2:K2"/>
    <mergeCell ref="B4:K4"/>
    <mergeCell ref="B5:K5"/>
    <mergeCell ref="A9:A10"/>
    <mergeCell ref="B9:B10"/>
  </mergeCells>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002060"/>
  </sheetPr>
  <dimension ref="A1"/>
  <sheetViews>
    <sheetView workbookViewId="0"/>
  </sheetViews>
  <sheetFormatPr baseColWidth="10" defaultRowHeight="12.75"/>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2060"/>
  </sheetPr>
  <dimension ref="A1:AO148"/>
  <sheetViews>
    <sheetView workbookViewId="0">
      <selection sqref="A1:K1"/>
    </sheetView>
  </sheetViews>
  <sheetFormatPr baseColWidth="10" defaultColWidth="11.42578125" defaultRowHeight="12.75"/>
  <cols>
    <col min="1" max="1" width="14.42578125" style="552" customWidth="1"/>
    <col min="2" max="2" width="99.42578125" style="550" customWidth="1"/>
    <col min="3" max="3" width="7" style="498" customWidth="1"/>
    <col min="4" max="4" width="7" style="735" hidden="1" customWidth="1"/>
    <col min="5" max="5" width="9.42578125" style="498" hidden="1" customWidth="1"/>
    <col min="6" max="10" width="7" style="498" hidden="1" customWidth="1"/>
    <col min="11" max="11" width="7" style="735" hidden="1" customWidth="1"/>
    <col min="12" max="16" width="7" style="499" hidden="1" customWidth="1"/>
    <col min="17" max="17" width="7" style="498" hidden="1" customWidth="1"/>
    <col min="18" max="18" width="7" style="735" hidden="1" customWidth="1"/>
    <col min="19" max="22" width="7" style="499" hidden="1" customWidth="1"/>
    <col min="23" max="23" width="10.5703125" style="499" hidden="1" customWidth="1"/>
    <col min="24" max="24" width="9.42578125" style="499" hidden="1" customWidth="1"/>
    <col min="25" max="25" width="7" style="755" hidden="1" customWidth="1"/>
    <col min="26" max="26" width="10.42578125" style="499" hidden="1" customWidth="1"/>
    <col min="27" max="27" width="8.5703125" style="499" hidden="1" customWidth="1"/>
    <col min="28" max="28" width="7" style="499" hidden="1" customWidth="1"/>
    <col min="29" max="29" width="9.42578125" style="499" hidden="1" customWidth="1"/>
    <col min="30" max="30" width="7" style="755" hidden="1" customWidth="1"/>
    <col min="31" max="31" width="9.5703125" style="940" hidden="1" customWidth="1"/>
    <col min="32" max="32" width="7" style="755" hidden="1" customWidth="1"/>
    <col min="33" max="33" width="9.42578125" style="761" hidden="1" customWidth="1"/>
    <col min="34" max="34" width="9.42578125" style="499" hidden="1" customWidth="1"/>
    <col min="35" max="37" width="9.42578125" style="498" customWidth="1"/>
    <col min="38" max="38" width="11.42578125" style="498"/>
    <col min="39" max="39" width="14.42578125" style="498" customWidth="1"/>
    <col min="40" max="257" width="11.42578125" style="498"/>
    <col min="258" max="258" width="6.42578125" style="498" customWidth="1"/>
    <col min="259" max="259" width="47.5703125" style="498" customWidth="1"/>
    <col min="260" max="261" width="5" style="498" customWidth="1"/>
    <col min="262" max="262" width="5.42578125" style="498" customWidth="1"/>
    <col min="263" max="263" width="4.5703125" style="498" customWidth="1"/>
    <col min="264" max="265" width="4.42578125" style="498" customWidth="1"/>
    <col min="266" max="266" width="3.5703125" style="498" customWidth="1"/>
    <col min="267" max="267" width="5" style="498" customWidth="1"/>
    <col min="268" max="268" width="4" style="498" customWidth="1"/>
    <col min="269" max="270" width="4.5703125" style="498" customWidth="1"/>
    <col min="271" max="271" width="4.42578125" style="498" customWidth="1"/>
    <col min="272" max="272" width="4" style="498" customWidth="1"/>
    <col min="273" max="273" width="3.5703125" style="498" customWidth="1"/>
    <col min="274" max="275" width="4.5703125" style="498" customWidth="1"/>
    <col min="276" max="276" width="4" style="498" customWidth="1"/>
    <col min="277" max="278" width="4.42578125" style="498" customWidth="1"/>
    <col min="279" max="279" width="3.5703125" style="498" customWidth="1"/>
    <col min="280" max="280" width="4.42578125" style="498" customWidth="1"/>
    <col min="281" max="281" width="5.5703125" style="498" customWidth="1"/>
    <col min="282" max="282" width="3.5703125" style="498" customWidth="1"/>
    <col min="283" max="283" width="4" style="498" customWidth="1"/>
    <col min="284" max="284" width="4.5703125" style="498" customWidth="1"/>
    <col min="285" max="287" width="4.42578125" style="498" customWidth="1"/>
    <col min="288" max="289" width="4.5703125" style="498" customWidth="1"/>
    <col min="290" max="290" width="4" style="498" customWidth="1"/>
    <col min="291" max="291" width="4.5703125" style="498" customWidth="1"/>
    <col min="292" max="292" width="6" style="498" customWidth="1"/>
    <col min="293" max="293" width="8.5703125" style="498" customWidth="1"/>
    <col min="294" max="513" width="11.42578125" style="498"/>
    <col min="514" max="514" width="6.42578125" style="498" customWidth="1"/>
    <col min="515" max="515" width="47.5703125" style="498" customWidth="1"/>
    <col min="516" max="517" width="5" style="498" customWidth="1"/>
    <col min="518" max="518" width="5.42578125" style="498" customWidth="1"/>
    <col min="519" max="519" width="4.5703125" style="498" customWidth="1"/>
    <col min="520" max="521" width="4.42578125" style="498" customWidth="1"/>
    <col min="522" max="522" width="3.5703125" style="498" customWidth="1"/>
    <col min="523" max="523" width="5" style="498" customWidth="1"/>
    <col min="524" max="524" width="4" style="498" customWidth="1"/>
    <col min="525" max="526" width="4.5703125" style="498" customWidth="1"/>
    <col min="527" max="527" width="4.42578125" style="498" customWidth="1"/>
    <col min="528" max="528" width="4" style="498" customWidth="1"/>
    <col min="529" max="529" width="3.5703125" style="498" customWidth="1"/>
    <col min="530" max="531" width="4.5703125" style="498" customWidth="1"/>
    <col min="532" max="532" width="4" style="498" customWidth="1"/>
    <col min="533" max="534" width="4.42578125" style="498" customWidth="1"/>
    <col min="535" max="535" width="3.5703125" style="498" customWidth="1"/>
    <col min="536" max="536" width="4.42578125" style="498" customWidth="1"/>
    <col min="537" max="537" width="5.5703125" style="498" customWidth="1"/>
    <col min="538" max="538" width="3.5703125" style="498" customWidth="1"/>
    <col min="539" max="539" width="4" style="498" customWidth="1"/>
    <col min="540" max="540" width="4.5703125" style="498" customWidth="1"/>
    <col min="541" max="543" width="4.42578125" style="498" customWidth="1"/>
    <col min="544" max="545" width="4.5703125" style="498" customWidth="1"/>
    <col min="546" max="546" width="4" style="498" customWidth="1"/>
    <col min="547" max="547" width="4.5703125" style="498" customWidth="1"/>
    <col min="548" max="548" width="6" style="498" customWidth="1"/>
    <col min="549" max="549" width="8.5703125" style="498" customWidth="1"/>
    <col min="550" max="769" width="11.42578125" style="498"/>
    <col min="770" max="770" width="6.42578125" style="498" customWidth="1"/>
    <col min="771" max="771" width="47.5703125" style="498" customWidth="1"/>
    <col min="772" max="773" width="5" style="498" customWidth="1"/>
    <col min="774" max="774" width="5.42578125" style="498" customWidth="1"/>
    <col min="775" max="775" width="4.5703125" style="498" customWidth="1"/>
    <col min="776" max="777" width="4.42578125" style="498" customWidth="1"/>
    <col min="778" max="778" width="3.5703125" style="498" customWidth="1"/>
    <col min="779" max="779" width="5" style="498" customWidth="1"/>
    <col min="780" max="780" width="4" style="498" customWidth="1"/>
    <col min="781" max="782" width="4.5703125" style="498" customWidth="1"/>
    <col min="783" max="783" width="4.42578125" style="498" customWidth="1"/>
    <col min="784" max="784" width="4" style="498" customWidth="1"/>
    <col min="785" max="785" width="3.5703125" style="498" customWidth="1"/>
    <col min="786" max="787" width="4.5703125" style="498" customWidth="1"/>
    <col min="788" max="788" width="4" style="498" customWidth="1"/>
    <col min="789" max="790" width="4.42578125" style="498" customWidth="1"/>
    <col min="791" max="791" width="3.5703125" style="498" customWidth="1"/>
    <col min="792" max="792" width="4.42578125" style="498" customWidth="1"/>
    <col min="793" max="793" width="5.5703125" style="498" customWidth="1"/>
    <col min="794" max="794" width="3.5703125" style="498" customWidth="1"/>
    <col min="795" max="795" width="4" style="498" customWidth="1"/>
    <col min="796" max="796" width="4.5703125" style="498" customWidth="1"/>
    <col min="797" max="799" width="4.42578125" style="498" customWidth="1"/>
    <col min="800" max="801" width="4.5703125" style="498" customWidth="1"/>
    <col min="802" max="802" width="4" style="498" customWidth="1"/>
    <col min="803" max="803" width="4.5703125" style="498" customWidth="1"/>
    <col min="804" max="804" width="6" style="498" customWidth="1"/>
    <col min="805" max="805" width="8.5703125" style="498" customWidth="1"/>
    <col min="806" max="1025" width="11.42578125" style="498"/>
    <col min="1026" max="1026" width="6.42578125" style="498" customWidth="1"/>
    <col min="1027" max="1027" width="47.5703125" style="498" customWidth="1"/>
    <col min="1028" max="1029" width="5" style="498" customWidth="1"/>
    <col min="1030" max="1030" width="5.42578125" style="498" customWidth="1"/>
    <col min="1031" max="1031" width="4.5703125" style="498" customWidth="1"/>
    <col min="1032" max="1033" width="4.42578125" style="498" customWidth="1"/>
    <col min="1034" max="1034" width="3.5703125" style="498" customWidth="1"/>
    <col min="1035" max="1035" width="5" style="498" customWidth="1"/>
    <col min="1036" max="1036" width="4" style="498" customWidth="1"/>
    <col min="1037" max="1038" width="4.5703125" style="498" customWidth="1"/>
    <col min="1039" max="1039" width="4.42578125" style="498" customWidth="1"/>
    <col min="1040" max="1040" width="4" style="498" customWidth="1"/>
    <col min="1041" max="1041" width="3.5703125" style="498" customWidth="1"/>
    <col min="1042" max="1043" width="4.5703125" style="498" customWidth="1"/>
    <col min="1044" max="1044" width="4" style="498" customWidth="1"/>
    <col min="1045" max="1046" width="4.42578125" style="498" customWidth="1"/>
    <col min="1047" max="1047" width="3.5703125" style="498" customWidth="1"/>
    <col min="1048" max="1048" width="4.42578125" style="498" customWidth="1"/>
    <col min="1049" max="1049" width="5.5703125" style="498" customWidth="1"/>
    <col min="1050" max="1050" width="3.5703125" style="498" customWidth="1"/>
    <col min="1051" max="1051" width="4" style="498" customWidth="1"/>
    <col min="1052" max="1052" width="4.5703125" style="498" customWidth="1"/>
    <col min="1053" max="1055" width="4.42578125" style="498" customWidth="1"/>
    <col min="1056" max="1057" width="4.5703125" style="498" customWidth="1"/>
    <col min="1058" max="1058" width="4" style="498" customWidth="1"/>
    <col min="1059" max="1059" width="4.5703125" style="498" customWidth="1"/>
    <col min="1060" max="1060" width="6" style="498" customWidth="1"/>
    <col min="1061" max="1061" width="8.5703125" style="498" customWidth="1"/>
    <col min="1062" max="1281" width="11.42578125" style="498"/>
    <col min="1282" max="1282" width="6.42578125" style="498" customWidth="1"/>
    <col min="1283" max="1283" width="47.5703125" style="498" customWidth="1"/>
    <col min="1284" max="1285" width="5" style="498" customWidth="1"/>
    <col min="1286" max="1286" width="5.42578125" style="498" customWidth="1"/>
    <col min="1287" max="1287" width="4.5703125" style="498" customWidth="1"/>
    <col min="1288" max="1289" width="4.42578125" style="498" customWidth="1"/>
    <col min="1290" max="1290" width="3.5703125" style="498" customWidth="1"/>
    <col min="1291" max="1291" width="5" style="498" customWidth="1"/>
    <col min="1292" max="1292" width="4" style="498" customWidth="1"/>
    <col min="1293" max="1294" width="4.5703125" style="498" customWidth="1"/>
    <col min="1295" max="1295" width="4.42578125" style="498" customWidth="1"/>
    <col min="1296" max="1296" width="4" style="498" customWidth="1"/>
    <col min="1297" max="1297" width="3.5703125" style="498" customWidth="1"/>
    <col min="1298" max="1299" width="4.5703125" style="498" customWidth="1"/>
    <col min="1300" max="1300" width="4" style="498" customWidth="1"/>
    <col min="1301" max="1302" width="4.42578125" style="498" customWidth="1"/>
    <col min="1303" max="1303" width="3.5703125" style="498" customWidth="1"/>
    <col min="1304" max="1304" width="4.42578125" style="498" customWidth="1"/>
    <col min="1305" max="1305" width="5.5703125" style="498" customWidth="1"/>
    <col min="1306" max="1306" width="3.5703125" style="498" customWidth="1"/>
    <col min="1307" max="1307" width="4" style="498" customWidth="1"/>
    <col min="1308" max="1308" width="4.5703125" style="498" customWidth="1"/>
    <col min="1309" max="1311" width="4.42578125" style="498" customWidth="1"/>
    <col min="1312" max="1313" width="4.5703125" style="498" customWidth="1"/>
    <col min="1314" max="1314" width="4" style="498" customWidth="1"/>
    <col min="1315" max="1315" width="4.5703125" style="498" customWidth="1"/>
    <col min="1316" max="1316" width="6" style="498" customWidth="1"/>
    <col min="1317" max="1317" width="8.5703125" style="498" customWidth="1"/>
    <col min="1318" max="1537" width="11.42578125" style="498"/>
    <col min="1538" max="1538" width="6.42578125" style="498" customWidth="1"/>
    <col min="1539" max="1539" width="47.5703125" style="498" customWidth="1"/>
    <col min="1540" max="1541" width="5" style="498" customWidth="1"/>
    <col min="1542" max="1542" width="5.42578125" style="498" customWidth="1"/>
    <col min="1543" max="1543" width="4.5703125" style="498" customWidth="1"/>
    <col min="1544" max="1545" width="4.42578125" style="498" customWidth="1"/>
    <col min="1546" max="1546" width="3.5703125" style="498" customWidth="1"/>
    <col min="1547" max="1547" width="5" style="498" customWidth="1"/>
    <col min="1548" max="1548" width="4" style="498" customWidth="1"/>
    <col min="1549" max="1550" width="4.5703125" style="498" customWidth="1"/>
    <col min="1551" max="1551" width="4.42578125" style="498" customWidth="1"/>
    <col min="1552" max="1552" width="4" style="498" customWidth="1"/>
    <col min="1553" max="1553" width="3.5703125" style="498" customWidth="1"/>
    <col min="1554" max="1555" width="4.5703125" style="498" customWidth="1"/>
    <col min="1556" max="1556" width="4" style="498" customWidth="1"/>
    <col min="1557" max="1558" width="4.42578125" style="498" customWidth="1"/>
    <col min="1559" max="1559" width="3.5703125" style="498" customWidth="1"/>
    <col min="1560" max="1560" width="4.42578125" style="498" customWidth="1"/>
    <col min="1561" max="1561" width="5.5703125" style="498" customWidth="1"/>
    <col min="1562" max="1562" width="3.5703125" style="498" customWidth="1"/>
    <col min="1563" max="1563" width="4" style="498" customWidth="1"/>
    <col min="1564" max="1564" width="4.5703125" style="498" customWidth="1"/>
    <col min="1565" max="1567" width="4.42578125" style="498" customWidth="1"/>
    <col min="1568" max="1569" width="4.5703125" style="498" customWidth="1"/>
    <col min="1570" max="1570" width="4" style="498" customWidth="1"/>
    <col min="1571" max="1571" width="4.5703125" style="498" customWidth="1"/>
    <col min="1572" max="1572" width="6" style="498" customWidth="1"/>
    <col min="1573" max="1573" width="8.5703125" style="498" customWidth="1"/>
    <col min="1574" max="1793" width="11.42578125" style="498"/>
    <col min="1794" max="1794" width="6.42578125" style="498" customWidth="1"/>
    <col min="1795" max="1795" width="47.5703125" style="498" customWidth="1"/>
    <col min="1796" max="1797" width="5" style="498" customWidth="1"/>
    <col min="1798" max="1798" width="5.42578125" style="498" customWidth="1"/>
    <col min="1799" max="1799" width="4.5703125" style="498" customWidth="1"/>
    <col min="1800" max="1801" width="4.42578125" style="498" customWidth="1"/>
    <col min="1802" max="1802" width="3.5703125" style="498" customWidth="1"/>
    <col min="1803" max="1803" width="5" style="498" customWidth="1"/>
    <col min="1804" max="1804" width="4" style="498" customWidth="1"/>
    <col min="1805" max="1806" width="4.5703125" style="498" customWidth="1"/>
    <col min="1807" max="1807" width="4.42578125" style="498" customWidth="1"/>
    <col min="1808" max="1808" width="4" style="498" customWidth="1"/>
    <col min="1809" max="1809" width="3.5703125" style="498" customWidth="1"/>
    <col min="1810" max="1811" width="4.5703125" style="498" customWidth="1"/>
    <col min="1812" max="1812" width="4" style="498" customWidth="1"/>
    <col min="1813" max="1814" width="4.42578125" style="498" customWidth="1"/>
    <col min="1815" max="1815" width="3.5703125" style="498" customWidth="1"/>
    <col min="1816" max="1816" width="4.42578125" style="498" customWidth="1"/>
    <col min="1817" max="1817" width="5.5703125" style="498" customWidth="1"/>
    <col min="1818" max="1818" width="3.5703125" style="498" customWidth="1"/>
    <col min="1819" max="1819" width="4" style="498" customWidth="1"/>
    <col min="1820" max="1820" width="4.5703125" style="498" customWidth="1"/>
    <col min="1821" max="1823" width="4.42578125" style="498" customWidth="1"/>
    <col min="1824" max="1825" width="4.5703125" style="498" customWidth="1"/>
    <col min="1826" max="1826" width="4" style="498" customWidth="1"/>
    <col min="1827" max="1827" width="4.5703125" style="498" customWidth="1"/>
    <col min="1828" max="1828" width="6" style="498" customWidth="1"/>
    <col min="1829" max="1829" width="8.5703125" style="498" customWidth="1"/>
    <col min="1830" max="2049" width="11.42578125" style="498"/>
    <col min="2050" max="2050" width="6.42578125" style="498" customWidth="1"/>
    <col min="2051" max="2051" width="47.5703125" style="498" customWidth="1"/>
    <col min="2052" max="2053" width="5" style="498" customWidth="1"/>
    <col min="2054" max="2054" width="5.42578125" style="498" customWidth="1"/>
    <col min="2055" max="2055" width="4.5703125" style="498" customWidth="1"/>
    <col min="2056" max="2057" width="4.42578125" style="498" customWidth="1"/>
    <col min="2058" max="2058" width="3.5703125" style="498" customWidth="1"/>
    <col min="2059" max="2059" width="5" style="498" customWidth="1"/>
    <col min="2060" max="2060" width="4" style="498" customWidth="1"/>
    <col min="2061" max="2062" width="4.5703125" style="498" customWidth="1"/>
    <col min="2063" max="2063" width="4.42578125" style="498" customWidth="1"/>
    <col min="2064" max="2064" width="4" style="498" customWidth="1"/>
    <col min="2065" max="2065" width="3.5703125" style="498" customWidth="1"/>
    <col min="2066" max="2067" width="4.5703125" style="498" customWidth="1"/>
    <col min="2068" max="2068" width="4" style="498" customWidth="1"/>
    <col min="2069" max="2070" width="4.42578125" style="498" customWidth="1"/>
    <col min="2071" max="2071" width="3.5703125" style="498" customWidth="1"/>
    <col min="2072" max="2072" width="4.42578125" style="498" customWidth="1"/>
    <col min="2073" max="2073" width="5.5703125" style="498" customWidth="1"/>
    <col min="2074" max="2074" width="3.5703125" style="498" customWidth="1"/>
    <col min="2075" max="2075" width="4" style="498" customWidth="1"/>
    <col min="2076" max="2076" width="4.5703125" style="498" customWidth="1"/>
    <col min="2077" max="2079" width="4.42578125" style="498" customWidth="1"/>
    <col min="2080" max="2081" width="4.5703125" style="498" customWidth="1"/>
    <col min="2082" max="2082" width="4" style="498" customWidth="1"/>
    <col min="2083" max="2083" width="4.5703125" style="498" customWidth="1"/>
    <col min="2084" max="2084" width="6" style="498" customWidth="1"/>
    <col min="2085" max="2085" width="8.5703125" style="498" customWidth="1"/>
    <col min="2086" max="2305" width="11.42578125" style="498"/>
    <col min="2306" max="2306" width="6.42578125" style="498" customWidth="1"/>
    <col min="2307" max="2307" width="47.5703125" style="498" customWidth="1"/>
    <col min="2308" max="2309" width="5" style="498" customWidth="1"/>
    <col min="2310" max="2310" width="5.42578125" style="498" customWidth="1"/>
    <col min="2311" max="2311" width="4.5703125" style="498" customWidth="1"/>
    <col min="2312" max="2313" width="4.42578125" style="498" customWidth="1"/>
    <col min="2314" max="2314" width="3.5703125" style="498" customWidth="1"/>
    <col min="2315" max="2315" width="5" style="498" customWidth="1"/>
    <col min="2316" max="2316" width="4" style="498" customWidth="1"/>
    <col min="2317" max="2318" width="4.5703125" style="498" customWidth="1"/>
    <col min="2319" max="2319" width="4.42578125" style="498" customWidth="1"/>
    <col min="2320" max="2320" width="4" style="498" customWidth="1"/>
    <col min="2321" max="2321" width="3.5703125" style="498" customWidth="1"/>
    <col min="2322" max="2323" width="4.5703125" style="498" customWidth="1"/>
    <col min="2324" max="2324" width="4" style="498" customWidth="1"/>
    <col min="2325" max="2326" width="4.42578125" style="498" customWidth="1"/>
    <col min="2327" max="2327" width="3.5703125" style="498" customWidth="1"/>
    <col min="2328" max="2328" width="4.42578125" style="498" customWidth="1"/>
    <col min="2329" max="2329" width="5.5703125" style="498" customWidth="1"/>
    <col min="2330" max="2330" width="3.5703125" style="498" customWidth="1"/>
    <col min="2331" max="2331" width="4" style="498" customWidth="1"/>
    <col min="2332" max="2332" width="4.5703125" style="498" customWidth="1"/>
    <col min="2333" max="2335" width="4.42578125" style="498" customWidth="1"/>
    <col min="2336" max="2337" width="4.5703125" style="498" customWidth="1"/>
    <col min="2338" max="2338" width="4" style="498" customWidth="1"/>
    <col min="2339" max="2339" width="4.5703125" style="498" customWidth="1"/>
    <col min="2340" max="2340" width="6" style="498" customWidth="1"/>
    <col min="2341" max="2341" width="8.5703125" style="498" customWidth="1"/>
    <col min="2342" max="2561" width="11.42578125" style="498"/>
    <col min="2562" max="2562" width="6.42578125" style="498" customWidth="1"/>
    <col min="2563" max="2563" width="47.5703125" style="498" customWidth="1"/>
    <col min="2564" max="2565" width="5" style="498" customWidth="1"/>
    <col min="2566" max="2566" width="5.42578125" style="498" customWidth="1"/>
    <col min="2567" max="2567" width="4.5703125" style="498" customWidth="1"/>
    <col min="2568" max="2569" width="4.42578125" style="498" customWidth="1"/>
    <col min="2570" max="2570" width="3.5703125" style="498" customWidth="1"/>
    <col min="2571" max="2571" width="5" style="498" customWidth="1"/>
    <col min="2572" max="2572" width="4" style="498" customWidth="1"/>
    <col min="2573" max="2574" width="4.5703125" style="498" customWidth="1"/>
    <col min="2575" max="2575" width="4.42578125" style="498" customWidth="1"/>
    <col min="2576" max="2576" width="4" style="498" customWidth="1"/>
    <col min="2577" max="2577" width="3.5703125" style="498" customWidth="1"/>
    <col min="2578" max="2579" width="4.5703125" style="498" customWidth="1"/>
    <col min="2580" max="2580" width="4" style="498" customWidth="1"/>
    <col min="2581" max="2582" width="4.42578125" style="498" customWidth="1"/>
    <col min="2583" max="2583" width="3.5703125" style="498" customWidth="1"/>
    <col min="2584" max="2584" width="4.42578125" style="498" customWidth="1"/>
    <col min="2585" max="2585" width="5.5703125" style="498" customWidth="1"/>
    <col min="2586" max="2586" width="3.5703125" style="498" customWidth="1"/>
    <col min="2587" max="2587" width="4" style="498" customWidth="1"/>
    <col min="2588" max="2588" width="4.5703125" style="498" customWidth="1"/>
    <col min="2589" max="2591" width="4.42578125" style="498" customWidth="1"/>
    <col min="2592" max="2593" width="4.5703125" style="498" customWidth="1"/>
    <col min="2594" max="2594" width="4" style="498" customWidth="1"/>
    <col min="2595" max="2595" width="4.5703125" style="498" customWidth="1"/>
    <col min="2596" max="2596" width="6" style="498" customWidth="1"/>
    <col min="2597" max="2597" width="8.5703125" style="498" customWidth="1"/>
    <col min="2598" max="2817" width="11.42578125" style="498"/>
    <col min="2818" max="2818" width="6.42578125" style="498" customWidth="1"/>
    <col min="2819" max="2819" width="47.5703125" style="498" customWidth="1"/>
    <col min="2820" max="2821" width="5" style="498" customWidth="1"/>
    <col min="2822" max="2822" width="5.42578125" style="498" customWidth="1"/>
    <col min="2823" max="2823" width="4.5703125" style="498" customWidth="1"/>
    <col min="2824" max="2825" width="4.42578125" style="498" customWidth="1"/>
    <col min="2826" max="2826" width="3.5703125" style="498" customWidth="1"/>
    <col min="2827" max="2827" width="5" style="498" customWidth="1"/>
    <col min="2828" max="2828" width="4" style="498" customWidth="1"/>
    <col min="2829" max="2830" width="4.5703125" style="498" customWidth="1"/>
    <col min="2831" max="2831" width="4.42578125" style="498" customWidth="1"/>
    <col min="2832" max="2832" width="4" style="498" customWidth="1"/>
    <col min="2833" max="2833" width="3.5703125" style="498" customWidth="1"/>
    <col min="2834" max="2835" width="4.5703125" style="498" customWidth="1"/>
    <col min="2836" max="2836" width="4" style="498" customWidth="1"/>
    <col min="2837" max="2838" width="4.42578125" style="498" customWidth="1"/>
    <col min="2839" max="2839" width="3.5703125" style="498" customWidth="1"/>
    <col min="2840" max="2840" width="4.42578125" style="498" customWidth="1"/>
    <col min="2841" max="2841" width="5.5703125" style="498" customWidth="1"/>
    <col min="2842" max="2842" width="3.5703125" style="498" customWidth="1"/>
    <col min="2843" max="2843" width="4" style="498" customWidth="1"/>
    <col min="2844" max="2844" width="4.5703125" style="498" customWidth="1"/>
    <col min="2845" max="2847" width="4.42578125" style="498" customWidth="1"/>
    <col min="2848" max="2849" width="4.5703125" style="498" customWidth="1"/>
    <col min="2850" max="2850" width="4" style="498" customWidth="1"/>
    <col min="2851" max="2851" width="4.5703125" style="498" customWidth="1"/>
    <col min="2852" max="2852" width="6" style="498" customWidth="1"/>
    <col min="2853" max="2853" width="8.5703125" style="498" customWidth="1"/>
    <col min="2854" max="3073" width="11.42578125" style="498"/>
    <col min="3074" max="3074" width="6.42578125" style="498" customWidth="1"/>
    <col min="3075" max="3075" width="47.5703125" style="498" customWidth="1"/>
    <col min="3076" max="3077" width="5" style="498" customWidth="1"/>
    <col min="3078" max="3078" width="5.42578125" style="498" customWidth="1"/>
    <col min="3079" max="3079" width="4.5703125" style="498" customWidth="1"/>
    <col min="3080" max="3081" width="4.42578125" style="498" customWidth="1"/>
    <col min="3082" max="3082" width="3.5703125" style="498" customWidth="1"/>
    <col min="3083" max="3083" width="5" style="498" customWidth="1"/>
    <col min="3084" max="3084" width="4" style="498" customWidth="1"/>
    <col min="3085" max="3086" width="4.5703125" style="498" customWidth="1"/>
    <col min="3087" max="3087" width="4.42578125" style="498" customWidth="1"/>
    <col min="3088" max="3088" width="4" style="498" customWidth="1"/>
    <col min="3089" max="3089" width="3.5703125" style="498" customWidth="1"/>
    <col min="3090" max="3091" width="4.5703125" style="498" customWidth="1"/>
    <col min="3092" max="3092" width="4" style="498" customWidth="1"/>
    <col min="3093" max="3094" width="4.42578125" style="498" customWidth="1"/>
    <col min="3095" max="3095" width="3.5703125" style="498" customWidth="1"/>
    <col min="3096" max="3096" width="4.42578125" style="498" customWidth="1"/>
    <col min="3097" max="3097" width="5.5703125" style="498" customWidth="1"/>
    <col min="3098" max="3098" width="3.5703125" style="498" customWidth="1"/>
    <col min="3099" max="3099" width="4" style="498" customWidth="1"/>
    <col min="3100" max="3100" width="4.5703125" style="498" customWidth="1"/>
    <col min="3101" max="3103" width="4.42578125" style="498" customWidth="1"/>
    <col min="3104" max="3105" width="4.5703125" style="498" customWidth="1"/>
    <col min="3106" max="3106" width="4" style="498" customWidth="1"/>
    <col min="3107" max="3107" width="4.5703125" style="498" customWidth="1"/>
    <col min="3108" max="3108" width="6" style="498" customWidth="1"/>
    <col min="3109" max="3109" width="8.5703125" style="498" customWidth="1"/>
    <col min="3110" max="3329" width="11.42578125" style="498"/>
    <col min="3330" max="3330" width="6.42578125" style="498" customWidth="1"/>
    <col min="3331" max="3331" width="47.5703125" style="498" customWidth="1"/>
    <col min="3332" max="3333" width="5" style="498" customWidth="1"/>
    <col min="3334" max="3334" width="5.42578125" style="498" customWidth="1"/>
    <col min="3335" max="3335" width="4.5703125" style="498" customWidth="1"/>
    <col min="3336" max="3337" width="4.42578125" style="498" customWidth="1"/>
    <col min="3338" max="3338" width="3.5703125" style="498" customWidth="1"/>
    <col min="3339" max="3339" width="5" style="498" customWidth="1"/>
    <col min="3340" max="3340" width="4" style="498" customWidth="1"/>
    <col min="3341" max="3342" width="4.5703125" style="498" customWidth="1"/>
    <col min="3343" max="3343" width="4.42578125" style="498" customWidth="1"/>
    <col min="3344" max="3344" width="4" style="498" customWidth="1"/>
    <col min="3345" max="3345" width="3.5703125" style="498" customWidth="1"/>
    <col min="3346" max="3347" width="4.5703125" style="498" customWidth="1"/>
    <col min="3348" max="3348" width="4" style="498" customWidth="1"/>
    <col min="3349" max="3350" width="4.42578125" style="498" customWidth="1"/>
    <col min="3351" max="3351" width="3.5703125" style="498" customWidth="1"/>
    <col min="3352" max="3352" width="4.42578125" style="498" customWidth="1"/>
    <col min="3353" max="3353" width="5.5703125" style="498" customWidth="1"/>
    <col min="3354" max="3354" width="3.5703125" style="498" customWidth="1"/>
    <col min="3355" max="3355" width="4" style="498" customWidth="1"/>
    <col min="3356" max="3356" width="4.5703125" style="498" customWidth="1"/>
    <col min="3357" max="3359" width="4.42578125" style="498" customWidth="1"/>
    <col min="3360" max="3361" width="4.5703125" style="498" customWidth="1"/>
    <col min="3362" max="3362" width="4" style="498" customWidth="1"/>
    <col min="3363" max="3363" width="4.5703125" style="498" customWidth="1"/>
    <col min="3364" max="3364" width="6" style="498" customWidth="1"/>
    <col min="3365" max="3365" width="8.5703125" style="498" customWidth="1"/>
    <col min="3366" max="3585" width="11.42578125" style="498"/>
    <col min="3586" max="3586" width="6.42578125" style="498" customWidth="1"/>
    <col min="3587" max="3587" width="47.5703125" style="498" customWidth="1"/>
    <col min="3588" max="3589" width="5" style="498" customWidth="1"/>
    <col min="3590" max="3590" width="5.42578125" style="498" customWidth="1"/>
    <col min="3591" max="3591" width="4.5703125" style="498" customWidth="1"/>
    <col min="3592" max="3593" width="4.42578125" style="498" customWidth="1"/>
    <col min="3594" max="3594" width="3.5703125" style="498" customWidth="1"/>
    <col min="3595" max="3595" width="5" style="498" customWidth="1"/>
    <col min="3596" max="3596" width="4" style="498" customWidth="1"/>
    <col min="3597" max="3598" width="4.5703125" style="498" customWidth="1"/>
    <col min="3599" max="3599" width="4.42578125" style="498" customWidth="1"/>
    <col min="3600" max="3600" width="4" style="498" customWidth="1"/>
    <col min="3601" max="3601" width="3.5703125" style="498" customWidth="1"/>
    <col min="3602" max="3603" width="4.5703125" style="498" customWidth="1"/>
    <col min="3604" max="3604" width="4" style="498" customWidth="1"/>
    <col min="3605" max="3606" width="4.42578125" style="498" customWidth="1"/>
    <col min="3607" max="3607" width="3.5703125" style="498" customWidth="1"/>
    <col min="3608" max="3608" width="4.42578125" style="498" customWidth="1"/>
    <col min="3609" max="3609" width="5.5703125" style="498" customWidth="1"/>
    <col min="3610" max="3610" width="3.5703125" style="498" customWidth="1"/>
    <col min="3611" max="3611" width="4" style="498" customWidth="1"/>
    <col min="3612" max="3612" width="4.5703125" style="498" customWidth="1"/>
    <col min="3613" max="3615" width="4.42578125" style="498" customWidth="1"/>
    <col min="3616" max="3617" width="4.5703125" style="498" customWidth="1"/>
    <col min="3618" max="3618" width="4" style="498" customWidth="1"/>
    <col min="3619" max="3619" width="4.5703125" style="498" customWidth="1"/>
    <col min="3620" max="3620" width="6" style="498" customWidth="1"/>
    <col min="3621" max="3621" width="8.5703125" style="498" customWidth="1"/>
    <col min="3622" max="3841" width="11.42578125" style="498"/>
    <col min="3842" max="3842" width="6.42578125" style="498" customWidth="1"/>
    <col min="3843" max="3843" width="47.5703125" style="498" customWidth="1"/>
    <col min="3844" max="3845" width="5" style="498" customWidth="1"/>
    <col min="3846" max="3846" width="5.42578125" style="498" customWidth="1"/>
    <col min="3847" max="3847" width="4.5703125" style="498" customWidth="1"/>
    <col min="3848" max="3849" width="4.42578125" style="498" customWidth="1"/>
    <col min="3850" max="3850" width="3.5703125" style="498" customWidth="1"/>
    <col min="3851" max="3851" width="5" style="498" customWidth="1"/>
    <col min="3852" max="3852" width="4" style="498" customWidth="1"/>
    <col min="3853" max="3854" width="4.5703125" style="498" customWidth="1"/>
    <col min="3855" max="3855" width="4.42578125" style="498" customWidth="1"/>
    <col min="3856" max="3856" width="4" style="498" customWidth="1"/>
    <col min="3857" max="3857" width="3.5703125" style="498" customWidth="1"/>
    <col min="3858" max="3859" width="4.5703125" style="498" customWidth="1"/>
    <col min="3860" max="3860" width="4" style="498" customWidth="1"/>
    <col min="3861" max="3862" width="4.42578125" style="498" customWidth="1"/>
    <col min="3863" max="3863" width="3.5703125" style="498" customWidth="1"/>
    <col min="3864" max="3864" width="4.42578125" style="498" customWidth="1"/>
    <col min="3865" max="3865" width="5.5703125" style="498" customWidth="1"/>
    <col min="3866" max="3866" width="3.5703125" style="498" customWidth="1"/>
    <col min="3867" max="3867" width="4" style="498" customWidth="1"/>
    <col min="3868" max="3868" width="4.5703125" style="498" customWidth="1"/>
    <col min="3869" max="3871" width="4.42578125" style="498" customWidth="1"/>
    <col min="3872" max="3873" width="4.5703125" style="498" customWidth="1"/>
    <col min="3874" max="3874" width="4" style="498" customWidth="1"/>
    <col min="3875" max="3875" width="4.5703125" style="498" customWidth="1"/>
    <col min="3876" max="3876" width="6" style="498" customWidth="1"/>
    <col min="3877" max="3877" width="8.5703125" style="498" customWidth="1"/>
    <col min="3878" max="4097" width="11.42578125" style="498"/>
    <col min="4098" max="4098" width="6.42578125" style="498" customWidth="1"/>
    <col min="4099" max="4099" width="47.5703125" style="498" customWidth="1"/>
    <col min="4100" max="4101" width="5" style="498" customWidth="1"/>
    <col min="4102" max="4102" width="5.42578125" style="498" customWidth="1"/>
    <col min="4103" max="4103" width="4.5703125" style="498" customWidth="1"/>
    <col min="4104" max="4105" width="4.42578125" style="498" customWidth="1"/>
    <col min="4106" max="4106" width="3.5703125" style="498" customWidth="1"/>
    <col min="4107" max="4107" width="5" style="498" customWidth="1"/>
    <col min="4108" max="4108" width="4" style="498" customWidth="1"/>
    <col min="4109" max="4110" width="4.5703125" style="498" customWidth="1"/>
    <col min="4111" max="4111" width="4.42578125" style="498" customWidth="1"/>
    <col min="4112" max="4112" width="4" style="498" customWidth="1"/>
    <col min="4113" max="4113" width="3.5703125" style="498" customWidth="1"/>
    <col min="4114" max="4115" width="4.5703125" style="498" customWidth="1"/>
    <col min="4116" max="4116" width="4" style="498" customWidth="1"/>
    <col min="4117" max="4118" width="4.42578125" style="498" customWidth="1"/>
    <col min="4119" max="4119" width="3.5703125" style="498" customWidth="1"/>
    <col min="4120" max="4120" width="4.42578125" style="498" customWidth="1"/>
    <col min="4121" max="4121" width="5.5703125" style="498" customWidth="1"/>
    <col min="4122" max="4122" width="3.5703125" style="498" customWidth="1"/>
    <col min="4123" max="4123" width="4" style="498" customWidth="1"/>
    <col min="4124" max="4124" width="4.5703125" style="498" customWidth="1"/>
    <col min="4125" max="4127" width="4.42578125" style="498" customWidth="1"/>
    <col min="4128" max="4129" width="4.5703125" style="498" customWidth="1"/>
    <col min="4130" max="4130" width="4" style="498" customWidth="1"/>
    <col min="4131" max="4131" width="4.5703125" style="498" customWidth="1"/>
    <col min="4132" max="4132" width="6" style="498" customWidth="1"/>
    <col min="4133" max="4133" width="8.5703125" style="498" customWidth="1"/>
    <col min="4134" max="4353" width="11.42578125" style="498"/>
    <col min="4354" max="4354" width="6.42578125" style="498" customWidth="1"/>
    <col min="4355" max="4355" width="47.5703125" style="498" customWidth="1"/>
    <col min="4356" max="4357" width="5" style="498" customWidth="1"/>
    <col min="4358" max="4358" width="5.42578125" style="498" customWidth="1"/>
    <col min="4359" max="4359" width="4.5703125" style="498" customWidth="1"/>
    <col min="4360" max="4361" width="4.42578125" style="498" customWidth="1"/>
    <col min="4362" max="4362" width="3.5703125" style="498" customWidth="1"/>
    <col min="4363" max="4363" width="5" style="498" customWidth="1"/>
    <col min="4364" max="4364" width="4" style="498" customWidth="1"/>
    <col min="4365" max="4366" width="4.5703125" style="498" customWidth="1"/>
    <col min="4367" max="4367" width="4.42578125" style="498" customWidth="1"/>
    <col min="4368" max="4368" width="4" style="498" customWidth="1"/>
    <col min="4369" max="4369" width="3.5703125" style="498" customWidth="1"/>
    <col min="4370" max="4371" width="4.5703125" style="498" customWidth="1"/>
    <col min="4372" max="4372" width="4" style="498" customWidth="1"/>
    <col min="4373" max="4374" width="4.42578125" style="498" customWidth="1"/>
    <col min="4375" max="4375" width="3.5703125" style="498" customWidth="1"/>
    <col min="4376" max="4376" width="4.42578125" style="498" customWidth="1"/>
    <col min="4377" max="4377" width="5.5703125" style="498" customWidth="1"/>
    <col min="4378" max="4378" width="3.5703125" style="498" customWidth="1"/>
    <col min="4379" max="4379" width="4" style="498" customWidth="1"/>
    <col min="4380" max="4380" width="4.5703125" style="498" customWidth="1"/>
    <col min="4381" max="4383" width="4.42578125" style="498" customWidth="1"/>
    <col min="4384" max="4385" width="4.5703125" style="498" customWidth="1"/>
    <col min="4386" max="4386" width="4" style="498" customWidth="1"/>
    <col min="4387" max="4387" width="4.5703125" style="498" customWidth="1"/>
    <col min="4388" max="4388" width="6" style="498" customWidth="1"/>
    <col min="4389" max="4389" width="8.5703125" style="498" customWidth="1"/>
    <col min="4390" max="4609" width="11.42578125" style="498"/>
    <col min="4610" max="4610" width="6.42578125" style="498" customWidth="1"/>
    <col min="4611" max="4611" width="47.5703125" style="498" customWidth="1"/>
    <col min="4612" max="4613" width="5" style="498" customWidth="1"/>
    <col min="4614" max="4614" width="5.42578125" style="498" customWidth="1"/>
    <col min="4615" max="4615" width="4.5703125" style="498" customWidth="1"/>
    <col min="4616" max="4617" width="4.42578125" style="498" customWidth="1"/>
    <col min="4618" max="4618" width="3.5703125" style="498" customWidth="1"/>
    <col min="4619" max="4619" width="5" style="498" customWidth="1"/>
    <col min="4620" max="4620" width="4" style="498" customWidth="1"/>
    <col min="4621" max="4622" width="4.5703125" style="498" customWidth="1"/>
    <col min="4623" max="4623" width="4.42578125" style="498" customWidth="1"/>
    <col min="4624" max="4624" width="4" style="498" customWidth="1"/>
    <col min="4625" max="4625" width="3.5703125" style="498" customWidth="1"/>
    <col min="4626" max="4627" width="4.5703125" style="498" customWidth="1"/>
    <col min="4628" max="4628" width="4" style="498" customWidth="1"/>
    <col min="4629" max="4630" width="4.42578125" style="498" customWidth="1"/>
    <col min="4631" max="4631" width="3.5703125" style="498" customWidth="1"/>
    <col min="4632" max="4632" width="4.42578125" style="498" customWidth="1"/>
    <col min="4633" max="4633" width="5.5703125" style="498" customWidth="1"/>
    <col min="4634" max="4634" width="3.5703125" style="498" customWidth="1"/>
    <col min="4635" max="4635" width="4" style="498" customWidth="1"/>
    <col min="4636" max="4636" width="4.5703125" style="498" customWidth="1"/>
    <col min="4637" max="4639" width="4.42578125" style="498" customWidth="1"/>
    <col min="4640" max="4641" width="4.5703125" style="498" customWidth="1"/>
    <col min="4642" max="4642" width="4" style="498" customWidth="1"/>
    <col min="4643" max="4643" width="4.5703125" style="498" customWidth="1"/>
    <col min="4644" max="4644" width="6" style="498" customWidth="1"/>
    <col min="4645" max="4645" width="8.5703125" style="498" customWidth="1"/>
    <col min="4646" max="4865" width="11.42578125" style="498"/>
    <col min="4866" max="4866" width="6.42578125" style="498" customWidth="1"/>
    <col min="4867" max="4867" width="47.5703125" style="498" customWidth="1"/>
    <col min="4868" max="4869" width="5" style="498" customWidth="1"/>
    <col min="4870" max="4870" width="5.42578125" style="498" customWidth="1"/>
    <col min="4871" max="4871" width="4.5703125" style="498" customWidth="1"/>
    <col min="4872" max="4873" width="4.42578125" style="498" customWidth="1"/>
    <col min="4874" max="4874" width="3.5703125" style="498" customWidth="1"/>
    <col min="4875" max="4875" width="5" style="498" customWidth="1"/>
    <col min="4876" max="4876" width="4" style="498" customWidth="1"/>
    <col min="4877" max="4878" width="4.5703125" style="498" customWidth="1"/>
    <col min="4879" max="4879" width="4.42578125" style="498" customWidth="1"/>
    <col min="4880" max="4880" width="4" style="498" customWidth="1"/>
    <col min="4881" max="4881" width="3.5703125" style="498" customWidth="1"/>
    <col min="4882" max="4883" width="4.5703125" style="498" customWidth="1"/>
    <col min="4884" max="4884" width="4" style="498" customWidth="1"/>
    <col min="4885" max="4886" width="4.42578125" style="498" customWidth="1"/>
    <col min="4887" max="4887" width="3.5703125" style="498" customWidth="1"/>
    <col min="4888" max="4888" width="4.42578125" style="498" customWidth="1"/>
    <col min="4889" max="4889" width="5.5703125" style="498" customWidth="1"/>
    <col min="4890" max="4890" width="3.5703125" style="498" customWidth="1"/>
    <col min="4891" max="4891" width="4" style="498" customWidth="1"/>
    <col min="4892" max="4892" width="4.5703125" style="498" customWidth="1"/>
    <col min="4893" max="4895" width="4.42578125" style="498" customWidth="1"/>
    <col min="4896" max="4897" width="4.5703125" style="498" customWidth="1"/>
    <col min="4898" max="4898" width="4" style="498" customWidth="1"/>
    <col min="4899" max="4899" width="4.5703125" style="498" customWidth="1"/>
    <col min="4900" max="4900" width="6" style="498" customWidth="1"/>
    <col min="4901" max="4901" width="8.5703125" style="498" customWidth="1"/>
    <col min="4902" max="5121" width="11.42578125" style="498"/>
    <col min="5122" max="5122" width="6.42578125" style="498" customWidth="1"/>
    <col min="5123" max="5123" width="47.5703125" style="498" customWidth="1"/>
    <col min="5124" max="5125" width="5" style="498" customWidth="1"/>
    <col min="5126" max="5126" width="5.42578125" style="498" customWidth="1"/>
    <col min="5127" max="5127" width="4.5703125" style="498" customWidth="1"/>
    <col min="5128" max="5129" width="4.42578125" style="498" customWidth="1"/>
    <col min="5130" max="5130" width="3.5703125" style="498" customWidth="1"/>
    <col min="5131" max="5131" width="5" style="498" customWidth="1"/>
    <col min="5132" max="5132" width="4" style="498" customWidth="1"/>
    <col min="5133" max="5134" width="4.5703125" style="498" customWidth="1"/>
    <col min="5135" max="5135" width="4.42578125" style="498" customWidth="1"/>
    <col min="5136" max="5136" width="4" style="498" customWidth="1"/>
    <col min="5137" max="5137" width="3.5703125" style="498" customWidth="1"/>
    <col min="5138" max="5139" width="4.5703125" style="498" customWidth="1"/>
    <col min="5140" max="5140" width="4" style="498" customWidth="1"/>
    <col min="5141" max="5142" width="4.42578125" style="498" customWidth="1"/>
    <col min="5143" max="5143" width="3.5703125" style="498" customWidth="1"/>
    <col min="5144" max="5144" width="4.42578125" style="498" customWidth="1"/>
    <col min="5145" max="5145" width="5.5703125" style="498" customWidth="1"/>
    <col min="5146" max="5146" width="3.5703125" style="498" customWidth="1"/>
    <col min="5147" max="5147" width="4" style="498" customWidth="1"/>
    <col min="5148" max="5148" width="4.5703125" style="498" customWidth="1"/>
    <col min="5149" max="5151" width="4.42578125" style="498" customWidth="1"/>
    <col min="5152" max="5153" width="4.5703125" style="498" customWidth="1"/>
    <col min="5154" max="5154" width="4" style="498" customWidth="1"/>
    <col min="5155" max="5155" width="4.5703125" style="498" customWidth="1"/>
    <col min="5156" max="5156" width="6" style="498" customWidth="1"/>
    <col min="5157" max="5157" width="8.5703125" style="498" customWidth="1"/>
    <col min="5158" max="5377" width="11.42578125" style="498"/>
    <col min="5378" max="5378" width="6.42578125" style="498" customWidth="1"/>
    <col min="5379" max="5379" width="47.5703125" style="498" customWidth="1"/>
    <col min="5380" max="5381" width="5" style="498" customWidth="1"/>
    <col min="5382" max="5382" width="5.42578125" style="498" customWidth="1"/>
    <col min="5383" max="5383" width="4.5703125" style="498" customWidth="1"/>
    <col min="5384" max="5385" width="4.42578125" style="498" customWidth="1"/>
    <col min="5386" max="5386" width="3.5703125" style="498" customWidth="1"/>
    <col min="5387" max="5387" width="5" style="498" customWidth="1"/>
    <col min="5388" max="5388" width="4" style="498" customWidth="1"/>
    <col min="5389" max="5390" width="4.5703125" style="498" customWidth="1"/>
    <col min="5391" max="5391" width="4.42578125" style="498" customWidth="1"/>
    <col min="5392" max="5392" width="4" style="498" customWidth="1"/>
    <col min="5393" max="5393" width="3.5703125" style="498" customWidth="1"/>
    <col min="5394" max="5395" width="4.5703125" style="498" customWidth="1"/>
    <col min="5396" max="5396" width="4" style="498" customWidth="1"/>
    <col min="5397" max="5398" width="4.42578125" style="498" customWidth="1"/>
    <col min="5399" max="5399" width="3.5703125" style="498" customWidth="1"/>
    <col min="5400" max="5400" width="4.42578125" style="498" customWidth="1"/>
    <col min="5401" max="5401" width="5.5703125" style="498" customWidth="1"/>
    <col min="5402" max="5402" width="3.5703125" style="498" customWidth="1"/>
    <col min="5403" max="5403" width="4" style="498" customWidth="1"/>
    <col min="5404" max="5404" width="4.5703125" style="498" customWidth="1"/>
    <col min="5405" max="5407" width="4.42578125" style="498" customWidth="1"/>
    <col min="5408" max="5409" width="4.5703125" style="498" customWidth="1"/>
    <col min="5410" max="5410" width="4" style="498" customWidth="1"/>
    <col min="5411" max="5411" width="4.5703125" style="498" customWidth="1"/>
    <col min="5412" max="5412" width="6" style="498" customWidth="1"/>
    <col min="5413" max="5413" width="8.5703125" style="498" customWidth="1"/>
    <col min="5414" max="5633" width="11.42578125" style="498"/>
    <col min="5634" max="5634" width="6.42578125" style="498" customWidth="1"/>
    <col min="5635" max="5635" width="47.5703125" style="498" customWidth="1"/>
    <col min="5636" max="5637" width="5" style="498" customWidth="1"/>
    <col min="5638" max="5638" width="5.42578125" style="498" customWidth="1"/>
    <col min="5639" max="5639" width="4.5703125" style="498" customWidth="1"/>
    <col min="5640" max="5641" width="4.42578125" style="498" customWidth="1"/>
    <col min="5642" max="5642" width="3.5703125" style="498" customWidth="1"/>
    <col min="5643" max="5643" width="5" style="498" customWidth="1"/>
    <col min="5644" max="5644" width="4" style="498" customWidth="1"/>
    <col min="5645" max="5646" width="4.5703125" style="498" customWidth="1"/>
    <col min="5647" max="5647" width="4.42578125" style="498" customWidth="1"/>
    <col min="5648" max="5648" width="4" style="498" customWidth="1"/>
    <col min="5649" max="5649" width="3.5703125" style="498" customWidth="1"/>
    <col min="5650" max="5651" width="4.5703125" style="498" customWidth="1"/>
    <col min="5652" max="5652" width="4" style="498" customWidth="1"/>
    <col min="5653" max="5654" width="4.42578125" style="498" customWidth="1"/>
    <col min="5655" max="5655" width="3.5703125" style="498" customWidth="1"/>
    <col min="5656" max="5656" width="4.42578125" style="498" customWidth="1"/>
    <col min="5657" max="5657" width="5.5703125" style="498" customWidth="1"/>
    <col min="5658" max="5658" width="3.5703125" style="498" customWidth="1"/>
    <col min="5659" max="5659" width="4" style="498" customWidth="1"/>
    <col min="5660" max="5660" width="4.5703125" style="498" customWidth="1"/>
    <col min="5661" max="5663" width="4.42578125" style="498" customWidth="1"/>
    <col min="5664" max="5665" width="4.5703125" style="498" customWidth="1"/>
    <col min="5666" max="5666" width="4" style="498" customWidth="1"/>
    <col min="5667" max="5667" width="4.5703125" style="498" customWidth="1"/>
    <col min="5668" max="5668" width="6" style="498" customWidth="1"/>
    <col min="5669" max="5669" width="8.5703125" style="498" customWidth="1"/>
    <col min="5670" max="5889" width="11.42578125" style="498"/>
    <col min="5890" max="5890" width="6.42578125" style="498" customWidth="1"/>
    <col min="5891" max="5891" width="47.5703125" style="498" customWidth="1"/>
    <col min="5892" max="5893" width="5" style="498" customWidth="1"/>
    <col min="5894" max="5894" width="5.42578125" style="498" customWidth="1"/>
    <col min="5895" max="5895" width="4.5703125" style="498" customWidth="1"/>
    <col min="5896" max="5897" width="4.42578125" style="498" customWidth="1"/>
    <col min="5898" max="5898" width="3.5703125" style="498" customWidth="1"/>
    <col min="5899" max="5899" width="5" style="498" customWidth="1"/>
    <col min="5900" max="5900" width="4" style="498" customWidth="1"/>
    <col min="5901" max="5902" width="4.5703125" style="498" customWidth="1"/>
    <col min="5903" max="5903" width="4.42578125" style="498" customWidth="1"/>
    <col min="5904" max="5904" width="4" style="498" customWidth="1"/>
    <col min="5905" max="5905" width="3.5703125" style="498" customWidth="1"/>
    <col min="5906" max="5907" width="4.5703125" style="498" customWidth="1"/>
    <col min="5908" max="5908" width="4" style="498" customWidth="1"/>
    <col min="5909" max="5910" width="4.42578125" style="498" customWidth="1"/>
    <col min="5911" max="5911" width="3.5703125" style="498" customWidth="1"/>
    <col min="5912" max="5912" width="4.42578125" style="498" customWidth="1"/>
    <col min="5913" max="5913" width="5.5703125" style="498" customWidth="1"/>
    <col min="5914" max="5914" width="3.5703125" style="498" customWidth="1"/>
    <col min="5915" max="5915" width="4" style="498" customWidth="1"/>
    <col min="5916" max="5916" width="4.5703125" style="498" customWidth="1"/>
    <col min="5917" max="5919" width="4.42578125" style="498" customWidth="1"/>
    <col min="5920" max="5921" width="4.5703125" style="498" customWidth="1"/>
    <col min="5922" max="5922" width="4" style="498" customWidth="1"/>
    <col min="5923" max="5923" width="4.5703125" style="498" customWidth="1"/>
    <col min="5924" max="5924" width="6" style="498" customWidth="1"/>
    <col min="5925" max="5925" width="8.5703125" style="498" customWidth="1"/>
    <col min="5926" max="6145" width="11.42578125" style="498"/>
    <col min="6146" max="6146" width="6.42578125" style="498" customWidth="1"/>
    <col min="6147" max="6147" width="47.5703125" style="498" customWidth="1"/>
    <col min="6148" max="6149" width="5" style="498" customWidth="1"/>
    <col min="6150" max="6150" width="5.42578125" style="498" customWidth="1"/>
    <col min="6151" max="6151" width="4.5703125" style="498" customWidth="1"/>
    <col min="6152" max="6153" width="4.42578125" style="498" customWidth="1"/>
    <col min="6154" max="6154" width="3.5703125" style="498" customWidth="1"/>
    <col min="6155" max="6155" width="5" style="498" customWidth="1"/>
    <col min="6156" max="6156" width="4" style="498" customWidth="1"/>
    <col min="6157" max="6158" width="4.5703125" style="498" customWidth="1"/>
    <col min="6159" max="6159" width="4.42578125" style="498" customWidth="1"/>
    <col min="6160" max="6160" width="4" style="498" customWidth="1"/>
    <col min="6161" max="6161" width="3.5703125" style="498" customWidth="1"/>
    <col min="6162" max="6163" width="4.5703125" style="498" customWidth="1"/>
    <col min="6164" max="6164" width="4" style="498" customWidth="1"/>
    <col min="6165" max="6166" width="4.42578125" style="498" customWidth="1"/>
    <col min="6167" max="6167" width="3.5703125" style="498" customWidth="1"/>
    <col min="6168" max="6168" width="4.42578125" style="498" customWidth="1"/>
    <col min="6169" max="6169" width="5.5703125" style="498" customWidth="1"/>
    <col min="6170" max="6170" width="3.5703125" style="498" customWidth="1"/>
    <col min="6171" max="6171" width="4" style="498" customWidth="1"/>
    <col min="6172" max="6172" width="4.5703125" style="498" customWidth="1"/>
    <col min="6173" max="6175" width="4.42578125" style="498" customWidth="1"/>
    <col min="6176" max="6177" width="4.5703125" style="498" customWidth="1"/>
    <col min="6178" max="6178" width="4" style="498" customWidth="1"/>
    <col min="6179" max="6179" width="4.5703125" style="498" customWidth="1"/>
    <col min="6180" max="6180" width="6" style="498" customWidth="1"/>
    <col min="6181" max="6181" width="8.5703125" style="498" customWidth="1"/>
    <col min="6182" max="6401" width="11.42578125" style="498"/>
    <col min="6402" max="6402" width="6.42578125" style="498" customWidth="1"/>
    <col min="6403" max="6403" width="47.5703125" style="498" customWidth="1"/>
    <col min="6404" max="6405" width="5" style="498" customWidth="1"/>
    <col min="6406" max="6406" width="5.42578125" style="498" customWidth="1"/>
    <col min="6407" max="6407" width="4.5703125" style="498" customWidth="1"/>
    <col min="6408" max="6409" width="4.42578125" style="498" customWidth="1"/>
    <col min="6410" max="6410" width="3.5703125" style="498" customWidth="1"/>
    <col min="6411" max="6411" width="5" style="498" customWidth="1"/>
    <col min="6412" max="6412" width="4" style="498" customWidth="1"/>
    <col min="6413" max="6414" width="4.5703125" style="498" customWidth="1"/>
    <col min="6415" max="6415" width="4.42578125" style="498" customWidth="1"/>
    <col min="6416" max="6416" width="4" style="498" customWidth="1"/>
    <col min="6417" max="6417" width="3.5703125" style="498" customWidth="1"/>
    <col min="6418" max="6419" width="4.5703125" style="498" customWidth="1"/>
    <col min="6420" max="6420" width="4" style="498" customWidth="1"/>
    <col min="6421" max="6422" width="4.42578125" style="498" customWidth="1"/>
    <col min="6423" max="6423" width="3.5703125" style="498" customWidth="1"/>
    <col min="6424" max="6424" width="4.42578125" style="498" customWidth="1"/>
    <col min="6425" max="6425" width="5.5703125" style="498" customWidth="1"/>
    <col min="6426" max="6426" width="3.5703125" style="498" customWidth="1"/>
    <col min="6427" max="6427" width="4" style="498" customWidth="1"/>
    <col min="6428" max="6428" width="4.5703125" style="498" customWidth="1"/>
    <col min="6429" max="6431" width="4.42578125" style="498" customWidth="1"/>
    <col min="6432" max="6433" width="4.5703125" style="498" customWidth="1"/>
    <col min="6434" max="6434" width="4" style="498" customWidth="1"/>
    <col min="6435" max="6435" width="4.5703125" style="498" customWidth="1"/>
    <col min="6436" max="6436" width="6" style="498" customWidth="1"/>
    <col min="6437" max="6437" width="8.5703125" style="498" customWidth="1"/>
    <col min="6438" max="6657" width="11.42578125" style="498"/>
    <col min="6658" max="6658" width="6.42578125" style="498" customWidth="1"/>
    <col min="6659" max="6659" width="47.5703125" style="498" customWidth="1"/>
    <col min="6660" max="6661" width="5" style="498" customWidth="1"/>
    <col min="6662" max="6662" width="5.42578125" style="498" customWidth="1"/>
    <col min="6663" max="6663" width="4.5703125" style="498" customWidth="1"/>
    <col min="6664" max="6665" width="4.42578125" style="498" customWidth="1"/>
    <col min="6666" max="6666" width="3.5703125" style="498" customWidth="1"/>
    <col min="6667" max="6667" width="5" style="498" customWidth="1"/>
    <col min="6668" max="6668" width="4" style="498" customWidth="1"/>
    <col min="6669" max="6670" width="4.5703125" style="498" customWidth="1"/>
    <col min="6671" max="6671" width="4.42578125" style="498" customWidth="1"/>
    <col min="6672" max="6672" width="4" style="498" customWidth="1"/>
    <col min="6673" max="6673" width="3.5703125" style="498" customWidth="1"/>
    <col min="6674" max="6675" width="4.5703125" style="498" customWidth="1"/>
    <col min="6676" max="6676" width="4" style="498" customWidth="1"/>
    <col min="6677" max="6678" width="4.42578125" style="498" customWidth="1"/>
    <col min="6679" max="6679" width="3.5703125" style="498" customWidth="1"/>
    <col min="6680" max="6680" width="4.42578125" style="498" customWidth="1"/>
    <col min="6681" max="6681" width="5.5703125" style="498" customWidth="1"/>
    <col min="6682" max="6682" width="3.5703125" style="498" customWidth="1"/>
    <col min="6683" max="6683" width="4" style="498" customWidth="1"/>
    <col min="6684" max="6684" width="4.5703125" style="498" customWidth="1"/>
    <col min="6685" max="6687" width="4.42578125" style="498" customWidth="1"/>
    <col min="6688" max="6689" width="4.5703125" style="498" customWidth="1"/>
    <col min="6690" max="6690" width="4" style="498" customWidth="1"/>
    <col min="6691" max="6691" width="4.5703125" style="498" customWidth="1"/>
    <col min="6692" max="6692" width="6" style="498" customWidth="1"/>
    <col min="6693" max="6693" width="8.5703125" style="498" customWidth="1"/>
    <col min="6694" max="6913" width="11.42578125" style="498"/>
    <col min="6914" max="6914" width="6.42578125" style="498" customWidth="1"/>
    <col min="6915" max="6915" width="47.5703125" style="498" customWidth="1"/>
    <col min="6916" max="6917" width="5" style="498" customWidth="1"/>
    <col min="6918" max="6918" width="5.42578125" style="498" customWidth="1"/>
    <col min="6919" max="6919" width="4.5703125" style="498" customWidth="1"/>
    <col min="6920" max="6921" width="4.42578125" style="498" customWidth="1"/>
    <col min="6922" max="6922" width="3.5703125" style="498" customWidth="1"/>
    <col min="6923" max="6923" width="5" style="498" customWidth="1"/>
    <col min="6924" max="6924" width="4" style="498" customWidth="1"/>
    <col min="6925" max="6926" width="4.5703125" style="498" customWidth="1"/>
    <col min="6927" max="6927" width="4.42578125" style="498" customWidth="1"/>
    <col min="6928" max="6928" width="4" style="498" customWidth="1"/>
    <col min="6929" max="6929" width="3.5703125" style="498" customWidth="1"/>
    <col min="6930" max="6931" width="4.5703125" style="498" customWidth="1"/>
    <col min="6932" max="6932" width="4" style="498" customWidth="1"/>
    <col min="6933" max="6934" width="4.42578125" style="498" customWidth="1"/>
    <col min="6935" max="6935" width="3.5703125" style="498" customWidth="1"/>
    <col min="6936" max="6936" width="4.42578125" style="498" customWidth="1"/>
    <col min="6937" max="6937" width="5.5703125" style="498" customWidth="1"/>
    <col min="6938" max="6938" width="3.5703125" style="498" customWidth="1"/>
    <col min="6939" max="6939" width="4" style="498" customWidth="1"/>
    <col min="6940" max="6940" width="4.5703125" style="498" customWidth="1"/>
    <col min="6941" max="6943" width="4.42578125" style="498" customWidth="1"/>
    <col min="6944" max="6945" width="4.5703125" style="498" customWidth="1"/>
    <col min="6946" max="6946" width="4" style="498" customWidth="1"/>
    <col min="6947" max="6947" width="4.5703125" style="498" customWidth="1"/>
    <col min="6948" max="6948" width="6" style="498" customWidth="1"/>
    <col min="6949" max="6949" width="8.5703125" style="498" customWidth="1"/>
    <col min="6950" max="7169" width="11.42578125" style="498"/>
    <col min="7170" max="7170" width="6.42578125" style="498" customWidth="1"/>
    <col min="7171" max="7171" width="47.5703125" style="498" customWidth="1"/>
    <col min="7172" max="7173" width="5" style="498" customWidth="1"/>
    <col min="7174" max="7174" width="5.42578125" style="498" customWidth="1"/>
    <col min="7175" max="7175" width="4.5703125" style="498" customWidth="1"/>
    <col min="7176" max="7177" width="4.42578125" style="498" customWidth="1"/>
    <col min="7178" max="7178" width="3.5703125" style="498" customWidth="1"/>
    <col min="7179" max="7179" width="5" style="498" customWidth="1"/>
    <col min="7180" max="7180" width="4" style="498" customWidth="1"/>
    <col min="7181" max="7182" width="4.5703125" style="498" customWidth="1"/>
    <col min="7183" max="7183" width="4.42578125" style="498" customWidth="1"/>
    <col min="7184" max="7184" width="4" style="498" customWidth="1"/>
    <col min="7185" max="7185" width="3.5703125" style="498" customWidth="1"/>
    <col min="7186" max="7187" width="4.5703125" style="498" customWidth="1"/>
    <col min="7188" max="7188" width="4" style="498" customWidth="1"/>
    <col min="7189" max="7190" width="4.42578125" style="498" customWidth="1"/>
    <col min="7191" max="7191" width="3.5703125" style="498" customWidth="1"/>
    <col min="7192" max="7192" width="4.42578125" style="498" customWidth="1"/>
    <col min="7193" max="7193" width="5.5703125" style="498" customWidth="1"/>
    <col min="7194" max="7194" width="3.5703125" style="498" customWidth="1"/>
    <col min="7195" max="7195" width="4" style="498" customWidth="1"/>
    <col min="7196" max="7196" width="4.5703125" style="498" customWidth="1"/>
    <col min="7197" max="7199" width="4.42578125" style="498" customWidth="1"/>
    <col min="7200" max="7201" width="4.5703125" style="498" customWidth="1"/>
    <col min="7202" max="7202" width="4" style="498" customWidth="1"/>
    <col min="7203" max="7203" width="4.5703125" style="498" customWidth="1"/>
    <col min="7204" max="7204" width="6" style="498" customWidth="1"/>
    <col min="7205" max="7205" width="8.5703125" style="498" customWidth="1"/>
    <col min="7206" max="7425" width="11.42578125" style="498"/>
    <col min="7426" max="7426" width="6.42578125" style="498" customWidth="1"/>
    <col min="7427" max="7427" width="47.5703125" style="498" customWidth="1"/>
    <col min="7428" max="7429" width="5" style="498" customWidth="1"/>
    <col min="7430" max="7430" width="5.42578125" style="498" customWidth="1"/>
    <col min="7431" max="7431" width="4.5703125" style="498" customWidth="1"/>
    <col min="7432" max="7433" width="4.42578125" style="498" customWidth="1"/>
    <col min="7434" max="7434" width="3.5703125" style="498" customWidth="1"/>
    <col min="7435" max="7435" width="5" style="498" customWidth="1"/>
    <col min="7436" max="7436" width="4" style="498" customWidth="1"/>
    <col min="7437" max="7438" width="4.5703125" style="498" customWidth="1"/>
    <col min="7439" max="7439" width="4.42578125" style="498" customWidth="1"/>
    <col min="7440" max="7440" width="4" style="498" customWidth="1"/>
    <col min="7441" max="7441" width="3.5703125" style="498" customWidth="1"/>
    <col min="7442" max="7443" width="4.5703125" style="498" customWidth="1"/>
    <col min="7444" max="7444" width="4" style="498" customWidth="1"/>
    <col min="7445" max="7446" width="4.42578125" style="498" customWidth="1"/>
    <col min="7447" max="7447" width="3.5703125" style="498" customWidth="1"/>
    <col min="7448" max="7448" width="4.42578125" style="498" customWidth="1"/>
    <col min="7449" max="7449" width="5.5703125" style="498" customWidth="1"/>
    <col min="7450" max="7450" width="3.5703125" style="498" customWidth="1"/>
    <col min="7451" max="7451" width="4" style="498" customWidth="1"/>
    <col min="7452" max="7452" width="4.5703125" style="498" customWidth="1"/>
    <col min="7453" max="7455" width="4.42578125" style="498" customWidth="1"/>
    <col min="7456" max="7457" width="4.5703125" style="498" customWidth="1"/>
    <col min="7458" max="7458" width="4" style="498" customWidth="1"/>
    <col min="7459" max="7459" width="4.5703125" style="498" customWidth="1"/>
    <col min="7460" max="7460" width="6" style="498" customWidth="1"/>
    <col min="7461" max="7461" width="8.5703125" style="498" customWidth="1"/>
    <col min="7462" max="7681" width="11.42578125" style="498"/>
    <col min="7682" max="7682" width="6.42578125" style="498" customWidth="1"/>
    <col min="7683" max="7683" width="47.5703125" style="498" customWidth="1"/>
    <col min="7684" max="7685" width="5" style="498" customWidth="1"/>
    <col min="7686" max="7686" width="5.42578125" style="498" customWidth="1"/>
    <col min="7687" max="7687" width="4.5703125" style="498" customWidth="1"/>
    <col min="7688" max="7689" width="4.42578125" style="498" customWidth="1"/>
    <col min="7690" max="7690" width="3.5703125" style="498" customWidth="1"/>
    <col min="7691" max="7691" width="5" style="498" customWidth="1"/>
    <col min="7692" max="7692" width="4" style="498" customWidth="1"/>
    <col min="7693" max="7694" width="4.5703125" style="498" customWidth="1"/>
    <col min="7695" max="7695" width="4.42578125" style="498" customWidth="1"/>
    <col min="7696" max="7696" width="4" style="498" customWidth="1"/>
    <col min="7697" max="7697" width="3.5703125" style="498" customWidth="1"/>
    <col min="7698" max="7699" width="4.5703125" style="498" customWidth="1"/>
    <col min="7700" max="7700" width="4" style="498" customWidth="1"/>
    <col min="7701" max="7702" width="4.42578125" style="498" customWidth="1"/>
    <col min="7703" max="7703" width="3.5703125" style="498" customWidth="1"/>
    <col min="7704" max="7704" width="4.42578125" style="498" customWidth="1"/>
    <col min="7705" max="7705" width="5.5703125" style="498" customWidth="1"/>
    <col min="7706" max="7706" width="3.5703125" style="498" customWidth="1"/>
    <col min="7707" max="7707" width="4" style="498" customWidth="1"/>
    <col min="7708" max="7708" width="4.5703125" style="498" customWidth="1"/>
    <col min="7709" max="7711" width="4.42578125" style="498" customWidth="1"/>
    <col min="7712" max="7713" width="4.5703125" style="498" customWidth="1"/>
    <col min="7714" max="7714" width="4" style="498" customWidth="1"/>
    <col min="7715" max="7715" width="4.5703125" style="498" customWidth="1"/>
    <col min="7716" max="7716" width="6" style="498" customWidth="1"/>
    <col min="7717" max="7717" width="8.5703125" style="498" customWidth="1"/>
    <col min="7718" max="7937" width="11.42578125" style="498"/>
    <col min="7938" max="7938" width="6.42578125" style="498" customWidth="1"/>
    <col min="7939" max="7939" width="47.5703125" style="498" customWidth="1"/>
    <col min="7940" max="7941" width="5" style="498" customWidth="1"/>
    <col min="7942" max="7942" width="5.42578125" style="498" customWidth="1"/>
    <col min="7943" max="7943" width="4.5703125" style="498" customWidth="1"/>
    <col min="7944" max="7945" width="4.42578125" style="498" customWidth="1"/>
    <col min="7946" max="7946" width="3.5703125" style="498" customWidth="1"/>
    <col min="7947" max="7947" width="5" style="498" customWidth="1"/>
    <col min="7948" max="7948" width="4" style="498" customWidth="1"/>
    <col min="7949" max="7950" width="4.5703125" style="498" customWidth="1"/>
    <col min="7951" max="7951" width="4.42578125" style="498" customWidth="1"/>
    <col min="7952" max="7952" width="4" style="498" customWidth="1"/>
    <col min="7953" max="7953" width="3.5703125" style="498" customWidth="1"/>
    <col min="7954" max="7955" width="4.5703125" style="498" customWidth="1"/>
    <col min="7956" max="7956" width="4" style="498" customWidth="1"/>
    <col min="7957" max="7958" width="4.42578125" style="498" customWidth="1"/>
    <col min="7959" max="7959" width="3.5703125" style="498" customWidth="1"/>
    <col min="7960" max="7960" width="4.42578125" style="498" customWidth="1"/>
    <col min="7961" max="7961" width="5.5703125" style="498" customWidth="1"/>
    <col min="7962" max="7962" width="3.5703125" style="498" customWidth="1"/>
    <col min="7963" max="7963" width="4" style="498" customWidth="1"/>
    <col min="7964" max="7964" width="4.5703125" style="498" customWidth="1"/>
    <col min="7965" max="7967" width="4.42578125" style="498" customWidth="1"/>
    <col min="7968" max="7969" width="4.5703125" style="498" customWidth="1"/>
    <col min="7970" max="7970" width="4" style="498" customWidth="1"/>
    <col min="7971" max="7971" width="4.5703125" style="498" customWidth="1"/>
    <col min="7972" max="7972" width="6" style="498" customWidth="1"/>
    <col min="7973" max="7973" width="8.5703125" style="498" customWidth="1"/>
    <col min="7974" max="8193" width="11.42578125" style="498"/>
    <col min="8194" max="8194" width="6.42578125" style="498" customWidth="1"/>
    <col min="8195" max="8195" width="47.5703125" style="498" customWidth="1"/>
    <col min="8196" max="8197" width="5" style="498" customWidth="1"/>
    <col min="8198" max="8198" width="5.42578125" style="498" customWidth="1"/>
    <col min="8199" max="8199" width="4.5703125" style="498" customWidth="1"/>
    <col min="8200" max="8201" width="4.42578125" style="498" customWidth="1"/>
    <col min="8202" max="8202" width="3.5703125" style="498" customWidth="1"/>
    <col min="8203" max="8203" width="5" style="498" customWidth="1"/>
    <col min="8204" max="8204" width="4" style="498" customWidth="1"/>
    <col min="8205" max="8206" width="4.5703125" style="498" customWidth="1"/>
    <col min="8207" max="8207" width="4.42578125" style="498" customWidth="1"/>
    <col min="8208" max="8208" width="4" style="498" customWidth="1"/>
    <col min="8209" max="8209" width="3.5703125" style="498" customWidth="1"/>
    <col min="8210" max="8211" width="4.5703125" style="498" customWidth="1"/>
    <col min="8212" max="8212" width="4" style="498" customWidth="1"/>
    <col min="8213" max="8214" width="4.42578125" style="498" customWidth="1"/>
    <col min="8215" max="8215" width="3.5703125" style="498" customWidth="1"/>
    <col min="8216" max="8216" width="4.42578125" style="498" customWidth="1"/>
    <col min="8217" max="8217" width="5.5703125" style="498" customWidth="1"/>
    <col min="8218" max="8218" width="3.5703125" style="498" customWidth="1"/>
    <col min="8219" max="8219" width="4" style="498" customWidth="1"/>
    <col min="8220" max="8220" width="4.5703125" style="498" customWidth="1"/>
    <col min="8221" max="8223" width="4.42578125" style="498" customWidth="1"/>
    <col min="8224" max="8225" width="4.5703125" style="498" customWidth="1"/>
    <col min="8226" max="8226" width="4" style="498" customWidth="1"/>
    <col min="8227" max="8227" width="4.5703125" style="498" customWidth="1"/>
    <col min="8228" max="8228" width="6" style="498" customWidth="1"/>
    <col min="8229" max="8229" width="8.5703125" style="498" customWidth="1"/>
    <col min="8230" max="8449" width="11.42578125" style="498"/>
    <col min="8450" max="8450" width="6.42578125" style="498" customWidth="1"/>
    <col min="8451" max="8451" width="47.5703125" style="498" customWidth="1"/>
    <col min="8452" max="8453" width="5" style="498" customWidth="1"/>
    <col min="8454" max="8454" width="5.42578125" style="498" customWidth="1"/>
    <col min="8455" max="8455" width="4.5703125" style="498" customWidth="1"/>
    <col min="8456" max="8457" width="4.42578125" style="498" customWidth="1"/>
    <col min="8458" max="8458" width="3.5703125" style="498" customWidth="1"/>
    <col min="8459" max="8459" width="5" style="498" customWidth="1"/>
    <col min="8460" max="8460" width="4" style="498" customWidth="1"/>
    <col min="8461" max="8462" width="4.5703125" style="498" customWidth="1"/>
    <col min="8463" max="8463" width="4.42578125" style="498" customWidth="1"/>
    <col min="8464" max="8464" width="4" style="498" customWidth="1"/>
    <col min="8465" max="8465" width="3.5703125" style="498" customWidth="1"/>
    <col min="8466" max="8467" width="4.5703125" style="498" customWidth="1"/>
    <col min="8468" max="8468" width="4" style="498" customWidth="1"/>
    <col min="8469" max="8470" width="4.42578125" style="498" customWidth="1"/>
    <col min="8471" max="8471" width="3.5703125" style="498" customWidth="1"/>
    <col min="8472" max="8472" width="4.42578125" style="498" customWidth="1"/>
    <col min="8473" max="8473" width="5.5703125" style="498" customWidth="1"/>
    <col min="8474" max="8474" width="3.5703125" style="498" customWidth="1"/>
    <col min="8475" max="8475" width="4" style="498" customWidth="1"/>
    <col min="8476" max="8476" width="4.5703125" style="498" customWidth="1"/>
    <col min="8477" max="8479" width="4.42578125" style="498" customWidth="1"/>
    <col min="8480" max="8481" width="4.5703125" style="498" customWidth="1"/>
    <col min="8482" max="8482" width="4" style="498" customWidth="1"/>
    <col min="8483" max="8483" width="4.5703125" style="498" customWidth="1"/>
    <col min="8484" max="8484" width="6" style="498" customWidth="1"/>
    <col min="8485" max="8485" width="8.5703125" style="498" customWidth="1"/>
    <col min="8486" max="8705" width="11.42578125" style="498"/>
    <col min="8706" max="8706" width="6.42578125" style="498" customWidth="1"/>
    <col min="8707" max="8707" width="47.5703125" style="498" customWidth="1"/>
    <col min="8708" max="8709" width="5" style="498" customWidth="1"/>
    <col min="8710" max="8710" width="5.42578125" style="498" customWidth="1"/>
    <col min="8711" max="8711" width="4.5703125" style="498" customWidth="1"/>
    <col min="8712" max="8713" width="4.42578125" style="498" customWidth="1"/>
    <col min="8714" max="8714" width="3.5703125" style="498" customWidth="1"/>
    <col min="8715" max="8715" width="5" style="498" customWidth="1"/>
    <col min="8716" max="8716" width="4" style="498" customWidth="1"/>
    <col min="8717" max="8718" width="4.5703125" style="498" customWidth="1"/>
    <col min="8719" max="8719" width="4.42578125" style="498" customWidth="1"/>
    <col min="8720" max="8720" width="4" style="498" customWidth="1"/>
    <col min="8721" max="8721" width="3.5703125" style="498" customWidth="1"/>
    <col min="8722" max="8723" width="4.5703125" style="498" customWidth="1"/>
    <col min="8724" max="8724" width="4" style="498" customWidth="1"/>
    <col min="8725" max="8726" width="4.42578125" style="498" customWidth="1"/>
    <col min="8727" max="8727" width="3.5703125" style="498" customWidth="1"/>
    <col min="8728" max="8728" width="4.42578125" style="498" customWidth="1"/>
    <col min="8729" max="8729" width="5.5703125" style="498" customWidth="1"/>
    <col min="8730" max="8730" width="3.5703125" style="498" customWidth="1"/>
    <col min="8731" max="8731" width="4" style="498" customWidth="1"/>
    <col min="8732" max="8732" width="4.5703125" style="498" customWidth="1"/>
    <col min="8733" max="8735" width="4.42578125" style="498" customWidth="1"/>
    <col min="8736" max="8737" width="4.5703125" style="498" customWidth="1"/>
    <col min="8738" max="8738" width="4" style="498" customWidth="1"/>
    <col min="8739" max="8739" width="4.5703125" style="498" customWidth="1"/>
    <col min="8740" max="8740" width="6" style="498" customWidth="1"/>
    <col min="8741" max="8741" width="8.5703125" style="498" customWidth="1"/>
    <col min="8742" max="8961" width="11.42578125" style="498"/>
    <col min="8962" max="8962" width="6.42578125" style="498" customWidth="1"/>
    <col min="8963" max="8963" width="47.5703125" style="498" customWidth="1"/>
    <col min="8964" max="8965" width="5" style="498" customWidth="1"/>
    <col min="8966" max="8966" width="5.42578125" style="498" customWidth="1"/>
    <col min="8967" max="8967" width="4.5703125" style="498" customWidth="1"/>
    <col min="8968" max="8969" width="4.42578125" style="498" customWidth="1"/>
    <col min="8970" max="8970" width="3.5703125" style="498" customWidth="1"/>
    <col min="8971" max="8971" width="5" style="498" customWidth="1"/>
    <col min="8972" max="8972" width="4" style="498" customWidth="1"/>
    <col min="8973" max="8974" width="4.5703125" style="498" customWidth="1"/>
    <col min="8975" max="8975" width="4.42578125" style="498" customWidth="1"/>
    <col min="8976" max="8976" width="4" style="498" customWidth="1"/>
    <col min="8977" max="8977" width="3.5703125" style="498" customWidth="1"/>
    <col min="8978" max="8979" width="4.5703125" style="498" customWidth="1"/>
    <col min="8980" max="8980" width="4" style="498" customWidth="1"/>
    <col min="8981" max="8982" width="4.42578125" style="498" customWidth="1"/>
    <col min="8983" max="8983" width="3.5703125" style="498" customWidth="1"/>
    <col min="8984" max="8984" width="4.42578125" style="498" customWidth="1"/>
    <col min="8985" max="8985" width="5.5703125" style="498" customWidth="1"/>
    <col min="8986" max="8986" width="3.5703125" style="498" customWidth="1"/>
    <col min="8987" max="8987" width="4" style="498" customWidth="1"/>
    <col min="8988" max="8988" width="4.5703125" style="498" customWidth="1"/>
    <col min="8989" max="8991" width="4.42578125" style="498" customWidth="1"/>
    <col min="8992" max="8993" width="4.5703125" style="498" customWidth="1"/>
    <col min="8994" max="8994" width="4" style="498" customWidth="1"/>
    <col min="8995" max="8995" width="4.5703125" style="498" customWidth="1"/>
    <col min="8996" max="8996" width="6" style="498" customWidth="1"/>
    <col min="8997" max="8997" width="8.5703125" style="498" customWidth="1"/>
    <col min="8998" max="9217" width="11.42578125" style="498"/>
    <col min="9218" max="9218" width="6.42578125" style="498" customWidth="1"/>
    <col min="9219" max="9219" width="47.5703125" style="498" customWidth="1"/>
    <col min="9220" max="9221" width="5" style="498" customWidth="1"/>
    <col min="9222" max="9222" width="5.42578125" style="498" customWidth="1"/>
    <col min="9223" max="9223" width="4.5703125" style="498" customWidth="1"/>
    <col min="9224" max="9225" width="4.42578125" style="498" customWidth="1"/>
    <col min="9226" max="9226" width="3.5703125" style="498" customWidth="1"/>
    <col min="9227" max="9227" width="5" style="498" customWidth="1"/>
    <col min="9228" max="9228" width="4" style="498" customWidth="1"/>
    <col min="9229" max="9230" width="4.5703125" style="498" customWidth="1"/>
    <col min="9231" max="9231" width="4.42578125" style="498" customWidth="1"/>
    <col min="9232" max="9232" width="4" style="498" customWidth="1"/>
    <col min="9233" max="9233" width="3.5703125" style="498" customWidth="1"/>
    <col min="9234" max="9235" width="4.5703125" style="498" customWidth="1"/>
    <col min="9236" max="9236" width="4" style="498" customWidth="1"/>
    <col min="9237" max="9238" width="4.42578125" style="498" customWidth="1"/>
    <col min="9239" max="9239" width="3.5703125" style="498" customWidth="1"/>
    <col min="9240" max="9240" width="4.42578125" style="498" customWidth="1"/>
    <col min="9241" max="9241" width="5.5703125" style="498" customWidth="1"/>
    <col min="9242" max="9242" width="3.5703125" style="498" customWidth="1"/>
    <col min="9243" max="9243" width="4" style="498" customWidth="1"/>
    <col min="9244" max="9244" width="4.5703125" style="498" customWidth="1"/>
    <col min="9245" max="9247" width="4.42578125" style="498" customWidth="1"/>
    <col min="9248" max="9249" width="4.5703125" style="498" customWidth="1"/>
    <col min="9250" max="9250" width="4" style="498" customWidth="1"/>
    <col min="9251" max="9251" width="4.5703125" style="498" customWidth="1"/>
    <col min="9252" max="9252" width="6" style="498" customWidth="1"/>
    <col min="9253" max="9253" width="8.5703125" style="498" customWidth="1"/>
    <col min="9254" max="9473" width="11.42578125" style="498"/>
    <col min="9474" max="9474" width="6.42578125" style="498" customWidth="1"/>
    <col min="9475" max="9475" width="47.5703125" style="498" customWidth="1"/>
    <col min="9476" max="9477" width="5" style="498" customWidth="1"/>
    <col min="9478" max="9478" width="5.42578125" style="498" customWidth="1"/>
    <col min="9479" max="9479" width="4.5703125" style="498" customWidth="1"/>
    <col min="9480" max="9481" width="4.42578125" style="498" customWidth="1"/>
    <col min="9482" max="9482" width="3.5703125" style="498" customWidth="1"/>
    <col min="9483" max="9483" width="5" style="498" customWidth="1"/>
    <col min="9484" max="9484" width="4" style="498" customWidth="1"/>
    <col min="9485" max="9486" width="4.5703125" style="498" customWidth="1"/>
    <col min="9487" max="9487" width="4.42578125" style="498" customWidth="1"/>
    <col min="9488" max="9488" width="4" style="498" customWidth="1"/>
    <col min="9489" max="9489" width="3.5703125" style="498" customWidth="1"/>
    <col min="9490" max="9491" width="4.5703125" style="498" customWidth="1"/>
    <col min="9492" max="9492" width="4" style="498" customWidth="1"/>
    <col min="9493" max="9494" width="4.42578125" style="498" customWidth="1"/>
    <col min="9495" max="9495" width="3.5703125" style="498" customWidth="1"/>
    <col min="9496" max="9496" width="4.42578125" style="498" customWidth="1"/>
    <col min="9497" max="9497" width="5.5703125" style="498" customWidth="1"/>
    <col min="9498" max="9498" width="3.5703125" style="498" customWidth="1"/>
    <col min="9499" max="9499" width="4" style="498" customWidth="1"/>
    <col min="9500" max="9500" width="4.5703125" style="498" customWidth="1"/>
    <col min="9501" max="9503" width="4.42578125" style="498" customWidth="1"/>
    <col min="9504" max="9505" width="4.5703125" style="498" customWidth="1"/>
    <col min="9506" max="9506" width="4" style="498" customWidth="1"/>
    <col min="9507" max="9507" width="4.5703125" style="498" customWidth="1"/>
    <col min="9508" max="9508" width="6" style="498" customWidth="1"/>
    <col min="9509" max="9509" width="8.5703125" style="498" customWidth="1"/>
    <col min="9510" max="9729" width="11.42578125" style="498"/>
    <col min="9730" max="9730" width="6.42578125" style="498" customWidth="1"/>
    <col min="9731" max="9731" width="47.5703125" style="498" customWidth="1"/>
    <col min="9732" max="9733" width="5" style="498" customWidth="1"/>
    <col min="9734" max="9734" width="5.42578125" style="498" customWidth="1"/>
    <col min="9735" max="9735" width="4.5703125" style="498" customWidth="1"/>
    <col min="9736" max="9737" width="4.42578125" style="498" customWidth="1"/>
    <col min="9738" max="9738" width="3.5703125" style="498" customWidth="1"/>
    <col min="9739" max="9739" width="5" style="498" customWidth="1"/>
    <col min="9740" max="9740" width="4" style="498" customWidth="1"/>
    <col min="9741" max="9742" width="4.5703125" style="498" customWidth="1"/>
    <col min="9743" max="9743" width="4.42578125" style="498" customWidth="1"/>
    <col min="9744" max="9744" width="4" style="498" customWidth="1"/>
    <col min="9745" max="9745" width="3.5703125" style="498" customWidth="1"/>
    <col min="9746" max="9747" width="4.5703125" style="498" customWidth="1"/>
    <col min="9748" max="9748" width="4" style="498" customWidth="1"/>
    <col min="9749" max="9750" width="4.42578125" style="498" customWidth="1"/>
    <col min="9751" max="9751" width="3.5703125" style="498" customWidth="1"/>
    <col min="9752" max="9752" width="4.42578125" style="498" customWidth="1"/>
    <col min="9753" max="9753" width="5.5703125" style="498" customWidth="1"/>
    <col min="9754" max="9754" width="3.5703125" style="498" customWidth="1"/>
    <col min="9755" max="9755" width="4" style="498" customWidth="1"/>
    <col min="9756" max="9756" width="4.5703125" style="498" customWidth="1"/>
    <col min="9757" max="9759" width="4.42578125" style="498" customWidth="1"/>
    <col min="9760" max="9761" width="4.5703125" style="498" customWidth="1"/>
    <col min="9762" max="9762" width="4" style="498" customWidth="1"/>
    <col min="9763" max="9763" width="4.5703125" style="498" customWidth="1"/>
    <col min="9764" max="9764" width="6" style="498" customWidth="1"/>
    <col min="9765" max="9765" width="8.5703125" style="498" customWidth="1"/>
    <col min="9766" max="9985" width="11.42578125" style="498"/>
    <col min="9986" max="9986" width="6.42578125" style="498" customWidth="1"/>
    <col min="9987" max="9987" width="47.5703125" style="498" customWidth="1"/>
    <col min="9988" max="9989" width="5" style="498" customWidth="1"/>
    <col min="9990" max="9990" width="5.42578125" style="498" customWidth="1"/>
    <col min="9991" max="9991" width="4.5703125" style="498" customWidth="1"/>
    <col min="9992" max="9993" width="4.42578125" style="498" customWidth="1"/>
    <col min="9994" max="9994" width="3.5703125" style="498" customWidth="1"/>
    <col min="9995" max="9995" width="5" style="498" customWidth="1"/>
    <col min="9996" max="9996" width="4" style="498" customWidth="1"/>
    <col min="9997" max="9998" width="4.5703125" style="498" customWidth="1"/>
    <col min="9999" max="9999" width="4.42578125" style="498" customWidth="1"/>
    <col min="10000" max="10000" width="4" style="498" customWidth="1"/>
    <col min="10001" max="10001" width="3.5703125" style="498" customWidth="1"/>
    <col min="10002" max="10003" width="4.5703125" style="498" customWidth="1"/>
    <col min="10004" max="10004" width="4" style="498" customWidth="1"/>
    <col min="10005" max="10006" width="4.42578125" style="498" customWidth="1"/>
    <col min="10007" max="10007" width="3.5703125" style="498" customWidth="1"/>
    <col min="10008" max="10008" width="4.42578125" style="498" customWidth="1"/>
    <col min="10009" max="10009" width="5.5703125" style="498" customWidth="1"/>
    <col min="10010" max="10010" width="3.5703125" style="498" customWidth="1"/>
    <col min="10011" max="10011" width="4" style="498" customWidth="1"/>
    <col min="10012" max="10012" width="4.5703125" style="498" customWidth="1"/>
    <col min="10013" max="10015" width="4.42578125" style="498" customWidth="1"/>
    <col min="10016" max="10017" width="4.5703125" style="498" customWidth="1"/>
    <col min="10018" max="10018" width="4" style="498" customWidth="1"/>
    <col min="10019" max="10019" width="4.5703125" style="498" customWidth="1"/>
    <col min="10020" max="10020" width="6" style="498" customWidth="1"/>
    <col min="10021" max="10021" width="8.5703125" style="498" customWidth="1"/>
    <col min="10022" max="10241" width="11.42578125" style="498"/>
    <col min="10242" max="10242" width="6.42578125" style="498" customWidth="1"/>
    <col min="10243" max="10243" width="47.5703125" style="498" customWidth="1"/>
    <col min="10244" max="10245" width="5" style="498" customWidth="1"/>
    <col min="10246" max="10246" width="5.42578125" style="498" customWidth="1"/>
    <col min="10247" max="10247" width="4.5703125" style="498" customWidth="1"/>
    <col min="10248" max="10249" width="4.42578125" style="498" customWidth="1"/>
    <col min="10250" max="10250" width="3.5703125" style="498" customWidth="1"/>
    <col min="10251" max="10251" width="5" style="498" customWidth="1"/>
    <col min="10252" max="10252" width="4" style="498" customWidth="1"/>
    <col min="10253" max="10254" width="4.5703125" style="498" customWidth="1"/>
    <col min="10255" max="10255" width="4.42578125" style="498" customWidth="1"/>
    <col min="10256" max="10256" width="4" style="498" customWidth="1"/>
    <col min="10257" max="10257" width="3.5703125" style="498" customWidth="1"/>
    <col min="10258" max="10259" width="4.5703125" style="498" customWidth="1"/>
    <col min="10260" max="10260" width="4" style="498" customWidth="1"/>
    <col min="10261" max="10262" width="4.42578125" style="498" customWidth="1"/>
    <col min="10263" max="10263" width="3.5703125" style="498" customWidth="1"/>
    <col min="10264" max="10264" width="4.42578125" style="498" customWidth="1"/>
    <col min="10265" max="10265" width="5.5703125" style="498" customWidth="1"/>
    <col min="10266" max="10266" width="3.5703125" style="498" customWidth="1"/>
    <col min="10267" max="10267" width="4" style="498" customWidth="1"/>
    <col min="10268" max="10268" width="4.5703125" style="498" customWidth="1"/>
    <col min="10269" max="10271" width="4.42578125" style="498" customWidth="1"/>
    <col min="10272" max="10273" width="4.5703125" style="498" customWidth="1"/>
    <col min="10274" max="10274" width="4" style="498" customWidth="1"/>
    <col min="10275" max="10275" width="4.5703125" style="498" customWidth="1"/>
    <col min="10276" max="10276" width="6" style="498" customWidth="1"/>
    <col min="10277" max="10277" width="8.5703125" style="498" customWidth="1"/>
    <col min="10278" max="10497" width="11.42578125" style="498"/>
    <col min="10498" max="10498" width="6.42578125" style="498" customWidth="1"/>
    <col min="10499" max="10499" width="47.5703125" style="498" customWidth="1"/>
    <col min="10500" max="10501" width="5" style="498" customWidth="1"/>
    <col min="10502" max="10502" width="5.42578125" style="498" customWidth="1"/>
    <col min="10503" max="10503" width="4.5703125" style="498" customWidth="1"/>
    <col min="10504" max="10505" width="4.42578125" style="498" customWidth="1"/>
    <col min="10506" max="10506" width="3.5703125" style="498" customWidth="1"/>
    <col min="10507" max="10507" width="5" style="498" customWidth="1"/>
    <col min="10508" max="10508" width="4" style="498" customWidth="1"/>
    <col min="10509" max="10510" width="4.5703125" style="498" customWidth="1"/>
    <col min="10511" max="10511" width="4.42578125" style="498" customWidth="1"/>
    <col min="10512" max="10512" width="4" style="498" customWidth="1"/>
    <col min="10513" max="10513" width="3.5703125" style="498" customWidth="1"/>
    <col min="10514" max="10515" width="4.5703125" style="498" customWidth="1"/>
    <col min="10516" max="10516" width="4" style="498" customWidth="1"/>
    <col min="10517" max="10518" width="4.42578125" style="498" customWidth="1"/>
    <col min="10519" max="10519" width="3.5703125" style="498" customWidth="1"/>
    <col min="10520" max="10520" width="4.42578125" style="498" customWidth="1"/>
    <col min="10521" max="10521" width="5.5703125" style="498" customWidth="1"/>
    <col min="10522" max="10522" width="3.5703125" style="498" customWidth="1"/>
    <col min="10523" max="10523" width="4" style="498" customWidth="1"/>
    <col min="10524" max="10524" width="4.5703125" style="498" customWidth="1"/>
    <col min="10525" max="10527" width="4.42578125" style="498" customWidth="1"/>
    <col min="10528" max="10529" width="4.5703125" style="498" customWidth="1"/>
    <col min="10530" max="10530" width="4" style="498" customWidth="1"/>
    <col min="10531" max="10531" width="4.5703125" style="498" customWidth="1"/>
    <col min="10532" max="10532" width="6" style="498" customWidth="1"/>
    <col min="10533" max="10533" width="8.5703125" style="498" customWidth="1"/>
    <col min="10534" max="10753" width="11.42578125" style="498"/>
    <col min="10754" max="10754" width="6.42578125" style="498" customWidth="1"/>
    <col min="10755" max="10755" width="47.5703125" style="498" customWidth="1"/>
    <col min="10756" max="10757" width="5" style="498" customWidth="1"/>
    <col min="10758" max="10758" width="5.42578125" style="498" customWidth="1"/>
    <col min="10759" max="10759" width="4.5703125" style="498" customWidth="1"/>
    <col min="10760" max="10761" width="4.42578125" style="498" customWidth="1"/>
    <col min="10762" max="10762" width="3.5703125" style="498" customWidth="1"/>
    <col min="10763" max="10763" width="5" style="498" customWidth="1"/>
    <col min="10764" max="10764" width="4" style="498" customWidth="1"/>
    <col min="10765" max="10766" width="4.5703125" style="498" customWidth="1"/>
    <col min="10767" max="10767" width="4.42578125" style="498" customWidth="1"/>
    <col min="10768" max="10768" width="4" style="498" customWidth="1"/>
    <col min="10769" max="10769" width="3.5703125" style="498" customWidth="1"/>
    <col min="10770" max="10771" width="4.5703125" style="498" customWidth="1"/>
    <col min="10772" max="10772" width="4" style="498" customWidth="1"/>
    <col min="10773" max="10774" width="4.42578125" style="498" customWidth="1"/>
    <col min="10775" max="10775" width="3.5703125" style="498" customWidth="1"/>
    <col min="10776" max="10776" width="4.42578125" style="498" customWidth="1"/>
    <col min="10777" max="10777" width="5.5703125" style="498" customWidth="1"/>
    <col min="10778" max="10778" width="3.5703125" style="498" customWidth="1"/>
    <col min="10779" max="10779" width="4" style="498" customWidth="1"/>
    <col min="10780" max="10780" width="4.5703125" style="498" customWidth="1"/>
    <col min="10781" max="10783" width="4.42578125" style="498" customWidth="1"/>
    <col min="10784" max="10785" width="4.5703125" style="498" customWidth="1"/>
    <col min="10786" max="10786" width="4" style="498" customWidth="1"/>
    <col min="10787" max="10787" width="4.5703125" style="498" customWidth="1"/>
    <col min="10788" max="10788" width="6" style="498" customWidth="1"/>
    <col min="10789" max="10789" width="8.5703125" style="498" customWidth="1"/>
    <col min="10790" max="11009" width="11.42578125" style="498"/>
    <col min="11010" max="11010" width="6.42578125" style="498" customWidth="1"/>
    <col min="11011" max="11011" width="47.5703125" style="498" customWidth="1"/>
    <col min="11012" max="11013" width="5" style="498" customWidth="1"/>
    <col min="11014" max="11014" width="5.42578125" style="498" customWidth="1"/>
    <col min="11015" max="11015" width="4.5703125" style="498" customWidth="1"/>
    <col min="11016" max="11017" width="4.42578125" style="498" customWidth="1"/>
    <col min="11018" max="11018" width="3.5703125" style="498" customWidth="1"/>
    <col min="11019" max="11019" width="5" style="498" customWidth="1"/>
    <col min="11020" max="11020" width="4" style="498" customWidth="1"/>
    <col min="11021" max="11022" width="4.5703125" style="498" customWidth="1"/>
    <col min="11023" max="11023" width="4.42578125" style="498" customWidth="1"/>
    <col min="11024" max="11024" width="4" style="498" customWidth="1"/>
    <col min="11025" max="11025" width="3.5703125" style="498" customWidth="1"/>
    <col min="11026" max="11027" width="4.5703125" style="498" customWidth="1"/>
    <col min="11028" max="11028" width="4" style="498" customWidth="1"/>
    <col min="11029" max="11030" width="4.42578125" style="498" customWidth="1"/>
    <col min="11031" max="11031" width="3.5703125" style="498" customWidth="1"/>
    <col min="11032" max="11032" width="4.42578125" style="498" customWidth="1"/>
    <col min="11033" max="11033" width="5.5703125" style="498" customWidth="1"/>
    <col min="11034" max="11034" width="3.5703125" style="498" customWidth="1"/>
    <col min="11035" max="11035" width="4" style="498" customWidth="1"/>
    <col min="11036" max="11036" width="4.5703125" style="498" customWidth="1"/>
    <col min="11037" max="11039" width="4.42578125" style="498" customWidth="1"/>
    <col min="11040" max="11041" width="4.5703125" style="498" customWidth="1"/>
    <col min="11042" max="11042" width="4" style="498" customWidth="1"/>
    <col min="11043" max="11043" width="4.5703125" style="498" customWidth="1"/>
    <col min="11044" max="11044" width="6" style="498" customWidth="1"/>
    <col min="11045" max="11045" width="8.5703125" style="498" customWidth="1"/>
    <col min="11046" max="11265" width="11.42578125" style="498"/>
    <col min="11266" max="11266" width="6.42578125" style="498" customWidth="1"/>
    <col min="11267" max="11267" width="47.5703125" style="498" customWidth="1"/>
    <col min="11268" max="11269" width="5" style="498" customWidth="1"/>
    <col min="11270" max="11270" width="5.42578125" style="498" customWidth="1"/>
    <col min="11271" max="11271" width="4.5703125" style="498" customWidth="1"/>
    <col min="11272" max="11273" width="4.42578125" style="498" customWidth="1"/>
    <col min="11274" max="11274" width="3.5703125" style="498" customWidth="1"/>
    <col min="11275" max="11275" width="5" style="498" customWidth="1"/>
    <col min="11276" max="11276" width="4" style="498" customWidth="1"/>
    <col min="11277" max="11278" width="4.5703125" style="498" customWidth="1"/>
    <col min="11279" max="11279" width="4.42578125" style="498" customWidth="1"/>
    <col min="11280" max="11280" width="4" style="498" customWidth="1"/>
    <col min="11281" max="11281" width="3.5703125" style="498" customWidth="1"/>
    <col min="11282" max="11283" width="4.5703125" style="498" customWidth="1"/>
    <col min="11284" max="11284" width="4" style="498" customWidth="1"/>
    <col min="11285" max="11286" width="4.42578125" style="498" customWidth="1"/>
    <col min="11287" max="11287" width="3.5703125" style="498" customWidth="1"/>
    <col min="11288" max="11288" width="4.42578125" style="498" customWidth="1"/>
    <col min="11289" max="11289" width="5.5703125" style="498" customWidth="1"/>
    <col min="11290" max="11290" width="3.5703125" style="498" customWidth="1"/>
    <col min="11291" max="11291" width="4" style="498" customWidth="1"/>
    <col min="11292" max="11292" width="4.5703125" style="498" customWidth="1"/>
    <col min="11293" max="11295" width="4.42578125" style="498" customWidth="1"/>
    <col min="11296" max="11297" width="4.5703125" style="498" customWidth="1"/>
    <col min="11298" max="11298" width="4" style="498" customWidth="1"/>
    <col min="11299" max="11299" width="4.5703125" style="498" customWidth="1"/>
    <col min="11300" max="11300" width="6" style="498" customWidth="1"/>
    <col min="11301" max="11301" width="8.5703125" style="498" customWidth="1"/>
    <col min="11302" max="11521" width="11.42578125" style="498"/>
    <col min="11522" max="11522" width="6.42578125" style="498" customWidth="1"/>
    <col min="11523" max="11523" width="47.5703125" style="498" customWidth="1"/>
    <col min="11524" max="11525" width="5" style="498" customWidth="1"/>
    <col min="11526" max="11526" width="5.42578125" style="498" customWidth="1"/>
    <col min="11527" max="11527" width="4.5703125" style="498" customWidth="1"/>
    <col min="11528" max="11529" width="4.42578125" style="498" customWidth="1"/>
    <col min="11530" max="11530" width="3.5703125" style="498" customWidth="1"/>
    <col min="11531" max="11531" width="5" style="498" customWidth="1"/>
    <col min="11532" max="11532" width="4" style="498" customWidth="1"/>
    <col min="11533" max="11534" width="4.5703125" style="498" customWidth="1"/>
    <col min="11535" max="11535" width="4.42578125" style="498" customWidth="1"/>
    <col min="11536" max="11536" width="4" style="498" customWidth="1"/>
    <col min="11537" max="11537" width="3.5703125" style="498" customWidth="1"/>
    <col min="11538" max="11539" width="4.5703125" style="498" customWidth="1"/>
    <col min="11540" max="11540" width="4" style="498" customWidth="1"/>
    <col min="11541" max="11542" width="4.42578125" style="498" customWidth="1"/>
    <col min="11543" max="11543" width="3.5703125" style="498" customWidth="1"/>
    <col min="11544" max="11544" width="4.42578125" style="498" customWidth="1"/>
    <col min="11545" max="11545" width="5.5703125" style="498" customWidth="1"/>
    <col min="11546" max="11546" width="3.5703125" style="498" customWidth="1"/>
    <col min="11547" max="11547" width="4" style="498" customWidth="1"/>
    <col min="11548" max="11548" width="4.5703125" style="498" customWidth="1"/>
    <col min="11549" max="11551" width="4.42578125" style="498" customWidth="1"/>
    <col min="11552" max="11553" width="4.5703125" style="498" customWidth="1"/>
    <col min="11554" max="11554" width="4" style="498" customWidth="1"/>
    <col min="11555" max="11555" width="4.5703125" style="498" customWidth="1"/>
    <col min="11556" max="11556" width="6" style="498" customWidth="1"/>
    <col min="11557" max="11557" width="8.5703125" style="498" customWidth="1"/>
    <col min="11558" max="11777" width="11.42578125" style="498"/>
    <col min="11778" max="11778" width="6.42578125" style="498" customWidth="1"/>
    <col min="11779" max="11779" width="47.5703125" style="498" customWidth="1"/>
    <col min="11780" max="11781" width="5" style="498" customWidth="1"/>
    <col min="11782" max="11782" width="5.42578125" style="498" customWidth="1"/>
    <col min="11783" max="11783" width="4.5703125" style="498" customWidth="1"/>
    <col min="11784" max="11785" width="4.42578125" style="498" customWidth="1"/>
    <col min="11786" max="11786" width="3.5703125" style="498" customWidth="1"/>
    <col min="11787" max="11787" width="5" style="498" customWidth="1"/>
    <col min="11788" max="11788" width="4" style="498" customWidth="1"/>
    <col min="11789" max="11790" width="4.5703125" style="498" customWidth="1"/>
    <col min="11791" max="11791" width="4.42578125" style="498" customWidth="1"/>
    <col min="11792" max="11792" width="4" style="498" customWidth="1"/>
    <col min="11793" max="11793" width="3.5703125" style="498" customWidth="1"/>
    <col min="11794" max="11795" width="4.5703125" style="498" customWidth="1"/>
    <col min="11796" max="11796" width="4" style="498" customWidth="1"/>
    <col min="11797" max="11798" width="4.42578125" style="498" customWidth="1"/>
    <col min="11799" max="11799" width="3.5703125" style="498" customWidth="1"/>
    <col min="11800" max="11800" width="4.42578125" style="498" customWidth="1"/>
    <col min="11801" max="11801" width="5.5703125" style="498" customWidth="1"/>
    <col min="11802" max="11802" width="3.5703125" style="498" customWidth="1"/>
    <col min="11803" max="11803" width="4" style="498" customWidth="1"/>
    <col min="11804" max="11804" width="4.5703125" style="498" customWidth="1"/>
    <col min="11805" max="11807" width="4.42578125" style="498" customWidth="1"/>
    <col min="11808" max="11809" width="4.5703125" style="498" customWidth="1"/>
    <col min="11810" max="11810" width="4" style="498" customWidth="1"/>
    <col min="11811" max="11811" width="4.5703125" style="498" customWidth="1"/>
    <col min="11812" max="11812" width="6" style="498" customWidth="1"/>
    <col min="11813" max="11813" width="8.5703125" style="498" customWidth="1"/>
    <col min="11814" max="12033" width="11.42578125" style="498"/>
    <col min="12034" max="12034" width="6.42578125" style="498" customWidth="1"/>
    <col min="12035" max="12035" width="47.5703125" style="498" customWidth="1"/>
    <col min="12036" max="12037" width="5" style="498" customWidth="1"/>
    <col min="12038" max="12038" width="5.42578125" style="498" customWidth="1"/>
    <col min="12039" max="12039" width="4.5703125" style="498" customWidth="1"/>
    <col min="12040" max="12041" width="4.42578125" style="498" customWidth="1"/>
    <col min="12042" max="12042" width="3.5703125" style="498" customWidth="1"/>
    <col min="12043" max="12043" width="5" style="498" customWidth="1"/>
    <col min="12044" max="12044" width="4" style="498" customWidth="1"/>
    <col min="12045" max="12046" width="4.5703125" style="498" customWidth="1"/>
    <col min="12047" max="12047" width="4.42578125" style="498" customWidth="1"/>
    <col min="12048" max="12048" width="4" style="498" customWidth="1"/>
    <col min="12049" max="12049" width="3.5703125" style="498" customWidth="1"/>
    <col min="12050" max="12051" width="4.5703125" style="498" customWidth="1"/>
    <col min="12052" max="12052" width="4" style="498" customWidth="1"/>
    <col min="12053" max="12054" width="4.42578125" style="498" customWidth="1"/>
    <col min="12055" max="12055" width="3.5703125" style="498" customWidth="1"/>
    <col min="12056" max="12056" width="4.42578125" style="498" customWidth="1"/>
    <col min="12057" max="12057" width="5.5703125" style="498" customWidth="1"/>
    <col min="12058" max="12058" width="3.5703125" style="498" customWidth="1"/>
    <col min="12059" max="12059" width="4" style="498" customWidth="1"/>
    <col min="12060" max="12060" width="4.5703125" style="498" customWidth="1"/>
    <col min="12061" max="12063" width="4.42578125" style="498" customWidth="1"/>
    <col min="12064" max="12065" width="4.5703125" style="498" customWidth="1"/>
    <col min="12066" max="12066" width="4" style="498" customWidth="1"/>
    <col min="12067" max="12067" width="4.5703125" style="498" customWidth="1"/>
    <col min="12068" max="12068" width="6" style="498" customWidth="1"/>
    <col min="12069" max="12069" width="8.5703125" style="498" customWidth="1"/>
    <col min="12070" max="12289" width="11.42578125" style="498"/>
    <col min="12290" max="12290" width="6.42578125" style="498" customWidth="1"/>
    <col min="12291" max="12291" width="47.5703125" style="498" customWidth="1"/>
    <col min="12292" max="12293" width="5" style="498" customWidth="1"/>
    <col min="12294" max="12294" width="5.42578125" style="498" customWidth="1"/>
    <col min="12295" max="12295" width="4.5703125" style="498" customWidth="1"/>
    <col min="12296" max="12297" width="4.42578125" style="498" customWidth="1"/>
    <col min="12298" max="12298" width="3.5703125" style="498" customWidth="1"/>
    <col min="12299" max="12299" width="5" style="498" customWidth="1"/>
    <col min="12300" max="12300" width="4" style="498" customWidth="1"/>
    <col min="12301" max="12302" width="4.5703125" style="498" customWidth="1"/>
    <col min="12303" max="12303" width="4.42578125" style="498" customWidth="1"/>
    <col min="12304" max="12304" width="4" style="498" customWidth="1"/>
    <col min="12305" max="12305" width="3.5703125" style="498" customWidth="1"/>
    <col min="12306" max="12307" width="4.5703125" style="498" customWidth="1"/>
    <col min="12308" max="12308" width="4" style="498" customWidth="1"/>
    <col min="12309" max="12310" width="4.42578125" style="498" customWidth="1"/>
    <col min="12311" max="12311" width="3.5703125" style="498" customWidth="1"/>
    <col min="12312" max="12312" width="4.42578125" style="498" customWidth="1"/>
    <col min="12313" max="12313" width="5.5703125" style="498" customWidth="1"/>
    <col min="12314" max="12314" width="3.5703125" style="498" customWidth="1"/>
    <col min="12315" max="12315" width="4" style="498" customWidth="1"/>
    <col min="12316" max="12316" width="4.5703125" style="498" customWidth="1"/>
    <col min="12317" max="12319" width="4.42578125" style="498" customWidth="1"/>
    <col min="12320" max="12321" width="4.5703125" style="498" customWidth="1"/>
    <col min="12322" max="12322" width="4" style="498" customWidth="1"/>
    <col min="12323" max="12323" width="4.5703125" style="498" customWidth="1"/>
    <col min="12324" max="12324" width="6" style="498" customWidth="1"/>
    <col min="12325" max="12325" width="8.5703125" style="498" customWidth="1"/>
    <col min="12326" max="12545" width="11.42578125" style="498"/>
    <col min="12546" max="12546" width="6.42578125" style="498" customWidth="1"/>
    <col min="12547" max="12547" width="47.5703125" style="498" customWidth="1"/>
    <col min="12548" max="12549" width="5" style="498" customWidth="1"/>
    <col min="12550" max="12550" width="5.42578125" style="498" customWidth="1"/>
    <col min="12551" max="12551" width="4.5703125" style="498" customWidth="1"/>
    <col min="12552" max="12553" width="4.42578125" style="498" customWidth="1"/>
    <col min="12554" max="12554" width="3.5703125" style="498" customWidth="1"/>
    <col min="12555" max="12555" width="5" style="498" customWidth="1"/>
    <col min="12556" max="12556" width="4" style="498" customWidth="1"/>
    <col min="12557" max="12558" width="4.5703125" style="498" customWidth="1"/>
    <col min="12559" max="12559" width="4.42578125" style="498" customWidth="1"/>
    <col min="12560" max="12560" width="4" style="498" customWidth="1"/>
    <col min="12561" max="12561" width="3.5703125" style="498" customWidth="1"/>
    <col min="12562" max="12563" width="4.5703125" style="498" customWidth="1"/>
    <col min="12564" max="12564" width="4" style="498" customWidth="1"/>
    <col min="12565" max="12566" width="4.42578125" style="498" customWidth="1"/>
    <col min="12567" max="12567" width="3.5703125" style="498" customWidth="1"/>
    <col min="12568" max="12568" width="4.42578125" style="498" customWidth="1"/>
    <col min="12569" max="12569" width="5.5703125" style="498" customWidth="1"/>
    <col min="12570" max="12570" width="3.5703125" style="498" customWidth="1"/>
    <col min="12571" max="12571" width="4" style="498" customWidth="1"/>
    <col min="12572" max="12572" width="4.5703125" style="498" customWidth="1"/>
    <col min="12573" max="12575" width="4.42578125" style="498" customWidth="1"/>
    <col min="12576" max="12577" width="4.5703125" style="498" customWidth="1"/>
    <col min="12578" max="12578" width="4" style="498" customWidth="1"/>
    <col min="12579" max="12579" width="4.5703125" style="498" customWidth="1"/>
    <col min="12580" max="12580" width="6" style="498" customWidth="1"/>
    <col min="12581" max="12581" width="8.5703125" style="498" customWidth="1"/>
    <col min="12582" max="12801" width="11.42578125" style="498"/>
    <col min="12802" max="12802" width="6.42578125" style="498" customWidth="1"/>
    <col min="12803" max="12803" width="47.5703125" style="498" customWidth="1"/>
    <col min="12804" max="12805" width="5" style="498" customWidth="1"/>
    <col min="12806" max="12806" width="5.42578125" style="498" customWidth="1"/>
    <col min="12807" max="12807" width="4.5703125" style="498" customWidth="1"/>
    <col min="12808" max="12809" width="4.42578125" style="498" customWidth="1"/>
    <col min="12810" max="12810" width="3.5703125" style="498" customWidth="1"/>
    <col min="12811" max="12811" width="5" style="498" customWidth="1"/>
    <col min="12812" max="12812" width="4" style="498" customWidth="1"/>
    <col min="12813" max="12814" width="4.5703125" style="498" customWidth="1"/>
    <col min="12815" max="12815" width="4.42578125" style="498" customWidth="1"/>
    <col min="12816" max="12816" width="4" style="498" customWidth="1"/>
    <col min="12817" max="12817" width="3.5703125" style="498" customWidth="1"/>
    <col min="12818" max="12819" width="4.5703125" style="498" customWidth="1"/>
    <col min="12820" max="12820" width="4" style="498" customWidth="1"/>
    <col min="12821" max="12822" width="4.42578125" style="498" customWidth="1"/>
    <col min="12823" max="12823" width="3.5703125" style="498" customWidth="1"/>
    <col min="12824" max="12824" width="4.42578125" style="498" customWidth="1"/>
    <col min="12825" max="12825" width="5.5703125" style="498" customWidth="1"/>
    <col min="12826" max="12826" width="3.5703125" style="498" customWidth="1"/>
    <col min="12827" max="12827" width="4" style="498" customWidth="1"/>
    <col min="12828" max="12828" width="4.5703125" style="498" customWidth="1"/>
    <col min="12829" max="12831" width="4.42578125" style="498" customWidth="1"/>
    <col min="12832" max="12833" width="4.5703125" style="498" customWidth="1"/>
    <col min="12834" max="12834" width="4" style="498" customWidth="1"/>
    <col min="12835" max="12835" width="4.5703125" style="498" customWidth="1"/>
    <col min="12836" max="12836" width="6" style="498" customWidth="1"/>
    <col min="12837" max="12837" width="8.5703125" style="498" customWidth="1"/>
    <col min="12838" max="13057" width="11.42578125" style="498"/>
    <col min="13058" max="13058" width="6.42578125" style="498" customWidth="1"/>
    <col min="13059" max="13059" width="47.5703125" style="498" customWidth="1"/>
    <col min="13060" max="13061" width="5" style="498" customWidth="1"/>
    <col min="13062" max="13062" width="5.42578125" style="498" customWidth="1"/>
    <col min="13063" max="13063" width="4.5703125" style="498" customWidth="1"/>
    <col min="13064" max="13065" width="4.42578125" style="498" customWidth="1"/>
    <col min="13066" max="13066" width="3.5703125" style="498" customWidth="1"/>
    <col min="13067" max="13067" width="5" style="498" customWidth="1"/>
    <col min="13068" max="13068" width="4" style="498" customWidth="1"/>
    <col min="13069" max="13070" width="4.5703125" style="498" customWidth="1"/>
    <col min="13071" max="13071" width="4.42578125" style="498" customWidth="1"/>
    <col min="13072" max="13072" width="4" style="498" customWidth="1"/>
    <col min="13073" max="13073" width="3.5703125" style="498" customWidth="1"/>
    <col min="13074" max="13075" width="4.5703125" style="498" customWidth="1"/>
    <col min="13076" max="13076" width="4" style="498" customWidth="1"/>
    <col min="13077" max="13078" width="4.42578125" style="498" customWidth="1"/>
    <col min="13079" max="13079" width="3.5703125" style="498" customWidth="1"/>
    <col min="13080" max="13080" width="4.42578125" style="498" customWidth="1"/>
    <col min="13081" max="13081" width="5.5703125" style="498" customWidth="1"/>
    <col min="13082" max="13082" width="3.5703125" style="498" customWidth="1"/>
    <col min="13083" max="13083" width="4" style="498" customWidth="1"/>
    <col min="13084" max="13084" width="4.5703125" style="498" customWidth="1"/>
    <col min="13085" max="13087" width="4.42578125" style="498" customWidth="1"/>
    <col min="13088" max="13089" width="4.5703125" style="498" customWidth="1"/>
    <col min="13090" max="13090" width="4" style="498" customWidth="1"/>
    <col min="13091" max="13091" width="4.5703125" style="498" customWidth="1"/>
    <col min="13092" max="13092" width="6" style="498" customWidth="1"/>
    <col min="13093" max="13093" width="8.5703125" style="498" customWidth="1"/>
    <col min="13094" max="13313" width="11.42578125" style="498"/>
    <col min="13314" max="13314" width="6.42578125" style="498" customWidth="1"/>
    <col min="13315" max="13315" width="47.5703125" style="498" customWidth="1"/>
    <col min="13316" max="13317" width="5" style="498" customWidth="1"/>
    <col min="13318" max="13318" width="5.42578125" style="498" customWidth="1"/>
    <col min="13319" max="13319" width="4.5703125" style="498" customWidth="1"/>
    <col min="13320" max="13321" width="4.42578125" style="498" customWidth="1"/>
    <col min="13322" max="13322" width="3.5703125" style="498" customWidth="1"/>
    <col min="13323" max="13323" width="5" style="498" customWidth="1"/>
    <col min="13324" max="13324" width="4" style="498" customWidth="1"/>
    <col min="13325" max="13326" width="4.5703125" style="498" customWidth="1"/>
    <col min="13327" max="13327" width="4.42578125" style="498" customWidth="1"/>
    <col min="13328" max="13328" width="4" style="498" customWidth="1"/>
    <col min="13329" max="13329" width="3.5703125" style="498" customWidth="1"/>
    <col min="13330" max="13331" width="4.5703125" style="498" customWidth="1"/>
    <col min="13332" max="13332" width="4" style="498" customWidth="1"/>
    <col min="13333" max="13334" width="4.42578125" style="498" customWidth="1"/>
    <col min="13335" max="13335" width="3.5703125" style="498" customWidth="1"/>
    <col min="13336" max="13336" width="4.42578125" style="498" customWidth="1"/>
    <col min="13337" max="13337" width="5.5703125" style="498" customWidth="1"/>
    <col min="13338" max="13338" width="3.5703125" style="498" customWidth="1"/>
    <col min="13339" max="13339" width="4" style="498" customWidth="1"/>
    <col min="13340" max="13340" width="4.5703125" style="498" customWidth="1"/>
    <col min="13341" max="13343" width="4.42578125" style="498" customWidth="1"/>
    <col min="13344" max="13345" width="4.5703125" style="498" customWidth="1"/>
    <col min="13346" max="13346" width="4" style="498" customWidth="1"/>
    <col min="13347" max="13347" width="4.5703125" style="498" customWidth="1"/>
    <col min="13348" max="13348" width="6" style="498" customWidth="1"/>
    <col min="13349" max="13349" width="8.5703125" style="498" customWidth="1"/>
    <col min="13350" max="13569" width="11.42578125" style="498"/>
    <col min="13570" max="13570" width="6.42578125" style="498" customWidth="1"/>
    <col min="13571" max="13571" width="47.5703125" style="498" customWidth="1"/>
    <col min="13572" max="13573" width="5" style="498" customWidth="1"/>
    <col min="13574" max="13574" width="5.42578125" style="498" customWidth="1"/>
    <col min="13575" max="13575" width="4.5703125" style="498" customWidth="1"/>
    <col min="13576" max="13577" width="4.42578125" style="498" customWidth="1"/>
    <col min="13578" max="13578" width="3.5703125" style="498" customWidth="1"/>
    <col min="13579" max="13579" width="5" style="498" customWidth="1"/>
    <col min="13580" max="13580" width="4" style="498" customWidth="1"/>
    <col min="13581" max="13582" width="4.5703125" style="498" customWidth="1"/>
    <col min="13583" max="13583" width="4.42578125" style="498" customWidth="1"/>
    <col min="13584" max="13584" width="4" style="498" customWidth="1"/>
    <col min="13585" max="13585" width="3.5703125" style="498" customWidth="1"/>
    <col min="13586" max="13587" width="4.5703125" style="498" customWidth="1"/>
    <col min="13588" max="13588" width="4" style="498" customWidth="1"/>
    <col min="13589" max="13590" width="4.42578125" style="498" customWidth="1"/>
    <col min="13591" max="13591" width="3.5703125" style="498" customWidth="1"/>
    <col min="13592" max="13592" width="4.42578125" style="498" customWidth="1"/>
    <col min="13593" max="13593" width="5.5703125" style="498" customWidth="1"/>
    <col min="13594" max="13594" width="3.5703125" style="498" customWidth="1"/>
    <col min="13595" max="13595" width="4" style="498" customWidth="1"/>
    <col min="13596" max="13596" width="4.5703125" style="498" customWidth="1"/>
    <col min="13597" max="13599" width="4.42578125" style="498" customWidth="1"/>
    <col min="13600" max="13601" width="4.5703125" style="498" customWidth="1"/>
    <col min="13602" max="13602" width="4" style="498" customWidth="1"/>
    <col min="13603" max="13603" width="4.5703125" style="498" customWidth="1"/>
    <col min="13604" max="13604" width="6" style="498" customWidth="1"/>
    <col min="13605" max="13605" width="8.5703125" style="498" customWidth="1"/>
    <col min="13606" max="13825" width="11.42578125" style="498"/>
    <col min="13826" max="13826" width="6.42578125" style="498" customWidth="1"/>
    <col min="13827" max="13827" width="47.5703125" style="498" customWidth="1"/>
    <col min="13828" max="13829" width="5" style="498" customWidth="1"/>
    <col min="13830" max="13830" width="5.42578125" style="498" customWidth="1"/>
    <col min="13831" max="13831" width="4.5703125" style="498" customWidth="1"/>
    <col min="13832" max="13833" width="4.42578125" style="498" customWidth="1"/>
    <col min="13834" max="13834" width="3.5703125" style="498" customWidth="1"/>
    <col min="13835" max="13835" width="5" style="498" customWidth="1"/>
    <col min="13836" max="13836" width="4" style="498" customWidth="1"/>
    <col min="13837" max="13838" width="4.5703125" style="498" customWidth="1"/>
    <col min="13839" max="13839" width="4.42578125" style="498" customWidth="1"/>
    <col min="13840" max="13840" width="4" style="498" customWidth="1"/>
    <col min="13841" max="13841" width="3.5703125" style="498" customWidth="1"/>
    <col min="13842" max="13843" width="4.5703125" style="498" customWidth="1"/>
    <col min="13844" max="13844" width="4" style="498" customWidth="1"/>
    <col min="13845" max="13846" width="4.42578125" style="498" customWidth="1"/>
    <col min="13847" max="13847" width="3.5703125" style="498" customWidth="1"/>
    <col min="13848" max="13848" width="4.42578125" style="498" customWidth="1"/>
    <col min="13849" max="13849" width="5.5703125" style="498" customWidth="1"/>
    <col min="13850" max="13850" width="3.5703125" style="498" customWidth="1"/>
    <col min="13851" max="13851" width="4" style="498" customWidth="1"/>
    <col min="13852" max="13852" width="4.5703125" style="498" customWidth="1"/>
    <col min="13853" max="13855" width="4.42578125" style="498" customWidth="1"/>
    <col min="13856" max="13857" width="4.5703125" style="498" customWidth="1"/>
    <col min="13858" max="13858" width="4" style="498" customWidth="1"/>
    <col min="13859" max="13859" width="4.5703125" style="498" customWidth="1"/>
    <col min="13860" max="13860" width="6" style="498" customWidth="1"/>
    <col min="13861" max="13861" width="8.5703125" style="498" customWidth="1"/>
    <col min="13862" max="14081" width="11.42578125" style="498"/>
    <col min="14082" max="14082" width="6.42578125" style="498" customWidth="1"/>
    <col min="14083" max="14083" width="47.5703125" style="498" customWidth="1"/>
    <col min="14084" max="14085" width="5" style="498" customWidth="1"/>
    <col min="14086" max="14086" width="5.42578125" style="498" customWidth="1"/>
    <col min="14087" max="14087" width="4.5703125" style="498" customWidth="1"/>
    <col min="14088" max="14089" width="4.42578125" style="498" customWidth="1"/>
    <col min="14090" max="14090" width="3.5703125" style="498" customWidth="1"/>
    <col min="14091" max="14091" width="5" style="498" customWidth="1"/>
    <col min="14092" max="14092" width="4" style="498" customWidth="1"/>
    <col min="14093" max="14094" width="4.5703125" style="498" customWidth="1"/>
    <col min="14095" max="14095" width="4.42578125" style="498" customWidth="1"/>
    <col min="14096" max="14096" width="4" style="498" customWidth="1"/>
    <col min="14097" max="14097" width="3.5703125" style="498" customWidth="1"/>
    <col min="14098" max="14099" width="4.5703125" style="498" customWidth="1"/>
    <col min="14100" max="14100" width="4" style="498" customWidth="1"/>
    <col min="14101" max="14102" width="4.42578125" style="498" customWidth="1"/>
    <col min="14103" max="14103" width="3.5703125" style="498" customWidth="1"/>
    <col min="14104" max="14104" width="4.42578125" style="498" customWidth="1"/>
    <col min="14105" max="14105" width="5.5703125" style="498" customWidth="1"/>
    <col min="14106" max="14106" width="3.5703125" style="498" customWidth="1"/>
    <col min="14107" max="14107" width="4" style="498" customWidth="1"/>
    <col min="14108" max="14108" width="4.5703125" style="498" customWidth="1"/>
    <col min="14109" max="14111" width="4.42578125" style="498" customWidth="1"/>
    <col min="14112" max="14113" width="4.5703125" style="498" customWidth="1"/>
    <col min="14114" max="14114" width="4" style="498" customWidth="1"/>
    <col min="14115" max="14115" width="4.5703125" style="498" customWidth="1"/>
    <col min="14116" max="14116" width="6" style="498" customWidth="1"/>
    <col min="14117" max="14117" width="8.5703125" style="498" customWidth="1"/>
    <col min="14118" max="14337" width="11.42578125" style="498"/>
    <col min="14338" max="14338" width="6.42578125" style="498" customWidth="1"/>
    <col min="14339" max="14339" width="47.5703125" style="498" customWidth="1"/>
    <col min="14340" max="14341" width="5" style="498" customWidth="1"/>
    <col min="14342" max="14342" width="5.42578125" style="498" customWidth="1"/>
    <col min="14343" max="14343" width="4.5703125" style="498" customWidth="1"/>
    <col min="14344" max="14345" width="4.42578125" style="498" customWidth="1"/>
    <col min="14346" max="14346" width="3.5703125" style="498" customWidth="1"/>
    <col min="14347" max="14347" width="5" style="498" customWidth="1"/>
    <col min="14348" max="14348" width="4" style="498" customWidth="1"/>
    <col min="14349" max="14350" width="4.5703125" style="498" customWidth="1"/>
    <col min="14351" max="14351" width="4.42578125" style="498" customWidth="1"/>
    <col min="14352" max="14352" width="4" style="498" customWidth="1"/>
    <col min="14353" max="14353" width="3.5703125" style="498" customWidth="1"/>
    <col min="14354" max="14355" width="4.5703125" style="498" customWidth="1"/>
    <col min="14356" max="14356" width="4" style="498" customWidth="1"/>
    <col min="14357" max="14358" width="4.42578125" style="498" customWidth="1"/>
    <col min="14359" max="14359" width="3.5703125" style="498" customWidth="1"/>
    <col min="14360" max="14360" width="4.42578125" style="498" customWidth="1"/>
    <col min="14361" max="14361" width="5.5703125" style="498" customWidth="1"/>
    <col min="14362" max="14362" width="3.5703125" style="498" customWidth="1"/>
    <col min="14363" max="14363" width="4" style="498" customWidth="1"/>
    <col min="14364" max="14364" width="4.5703125" style="498" customWidth="1"/>
    <col min="14365" max="14367" width="4.42578125" style="498" customWidth="1"/>
    <col min="14368" max="14369" width="4.5703125" style="498" customWidth="1"/>
    <col min="14370" max="14370" width="4" style="498" customWidth="1"/>
    <col min="14371" max="14371" width="4.5703125" style="498" customWidth="1"/>
    <col min="14372" max="14372" width="6" style="498" customWidth="1"/>
    <col min="14373" max="14373" width="8.5703125" style="498" customWidth="1"/>
    <col min="14374" max="14593" width="11.42578125" style="498"/>
    <col min="14594" max="14594" width="6.42578125" style="498" customWidth="1"/>
    <col min="14595" max="14595" width="47.5703125" style="498" customWidth="1"/>
    <col min="14596" max="14597" width="5" style="498" customWidth="1"/>
    <col min="14598" max="14598" width="5.42578125" style="498" customWidth="1"/>
    <col min="14599" max="14599" width="4.5703125" style="498" customWidth="1"/>
    <col min="14600" max="14601" width="4.42578125" style="498" customWidth="1"/>
    <col min="14602" max="14602" width="3.5703125" style="498" customWidth="1"/>
    <col min="14603" max="14603" width="5" style="498" customWidth="1"/>
    <col min="14604" max="14604" width="4" style="498" customWidth="1"/>
    <col min="14605" max="14606" width="4.5703125" style="498" customWidth="1"/>
    <col min="14607" max="14607" width="4.42578125" style="498" customWidth="1"/>
    <col min="14608" max="14608" width="4" style="498" customWidth="1"/>
    <col min="14609" max="14609" width="3.5703125" style="498" customWidth="1"/>
    <col min="14610" max="14611" width="4.5703125" style="498" customWidth="1"/>
    <col min="14612" max="14612" width="4" style="498" customWidth="1"/>
    <col min="14613" max="14614" width="4.42578125" style="498" customWidth="1"/>
    <col min="14615" max="14615" width="3.5703125" style="498" customWidth="1"/>
    <col min="14616" max="14616" width="4.42578125" style="498" customWidth="1"/>
    <col min="14617" max="14617" width="5.5703125" style="498" customWidth="1"/>
    <col min="14618" max="14618" width="3.5703125" style="498" customWidth="1"/>
    <col min="14619" max="14619" width="4" style="498" customWidth="1"/>
    <col min="14620" max="14620" width="4.5703125" style="498" customWidth="1"/>
    <col min="14621" max="14623" width="4.42578125" style="498" customWidth="1"/>
    <col min="14624" max="14625" width="4.5703125" style="498" customWidth="1"/>
    <col min="14626" max="14626" width="4" style="498" customWidth="1"/>
    <col min="14627" max="14627" width="4.5703125" style="498" customWidth="1"/>
    <col min="14628" max="14628" width="6" style="498" customWidth="1"/>
    <col min="14629" max="14629" width="8.5703125" style="498" customWidth="1"/>
    <col min="14630" max="14849" width="11.42578125" style="498"/>
    <col min="14850" max="14850" width="6.42578125" style="498" customWidth="1"/>
    <col min="14851" max="14851" width="47.5703125" style="498" customWidth="1"/>
    <col min="14852" max="14853" width="5" style="498" customWidth="1"/>
    <col min="14854" max="14854" width="5.42578125" style="498" customWidth="1"/>
    <col min="14855" max="14855" width="4.5703125" style="498" customWidth="1"/>
    <col min="14856" max="14857" width="4.42578125" style="498" customWidth="1"/>
    <col min="14858" max="14858" width="3.5703125" style="498" customWidth="1"/>
    <col min="14859" max="14859" width="5" style="498" customWidth="1"/>
    <col min="14860" max="14860" width="4" style="498" customWidth="1"/>
    <col min="14861" max="14862" width="4.5703125" style="498" customWidth="1"/>
    <col min="14863" max="14863" width="4.42578125" style="498" customWidth="1"/>
    <col min="14864" max="14864" width="4" style="498" customWidth="1"/>
    <col min="14865" max="14865" width="3.5703125" style="498" customWidth="1"/>
    <col min="14866" max="14867" width="4.5703125" style="498" customWidth="1"/>
    <col min="14868" max="14868" width="4" style="498" customWidth="1"/>
    <col min="14869" max="14870" width="4.42578125" style="498" customWidth="1"/>
    <col min="14871" max="14871" width="3.5703125" style="498" customWidth="1"/>
    <col min="14872" max="14872" width="4.42578125" style="498" customWidth="1"/>
    <col min="14873" max="14873" width="5.5703125" style="498" customWidth="1"/>
    <col min="14874" max="14874" width="3.5703125" style="498" customWidth="1"/>
    <col min="14875" max="14875" width="4" style="498" customWidth="1"/>
    <col min="14876" max="14876" width="4.5703125" style="498" customWidth="1"/>
    <col min="14877" max="14879" width="4.42578125" style="498" customWidth="1"/>
    <col min="14880" max="14881" width="4.5703125" style="498" customWidth="1"/>
    <col min="14882" max="14882" width="4" style="498" customWidth="1"/>
    <col min="14883" max="14883" width="4.5703125" style="498" customWidth="1"/>
    <col min="14884" max="14884" width="6" style="498" customWidth="1"/>
    <col min="14885" max="14885" width="8.5703125" style="498" customWidth="1"/>
    <col min="14886" max="15105" width="11.42578125" style="498"/>
    <col min="15106" max="15106" width="6.42578125" style="498" customWidth="1"/>
    <col min="15107" max="15107" width="47.5703125" style="498" customWidth="1"/>
    <col min="15108" max="15109" width="5" style="498" customWidth="1"/>
    <col min="15110" max="15110" width="5.42578125" style="498" customWidth="1"/>
    <col min="15111" max="15111" width="4.5703125" style="498" customWidth="1"/>
    <col min="15112" max="15113" width="4.42578125" style="498" customWidth="1"/>
    <col min="15114" max="15114" width="3.5703125" style="498" customWidth="1"/>
    <col min="15115" max="15115" width="5" style="498" customWidth="1"/>
    <col min="15116" max="15116" width="4" style="498" customWidth="1"/>
    <col min="15117" max="15118" width="4.5703125" style="498" customWidth="1"/>
    <col min="15119" max="15119" width="4.42578125" style="498" customWidth="1"/>
    <col min="15120" max="15120" width="4" style="498" customWidth="1"/>
    <col min="15121" max="15121" width="3.5703125" style="498" customWidth="1"/>
    <col min="15122" max="15123" width="4.5703125" style="498" customWidth="1"/>
    <col min="15124" max="15124" width="4" style="498" customWidth="1"/>
    <col min="15125" max="15126" width="4.42578125" style="498" customWidth="1"/>
    <col min="15127" max="15127" width="3.5703125" style="498" customWidth="1"/>
    <col min="15128" max="15128" width="4.42578125" style="498" customWidth="1"/>
    <col min="15129" max="15129" width="5.5703125" style="498" customWidth="1"/>
    <col min="15130" max="15130" width="3.5703125" style="498" customWidth="1"/>
    <col min="15131" max="15131" width="4" style="498" customWidth="1"/>
    <col min="15132" max="15132" width="4.5703125" style="498" customWidth="1"/>
    <col min="15133" max="15135" width="4.42578125" style="498" customWidth="1"/>
    <col min="15136" max="15137" width="4.5703125" style="498" customWidth="1"/>
    <col min="15138" max="15138" width="4" style="498" customWidth="1"/>
    <col min="15139" max="15139" width="4.5703125" style="498" customWidth="1"/>
    <col min="15140" max="15140" width="6" style="498" customWidth="1"/>
    <col min="15141" max="15141" width="8.5703125" style="498" customWidth="1"/>
    <col min="15142" max="15361" width="11.42578125" style="498"/>
    <col min="15362" max="15362" width="6.42578125" style="498" customWidth="1"/>
    <col min="15363" max="15363" width="47.5703125" style="498" customWidth="1"/>
    <col min="15364" max="15365" width="5" style="498" customWidth="1"/>
    <col min="15366" max="15366" width="5.42578125" style="498" customWidth="1"/>
    <col min="15367" max="15367" width="4.5703125" style="498" customWidth="1"/>
    <col min="15368" max="15369" width="4.42578125" style="498" customWidth="1"/>
    <col min="15370" max="15370" width="3.5703125" style="498" customWidth="1"/>
    <col min="15371" max="15371" width="5" style="498" customWidth="1"/>
    <col min="15372" max="15372" width="4" style="498" customWidth="1"/>
    <col min="15373" max="15374" width="4.5703125" style="498" customWidth="1"/>
    <col min="15375" max="15375" width="4.42578125" style="498" customWidth="1"/>
    <col min="15376" max="15376" width="4" style="498" customWidth="1"/>
    <col min="15377" max="15377" width="3.5703125" style="498" customWidth="1"/>
    <col min="15378" max="15379" width="4.5703125" style="498" customWidth="1"/>
    <col min="15380" max="15380" width="4" style="498" customWidth="1"/>
    <col min="15381" max="15382" width="4.42578125" style="498" customWidth="1"/>
    <col min="15383" max="15383" width="3.5703125" style="498" customWidth="1"/>
    <col min="15384" max="15384" width="4.42578125" style="498" customWidth="1"/>
    <col min="15385" max="15385" width="5.5703125" style="498" customWidth="1"/>
    <col min="15386" max="15386" width="3.5703125" style="498" customWidth="1"/>
    <col min="15387" max="15387" width="4" style="498" customWidth="1"/>
    <col min="15388" max="15388" width="4.5703125" style="498" customWidth="1"/>
    <col min="15389" max="15391" width="4.42578125" style="498" customWidth="1"/>
    <col min="15392" max="15393" width="4.5703125" style="498" customWidth="1"/>
    <col min="15394" max="15394" width="4" style="498" customWidth="1"/>
    <col min="15395" max="15395" width="4.5703125" style="498" customWidth="1"/>
    <col min="15396" max="15396" width="6" style="498" customWidth="1"/>
    <col min="15397" max="15397" width="8.5703125" style="498" customWidth="1"/>
    <col min="15398" max="15617" width="11.42578125" style="498"/>
    <col min="15618" max="15618" width="6.42578125" style="498" customWidth="1"/>
    <col min="15619" max="15619" width="47.5703125" style="498" customWidth="1"/>
    <col min="15620" max="15621" width="5" style="498" customWidth="1"/>
    <col min="15622" max="15622" width="5.42578125" style="498" customWidth="1"/>
    <col min="15623" max="15623" width="4.5703125" style="498" customWidth="1"/>
    <col min="15624" max="15625" width="4.42578125" style="498" customWidth="1"/>
    <col min="15626" max="15626" width="3.5703125" style="498" customWidth="1"/>
    <col min="15627" max="15627" width="5" style="498" customWidth="1"/>
    <col min="15628" max="15628" width="4" style="498" customWidth="1"/>
    <col min="15629" max="15630" width="4.5703125" style="498" customWidth="1"/>
    <col min="15631" max="15631" width="4.42578125" style="498" customWidth="1"/>
    <col min="15632" max="15632" width="4" style="498" customWidth="1"/>
    <col min="15633" max="15633" width="3.5703125" style="498" customWidth="1"/>
    <col min="15634" max="15635" width="4.5703125" style="498" customWidth="1"/>
    <col min="15636" max="15636" width="4" style="498" customWidth="1"/>
    <col min="15637" max="15638" width="4.42578125" style="498" customWidth="1"/>
    <col min="15639" max="15639" width="3.5703125" style="498" customWidth="1"/>
    <col min="15640" max="15640" width="4.42578125" style="498" customWidth="1"/>
    <col min="15641" max="15641" width="5.5703125" style="498" customWidth="1"/>
    <col min="15642" max="15642" width="3.5703125" style="498" customWidth="1"/>
    <col min="15643" max="15643" width="4" style="498" customWidth="1"/>
    <col min="15644" max="15644" width="4.5703125" style="498" customWidth="1"/>
    <col min="15645" max="15647" width="4.42578125" style="498" customWidth="1"/>
    <col min="15648" max="15649" width="4.5703125" style="498" customWidth="1"/>
    <col min="15650" max="15650" width="4" style="498" customWidth="1"/>
    <col min="15651" max="15651" width="4.5703125" style="498" customWidth="1"/>
    <col min="15652" max="15652" width="6" style="498" customWidth="1"/>
    <col min="15653" max="15653" width="8.5703125" style="498" customWidth="1"/>
    <col min="15654" max="15873" width="11.42578125" style="498"/>
    <col min="15874" max="15874" width="6.42578125" style="498" customWidth="1"/>
    <col min="15875" max="15875" width="47.5703125" style="498" customWidth="1"/>
    <col min="15876" max="15877" width="5" style="498" customWidth="1"/>
    <col min="15878" max="15878" width="5.42578125" style="498" customWidth="1"/>
    <col min="15879" max="15879" width="4.5703125" style="498" customWidth="1"/>
    <col min="15880" max="15881" width="4.42578125" style="498" customWidth="1"/>
    <col min="15882" max="15882" width="3.5703125" style="498" customWidth="1"/>
    <col min="15883" max="15883" width="5" style="498" customWidth="1"/>
    <col min="15884" max="15884" width="4" style="498" customWidth="1"/>
    <col min="15885" max="15886" width="4.5703125" style="498" customWidth="1"/>
    <col min="15887" max="15887" width="4.42578125" style="498" customWidth="1"/>
    <col min="15888" max="15888" width="4" style="498" customWidth="1"/>
    <col min="15889" max="15889" width="3.5703125" style="498" customWidth="1"/>
    <col min="15890" max="15891" width="4.5703125" style="498" customWidth="1"/>
    <col min="15892" max="15892" width="4" style="498" customWidth="1"/>
    <col min="15893" max="15894" width="4.42578125" style="498" customWidth="1"/>
    <col min="15895" max="15895" width="3.5703125" style="498" customWidth="1"/>
    <col min="15896" max="15896" width="4.42578125" style="498" customWidth="1"/>
    <col min="15897" max="15897" width="5.5703125" style="498" customWidth="1"/>
    <col min="15898" max="15898" width="3.5703125" style="498" customWidth="1"/>
    <col min="15899" max="15899" width="4" style="498" customWidth="1"/>
    <col min="15900" max="15900" width="4.5703125" style="498" customWidth="1"/>
    <col min="15901" max="15903" width="4.42578125" style="498" customWidth="1"/>
    <col min="15904" max="15905" width="4.5703125" style="498" customWidth="1"/>
    <col min="15906" max="15906" width="4" style="498" customWidth="1"/>
    <col min="15907" max="15907" width="4.5703125" style="498" customWidth="1"/>
    <col min="15908" max="15908" width="6" style="498" customWidth="1"/>
    <col min="15909" max="15909" width="8.5703125" style="498" customWidth="1"/>
    <col min="15910" max="16129" width="11.42578125" style="498"/>
    <col min="16130" max="16130" width="6.42578125" style="498" customWidth="1"/>
    <col min="16131" max="16131" width="47.5703125" style="498" customWidth="1"/>
    <col min="16132" max="16133" width="5" style="498" customWidth="1"/>
    <col min="16134" max="16134" width="5.42578125" style="498" customWidth="1"/>
    <col min="16135" max="16135" width="4.5703125" style="498" customWidth="1"/>
    <col min="16136" max="16137" width="4.42578125" style="498" customWidth="1"/>
    <col min="16138" max="16138" width="3.5703125" style="498" customWidth="1"/>
    <col min="16139" max="16139" width="5" style="498" customWidth="1"/>
    <col min="16140" max="16140" width="4" style="498" customWidth="1"/>
    <col min="16141" max="16142" width="4.5703125" style="498" customWidth="1"/>
    <col min="16143" max="16143" width="4.42578125" style="498" customWidth="1"/>
    <col min="16144" max="16144" width="4" style="498" customWidth="1"/>
    <col min="16145" max="16145" width="3.5703125" style="498" customWidth="1"/>
    <col min="16146" max="16147" width="4.5703125" style="498" customWidth="1"/>
    <col min="16148" max="16148" width="4" style="498" customWidth="1"/>
    <col min="16149" max="16150" width="4.42578125" style="498" customWidth="1"/>
    <col min="16151" max="16151" width="3.5703125" style="498" customWidth="1"/>
    <col min="16152" max="16152" width="4.42578125" style="498" customWidth="1"/>
    <col min="16153" max="16153" width="5.5703125" style="498" customWidth="1"/>
    <col min="16154" max="16154" width="3.5703125" style="498" customWidth="1"/>
    <col min="16155" max="16155" width="4" style="498" customWidth="1"/>
    <col min="16156" max="16156" width="4.5703125" style="498" customWidth="1"/>
    <col min="16157" max="16159" width="4.42578125" style="498" customWidth="1"/>
    <col min="16160" max="16161" width="4.5703125" style="498" customWidth="1"/>
    <col min="16162" max="16162" width="4" style="498" customWidth="1"/>
    <col min="16163" max="16163" width="4.5703125" style="498" customWidth="1"/>
    <col min="16164" max="16164" width="6" style="498" customWidth="1"/>
    <col min="16165" max="16165" width="8.5703125" style="498" customWidth="1"/>
    <col min="16166" max="16384" width="11.42578125" style="498"/>
  </cols>
  <sheetData>
    <row r="1" spans="1:40">
      <c r="A1" s="2213" t="s">
        <v>283</v>
      </c>
      <c r="B1" s="2213"/>
      <c r="C1" s="2213"/>
      <c r="D1" s="2213"/>
      <c r="E1" s="2213"/>
      <c r="F1" s="2213"/>
      <c r="G1" s="2213"/>
      <c r="H1" s="2213"/>
      <c r="I1" s="2213"/>
      <c r="J1" s="2213"/>
      <c r="K1" s="2213"/>
      <c r="AD1" s="499"/>
      <c r="AG1" s="499"/>
    </row>
    <row r="2" spans="1:40">
      <c r="A2" s="2214" t="s">
        <v>1802</v>
      </c>
      <c r="B2" s="2214"/>
      <c r="C2" s="2214"/>
      <c r="D2" s="2214"/>
      <c r="E2" s="2214"/>
      <c r="F2" s="2214"/>
      <c r="G2" s="2214"/>
      <c r="H2" s="2214"/>
      <c r="I2" s="2214"/>
      <c r="J2" s="2214"/>
      <c r="K2" s="2214"/>
      <c r="AD2" s="499"/>
      <c r="AG2" s="499"/>
    </row>
    <row r="3" spans="1:40">
      <c r="A3" s="549"/>
      <c r="G3" s="498">
        <v>7</v>
      </c>
      <c r="AD3" s="499"/>
      <c r="AG3" s="499"/>
    </row>
    <row r="4" spans="1:40">
      <c r="A4" s="551"/>
      <c r="B4" s="2215" t="s">
        <v>1800</v>
      </c>
      <c r="C4" s="2215"/>
      <c r="D4" s="2215"/>
      <c r="E4" s="2215"/>
      <c r="F4" s="2215"/>
      <c r="G4" s="2215"/>
      <c r="H4" s="2215"/>
      <c r="I4" s="2215"/>
      <c r="J4" s="2215"/>
      <c r="K4" s="2215"/>
      <c r="AD4" s="499"/>
      <c r="AG4" s="499"/>
    </row>
    <row r="5" spans="1:40" ht="12.75" customHeight="1">
      <c r="A5" s="551"/>
      <c r="B5" s="2216" t="e">
        <v>#REF!</v>
      </c>
      <c r="C5" s="2217"/>
      <c r="D5" s="2217"/>
      <c r="E5" s="2217"/>
      <c r="F5" s="2217"/>
      <c r="G5" s="2217"/>
      <c r="H5" s="2217"/>
      <c r="I5" s="2217"/>
      <c r="J5" s="2217"/>
      <c r="K5" s="2217"/>
      <c r="AD5" s="499"/>
      <c r="AG5" s="499"/>
    </row>
    <row r="6" spans="1:40" ht="13.5" customHeight="1">
      <c r="B6" s="553"/>
      <c r="C6" s="500"/>
      <c r="AD6" s="499"/>
      <c r="AG6" s="499"/>
    </row>
    <row r="7" spans="1:40" ht="13.5" customHeight="1">
      <c r="B7" s="553"/>
      <c r="C7" s="500"/>
      <c r="AD7" s="499"/>
      <c r="AG7" s="499"/>
    </row>
    <row r="8" spans="1:40" ht="13.5" customHeight="1" thickBot="1">
      <c r="B8" s="553"/>
      <c r="C8" s="500"/>
      <c r="D8" s="998" t="s">
        <v>2157</v>
      </c>
      <c r="E8" s="871" t="s">
        <v>2158</v>
      </c>
      <c r="F8" s="871" t="s">
        <v>2159</v>
      </c>
      <c r="G8" s="871" t="s">
        <v>2160</v>
      </c>
      <c r="H8" s="871" t="s">
        <v>2161</v>
      </c>
      <c r="I8" s="871" t="s">
        <v>2162</v>
      </c>
      <c r="J8" s="871" t="s">
        <v>2163</v>
      </c>
      <c r="K8" s="998" t="s">
        <v>2157</v>
      </c>
      <c r="L8" s="871" t="s">
        <v>2158</v>
      </c>
      <c r="M8" s="871" t="s">
        <v>2159</v>
      </c>
      <c r="N8" s="871" t="s">
        <v>2160</v>
      </c>
      <c r="O8" s="871" t="s">
        <v>2161</v>
      </c>
      <c r="P8" s="871" t="s">
        <v>2162</v>
      </c>
      <c r="Q8" s="871" t="s">
        <v>2163</v>
      </c>
      <c r="R8" s="998" t="s">
        <v>2157</v>
      </c>
      <c r="S8" s="871" t="s">
        <v>2158</v>
      </c>
      <c r="T8" s="871" t="s">
        <v>2159</v>
      </c>
      <c r="U8" s="871" t="s">
        <v>2160</v>
      </c>
      <c r="V8" s="871" t="s">
        <v>2161</v>
      </c>
      <c r="W8" s="871" t="s">
        <v>2162</v>
      </c>
      <c r="X8" s="871" t="s">
        <v>2163</v>
      </c>
      <c r="Y8" s="998" t="s">
        <v>2157</v>
      </c>
      <c r="Z8" s="871" t="s">
        <v>2158</v>
      </c>
      <c r="AA8" s="871" t="s">
        <v>2159</v>
      </c>
      <c r="AB8" s="871" t="s">
        <v>2160</v>
      </c>
      <c r="AC8" s="871" t="s">
        <v>2161</v>
      </c>
      <c r="AD8" s="871" t="s">
        <v>2162</v>
      </c>
      <c r="AE8" s="871" t="s">
        <v>2163</v>
      </c>
      <c r="AF8" s="998" t="s">
        <v>2157</v>
      </c>
      <c r="AG8" s="871" t="s">
        <v>2158</v>
      </c>
      <c r="AH8" s="871" t="s">
        <v>2159</v>
      </c>
      <c r="AI8" s="871"/>
    </row>
    <row r="9" spans="1:40" ht="13.5" thickBot="1">
      <c r="A9" s="2218" t="s">
        <v>285</v>
      </c>
      <c r="B9" s="2218" t="s">
        <v>20</v>
      </c>
      <c r="C9" s="501"/>
      <c r="D9" s="736">
        <v>1</v>
      </c>
      <c r="E9" s="502">
        <v>2</v>
      </c>
      <c r="F9" s="502">
        <v>3</v>
      </c>
      <c r="G9" s="502">
        <v>4</v>
      </c>
      <c r="H9" s="502">
        <v>5</v>
      </c>
      <c r="I9" s="502">
        <v>6</v>
      </c>
      <c r="J9" s="502">
        <v>7</v>
      </c>
      <c r="K9" s="736">
        <v>8</v>
      </c>
      <c r="L9" s="502">
        <v>9</v>
      </c>
      <c r="M9" s="502">
        <v>10</v>
      </c>
      <c r="N9" s="502">
        <v>11</v>
      </c>
      <c r="O9" s="502">
        <v>12</v>
      </c>
      <c r="P9" s="502">
        <v>13</v>
      </c>
      <c r="Q9" s="502">
        <v>14</v>
      </c>
      <c r="R9" s="736">
        <v>15</v>
      </c>
      <c r="S9" s="502">
        <v>16</v>
      </c>
      <c r="T9" s="502">
        <v>17</v>
      </c>
      <c r="U9" s="502">
        <v>18</v>
      </c>
      <c r="V9" s="502">
        <v>19</v>
      </c>
      <c r="W9" s="502">
        <v>20</v>
      </c>
      <c r="X9" s="502">
        <v>21</v>
      </c>
      <c r="Y9" s="736">
        <v>22</v>
      </c>
      <c r="Z9" s="502">
        <v>23</v>
      </c>
      <c r="AA9" s="502">
        <v>24</v>
      </c>
      <c r="AB9" s="502">
        <v>25</v>
      </c>
      <c r="AC9" s="502">
        <v>26</v>
      </c>
      <c r="AD9" s="502">
        <v>27</v>
      </c>
      <c r="AE9" s="503">
        <v>28</v>
      </c>
      <c r="AF9" s="736">
        <v>29</v>
      </c>
      <c r="AG9" s="502">
        <v>30</v>
      </c>
      <c r="AH9" s="502">
        <v>31</v>
      </c>
      <c r="AI9" s="504" t="s">
        <v>359</v>
      </c>
      <c r="AJ9" s="500"/>
      <c r="AK9" s="672" t="s">
        <v>26</v>
      </c>
      <c r="AL9" s="671" t="s">
        <v>1822</v>
      </c>
      <c r="AM9" s="671" t="s">
        <v>1821</v>
      </c>
      <c r="AN9" s="505" t="s">
        <v>25</v>
      </c>
    </row>
    <row r="10" spans="1:40" ht="13.5" thickBot="1">
      <c r="A10" s="2219"/>
      <c r="B10" s="2219"/>
      <c r="C10" s="888" t="s">
        <v>73</v>
      </c>
      <c r="D10" s="737" t="s">
        <v>305</v>
      </c>
      <c r="E10" s="507" t="s">
        <v>305</v>
      </c>
      <c r="F10" s="507" t="s">
        <v>305</v>
      </c>
      <c r="G10" s="507" t="s">
        <v>305</v>
      </c>
      <c r="H10" s="507" t="s">
        <v>305</v>
      </c>
      <c r="I10" s="507" t="s">
        <v>305</v>
      </c>
      <c r="J10" s="507" t="s">
        <v>305</v>
      </c>
      <c r="K10" s="737" t="s">
        <v>305</v>
      </c>
      <c r="L10" s="507" t="s">
        <v>305</v>
      </c>
      <c r="M10" s="507" t="s">
        <v>305</v>
      </c>
      <c r="N10" s="507" t="s">
        <v>305</v>
      </c>
      <c r="O10" s="507" t="s">
        <v>305</v>
      </c>
      <c r="P10" s="507" t="s">
        <v>305</v>
      </c>
      <c r="Q10" s="507" t="s">
        <v>305</v>
      </c>
      <c r="R10" s="737" t="s">
        <v>305</v>
      </c>
      <c r="S10" s="507" t="s">
        <v>305</v>
      </c>
      <c r="T10" s="507" t="s">
        <v>305</v>
      </c>
      <c r="U10" s="507" t="s">
        <v>305</v>
      </c>
      <c r="V10" s="507" t="s">
        <v>305</v>
      </c>
      <c r="W10" s="507" t="s">
        <v>305</v>
      </c>
      <c r="X10" s="507" t="s">
        <v>305</v>
      </c>
      <c r="Y10" s="737" t="s">
        <v>305</v>
      </c>
      <c r="Z10" s="507" t="s">
        <v>305</v>
      </c>
      <c r="AA10" s="507" t="s">
        <v>305</v>
      </c>
      <c r="AB10" s="507" t="s">
        <v>305</v>
      </c>
      <c r="AC10" s="507" t="s">
        <v>305</v>
      </c>
      <c r="AD10" s="507" t="s">
        <v>305</v>
      </c>
      <c r="AE10" s="508" t="s">
        <v>305</v>
      </c>
      <c r="AF10" s="737" t="s">
        <v>305</v>
      </c>
      <c r="AG10" s="957" t="s">
        <v>305</v>
      </c>
      <c r="AH10" s="507" t="s">
        <v>305</v>
      </c>
      <c r="AI10" s="509" t="s">
        <v>287</v>
      </c>
      <c r="AJ10" s="1016"/>
      <c r="AK10" s="668" t="s">
        <v>287</v>
      </c>
      <c r="AL10" s="671"/>
      <c r="AM10" s="671"/>
      <c r="AN10" s="505"/>
    </row>
    <row r="11" spans="1:40" s="518" customFormat="1">
      <c r="A11" s="541" t="s">
        <v>33</v>
      </c>
      <c r="B11" s="541" t="s">
        <v>1132</v>
      </c>
      <c r="C11" s="563"/>
      <c r="D11" s="818"/>
      <c r="E11" s="511"/>
      <c r="F11" s="510"/>
      <c r="G11" s="510"/>
      <c r="H11" s="510"/>
      <c r="I11" s="955"/>
      <c r="J11" s="512"/>
      <c r="K11" s="740"/>
      <c r="L11" s="514"/>
      <c r="M11" s="510"/>
      <c r="N11" s="514"/>
      <c r="O11" s="514"/>
      <c r="P11" s="514"/>
      <c r="Q11" s="522"/>
      <c r="R11" s="745"/>
      <c r="S11" s="514"/>
      <c r="T11" s="510"/>
      <c r="U11" s="514"/>
      <c r="V11" s="514"/>
      <c r="W11" s="514"/>
      <c r="X11" s="514"/>
      <c r="Y11" s="756"/>
      <c r="Z11" s="514"/>
      <c r="AA11" s="510"/>
      <c r="AB11" s="514"/>
      <c r="AC11" s="514"/>
      <c r="AD11" s="514"/>
      <c r="AE11" s="698"/>
      <c r="AF11" s="756"/>
      <c r="AG11" s="527"/>
      <c r="AH11" s="789"/>
      <c r="AI11" s="664">
        <v>0</v>
      </c>
      <c r="AJ11" s="790"/>
      <c r="AK11" s="521"/>
      <c r="AL11" s="520"/>
      <c r="AM11" s="673"/>
      <c r="AN11" s="670"/>
    </row>
    <row r="12" spans="1:40" s="500" customFormat="1">
      <c r="A12" s="440" t="s">
        <v>35</v>
      </c>
      <c r="B12" s="543" t="s">
        <v>1133</v>
      </c>
      <c r="C12" s="905"/>
      <c r="D12" s="743"/>
      <c r="E12" s="520"/>
      <c r="F12" s="520"/>
      <c r="G12" s="520"/>
      <c r="H12" s="520"/>
      <c r="I12" s="521"/>
      <c r="J12" s="521"/>
      <c r="K12" s="725"/>
      <c r="L12" s="514"/>
      <c r="M12" s="520"/>
      <c r="N12" s="514"/>
      <c r="O12" s="514"/>
      <c r="P12" s="514"/>
      <c r="Q12" s="522"/>
      <c r="R12" s="745"/>
      <c r="S12" s="514"/>
      <c r="T12" s="520"/>
      <c r="U12" s="514"/>
      <c r="V12" s="514"/>
      <c r="W12" s="514"/>
      <c r="X12" s="514"/>
      <c r="Y12" s="756"/>
      <c r="Z12" s="514"/>
      <c r="AA12" s="520"/>
      <c r="AB12" s="514"/>
      <c r="AC12" s="514"/>
      <c r="AD12" s="514"/>
      <c r="AE12" s="698"/>
      <c r="AF12" s="756"/>
      <c r="AG12" s="527"/>
      <c r="AH12" s="789"/>
      <c r="AI12" s="664">
        <v>0</v>
      </c>
      <c r="AJ12" s="790"/>
      <c r="AK12" s="521"/>
      <c r="AL12" s="520"/>
      <c r="AM12" s="672"/>
      <c r="AN12" s="667"/>
    </row>
    <row r="13" spans="1:40" s="500" customFormat="1">
      <c r="A13" s="539" t="s">
        <v>537</v>
      </c>
      <c r="B13" s="544" t="s">
        <v>1134</v>
      </c>
      <c r="C13" s="472" t="s">
        <v>64</v>
      </c>
      <c r="D13" s="743"/>
      <c r="E13" s="520"/>
      <c r="F13" s="520"/>
      <c r="G13" s="520"/>
      <c r="H13" s="520"/>
      <c r="I13" s="520"/>
      <c r="J13" s="520"/>
      <c r="K13" s="726"/>
      <c r="L13" s="757"/>
      <c r="M13" s="520"/>
      <c r="N13" s="514"/>
      <c r="O13" s="757"/>
      <c r="P13" s="757"/>
      <c r="Q13" s="757"/>
      <c r="R13" s="797"/>
      <c r="S13" s="757"/>
      <c r="T13" s="520"/>
      <c r="U13" s="514"/>
      <c r="V13" s="514"/>
      <c r="W13" s="514"/>
      <c r="X13" s="514"/>
      <c r="Y13" s="756"/>
      <c r="Z13" s="514"/>
      <c r="AA13" s="968">
        <v>0.3</v>
      </c>
      <c r="AB13" s="514"/>
      <c r="AC13" s="514"/>
      <c r="AD13" s="514"/>
      <c r="AE13" s="698"/>
      <c r="AF13" s="756"/>
      <c r="AG13" s="527"/>
      <c r="AH13" s="789"/>
      <c r="AI13" s="1030">
        <v>0.3</v>
      </c>
      <c r="AJ13" s="790"/>
      <c r="AK13" s="521">
        <v>0</v>
      </c>
      <c r="AL13" s="520">
        <v>0.3</v>
      </c>
      <c r="AM13" s="672" t="s">
        <v>1455</v>
      </c>
      <c r="AN13" s="669">
        <v>0.7</v>
      </c>
    </row>
    <row r="14" spans="1:40" s="500" customFormat="1">
      <c r="A14" s="539" t="s">
        <v>538</v>
      </c>
      <c r="B14" s="539" t="s">
        <v>1135</v>
      </c>
      <c r="C14" s="472" t="s">
        <v>64</v>
      </c>
      <c r="D14" s="743"/>
      <c r="E14" s="520"/>
      <c r="F14" s="520"/>
      <c r="G14" s="520"/>
      <c r="H14" s="667"/>
      <c r="I14" s="667"/>
      <c r="J14" s="521"/>
      <c r="K14" s="725"/>
      <c r="L14" s="514"/>
      <c r="M14" s="520"/>
      <c r="N14" s="514"/>
      <c r="O14" s="514"/>
      <c r="P14" s="514"/>
      <c r="Q14" s="522"/>
      <c r="R14" s="745"/>
      <c r="S14" s="514"/>
      <c r="T14" s="520"/>
      <c r="U14" s="514"/>
      <c r="V14" s="514"/>
      <c r="W14" s="514"/>
      <c r="X14" s="514"/>
      <c r="Y14" s="756"/>
      <c r="Z14" s="514"/>
      <c r="AA14" s="968">
        <v>0.5</v>
      </c>
      <c r="AB14" s="514"/>
      <c r="AC14" s="514"/>
      <c r="AD14" s="514"/>
      <c r="AE14" s="698"/>
      <c r="AF14" s="756"/>
      <c r="AG14" s="527"/>
      <c r="AH14" s="789"/>
      <c r="AI14" s="1030">
        <v>0.5</v>
      </c>
      <c r="AJ14" s="790"/>
      <c r="AK14" s="521">
        <v>0</v>
      </c>
      <c r="AL14" s="520">
        <v>0.5</v>
      </c>
      <c r="AM14" s="672" t="s">
        <v>1455</v>
      </c>
      <c r="AN14" s="669">
        <v>0.5</v>
      </c>
    </row>
    <row r="15" spans="1:40" s="500" customFormat="1">
      <c r="A15" s="539" t="s">
        <v>539</v>
      </c>
      <c r="B15" s="539" t="s">
        <v>1921</v>
      </c>
      <c r="C15" s="548" t="s">
        <v>64</v>
      </c>
      <c r="D15" s="743"/>
      <c r="E15" s="520"/>
      <c r="F15" s="520"/>
      <c r="G15" s="520"/>
      <c r="H15" s="520"/>
      <c r="I15" s="521"/>
      <c r="J15" s="521"/>
      <c r="K15" s="725"/>
      <c r="L15" s="514"/>
      <c r="M15" s="520"/>
      <c r="N15" s="522"/>
      <c r="O15" s="514"/>
      <c r="P15" s="514"/>
      <c r="Q15" s="522"/>
      <c r="R15" s="745"/>
      <c r="S15" s="514"/>
      <c r="T15" s="520"/>
      <c r="U15" s="514"/>
      <c r="V15" s="514"/>
      <c r="W15" s="514"/>
      <c r="X15" s="514"/>
      <c r="Y15" s="756"/>
      <c r="Z15" s="514"/>
      <c r="AA15" s="968">
        <v>0.25</v>
      </c>
      <c r="AB15" s="514"/>
      <c r="AC15" s="514"/>
      <c r="AD15" s="514"/>
      <c r="AE15" s="698"/>
      <c r="AF15" s="756"/>
      <c r="AG15" s="527"/>
      <c r="AH15" s="789"/>
      <c r="AI15" s="1030">
        <v>0.25</v>
      </c>
      <c r="AJ15" s="790"/>
      <c r="AK15" s="521">
        <v>0</v>
      </c>
      <c r="AL15" s="520">
        <v>0.25</v>
      </c>
      <c r="AM15" s="672" t="s">
        <v>1455</v>
      </c>
      <c r="AN15" s="669">
        <v>0.75</v>
      </c>
    </row>
    <row r="16" spans="1:40" s="500" customFormat="1">
      <c r="A16" s="440" t="s">
        <v>551</v>
      </c>
      <c r="B16" s="543" t="s">
        <v>1147</v>
      </c>
      <c r="C16" s="605"/>
      <c r="D16" s="743"/>
      <c r="E16" s="520"/>
      <c r="F16" s="520"/>
      <c r="G16" s="520"/>
      <c r="H16" s="520"/>
      <c r="I16" s="667"/>
      <c r="J16" s="521"/>
      <c r="K16" s="725"/>
      <c r="L16" s="514"/>
      <c r="M16" s="520"/>
      <c r="N16" s="514"/>
      <c r="O16" s="514"/>
      <c r="P16" s="521"/>
      <c r="Q16" s="522"/>
      <c r="R16" s="745"/>
      <c r="S16" s="514"/>
      <c r="T16" s="520"/>
      <c r="U16" s="514"/>
      <c r="V16" s="514"/>
      <c r="W16" s="514"/>
      <c r="X16" s="514"/>
      <c r="Y16" s="756"/>
      <c r="Z16" s="514"/>
      <c r="AA16" s="520"/>
      <c r="AB16" s="514"/>
      <c r="AC16" s="514"/>
      <c r="AD16" s="514"/>
      <c r="AE16" s="698"/>
      <c r="AF16" s="756"/>
      <c r="AG16" s="527"/>
      <c r="AH16" s="789"/>
      <c r="AI16" s="664">
        <v>0</v>
      </c>
      <c r="AJ16" s="790"/>
      <c r="AK16" s="521">
        <v>0</v>
      </c>
      <c r="AL16" s="520">
        <v>0</v>
      </c>
      <c r="AM16" s="672"/>
      <c r="AN16" s="669">
        <v>0</v>
      </c>
    </row>
    <row r="17" spans="1:40" s="500" customFormat="1">
      <c r="A17" s="539" t="s">
        <v>556</v>
      </c>
      <c r="B17" s="539" t="s">
        <v>1152</v>
      </c>
      <c r="C17" s="472" t="s">
        <v>64</v>
      </c>
      <c r="D17" s="830"/>
      <c r="E17" s="521"/>
      <c r="F17" s="521"/>
      <c r="G17" s="521"/>
      <c r="H17" s="520"/>
      <c r="I17" s="667"/>
      <c r="J17" s="521"/>
      <c r="K17" s="725"/>
      <c r="L17" s="514"/>
      <c r="M17" s="521"/>
      <c r="N17" s="514"/>
      <c r="O17" s="514"/>
      <c r="P17" s="521"/>
      <c r="Q17" s="522"/>
      <c r="R17" s="745"/>
      <c r="S17" s="514"/>
      <c r="T17" s="521"/>
      <c r="U17" s="514"/>
      <c r="V17" s="514"/>
      <c r="W17" s="514"/>
      <c r="X17" s="514"/>
      <c r="Y17" s="756"/>
      <c r="Z17" s="514"/>
      <c r="AA17" s="967">
        <v>0.25</v>
      </c>
      <c r="AB17" s="514"/>
      <c r="AC17" s="514"/>
      <c r="AD17" s="514"/>
      <c r="AE17" s="698"/>
      <c r="AF17" s="756"/>
      <c r="AG17" s="527"/>
      <c r="AH17" s="790"/>
      <c r="AI17" s="1030">
        <v>0.25</v>
      </c>
      <c r="AJ17" s="790"/>
      <c r="AK17" s="521">
        <v>0</v>
      </c>
      <c r="AL17" s="520">
        <v>0.25</v>
      </c>
      <c r="AM17" s="672" t="s">
        <v>1455</v>
      </c>
      <c r="AN17" s="669">
        <v>0.75</v>
      </c>
    </row>
    <row r="18" spans="1:40" s="518" customFormat="1" ht="13.5" thickBot="1">
      <c r="A18" s="539" t="s">
        <v>557</v>
      </c>
      <c r="B18" s="539" t="s">
        <v>1153</v>
      </c>
      <c r="C18" s="472" t="s">
        <v>64</v>
      </c>
      <c r="D18" s="725"/>
      <c r="E18" s="527"/>
      <c r="F18" s="521"/>
      <c r="G18" s="527"/>
      <c r="H18" s="526"/>
      <c r="I18" s="667"/>
      <c r="J18" s="527"/>
      <c r="K18" s="727"/>
      <c r="L18" s="514"/>
      <c r="M18" s="521"/>
      <c r="N18" s="514"/>
      <c r="O18" s="514"/>
      <c r="P18" s="527"/>
      <c r="Q18" s="522"/>
      <c r="R18" s="745"/>
      <c r="S18" s="514"/>
      <c r="T18" s="521"/>
      <c r="U18" s="514"/>
      <c r="V18" s="514"/>
      <c r="W18" s="514"/>
      <c r="X18" s="514"/>
      <c r="Y18" s="756"/>
      <c r="Z18" s="514"/>
      <c r="AA18" s="967">
        <v>0.25</v>
      </c>
      <c r="AB18" s="514"/>
      <c r="AC18" s="514"/>
      <c r="AD18" s="514"/>
      <c r="AE18" s="698"/>
      <c r="AF18" s="756"/>
      <c r="AG18" s="527"/>
      <c r="AH18" s="790"/>
      <c r="AI18" s="1030">
        <v>0.25</v>
      </c>
      <c r="AJ18" s="790"/>
      <c r="AK18" s="521">
        <v>0</v>
      </c>
      <c r="AL18" s="520">
        <v>0.25</v>
      </c>
      <c r="AM18" s="673" t="s">
        <v>1455</v>
      </c>
      <c r="AN18" s="669">
        <v>0.75</v>
      </c>
    </row>
    <row r="19" spans="1:40" s="843" customFormat="1">
      <c r="A19" s="949" t="s">
        <v>42</v>
      </c>
      <c r="B19" s="949" t="s">
        <v>1154</v>
      </c>
      <c r="C19" s="950"/>
      <c r="D19" s="743"/>
      <c r="E19" s="520"/>
      <c r="F19" s="520"/>
      <c r="G19" s="520"/>
      <c r="H19" s="520"/>
      <c r="I19" s="521"/>
      <c r="J19" s="521"/>
      <c r="K19" s="725"/>
      <c r="L19" s="514"/>
      <c r="M19" s="520"/>
      <c r="N19" s="514"/>
      <c r="O19" s="514"/>
      <c r="P19" s="514"/>
      <c r="Q19" s="522"/>
      <c r="R19" s="745"/>
      <c r="S19" s="514"/>
      <c r="T19" s="520"/>
      <c r="U19" s="514"/>
      <c r="V19" s="514"/>
      <c r="W19" s="514"/>
      <c r="X19" s="514"/>
      <c r="Y19" s="756"/>
      <c r="Z19" s="514"/>
      <c r="AA19" s="520"/>
      <c r="AB19" s="514"/>
      <c r="AC19" s="514"/>
      <c r="AD19" s="514"/>
      <c r="AE19" s="698"/>
      <c r="AF19" s="756"/>
      <c r="AG19" s="527"/>
      <c r="AH19" s="789"/>
      <c r="AI19" s="664">
        <v>0</v>
      </c>
      <c r="AJ19" s="790"/>
      <c r="AK19" s="836">
        <v>0</v>
      </c>
      <c r="AL19" s="835">
        <v>0</v>
      </c>
      <c r="AM19" s="841"/>
      <c r="AN19" s="842">
        <v>0</v>
      </c>
    </row>
    <row r="20" spans="1:40" s="500" customFormat="1">
      <c r="A20" s="440" t="s">
        <v>43</v>
      </c>
      <c r="B20" s="543" t="s">
        <v>1155</v>
      </c>
      <c r="C20" s="605"/>
      <c r="D20" s="743"/>
      <c r="E20" s="520"/>
      <c r="F20" s="520"/>
      <c r="G20" s="520"/>
      <c r="H20" s="520"/>
      <c r="I20" s="521"/>
      <c r="J20" s="521"/>
      <c r="K20" s="725"/>
      <c r="L20" s="514"/>
      <c r="M20" s="520"/>
      <c r="N20" s="514"/>
      <c r="O20" s="514"/>
      <c r="P20" s="514"/>
      <c r="Q20" s="522"/>
      <c r="R20" s="745"/>
      <c r="S20" s="514"/>
      <c r="T20" s="520"/>
      <c r="U20" s="514"/>
      <c r="V20" s="514"/>
      <c r="W20" s="514"/>
      <c r="X20" s="514"/>
      <c r="Y20" s="756"/>
      <c r="Z20" s="514"/>
      <c r="AA20" s="520"/>
      <c r="AB20" s="514"/>
      <c r="AC20" s="514"/>
      <c r="AD20" s="514"/>
      <c r="AE20" s="698"/>
      <c r="AF20" s="756"/>
      <c r="AG20" s="527"/>
      <c r="AH20" s="789"/>
      <c r="AI20" s="664">
        <v>0</v>
      </c>
      <c r="AJ20" s="790"/>
      <c r="AK20" s="521">
        <v>0</v>
      </c>
      <c r="AL20" s="520">
        <v>0</v>
      </c>
      <c r="AM20" s="672"/>
      <c r="AN20" s="669">
        <v>0</v>
      </c>
    </row>
    <row r="21" spans="1:40" s="500" customFormat="1">
      <c r="A21" s="542" t="s">
        <v>53</v>
      </c>
      <c r="B21" s="542" t="s">
        <v>46</v>
      </c>
      <c r="C21" s="605"/>
      <c r="D21" s="743"/>
      <c r="E21" s="520"/>
      <c r="F21" s="520"/>
      <c r="G21" s="520"/>
      <c r="H21" s="520"/>
      <c r="I21" s="521"/>
      <c r="J21" s="521"/>
      <c r="K21" s="725"/>
      <c r="L21" s="514"/>
      <c r="M21" s="520"/>
      <c r="N21" s="514"/>
      <c r="O21" s="514"/>
      <c r="P21" s="514"/>
      <c r="Q21" s="522"/>
      <c r="R21" s="745"/>
      <c r="S21" s="514"/>
      <c r="T21" s="520"/>
      <c r="U21" s="514"/>
      <c r="V21" s="514"/>
      <c r="W21" s="514"/>
      <c r="X21" s="514"/>
      <c r="Y21" s="756"/>
      <c r="Z21" s="514"/>
      <c r="AA21" s="520"/>
      <c r="AB21" s="514"/>
      <c r="AC21" s="514"/>
      <c r="AD21" s="514"/>
      <c r="AE21" s="698"/>
      <c r="AF21" s="756"/>
      <c r="AG21" s="527"/>
      <c r="AH21" s="789"/>
      <c r="AI21" s="664">
        <v>0</v>
      </c>
      <c r="AJ21" s="790"/>
      <c r="AK21" s="521">
        <v>0</v>
      </c>
      <c r="AL21" s="520">
        <v>0</v>
      </c>
      <c r="AM21" s="672"/>
      <c r="AN21" s="669">
        <v>0</v>
      </c>
    </row>
    <row r="22" spans="1:40" s="500" customFormat="1">
      <c r="A22" s="539" t="s">
        <v>558</v>
      </c>
      <c r="B22" s="539" t="s">
        <v>1156</v>
      </c>
      <c r="C22" s="973" t="s">
        <v>40</v>
      </c>
      <c r="D22" s="775"/>
      <c r="E22" s="667"/>
      <c r="F22" s="667"/>
      <c r="G22" s="667"/>
      <c r="H22" s="520"/>
      <c r="I22" s="521"/>
      <c r="J22" s="521"/>
      <c r="K22" s="725"/>
      <c r="L22" s="514"/>
      <c r="M22" s="520"/>
      <c r="N22" s="514"/>
      <c r="O22" s="514"/>
      <c r="P22" s="514"/>
      <c r="Q22" s="522"/>
      <c r="R22" s="745"/>
      <c r="S22" s="514"/>
      <c r="T22" s="1011">
        <v>2.4750000000000001</v>
      </c>
      <c r="U22" s="514"/>
      <c r="V22" s="514"/>
      <c r="W22" s="514"/>
      <c r="X22" s="514"/>
      <c r="Y22" s="756"/>
      <c r="Z22" s="514"/>
      <c r="AA22" s="520"/>
      <c r="AB22" s="698"/>
      <c r="AC22" s="514"/>
      <c r="AD22" s="514"/>
      <c r="AE22" s="1017">
        <v>10.119999999999999</v>
      </c>
      <c r="AF22" s="948"/>
      <c r="AG22" s="527"/>
      <c r="AH22" s="789"/>
      <c r="AI22" s="1030">
        <v>12.6</v>
      </c>
      <c r="AJ22" s="790"/>
      <c r="AK22" s="521">
        <v>0</v>
      </c>
      <c r="AL22" s="520">
        <v>12.6</v>
      </c>
      <c r="AM22" s="672" t="s">
        <v>1460</v>
      </c>
      <c r="AN22" s="669">
        <v>14.69</v>
      </c>
    </row>
    <row r="23" spans="1:40" s="518" customFormat="1" ht="11.25" customHeight="1">
      <c r="A23" s="539" t="s">
        <v>562</v>
      </c>
      <c r="B23" s="539" t="s">
        <v>1160</v>
      </c>
      <c r="C23" s="973" t="s">
        <v>40</v>
      </c>
      <c r="D23" s="820"/>
      <c r="E23" s="670"/>
      <c r="F23" s="670"/>
      <c r="G23" s="670"/>
      <c r="H23" s="526"/>
      <c r="I23" s="521"/>
      <c r="J23" s="527"/>
      <c r="K23" s="727"/>
      <c r="L23" s="514"/>
      <c r="M23" s="526"/>
      <c r="N23" s="514"/>
      <c r="O23" s="514"/>
      <c r="P23" s="514"/>
      <c r="Q23" s="522"/>
      <c r="R23" s="745"/>
      <c r="S23" s="514"/>
      <c r="T23" s="526"/>
      <c r="U23" s="514"/>
      <c r="V23" s="514"/>
      <c r="W23" s="514"/>
      <c r="X23" s="514"/>
      <c r="Y23" s="756"/>
      <c r="Z23" s="514"/>
      <c r="AA23" s="968">
        <v>15.559999999999999</v>
      </c>
      <c r="AB23" s="514"/>
      <c r="AC23" s="514"/>
      <c r="AD23" s="514"/>
      <c r="AE23" s="698"/>
      <c r="AF23" s="948"/>
      <c r="AG23" s="527"/>
      <c r="AH23" s="789"/>
      <c r="AI23" s="1030">
        <v>15.56</v>
      </c>
      <c r="AJ23" s="790"/>
      <c r="AK23" s="521">
        <v>0</v>
      </c>
      <c r="AL23" s="520">
        <v>15.56</v>
      </c>
      <c r="AM23" s="673" t="s">
        <v>1464</v>
      </c>
      <c r="AN23" s="669">
        <v>11.999999999999998</v>
      </c>
    </row>
    <row r="24" spans="1:40" s="500" customFormat="1" ht="11.25" customHeight="1">
      <c r="A24" s="542" t="s">
        <v>564</v>
      </c>
      <c r="B24" s="542" t="s">
        <v>1162</v>
      </c>
      <c r="C24" s="975"/>
      <c r="D24" s="775"/>
      <c r="E24" s="667"/>
      <c r="F24" s="667"/>
      <c r="G24" s="667"/>
      <c r="H24" s="520"/>
      <c r="I24" s="521"/>
      <c r="J24" s="521"/>
      <c r="K24" s="725"/>
      <c r="L24" s="514"/>
      <c r="M24" s="520"/>
      <c r="N24" s="514"/>
      <c r="O24" s="514"/>
      <c r="P24" s="514"/>
      <c r="Q24" s="522"/>
      <c r="R24" s="745"/>
      <c r="S24" s="514"/>
      <c r="T24" s="520"/>
      <c r="U24" s="514"/>
      <c r="V24" s="514"/>
      <c r="W24" s="514"/>
      <c r="X24" s="514"/>
      <c r="Y24" s="756"/>
      <c r="Z24" s="514"/>
      <c r="AA24" s="520"/>
      <c r="AB24" s="514"/>
      <c r="AC24" s="514"/>
      <c r="AD24" s="514"/>
      <c r="AE24" s="698"/>
      <c r="AF24" s="756"/>
      <c r="AG24" s="527"/>
      <c r="AH24" s="789"/>
      <c r="AI24" s="664">
        <v>0</v>
      </c>
      <c r="AJ24" s="790"/>
      <c r="AK24" s="521">
        <v>0</v>
      </c>
      <c r="AL24" s="520">
        <v>0</v>
      </c>
      <c r="AM24" s="672"/>
      <c r="AN24" s="669">
        <v>0</v>
      </c>
    </row>
    <row r="25" spans="1:40" s="500" customFormat="1" ht="11.25" customHeight="1">
      <c r="A25" s="539" t="s">
        <v>565</v>
      </c>
      <c r="B25" s="539" t="s">
        <v>1163</v>
      </c>
      <c r="C25" s="973" t="s">
        <v>40</v>
      </c>
      <c r="D25" s="775"/>
      <c r="E25" s="667"/>
      <c r="F25" s="667"/>
      <c r="G25" s="667"/>
      <c r="H25" s="520"/>
      <c r="I25" s="521"/>
      <c r="J25" s="521"/>
      <c r="K25" s="725"/>
      <c r="L25" s="514"/>
      <c r="M25" s="520"/>
      <c r="N25" s="514"/>
      <c r="O25" s="514"/>
      <c r="P25" s="514"/>
      <c r="Q25" s="522"/>
      <c r="R25" s="745"/>
      <c r="S25" s="514"/>
      <c r="T25" s="520"/>
      <c r="U25" s="514"/>
      <c r="V25" s="514"/>
      <c r="W25" s="514"/>
      <c r="X25" s="514"/>
      <c r="Y25" s="756"/>
      <c r="Z25" s="514"/>
      <c r="AA25" s="520"/>
      <c r="AB25" s="514"/>
      <c r="AC25" s="514"/>
      <c r="AD25" s="514"/>
      <c r="AE25" s="698"/>
      <c r="AF25" s="756"/>
      <c r="AG25" s="527"/>
      <c r="AH25" s="789"/>
      <c r="AI25" s="664">
        <v>0</v>
      </c>
      <c r="AJ25" s="790"/>
      <c r="AK25" s="521">
        <v>0</v>
      </c>
      <c r="AL25" s="520">
        <v>0</v>
      </c>
      <c r="AM25" s="672" t="s">
        <v>1465</v>
      </c>
      <c r="AN25" s="669">
        <v>7.7</v>
      </c>
    </row>
    <row r="26" spans="1:40" s="500" customFormat="1">
      <c r="A26" s="539" t="s">
        <v>567</v>
      </c>
      <c r="B26" s="539" t="s">
        <v>1165</v>
      </c>
      <c r="C26" s="973" t="s">
        <v>40</v>
      </c>
      <c r="D26" s="775"/>
      <c r="E26" s="667"/>
      <c r="F26" s="667"/>
      <c r="G26" s="667"/>
      <c r="H26" s="520"/>
      <c r="I26" s="521"/>
      <c r="J26" s="521"/>
      <c r="K26" s="725"/>
      <c r="L26" s="514"/>
      <c r="M26" s="520"/>
      <c r="N26" s="514"/>
      <c r="O26" s="514"/>
      <c r="P26" s="514"/>
      <c r="Q26" s="522"/>
      <c r="R26" s="745"/>
      <c r="S26" s="514"/>
      <c r="T26" s="1011">
        <v>2.9649999999999999</v>
      </c>
      <c r="U26" s="514"/>
      <c r="V26" s="514"/>
      <c r="W26" s="514"/>
      <c r="X26" s="514"/>
      <c r="Y26" s="756"/>
      <c r="Z26" s="514"/>
      <c r="AA26" s="520"/>
      <c r="AB26" s="514"/>
      <c r="AC26" s="514"/>
      <c r="AD26" s="514"/>
      <c r="AE26" s="698"/>
      <c r="AF26" s="756"/>
      <c r="AG26" s="527"/>
      <c r="AH26" s="789"/>
      <c r="AI26" s="1030">
        <v>2.97</v>
      </c>
      <c r="AJ26" s="790"/>
      <c r="AK26" s="521">
        <v>0</v>
      </c>
      <c r="AL26" s="520">
        <v>2.97</v>
      </c>
      <c r="AM26" s="672" t="s">
        <v>1467</v>
      </c>
      <c r="AN26" s="669">
        <v>0</v>
      </c>
    </row>
    <row r="27" spans="1:40" s="500" customFormat="1">
      <c r="A27" s="539" t="s">
        <v>568</v>
      </c>
      <c r="B27" s="539" t="s">
        <v>1166</v>
      </c>
      <c r="C27" s="973" t="s">
        <v>40</v>
      </c>
      <c r="D27" s="775"/>
      <c r="E27" s="667"/>
      <c r="F27" s="667"/>
      <c r="G27" s="667"/>
      <c r="H27" s="520"/>
      <c r="I27" s="521"/>
      <c r="J27" s="521"/>
      <c r="K27" s="725"/>
      <c r="L27" s="514"/>
      <c r="M27" s="520"/>
      <c r="N27" s="514"/>
      <c r="O27" s="514"/>
      <c r="P27" s="514"/>
      <c r="Q27" s="522"/>
      <c r="R27" s="745"/>
      <c r="S27" s="514"/>
      <c r="T27" s="520"/>
      <c r="U27" s="514"/>
      <c r="V27" s="514"/>
      <c r="W27" s="972">
        <v>0.46799999999999997</v>
      </c>
      <c r="X27" s="514"/>
      <c r="Y27" s="756"/>
      <c r="Z27" s="514"/>
      <c r="AA27" s="520"/>
      <c r="AB27" s="514"/>
      <c r="AC27" s="514"/>
      <c r="AD27" s="514"/>
      <c r="AE27" s="698"/>
      <c r="AF27" s="756"/>
      <c r="AG27" s="527"/>
      <c r="AH27" s="789"/>
      <c r="AI27" s="1030">
        <v>0.47</v>
      </c>
      <c r="AJ27" s="790"/>
      <c r="AK27" s="521">
        <v>0</v>
      </c>
      <c r="AL27" s="520">
        <v>0.47</v>
      </c>
      <c r="AM27" s="672" t="s">
        <v>1468</v>
      </c>
      <c r="AN27" s="669">
        <v>0.37</v>
      </c>
    </row>
    <row r="28" spans="1:40" s="500" customFormat="1">
      <c r="A28" s="539" t="s">
        <v>569</v>
      </c>
      <c r="B28" s="539" t="s">
        <v>1167</v>
      </c>
      <c r="C28" s="973" t="s">
        <v>37</v>
      </c>
      <c r="D28" s="775"/>
      <c r="E28" s="667"/>
      <c r="F28" s="667"/>
      <c r="G28" s="667"/>
      <c r="H28" s="520"/>
      <c r="I28" s="521"/>
      <c r="J28" s="521"/>
      <c r="K28" s="725"/>
      <c r="L28" s="514"/>
      <c r="M28" s="520"/>
      <c r="N28" s="514"/>
      <c r="O28" s="514"/>
      <c r="P28" s="514"/>
      <c r="Q28" s="522"/>
      <c r="R28" s="745"/>
      <c r="S28" s="514"/>
      <c r="T28" s="520"/>
      <c r="U28" s="514"/>
      <c r="V28" s="514"/>
      <c r="W28" s="972">
        <v>4.32</v>
      </c>
      <c r="X28" s="514"/>
      <c r="Y28" s="756"/>
      <c r="Z28" s="514"/>
      <c r="AA28" s="520"/>
      <c r="AB28" s="514"/>
      <c r="AC28" s="514"/>
      <c r="AD28" s="514"/>
      <c r="AE28" s="698"/>
      <c r="AF28" s="756"/>
      <c r="AG28" s="527"/>
      <c r="AH28" s="789"/>
      <c r="AI28" s="1030">
        <v>4.32</v>
      </c>
      <c r="AJ28" s="790"/>
      <c r="AK28" s="521">
        <v>0</v>
      </c>
      <c r="AL28" s="520">
        <v>4.32</v>
      </c>
      <c r="AM28" s="672" t="s">
        <v>1469</v>
      </c>
      <c r="AN28" s="669">
        <v>19.329999999999998</v>
      </c>
    </row>
    <row r="29" spans="1:40" s="500" customFormat="1">
      <c r="A29" s="542" t="s">
        <v>571</v>
      </c>
      <c r="B29" s="542" t="s">
        <v>1169</v>
      </c>
      <c r="C29" s="975"/>
      <c r="D29" s="775"/>
      <c r="E29" s="667"/>
      <c r="F29" s="667"/>
      <c r="G29" s="667"/>
      <c r="H29" s="520"/>
      <c r="I29" s="521"/>
      <c r="J29" s="521"/>
      <c r="K29" s="725"/>
      <c r="L29" s="514"/>
      <c r="M29" s="520"/>
      <c r="N29" s="514"/>
      <c r="O29" s="514"/>
      <c r="P29" s="514"/>
      <c r="Q29" s="522"/>
      <c r="R29" s="745"/>
      <c r="S29" s="514"/>
      <c r="T29" s="520"/>
      <c r="U29" s="514"/>
      <c r="V29" s="514"/>
      <c r="W29" s="514"/>
      <c r="X29" s="514"/>
      <c r="Y29" s="756"/>
      <c r="Z29" s="514"/>
      <c r="AA29" s="520"/>
      <c r="AB29" s="514"/>
      <c r="AC29" s="514"/>
      <c r="AD29" s="514"/>
      <c r="AE29" s="698"/>
      <c r="AF29" s="756"/>
      <c r="AG29" s="527"/>
      <c r="AH29" s="789"/>
      <c r="AI29" s="664">
        <v>0</v>
      </c>
      <c r="AJ29" s="790"/>
      <c r="AK29" s="521">
        <v>0</v>
      </c>
      <c r="AL29" s="520">
        <v>0</v>
      </c>
      <c r="AM29" s="672"/>
      <c r="AN29" s="669">
        <v>0</v>
      </c>
    </row>
    <row r="30" spans="1:40" s="500" customFormat="1">
      <c r="A30" s="539" t="s">
        <v>583</v>
      </c>
      <c r="B30" s="539" t="s">
        <v>1181</v>
      </c>
      <c r="C30" s="975"/>
      <c r="D30" s="726"/>
      <c r="E30" s="520"/>
      <c r="F30" s="520"/>
      <c r="G30" s="520"/>
      <c r="H30" s="520"/>
      <c r="I30" s="521"/>
      <c r="J30" s="521"/>
      <c r="K30" s="725"/>
      <c r="L30" s="514"/>
      <c r="M30" s="520"/>
      <c r="N30" s="514"/>
      <c r="O30" s="514"/>
      <c r="P30" s="514"/>
      <c r="Q30" s="522"/>
      <c r="R30" s="745"/>
      <c r="S30" s="514"/>
      <c r="T30" s="520"/>
      <c r="U30" s="514"/>
      <c r="V30" s="514"/>
      <c r="W30" s="514"/>
      <c r="X30" s="514"/>
      <c r="Y30" s="756"/>
      <c r="Z30" s="514"/>
      <c r="AA30" s="520"/>
      <c r="AB30" s="514"/>
      <c r="AC30" s="514"/>
      <c r="AD30" s="514"/>
      <c r="AE30" s="698"/>
      <c r="AF30" s="756"/>
      <c r="AG30" s="527"/>
      <c r="AH30" s="789"/>
      <c r="AI30" s="664">
        <v>0</v>
      </c>
      <c r="AJ30" s="790"/>
      <c r="AK30" s="521">
        <v>0</v>
      </c>
      <c r="AL30" s="520">
        <v>0</v>
      </c>
      <c r="AM30" s="672"/>
      <c r="AN30" s="669">
        <v>0</v>
      </c>
    </row>
    <row r="31" spans="1:40" s="500" customFormat="1">
      <c r="A31" s="539" t="s">
        <v>584</v>
      </c>
      <c r="B31" s="539" t="s">
        <v>1182</v>
      </c>
      <c r="C31" s="973" t="s">
        <v>40</v>
      </c>
      <c r="D31" s="726"/>
      <c r="E31" s="520"/>
      <c r="F31" s="520"/>
      <c r="G31" s="520"/>
      <c r="H31" s="520"/>
      <c r="I31" s="521"/>
      <c r="J31" s="521"/>
      <c r="K31" s="725"/>
      <c r="L31" s="514"/>
      <c r="M31" s="520"/>
      <c r="N31" s="514"/>
      <c r="O31" s="514"/>
      <c r="P31" s="514"/>
      <c r="Q31" s="1006">
        <v>0.19600000000000001</v>
      </c>
      <c r="R31" s="745"/>
      <c r="S31" s="1006">
        <v>1.0718750000000001</v>
      </c>
      <c r="T31" s="968">
        <v>0.22187500000000016</v>
      </c>
      <c r="U31" s="514"/>
      <c r="V31" s="514"/>
      <c r="W31" s="522"/>
      <c r="X31" s="514"/>
      <c r="Y31" s="756"/>
      <c r="Z31" s="514"/>
      <c r="AA31" s="520"/>
      <c r="AB31" s="514"/>
      <c r="AC31" s="514"/>
      <c r="AD31" s="514"/>
      <c r="AE31" s="698"/>
      <c r="AF31" s="756"/>
      <c r="AG31" s="527"/>
      <c r="AH31" s="789"/>
      <c r="AI31" s="1030">
        <v>1.49</v>
      </c>
      <c r="AJ31" s="790"/>
      <c r="AK31" s="521">
        <v>0</v>
      </c>
      <c r="AL31" s="520">
        <v>1.49</v>
      </c>
      <c r="AM31" s="672" t="s">
        <v>1478</v>
      </c>
      <c r="AN31" s="669">
        <v>0</v>
      </c>
    </row>
    <row r="32" spans="1:40" s="500" customFormat="1">
      <c r="A32" s="539" t="s">
        <v>585</v>
      </c>
      <c r="B32" s="539" t="s">
        <v>1183</v>
      </c>
      <c r="C32" s="548" t="s">
        <v>37</v>
      </c>
      <c r="D32" s="743"/>
      <c r="E32" s="520"/>
      <c r="F32" s="520"/>
      <c r="G32" s="520"/>
      <c r="H32" s="520"/>
      <c r="I32" s="521"/>
      <c r="J32" s="521"/>
      <c r="K32" s="725"/>
      <c r="L32" s="514"/>
      <c r="M32" s="520"/>
      <c r="N32" s="514"/>
      <c r="O32" s="514"/>
      <c r="P32" s="514"/>
      <c r="Q32" s="1006">
        <v>2.9400000000000004</v>
      </c>
      <c r="R32" s="745"/>
      <c r="S32" s="1006">
        <v>12.862500000000001</v>
      </c>
      <c r="T32" s="1011">
        <v>3.9024999999999999</v>
      </c>
      <c r="U32" s="514"/>
      <c r="V32" s="514"/>
      <c r="W32" s="522"/>
      <c r="X32" s="514"/>
      <c r="Y32" s="756"/>
      <c r="Z32" s="514"/>
      <c r="AA32" s="520"/>
      <c r="AB32" s="514"/>
      <c r="AC32" s="514"/>
      <c r="AD32" s="514"/>
      <c r="AE32" s="698"/>
      <c r="AF32" s="756"/>
      <c r="AG32" s="527"/>
      <c r="AH32" s="789"/>
      <c r="AI32" s="1030">
        <v>19.71</v>
      </c>
      <c r="AJ32" s="790"/>
      <c r="AK32" s="521">
        <v>0</v>
      </c>
      <c r="AL32" s="520">
        <v>19.71</v>
      </c>
      <c r="AM32" s="672" t="s">
        <v>1479</v>
      </c>
      <c r="AN32" s="669">
        <v>0</v>
      </c>
    </row>
    <row r="33" spans="1:41" s="500" customFormat="1" ht="13.5">
      <c r="A33" s="539" t="s">
        <v>586</v>
      </c>
      <c r="B33" s="539" t="s">
        <v>1184</v>
      </c>
      <c r="C33" s="472" t="s">
        <v>48</v>
      </c>
      <c r="D33" s="743"/>
      <c r="E33" s="520"/>
      <c r="F33" s="520"/>
      <c r="G33" s="520"/>
      <c r="H33" s="965">
        <v>51.3</v>
      </c>
      <c r="I33" s="971">
        <v>51.3</v>
      </c>
      <c r="J33" s="967">
        <v>35.64</v>
      </c>
      <c r="K33" s="725"/>
      <c r="L33" s="514"/>
      <c r="M33" s="520"/>
      <c r="N33" s="514"/>
      <c r="O33" s="514"/>
      <c r="P33" s="514"/>
      <c r="Q33" s="522"/>
      <c r="R33" s="745"/>
      <c r="S33" s="514"/>
      <c r="T33" s="520"/>
      <c r="U33" s="514"/>
      <c r="V33" s="514"/>
      <c r="W33" s="514"/>
      <c r="X33" s="514"/>
      <c r="Y33" s="756"/>
      <c r="Z33" s="514"/>
      <c r="AA33" s="520"/>
      <c r="AB33" s="282"/>
      <c r="AC33" s="979">
        <v>104.348</v>
      </c>
      <c r="AD33" s="972">
        <v>104.348</v>
      </c>
      <c r="AE33" s="972">
        <v>104.348</v>
      </c>
      <c r="AF33" s="756"/>
      <c r="AG33" s="967">
        <v>104.348</v>
      </c>
      <c r="AH33" s="1015">
        <v>104.348</v>
      </c>
      <c r="AI33" s="1030">
        <v>659.98</v>
      </c>
      <c r="AJ33" s="790"/>
      <c r="AK33" s="521">
        <v>0</v>
      </c>
      <c r="AL33" s="520">
        <v>659.98</v>
      </c>
      <c r="AM33" s="672" t="s">
        <v>1480</v>
      </c>
      <c r="AN33" s="669">
        <v>0</v>
      </c>
      <c r="AO33" s="500">
        <v>521.74</v>
      </c>
    </row>
    <row r="34" spans="1:41" s="500" customFormat="1">
      <c r="A34" s="539" t="s">
        <v>596</v>
      </c>
      <c r="B34" s="539" t="s">
        <v>1194</v>
      </c>
      <c r="C34" s="605"/>
      <c r="D34" s="743"/>
      <c r="E34" s="520"/>
      <c r="F34" s="520"/>
      <c r="G34" s="520"/>
      <c r="H34" s="520"/>
      <c r="I34" s="521"/>
      <c r="J34" s="521"/>
      <c r="K34" s="725"/>
      <c r="L34" s="514"/>
      <c r="M34" s="520"/>
      <c r="N34" s="514"/>
      <c r="O34" s="514"/>
      <c r="P34" s="514"/>
      <c r="Q34" s="522"/>
      <c r="R34" s="745"/>
      <c r="S34" s="514"/>
      <c r="T34" s="520"/>
      <c r="U34" s="514"/>
      <c r="V34" s="514"/>
      <c r="W34" s="514"/>
      <c r="X34" s="514"/>
      <c r="Y34" s="756"/>
      <c r="Z34" s="514"/>
      <c r="AA34" s="520"/>
      <c r="AB34" s="514"/>
      <c r="AC34" s="514"/>
      <c r="AD34" s="514"/>
      <c r="AE34" s="698"/>
      <c r="AF34" s="756"/>
      <c r="AG34" s="527"/>
      <c r="AH34" s="789"/>
      <c r="AI34" s="664">
        <v>0</v>
      </c>
      <c r="AJ34" s="790"/>
      <c r="AK34" s="521">
        <v>0</v>
      </c>
      <c r="AL34" s="520">
        <v>0</v>
      </c>
      <c r="AM34" s="672"/>
      <c r="AN34" s="669">
        <v>0</v>
      </c>
    </row>
    <row r="35" spans="1:41" s="500" customFormat="1">
      <c r="A35" s="539" t="s">
        <v>597</v>
      </c>
      <c r="B35" s="539" t="s">
        <v>1195</v>
      </c>
      <c r="C35" s="472" t="s">
        <v>40</v>
      </c>
      <c r="D35" s="743"/>
      <c r="E35" s="520"/>
      <c r="F35" s="520"/>
      <c r="G35" s="520"/>
      <c r="H35" s="520"/>
      <c r="I35" s="521"/>
      <c r="J35" s="521"/>
      <c r="K35" s="725"/>
      <c r="L35" s="514"/>
      <c r="M35" s="520"/>
      <c r="N35" s="514"/>
      <c r="O35" s="514"/>
      <c r="P35" s="514"/>
      <c r="Q35" s="522"/>
      <c r="R35" s="745"/>
      <c r="S35" s="514"/>
      <c r="U35" s="514"/>
      <c r="V35" s="514"/>
      <c r="W35" s="514"/>
      <c r="X35" s="514"/>
      <c r="Y35" s="756"/>
      <c r="Z35" s="514"/>
      <c r="AA35" s="520"/>
      <c r="AB35" s="514"/>
      <c r="AC35" s="514"/>
      <c r="AD35" s="514"/>
      <c r="AE35" s="698"/>
      <c r="AF35" s="756"/>
      <c r="AG35" s="527"/>
      <c r="AH35" s="789"/>
      <c r="AI35" s="664">
        <v>0</v>
      </c>
      <c r="AJ35" s="790"/>
      <c r="AK35" s="521">
        <v>0</v>
      </c>
      <c r="AL35" s="520">
        <v>0</v>
      </c>
      <c r="AM35" s="672" t="s">
        <v>1488</v>
      </c>
      <c r="AN35" s="669">
        <v>1.2</v>
      </c>
    </row>
    <row r="36" spans="1:41" s="500" customFormat="1">
      <c r="A36" s="539" t="s">
        <v>598</v>
      </c>
      <c r="B36" s="539" t="s">
        <v>1196</v>
      </c>
      <c r="C36" s="472" t="s">
        <v>37</v>
      </c>
      <c r="D36" s="743"/>
      <c r="E36" s="520"/>
      <c r="F36" s="520"/>
      <c r="G36" s="520"/>
      <c r="H36" s="520"/>
      <c r="I36" s="521"/>
      <c r="J36" s="521"/>
      <c r="K36" s="725"/>
      <c r="L36" s="514"/>
      <c r="M36" s="520"/>
      <c r="N36" s="514"/>
      <c r="O36" s="514"/>
      <c r="P36" s="514"/>
      <c r="Q36" s="522"/>
      <c r="R36" s="745"/>
      <c r="S36" s="514"/>
      <c r="T36" s="520"/>
      <c r="U36" s="514"/>
      <c r="V36" s="514"/>
      <c r="W36" s="514"/>
      <c r="X36" s="514"/>
      <c r="Y36" s="756"/>
      <c r="Z36" s="514"/>
      <c r="AA36" s="520"/>
      <c r="AB36" s="514"/>
      <c r="AC36" s="514"/>
      <c r="AD36" s="514"/>
      <c r="AE36" s="698"/>
      <c r="AF36" s="756"/>
      <c r="AG36" s="527"/>
      <c r="AH36" s="789"/>
      <c r="AI36" s="664">
        <v>0</v>
      </c>
      <c r="AJ36" s="790"/>
      <c r="AK36" s="521">
        <v>0</v>
      </c>
      <c r="AL36" s="520">
        <v>0</v>
      </c>
      <c r="AM36" s="672" t="s">
        <v>1489</v>
      </c>
      <c r="AN36" s="669">
        <v>16</v>
      </c>
    </row>
    <row r="37" spans="1:41" s="500" customFormat="1">
      <c r="A37" s="539" t="s">
        <v>599</v>
      </c>
      <c r="B37" s="539" t="s">
        <v>1197</v>
      </c>
      <c r="C37" s="472" t="s">
        <v>48</v>
      </c>
      <c r="D37" s="743"/>
      <c r="E37" s="520"/>
      <c r="F37" s="520"/>
      <c r="G37" s="520"/>
      <c r="H37" s="520"/>
      <c r="I37" s="521"/>
      <c r="J37" s="521"/>
      <c r="K37" s="725"/>
      <c r="L37" s="514"/>
      <c r="M37" s="968">
        <v>44.55</v>
      </c>
      <c r="N37" s="514"/>
      <c r="O37" s="514"/>
      <c r="P37" s="514"/>
      <c r="Q37" s="522"/>
      <c r="R37" s="745"/>
      <c r="S37" s="514"/>
      <c r="T37" s="520"/>
      <c r="U37" s="514"/>
      <c r="V37" s="514"/>
      <c r="W37" s="514"/>
      <c r="X37" s="514"/>
      <c r="Y37" s="756"/>
      <c r="Z37" s="514"/>
      <c r="AA37" s="520"/>
      <c r="AB37" s="514"/>
      <c r="AC37" s="514"/>
      <c r="AD37" s="514"/>
      <c r="AE37" s="698"/>
      <c r="AF37" s="756"/>
      <c r="AG37" s="527"/>
      <c r="AH37" s="789"/>
      <c r="AI37" s="1030">
        <v>44.55</v>
      </c>
      <c r="AJ37" s="790"/>
      <c r="AK37" s="521">
        <v>0</v>
      </c>
      <c r="AL37" s="520">
        <v>44.55</v>
      </c>
      <c r="AM37" s="672" t="s">
        <v>1490</v>
      </c>
      <c r="AN37" s="669">
        <v>79.5</v>
      </c>
    </row>
    <row r="38" spans="1:41" s="500" customFormat="1">
      <c r="A38" s="542" t="s">
        <v>602</v>
      </c>
      <c r="B38" s="542" t="s">
        <v>1200</v>
      </c>
      <c r="C38" s="616"/>
      <c r="D38" s="743"/>
      <c r="E38" s="520"/>
      <c r="F38" s="520"/>
      <c r="G38" s="520"/>
      <c r="H38" s="520"/>
      <c r="I38" s="521"/>
      <c r="J38" s="521"/>
      <c r="K38" s="725"/>
      <c r="L38" s="514"/>
      <c r="M38" s="520"/>
      <c r="N38" s="514"/>
      <c r="O38" s="514"/>
      <c r="P38" s="514"/>
      <c r="Q38" s="522"/>
      <c r="R38" s="745"/>
      <c r="S38" s="514"/>
      <c r="T38" s="520"/>
      <c r="U38" s="514"/>
      <c r="V38" s="514"/>
      <c r="W38" s="514"/>
      <c r="X38" s="514"/>
      <c r="Y38" s="756"/>
      <c r="Z38" s="514"/>
      <c r="AA38" s="520"/>
      <c r="AB38" s="514"/>
      <c r="AC38" s="514"/>
      <c r="AD38" s="514"/>
      <c r="AE38" s="698"/>
      <c r="AF38" s="756"/>
      <c r="AG38" s="527"/>
      <c r="AH38" s="789"/>
      <c r="AI38" s="664">
        <v>0</v>
      </c>
      <c r="AJ38" s="790"/>
      <c r="AK38" s="521">
        <v>0</v>
      </c>
      <c r="AL38" s="520">
        <v>0</v>
      </c>
      <c r="AM38" s="672"/>
      <c r="AN38" s="669">
        <v>0</v>
      </c>
    </row>
    <row r="39" spans="1:41" s="500" customFormat="1">
      <c r="A39" s="539" t="s">
        <v>603</v>
      </c>
      <c r="B39" s="539" t="s">
        <v>1201</v>
      </c>
      <c r="C39" s="472" t="s">
        <v>38</v>
      </c>
      <c r="D39" s="743"/>
      <c r="E39" s="520"/>
      <c r="F39" s="520"/>
      <c r="G39" s="520"/>
      <c r="H39" s="520"/>
      <c r="I39" s="521"/>
      <c r="J39" s="521"/>
      <c r="K39" s="725"/>
      <c r="L39" s="514"/>
      <c r="M39" s="520"/>
      <c r="N39" s="514"/>
      <c r="O39" s="514"/>
      <c r="P39" s="514"/>
      <c r="Q39" s="522"/>
      <c r="R39" s="745"/>
      <c r="S39" s="514"/>
      <c r="T39" s="520"/>
      <c r="U39" s="514"/>
      <c r="V39" s="514"/>
      <c r="W39" s="514"/>
      <c r="X39" s="514"/>
      <c r="Y39" s="756"/>
      <c r="Z39" s="514"/>
      <c r="AA39" s="520"/>
      <c r="AB39" s="514"/>
      <c r="AC39" s="514"/>
      <c r="AD39" s="514"/>
      <c r="AE39" s="698"/>
      <c r="AF39" s="756"/>
      <c r="AG39" s="527"/>
      <c r="AH39" s="1015">
        <v>100.3</v>
      </c>
      <c r="AI39" s="1030">
        <v>100.3</v>
      </c>
      <c r="AJ39" s="790"/>
      <c r="AK39" s="521">
        <v>0</v>
      </c>
      <c r="AL39" s="520">
        <v>100.3</v>
      </c>
      <c r="AM39" s="672" t="s">
        <v>1492</v>
      </c>
      <c r="AN39" s="669">
        <v>0</v>
      </c>
    </row>
    <row r="40" spans="1:41" s="518" customFormat="1">
      <c r="A40" s="539" t="s">
        <v>604</v>
      </c>
      <c r="B40" s="539" t="s">
        <v>225</v>
      </c>
      <c r="C40" s="472" t="s">
        <v>1450</v>
      </c>
      <c r="D40" s="827"/>
      <c r="E40" s="526"/>
      <c r="F40" s="526"/>
      <c r="G40" s="526"/>
      <c r="H40" s="526"/>
      <c r="I40" s="521"/>
      <c r="J40" s="527"/>
      <c r="K40" s="727"/>
      <c r="L40" s="514"/>
      <c r="M40" s="526"/>
      <c r="N40" s="514"/>
      <c r="O40" s="514"/>
      <c r="P40" s="514"/>
      <c r="Q40" s="522"/>
      <c r="R40" s="745"/>
      <c r="S40" s="514"/>
      <c r="T40" s="526"/>
      <c r="U40" s="514"/>
      <c r="V40" s="514"/>
      <c r="W40" s="514"/>
      <c r="X40" s="514"/>
      <c r="Y40" s="756"/>
      <c r="Z40" s="514"/>
      <c r="AA40" s="526"/>
      <c r="AB40" s="514"/>
      <c r="AC40" s="514"/>
      <c r="AD40" s="514"/>
      <c r="AE40" s="698"/>
      <c r="AF40" s="756"/>
      <c r="AG40" s="521"/>
      <c r="AH40" s="1023">
        <v>4</v>
      </c>
      <c r="AI40" s="1030">
        <v>4</v>
      </c>
      <c r="AJ40" s="790"/>
      <c r="AK40" s="521">
        <v>0</v>
      </c>
      <c r="AL40" s="520">
        <v>4</v>
      </c>
      <c r="AM40" s="673" t="s">
        <v>1493</v>
      </c>
      <c r="AN40" s="669">
        <v>11</v>
      </c>
    </row>
    <row r="41" spans="1:41" s="730" customFormat="1">
      <c r="A41" s="814" t="s">
        <v>44</v>
      </c>
      <c r="B41" s="815" t="s">
        <v>1202</v>
      </c>
      <c r="C41" s="826"/>
      <c r="D41" s="743"/>
      <c r="E41" s="520"/>
      <c r="F41" s="520"/>
      <c r="G41" s="520"/>
      <c r="H41" s="520"/>
      <c r="I41" s="521"/>
      <c r="J41" s="521"/>
      <c r="K41" s="725"/>
      <c r="L41" s="514"/>
      <c r="M41" s="520"/>
      <c r="N41" s="514"/>
      <c r="O41" s="514"/>
      <c r="P41" s="514"/>
      <c r="Q41" s="522"/>
      <c r="R41" s="745"/>
      <c r="S41" s="514"/>
      <c r="T41" s="520"/>
      <c r="U41" s="514"/>
      <c r="V41" s="514"/>
      <c r="W41" s="514"/>
      <c r="X41" s="514"/>
      <c r="Y41" s="756"/>
      <c r="Z41" s="514"/>
      <c r="AA41" s="520"/>
      <c r="AB41" s="514"/>
      <c r="AC41" s="514"/>
      <c r="AD41" s="514"/>
      <c r="AE41" s="698"/>
      <c r="AF41" s="756"/>
      <c r="AG41" s="527"/>
      <c r="AH41" s="789"/>
      <c r="AI41" s="664">
        <v>0</v>
      </c>
      <c r="AJ41" s="790"/>
      <c r="AK41" s="725">
        <v>0</v>
      </c>
      <c r="AL41" s="726">
        <v>0</v>
      </c>
      <c r="AM41" s="728"/>
      <c r="AN41" s="729">
        <v>0</v>
      </c>
    </row>
    <row r="42" spans="1:41" s="500" customFormat="1">
      <c r="A42" s="542" t="s">
        <v>54</v>
      </c>
      <c r="B42" s="542" t="s">
        <v>46</v>
      </c>
      <c r="C42" s="605"/>
      <c r="D42" s="743"/>
      <c r="E42" s="520"/>
      <c r="F42" s="520"/>
      <c r="G42" s="520"/>
      <c r="H42" s="520"/>
      <c r="I42" s="521"/>
      <c r="J42" s="521"/>
      <c r="K42" s="725"/>
      <c r="L42" s="514"/>
      <c r="M42" s="520"/>
      <c r="N42" s="514"/>
      <c r="O42" s="514"/>
      <c r="P42" s="514"/>
      <c r="Q42" s="522"/>
      <c r="R42" s="745"/>
      <c r="S42" s="514"/>
      <c r="T42" s="520"/>
      <c r="U42" s="514"/>
      <c r="V42" s="514"/>
      <c r="W42" s="514"/>
      <c r="X42" s="514"/>
      <c r="Y42" s="756"/>
      <c r="Z42" s="514"/>
      <c r="AA42" s="520"/>
      <c r="AB42" s="514"/>
      <c r="AC42" s="514"/>
      <c r="AD42" s="514"/>
      <c r="AE42" s="698"/>
      <c r="AF42" s="756"/>
      <c r="AG42" s="527"/>
      <c r="AH42" s="789"/>
      <c r="AI42" s="664">
        <v>0</v>
      </c>
      <c r="AJ42" s="790"/>
      <c r="AK42" s="521">
        <v>0</v>
      </c>
      <c r="AL42" s="520">
        <v>0</v>
      </c>
      <c r="AM42" s="672"/>
      <c r="AN42" s="669">
        <v>0</v>
      </c>
    </row>
    <row r="43" spans="1:41" s="500" customFormat="1">
      <c r="A43" s="539" t="s">
        <v>607</v>
      </c>
      <c r="B43" s="539" t="s">
        <v>1158</v>
      </c>
      <c r="C43" s="548" t="s">
        <v>40</v>
      </c>
      <c r="D43" s="743"/>
      <c r="E43" s="520"/>
      <c r="F43" s="520"/>
      <c r="G43" s="520"/>
      <c r="H43" s="520"/>
      <c r="I43" s="521"/>
      <c r="J43" s="521"/>
      <c r="K43" s="725"/>
      <c r="L43" s="514"/>
      <c r="M43" s="520"/>
      <c r="N43" s="514"/>
      <c r="O43" s="514"/>
      <c r="P43" s="514"/>
      <c r="Q43" s="522"/>
      <c r="R43" s="745"/>
      <c r="S43" s="514"/>
      <c r="T43" s="520"/>
      <c r="U43" s="514"/>
      <c r="V43" s="514"/>
      <c r="W43" s="514"/>
      <c r="X43" s="514"/>
      <c r="Y43" s="745"/>
      <c r="Z43" s="514"/>
      <c r="AA43" s="520"/>
      <c r="AB43" s="514"/>
      <c r="AC43" s="1026">
        <v>5</v>
      </c>
      <c r="AD43" s="1026">
        <v>5</v>
      </c>
      <c r="AE43" s="1026">
        <v>5</v>
      </c>
      <c r="AF43" s="756"/>
      <c r="AG43" s="1022">
        <v>5</v>
      </c>
      <c r="AH43" s="1023">
        <v>5</v>
      </c>
      <c r="AI43" s="1030">
        <v>25</v>
      </c>
      <c r="AJ43" s="790">
        <v>26.490000000000002</v>
      </c>
      <c r="AK43" s="521">
        <v>0</v>
      </c>
      <c r="AL43" s="520">
        <v>25</v>
      </c>
      <c r="AM43" s="672" t="s">
        <v>1496</v>
      </c>
      <c r="AN43" s="669">
        <v>3.370000000000001</v>
      </c>
    </row>
    <row r="44" spans="1:41" s="500" customFormat="1">
      <c r="A44" s="539" t="s">
        <v>608</v>
      </c>
      <c r="B44" s="539" t="s">
        <v>1159</v>
      </c>
      <c r="C44" s="472" t="s">
        <v>37</v>
      </c>
      <c r="D44" s="743"/>
      <c r="E44" s="520"/>
      <c r="F44" s="520"/>
      <c r="G44" s="520"/>
      <c r="H44" s="520"/>
      <c r="I44" s="521"/>
      <c r="J44" s="521"/>
      <c r="K44" s="725"/>
      <c r="L44" s="514"/>
      <c r="M44" s="520"/>
      <c r="N44" s="514"/>
      <c r="O44" s="514"/>
      <c r="P44" s="514"/>
      <c r="Q44" s="522"/>
      <c r="R44" s="745"/>
      <c r="S44" s="514"/>
      <c r="T44" s="520"/>
      <c r="U44" s="514"/>
      <c r="V44" s="514"/>
      <c r="W44" s="514"/>
      <c r="X44" s="514"/>
      <c r="Y44" s="756"/>
      <c r="Z44" s="514"/>
      <c r="AA44" s="520"/>
      <c r="AB44" s="972">
        <v>10</v>
      </c>
      <c r="AC44" s="972">
        <v>10</v>
      </c>
      <c r="AD44" s="972">
        <v>10</v>
      </c>
      <c r="AE44" s="972">
        <v>6</v>
      </c>
      <c r="AF44" s="756"/>
      <c r="AG44" s="967">
        <v>10</v>
      </c>
      <c r="AH44" s="1015">
        <v>5.19</v>
      </c>
      <c r="AI44" s="1030">
        <v>51.19</v>
      </c>
      <c r="AJ44" s="790"/>
      <c r="AK44" s="521">
        <v>0</v>
      </c>
      <c r="AL44" s="520">
        <v>51.19</v>
      </c>
      <c r="AM44" s="672" t="s">
        <v>1497</v>
      </c>
      <c r="AN44" s="669">
        <v>6</v>
      </c>
    </row>
    <row r="45" spans="1:41" s="500" customFormat="1">
      <c r="A45" s="539" t="s">
        <v>609</v>
      </c>
      <c r="B45" s="539" t="s">
        <v>1160</v>
      </c>
      <c r="C45" s="472" t="s">
        <v>40</v>
      </c>
      <c r="D45" s="743"/>
      <c r="E45" s="520"/>
      <c r="F45" s="520"/>
      <c r="G45" s="520"/>
      <c r="H45" s="520"/>
      <c r="I45" s="521"/>
      <c r="J45" s="521"/>
      <c r="K45" s="725"/>
      <c r="L45" s="514"/>
      <c r="M45" s="520"/>
      <c r="N45" s="514"/>
      <c r="O45" s="514"/>
      <c r="P45" s="514"/>
      <c r="Q45" s="522"/>
      <c r="R45" s="745"/>
      <c r="S45" s="514"/>
      <c r="T45" s="520"/>
      <c r="U45" s="514"/>
      <c r="V45" s="514"/>
      <c r="W45" s="514"/>
      <c r="X45" s="514"/>
      <c r="Y45" s="756"/>
      <c r="Z45" s="514"/>
      <c r="AA45" s="520"/>
      <c r="AB45" s="972">
        <v>5</v>
      </c>
      <c r="AC45" s="972">
        <v>5</v>
      </c>
      <c r="AD45" s="972">
        <v>5</v>
      </c>
      <c r="AE45" s="972">
        <v>3.61</v>
      </c>
      <c r="AF45" s="756"/>
      <c r="AG45" s="967">
        <v>5</v>
      </c>
      <c r="AH45" s="1015">
        <v>5</v>
      </c>
      <c r="AI45" s="1030">
        <v>28.61</v>
      </c>
      <c r="AJ45" s="790"/>
      <c r="AK45" s="521">
        <v>0</v>
      </c>
      <c r="AL45" s="520">
        <v>28.61</v>
      </c>
      <c r="AM45" s="672" t="s">
        <v>1498</v>
      </c>
      <c r="AN45" s="669">
        <v>0</v>
      </c>
    </row>
    <row r="46" spans="1:41" s="500" customFormat="1">
      <c r="A46" s="542" t="s">
        <v>55</v>
      </c>
      <c r="B46" s="542" t="s">
        <v>1162</v>
      </c>
      <c r="C46" s="605"/>
      <c r="D46" s="743"/>
      <c r="E46" s="520"/>
      <c r="F46" s="520"/>
      <c r="G46" s="520"/>
      <c r="H46" s="520"/>
      <c r="I46" s="521"/>
      <c r="J46" s="521"/>
      <c r="K46" s="725"/>
      <c r="L46" s="514"/>
      <c r="M46" s="520"/>
      <c r="N46" s="514"/>
      <c r="O46" s="514"/>
      <c r="P46" s="514"/>
      <c r="Q46" s="522"/>
      <c r="R46" s="745"/>
      <c r="S46" s="514"/>
      <c r="T46" s="520"/>
      <c r="U46" s="514"/>
      <c r="V46" s="514"/>
      <c r="W46" s="514"/>
      <c r="X46" s="514"/>
      <c r="Y46" s="756"/>
      <c r="Z46" s="514"/>
      <c r="AA46" s="520"/>
      <c r="AB46" s="514"/>
      <c r="AC46" s="514"/>
      <c r="AD46" s="514"/>
      <c r="AE46" s="698"/>
      <c r="AF46" s="756"/>
      <c r="AG46" s="527"/>
      <c r="AH46" s="789"/>
      <c r="AI46" s="664">
        <v>0</v>
      </c>
      <c r="AJ46" s="790"/>
      <c r="AK46" s="521">
        <v>0</v>
      </c>
      <c r="AL46" s="520">
        <v>0</v>
      </c>
      <c r="AM46" s="672"/>
      <c r="AN46" s="669">
        <v>0</v>
      </c>
    </row>
    <row r="47" spans="1:41" s="500" customFormat="1">
      <c r="A47" s="539" t="s">
        <v>613</v>
      </c>
      <c r="B47" s="539" t="s">
        <v>1205</v>
      </c>
      <c r="C47" s="472" t="s">
        <v>40</v>
      </c>
      <c r="D47" s="743"/>
      <c r="E47" s="520"/>
      <c r="F47" s="520"/>
      <c r="G47" s="520"/>
      <c r="H47" s="520"/>
      <c r="I47" s="521"/>
      <c r="J47" s="521"/>
      <c r="K47" s="725"/>
      <c r="L47" s="514"/>
      <c r="M47" s="520"/>
      <c r="N47" s="514"/>
      <c r="O47" s="514"/>
      <c r="P47" s="514"/>
      <c r="Q47" s="522"/>
      <c r="R47" s="745"/>
      <c r="S47" s="514"/>
      <c r="T47" s="520"/>
      <c r="U47" s="514"/>
      <c r="V47" s="514"/>
      <c r="W47" s="514"/>
      <c r="X47" s="514"/>
      <c r="Y47" s="756"/>
      <c r="Z47" s="514"/>
      <c r="AA47" s="520"/>
      <c r="AB47" s="1020">
        <v>0.14624999999999999</v>
      </c>
      <c r="AC47" s="514"/>
      <c r="AD47" s="514"/>
      <c r="AE47" s="698"/>
      <c r="AF47" s="756"/>
      <c r="AG47" s="527"/>
      <c r="AH47" s="789"/>
      <c r="AI47" s="1030">
        <v>0.15</v>
      </c>
      <c r="AJ47" s="790"/>
      <c r="AK47" s="521">
        <v>0</v>
      </c>
      <c r="AL47" s="520">
        <v>0.15</v>
      </c>
      <c r="AM47" s="672" t="s">
        <v>1501</v>
      </c>
      <c r="AN47" s="669">
        <v>2.5300000000000002</v>
      </c>
    </row>
    <row r="48" spans="1:41" s="500" customFormat="1">
      <c r="A48" s="539" t="s">
        <v>614</v>
      </c>
      <c r="B48" s="539" t="s">
        <v>1167</v>
      </c>
      <c r="C48" s="548" t="s">
        <v>37</v>
      </c>
      <c r="D48" s="743"/>
      <c r="E48" s="520"/>
      <c r="F48" s="520"/>
      <c r="G48" s="520"/>
      <c r="H48" s="520"/>
      <c r="I48" s="521"/>
      <c r="J48" s="521"/>
      <c r="K48" s="725"/>
      <c r="L48" s="514"/>
      <c r="M48" s="520"/>
      <c r="N48" s="514"/>
      <c r="O48" s="514"/>
      <c r="P48" s="514"/>
      <c r="Q48" s="522"/>
      <c r="R48" s="745"/>
      <c r="S48" s="514"/>
      <c r="T48" s="520"/>
      <c r="U48" s="514"/>
      <c r="V48" s="514"/>
      <c r="W48" s="514"/>
      <c r="X48" s="514"/>
      <c r="Y48" s="756"/>
      <c r="Z48" s="514"/>
      <c r="AA48" s="520"/>
      <c r="AB48" s="1020">
        <v>2.1</v>
      </c>
      <c r="AC48" s="514"/>
      <c r="AD48" s="514"/>
      <c r="AE48" s="698"/>
      <c r="AF48" s="756"/>
      <c r="AG48" s="527"/>
      <c r="AH48" s="789"/>
      <c r="AI48" s="1030">
        <v>2.1</v>
      </c>
      <c r="AJ48" s="790"/>
      <c r="AK48" s="521">
        <v>0</v>
      </c>
      <c r="AL48" s="520">
        <v>2.1</v>
      </c>
      <c r="AM48" s="672" t="s">
        <v>1502</v>
      </c>
      <c r="AN48" s="669">
        <v>94.56</v>
      </c>
    </row>
    <row r="49" spans="1:40" s="500" customFormat="1">
      <c r="A49" s="542" t="s">
        <v>616</v>
      </c>
      <c r="B49" s="542" t="s">
        <v>1169</v>
      </c>
      <c r="C49" s="605"/>
      <c r="D49" s="743"/>
      <c r="E49" s="520"/>
      <c r="F49" s="520"/>
      <c r="G49" s="520"/>
      <c r="H49" s="520"/>
      <c r="I49" s="521"/>
      <c r="J49" s="521"/>
      <c r="K49" s="725"/>
      <c r="L49" s="514"/>
      <c r="M49" s="520"/>
      <c r="N49" s="514"/>
      <c r="O49" s="514"/>
      <c r="P49" s="514"/>
      <c r="Q49" s="522"/>
      <c r="R49" s="745"/>
      <c r="S49" s="514"/>
      <c r="T49" s="520"/>
      <c r="U49" s="514"/>
      <c r="V49" s="514"/>
      <c r="W49" s="514"/>
      <c r="X49" s="514"/>
      <c r="Y49" s="756"/>
      <c r="Z49" s="514"/>
      <c r="AA49" s="520"/>
      <c r="AB49" s="514"/>
      <c r="AC49" s="514"/>
      <c r="AD49" s="514"/>
      <c r="AE49" s="698"/>
      <c r="AF49" s="756"/>
      <c r="AG49" s="527"/>
      <c r="AH49" s="789"/>
      <c r="AI49" s="664">
        <v>0</v>
      </c>
      <c r="AJ49" s="790"/>
      <c r="AK49" s="521">
        <v>0</v>
      </c>
      <c r="AL49" s="520">
        <v>0</v>
      </c>
      <c r="AM49" s="672"/>
      <c r="AN49" s="669">
        <v>0</v>
      </c>
    </row>
    <row r="50" spans="1:40" s="500" customFormat="1">
      <c r="A50" s="539" t="s">
        <v>628</v>
      </c>
      <c r="B50" s="539" t="s">
        <v>1181</v>
      </c>
      <c r="C50" s="605"/>
      <c r="D50" s="743"/>
      <c r="E50" s="520"/>
      <c r="F50" s="520"/>
      <c r="G50" s="520"/>
      <c r="H50" s="520"/>
      <c r="I50" s="521"/>
      <c r="J50" s="521"/>
      <c r="K50" s="725"/>
      <c r="L50" s="514"/>
      <c r="M50" s="520"/>
      <c r="N50" s="514"/>
      <c r="O50" s="514"/>
      <c r="P50" s="514"/>
      <c r="Q50" s="522"/>
      <c r="R50" s="745"/>
      <c r="S50" s="514"/>
      <c r="T50" s="520"/>
      <c r="U50" s="514"/>
      <c r="V50" s="514"/>
      <c r="W50" s="514"/>
      <c r="X50" s="514"/>
      <c r="Y50" s="756"/>
      <c r="Z50" s="514"/>
      <c r="AA50" s="520"/>
      <c r="AB50" s="514"/>
      <c r="AC50" s="514"/>
      <c r="AD50" s="514"/>
      <c r="AE50" s="698"/>
      <c r="AF50" s="756"/>
      <c r="AG50" s="527"/>
      <c r="AH50" s="789"/>
      <c r="AI50" s="664">
        <v>0</v>
      </c>
      <c r="AJ50" s="790"/>
      <c r="AK50" s="521">
        <v>0</v>
      </c>
      <c r="AL50" s="520">
        <v>0</v>
      </c>
      <c r="AM50" s="672"/>
      <c r="AN50" s="669">
        <v>0</v>
      </c>
    </row>
    <row r="51" spans="1:40" s="500" customFormat="1">
      <c r="A51" s="539" t="s">
        <v>630</v>
      </c>
      <c r="B51" s="539" t="s">
        <v>1183</v>
      </c>
      <c r="C51" s="548" t="s">
        <v>37</v>
      </c>
      <c r="D51" s="743"/>
      <c r="E51" s="520"/>
      <c r="F51" s="520"/>
      <c r="G51" s="520"/>
      <c r="H51" s="520"/>
      <c r="I51" s="521"/>
      <c r="K51" s="725"/>
      <c r="L51" s="521"/>
      <c r="M51" s="520"/>
      <c r="N51" s="521"/>
      <c r="O51" s="521"/>
      <c r="P51" s="514"/>
      <c r="Q51" s="522"/>
      <c r="R51" s="745"/>
      <c r="S51" s="514"/>
      <c r="T51" s="520"/>
      <c r="U51" s="522"/>
      <c r="V51" s="514"/>
      <c r="W51" s="514"/>
      <c r="X51" s="514"/>
      <c r="Y51" s="756"/>
      <c r="Z51" s="514"/>
      <c r="AA51" s="520"/>
      <c r="AB51" s="1020">
        <v>2.1599999999999966</v>
      </c>
      <c r="AC51" s="514"/>
      <c r="AD51" s="522"/>
      <c r="AE51" s="522"/>
      <c r="AF51" s="756"/>
      <c r="AG51" s="527"/>
      <c r="AH51" s="789"/>
      <c r="AI51" s="1030">
        <v>2.16</v>
      </c>
      <c r="AJ51" s="790"/>
      <c r="AK51" s="521">
        <v>0</v>
      </c>
      <c r="AL51" s="520">
        <v>2.16</v>
      </c>
      <c r="AM51" s="672" t="s">
        <v>1512</v>
      </c>
      <c r="AN51" s="669">
        <v>33.28</v>
      </c>
    </row>
    <row r="52" spans="1:40" s="500" customFormat="1">
      <c r="A52" s="539" t="s">
        <v>631</v>
      </c>
      <c r="B52" s="539" t="s">
        <v>1184</v>
      </c>
      <c r="C52" s="472" t="s">
        <v>48</v>
      </c>
      <c r="D52" s="743"/>
      <c r="E52" s="520"/>
      <c r="F52" s="520"/>
      <c r="G52" s="520"/>
      <c r="H52" s="520"/>
      <c r="I52" s="521"/>
      <c r="K52" s="725"/>
      <c r="L52" s="521"/>
      <c r="M52" s="520"/>
      <c r="N52" s="521"/>
      <c r="O52" s="521"/>
      <c r="P52" s="514"/>
      <c r="Q52" s="522"/>
      <c r="R52" s="745"/>
      <c r="S52" s="514"/>
      <c r="T52" s="520"/>
      <c r="U52" s="522"/>
      <c r="V52" s="514"/>
      <c r="W52" s="514"/>
      <c r="X52" s="514"/>
      <c r="Y52" s="756"/>
      <c r="Z52" s="514"/>
      <c r="AA52" s="968">
        <v>261.08000000000004</v>
      </c>
      <c r="AB52" s="514"/>
      <c r="AC52" s="514"/>
      <c r="AD52" s="514"/>
      <c r="AE52" s="698"/>
      <c r="AF52" s="756"/>
      <c r="AG52" s="527"/>
      <c r="AH52" s="789"/>
      <c r="AI52" s="1030">
        <v>261.08</v>
      </c>
      <c r="AJ52" s="790"/>
      <c r="AK52" s="521">
        <v>0</v>
      </c>
      <c r="AL52" s="520">
        <v>261.08</v>
      </c>
      <c r="AM52" s="672" t="s">
        <v>1513</v>
      </c>
      <c r="AN52" s="669">
        <v>275.86000000000007</v>
      </c>
    </row>
    <row r="53" spans="1:40" s="500" customFormat="1">
      <c r="A53" s="542" t="s">
        <v>645</v>
      </c>
      <c r="B53" s="542" t="s">
        <v>1198</v>
      </c>
      <c r="C53" s="605"/>
      <c r="D53" s="743"/>
      <c r="E53" s="520"/>
      <c r="F53" s="520"/>
      <c r="G53" s="520"/>
      <c r="H53" s="520"/>
      <c r="I53" s="521"/>
      <c r="J53" s="521"/>
      <c r="K53" s="725"/>
      <c r="L53" s="514"/>
      <c r="M53" s="520"/>
      <c r="N53" s="514"/>
      <c r="O53" s="514"/>
      <c r="P53" s="514"/>
      <c r="Q53" s="522"/>
      <c r="R53" s="745"/>
      <c r="S53" s="514"/>
      <c r="T53" s="520"/>
      <c r="U53" s="514"/>
      <c r="V53" s="514"/>
      <c r="W53" s="514"/>
      <c r="X53" s="514"/>
      <c r="Y53" s="756"/>
      <c r="Z53" s="514"/>
      <c r="AA53" s="520"/>
      <c r="AB53" s="514"/>
      <c r="AC53" s="514"/>
      <c r="AD53" s="514"/>
      <c r="AE53" s="698"/>
      <c r="AF53" s="756"/>
      <c r="AG53" s="527"/>
      <c r="AH53" s="789"/>
      <c r="AI53" s="664">
        <v>0</v>
      </c>
      <c r="AJ53" s="790"/>
      <c r="AK53" s="521">
        <v>0</v>
      </c>
      <c r="AL53" s="520">
        <v>0</v>
      </c>
      <c r="AM53" s="672"/>
      <c r="AN53" s="669">
        <v>0</v>
      </c>
    </row>
    <row r="54" spans="1:40" s="500" customFormat="1">
      <c r="A54" s="539" t="s">
        <v>646</v>
      </c>
      <c r="B54" s="539" t="s">
        <v>1199</v>
      </c>
      <c r="C54" s="472" t="s">
        <v>38</v>
      </c>
      <c r="D54" s="743"/>
      <c r="E54" s="520"/>
      <c r="F54" s="520"/>
      <c r="G54" s="520"/>
      <c r="H54" s="520"/>
      <c r="I54" s="521"/>
      <c r="J54" s="521"/>
      <c r="K54" s="725"/>
      <c r="L54" s="514"/>
      <c r="M54" s="520"/>
      <c r="N54" s="514"/>
      <c r="O54" s="514"/>
      <c r="P54" s="514"/>
      <c r="Q54" s="522"/>
      <c r="R54" s="745"/>
      <c r="S54" s="514"/>
      <c r="T54" s="520"/>
      <c r="U54" s="514"/>
      <c r="V54" s="514"/>
      <c r="W54" s="514"/>
      <c r="X54" s="514"/>
      <c r="Y54" s="756"/>
      <c r="Z54" s="514"/>
      <c r="AA54" s="520"/>
      <c r="AB54" s="514"/>
      <c r="AC54" s="514"/>
      <c r="AD54" s="514"/>
      <c r="AE54" s="698"/>
      <c r="AF54" s="756"/>
      <c r="AG54" s="527"/>
      <c r="AH54" s="789"/>
      <c r="AI54" s="664">
        <v>0</v>
      </c>
      <c r="AJ54" s="790"/>
      <c r="AK54" s="521">
        <v>0</v>
      </c>
      <c r="AL54" s="520">
        <v>0</v>
      </c>
      <c r="AM54" s="672" t="s">
        <v>1523</v>
      </c>
      <c r="AN54" s="669">
        <v>158.4</v>
      </c>
    </row>
    <row r="55" spans="1:40" s="518" customFormat="1">
      <c r="A55" s="542" t="s">
        <v>647</v>
      </c>
      <c r="B55" s="542" t="s">
        <v>1200</v>
      </c>
      <c r="C55" s="616"/>
      <c r="D55" s="827"/>
      <c r="E55" s="526"/>
      <c r="F55" s="526"/>
      <c r="G55" s="526"/>
      <c r="H55" s="526"/>
      <c r="I55" s="521"/>
      <c r="J55" s="527"/>
      <c r="K55" s="727"/>
      <c r="L55" s="514"/>
      <c r="M55" s="526"/>
      <c r="N55" s="514"/>
      <c r="O55" s="514"/>
      <c r="P55" s="514"/>
      <c r="Q55" s="522"/>
      <c r="R55" s="745"/>
      <c r="S55" s="514"/>
      <c r="T55" s="526"/>
      <c r="U55" s="514"/>
      <c r="V55" s="514"/>
      <c r="W55" s="514"/>
      <c r="X55" s="514"/>
      <c r="Y55" s="756"/>
      <c r="Z55" s="514"/>
      <c r="AA55" s="526"/>
      <c r="AB55" s="514"/>
      <c r="AC55" s="514"/>
      <c r="AD55" s="514"/>
      <c r="AE55" s="698"/>
      <c r="AF55" s="756"/>
      <c r="AG55" s="527"/>
      <c r="AH55" s="789"/>
      <c r="AI55" s="664">
        <v>0</v>
      </c>
      <c r="AJ55" s="790"/>
      <c r="AK55" s="521">
        <v>0</v>
      </c>
      <c r="AL55" s="520">
        <v>0</v>
      </c>
      <c r="AM55" s="673"/>
      <c r="AN55" s="669">
        <v>0</v>
      </c>
    </row>
    <row r="56" spans="1:40" s="518" customFormat="1">
      <c r="A56" s="539" t="s">
        <v>648</v>
      </c>
      <c r="B56" s="539" t="s">
        <v>1201</v>
      </c>
      <c r="C56" s="472" t="s">
        <v>38</v>
      </c>
      <c r="D56" s="827"/>
      <c r="E56" s="526"/>
      <c r="F56" s="526"/>
      <c r="G56" s="526"/>
      <c r="H56" s="526"/>
      <c r="I56" s="521"/>
      <c r="J56" s="527"/>
      <c r="K56" s="727"/>
      <c r="L56" s="514"/>
      <c r="M56" s="526"/>
      <c r="N56" s="514"/>
      <c r="O56" s="514"/>
      <c r="P56" s="514"/>
      <c r="Q56" s="522"/>
      <c r="R56" s="745"/>
      <c r="S56" s="514"/>
      <c r="T56" s="526"/>
      <c r="U56" s="514"/>
      <c r="V56" s="514"/>
      <c r="W56" s="514"/>
      <c r="X56" s="514"/>
      <c r="Y56" s="756"/>
      <c r="Z56" s="514"/>
      <c r="AA56" s="526"/>
      <c r="AB56" s="514"/>
      <c r="AC56" s="514"/>
      <c r="AD56" s="514"/>
      <c r="AE56" s="698"/>
      <c r="AF56" s="756"/>
      <c r="AG56" s="527"/>
      <c r="AH56" s="1015">
        <v>83.2</v>
      </c>
      <c r="AI56" s="1030">
        <v>83.2</v>
      </c>
      <c r="AJ56" s="790"/>
      <c r="AK56" s="521">
        <v>0</v>
      </c>
      <c r="AL56" s="520">
        <v>83.2</v>
      </c>
      <c r="AM56" s="673" t="s">
        <v>1524</v>
      </c>
      <c r="AN56" s="669">
        <v>0</v>
      </c>
    </row>
    <row r="57" spans="1:40" s="500" customFormat="1">
      <c r="A57" s="539" t="s">
        <v>649</v>
      </c>
      <c r="B57" s="539" t="s">
        <v>225</v>
      </c>
      <c r="C57" s="472" t="s">
        <v>1450</v>
      </c>
      <c r="D57" s="743"/>
      <c r="E57" s="520"/>
      <c r="F57" s="520"/>
      <c r="G57" s="520"/>
      <c r="H57" s="520"/>
      <c r="I57" s="521"/>
      <c r="J57" s="521"/>
      <c r="K57" s="725"/>
      <c r="L57" s="514"/>
      <c r="M57" s="520"/>
      <c r="N57" s="514"/>
      <c r="O57" s="514"/>
      <c r="P57" s="514"/>
      <c r="Q57" s="522"/>
      <c r="R57" s="745"/>
      <c r="S57" s="514"/>
      <c r="T57" s="520"/>
      <c r="U57" s="514"/>
      <c r="V57" s="514"/>
      <c r="W57" s="514"/>
      <c r="X57" s="514"/>
      <c r="Y57" s="756"/>
      <c r="Z57" s="514"/>
      <c r="AA57" s="520"/>
      <c r="AB57" s="514"/>
      <c r="AC57" s="514"/>
      <c r="AD57" s="514"/>
      <c r="AE57" s="698"/>
      <c r="AF57" s="756"/>
      <c r="AG57" s="521"/>
      <c r="AH57" s="1023">
        <v>4</v>
      </c>
      <c r="AI57" s="1030">
        <v>4</v>
      </c>
      <c r="AJ57" s="790"/>
      <c r="AK57" s="521">
        <v>0</v>
      </c>
      <c r="AL57" s="520">
        <v>4</v>
      </c>
      <c r="AM57" s="672" t="s">
        <v>1493</v>
      </c>
      <c r="AN57" s="669">
        <v>11</v>
      </c>
    </row>
    <row r="58" spans="1:40" s="730" customFormat="1">
      <c r="A58" s="814" t="s">
        <v>52</v>
      </c>
      <c r="B58" s="815" t="s">
        <v>1209</v>
      </c>
      <c r="C58" s="826"/>
      <c r="D58" s="743"/>
      <c r="E58" s="520"/>
      <c r="F58" s="520"/>
      <c r="G58" s="520"/>
      <c r="H58" s="520"/>
      <c r="I58" s="521"/>
      <c r="J58" s="521"/>
      <c r="K58" s="725"/>
      <c r="L58" s="514"/>
      <c r="M58" s="520"/>
      <c r="N58" s="514"/>
      <c r="O58" s="514"/>
      <c r="P58" s="514"/>
      <c r="Q58" s="522"/>
      <c r="R58" s="745"/>
      <c r="S58" s="514"/>
      <c r="T58" s="520"/>
      <c r="U58" s="514"/>
      <c r="V58" s="514"/>
      <c r="W58" s="514"/>
      <c r="X58" s="514"/>
      <c r="Y58" s="756"/>
      <c r="Z58" s="514"/>
      <c r="AA58" s="520"/>
      <c r="AB58" s="514"/>
      <c r="AC58" s="514"/>
      <c r="AD58" s="514"/>
      <c r="AE58" s="698"/>
      <c r="AF58" s="756"/>
      <c r="AG58" s="527"/>
      <c r="AH58" s="789"/>
      <c r="AI58" s="664">
        <v>0</v>
      </c>
      <c r="AJ58" s="790"/>
      <c r="AK58" s="725">
        <v>0</v>
      </c>
      <c r="AL58" s="726">
        <v>0</v>
      </c>
      <c r="AM58" s="728"/>
      <c r="AN58" s="729">
        <v>0</v>
      </c>
    </row>
    <row r="59" spans="1:40" s="500" customFormat="1">
      <c r="A59" s="542" t="s">
        <v>56</v>
      </c>
      <c r="B59" s="542" t="s">
        <v>46</v>
      </c>
      <c r="C59" s="616"/>
      <c r="D59" s="743"/>
      <c r="E59" s="520"/>
      <c r="F59" s="520"/>
      <c r="G59" s="520"/>
      <c r="H59" s="520"/>
      <c r="I59" s="521"/>
      <c r="J59" s="521"/>
      <c r="K59" s="725"/>
      <c r="L59" s="522"/>
      <c r="M59" s="520"/>
      <c r="N59" s="522"/>
      <c r="O59" s="522"/>
      <c r="P59" s="522"/>
      <c r="Q59" s="522"/>
      <c r="R59" s="745"/>
      <c r="S59" s="522"/>
      <c r="T59" s="520"/>
      <c r="U59" s="522"/>
      <c r="V59" s="522"/>
      <c r="W59" s="522"/>
      <c r="X59" s="522"/>
      <c r="Y59" s="745"/>
      <c r="Z59" s="522"/>
      <c r="AA59" s="520"/>
      <c r="AB59" s="522"/>
      <c r="AC59" s="522"/>
      <c r="AD59" s="522"/>
      <c r="AE59" s="698"/>
      <c r="AF59" s="745"/>
      <c r="AG59" s="521"/>
      <c r="AH59" s="790"/>
      <c r="AI59" s="664">
        <v>0</v>
      </c>
      <c r="AJ59" s="790"/>
      <c r="AK59" s="521">
        <v>0</v>
      </c>
      <c r="AL59" s="520">
        <v>0</v>
      </c>
      <c r="AM59" s="672"/>
      <c r="AN59" s="669">
        <v>0</v>
      </c>
    </row>
    <row r="60" spans="1:40" s="500" customFormat="1">
      <c r="A60" s="539" t="s">
        <v>653</v>
      </c>
      <c r="B60" s="539" t="s">
        <v>1159</v>
      </c>
      <c r="C60" s="548" t="s">
        <v>37</v>
      </c>
      <c r="D60" s="743"/>
      <c r="E60" s="968">
        <v>0.33619999999999806</v>
      </c>
      <c r="F60" s="520"/>
      <c r="G60" s="520"/>
      <c r="I60" s="521"/>
      <c r="J60" s="521"/>
      <c r="K60" s="725"/>
      <c r="L60" s="522"/>
      <c r="M60" s="520"/>
      <c r="N60" s="522"/>
      <c r="O60" s="522"/>
      <c r="P60" s="522"/>
      <c r="Q60" s="522"/>
      <c r="R60" s="745"/>
      <c r="S60" s="522"/>
      <c r="T60" s="520"/>
      <c r="U60" s="522"/>
      <c r="V60" s="522"/>
      <c r="W60" s="522"/>
      <c r="X60" s="522"/>
      <c r="Y60" s="745"/>
      <c r="Z60" s="522"/>
      <c r="AA60" s="520"/>
      <c r="AB60" s="522"/>
      <c r="AC60" s="522"/>
      <c r="AD60" s="522"/>
      <c r="AE60" s="698"/>
      <c r="AF60" s="745"/>
      <c r="AG60" s="521"/>
      <c r="AH60" s="790"/>
      <c r="AI60" s="1030">
        <v>0.34</v>
      </c>
      <c r="AJ60" s="790"/>
      <c r="AK60" s="521">
        <v>0</v>
      </c>
      <c r="AL60" s="520">
        <v>0.34</v>
      </c>
      <c r="AM60" s="672" t="s">
        <v>1528</v>
      </c>
      <c r="AN60" s="669">
        <v>71.989999999999995</v>
      </c>
    </row>
    <row r="61" spans="1:40" s="500" customFormat="1">
      <c r="A61" s="542" t="s">
        <v>661</v>
      </c>
      <c r="B61" s="542" t="s">
        <v>1169</v>
      </c>
      <c r="C61" s="616"/>
      <c r="D61" s="743"/>
      <c r="E61" s="520"/>
      <c r="F61" s="520"/>
      <c r="G61" s="520"/>
      <c r="H61" s="520"/>
      <c r="I61" s="521"/>
      <c r="J61" s="521"/>
      <c r="K61" s="725"/>
      <c r="L61" s="514"/>
      <c r="M61" s="520"/>
      <c r="N61" s="514"/>
      <c r="O61" s="514"/>
      <c r="P61" s="514"/>
      <c r="Q61" s="522"/>
      <c r="R61" s="745"/>
      <c r="S61" s="514"/>
      <c r="T61" s="520"/>
      <c r="U61" s="514"/>
      <c r="V61" s="514"/>
      <c r="W61" s="514"/>
      <c r="X61" s="514"/>
      <c r="Y61" s="756"/>
      <c r="Z61" s="514"/>
      <c r="AA61" s="520"/>
      <c r="AB61" s="514"/>
      <c r="AC61" s="514"/>
      <c r="AD61" s="514"/>
      <c r="AE61" s="698"/>
      <c r="AF61" s="756"/>
      <c r="AG61" s="527"/>
      <c r="AH61" s="789"/>
      <c r="AI61" s="664">
        <v>0</v>
      </c>
      <c r="AJ61" s="790"/>
      <c r="AK61" s="521">
        <v>0</v>
      </c>
      <c r="AL61" s="520">
        <v>0</v>
      </c>
      <c r="AM61" s="672"/>
      <c r="AN61" s="669">
        <v>0</v>
      </c>
    </row>
    <row r="62" spans="1:40" s="500" customFormat="1">
      <c r="A62" s="539" t="s">
        <v>673</v>
      </c>
      <c r="B62" s="539" t="s">
        <v>1181</v>
      </c>
      <c r="C62" s="616"/>
      <c r="D62" s="743"/>
      <c r="E62" s="520"/>
      <c r="F62" s="520"/>
      <c r="G62" s="520"/>
      <c r="H62" s="520"/>
      <c r="I62" s="521"/>
      <c r="J62" s="521"/>
      <c r="K62" s="725"/>
      <c r="L62" s="514"/>
      <c r="M62" s="520"/>
      <c r="N62" s="514"/>
      <c r="P62" s="514"/>
      <c r="Q62" s="522"/>
      <c r="R62" s="745"/>
      <c r="S62" s="514"/>
      <c r="T62" s="520"/>
      <c r="U62" s="514"/>
      <c r="V62" s="514"/>
      <c r="W62" s="514"/>
      <c r="X62" s="514"/>
      <c r="Y62" s="756"/>
      <c r="Z62" s="514"/>
      <c r="AA62" s="520"/>
      <c r="AB62" s="514"/>
      <c r="AC62" s="514"/>
      <c r="AD62" s="514"/>
      <c r="AE62" s="698"/>
      <c r="AF62" s="756"/>
      <c r="AG62" s="527"/>
      <c r="AH62" s="789"/>
      <c r="AI62" s="664">
        <v>0</v>
      </c>
      <c r="AJ62" s="790"/>
      <c r="AK62" s="521">
        <v>0</v>
      </c>
      <c r="AL62" s="520">
        <v>0</v>
      </c>
      <c r="AM62" s="672"/>
      <c r="AN62" s="669">
        <v>0</v>
      </c>
    </row>
    <row r="63" spans="1:40" s="500" customFormat="1">
      <c r="A63" s="539" t="s">
        <v>674</v>
      </c>
      <c r="B63" s="539" t="s">
        <v>1182</v>
      </c>
      <c r="C63" s="548" t="s">
        <v>40</v>
      </c>
      <c r="D63" s="743"/>
      <c r="E63" s="968">
        <v>0.42875000000000002</v>
      </c>
      <c r="F63" s="520"/>
      <c r="G63" s="520"/>
      <c r="H63" s="968">
        <v>0.765625</v>
      </c>
      <c r="I63" s="967">
        <v>1.3831250000000002</v>
      </c>
      <c r="J63" s="521"/>
      <c r="K63" s="725"/>
      <c r="L63" s="514"/>
      <c r="M63" s="520"/>
      <c r="N63" s="514"/>
      <c r="O63" s="514"/>
      <c r="P63" s="522"/>
      <c r="Q63" s="522"/>
      <c r="R63" s="745"/>
      <c r="S63" s="514"/>
      <c r="T63" s="520"/>
      <c r="U63" s="514"/>
      <c r="V63" s="514"/>
      <c r="W63" s="514"/>
      <c r="X63" s="514"/>
      <c r="Y63" s="756"/>
      <c r="Z63" s="514"/>
      <c r="AA63" s="520"/>
      <c r="AB63" s="514"/>
      <c r="AC63" s="514"/>
      <c r="AD63" s="514"/>
      <c r="AE63" s="698"/>
      <c r="AF63" s="745"/>
      <c r="AG63" s="527"/>
      <c r="AH63" s="789"/>
      <c r="AI63" s="1030">
        <v>2.58</v>
      </c>
      <c r="AJ63" s="790"/>
      <c r="AK63" s="521">
        <v>0</v>
      </c>
      <c r="AL63" s="520">
        <v>2.58</v>
      </c>
      <c r="AM63" s="672" t="s">
        <v>1542</v>
      </c>
      <c r="AN63" s="669">
        <v>0.85999999999999988</v>
      </c>
    </row>
    <row r="64" spans="1:40" s="500" customFormat="1">
      <c r="A64" s="539" t="s">
        <v>675</v>
      </c>
      <c r="B64" s="539" t="s">
        <v>1183</v>
      </c>
      <c r="C64" s="548" t="s">
        <v>37</v>
      </c>
      <c r="D64" s="743"/>
      <c r="E64" s="520"/>
      <c r="F64" s="968">
        <v>7.3500000000000005</v>
      </c>
      <c r="G64" s="520"/>
      <c r="H64" s="520"/>
      <c r="I64" s="967">
        <v>2.9450000000000003</v>
      </c>
      <c r="J64" s="521"/>
      <c r="K64" s="725"/>
      <c r="L64" s="514"/>
      <c r="M64" s="520"/>
      <c r="N64" s="514"/>
      <c r="O64" s="514"/>
      <c r="P64" s="522"/>
      <c r="Q64" s="522"/>
      <c r="R64" s="745"/>
      <c r="S64" s="514"/>
      <c r="T64" s="520"/>
      <c r="U64" s="514"/>
      <c r="V64" s="514"/>
      <c r="W64" s="514"/>
      <c r="X64" s="514"/>
      <c r="Y64" s="756"/>
      <c r="Z64" s="514"/>
      <c r="AA64" s="520"/>
      <c r="AB64" s="514"/>
      <c r="AC64" s="514"/>
      <c r="AD64" s="514"/>
      <c r="AE64" s="522"/>
      <c r="AF64" s="745"/>
      <c r="AG64" s="527"/>
      <c r="AH64" s="789"/>
      <c r="AI64" s="1030">
        <v>10.3</v>
      </c>
      <c r="AJ64" s="790"/>
      <c r="AK64" s="521">
        <v>0</v>
      </c>
      <c r="AL64" s="520">
        <v>10.3</v>
      </c>
      <c r="AM64" s="672" t="s">
        <v>1543</v>
      </c>
      <c r="AN64" s="669">
        <v>11.16</v>
      </c>
    </row>
    <row r="65" spans="1:40" s="500" customFormat="1" ht="13.5">
      <c r="A65" s="539" t="s">
        <v>676</v>
      </c>
      <c r="B65" s="539" t="s">
        <v>1184</v>
      </c>
      <c r="C65" s="548" t="s">
        <v>48</v>
      </c>
      <c r="D65" s="743"/>
      <c r="E65" s="520"/>
      <c r="F65" s="520"/>
      <c r="G65" s="520"/>
      <c r="H65" s="520"/>
      <c r="I65" s="521"/>
      <c r="J65" s="521"/>
      <c r="K65" s="725"/>
      <c r="L65" s="514"/>
      <c r="M65" s="520"/>
      <c r="N65" s="514"/>
      <c r="O65" s="514"/>
      <c r="P65" s="522"/>
      <c r="Q65" s="522"/>
      <c r="R65" s="745"/>
      <c r="S65" s="522"/>
      <c r="T65" s="520"/>
      <c r="U65" s="514"/>
      <c r="V65" s="514"/>
      <c r="W65" s="514"/>
      <c r="X65" s="514"/>
      <c r="Y65" s="756"/>
      <c r="Z65" s="514"/>
      <c r="AA65" s="1014">
        <v>254.45</v>
      </c>
      <c r="AB65" s="514"/>
      <c r="AC65" s="514"/>
      <c r="AD65" s="522"/>
      <c r="AE65" s="698"/>
      <c r="AF65" s="756"/>
      <c r="AG65" s="527"/>
      <c r="AH65" s="789"/>
      <c r="AI65" s="1030">
        <v>254.45</v>
      </c>
      <c r="AJ65" s="790"/>
      <c r="AK65" s="521">
        <v>0</v>
      </c>
      <c r="AL65" s="520">
        <v>254.45</v>
      </c>
      <c r="AM65" s="672" t="s">
        <v>1544</v>
      </c>
      <c r="AN65" s="669">
        <v>48.449999999999989</v>
      </c>
    </row>
    <row r="66" spans="1:40" s="500" customFormat="1">
      <c r="A66" s="542" t="s">
        <v>692</v>
      </c>
      <c r="B66" s="542" t="s">
        <v>1200</v>
      </c>
      <c r="C66" s="548"/>
      <c r="D66" s="743"/>
      <c r="E66" s="520"/>
      <c r="F66" s="520"/>
      <c r="G66" s="520"/>
      <c r="H66" s="520"/>
      <c r="I66" s="521"/>
      <c r="J66" s="521"/>
      <c r="K66" s="725"/>
      <c r="L66" s="514"/>
      <c r="M66" s="520"/>
      <c r="N66" s="514"/>
      <c r="O66" s="514"/>
      <c r="P66" s="514"/>
      <c r="Q66" s="522"/>
      <c r="R66" s="745"/>
      <c r="S66" s="514"/>
      <c r="T66" s="520"/>
      <c r="U66" s="514"/>
      <c r="V66" s="514"/>
      <c r="W66" s="514"/>
      <c r="X66" s="514"/>
      <c r="Y66" s="756"/>
      <c r="Z66" s="514"/>
      <c r="AA66" s="520"/>
      <c r="AB66" s="514"/>
      <c r="AC66" s="514"/>
      <c r="AD66" s="514"/>
      <c r="AE66" s="698"/>
      <c r="AF66" s="756"/>
      <c r="AG66" s="527"/>
      <c r="AH66" s="789"/>
      <c r="AI66" s="664">
        <v>0</v>
      </c>
      <c r="AJ66" s="790"/>
      <c r="AK66" s="521">
        <v>0</v>
      </c>
      <c r="AL66" s="520">
        <v>0</v>
      </c>
      <c r="AM66" s="672"/>
      <c r="AN66" s="669">
        <v>0</v>
      </c>
    </row>
    <row r="67" spans="1:40" s="500" customFormat="1">
      <c r="A67" s="539" t="s">
        <v>693</v>
      </c>
      <c r="B67" s="539" t="s">
        <v>1201</v>
      </c>
      <c r="C67" s="548" t="s">
        <v>38</v>
      </c>
      <c r="D67" s="743"/>
      <c r="E67" s="520"/>
      <c r="F67" s="520"/>
      <c r="G67" s="520"/>
      <c r="H67" s="520"/>
      <c r="I67" s="521"/>
      <c r="J67" s="521"/>
      <c r="K67" s="725"/>
      <c r="L67" s="514"/>
      <c r="M67" s="520"/>
      <c r="N67" s="514"/>
      <c r="O67" s="514"/>
      <c r="P67" s="514"/>
      <c r="Q67" s="522"/>
      <c r="R67" s="745"/>
      <c r="S67" s="514"/>
      <c r="T67" s="520"/>
      <c r="U67" s="514"/>
      <c r="V67" s="514"/>
      <c r="W67" s="514"/>
      <c r="X67" s="514"/>
      <c r="Y67" s="756"/>
      <c r="Z67" s="514"/>
      <c r="AA67" s="520"/>
      <c r="AB67" s="514"/>
      <c r="AC67" s="514"/>
      <c r="AD67" s="514"/>
      <c r="AE67" s="698"/>
      <c r="AF67" s="756"/>
      <c r="AG67" s="527"/>
      <c r="AH67" s="1015">
        <v>75.400000000000006</v>
      </c>
      <c r="AI67" s="1030">
        <v>75.400000000000006</v>
      </c>
      <c r="AJ67" s="790"/>
      <c r="AK67" s="521">
        <v>0</v>
      </c>
      <c r="AL67" s="520">
        <v>75.400000000000006</v>
      </c>
      <c r="AM67" s="672" t="s">
        <v>1555</v>
      </c>
      <c r="AN67" s="669">
        <v>0</v>
      </c>
    </row>
    <row r="68" spans="1:40" s="500" customFormat="1">
      <c r="A68" s="539" t="s">
        <v>694</v>
      </c>
      <c r="B68" s="539" t="s">
        <v>225</v>
      </c>
      <c r="C68" s="548" t="s">
        <v>1450</v>
      </c>
      <c r="D68" s="743"/>
      <c r="E68" s="520"/>
      <c r="F68" s="520"/>
      <c r="G68" s="520"/>
      <c r="H68" s="520"/>
      <c r="I68" s="521"/>
      <c r="J68" s="521"/>
      <c r="K68" s="725"/>
      <c r="L68" s="514"/>
      <c r="M68" s="520"/>
      <c r="N68" s="514"/>
      <c r="O68" s="514"/>
      <c r="P68" s="514"/>
      <c r="Q68" s="522"/>
      <c r="R68" s="745"/>
      <c r="S68" s="514"/>
      <c r="T68" s="520"/>
      <c r="U68" s="514"/>
      <c r="V68" s="514"/>
      <c r="W68" s="514"/>
      <c r="X68" s="514"/>
      <c r="Y68" s="756"/>
      <c r="Z68" s="514"/>
      <c r="AA68" s="520"/>
      <c r="AB68" s="514"/>
      <c r="AC68" s="514"/>
      <c r="AD68" s="514"/>
      <c r="AE68" s="698"/>
      <c r="AF68" s="756"/>
      <c r="AG68" s="521"/>
      <c r="AH68" s="1023">
        <v>3</v>
      </c>
      <c r="AI68" s="1030">
        <v>3</v>
      </c>
      <c r="AJ68" s="790"/>
      <c r="AK68" s="521">
        <v>0</v>
      </c>
      <c r="AL68" s="520">
        <v>3</v>
      </c>
      <c r="AM68" s="672" t="s">
        <v>1493</v>
      </c>
      <c r="AN68" s="669">
        <v>12</v>
      </c>
    </row>
    <row r="69" spans="1:40" s="500" customFormat="1">
      <c r="A69" s="814" t="s">
        <v>516</v>
      </c>
      <c r="B69" s="815" t="s">
        <v>1210</v>
      </c>
      <c r="C69" s="844"/>
      <c r="D69" s="743"/>
      <c r="E69" s="520"/>
      <c r="F69" s="520"/>
      <c r="G69" s="520"/>
      <c r="H69" s="520"/>
      <c r="I69" s="521"/>
      <c r="J69" s="521"/>
      <c r="K69" s="725"/>
      <c r="L69" s="514"/>
      <c r="M69" s="520"/>
      <c r="N69" s="514"/>
      <c r="O69" s="514"/>
      <c r="P69" s="514"/>
      <c r="Q69" s="522"/>
      <c r="R69" s="745"/>
      <c r="S69" s="514"/>
      <c r="T69" s="520"/>
      <c r="U69" s="514"/>
      <c r="V69" s="514"/>
      <c r="W69" s="514"/>
      <c r="X69" s="514"/>
      <c r="Y69" s="756"/>
      <c r="Z69" s="514"/>
      <c r="AA69" s="520"/>
      <c r="AB69" s="514"/>
      <c r="AC69" s="514"/>
      <c r="AD69" s="514"/>
      <c r="AE69" s="698"/>
      <c r="AF69" s="756"/>
      <c r="AG69" s="527"/>
      <c r="AH69" s="789"/>
      <c r="AI69" s="664">
        <v>0</v>
      </c>
      <c r="AJ69" s="790"/>
      <c r="AK69" s="725">
        <v>0</v>
      </c>
      <c r="AL69" s="520">
        <v>0</v>
      </c>
      <c r="AM69" s="672"/>
      <c r="AN69" s="669">
        <v>0</v>
      </c>
    </row>
    <row r="70" spans="1:40" s="500" customFormat="1">
      <c r="A70" s="542" t="s">
        <v>517</v>
      </c>
      <c r="B70" s="542" t="s">
        <v>46</v>
      </c>
      <c r="C70" s="616"/>
      <c r="D70" s="743"/>
      <c r="E70" s="520"/>
      <c r="F70" s="520"/>
      <c r="G70" s="520"/>
      <c r="H70" s="520"/>
      <c r="I70" s="521"/>
      <c r="J70" s="521"/>
      <c r="K70" s="725"/>
      <c r="L70" s="514"/>
      <c r="M70" s="520"/>
      <c r="N70" s="514"/>
      <c r="O70" s="514"/>
      <c r="P70" s="514"/>
      <c r="Q70" s="522"/>
      <c r="R70" s="745"/>
      <c r="S70" s="514"/>
      <c r="T70" s="520"/>
      <c r="U70" s="514"/>
      <c r="V70" s="514"/>
      <c r="W70" s="514"/>
      <c r="X70" s="514"/>
      <c r="Y70" s="756"/>
      <c r="Z70" s="514"/>
      <c r="AA70" s="520"/>
      <c r="AB70" s="514"/>
      <c r="AC70" s="514"/>
      <c r="AD70" s="514"/>
      <c r="AE70" s="698"/>
      <c r="AF70" s="756"/>
      <c r="AG70" s="527"/>
      <c r="AH70" s="789"/>
      <c r="AI70" s="664">
        <v>0</v>
      </c>
      <c r="AJ70" s="790"/>
      <c r="AK70" s="521">
        <v>0</v>
      </c>
      <c r="AL70" s="520">
        <v>0</v>
      </c>
      <c r="AM70" s="672"/>
      <c r="AN70" s="669">
        <v>0</v>
      </c>
    </row>
    <row r="71" spans="1:40" s="500" customFormat="1">
      <c r="A71" s="539" t="s">
        <v>695</v>
      </c>
      <c r="B71" s="539" t="s">
        <v>1156</v>
      </c>
      <c r="C71" s="548" t="s">
        <v>40</v>
      </c>
      <c r="D71" s="743"/>
      <c r="E71" s="520"/>
      <c r="F71" s="520"/>
      <c r="G71" s="520"/>
      <c r="H71" s="520"/>
      <c r="I71" s="521"/>
      <c r="J71" s="521"/>
      <c r="K71" s="725"/>
      <c r="L71" s="514"/>
      <c r="M71" s="520"/>
      <c r="N71" s="514"/>
      <c r="O71" s="514"/>
      <c r="P71" s="514"/>
      <c r="Q71" s="522"/>
      <c r="R71" s="745"/>
      <c r="S71" s="514"/>
      <c r="T71" s="520"/>
      <c r="U71" s="514"/>
      <c r="V71" s="972">
        <v>0.67275000000000007</v>
      </c>
      <c r="W71" s="514"/>
      <c r="X71" s="514"/>
      <c r="Y71" s="756"/>
      <c r="Z71" s="514"/>
      <c r="AA71" s="968">
        <v>6.1099999999999994</v>
      </c>
      <c r="AB71" s="514"/>
      <c r="AC71" s="514"/>
      <c r="AD71" s="514"/>
      <c r="AE71" s="698"/>
      <c r="AF71" s="756"/>
      <c r="AG71" s="527"/>
      <c r="AH71" s="789"/>
      <c r="AI71" s="1030">
        <v>6.78</v>
      </c>
      <c r="AJ71" s="790"/>
      <c r="AK71" s="521">
        <v>0</v>
      </c>
      <c r="AL71" s="520">
        <v>6.78</v>
      </c>
      <c r="AM71" s="672" t="s">
        <v>1556</v>
      </c>
      <c r="AN71" s="669">
        <v>33.08</v>
      </c>
    </row>
    <row r="72" spans="1:40" s="500" customFormat="1">
      <c r="A72" s="539" t="s">
        <v>698</v>
      </c>
      <c r="B72" s="539" t="s">
        <v>1159</v>
      </c>
      <c r="C72" s="548" t="s">
        <v>37</v>
      </c>
      <c r="D72" s="743"/>
      <c r="E72" s="520"/>
      <c r="F72" s="520"/>
      <c r="G72" s="520"/>
      <c r="H72" s="520"/>
      <c r="I72" s="521"/>
      <c r="J72" s="521"/>
      <c r="K72" s="725"/>
      <c r="L72" s="514"/>
      <c r="M72" s="520"/>
      <c r="N72" s="514"/>
      <c r="O72" s="514"/>
      <c r="P72" s="514"/>
      <c r="Q72" s="522"/>
      <c r="R72" s="745"/>
      <c r="S72" s="514"/>
      <c r="T72" s="520"/>
      <c r="U72" s="514"/>
      <c r="V72" s="514"/>
      <c r="W72" s="514"/>
      <c r="X72" s="514"/>
      <c r="Y72" s="756"/>
      <c r="Z72" s="972">
        <v>22.03</v>
      </c>
      <c r="AA72" s="520"/>
      <c r="AB72" s="514"/>
      <c r="AC72" s="514"/>
      <c r="AD72" s="514"/>
      <c r="AE72" s="698"/>
      <c r="AF72" s="756"/>
      <c r="AG72" s="527"/>
      <c r="AH72" s="789"/>
      <c r="AI72" s="1030">
        <v>22.03</v>
      </c>
      <c r="AJ72" s="790"/>
      <c r="AK72" s="521">
        <v>0</v>
      </c>
      <c r="AL72" s="520">
        <v>22.03</v>
      </c>
      <c r="AM72" s="672" t="s">
        <v>1559</v>
      </c>
      <c r="AN72" s="669">
        <v>0</v>
      </c>
    </row>
    <row r="73" spans="1:40" s="500" customFormat="1">
      <c r="A73" s="539" t="s">
        <v>699</v>
      </c>
      <c r="B73" s="539" t="s">
        <v>1160</v>
      </c>
      <c r="C73" s="548" t="s">
        <v>40</v>
      </c>
      <c r="D73" s="827"/>
      <c r="E73" s="526"/>
      <c r="F73" s="526"/>
      <c r="G73" s="526"/>
      <c r="H73" s="520"/>
      <c r="I73" s="521"/>
      <c r="J73" s="521"/>
      <c r="K73" s="725"/>
      <c r="L73" s="522"/>
      <c r="M73" s="520"/>
      <c r="N73" s="514"/>
      <c r="O73" s="514"/>
      <c r="P73" s="514"/>
      <c r="Q73" s="522"/>
      <c r="R73" s="745"/>
      <c r="S73" s="514"/>
      <c r="T73" s="520"/>
      <c r="U73" s="514"/>
      <c r="V73" s="514"/>
      <c r="W73" s="514"/>
      <c r="X73" s="514"/>
      <c r="Y73" s="756"/>
      <c r="Z73" s="514"/>
      <c r="AA73" s="968">
        <v>7.9400000000000048</v>
      </c>
      <c r="AB73" s="514"/>
      <c r="AC73" s="514"/>
      <c r="AD73" s="514"/>
      <c r="AE73" s="698"/>
      <c r="AF73" s="756"/>
      <c r="AG73" s="527"/>
      <c r="AH73" s="789"/>
      <c r="AI73" s="1030">
        <v>7.94</v>
      </c>
      <c r="AJ73" s="790"/>
      <c r="AK73" s="521">
        <v>0</v>
      </c>
      <c r="AL73" s="520">
        <v>7.94</v>
      </c>
      <c r="AM73" s="672" t="s">
        <v>1560</v>
      </c>
      <c r="AN73" s="669">
        <v>33.620000000000005</v>
      </c>
    </row>
    <row r="74" spans="1:40" s="500" customFormat="1">
      <c r="A74" s="542" t="s">
        <v>701</v>
      </c>
      <c r="B74" s="542" t="s">
        <v>1162</v>
      </c>
      <c r="C74" s="616"/>
      <c r="D74" s="743"/>
      <c r="E74" s="520"/>
      <c r="F74" s="520"/>
      <c r="G74" s="520"/>
      <c r="H74" s="520"/>
      <c r="I74" s="521"/>
      <c r="J74" s="521"/>
      <c r="K74" s="725"/>
      <c r="L74" s="514"/>
      <c r="M74" s="520"/>
      <c r="N74" s="514"/>
      <c r="O74" s="514"/>
      <c r="P74" s="514"/>
      <c r="Q74" s="522"/>
      <c r="R74" s="745"/>
      <c r="S74" s="514"/>
      <c r="T74" s="520"/>
      <c r="U74" s="514"/>
      <c r="V74" s="514"/>
      <c r="W74" s="514"/>
      <c r="X74" s="514"/>
      <c r="Y74" s="756"/>
      <c r="Z74" s="514"/>
      <c r="AA74" s="520"/>
      <c r="AB74" s="514"/>
      <c r="AC74" s="514"/>
      <c r="AD74" s="514"/>
      <c r="AE74" s="698"/>
      <c r="AF74" s="756"/>
      <c r="AG74" s="527"/>
      <c r="AH74" s="789"/>
      <c r="AI74" s="664">
        <v>0</v>
      </c>
      <c r="AJ74" s="790"/>
      <c r="AK74" s="521">
        <v>0</v>
      </c>
      <c r="AL74" s="520">
        <v>0</v>
      </c>
      <c r="AM74" s="672"/>
      <c r="AN74" s="669">
        <v>0</v>
      </c>
    </row>
    <row r="75" spans="1:40" s="500" customFormat="1">
      <c r="A75" s="539" t="s">
        <v>703</v>
      </c>
      <c r="B75" s="539" t="s">
        <v>1203</v>
      </c>
      <c r="C75" s="548" t="s">
        <v>37</v>
      </c>
      <c r="D75" s="743"/>
      <c r="E75" s="520"/>
      <c r="F75" s="520"/>
      <c r="G75" s="520"/>
      <c r="H75" s="520"/>
      <c r="I75" s="521"/>
      <c r="J75" s="521"/>
      <c r="K75" s="725"/>
      <c r="L75" s="514"/>
      <c r="M75" s="520"/>
      <c r="N75" s="514"/>
      <c r="O75" s="514"/>
      <c r="P75" s="514"/>
      <c r="Q75" s="522"/>
      <c r="R75" s="745"/>
      <c r="S75" s="514"/>
      <c r="T75" s="520"/>
      <c r="U75" s="514"/>
      <c r="V75" s="514"/>
      <c r="W75" s="514"/>
      <c r="X75" s="514"/>
      <c r="Y75" s="756"/>
      <c r="Z75" s="514"/>
      <c r="AA75" s="968">
        <v>0.20999999999999908</v>
      </c>
      <c r="AB75" s="514"/>
      <c r="AC75" s="514"/>
      <c r="AD75" s="514"/>
      <c r="AE75" s="698"/>
      <c r="AF75" s="756"/>
      <c r="AG75" s="527"/>
      <c r="AH75" s="789"/>
      <c r="AI75" s="1030">
        <v>0.21</v>
      </c>
      <c r="AJ75" s="790"/>
      <c r="AK75" s="521">
        <v>0</v>
      </c>
      <c r="AL75" s="520">
        <v>0.21</v>
      </c>
      <c r="AM75" s="672" t="s">
        <v>1562</v>
      </c>
      <c r="AN75" s="669">
        <v>14.579999999999998</v>
      </c>
    </row>
    <row r="76" spans="1:40" s="500" customFormat="1">
      <c r="A76" s="539" t="s">
        <v>704</v>
      </c>
      <c r="B76" s="539" t="s">
        <v>1204</v>
      </c>
      <c r="C76" s="548" t="s">
        <v>40</v>
      </c>
      <c r="D76" s="743"/>
      <c r="E76" s="520"/>
      <c r="F76" s="520"/>
      <c r="G76" s="520"/>
      <c r="H76" s="520"/>
      <c r="I76" s="521"/>
      <c r="J76" s="521"/>
      <c r="K76" s="725"/>
      <c r="L76" s="514"/>
      <c r="M76" s="520"/>
      <c r="N76" s="514"/>
      <c r="O76" s="514"/>
      <c r="P76" s="514"/>
      <c r="Q76" s="522"/>
      <c r="R76" s="745"/>
      <c r="S76" s="514"/>
      <c r="T76" s="520"/>
      <c r="U76" s="514"/>
      <c r="V76" s="972">
        <v>0.87749999999999995</v>
      </c>
      <c r="W76" s="514"/>
      <c r="X76" s="514"/>
      <c r="Y76" s="756"/>
      <c r="Z76" s="514"/>
      <c r="AA76" s="520"/>
      <c r="AB76" s="514"/>
      <c r="AC76" s="514"/>
      <c r="AD76" s="514"/>
      <c r="AE76" s="698"/>
      <c r="AF76" s="756"/>
      <c r="AG76" s="527"/>
      <c r="AH76" s="789"/>
      <c r="AI76" s="1030">
        <v>0.88</v>
      </c>
      <c r="AJ76" s="790"/>
      <c r="AK76" s="521">
        <v>0</v>
      </c>
      <c r="AL76" s="520">
        <v>0.88</v>
      </c>
      <c r="AM76" s="672" t="s">
        <v>1563</v>
      </c>
      <c r="AN76" s="669">
        <v>2.3400000000000003</v>
      </c>
    </row>
    <row r="77" spans="1:40" s="500" customFormat="1">
      <c r="A77" s="539" t="s">
        <v>705</v>
      </c>
      <c r="B77" s="539" t="s">
        <v>1205</v>
      </c>
      <c r="C77" s="548" t="s">
        <v>40</v>
      </c>
      <c r="D77" s="743"/>
      <c r="E77" s="520"/>
      <c r="F77" s="520"/>
      <c r="G77" s="520"/>
      <c r="H77" s="520"/>
      <c r="I77" s="521"/>
      <c r="J77" s="521"/>
      <c r="K77" s="725"/>
      <c r="L77" s="514"/>
      <c r="M77" s="520"/>
      <c r="N77" s="514"/>
      <c r="O77" s="514"/>
      <c r="P77" s="514"/>
      <c r="Q77" s="522"/>
      <c r="R77" s="745"/>
      <c r="S77" s="514"/>
      <c r="T77" s="520"/>
      <c r="U77" s="514"/>
      <c r="V77" s="514"/>
      <c r="W77" s="514"/>
      <c r="X77" s="514"/>
      <c r="Y77" s="756"/>
      <c r="Z77" s="514"/>
      <c r="AA77" s="520"/>
      <c r="AB77" s="1020">
        <v>0.14249999999999999</v>
      </c>
      <c r="AC77" s="514"/>
      <c r="AD77" s="514"/>
      <c r="AE77" s="698"/>
      <c r="AF77" s="756"/>
      <c r="AG77" s="527"/>
      <c r="AH77" s="789"/>
      <c r="AI77" s="1030">
        <v>0.14000000000000001</v>
      </c>
      <c r="AJ77" s="790"/>
      <c r="AK77" s="521">
        <v>0</v>
      </c>
      <c r="AL77" s="520">
        <v>0.14000000000000001</v>
      </c>
      <c r="AM77" s="672" t="s">
        <v>1564</v>
      </c>
      <c r="AN77" s="669">
        <v>1.4700000000000002</v>
      </c>
    </row>
    <row r="78" spans="1:40" s="500" customFormat="1">
      <c r="A78" s="539" t="s">
        <v>706</v>
      </c>
      <c r="B78" s="539" t="s">
        <v>1167</v>
      </c>
      <c r="C78" s="548" t="s">
        <v>37</v>
      </c>
      <c r="D78" s="743"/>
      <c r="E78" s="520"/>
      <c r="F78" s="520"/>
      <c r="G78" s="520"/>
      <c r="H78" s="520"/>
      <c r="I78" s="521"/>
      <c r="J78" s="521"/>
      <c r="K78" s="725"/>
      <c r="L78" s="514"/>
      <c r="M78" s="520"/>
      <c r="N78" s="514"/>
      <c r="O78" s="514"/>
      <c r="P78" s="514"/>
      <c r="Q78" s="522"/>
      <c r="R78" s="745"/>
      <c r="S78" s="514"/>
      <c r="T78" s="520"/>
      <c r="U78" s="514"/>
      <c r="V78" s="514"/>
      <c r="W78" s="514"/>
      <c r="X78" s="514"/>
      <c r="Y78" s="756"/>
      <c r="Z78" s="514"/>
      <c r="AA78" s="520"/>
      <c r="AB78" s="1020">
        <v>2.0499999999999998</v>
      </c>
      <c r="AC78" s="514"/>
      <c r="AD78" s="514"/>
      <c r="AE78" s="698"/>
      <c r="AF78" s="756"/>
      <c r="AG78" s="527"/>
      <c r="AH78" s="789"/>
      <c r="AI78" s="1030">
        <v>2.0499999999999998</v>
      </c>
      <c r="AJ78" s="790"/>
      <c r="AK78" s="521">
        <v>0</v>
      </c>
      <c r="AL78" s="520">
        <v>2.0499999999999998</v>
      </c>
      <c r="AM78" s="672" t="s">
        <v>1565</v>
      </c>
      <c r="AN78" s="669">
        <v>40.35</v>
      </c>
    </row>
    <row r="79" spans="1:40" s="500" customFormat="1">
      <c r="A79" s="542" t="s">
        <v>708</v>
      </c>
      <c r="B79" s="542" t="s">
        <v>1169</v>
      </c>
      <c r="C79" s="616"/>
      <c r="D79" s="743"/>
      <c r="E79" s="520"/>
      <c r="F79" s="520"/>
      <c r="G79" s="520"/>
      <c r="H79" s="520"/>
      <c r="I79" s="521"/>
      <c r="J79" s="521"/>
      <c r="K79" s="725"/>
      <c r="L79" s="514"/>
      <c r="M79" s="520"/>
      <c r="N79" s="514"/>
      <c r="O79" s="514"/>
      <c r="P79" s="514"/>
      <c r="Q79" s="522"/>
      <c r="R79" s="745"/>
      <c r="S79" s="514"/>
      <c r="T79" s="520"/>
      <c r="U79" s="514"/>
      <c r="V79" s="514"/>
      <c r="W79" s="514"/>
      <c r="X79" s="514"/>
      <c r="Y79" s="756"/>
      <c r="Z79" s="514"/>
      <c r="AA79" s="520"/>
      <c r="AB79" s="514"/>
      <c r="AC79" s="514"/>
      <c r="AD79" s="514"/>
      <c r="AE79" s="698"/>
      <c r="AF79" s="756"/>
      <c r="AG79" s="527"/>
      <c r="AH79" s="789"/>
      <c r="AI79" s="664">
        <v>0</v>
      </c>
      <c r="AJ79" s="790"/>
      <c r="AK79" s="521">
        <v>0</v>
      </c>
      <c r="AL79" s="520">
        <v>0</v>
      </c>
      <c r="AM79" s="672"/>
      <c r="AN79" s="669">
        <v>0</v>
      </c>
    </row>
    <row r="80" spans="1:40" s="500" customFormat="1">
      <c r="A80" s="539" t="s">
        <v>720</v>
      </c>
      <c r="B80" s="539" t="s">
        <v>1181</v>
      </c>
      <c r="C80" s="616"/>
      <c r="D80" s="743"/>
      <c r="E80" s="520"/>
      <c r="F80" s="520"/>
      <c r="G80" s="520"/>
      <c r="H80" s="520"/>
      <c r="I80" s="521"/>
      <c r="J80" s="521"/>
      <c r="K80" s="725"/>
      <c r="L80" s="514"/>
      <c r="M80" s="520"/>
      <c r="N80" s="514"/>
      <c r="O80" s="514"/>
      <c r="P80" s="514"/>
      <c r="Q80" s="522"/>
      <c r="R80" s="745"/>
      <c r="S80" s="514"/>
      <c r="T80" s="520"/>
      <c r="U80" s="514"/>
      <c r="V80" s="514"/>
      <c r="W80" s="514"/>
      <c r="X80" s="514"/>
      <c r="Y80" s="756"/>
      <c r="Z80" s="514"/>
      <c r="AA80" s="520"/>
      <c r="AB80" s="514"/>
      <c r="AC80" s="514"/>
      <c r="AD80" s="514"/>
      <c r="AE80" s="698"/>
      <c r="AF80" s="756"/>
      <c r="AG80" s="527"/>
      <c r="AH80" s="789"/>
      <c r="AI80" s="664">
        <v>0</v>
      </c>
      <c r="AJ80" s="790"/>
      <c r="AK80" s="521">
        <v>0</v>
      </c>
      <c r="AL80" s="520">
        <v>0</v>
      </c>
      <c r="AM80" s="672"/>
      <c r="AN80" s="669">
        <v>0</v>
      </c>
    </row>
    <row r="81" spans="1:40" s="500" customFormat="1">
      <c r="A81" s="539" t="s">
        <v>721</v>
      </c>
      <c r="B81" s="539" t="s">
        <v>1182</v>
      </c>
      <c r="C81" s="548" t="s">
        <v>40</v>
      </c>
      <c r="D81" s="743"/>
      <c r="E81" s="520"/>
      <c r="F81" s="520"/>
      <c r="G81" s="520"/>
      <c r="H81" s="520"/>
      <c r="I81" s="521"/>
      <c r="J81" s="521"/>
      <c r="K81" s="725"/>
      <c r="L81" s="514"/>
      <c r="M81" s="520"/>
      <c r="N81" s="514"/>
      <c r="O81" s="514"/>
      <c r="P81" s="514"/>
      <c r="Q81" s="522"/>
      <c r="R81" s="745"/>
      <c r="S81" s="514"/>
      <c r="T81" s="520"/>
      <c r="U81" s="514"/>
      <c r="V81" s="514"/>
      <c r="W81" s="514"/>
      <c r="X81" s="514"/>
      <c r="Y81" s="756"/>
      <c r="Z81" s="514"/>
      <c r="AA81" s="520"/>
      <c r="AB81" s="1020">
        <v>1.4868749999999999</v>
      </c>
      <c r="AC81" s="514"/>
      <c r="AD81" s="514"/>
      <c r="AE81" s="698"/>
      <c r="AF81" s="756"/>
      <c r="AG81" s="527"/>
      <c r="AH81" s="789"/>
      <c r="AI81" s="1030">
        <v>1.49</v>
      </c>
      <c r="AJ81" s="790"/>
      <c r="AK81" s="521">
        <v>0</v>
      </c>
      <c r="AL81" s="520">
        <v>1.49</v>
      </c>
      <c r="AM81" s="672" t="s">
        <v>1478</v>
      </c>
      <c r="AN81" s="669">
        <v>0</v>
      </c>
    </row>
    <row r="82" spans="1:40" s="500" customFormat="1">
      <c r="A82" s="539" t="s">
        <v>722</v>
      </c>
      <c r="B82" s="539" t="s">
        <v>1183</v>
      </c>
      <c r="C82" s="548" t="s">
        <v>37</v>
      </c>
      <c r="D82" s="743"/>
      <c r="E82" s="520"/>
      <c r="F82" s="520"/>
      <c r="G82" s="520"/>
      <c r="H82" s="520"/>
      <c r="I82" s="521"/>
      <c r="J82" s="521"/>
      <c r="K82" s="725"/>
      <c r="L82" s="514"/>
      <c r="M82" s="520"/>
      <c r="N82" s="514"/>
      <c r="O82" s="514"/>
      <c r="P82" s="514"/>
      <c r="Q82" s="522"/>
      <c r="R82" s="745"/>
      <c r="S82" s="514"/>
      <c r="T82" s="520"/>
      <c r="U82" s="514"/>
      <c r="V82" s="514"/>
      <c r="W82" s="514"/>
      <c r="X82" s="514"/>
      <c r="Y82" s="756"/>
      <c r="Z82" s="514"/>
      <c r="AA82" s="1021">
        <v>11.025</v>
      </c>
      <c r="AB82" s="1020">
        <v>8.6849999999999987</v>
      </c>
      <c r="AC82" s="514"/>
      <c r="AD82" s="514"/>
      <c r="AE82" s="698"/>
      <c r="AF82" s="756"/>
      <c r="AG82" s="527"/>
      <c r="AH82" s="789"/>
      <c r="AI82" s="1030">
        <v>19.71</v>
      </c>
      <c r="AJ82" s="790"/>
      <c r="AK82" s="521">
        <v>0</v>
      </c>
      <c r="AL82" s="520">
        <v>19.71</v>
      </c>
      <c r="AM82" s="672" t="s">
        <v>1479</v>
      </c>
      <c r="AN82" s="669">
        <v>0</v>
      </c>
    </row>
    <row r="83" spans="1:40" s="500" customFormat="1">
      <c r="A83" s="539" t="s">
        <v>723</v>
      </c>
      <c r="B83" s="539" t="s">
        <v>1184</v>
      </c>
      <c r="C83" s="548" t="s">
        <v>48</v>
      </c>
      <c r="D83" s="743"/>
      <c r="E83" s="520"/>
      <c r="F83" s="520"/>
      <c r="G83" s="520"/>
      <c r="H83" s="520"/>
      <c r="I83" s="521"/>
      <c r="J83" s="521"/>
      <c r="K83" s="725"/>
      <c r="L83" s="514"/>
      <c r="M83" s="520"/>
      <c r="N83" s="972">
        <v>87.12</v>
      </c>
      <c r="O83" s="522"/>
      <c r="P83" s="514"/>
      <c r="Q83" s="522"/>
      <c r="R83" s="745"/>
      <c r="S83" s="514"/>
      <c r="T83" s="520"/>
      <c r="U83" s="514"/>
      <c r="V83" s="514"/>
      <c r="W83" s="514"/>
      <c r="X83" s="514"/>
      <c r="Y83" s="756"/>
      <c r="Z83" s="514"/>
      <c r="AA83" s="520"/>
      <c r="AB83" s="972">
        <v>97.86</v>
      </c>
      <c r="AC83" s="972">
        <v>95</v>
      </c>
      <c r="AD83" s="972">
        <v>95</v>
      </c>
      <c r="AE83" s="972">
        <v>95</v>
      </c>
      <c r="AF83" s="756"/>
      <c r="AG83" s="967">
        <v>95</v>
      </c>
      <c r="AH83" s="1015">
        <v>95</v>
      </c>
      <c r="AI83" s="1030">
        <v>659.98</v>
      </c>
      <c r="AJ83" s="790"/>
      <c r="AK83" s="521">
        <v>0</v>
      </c>
      <c r="AL83" s="520">
        <v>659.98</v>
      </c>
      <c r="AM83" s="672" t="s">
        <v>1480</v>
      </c>
      <c r="AN83" s="669">
        <v>0</v>
      </c>
    </row>
    <row r="84" spans="1:40" s="500" customFormat="1">
      <c r="A84" s="539" t="s">
        <v>733</v>
      </c>
      <c r="B84" s="539" t="s">
        <v>1194</v>
      </c>
      <c r="C84" s="616"/>
      <c r="D84" s="743"/>
      <c r="E84" s="520"/>
      <c r="F84" s="520"/>
      <c r="G84" s="520"/>
      <c r="H84" s="520"/>
      <c r="I84" s="521"/>
      <c r="J84" s="521"/>
      <c r="K84" s="725"/>
      <c r="L84" s="514"/>
      <c r="M84" s="520"/>
      <c r="N84" s="514"/>
      <c r="O84" s="514"/>
      <c r="P84" s="514"/>
      <c r="Q84" s="522"/>
      <c r="R84" s="745"/>
      <c r="S84" s="514"/>
      <c r="T84" s="520"/>
      <c r="U84" s="514"/>
      <c r="V84" s="514"/>
      <c r="W84" s="514"/>
      <c r="X84" s="514"/>
      <c r="Y84" s="756"/>
      <c r="Z84" s="514"/>
      <c r="AA84" s="520"/>
      <c r="AB84" s="514"/>
      <c r="AC84" s="514"/>
      <c r="AD84" s="514"/>
      <c r="AE84" s="698"/>
      <c r="AF84" s="756"/>
      <c r="AG84" s="527"/>
      <c r="AH84" s="789"/>
      <c r="AI84" s="664">
        <v>0</v>
      </c>
      <c r="AJ84" s="790"/>
      <c r="AK84" s="521">
        <v>0</v>
      </c>
      <c r="AL84" s="520">
        <v>0</v>
      </c>
      <c r="AM84" s="672"/>
      <c r="AN84" s="669">
        <v>0</v>
      </c>
    </row>
    <row r="85" spans="1:40" s="500" customFormat="1">
      <c r="A85" s="539" t="s">
        <v>734</v>
      </c>
      <c r="B85" s="539" t="s">
        <v>1195</v>
      </c>
      <c r="C85" s="548" t="s">
        <v>40</v>
      </c>
      <c r="D85" s="743"/>
      <c r="E85" s="520"/>
      <c r="F85" s="520"/>
      <c r="G85" s="520"/>
      <c r="H85" s="520"/>
      <c r="I85" s="521"/>
      <c r="J85" s="521"/>
      <c r="K85" s="725"/>
      <c r="L85" s="514"/>
      <c r="M85" s="520"/>
      <c r="N85" s="514"/>
      <c r="O85" s="514"/>
      <c r="P85" s="514"/>
      <c r="Q85" s="522"/>
      <c r="R85" s="745"/>
      <c r="S85" s="514"/>
      <c r="T85" s="1011">
        <v>0.76</v>
      </c>
      <c r="U85" s="514"/>
      <c r="V85" s="514"/>
      <c r="W85" s="514"/>
      <c r="X85" s="514"/>
      <c r="Y85" s="756"/>
      <c r="Z85" s="514"/>
      <c r="AA85" s="520"/>
      <c r="AB85" s="514"/>
      <c r="AC85" s="514"/>
      <c r="AD85" s="514"/>
      <c r="AE85" s="698"/>
      <c r="AF85" s="756"/>
      <c r="AG85" s="527"/>
      <c r="AH85" s="789"/>
      <c r="AI85" s="1030">
        <v>0.76</v>
      </c>
      <c r="AJ85" s="790"/>
      <c r="AK85" s="521">
        <v>0</v>
      </c>
      <c r="AL85" s="520">
        <v>0.76</v>
      </c>
      <c r="AM85" s="672" t="s">
        <v>1578</v>
      </c>
      <c r="AN85" s="669">
        <v>0.27</v>
      </c>
    </row>
    <row r="86" spans="1:40" s="500" customFormat="1">
      <c r="A86" s="539" t="s">
        <v>735</v>
      </c>
      <c r="B86" s="539" t="s">
        <v>1196</v>
      </c>
      <c r="C86" s="548" t="s">
        <v>37</v>
      </c>
      <c r="D86" s="743"/>
      <c r="E86" s="520"/>
      <c r="F86" s="520"/>
      <c r="G86" s="520"/>
      <c r="H86" s="520"/>
      <c r="I86" s="521"/>
      <c r="J86" s="521"/>
      <c r="K86" s="725"/>
      <c r="L86" s="514"/>
      <c r="M86" s="520"/>
      <c r="N86" s="514"/>
      <c r="O86" s="514"/>
      <c r="P86" s="514"/>
      <c r="Q86" s="522"/>
      <c r="R86" s="745"/>
      <c r="S86" s="514"/>
      <c r="T86" s="1011">
        <v>12.160000000000002</v>
      </c>
      <c r="U86" s="514"/>
      <c r="V86" s="514"/>
      <c r="W86" s="514"/>
      <c r="X86" s="514"/>
      <c r="Y86" s="756"/>
      <c r="Z86" s="514"/>
      <c r="AA86" s="520"/>
      <c r="AB86" s="514"/>
      <c r="AC86" s="514"/>
      <c r="AD86" s="514"/>
      <c r="AE86" s="698"/>
      <c r="AF86" s="756"/>
      <c r="AG86" s="527"/>
      <c r="AH86" s="789"/>
      <c r="AI86" s="1030">
        <v>12.16</v>
      </c>
      <c r="AJ86" s="790"/>
      <c r="AK86" s="521">
        <v>0</v>
      </c>
      <c r="AL86" s="520">
        <v>12.16</v>
      </c>
      <c r="AM86" s="672" t="s">
        <v>1579</v>
      </c>
      <c r="AN86" s="669">
        <v>1.58</v>
      </c>
    </row>
    <row r="87" spans="1:40" s="500" customFormat="1">
      <c r="A87" s="539" t="s">
        <v>736</v>
      </c>
      <c r="B87" s="539" t="s">
        <v>1197</v>
      </c>
      <c r="C87" s="548" t="s">
        <v>48</v>
      </c>
      <c r="D87" s="743"/>
      <c r="E87" s="520"/>
      <c r="F87" s="520"/>
      <c r="G87" s="520"/>
      <c r="H87" s="520"/>
      <c r="I87" s="521"/>
      <c r="J87" s="521"/>
      <c r="K87" s="725"/>
      <c r="L87" s="514"/>
      <c r="M87" s="520"/>
      <c r="N87" s="514"/>
      <c r="O87" s="514"/>
      <c r="P87" s="514"/>
      <c r="Q87" s="1006">
        <v>26.73</v>
      </c>
      <c r="R87" s="745"/>
      <c r="S87" s="514"/>
      <c r="T87" s="520"/>
      <c r="U87" s="514"/>
      <c r="V87" s="514"/>
      <c r="W87" s="514"/>
      <c r="X87" s="514"/>
      <c r="Y87" s="756"/>
      <c r="Z87" s="514"/>
      <c r="AA87" s="520"/>
      <c r="AB87" s="514"/>
      <c r="AC87" s="514"/>
      <c r="AD87" s="514"/>
      <c r="AE87" s="698"/>
      <c r="AF87" s="756"/>
      <c r="AG87" s="527"/>
      <c r="AH87" s="789"/>
      <c r="AI87" s="1030">
        <v>26.73</v>
      </c>
      <c r="AJ87" s="790"/>
      <c r="AK87" s="521">
        <v>0</v>
      </c>
      <c r="AL87" s="520">
        <v>26.73</v>
      </c>
      <c r="AM87" s="672" t="s">
        <v>1580</v>
      </c>
      <c r="AN87" s="669">
        <v>38.61999999999999</v>
      </c>
    </row>
    <row r="88" spans="1:40" s="500" customFormat="1">
      <c r="A88" s="542" t="s">
        <v>739</v>
      </c>
      <c r="B88" s="542" t="s">
        <v>1200</v>
      </c>
      <c r="C88" s="548"/>
      <c r="D88" s="743"/>
      <c r="E88" s="520"/>
      <c r="F88" s="520"/>
      <c r="G88" s="520"/>
      <c r="H88" s="520"/>
      <c r="I88" s="521"/>
      <c r="J88" s="521"/>
      <c r="K88" s="725"/>
      <c r="L88" s="514"/>
      <c r="M88" s="520"/>
      <c r="N88" s="514"/>
      <c r="O88" s="514"/>
      <c r="P88" s="514"/>
      <c r="Q88" s="522"/>
      <c r="R88" s="745"/>
      <c r="S88" s="514"/>
      <c r="T88" s="520"/>
      <c r="U88" s="514"/>
      <c r="V88" s="514"/>
      <c r="W88" s="514"/>
      <c r="X88" s="514"/>
      <c r="Y88" s="756"/>
      <c r="Z88" s="514"/>
      <c r="AA88" s="520"/>
      <c r="AB88" s="514"/>
      <c r="AC88" s="514"/>
      <c r="AD88" s="514"/>
      <c r="AE88" s="698"/>
      <c r="AF88" s="756"/>
      <c r="AG88" s="527"/>
      <c r="AH88" s="789"/>
      <c r="AI88" s="664">
        <v>0</v>
      </c>
      <c r="AJ88" s="790"/>
      <c r="AK88" s="521">
        <v>0</v>
      </c>
      <c r="AL88" s="520">
        <v>0</v>
      </c>
      <c r="AM88" s="672"/>
      <c r="AN88" s="669">
        <v>0</v>
      </c>
    </row>
    <row r="89" spans="1:40" s="500" customFormat="1">
      <c r="A89" s="539" t="s">
        <v>740</v>
      </c>
      <c r="B89" s="539" t="s">
        <v>1201</v>
      </c>
      <c r="C89" s="548" t="s">
        <v>38</v>
      </c>
      <c r="D89" s="743"/>
      <c r="E89" s="520"/>
      <c r="F89" s="520"/>
      <c r="G89" s="520"/>
      <c r="H89" s="520"/>
      <c r="I89" s="521"/>
      <c r="J89" s="521"/>
      <c r="K89" s="725"/>
      <c r="L89" s="514"/>
      <c r="M89" s="520"/>
      <c r="N89" s="514"/>
      <c r="O89" s="514"/>
      <c r="P89" s="514"/>
      <c r="Q89" s="522"/>
      <c r="R89" s="745"/>
      <c r="S89" s="514"/>
      <c r="T89" s="520"/>
      <c r="U89" s="514"/>
      <c r="V89" s="514"/>
      <c r="W89" s="514"/>
      <c r="X89" s="514"/>
      <c r="Y89" s="756"/>
      <c r="Z89" s="514"/>
      <c r="AA89" s="520"/>
      <c r="AB89" s="514"/>
      <c r="AC89" s="514"/>
      <c r="AD89" s="514"/>
      <c r="AE89" s="698"/>
      <c r="AF89" s="756"/>
      <c r="AG89" s="527"/>
      <c r="AH89" s="1015">
        <v>46</v>
      </c>
      <c r="AI89" s="1030">
        <v>46</v>
      </c>
      <c r="AJ89" s="790"/>
      <c r="AK89" s="521">
        <v>0</v>
      </c>
      <c r="AL89" s="520">
        <v>46</v>
      </c>
      <c r="AM89" s="672" t="s">
        <v>1582</v>
      </c>
      <c r="AN89" s="669">
        <v>0</v>
      </c>
    </row>
    <row r="90" spans="1:40" s="500" customFormat="1">
      <c r="A90" s="539" t="s">
        <v>741</v>
      </c>
      <c r="B90" s="539" t="s">
        <v>225</v>
      </c>
      <c r="C90" s="548" t="s">
        <v>1450</v>
      </c>
      <c r="D90" s="743"/>
      <c r="E90" s="520"/>
      <c r="F90" s="520"/>
      <c r="G90" s="520"/>
      <c r="H90" s="520"/>
      <c r="I90" s="521"/>
      <c r="J90" s="521"/>
      <c r="K90" s="725"/>
      <c r="L90" s="514"/>
      <c r="M90" s="520"/>
      <c r="N90" s="514"/>
      <c r="O90" s="514"/>
      <c r="P90" s="514"/>
      <c r="Q90" s="522"/>
      <c r="R90" s="745"/>
      <c r="S90" s="514"/>
      <c r="T90" s="520"/>
      <c r="U90" s="514"/>
      <c r="V90" s="514"/>
      <c r="W90" s="514"/>
      <c r="X90" s="514"/>
      <c r="Y90" s="756"/>
      <c r="Z90" s="514"/>
      <c r="AA90" s="520"/>
      <c r="AB90" s="514"/>
      <c r="AC90" s="514"/>
      <c r="AD90" s="514"/>
      <c r="AE90" s="698"/>
      <c r="AF90" s="756"/>
      <c r="AG90" s="521"/>
      <c r="AH90" s="1023">
        <v>5</v>
      </c>
      <c r="AI90" s="1030">
        <v>5</v>
      </c>
      <c r="AJ90" s="790"/>
      <c r="AK90" s="521">
        <v>0</v>
      </c>
      <c r="AL90" s="520">
        <v>5</v>
      </c>
      <c r="AM90" s="672" t="s">
        <v>1493</v>
      </c>
      <c r="AN90" s="669">
        <v>10</v>
      </c>
    </row>
    <row r="91" spans="1:40" s="730" customFormat="1">
      <c r="A91" s="814" t="s">
        <v>742</v>
      </c>
      <c r="B91" s="815" t="s">
        <v>1211</v>
      </c>
      <c r="C91" s="844"/>
      <c r="D91" s="743"/>
      <c r="E91" s="520"/>
      <c r="F91" s="520"/>
      <c r="G91" s="520"/>
      <c r="H91" s="520"/>
      <c r="I91" s="521"/>
      <c r="J91" s="521"/>
      <c r="K91" s="725"/>
      <c r="L91" s="514"/>
      <c r="M91" s="520"/>
      <c r="N91" s="514"/>
      <c r="O91" s="514"/>
      <c r="P91" s="514"/>
      <c r="Q91" s="522"/>
      <c r="R91" s="745"/>
      <c r="S91" s="514"/>
      <c r="T91" s="520"/>
      <c r="U91" s="514"/>
      <c r="V91" s="514"/>
      <c r="W91" s="514"/>
      <c r="X91" s="514"/>
      <c r="Y91" s="756"/>
      <c r="Z91" s="514"/>
      <c r="AA91" s="520"/>
      <c r="AB91" s="514"/>
      <c r="AC91" s="514"/>
      <c r="AD91" s="514"/>
      <c r="AE91" s="698"/>
      <c r="AF91" s="756"/>
      <c r="AG91" s="527"/>
      <c r="AH91" s="789"/>
      <c r="AI91" s="664">
        <v>0</v>
      </c>
      <c r="AJ91" s="790"/>
      <c r="AK91" s="725">
        <v>0</v>
      </c>
      <c r="AL91" s="726">
        <v>0</v>
      </c>
      <c r="AM91" s="728"/>
      <c r="AN91" s="729">
        <v>0</v>
      </c>
    </row>
    <row r="92" spans="1:40" s="500" customFormat="1">
      <c r="A92" s="542" t="s">
        <v>743</v>
      </c>
      <c r="B92" s="542" t="s">
        <v>46</v>
      </c>
      <c r="C92" s="616"/>
      <c r="D92" s="743"/>
      <c r="E92" s="520"/>
      <c r="F92" s="520"/>
      <c r="G92" s="520"/>
      <c r="H92" s="520"/>
      <c r="I92" s="521"/>
      <c r="J92" s="521"/>
      <c r="K92" s="725"/>
      <c r="L92" s="514"/>
      <c r="M92" s="520"/>
      <c r="N92" s="514"/>
      <c r="O92" s="514"/>
      <c r="P92" s="514"/>
      <c r="Q92" s="522"/>
      <c r="R92" s="745"/>
      <c r="S92" s="514"/>
      <c r="T92" s="520"/>
      <c r="U92" s="514"/>
      <c r="V92" s="514"/>
      <c r="W92" s="514"/>
      <c r="X92" s="514"/>
      <c r="Y92" s="756"/>
      <c r="Z92" s="514"/>
      <c r="AA92" s="520"/>
      <c r="AB92" s="514"/>
      <c r="AC92" s="514"/>
      <c r="AD92" s="514"/>
      <c r="AE92" s="698"/>
      <c r="AF92" s="756"/>
      <c r="AG92" s="527"/>
      <c r="AH92" s="789"/>
      <c r="AI92" s="664">
        <v>0</v>
      </c>
      <c r="AJ92" s="790"/>
      <c r="AK92" s="521">
        <v>0</v>
      </c>
      <c r="AL92" s="520">
        <v>0</v>
      </c>
      <c r="AM92" s="672"/>
      <c r="AN92" s="669">
        <v>0</v>
      </c>
    </row>
    <row r="93" spans="1:40" s="500" customFormat="1">
      <c r="A93" s="539" t="s">
        <v>744</v>
      </c>
      <c r="B93" s="539" t="s">
        <v>1212</v>
      </c>
      <c r="C93" s="548" t="s">
        <v>40</v>
      </c>
      <c r="D93" s="743"/>
      <c r="E93" s="520"/>
      <c r="F93" s="520"/>
      <c r="G93" s="520"/>
      <c r="H93" s="520"/>
      <c r="I93" s="521"/>
      <c r="J93" s="521"/>
      <c r="K93" s="725"/>
      <c r="L93" s="522"/>
      <c r="M93" s="520"/>
      <c r="N93" s="522"/>
      <c r="O93" s="522"/>
      <c r="P93" s="522"/>
      <c r="Q93" s="522"/>
      <c r="R93" s="745"/>
      <c r="S93" s="522"/>
      <c r="T93" s="520"/>
      <c r="U93" s="522"/>
      <c r="V93" s="522"/>
      <c r="W93" s="522"/>
      <c r="X93" s="522"/>
      <c r="Y93" s="745"/>
      <c r="Z93" s="522"/>
      <c r="AA93" s="520"/>
      <c r="AB93" s="972">
        <v>40.799999999999997</v>
      </c>
      <c r="AC93" s="972">
        <v>40.799999999999997</v>
      </c>
      <c r="AD93" s="972">
        <v>40.799999999999997</v>
      </c>
      <c r="AE93" s="972">
        <v>40.799999999999997</v>
      </c>
      <c r="AF93" s="745"/>
      <c r="AG93" s="972">
        <v>40.799999999999997</v>
      </c>
      <c r="AH93" s="972">
        <v>40.799999999999997</v>
      </c>
      <c r="AI93" s="1030">
        <v>244.8</v>
      </c>
      <c r="AJ93" s="790"/>
      <c r="AK93" s="521">
        <v>0</v>
      </c>
      <c r="AL93" s="520">
        <v>244.8</v>
      </c>
      <c r="AM93" s="695" t="s">
        <v>1583</v>
      </c>
      <c r="AN93" s="669">
        <v>222.58999999999997</v>
      </c>
    </row>
    <row r="94" spans="1:40" s="500" customFormat="1">
      <c r="A94" s="542" t="s">
        <v>748</v>
      </c>
      <c r="B94" s="542" t="s">
        <v>1169</v>
      </c>
      <c r="C94" s="616"/>
      <c r="D94" s="743"/>
      <c r="E94" s="520"/>
      <c r="F94" s="520"/>
      <c r="G94" s="520"/>
      <c r="H94" s="520"/>
      <c r="I94" s="521"/>
      <c r="J94" s="521"/>
      <c r="K94" s="725"/>
      <c r="L94" s="514"/>
      <c r="M94" s="520"/>
      <c r="N94" s="522"/>
      <c r="O94" s="522"/>
      <c r="P94" s="514"/>
      <c r="Q94" s="522"/>
      <c r="R94" s="745"/>
      <c r="S94" s="514"/>
      <c r="T94" s="520"/>
      <c r="U94" s="514"/>
      <c r="V94" s="514"/>
      <c r="W94" s="514"/>
      <c r="X94" s="514"/>
      <c r="Y94" s="756"/>
      <c r="Z94" s="514"/>
      <c r="AA94" s="520"/>
      <c r="AB94" s="514"/>
      <c r="AC94" s="514"/>
      <c r="AD94" s="514"/>
      <c r="AE94" s="698"/>
      <c r="AF94" s="756"/>
      <c r="AG94" s="527"/>
      <c r="AH94" s="789"/>
      <c r="AI94" s="664">
        <v>0</v>
      </c>
      <c r="AJ94" s="790"/>
      <c r="AK94" s="521">
        <v>0</v>
      </c>
      <c r="AL94" s="520">
        <v>0</v>
      </c>
      <c r="AM94" s="695"/>
      <c r="AN94" s="669">
        <v>0</v>
      </c>
    </row>
    <row r="95" spans="1:40" s="500" customFormat="1">
      <c r="A95" s="539" t="s">
        <v>753</v>
      </c>
      <c r="B95" s="539" t="s">
        <v>1185</v>
      </c>
      <c r="C95" s="616"/>
      <c r="D95" s="743"/>
      <c r="E95" s="520"/>
      <c r="F95" s="520"/>
      <c r="G95" s="520"/>
      <c r="H95" s="520"/>
      <c r="I95" s="521"/>
      <c r="J95" s="521"/>
      <c r="K95" s="725"/>
      <c r="L95" s="514"/>
      <c r="M95" s="520"/>
      <c r="N95" s="522"/>
      <c r="O95" s="522"/>
      <c r="P95" s="514"/>
      <c r="Q95" s="522"/>
      <c r="R95" s="745"/>
      <c r="S95" s="514"/>
      <c r="T95" s="520"/>
      <c r="U95" s="514"/>
      <c r="V95" s="514"/>
      <c r="W95" s="514"/>
      <c r="X95" s="514"/>
      <c r="Y95" s="756"/>
      <c r="Z95" s="514"/>
      <c r="AA95" s="520"/>
      <c r="AB95" s="514"/>
      <c r="AC95" s="514"/>
      <c r="AD95" s="514"/>
      <c r="AE95" s="698"/>
      <c r="AF95" s="756"/>
      <c r="AG95" s="527"/>
      <c r="AH95" s="789"/>
      <c r="AI95" s="664">
        <v>0</v>
      </c>
      <c r="AJ95" s="790"/>
      <c r="AK95" s="521">
        <v>0</v>
      </c>
      <c r="AL95" s="520">
        <v>0</v>
      </c>
      <c r="AM95" s="695"/>
      <c r="AN95" s="669">
        <v>0</v>
      </c>
    </row>
    <row r="96" spans="1:40" s="500" customFormat="1">
      <c r="A96" s="539" t="s">
        <v>754</v>
      </c>
      <c r="B96" s="539" t="s">
        <v>1186</v>
      </c>
      <c r="C96" s="548" t="s">
        <v>40</v>
      </c>
      <c r="D96" s="743"/>
      <c r="E96" s="520"/>
      <c r="F96" s="520"/>
      <c r="G96" s="520"/>
      <c r="H96" s="520"/>
      <c r="I96" s="521"/>
      <c r="J96" s="521"/>
      <c r="K96" s="725"/>
      <c r="L96" s="514"/>
      <c r="M96" s="520"/>
      <c r="N96" s="514"/>
      <c r="O96" s="514"/>
      <c r="P96" s="514"/>
      <c r="Q96" s="522"/>
      <c r="R96" s="745"/>
      <c r="S96" s="514"/>
      <c r="T96" s="520"/>
      <c r="U96" s="514"/>
      <c r="V96" s="522"/>
      <c r="W96" s="514"/>
      <c r="X96" s="972">
        <v>0.375</v>
      </c>
      <c r="Y96" s="745"/>
      <c r="Z96" s="514"/>
      <c r="AA96" s="520"/>
      <c r="AB96" s="514"/>
      <c r="AC96" s="514"/>
      <c r="AD96" s="514"/>
      <c r="AE96" s="522"/>
      <c r="AF96" s="756"/>
      <c r="AG96" s="527"/>
      <c r="AH96" s="789"/>
      <c r="AI96" s="1030">
        <v>0.38</v>
      </c>
      <c r="AJ96" s="790"/>
      <c r="AK96" s="521">
        <v>0</v>
      </c>
      <c r="AL96" s="520">
        <v>0.38</v>
      </c>
      <c r="AM96" s="695" t="s">
        <v>1589</v>
      </c>
      <c r="AN96" s="669">
        <v>3.8500000000000005</v>
      </c>
    </row>
    <row r="97" spans="1:40" s="500" customFormat="1">
      <c r="A97" s="539" t="s">
        <v>755</v>
      </c>
      <c r="B97" s="539" t="s">
        <v>1187</v>
      </c>
      <c r="C97" s="548" t="s">
        <v>37</v>
      </c>
      <c r="D97" s="743"/>
      <c r="E97" s="520"/>
      <c r="F97" s="520"/>
      <c r="G97" s="520"/>
      <c r="H97" s="520"/>
      <c r="I97" s="521"/>
      <c r="J97" s="521"/>
      <c r="K97" s="725"/>
      <c r="L97" s="514"/>
      <c r="M97" s="520"/>
      <c r="N97" s="514"/>
      <c r="O97" s="514"/>
      <c r="P97" s="514"/>
      <c r="Q97" s="522"/>
      <c r="R97" s="745"/>
      <c r="S97" s="514"/>
      <c r="T97" s="520"/>
      <c r="U97" s="522"/>
      <c r="V97" s="522"/>
      <c r="W97" s="514"/>
      <c r="X97" s="972">
        <v>2.5500000000000003</v>
      </c>
      <c r="Y97" s="745"/>
      <c r="Z97" s="522"/>
      <c r="AA97" s="520"/>
      <c r="AB97" s="522"/>
      <c r="AC97" s="514"/>
      <c r="AD97" s="514"/>
      <c r="AE97" s="698"/>
      <c r="AF97" s="756"/>
      <c r="AG97" s="527"/>
      <c r="AH97" s="789"/>
      <c r="AI97" s="1030">
        <v>2.5499999999999998</v>
      </c>
      <c r="AJ97" s="790"/>
      <c r="AK97" s="521">
        <v>0</v>
      </c>
      <c r="AL97" s="520">
        <v>2.5499999999999998</v>
      </c>
      <c r="AM97" s="695" t="s">
        <v>1590</v>
      </c>
      <c r="AN97" s="669">
        <v>47.11</v>
      </c>
    </row>
    <row r="98" spans="1:40" s="500" customFormat="1">
      <c r="A98" s="539" t="s">
        <v>756</v>
      </c>
      <c r="B98" s="539" t="s">
        <v>1188</v>
      </c>
      <c r="C98" s="548" t="s">
        <v>48</v>
      </c>
      <c r="D98" s="743"/>
      <c r="E98" s="520"/>
      <c r="F98" s="520"/>
      <c r="G98" s="520"/>
      <c r="H98" s="520"/>
      <c r="I98" s="521"/>
      <c r="J98" s="521"/>
      <c r="K98" s="725"/>
      <c r="L98" s="514"/>
      <c r="M98" s="520"/>
      <c r="N98" s="514"/>
      <c r="O98" s="514"/>
      <c r="P98" s="514"/>
      <c r="Q98" s="522"/>
      <c r="R98" s="745"/>
      <c r="S98" s="514"/>
      <c r="T98" s="520"/>
      <c r="U98" s="522"/>
      <c r="V98" s="522"/>
      <c r="W98" s="514"/>
      <c r="X98" s="972">
        <v>28.74</v>
      </c>
      <c r="Y98" s="756"/>
      <c r="Z98" s="514"/>
      <c r="AA98" s="520"/>
      <c r="AB98" s="514"/>
      <c r="AC98" s="522"/>
      <c r="AD98" s="514"/>
      <c r="AE98" s="698"/>
      <c r="AF98" s="756"/>
      <c r="AG98" s="527"/>
      <c r="AH98" s="789"/>
      <c r="AI98" s="1030">
        <v>28.74</v>
      </c>
      <c r="AJ98" s="790"/>
      <c r="AK98" s="521">
        <v>0</v>
      </c>
      <c r="AL98" s="520">
        <v>28.74</v>
      </c>
      <c r="AM98" s="695" t="s">
        <v>1591</v>
      </c>
      <c r="AN98" s="669">
        <v>454.28</v>
      </c>
    </row>
    <row r="99" spans="1:40" s="730" customFormat="1">
      <c r="A99" s="814" t="s">
        <v>763</v>
      </c>
      <c r="B99" s="815" t="s">
        <v>1217</v>
      </c>
      <c r="C99" s="844"/>
      <c r="D99" s="743"/>
      <c r="E99" s="520"/>
      <c r="F99" s="520"/>
      <c r="G99" s="520"/>
      <c r="H99" s="520"/>
      <c r="I99" s="521"/>
      <c r="J99" s="521"/>
      <c r="K99" s="725"/>
      <c r="L99" s="514"/>
      <c r="M99" s="520"/>
      <c r="N99" s="514"/>
      <c r="O99" s="514"/>
      <c r="P99" s="514"/>
      <c r="Q99" s="522"/>
      <c r="R99" s="745"/>
      <c r="S99" s="514"/>
      <c r="T99" s="520"/>
      <c r="U99" s="514"/>
      <c r="V99" s="514"/>
      <c r="W99" s="514"/>
      <c r="X99" s="514"/>
      <c r="Y99" s="756"/>
      <c r="Z99" s="514"/>
      <c r="AA99" s="520"/>
      <c r="AB99" s="514"/>
      <c r="AC99" s="514"/>
      <c r="AD99" s="514"/>
      <c r="AE99" s="698"/>
      <c r="AF99" s="756"/>
      <c r="AG99" s="527"/>
      <c r="AH99" s="789"/>
      <c r="AI99" s="664">
        <v>0</v>
      </c>
      <c r="AJ99" s="790"/>
      <c r="AK99" s="725">
        <v>0</v>
      </c>
      <c r="AL99" s="726">
        <v>0</v>
      </c>
      <c r="AM99" s="847"/>
      <c r="AN99" s="729">
        <v>0</v>
      </c>
    </row>
    <row r="100" spans="1:40" s="500" customFormat="1">
      <c r="A100" s="542" t="s">
        <v>764</v>
      </c>
      <c r="B100" s="542" t="s">
        <v>46</v>
      </c>
      <c r="C100" s="616"/>
      <c r="D100" s="743"/>
      <c r="E100" s="520"/>
      <c r="F100" s="520"/>
      <c r="G100" s="520"/>
      <c r="H100" s="520"/>
      <c r="I100" s="521"/>
      <c r="J100" s="521"/>
      <c r="K100" s="725"/>
      <c r="L100" s="514"/>
      <c r="M100" s="520"/>
      <c r="N100" s="514"/>
      <c r="O100" s="514"/>
      <c r="P100" s="514"/>
      <c r="Q100" s="522"/>
      <c r="R100" s="745"/>
      <c r="S100" s="514"/>
      <c r="T100" s="520"/>
      <c r="U100" s="514"/>
      <c r="V100" s="514"/>
      <c r="W100" s="514"/>
      <c r="X100" s="514"/>
      <c r="Y100" s="756"/>
      <c r="Z100" s="514"/>
      <c r="AA100" s="520"/>
      <c r="AB100" s="514"/>
      <c r="AC100" s="514"/>
      <c r="AD100" s="514"/>
      <c r="AE100" s="698"/>
      <c r="AF100" s="756"/>
      <c r="AG100" s="527"/>
      <c r="AH100" s="789"/>
      <c r="AI100" s="664">
        <v>0</v>
      </c>
      <c r="AJ100" s="790"/>
      <c r="AK100" s="521">
        <v>0</v>
      </c>
      <c r="AL100" s="520">
        <v>0</v>
      </c>
      <c r="AM100" s="695"/>
      <c r="AN100" s="669">
        <v>0</v>
      </c>
    </row>
    <row r="101" spans="1:40" s="500" customFormat="1">
      <c r="A101" s="539" t="s">
        <v>765</v>
      </c>
      <c r="B101" s="539" t="s">
        <v>1212</v>
      </c>
      <c r="C101" s="548" t="s">
        <v>40</v>
      </c>
      <c r="D101" s="743"/>
      <c r="E101" s="520"/>
      <c r="F101" s="968">
        <v>16.274999999999999</v>
      </c>
      <c r="G101" s="968">
        <v>13</v>
      </c>
      <c r="H101" s="965">
        <v>18.625</v>
      </c>
      <c r="I101" s="971">
        <v>17.559999999999999</v>
      </c>
      <c r="J101" s="521"/>
      <c r="K101" s="725"/>
      <c r="L101" s="972">
        <v>18.64</v>
      </c>
      <c r="M101" s="520"/>
      <c r="N101" s="514"/>
      <c r="O101" s="514"/>
      <c r="P101" s="514"/>
      <c r="Q101" s="522"/>
      <c r="R101" s="745"/>
      <c r="S101" s="1006">
        <v>19</v>
      </c>
      <c r="T101" s="1011">
        <v>19</v>
      </c>
      <c r="U101" s="972">
        <v>16.695999999999998</v>
      </c>
      <c r="V101" s="972">
        <v>16.3</v>
      </c>
      <c r="W101" s="514"/>
      <c r="X101" s="514"/>
      <c r="Y101" s="745"/>
      <c r="Z101" s="522"/>
      <c r="AA101" s="520"/>
      <c r="AB101" s="972">
        <v>10</v>
      </c>
      <c r="AC101" s="972">
        <v>10</v>
      </c>
      <c r="AD101" s="972">
        <v>10</v>
      </c>
      <c r="AE101" s="1025">
        <v>10</v>
      </c>
      <c r="AF101" s="756"/>
      <c r="AG101" s="967">
        <v>10</v>
      </c>
      <c r="AH101" s="1027">
        <v>10</v>
      </c>
      <c r="AI101" s="1030">
        <v>215.1</v>
      </c>
      <c r="AJ101" s="790"/>
      <c r="AK101" s="521">
        <v>0</v>
      </c>
      <c r="AL101" s="520">
        <v>215.1</v>
      </c>
      <c r="AM101" s="695" t="s">
        <v>1596</v>
      </c>
      <c r="AN101" s="669">
        <v>226.54</v>
      </c>
    </row>
    <row r="102" spans="1:40" s="500" customFormat="1">
      <c r="A102" s="542" t="s">
        <v>767</v>
      </c>
      <c r="B102" s="542" t="s">
        <v>1218</v>
      </c>
      <c r="C102" s="616"/>
      <c r="D102" s="743"/>
      <c r="E102" s="520"/>
      <c r="F102" s="520"/>
      <c r="G102" s="520"/>
      <c r="H102" s="520"/>
      <c r="I102" s="521"/>
      <c r="J102" s="521"/>
      <c r="K102" s="725"/>
      <c r="L102" s="514"/>
      <c r="M102" s="520"/>
      <c r="N102" s="514"/>
      <c r="O102" s="514"/>
      <c r="P102" s="514"/>
      <c r="Q102" s="522"/>
      <c r="R102" s="745"/>
      <c r="S102" s="514"/>
      <c r="T102" s="520"/>
      <c r="U102" s="514"/>
      <c r="V102" s="514"/>
      <c r="W102" s="514"/>
      <c r="X102" s="514"/>
      <c r="Y102" s="756"/>
      <c r="Z102" s="514"/>
      <c r="AA102" s="520"/>
      <c r="AB102" s="514"/>
      <c r="AC102" s="514"/>
      <c r="AD102" s="514"/>
      <c r="AE102" s="698"/>
      <c r="AF102" s="756"/>
      <c r="AG102" s="527"/>
      <c r="AH102" s="789"/>
      <c r="AI102" s="664">
        <v>0</v>
      </c>
      <c r="AJ102" s="790"/>
      <c r="AK102" s="521">
        <v>0</v>
      </c>
      <c r="AL102" s="520">
        <v>0</v>
      </c>
      <c r="AM102" s="695"/>
      <c r="AN102" s="669">
        <v>0</v>
      </c>
    </row>
    <row r="103" spans="1:40" s="500" customFormat="1">
      <c r="A103" s="539" t="s">
        <v>768</v>
      </c>
      <c r="B103" s="539" t="s">
        <v>1219</v>
      </c>
      <c r="C103" s="548" t="s">
        <v>40</v>
      </c>
      <c r="D103" s="743"/>
      <c r="E103" s="520"/>
      <c r="F103" s="520"/>
      <c r="G103" s="520"/>
      <c r="H103" s="520"/>
      <c r="I103" s="521"/>
      <c r="J103" s="521"/>
      <c r="K103" s="725"/>
      <c r="L103" s="514"/>
      <c r="M103" s="968">
        <v>4.3499999999999996</v>
      </c>
      <c r="N103" s="1006">
        <v>2.1599999999999997</v>
      </c>
      <c r="O103" s="1006">
        <v>2.88</v>
      </c>
      <c r="P103" s="514"/>
      <c r="Q103" s="1006">
        <v>2.88</v>
      </c>
      <c r="R103" s="745"/>
      <c r="S103" s="514"/>
      <c r="T103" s="520"/>
      <c r="U103" s="514"/>
      <c r="V103" s="514"/>
      <c r="W103" s="972">
        <v>2.5875000000000004</v>
      </c>
      <c r="X103" s="522"/>
      <c r="Y103" s="756"/>
      <c r="Z103" s="522"/>
      <c r="AA103" s="968">
        <v>6.6960000000000015</v>
      </c>
      <c r="AB103" s="522"/>
      <c r="AC103" s="514"/>
      <c r="AD103" s="522"/>
      <c r="AE103" s="522"/>
      <c r="AF103" s="756"/>
      <c r="AG103" s="527"/>
      <c r="AH103" s="1022">
        <v>5.39</v>
      </c>
      <c r="AI103" s="1030">
        <v>24.79</v>
      </c>
      <c r="AJ103" s="790"/>
      <c r="AK103" s="521">
        <v>0</v>
      </c>
      <c r="AL103" s="520">
        <v>26.94</v>
      </c>
      <c r="AM103" s="695" t="s">
        <v>1598</v>
      </c>
      <c r="AN103" s="669">
        <v>177.07</v>
      </c>
    </row>
    <row r="104" spans="1:40" s="500" customFormat="1">
      <c r="A104" s="539" t="s">
        <v>769</v>
      </c>
      <c r="B104" s="539" t="s">
        <v>1220</v>
      </c>
      <c r="C104" s="548" t="s">
        <v>37</v>
      </c>
      <c r="D104" s="743"/>
      <c r="E104" s="520"/>
      <c r="F104" s="520"/>
      <c r="G104" s="520"/>
      <c r="I104" s="521"/>
      <c r="J104" s="521"/>
      <c r="K104" s="725"/>
      <c r="L104" s="514"/>
      <c r="M104" s="520"/>
      <c r="N104" s="972">
        <v>14.399999999999999</v>
      </c>
      <c r="O104" s="514"/>
      <c r="P104" s="514"/>
      <c r="Q104" s="522"/>
      <c r="R104" s="745"/>
      <c r="S104" s="514"/>
      <c r="T104" s="520"/>
      <c r="U104" s="514"/>
      <c r="V104" s="514"/>
      <c r="W104" s="972">
        <v>10.35</v>
      </c>
      <c r="X104" s="522"/>
      <c r="Y104" s="745"/>
      <c r="Z104" s="522"/>
      <c r="AA104" s="968">
        <v>33.480000000000004</v>
      </c>
      <c r="AB104" s="1020">
        <v>18.48</v>
      </c>
      <c r="AC104" s="522"/>
      <c r="AD104" s="522"/>
      <c r="AE104" s="698"/>
      <c r="AF104" s="756"/>
      <c r="AG104" s="1022">
        <v>15.4</v>
      </c>
      <c r="AH104" s="789"/>
      <c r="AI104" s="1030">
        <v>92.11</v>
      </c>
      <c r="AJ104" s="790"/>
      <c r="AK104" s="521">
        <v>0</v>
      </c>
      <c r="AL104" s="520">
        <v>92.11</v>
      </c>
      <c r="AM104" s="695" t="s">
        <v>1599</v>
      </c>
      <c r="AN104" s="669">
        <v>458.33000000000004</v>
      </c>
    </row>
    <row r="105" spans="1:40" s="500" customFormat="1">
      <c r="A105" s="539" t="s">
        <v>770</v>
      </c>
      <c r="B105" s="539" t="s">
        <v>1221</v>
      </c>
      <c r="C105" s="548" t="s">
        <v>48</v>
      </c>
      <c r="D105" s="743"/>
      <c r="E105" s="520"/>
      <c r="F105" s="520"/>
      <c r="G105" s="520"/>
      <c r="H105" s="520"/>
      <c r="I105" s="971">
        <v>139.68</v>
      </c>
      <c r="J105" s="967">
        <v>181.035</v>
      </c>
      <c r="K105" s="725"/>
      <c r="L105" s="972">
        <v>115.83</v>
      </c>
      <c r="M105" s="968">
        <v>836.78399999999999</v>
      </c>
      <c r="N105" s="522"/>
      <c r="O105" s="1006">
        <v>195.55199999999999</v>
      </c>
      <c r="P105" s="1006">
        <v>223.488</v>
      </c>
      <c r="Q105" s="522"/>
      <c r="R105" s="745"/>
      <c r="S105" s="522"/>
      <c r="T105" s="520"/>
      <c r="U105" s="972">
        <v>130.12199999999999</v>
      </c>
      <c r="V105" s="972">
        <v>835.32479999999998</v>
      </c>
      <c r="W105" s="972">
        <v>418.06800000000004</v>
      </c>
      <c r="X105" s="522"/>
      <c r="Y105" s="745"/>
      <c r="Z105" s="522"/>
      <c r="AA105" s="520"/>
      <c r="AB105" s="1020">
        <v>166.64400000000001</v>
      </c>
      <c r="AC105" s="522"/>
      <c r="AD105" s="1020">
        <v>69.84</v>
      </c>
      <c r="AE105" s="522"/>
      <c r="AF105" s="745"/>
      <c r="AG105" s="521"/>
      <c r="AH105" s="790"/>
      <c r="AI105" s="1030">
        <v>3312.37</v>
      </c>
      <c r="AJ105" s="790"/>
      <c r="AK105" s="521">
        <v>0</v>
      </c>
      <c r="AL105" s="520">
        <v>3312.37</v>
      </c>
      <c r="AM105" s="695" t="s">
        <v>1600</v>
      </c>
      <c r="AN105" s="669">
        <v>12136.369999999999</v>
      </c>
    </row>
    <row r="106" spans="1:40" s="500" customFormat="1">
      <c r="A106" s="542" t="s">
        <v>771</v>
      </c>
      <c r="B106" s="542" t="s">
        <v>1200</v>
      </c>
      <c r="C106" s="616"/>
      <c r="D106" s="743"/>
      <c r="E106" s="520"/>
      <c r="F106" s="520"/>
      <c r="G106" s="520"/>
      <c r="H106" s="520"/>
      <c r="I106" s="521"/>
      <c r="J106" s="521"/>
      <c r="K106" s="725"/>
      <c r="L106" s="514"/>
      <c r="M106" s="520"/>
      <c r="N106" s="514"/>
      <c r="O106" s="514"/>
      <c r="P106" s="514"/>
      <c r="Q106" s="522"/>
      <c r="R106" s="745"/>
      <c r="S106" s="514"/>
      <c r="T106" s="520"/>
      <c r="U106" s="514"/>
      <c r="V106" s="514"/>
      <c r="W106" s="514"/>
      <c r="X106" s="514"/>
      <c r="Y106" s="756"/>
      <c r="Z106" s="514"/>
      <c r="AA106" s="520"/>
      <c r="AB106" s="514"/>
      <c r="AC106" s="514"/>
      <c r="AD106" s="514"/>
      <c r="AE106" s="698"/>
      <c r="AF106" s="756"/>
      <c r="AG106" s="527"/>
      <c r="AH106" s="789"/>
      <c r="AI106" s="664">
        <v>0</v>
      </c>
      <c r="AJ106" s="790"/>
      <c r="AK106" s="521">
        <v>0</v>
      </c>
      <c r="AL106" s="520">
        <v>0</v>
      </c>
      <c r="AM106" s="695"/>
      <c r="AN106" s="669">
        <v>0</v>
      </c>
    </row>
    <row r="107" spans="1:40" s="500" customFormat="1">
      <c r="A107" s="539" t="s">
        <v>772</v>
      </c>
      <c r="B107" s="539" t="s">
        <v>1222</v>
      </c>
      <c r="C107" s="548" t="s">
        <v>38</v>
      </c>
      <c r="D107" s="743"/>
      <c r="E107" s="520"/>
      <c r="F107" s="520"/>
      <c r="G107" s="520"/>
      <c r="H107" s="520"/>
      <c r="I107" s="521"/>
      <c r="J107" s="521"/>
      <c r="K107" s="725"/>
      <c r="L107" s="514"/>
      <c r="M107" s="520"/>
      <c r="N107" s="514"/>
      <c r="O107" s="514"/>
      <c r="P107" s="514"/>
      <c r="Q107" s="522"/>
      <c r="R107" s="745"/>
      <c r="S107" s="1006">
        <v>10.799999999999999</v>
      </c>
      <c r="T107" s="520"/>
      <c r="U107" s="514"/>
      <c r="V107" s="514"/>
      <c r="W107" s="514"/>
      <c r="X107" s="514"/>
      <c r="Y107" s="756"/>
      <c r="Z107" s="972">
        <v>3.2</v>
      </c>
      <c r="AA107" s="520"/>
      <c r="AB107" s="514"/>
      <c r="AC107" s="514"/>
      <c r="AD107" s="514"/>
      <c r="AE107" s="698"/>
      <c r="AF107" s="756"/>
      <c r="AG107" s="527"/>
      <c r="AH107" s="789"/>
      <c r="AI107" s="1030">
        <v>14</v>
      </c>
      <c r="AJ107" s="790"/>
      <c r="AK107" s="521">
        <v>0</v>
      </c>
      <c r="AL107" s="520">
        <v>14</v>
      </c>
      <c r="AM107" s="695" t="s">
        <v>1601</v>
      </c>
      <c r="AN107" s="669">
        <v>97.93</v>
      </c>
    </row>
    <row r="108" spans="1:40" s="500" customFormat="1">
      <c r="A108" s="539" t="s">
        <v>773</v>
      </c>
      <c r="B108" s="539" t="s">
        <v>225</v>
      </c>
      <c r="C108" s="548" t="s">
        <v>1450</v>
      </c>
      <c r="D108" s="743"/>
      <c r="E108" s="520"/>
      <c r="F108" s="520"/>
      <c r="G108" s="520"/>
      <c r="H108" s="520"/>
      <c r="I108" s="521"/>
      <c r="J108" s="521"/>
      <c r="K108" s="725"/>
      <c r="L108" s="514"/>
      <c r="M108" s="520"/>
      <c r="N108" s="514"/>
      <c r="O108" s="514"/>
      <c r="P108" s="514"/>
      <c r="Q108" s="522"/>
      <c r="R108" s="745"/>
      <c r="S108" s="514"/>
      <c r="T108" s="520"/>
      <c r="U108" s="514"/>
      <c r="V108" s="514"/>
      <c r="W108" s="514"/>
      <c r="X108" s="514"/>
      <c r="Y108" s="756"/>
      <c r="Z108" s="514"/>
      <c r="AA108" s="520"/>
      <c r="AB108" s="514"/>
      <c r="AC108" s="514"/>
      <c r="AD108" s="514"/>
      <c r="AE108" s="698"/>
      <c r="AF108" s="756"/>
      <c r="AG108" s="521"/>
      <c r="AH108" s="1023">
        <v>1</v>
      </c>
      <c r="AI108" s="1030">
        <v>1</v>
      </c>
      <c r="AJ108" s="790"/>
      <c r="AK108" s="521">
        <v>0</v>
      </c>
      <c r="AL108" s="520">
        <v>1</v>
      </c>
      <c r="AM108" s="695" t="s">
        <v>1602</v>
      </c>
      <c r="AN108" s="669">
        <v>23</v>
      </c>
    </row>
    <row r="109" spans="1:40" s="500" customFormat="1">
      <c r="A109" s="814" t="s">
        <v>774</v>
      </c>
      <c r="B109" s="815" t="s">
        <v>1223</v>
      </c>
      <c r="C109" s="844"/>
      <c r="D109" s="743"/>
      <c r="E109" s="520"/>
      <c r="F109" s="520"/>
      <c r="G109" s="520"/>
      <c r="H109" s="520"/>
      <c r="I109" s="521"/>
      <c r="J109" s="521"/>
      <c r="K109" s="725"/>
      <c r="L109" s="514"/>
      <c r="M109" s="520"/>
      <c r="N109" s="514"/>
      <c r="O109" s="514"/>
      <c r="P109" s="514"/>
      <c r="Q109" s="522"/>
      <c r="R109" s="745"/>
      <c r="S109" s="514"/>
      <c r="T109" s="520"/>
      <c r="U109" s="514"/>
      <c r="V109" s="514"/>
      <c r="W109" s="514"/>
      <c r="X109" s="514"/>
      <c r="Y109" s="756"/>
      <c r="Z109" s="514"/>
      <c r="AA109" s="520"/>
      <c r="AB109" s="514"/>
      <c r="AC109" s="514"/>
      <c r="AD109" s="514"/>
      <c r="AE109" s="698"/>
      <c r="AF109" s="756"/>
      <c r="AG109" s="527"/>
      <c r="AH109" s="789"/>
      <c r="AI109" s="664">
        <v>0</v>
      </c>
      <c r="AJ109" s="790"/>
      <c r="AK109" s="521">
        <v>0</v>
      </c>
      <c r="AL109" s="520">
        <v>0</v>
      </c>
      <c r="AM109" s="695"/>
      <c r="AN109" s="669">
        <v>0</v>
      </c>
    </row>
    <row r="110" spans="1:40" s="500" customFormat="1">
      <c r="A110" s="542" t="s">
        <v>775</v>
      </c>
      <c r="B110" s="542" t="s">
        <v>46</v>
      </c>
      <c r="C110" s="616"/>
      <c r="D110" s="743"/>
      <c r="E110" s="520"/>
      <c r="F110" s="520"/>
      <c r="G110" s="520"/>
      <c r="H110" s="520"/>
      <c r="I110" s="521"/>
      <c r="J110" s="521"/>
      <c r="K110" s="725"/>
      <c r="L110" s="514"/>
      <c r="M110" s="520"/>
      <c r="N110" s="514"/>
      <c r="O110" s="514"/>
      <c r="P110" s="514"/>
      <c r="Q110" s="522"/>
      <c r="R110" s="745"/>
      <c r="S110" s="514"/>
      <c r="T110" s="520"/>
      <c r="U110" s="514"/>
      <c r="V110" s="514"/>
      <c r="W110" s="514"/>
      <c r="X110" s="514"/>
      <c r="Y110" s="756"/>
      <c r="Z110" s="514"/>
      <c r="AA110" s="520"/>
      <c r="AB110" s="522"/>
      <c r="AC110" s="522"/>
      <c r="AD110" s="514"/>
      <c r="AE110" s="698"/>
      <c r="AF110" s="756"/>
      <c r="AG110" s="527"/>
      <c r="AH110" s="789"/>
      <c r="AI110" s="664">
        <v>0</v>
      </c>
      <c r="AJ110" s="790"/>
      <c r="AK110" s="521">
        <v>0</v>
      </c>
      <c r="AL110" s="520">
        <v>0</v>
      </c>
      <c r="AM110" s="695"/>
      <c r="AN110" s="669">
        <v>0</v>
      </c>
    </row>
    <row r="111" spans="1:40" s="500" customFormat="1">
      <c r="A111" s="539" t="s">
        <v>776</v>
      </c>
      <c r="B111" s="539" t="s">
        <v>1212</v>
      </c>
      <c r="C111" s="548" t="s">
        <v>40</v>
      </c>
      <c r="D111" s="743"/>
      <c r="E111" s="520"/>
      <c r="F111" s="520"/>
      <c r="G111" s="520"/>
      <c r="H111" s="520"/>
      <c r="I111" s="521"/>
      <c r="J111" s="521"/>
      <c r="K111" s="725"/>
      <c r="L111" s="514"/>
      <c r="M111" s="520"/>
      <c r="N111" s="514"/>
      <c r="O111" s="514"/>
      <c r="P111" s="1006">
        <v>7.65</v>
      </c>
      <c r="Q111" s="1006">
        <v>5.4</v>
      </c>
      <c r="R111" s="745"/>
      <c r="S111" s="522"/>
      <c r="T111" s="520"/>
      <c r="U111" s="514"/>
      <c r="V111" s="514"/>
      <c r="W111" s="514"/>
      <c r="X111" s="514"/>
      <c r="Y111" s="756"/>
      <c r="Z111" s="972">
        <v>5.8500000000000005</v>
      </c>
      <c r="AA111" s="520"/>
      <c r="AB111" s="972">
        <v>18.23</v>
      </c>
      <c r="AC111" s="972">
        <v>10</v>
      </c>
      <c r="AD111" s="972">
        <v>10</v>
      </c>
      <c r="AE111" s="1025">
        <v>10</v>
      </c>
      <c r="AF111" s="756"/>
      <c r="AG111" s="967">
        <v>10</v>
      </c>
      <c r="AH111" s="1015">
        <v>10</v>
      </c>
      <c r="AI111" s="1030">
        <v>87.13</v>
      </c>
      <c r="AJ111" s="790"/>
      <c r="AK111" s="521">
        <v>0</v>
      </c>
      <c r="AL111" s="520">
        <v>87.13</v>
      </c>
      <c r="AM111" s="695" t="s">
        <v>1603</v>
      </c>
      <c r="AN111" s="669">
        <v>8.75</v>
      </c>
    </row>
    <row r="112" spans="1:40" s="500" customFormat="1">
      <c r="A112" s="814" t="s">
        <v>781</v>
      </c>
      <c r="B112" s="815" t="s">
        <v>1225</v>
      </c>
      <c r="C112" s="844"/>
      <c r="D112" s="743"/>
      <c r="E112" s="520"/>
      <c r="F112" s="520"/>
      <c r="G112" s="520"/>
      <c r="H112" s="520"/>
      <c r="I112" s="521"/>
      <c r="J112" s="521"/>
      <c r="K112" s="725"/>
      <c r="L112" s="514"/>
      <c r="M112" s="520"/>
      <c r="N112" s="514"/>
      <c r="O112" s="514"/>
      <c r="P112" s="514"/>
      <c r="Q112" s="522"/>
      <c r="R112" s="745"/>
      <c r="S112" s="514"/>
      <c r="T112" s="520"/>
      <c r="U112" s="514"/>
      <c r="V112" s="514"/>
      <c r="W112" s="514"/>
      <c r="X112" s="514"/>
      <c r="Y112" s="756"/>
      <c r="Z112" s="514"/>
      <c r="AA112" s="520"/>
      <c r="AB112" s="514"/>
      <c r="AC112" s="514"/>
      <c r="AD112" s="514"/>
      <c r="AE112" s="698"/>
      <c r="AF112" s="756"/>
      <c r="AG112" s="527"/>
      <c r="AH112" s="789"/>
      <c r="AI112" s="664">
        <v>0</v>
      </c>
      <c r="AJ112" s="790"/>
      <c r="AK112" s="521">
        <v>0</v>
      </c>
      <c r="AL112" s="520">
        <v>0</v>
      </c>
      <c r="AM112" s="695"/>
      <c r="AN112" s="669">
        <v>0</v>
      </c>
    </row>
    <row r="113" spans="1:40" s="500" customFormat="1">
      <c r="A113" s="542" t="s">
        <v>782</v>
      </c>
      <c r="B113" s="542" t="s">
        <v>46</v>
      </c>
      <c r="C113" s="616"/>
      <c r="D113" s="743"/>
      <c r="E113" s="520"/>
      <c r="F113" s="520"/>
      <c r="G113" s="520"/>
      <c r="H113" s="520"/>
      <c r="I113" s="521"/>
      <c r="J113" s="521"/>
      <c r="K113" s="725"/>
      <c r="L113" s="514"/>
      <c r="M113" s="520"/>
      <c r="N113" s="514"/>
      <c r="O113" s="514"/>
      <c r="P113" s="514"/>
      <c r="Q113" s="522"/>
      <c r="R113" s="745"/>
      <c r="S113" s="514"/>
      <c r="T113" s="520"/>
      <c r="U113" s="514"/>
      <c r="V113" s="514"/>
      <c r="W113" s="514"/>
      <c r="X113" s="514"/>
      <c r="Y113" s="756"/>
      <c r="Z113" s="514"/>
      <c r="AA113" s="520"/>
      <c r="AB113" s="514"/>
      <c r="AC113" s="514"/>
      <c r="AD113" s="514"/>
      <c r="AE113" s="698"/>
      <c r="AF113" s="756"/>
      <c r="AG113" s="527"/>
      <c r="AH113" s="789"/>
      <c r="AI113" s="664">
        <v>0</v>
      </c>
      <c r="AJ113" s="790"/>
      <c r="AK113" s="521">
        <v>0</v>
      </c>
      <c r="AL113" s="520">
        <v>0</v>
      </c>
      <c r="AM113" s="695"/>
      <c r="AN113" s="669">
        <v>0</v>
      </c>
    </row>
    <row r="114" spans="1:40" s="500" customFormat="1" ht="13.5" thickBot="1">
      <c r="A114" s="539" t="s">
        <v>783</v>
      </c>
      <c r="B114" s="539" t="s">
        <v>1226</v>
      </c>
      <c r="C114" s="548" t="s">
        <v>40</v>
      </c>
      <c r="D114" s="743"/>
      <c r="E114" s="520"/>
      <c r="F114" s="520"/>
      <c r="G114" s="520"/>
      <c r="H114" s="520"/>
      <c r="I114" s="521"/>
      <c r="J114" s="521"/>
      <c r="K114" s="725"/>
      <c r="L114" s="514"/>
      <c r="M114" s="520"/>
      <c r="N114" s="514"/>
      <c r="O114" s="514"/>
      <c r="P114" s="514"/>
      <c r="Q114" s="522"/>
      <c r="R114" s="745"/>
      <c r="S114" s="514"/>
      <c r="T114" s="520"/>
      <c r="U114" s="514"/>
      <c r="V114" s="514"/>
      <c r="W114" s="514"/>
      <c r="X114" s="514"/>
      <c r="Y114" s="756"/>
      <c r="Z114" s="514"/>
      <c r="AA114" s="520"/>
      <c r="AB114" s="514"/>
      <c r="AC114" s="514"/>
      <c r="AD114" s="514"/>
      <c r="AE114" s="1025">
        <v>2.81</v>
      </c>
      <c r="AF114" s="756"/>
      <c r="AG114" s="527"/>
      <c r="AH114" s="789"/>
      <c r="AI114" s="1030">
        <v>2.81</v>
      </c>
      <c r="AJ114" s="790"/>
      <c r="AK114" s="521">
        <v>0</v>
      </c>
      <c r="AL114" s="520">
        <v>2.81</v>
      </c>
      <c r="AM114" s="695" t="s">
        <v>1607</v>
      </c>
      <c r="AN114" s="669">
        <v>0</v>
      </c>
    </row>
    <row r="115" spans="1:40" s="843" customFormat="1">
      <c r="A115" s="949" t="s">
        <v>45</v>
      </c>
      <c r="B115" s="949" t="s">
        <v>1234</v>
      </c>
      <c r="C115" s="951"/>
      <c r="D115" s="743"/>
      <c r="E115" s="520"/>
      <c r="F115" s="520"/>
      <c r="G115" s="520"/>
      <c r="H115" s="520"/>
      <c r="I115" s="521"/>
      <c r="J115" s="521"/>
      <c r="K115" s="725"/>
      <c r="L115" s="514"/>
      <c r="M115" s="520"/>
      <c r="N115" s="514"/>
      <c r="O115" s="514"/>
      <c r="P115" s="514"/>
      <c r="Q115" s="522"/>
      <c r="R115" s="745"/>
      <c r="S115" s="514"/>
      <c r="T115" s="520"/>
      <c r="U115" s="514"/>
      <c r="V115" s="514"/>
      <c r="W115" s="514"/>
      <c r="X115" s="514"/>
      <c r="Y115" s="756"/>
      <c r="Z115" s="514"/>
      <c r="AA115" s="520"/>
      <c r="AB115" s="514"/>
      <c r="AC115" s="514"/>
      <c r="AD115" s="514"/>
      <c r="AE115" s="698"/>
      <c r="AF115" s="756"/>
      <c r="AG115" s="527"/>
      <c r="AH115" s="789"/>
      <c r="AI115" s="664">
        <v>0</v>
      </c>
      <c r="AJ115" s="790"/>
      <c r="AK115" s="836">
        <v>0</v>
      </c>
      <c r="AL115" s="835">
        <v>0</v>
      </c>
      <c r="AM115" s="848"/>
      <c r="AN115" s="842">
        <v>0</v>
      </c>
    </row>
    <row r="116" spans="1:40" s="500" customFormat="1">
      <c r="A116" s="440" t="s">
        <v>47</v>
      </c>
      <c r="B116" s="543" t="s">
        <v>1235</v>
      </c>
      <c r="C116" s="616"/>
      <c r="D116" s="743"/>
      <c r="E116" s="520"/>
      <c r="F116" s="520"/>
      <c r="G116" s="520"/>
      <c r="H116" s="520"/>
      <c r="I116" s="521"/>
      <c r="J116" s="521"/>
      <c r="K116" s="725"/>
      <c r="L116" s="514"/>
      <c r="M116" s="520"/>
      <c r="N116" s="514"/>
      <c r="O116" s="514"/>
      <c r="P116" s="514"/>
      <c r="Q116" s="522"/>
      <c r="R116" s="745"/>
      <c r="S116" s="514"/>
      <c r="T116" s="520"/>
      <c r="U116" s="514"/>
      <c r="V116" s="514"/>
      <c r="W116" s="514"/>
      <c r="X116" s="514"/>
      <c r="Y116" s="756"/>
      <c r="Z116" s="514"/>
      <c r="AA116" s="520"/>
      <c r="AB116" s="514"/>
      <c r="AC116" s="514"/>
      <c r="AD116" s="514"/>
      <c r="AE116" s="698"/>
      <c r="AF116" s="756"/>
      <c r="AG116" s="527"/>
      <c r="AH116" s="789"/>
      <c r="AI116" s="664">
        <v>0</v>
      </c>
      <c r="AJ116" s="790"/>
      <c r="AK116" s="521">
        <v>0</v>
      </c>
      <c r="AL116" s="520">
        <v>0</v>
      </c>
      <c r="AM116" s="695"/>
      <c r="AN116" s="669">
        <v>0</v>
      </c>
    </row>
    <row r="117" spans="1:40" s="500" customFormat="1">
      <c r="A117" s="542" t="s">
        <v>49</v>
      </c>
      <c r="B117" s="542" t="s">
        <v>1236</v>
      </c>
      <c r="C117" s="616"/>
      <c r="D117" s="743"/>
      <c r="E117" s="520"/>
      <c r="F117" s="520"/>
      <c r="G117" s="520"/>
      <c r="H117" s="520"/>
      <c r="I117" s="521"/>
      <c r="J117" s="521"/>
      <c r="K117" s="725"/>
      <c r="L117" s="514"/>
      <c r="M117" s="520"/>
      <c r="N117" s="514"/>
      <c r="O117" s="514"/>
      <c r="P117" s="514"/>
      <c r="Q117" s="522"/>
      <c r="R117" s="745"/>
      <c r="S117" s="514"/>
      <c r="T117" s="520"/>
      <c r="U117" s="514"/>
      <c r="V117" s="514"/>
      <c r="W117" s="514"/>
      <c r="X117" s="514"/>
      <c r="Y117" s="756"/>
      <c r="Z117" s="514"/>
      <c r="AA117" s="520"/>
      <c r="AB117" s="514"/>
      <c r="AC117" s="514"/>
      <c r="AD117" s="514"/>
      <c r="AE117" s="698"/>
      <c r="AF117" s="756"/>
      <c r="AG117" s="527"/>
      <c r="AH117" s="789"/>
      <c r="AI117" s="664">
        <v>0</v>
      </c>
      <c r="AJ117" s="790"/>
      <c r="AK117" s="521">
        <v>0</v>
      </c>
      <c r="AL117" s="520">
        <v>0</v>
      </c>
      <c r="AM117" s="695"/>
      <c r="AN117" s="669">
        <v>0</v>
      </c>
    </row>
    <row r="118" spans="1:40" s="500" customFormat="1">
      <c r="A118" s="539" t="s">
        <v>801</v>
      </c>
      <c r="B118" s="539" t="s">
        <v>1237</v>
      </c>
      <c r="C118" s="548" t="s">
        <v>37</v>
      </c>
      <c r="D118" s="743"/>
      <c r="E118" s="968">
        <v>10.8</v>
      </c>
      <c r="F118" s="968">
        <v>7.9969999999999999</v>
      </c>
      <c r="G118" s="520"/>
      <c r="H118" s="965">
        <v>7</v>
      </c>
      <c r="I118" s="521"/>
      <c r="J118" s="521"/>
      <c r="K118" s="725"/>
      <c r="L118" s="514"/>
      <c r="M118" s="520"/>
      <c r="N118" s="514"/>
      <c r="O118" s="522"/>
      <c r="P118" s="522"/>
      <c r="Q118" s="522"/>
      <c r="R118" s="745"/>
      <c r="S118" s="514"/>
      <c r="T118" s="520"/>
      <c r="U118" s="514"/>
      <c r="V118" s="514"/>
      <c r="W118" s="514"/>
      <c r="X118" s="522"/>
      <c r="Y118" s="756"/>
      <c r="Z118" s="514"/>
      <c r="AA118" s="520"/>
      <c r="AB118" s="514"/>
      <c r="AC118" s="514"/>
      <c r="AD118" s="514"/>
      <c r="AE118" s="698"/>
      <c r="AF118" s="756"/>
      <c r="AG118" s="527"/>
      <c r="AH118" s="789"/>
      <c r="AI118" s="1030">
        <v>25.8</v>
      </c>
      <c r="AJ118" s="790"/>
      <c r="AK118" s="521">
        <v>0</v>
      </c>
      <c r="AL118" s="520">
        <v>25.8</v>
      </c>
      <c r="AM118" s="695" t="s">
        <v>1619</v>
      </c>
      <c r="AN118" s="669">
        <v>46.47</v>
      </c>
    </row>
    <row r="119" spans="1:40" s="500" customFormat="1">
      <c r="A119" s="539" t="s">
        <v>802</v>
      </c>
      <c r="B119" s="539" t="s">
        <v>1238</v>
      </c>
      <c r="C119" s="548" t="s">
        <v>37</v>
      </c>
      <c r="D119" s="743"/>
      <c r="E119" s="520"/>
      <c r="F119" s="520"/>
      <c r="G119" s="968">
        <v>11.190000000000001</v>
      </c>
      <c r="H119" s="520"/>
      <c r="I119" s="521"/>
      <c r="J119" s="521"/>
      <c r="K119" s="725"/>
      <c r="L119" s="514"/>
      <c r="M119" s="520"/>
      <c r="N119" s="514"/>
      <c r="O119" s="514"/>
      <c r="P119" s="514"/>
      <c r="Q119" s="522"/>
      <c r="R119" s="745"/>
      <c r="S119" s="514"/>
      <c r="T119" s="520"/>
      <c r="U119" s="514"/>
      <c r="V119" s="514"/>
      <c r="W119" s="514"/>
      <c r="X119" s="514"/>
      <c r="Y119" s="756"/>
      <c r="Z119" s="514"/>
      <c r="AA119" s="520"/>
      <c r="AB119" s="514"/>
      <c r="AC119" s="514"/>
      <c r="AD119" s="514"/>
      <c r="AE119" s="698"/>
      <c r="AF119" s="756"/>
      <c r="AG119" s="527"/>
      <c r="AH119" s="789"/>
      <c r="AI119" s="1030">
        <v>11.19</v>
      </c>
      <c r="AJ119" s="790"/>
      <c r="AK119" s="521">
        <v>0</v>
      </c>
      <c r="AL119" s="520">
        <v>11.19</v>
      </c>
      <c r="AM119" s="695" t="s">
        <v>1620</v>
      </c>
      <c r="AN119" s="669">
        <v>4.0300000000000011</v>
      </c>
    </row>
    <row r="120" spans="1:40" s="500" customFormat="1">
      <c r="A120" s="542" t="s">
        <v>50</v>
      </c>
      <c r="B120" s="542" t="s">
        <v>1239</v>
      </c>
      <c r="C120" s="616"/>
      <c r="D120" s="743"/>
      <c r="E120" s="520"/>
      <c r="F120" s="520"/>
      <c r="G120" s="520"/>
      <c r="H120" s="520"/>
      <c r="I120" s="521"/>
      <c r="J120" s="521"/>
      <c r="K120" s="725"/>
      <c r="L120" s="514"/>
      <c r="M120" s="520"/>
      <c r="N120" s="514"/>
      <c r="O120" s="514"/>
      <c r="P120" s="514"/>
      <c r="Q120" s="522"/>
      <c r="R120" s="745"/>
      <c r="S120" s="514"/>
      <c r="T120" s="520"/>
      <c r="U120" s="514"/>
      <c r="V120" s="514"/>
      <c r="W120" s="514"/>
      <c r="X120" s="514"/>
      <c r="Y120" s="756"/>
      <c r="Z120" s="514"/>
      <c r="AA120" s="520"/>
      <c r="AB120" s="514"/>
      <c r="AC120" s="514"/>
      <c r="AD120" s="514"/>
      <c r="AE120" s="698"/>
      <c r="AF120" s="756"/>
      <c r="AG120" s="527"/>
      <c r="AH120" s="789"/>
      <c r="AI120" s="664">
        <v>0</v>
      </c>
      <c r="AJ120" s="790"/>
      <c r="AK120" s="521">
        <v>0</v>
      </c>
      <c r="AL120" s="520">
        <v>0</v>
      </c>
      <c r="AM120" s="695"/>
      <c r="AN120" s="669">
        <v>0</v>
      </c>
    </row>
    <row r="121" spans="1:40" s="500" customFormat="1">
      <c r="A121" s="539" t="s">
        <v>803</v>
      </c>
      <c r="B121" s="539" t="s">
        <v>1240</v>
      </c>
      <c r="C121" s="548" t="s">
        <v>37</v>
      </c>
      <c r="D121" s="743"/>
      <c r="E121" s="520"/>
      <c r="F121" s="520"/>
      <c r="G121" s="520"/>
      <c r="H121" s="520"/>
      <c r="J121" s="971">
        <v>5.4</v>
      </c>
      <c r="K121" s="725"/>
      <c r="L121" s="514"/>
      <c r="M121" s="520"/>
      <c r="N121" s="514"/>
      <c r="O121" s="514"/>
      <c r="P121" s="1006">
        <v>6.4950000000000001</v>
      </c>
      <c r="Q121" s="1006">
        <v>12.2369</v>
      </c>
      <c r="R121" s="745"/>
      <c r="S121" s="1006">
        <v>23.52</v>
      </c>
      <c r="T121" s="968">
        <v>25.405000000000001</v>
      </c>
      <c r="U121" s="972">
        <v>11.950000000000001</v>
      </c>
      <c r="V121" s="514"/>
      <c r="W121" s="972">
        <v>20.429999999999996</v>
      </c>
      <c r="X121" s="972">
        <v>4.09</v>
      </c>
      <c r="Y121" s="756"/>
      <c r="Z121" s="979">
        <v>13.574999999999999</v>
      </c>
      <c r="AA121" s="520"/>
      <c r="AB121" s="514"/>
      <c r="AC121" s="514"/>
      <c r="AD121" s="514"/>
      <c r="AE121" s="698"/>
      <c r="AF121" s="756"/>
      <c r="AG121" s="527"/>
      <c r="AH121" s="789"/>
      <c r="AI121" s="1030">
        <v>123.1</v>
      </c>
      <c r="AJ121" s="790"/>
      <c r="AK121" s="521">
        <v>0</v>
      </c>
      <c r="AL121" s="520">
        <v>123.1</v>
      </c>
      <c r="AM121" s="695" t="s">
        <v>1621</v>
      </c>
      <c r="AN121" s="669">
        <v>0</v>
      </c>
    </row>
    <row r="122" spans="1:40" s="500" customFormat="1">
      <c r="A122" s="539" t="s">
        <v>805</v>
      </c>
      <c r="B122" s="539" t="s">
        <v>1242</v>
      </c>
      <c r="C122" s="548" t="s">
        <v>37</v>
      </c>
      <c r="D122" s="743"/>
      <c r="E122" s="520"/>
      <c r="F122" s="520"/>
      <c r="G122" s="520"/>
      <c r="H122" s="520"/>
      <c r="J122" s="521"/>
      <c r="K122" s="725"/>
      <c r="L122" s="514"/>
      <c r="M122" s="520"/>
      <c r="N122" s="514"/>
      <c r="O122" s="514"/>
      <c r="P122" s="1006">
        <v>0.40500000000000003</v>
      </c>
      <c r="Q122" s="522"/>
      <c r="R122" s="745"/>
      <c r="S122" s="514"/>
      <c r="T122" s="968">
        <v>5.8800000000000008</v>
      </c>
      <c r="U122" s="514"/>
      <c r="V122" s="514"/>
      <c r="W122" s="972">
        <v>2.16</v>
      </c>
      <c r="X122" s="514"/>
      <c r="Y122" s="756"/>
      <c r="Z122" s="972">
        <v>3.38</v>
      </c>
      <c r="AA122" s="968">
        <v>4.7675000000000001</v>
      </c>
      <c r="AB122" s="1020">
        <v>10.26</v>
      </c>
      <c r="AC122" s="514"/>
      <c r="AD122" s="1020">
        <v>3.9000000000000004</v>
      </c>
      <c r="AE122" s="698"/>
      <c r="AF122" s="756"/>
      <c r="AG122" s="1022">
        <v>3.6875</v>
      </c>
      <c r="AH122" s="789"/>
      <c r="AI122" s="1030">
        <v>34.44</v>
      </c>
      <c r="AJ122" s="790"/>
      <c r="AK122" s="521">
        <v>0</v>
      </c>
      <c r="AL122" s="520">
        <v>34.44</v>
      </c>
      <c r="AM122" s="695" t="s">
        <v>1623</v>
      </c>
      <c r="AN122" s="669">
        <v>0</v>
      </c>
    </row>
    <row r="123" spans="1:40" s="500" customFormat="1">
      <c r="A123" s="539" t="s">
        <v>806</v>
      </c>
      <c r="B123" s="539" t="s">
        <v>1243</v>
      </c>
      <c r="C123" s="548" t="s">
        <v>37</v>
      </c>
      <c r="D123" s="743"/>
      <c r="E123" s="520"/>
      <c r="F123" s="520"/>
      <c r="G123" s="520"/>
      <c r="H123" s="520"/>
      <c r="J123" s="521"/>
      <c r="K123" s="725"/>
      <c r="L123" s="514"/>
      <c r="M123" s="520"/>
      <c r="N123" s="514"/>
      <c r="O123" s="514"/>
      <c r="P123" s="1006">
        <v>0.96</v>
      </c>
      <c r="Q123" s="522"/>
      <c r="R123" s="745"/>
      <c r="S123" s="514"/>
      <c r="T123" s="968">
        <v>15.07</v>
      </c>
      <c r="U123" s="514"/>
      <c r="V123" s="514"/>
      <c r="W123" s="514"/>
      <c r="X123" s="514"/>
      <c r="Y123" s="756"/>
      <c r="Z123" s="972">
        <v>0.84</v>
      </c>
      <c r="AA123" s="968">
        <v>2.44</v>
      </c>
      <c r="AB123" s="1020">
        <v>4.7</v>
      </c>
      <c r="AC123" s="514"/>
      <c r="AD123" s="1020">
        <v>0.71250000000000002</v>
      </c>
      <c r="AE123" s="698"/>
      <c r="AF123" s="756"/>
      <c r="AG123" s="1022">
        <v>5.6669999999999998</v>
      </c>
      <c r="AH123" s="789"/>
      <c r="AI123" s="1030">
        <v>30.39</v>
      </c>
      <c r="AJ123" s="790"/>
      <c r="AK123" s="521">
        <v>0</v>
      </c>
      <c r="AL123" s="520">
        <v>30.39</v>
      </c>
      <c r="AM123" s="695" t="s">
        <v>1624</v>
      </c>
      <c r="AN123" s="669">
        <v>0</v>
      </c>
    </row>
    <row r="124" spans="1:40" s="500" customFormat="1">
      <c r="A124" s="539" t="s">
        <v>808</v>
      </c>
      <c r="B124" s="539" t="s">
        <v>1245</v>
      </c>
      <c r="C124" s="548" t="s">
        <v>38</v>
      </c>
      <c r="D124" s="743"/>
      <c r="E124" s="520"/>
      <c r="F124" s="520"/>
      <c r="G124" s="520"/>
      <c r="H124" s="520"/>
      <c r="J124" s="521"/>
      <c r="K124" s="725"/>
      <c r="L124" s="514"/>
      <c r="M124" s="520"/>
      <c r="N124" s="514"/>
      <c r="O124" s="514"/>
      <c r="P124" s="1006">
        <v>11.120000000000001</v>
      </c>
      <c r="Q124" s="1006">
        <v>5</v>
      </c>
      <c r="R124" s="745"/>
      <c r="S124" s="1006">
        <v>7.5500000000000007</v>
      </c>
      <c r="T124" s="520"/>
      <c r="U124" s="972">
        <v>0.56999999999999995</v>
      </c>
      <c r="V124" s="514"/>
      <c r="W124" s="514"/>
      <c r="X124" s="522"/>
      <c r="Y124" s="756"/>
      <c r="Z124" s="514"/>
      <c r="AA124" s="520"/>
      <c r="AB124" s="514"/>
      <c r="AC124" s="514"/>
      <c r="AD124" s="514"/>
      <c r="AE124" s="698"/>
      <c r="AF124" s="756"/>
      <c r="AG124" s="527"/>
      <c r="AH124" s="789"/>
      <c r="AI124" s="1030">
        <v>24.24</v>
      </c>
      <c r="AJ124" s="790"/>
      <c r="AK124" s="521">
        <v>0</v>
      </c>
      <c r="AL124" s="520">
        <v>24.24</v>
      </c>
      <c r="AM124" s="695" t="s">
        <v>1626</v>
      </c>
      <c r="AN124" s="669">
        <v>44.14</v>
      </c>
    </row>
    <row r="125" spans="1:40" s="500" customFormat="1">
      <c r="A125" s="539" t="s">
        <v>809</v>
      </c>
      <c r="B125" s="539" t="s">
        <v>1246</v>
      </c>
      <c r="C125" s="548" t="s">
        <v>38</v>
      </c>
      <c r="D125" s="743"/>
      <c r="E125" s="520"/>
      <c r="F125" s="520"/>
      <c r="G125" s="520"/>
      <c r="H125" s="520"/>
      <c r="J125" s="971">
        <v>4.55</v>
      </c>
      <c r="K125" s="725"/>
      <c r="L125" s="514"/>
      <c r="M125" s="520"/>
      <c r="N125" s="514"/>
      <c r="O125" s="514"/>
      <c r="P125" s="514"/>
      <c r="Q125" s="1006">
        <v>8.8000000000000007</v>
      </c>
      <c r="R125" s="745"/>
      <c r="S125" s="514"/>
      <c r="T125" s="968">
        <v>11</v>
      </c>
      <c r="U125" s="972">
        <v>5.4</v>
      </c>
      <c r="V125" s="514"/>
      <c r="W125" s="972">
        <v>8.6</v>
      </c>
      <c r="X125" s="514"/>
      <c r="Y125" s="756"/>
      <c r="Z125" s="514"/>
      <c r="AA125" s="520"/>
      <c r="AB125" s="1020">
        <v>2</v>
      </c>
      <c r="AC125" s="514"/>
      <c r="AD125" s="1020">
        <v>87.97</v>
      </c>
      <c r="AE125" s="698"/>
      <c r="AF125" s="756"/>
      <c r="AG125" s="1022">
        <v>100</v>
      </c>
      <c r="AH125" s="789"/>
      <c r="AI125" s="1030">
        <v>228.32</v>
      </c>
      <c r="AJ125" s="790"/>
      <c r="AK125" s="521">
        <v>0</v>
      </c>
      <c r="AL125" s="520">
        <v>228.32</v>
      </c>
      <c r="AM125" s="695" t="s">
        <v>1627</v>
      </c>
      <c r="AN125" s="669">
        <v>0</v>
      </c>
    </row>
    <row r="126" spans="1:40" s="500" customFormat="1">
      <c r="A126" s="440" t="s">
        <v>475</v>
      </c>
      <c r="B126" s="543" t="s">
        <v>1284</v>
      </c>
      <c r="C126" s="616"/>
      <c r="D126" s="743"/>
      <c r="E126" s="520"/>
      <c r="F126" s="520"/>
      <c r="G126" s="520"/>
      <c r="H126" s="520"/>
      <c r="I126" s="521"/>
      <c r="J126" s="521"/>
      <c r="K126" s="725"/>
      <c r="L126" s="514"/>
      <c r="M126" s="520"/>
      <c r="N126" s="514"/>
      <c r="O126" s="514"/>
      <c r="P126" s="514"/>
      <c r="Q126" s="522"/>
      <c r="R126" s="745"/>
      <c r="S126" s="514"/>
      <c r="T126" s="520"/>
      <c r="U126" s="514"/>
      <c r="V126" s="514"/>
      <c r="W126" s="514"/>
      <c r="X126" s="514"/>
      <c r="Y126" s="756"/>
      <c r="Z126" s="514"/>
      <c r="AA126" s="520"/>
      <c r="AB126" s="514"/>
      <c r="AC126" s="514"/>
      <c r="AD126" s="514"/>
      <c r="AE126" s="698"/>
      <c r="AF126" s="756"/>
      <c r="AG126" s="527"/>
      <c r="AH126" s="789"/>
      <c r="AI126" s="664">
        <v>0</v>
      </c>
      <c r="AJ126" s="790"/>
      <c r="AK126" s="521">
        <v>0</v>
      </c>
      <c r="AL126" s="520">
        <v>0</v>
      </c>
      <c r="AM126" s="695"/>
      <c r="AN126" s="669">
        <v>0</v>
      </c>
    </row>
    <row r="127" spans="1:40" s="500" customFormat="1">
      <c r="A127" s="542" t="s">
        <v>476</v>
      </c>
      <c r="B127" s="542" t="s">
        <v>1236</v>
      </c>
      <c r="C127" s="616"/>
      <c r="D127" s="743"/>
      <c r="E127" s="520"/>
      <c r="F127" s="520"/>
      <c r="G127" s="520"/>
      <c r="H127" s="520"/>
      <c r="I127" s="521"/>
      <c r="J127" s="521"/>
      <c r="K127" s="725"/>
      <c r="L127" s="514"/>
      <c r="M127" s="520"/>
      <c r="N127" s="514"/>
      <c r="O127" s="514"/>
      <c r="P127" s="514"/>
      <c r="Q127" s="522"/>
      <c r="R127" s="745"/>
      <c r="S127" s="514"/>
      <c r="T127" s="520"/>
      <c r="U127" s="514"/>
      <c r="V127" s="514"/>
      <c r="W127" s="514"/>
      <c r="X127" s="514"/>
      <c r="Y127" s="756"/>
      <c r="Z127" s="514"/>
      <c r="AA127" s="520"/>
      <c r="AB127" s="514"/>
      <c r="AC127" s="514"/>
      <c r="AD127" s="514"/>
      <c r="AE127" s="698"/>
      <c r="AF127" s="756"/>
      <c r="AG127" s="527"/>
      <c r="AH127" s="789"/>
      <c r="AI127" s="664">
        <v>0</v>
      </c>
      <c r="AJ127" s="790"/>
      <c r="AK127" s="521">
        <v>0</v>
      </c>
      <c r="AL127" s="520">
        <v>0</v>
      </c>
      <c r="AM127" s="695"/>
      <c r="AN127" s="669">
        <v>0</v>
      </c>
    </row>
    <row r="128" spans="1:40" s="500" customFormat="1">
      <c r="A128" s="539" t="s">
        <v>842</v>
      </c>
      <c r="B128" s="539" t="s">
        <v>1237</v>
      </c>
      <c r="C128" s="548" t="s">
        <v>37</v>
      </c>
      <c r="D128" s="743"/>
      <c r="E128" s="520"/>
      <c r="F128" s="520"/>
      <c r="G128" s="520"/>
      <c r="H128" s="520"/>
      <c r="I128" s="521"/>
      <c r="J128" s="520"/>
      <c r="K128" s="725"/>
      <c r="L128" s="522"/>
      <c r="M128" s="520"/>
      <c r="N128" s="972">
        <v>24.240000000000002</v>
      </c>
      <c r="O128" s="522"/>
      <c r="P128" s="514"/>
      <c r="Q128" s="522"/>
      <c r="R128" s="745"/>
      <c r="S128" s="514"/>
      <c r="T128" s="520"/>
      <c r="U128" s="514"/>
      <c r="V128" s="514"/>
      <c r="W128" s="514"/>
      <c r="X128" s="514"/>
      <c r="Y128" s="756"/>
      <c r="Z128" s="514"/>
      <c r="AA128" s="520"/>
      <c r="AB128" s="514"/>
      <c r="AC128" s="514"/>
      <c r="AD128" s="514"/>
      <c r="AE128" s="698"/>
      <c r="AF128" s="756"/>
      <c r="AG128" s="527"/>
      <c r="AH128" s="789"/>
      <c r="AI128" s="1030">
        <v>24.24</v>
      </c>
      <c r="AJ128" s="790"/>
      <c r="AK128" s="521">
        <v>0</v>
      </c>
      <c r="AL128" s="520">
        <v>24.24</v>
      </c>
      <c r="AM128" s="695" t="s">
        <v>1646</v>
      </c>
      <c r="AN128" s="669">
        <v>49.350000000000009</v>
      </c>
    </row>
    <row r="129" spans="1:40" s="500" customFormat="1">
      <c r="A129" s="542" t="s">
        <v>477</v>
      </c>
      <c r="B129" s="542" t="s">
        <v>1239</v>
      </c>
      <c r="C129" s="616"/>
      <c r="D129" s="743"/>
      <c r="E129" s="520"/>
      <c r="F129" s="520"/>
      <c r="G129" s="520"/>
      <c r="H129" s="520"/>
      <c r="I129" s="521"/>
      <c r="J129" s="521"/>
      <c r="K129" s="725"/>
      <c r="L129" s="514"/>
      <c r="M129" s="520"/>
      <c r="N129" s="514"/>
      <c r="O129" s="514"/>
      <c r="P129" s="514"/>
      <c r="Q129" s="522"/>
      <c r="R129" s="745"/>
      <c r="S129" s="514"/>
      <c r="T129" s="520"/>
      <c r="U129" s="514"/>
      <c r="V129" s="514"/>
      <c r="W129" s="514"/>
      <c r="X129" s="514"/>
      <c r="Y129" s="756"/>
      <c r="Z129" s="514"/>
      <c r="AA129" s="520"/>
      <c r="AB129" s="514"/>
      <c r="AC129" s="514"/>
      <c r="AD129" s="514"/>
      <c r="AE129" s="698"/>
      <c r="AF129" s="756"/>
      <c r="AG129" s="527"/>
      <c r="AH129" s="789"/>
      <c r="AI129" s="664">
        <v>0</v>
      </c>
      <c r="AJ129" s="790"/>
      <c r="AK129" s="521">
        <v>0</v>
      </c>
      <c r="AL129" s="520">
        <v>0</v>
      </c>
      <c r="AM129" s="695"/>
      <c r="AN129" s="669">
        <v>0</v>
      </c>
    </row>
    <row r="130" spans="1:40" s="500" customFormat="1">
      <c r="A130" s="539" t="s">
        <v>844</v>
      </c>
      <c r="B130" s="539" t="s">
        <v>1240</v>
      </c>
      <c r="C130" s="548" t="s">
        <v>37</v>
      </c>
      <c r="D130" s="743"/>
      <c r="E130" s="520"/>
      <c r="F130" s="520"/>
      <c r="G130" s="520"/>
      <c r="H130" s="965">
        <v>12.967500000000001</v>
      </c>
      <c r="I130" s="971">
        <v>17.100000000000001</v>
      </c>
      <c r="J130" s="521"/>
      <c r="K130" s="725"/>
      <c r="L130" s="514"/>
      <c r="M130" s="968">
        <v>17.28</v>
      </c>
      <c r="N130" s="1006">
        <v>19.95</v>
      </c>
      <c r="O130" s="1006">
        <v>10.968999999999999</v>
      </c>
      <c r="P130" s="514"/>
      <c r="Q130" s="522"/>
      <c r="R130" s="745"/>
      <c r="S130" s="514"/>
      <c r="T130" s="520"/>
      <c r="U130" s="514"/>
      <c r="V130" s="514"/>
      <c r="W130" s="514"/>
      <c r="Y130" s="756"/>
      <c r="Z130" s="514"/>
      <c r="AA130" s="520"/>
      <c r="AB130" s="514"/>
      <c r="AC130" s="514"/>
      <c r="AD130" s="514"/>
      <c r="AE130" s="522"/>
      <c r="AF130" s="756"/>
      <c r="AG130" s="527"/>
      <c r="AH130" s="789"/>
      <c r="AI130" s="1030">
        <v>78.27</v>
      </c>
      <c r="AJ130" s="790"/>
      <c r="AK130" s="521">
        <v>0</v>
      </c>
      <c r="AL130" s="520">
        <v>78.27</v>
      </c>
      <c r="AM130" s="695" t="s">
        <v>1648</v>
      </c>
      <c r="AN130" s="669">
        <v>21.72</v>
      </c>
    </row>
    <row r="131" spans="1:40" s="500" customFormat="1">
      <c r="A131" s="539" t="s">
        <v>846</v>
      </c>
      <c r="B131" s="539" t="s">
        <v>1242</v>
      </c>
      <c r="C131" s="548" t="s">
        <v>37</v>
      </c>
      <c r="D131" s="743"/>
      <c r="E131" s="520"/>
      <c r="F131" s="520"/>
      <c r="G131" s="520"/>
      <c r="H131" s="965">
        <v>15.7</v>
      </c>
      <c r="I131" s="521"/>
      <c r="J131" s="521"/>
      <c r="K131" s="725"/>
      <c r="L131" s="514"/>
      <c r="M131" s="520"/>
      <c r="N131" s="514"/>
      <c r="O131" s="514"/>
      <c r="P131" s="514"/>
      <c r="Q131" s="522"/>
      <c r="R131" s="745"/>
      <c r="S131" s="514"/>
      <c r="T131" s="520"/>
      <c r="U131" s="514"/>
      <c r="V131" s="972">
        <v>12.205</v>
      </c>
      <c r="W131" s="514"/>
      <c r="X131" s="514"/>
      <c r="Y131" s="756"/>
      <c r="Z131" s="514"/>
      <c r="AA131" s="520"/>
      <c r="AB131" s="514"/>
      <c r="AC131" s="514"/>
      <c r="AD131" s="514"/>
      <c r="AE131" s="698"/>
      <c r="AF131" s="756"/>
      <c r="AG131" s="527"/>
      <c r="AH131" s="789"/>
      <c r="AI131" s="1030">
        <v>27.91</v>
      </c>
      <c r="AJ131" s="790"/>
      <c r="AK131" s="521">
        <v>0</v>
      </c>
      <c r="AL131" s="520">
        <v>27.91</v>
      </c>
      <c r="AM131" s="695" t="s">
        <v>1650</v>
      </c>
      <c r="AN131" s="669">
        <v>5.6900000000000013</v>
      </c>
    </row>
    <row r="132" spans="1:40" s="500" customFormat="1">
      <c r="A132" s="539" t="s">
        <v>847</v>
      </c>
      <c r="B132" s="539" t="s">
        <v>1243</v>
      </c>
      <c r="C132" s="548" t="s">
        <v>37</v>
      </c>
      <c r="D132" s="743"/>
      <c r="E132" s="520"/>
      <c r="F132" s="520"/>
      <c r="G132" s="520"/>
      <c r="H132" s="965">
        <v>15.7</v>
      </c>
      <c r="I132" s="521"/>
      <c r="J132" s="521"/>
      <c r="K132" s="725"/>
      <c r="L132" s="514"/>
      <c r="M132" s="520"/>
      <c r="N132" s="514"/>
      <c r="O132" s="514"/>
      <c r="P132" s="514"/>
      <c r="Q132" s="522"/>
      <c r="R132" s="745"/>
      <c r="S132" s="514"/>
      <c r="T132" s="520"/>
      <c r="U132" s="514"/>
      <c r="V132" s="972">
        <v>10.077999999999999</v>
      </c>
      <c r="W132" s="514"/>
      <c r="X132" s="514"/>
      <c r="Y132" s="756"/>
      <c r="Z132" s="514"/>
      <c r="AA132" s="520"/>
      <c r="AB132" s="514"/>
      <c r="AC132" s="514"/>
      <c r="AD132" s="514"/>
      <c r="AE132" s="698"/>
      <c r="AF132" s="756"/>
      <c r="AG132" s="527"/>
      <c r="AH132" s="789"/>
      <c r="AI132" s="1030">
        <v>25.78</v>
      </c>
      <c r="AJ132" s="790"/>
      <c r="AK132" s="521">
        <v>0</v>
      </c>
      <c r="AL132" s="520">
        <v>25.78</v>
      </c>
      <c r="AM132" s="695" t="s">
        <v>1651</v>
      </c>
      <c r="AN132" s="669">
        <v>1.6400000000000006</v>
      </c>
    </row>
    <row r="133" spans="1:40" s="500" customFormat="1">
      <c r="A133" s="539" t="s">
        <v>849</v>
      </c>
      <c r="B133" s="539" t="s">
        <v>1245</v>
      </c>
      <c r="C133" s="548" t="s">
        <v>38</v>
      </c>
      <c r="D133" s="743"/>
      <c r="E133" s="520"/>
      <c r="F133" s="520"/>
      <c r="G133" s="520"/>
      <c r="H133" s="520"/>
      <c r="I133" s="521"/>
      <c r="J133" s="521"/>
      <c r="K133" s="725"/>
      <c r="L133" s="972">
        <v>0.22</v>
      </c>
      <c r="M133" s="520"/>
      <c r="N133" s="514"/>
      <c r="O133" s="514"/>
      <c r="P133" s="514"/>
      <c r="Q133" s="522"/>
      <c r="R133" s="745"/>
      <c r="S133" s="514"/>
      <c r="T133" s="520"/>
      <c r="U133" s="514"/>
      <c r="V133" s="514"/>
      <c r="W133" s="514"/>
      <c r="X133" s="514"/>
      <c r="Y133" s="756"/>
      <c r="Z133" s="514"/>
      <c r="AA133" s="520"/>
      <c r="AB133" s="757"/>
      <c r="AC133" s="522"/>
      <c r="AD133" s="522"/>
      <c r="AE133" s="698"/>
      <c r="AF133" s="756"/>
      <c r="AG133" s="527"/>
      <c r="AH133" s="789"/>
      <c r="AI133" s="1030">
        <v>0.22</v>
      </c>
      <c r="AJ133" s="790"/>
      <c r="AK133" s="521">
        <v>0</v>
      </c>
      <c r="AL133" s="520">
        <v>0.22</v>
      </c>
      <c r="AM133" s="695" t="s">
        <v>1653</v>
      </c>
      <c r="AN133" s="669">
        <v>79.8</v>
      </c>
    </row>
    <row r="134" spans="1:40" s="500" customFormat="1">
      <c r="A134" s="539" t="s">
        <v>850</v>
      </c>
      <c r="B134" s="539" t="s">
        <v>1246</v>
      </c>
      <c r="C134" s="548" t="s">
        <v>38</v>
      </c>
      <c r="D134" s="743"/>
      <c r="E134" s="520"/>
      <c r="F134" s="520"/>
      <c r="G134" s="520"/>
      <c r="H134" s="965">
        <v>23.85</v>
      </c>
      <c r="I134" s="971">
        <v>18</v>
      </c>
      <c r="J134" s="521"/>
      <c r="K134" s="725"/>
      <c r="L134" s="514"/>
      <c r="M134" s="520"/>
      <c r="N134" s="514"/>
      <c r="O134" s="1006">
        <v>10.45</v>
      </c>
      <c r="P134" s="514"/>
      <c r="Q134" s="522"/>
      <c r="R134" s="745"/>
      <c r="S134" s="514"/>
      <c r="T134" s="520"/>
      <c r="U134" s="514"/>
      <c r="V134" s="514"/>
      <c r="W134" s="514"/>
      <c r="X134" s="514"/>
      <c r="Y134" s="756"/>
      <c r="Z134" s="514"/>
      <c r="AA134" s="520"/>
      <c r="AB134" s="514"/>
      <c r="AC134" s="514"/>
      <c r="AD134" s="514"/>
      <c r="AE134" s="1024">
        <v>175.02</v>
      </c>
      <c r="AF134" s="756"/>
      <c r="AG134" s="527"/>
      <c r="AH134" s="789"/>
      <c r="AI134" s="1030">
        <v>227.32</v>
      </c>
      <c r="AJ134" s="790"/>
      <c r="AK134" s="521">
        <v>0</v>
      </c>
      <c r="AL134" s="520">
        <v>227.32</v>
      </c>
      <c r="AM134" s="695" t="s">
        <v>1654</v>
      </c>
      <c r="AN134" s="669">
        <v>18.200000000000017</v>
      </c>
    </row>
    <row r="135" spans="1:40" s="500" customFormat="1">
      <c r="A135" s="542" t="s">
        <v>478</v>
      </c>
      <c r="B135" s="542" t="s">
        <v>1247</v>
      </c>
      <c r="C135" s="616"/>
      <c r="D135" s="743"/>
      <c r="E135" s="520"/>
      <c r="F135" s="520"/>
      <c r="G135" s="520"/>
      <c r="H135" s="520"/>
      <c r="I135" s="521"/>
      <c r="J135" s="521"/>
      <c r="K135" s="725"/>
      <c r="L135" s="514"/>
      <c r="M135" s="520"/>
      <c r="N135" s="514"/>
      <c r="O135" s="514"/>
      <c r="P135" s="514"/>
      <c r="Q135" s="522"/>
      <c r="R135" s="745"/>
      <c r="S135" s="514"/>
      <c r="T135" s="520"/>
      <c r="U135" s="514"/>
      <c r="V135" s="514"/>
      <c r="W135" s="514"/>
      <c r="X135" s="514"/>
      <c r="Y135" s="756"/>
      <c r="Z135" s="514"/>
      <c r="AA135" s="520"/>
      <c r="AB135" s="514"/>
      <c r="AC135" s="514"/>
      <c r="AD135" s="514"/>
      <c r="AE135" s="698"/>
      <c r="AF135" s="756"/>
      <c r="AG135" s="527"/>
      <c r="AH135" s="789"/>
      <c r="AI135" s="664">
        <v>0</v>
      </c>
      <c r="AJ135" s="790"/>
      <c r="AK135" s="521">
        <v>0</v>
      </c>
      <c r="AL135" s="520">
        <v>0</v>
      </c>
      <c r="AM135" s="695"/>
      <c r="AN135" s="669">
        <v>0</v>
      </c>
    </row>
    <row r="136" spans="1:40" s="500" customFormat="1">
      <c r="A136" s="539" t="s">
        <v>851</v>
      </c>
      <c r="B136" s="539" t="s">
        <v>1248</v>
      </c>
      <c r="C136" s="548" t="s">
        <v>37</v>
      </c>
      <c r="D136" s="743"/>
      <c r="E136" s="968">
        <v>8.4599999999999991</v>
      </c>
      <c r="F136" s="968">
        <v>9.2999999999999989</v>
      </c>
      <c r="G136" s="1003">
        <v>0.53939999999999999</v>
      </c>
      <c r="H136" s="520"/>
      <c r="I136" s="521"/>
      <c r="J136" s="521"/>
      <c r="K136" s="725"/>
      <c r="L136" s="514"/>
      <c r="M136" s="520"/>
      <c r="N136" s="514"/>
      <c r="O136" s="514"/>
      <c r="P136" s="514"/>
      <c r="Q136" s="522"/>
      <c r="R136" s="745"/>
      <c r="S136" s="514"/>
      <c r="T136" s="520"/>
      <c r="U136" s="514"/>
      <c r="V136" s="514"/>
      <c r="W136" s="514"/>
      <c r="X136" s="514"/>
      <c r="Y136" s="745"/>
      <c r="Z136" s="514"/>
      <c r="AA136" s="520"/>
      <c r="AB136" s="522"/>
      <c r="AC136" s="522"/>
      <c r="AD136" s="522"/>
      <c r="AE136" s="698"/>
      <c r="AF136" s="745"/>
      <c r="AG136" s="521"/>
      <c r="AH136" s="789"/>
      <c r="AI136" s="1030">
        <v>18.3</v>
      </c>
      <c r="AJ136" s="790"/>
      <c r="AK136" s="521">
        <v>0</v>
      </c>
      <c r="AL136" s="520">
        <v>18.3</v>
      </c>
      <c r="AM136" s="695" t="s">
        <v>1655</v>
      </c>
      <c r="AN136" s="669">
        <v>47.620000000000005</v>
      </c>
    </row>
    <row r="137" spans="1:40" s="500" customFormat="1">
      <c r="A137" s="440" t="s">
        <v>484</v>
      </c>
      <c r="B137" s="543" t="s">
        <v>1155</v>
      </c>
      <c r="C137" s="616"/>
      <c r="D137" s="743"/>
      <c r="E137" s="520"/>
      <c r="F137" s="520"/>
      <c r="G137" s="520"/>
      <c r="H137" s="520"/>
      <c r="I137" s="521"/>
      <c r="J137" s="521"/>
      <c r="K137" s="725"/>
      <c r="L137" s="514"/>
      <c r="M137" s="520"/>
      <c r="N137" s="514"/>
      <c r="O137" s="514"/>
      <c r="P137" s="514"/>
      <c r="Q137" s="522"/>
      <c r="R137" s="745"/>
      <c r="S137" s="514"/>
      <c r="T137" s="520"/>
      <c r="U137" s="514"/>
      <c r="V137" s="514"/>
      <c r="W137" s="514"/>
      <c r="X137" s="514"/>
      <c r="Y137" s="756"/>
      <c r="Z137" s="514"/>
      <c r="AA137" s="520"/>
      <c r="AB137" s="514"/>
      <c r="AC137" s="514"/>
      <c r="AD137" s="514"/>
      <c r="AE137" s="698"/>
      <c r="AF137" s="756"/>
      <c r="AG137" s="527"/>
      <c r="AH137" s="789"/>
      <c r="AI137" s="664">
        <v>0</v>
      </c>
      <c r="AJ137" s="790"/>
      <c r="AK137" s="521">
        <v>0</v>
      </c>
      <c r="AL137" s="520">
        <v>0</v>
      </c>
      <c r="AM137" s="695"/>
      <c r="AN137" s="669">
        <v>0</v>
      </c>
    </row>
    <row r="138" spans="1:40" s="500" customFormat="1">
      <c r="A138" s="542" t="s">
        <v>485</v>
      </c>
      <c r="B138" s="542" t="s">
        <v>1236</v>
      </c>
      <c r="C138" s="616"/>
      <c r="D138" s="743"/>
      <c r="E138" s="520"/>
      <c r="F138" s="520"/>
      <c r="G138" s="520"/>
      <c r="H138" s="520"/>
      <c r="I138" s="521"/>
      <c r="J138" s="521"/>
      <c r="K138" s="725"/>
      <c r="L138" s="514"/>
      <c r="M138" s="520"/>
      <c r="N138" s="514"/>
      <c r="O138" s="514"/>
      <c r="P138" s="514"/>
      <c r="Q138" s="522"/>
      <c r="R138" s="745"/>
      <c r="S138" s="514"/>
      <c r="T138" s="520"/>
      <c r="U138" s="514"/>
      <c r="V138" s="514"/>
      <c r="W138" s="514"/>
      <c r="X138" s="514"/>
      <c r="Y138" s="756"/>
      <c r="Z138" s="514"/>
      <c r="AA138" s="520"/>
      <c r="AB138" s="514"/>
      <c r="AC138" s="514"/>
      <c r="AD138" s="514"/>
      <c r="AE138" s="698"/>
      <c r="AF138" s="756"/>
      <c r="AG138" s="527"/>
      <c r="AH138" s="789"/>
      <c r="AI138" s="664">
        <v>0</v>
      </c>
      <c r="AJ138" s="790"/>
      <c r="AK138" s="521">
        <v>0</v>
      </c>
      <c r="AL138" s="520">
        <v>0</v>
      </c>
      <c r="AM138" s="695"/>
      <c r="AN138" s="669">
        <v>0</v>
      </c>
    </row>
    <row r="139" spans="1:40" s="500" customFormat="1">
      <c r="A139" s="539" t="s">
        <v>887</v>
      </c>
      <c r="B139" s="539" t="s">
        <v>1237</v>
      </c>
      <c r="C139" s="548" t="s">
        <v>37</v>
      </c>
      <c r="D139" s="743"/>
      <c r="E139" s="520"/>
      <c r="F139" s="520"/>
      <c r="G139" s="520"/>
      <c r="H139" s="520"/>
      <c r="I139" s="521"/>
      <c r="J139" s="521"/>
      <c r="K139" s="725"/>
      <c r="L139" s="972">
        <v>2.6</v>
      </c>
      <c r="M139" s="968">
        <v>6.84</v>
      </c>
      <c r="N139" s="514"/>
      <c r="O139" s="1006">
        <v>4.870000000000001</v>
      </c>
      <c r="P139" s="1006">
        <v>9.0309999999999988</v>
      </c>
      <c r="Q139" s="522"/>
      <c r="R139" s="745"/>
      <c r="S139" s="514"/>
      <c r="T139" s="520"/>
      <c r="U139" s="972">
        <v>9.1999999999999993</v>
      </c>
      <c r="V139" s="514"/>
      <c r="W139" s="514"/>
      <c r="X139" s="514"/>
      <c r="Y139" s="756"/>
      <c r="Z139" s="514"/>
      <c r="AA139" s="520"/>
      <c r="AB139" s="514"/>
      <c r="AC139" s="514"/>
      <c r="AD139" s="514"/>
      <c r="AE139" s="698"/>
      <c r="AF139" s="756"/>
      <c r="AG139" s="527"/>
      <c r="AH139" s="789"/>
      <c r="AI139" s="1030">
        <v>32.54</v>
      </c>
      <c r="AJ139" s="790"/>
      <c r="AK139" s="521">
        <v>0</v>
      </c>
      <c r="AL139" s="520">
        <v>32.54</v>
      </c>
      <c r="AM139" s="695" t="s">
        <v>1677</v>
      </c>
      <c r="AN139" s="669">
        <v>13.21</v>
      </c>
    </row>
    <row r="140" spans="1:40" s="500" customFormat="1">
      <c r="A140" s="542" t="s">
        <v>486</v>
      </c>
      <c r="B140" s="542" t="s">
        <v>1239</v>
      </c>
      <c r="C140" s="616"/>
      <c r="D140" s="743"/>
      <c r="E140" s="520"/>
      <c r="F140" s="520"/>
      <c r="G140" s="520"/>
      <c r="H140" s="520"/>
      <c r="I140" s="521"/>
      <c r="J140" s="521"/>
      <c r="K140" s="725"/>
      <c r="L140" s="514"/>
      <c r="M140" s="520"/>
      <c r="N140" s="514"/>
      <c r="O140" s="514"/>
      <c r="P140" s="514"/>
      <c r="Q140" s="522"/>
      <c r="R140" s="745"/>
      <c r="S140" s="514"/>
      <c r="T140" s="520"/>
      <c r="U140" s="514"/>
      <c r="V140" s="514"/>
      <c r="W140" s="514"/>
      <c r="X140" s="514"/>
      <c r="Y140" s="756"/>
      <c r="Z140" s="514"/>
      <c r="AA140" s="520"/>
      <c r="AB140" s="514"/>
      <c r="AC140" s="514"/>
      <c r="AD140" s="514"/>
      <c r="AE140" s="698"/>
      <c r="AF140" s="756"/>
      <c r="AG140" s="527"/>
      <c r="AH140" s="789"/>
      <c r="AI140" s="664">
        <v>0</v>
      </c>
      <c r="AJ140" s="790"/>
      <c r="AK140" s="521">
        <v>0</v>
      </c>
      <c r="AL140" s="520">
        <v>0</v>
      </c>
      <c r="AM140" s="695"/>
      <c r="AN140" s="669">
        <v>0</v>
      </c>
    </row>
    <row r="141" spans="1:40" s="500" customFormat="1">
      <c r="A141" s="539" t="s">
        <v>892</v>
      </c>
      <c r="B141" s="539" t="s">
        <v>1243</v>
      </c>
      <c r="C141" s="548" t="s">
        <v>37</v>
      </c>
      <c r="D141" s="743"/>
      <c r="E141" s="520"/>
      <c r="F141" s="520"/>
      <c r="G141" s="520"/>
      <c r="H141" s="520"/>
      <c r="I141" s="521"/>
      <c r="J141" s="521"/>
      <c r="K141" s="725"/>
      <c r="L141" s="514"/>
      <c r="M141" s="520"/>
      <c r="N141" s="514"/>
      <c r="O141" s="514"/>
      <c r="P141" s="514"/>
      <c r="Q141" s="522"/>
      <c r="R141" s="745"/>
      <c r="S141" s="514"/>
      <c r="T141" s="520"/>
      <c r="U141" s="514"/>
      <c r="V141" s="514"/>
      <c r="W141" s="514"/>
      <c r="X141" s="514"/>
      <c r="Y141" s="756"/>
      <c r="Z141" s="514"/>
      <c r="AA141" s="520"/>
      <c r="AB141" s="514"/>
      <c r="AC141" s="514"/>
      <c r="AD141" s="514"/>
      <c r="AE141" s="698"/>
      <c r="AF141" s="756"/>
      <c r="AG141" s="1022">
        <v>3.3</v>
      </c>
      <c r="AH141" s="789"/>
      <c r="AI141" s="1030">
        <v>3.3</v>
      </c>
      <c r="AJ141" s="790"/>
      <c r="AK141" s="521">
        <v>0</v>
      </c>
      <c r="AL141" s="520">
        <v>3.3</v>
      </c>
      <c r="AM141" s="695" t="s">
        <v>1681</v>
      </c>
      <c r="AN141" s="669">
        <v>21.57</v>
      </c>
    </row>
    <row r="142" spans="1:40" s="500" customFormat="1">
      <c r="A142" s="542" t="s">
        <v>487</v>
      </c>
      <c r="B142" s="542" t="s">
        <v>1247</v>
      </c>
      <c r="C142" s="616"/>
      <c r="D142" s="743"/>
      <c r="E142" s="520"/>
      <c r="F142" s="520"/>
      <c r="G142" s="520"/>
      <c r="H142" s="520"/>
      <c r="I142" s="521"/>
      <c r="J142" s="521"/>
      <c r="K142" s="725"/>
      <c r="L142" s="514"/>
      <c r="M142" s="520"/>
      <c r="N142" s="514"/>
      <c r="O142" s="514"/>
      <c r="P142" s="514"/>
      <c r="Q142" s="522"/>
      <c r="R142" s="745"/>
      <c r="S142" s="514"/>
      <c r="T142" s="520"/>
      <c r="U142" s="514"/>
      <c r="V142" s="514"/>
      <c r="W142" s="514"/>
      <c r="X142" s="514"/>
      <c r="Y142" s="756"/>
      <c r="Z142" s="514"/>
      <c r="AA142" s="520"/>
      <c r="AB142" s="514"/>
      <c r="AC142" s="514"/>
      <c r="AD142" s="514"/>
      <c r="AE142" s="698"/>
      <c r="AF142" s="756"/>
      <c r="AG142" s="527"/>
      <c r="AH142" s="789"/>
      <c r="AI142" s="664">
        <v>0</v>
      </c>
      <c r="AJ142" s="790"/>
      <c r="AK142" s="521">
        <v>0</v>
      </c>
      <c r="AL142" s="520">
        <v>0</v>
      </c>
      <c r="AM142" s="695"/>
      <c r="AN142" s="669">
        <v>0</v>
      </c>
    </row>
    <row r="143" spans="1:40" s="500" customFormat="1">
      <c r="A143" s="539" t="s">
        <v>896</v>
      </c>
      <c r="B143" s="539" t="s">
        <v>1248</v>
      </c>
      <c r="C143" s="548" t="s">
        <v>37</v>
      </c>
      <c r="D143" s="743"/>
      <c r="E143" s="520"/>
      <c r="F143" s="520"/>
      <c r="G143" s="520"/>
      <c r="H143" s="520"/>
      <c r="I143" s="521"/>
      <c r="J143" s="521"/>
      <c r="K143" s="725"/>
      <c r="L143" s="514"/>
      <c r="M143" s="520"/>
      <c r="N143" s="514"/>
      <c r="O143" s="514"/>
      <c r="P143" s="514"/>
      <c r="Q143" s="522"/>
      <c r="R143" s="745"/>
      <c r="S143" s="514"/>
      <c r="T143" s="520"/>
      <c r="U143" s="514"/>
      <c r="V143" s="514"/>
      <c r="W143" s="514"/>
      <c r="X143" s="514"/>
      <c r="Y143" s="756"/>
      <c r="Z143" s="514"/>
      <c r="AA143" s="520"/>
      <c r="AB143" s="1020">
        <v>7.0200000000000005</v>
      </c>
      <c r="AC143" s="1020">
        <v>7.0200000000000005</v>
      </c>
      <c r="AD143" s="1020">
        <v>14.040000000000001</v>
      </c>
      <c r="AE143" s="698"/>
      <c r="AF143" s="756"/>
      <c r="AG143" s="527"/>
      <c r="AH143" s="789"/>
      <c r="AI143" s="1030">
        <v>28.08</v>
      </c>
      <c r="AJ143" s="790"/>
      <c r="AK143" s="521">
        <v>0</v>
      </c>
      <c r="AL143" s="520">
        <v>28.08</v>
      </c>
      <c r="AM143" s="695" t="s">
        <v>1685</v>
      </c>
      <c r="AN143" s="669">
        <v>10.160000000000004</v>
      </c>
    </row>
    <row r="144" spans="1:40" s="500" customFormat="1">
      <c r="A144" s="440" t="s">
        <v>518</v>
      </c>
      <c r="B144" s="543" t="s">
        <v>1297</v>
      </c>
      <c r="C144" s="616"/>
      <c r="D144" s="743"/>
      <c r="E144" s="520"/>
      <c r="F144" s="520"/>
      <c r="G144" s="520"/>
      <c r="H144" s="520"/>
      <c r="I144" s="521"/>
      <c r="J144" s="521"/>
      <c r="K144" s="725"/>
      <c r="L144" s="514"/>
      <c r="M144" s="520"/>
      <c r="N144" s="514"/>
      <c r="O144" s="514"/>
      <c r="P144" s="514"/>
      <c r="Q144" s="522"/>
      <c r="R144" s="745"/>
      <c r="S144" s="514"/>
      <c r="T144" s="520"/>
      <c r="U144" s="514"/>
      <c r="V144" s="514"/>
      <c r="W144" s="514"/>
      <c r="X144" s="514"/>
      <c r="Y144" s="756"/>
      <c r="Z144" s="514"/>
      <c r="AA144" s="520"/>
      <c r="AB144" s="514"/>
      <c r="AC144" s="514"/>
      <c r="AD144" s="514"/>
      <c r="AE144" s="698"/>
      <c r="AF144" s="756"/>
      <c r="AG144" s="527"/>
      <c r="AH144" s="789"/>
      <c r="AI144" s="664">
        <v>0</v>
      </c>
      <c r="AJ144" s="790"/>
      <c r="AK144" s="521">
        <v>0</v>
      </c>
      <c r="AL144" s="520">
        <v>0</v>
      </c>
      <c r="AM144" s="695"/>
      <c r="AN144" s="669">
        <v>0</v>
      </c>
    </row>
    <row r="145" spans="1:40" s="500" customFormat="1">
      <c r="A145" s="542" t="s">
        <v>519</v>
      </c>
      <c r="B145" s="542" t="s">
        <v>1236</v>
      </c>
      <c r="C145" s="616"/>
      <c r="D145" s="743"/>
      <c r="E145" s="520"/>
      <c r="F145" s="520"/>
      <c r="G145" s="520"/>
      <c r="H145" s="520"/>
      <c r="I145" s="521"/>
      <c r="J145" s="521"/>
      <c r="K145" s="725"/>
      <c r="L145" s="514"/>
      <c r="M145" s="520"/>
      <c r="N145" s="514"/>
      <c r="O145" s="514"/>
      <c r="P145" s="514"/>
      <c r="Q145" s="522"/>
      <c r="R145" s="745"/>
      <c r="S145" s="514"/>
      <c r="T145" s="520"/>
      <c r="U145" s="514"/>
      <c r="V145" s="514"/>
      <c r="W145" s="514"/>
      <c r="X145" s="514"/>
      <c r="Y145" s="756"/>
      <c r="Z145" s="514"/>
      <c r="AA145" s="520"/>
      <c r="AB145" s="514"/>
      <c r="AC145" s="514"/>
      <c r="AD145" s="514"/>
      <c r="AE145" s="698"/>
      <c r="AF145" s="756"/>
      <c r="AG145" s="527"/>
      <c r="AH145" s="789"/>
      <c r="AI145" s="664">
        <v>0</v>
      </c>
      <c r="AJ145" s="790"/>
      <c r="AK145" s="521">
        <v>0</v>
      </c>
      <c r="AL145" s="520">
        <v>0</v>
      </c>
      <c r="AM145" s="695"/>
      <c r="AN145" s="669">
        <v>0</v>
      </c>
    </row>
    <row r="146" spans="1:40" s="500" customFormat="1">
      <c r="A146" s="539" t="s">
        <v>520</v>
      </c>
      <c r="B146" s="539" t="s">
        <v>1237</v>
      </c>
      <c r="C146" s="548" t="s">
        <v>37</v>
      </c>
      <c r="D146" s="743"/>
      <c r="E146" s="520"/>
      <c r="F146" s="520"/>
      <c r="G146" s="520"/>
      <c r="H146" s="520"/>
      <c r="I146" s="521"/>
      <c r="J146" s="521"/>
      <c r="K146" s="725"/>
      <c r="L146" s="514"/>
      <c r="M146" s="520"/>
      <c r="N146" s="514"/>
      <c r="O146" s="514"/>
      <c r="P146" s="514"/>
      <c r="Q146" s="522"/>
      <c r="R146" s="745"/>
      <c r="S146" s="514"/>
      <c r="T146" s="520"/>
      <c r="U146" s="972">
        <v>10.799999999999999</v>
      </c>
      <c r="V146" s="972">
        <v>13.71</v>
      </c>
      <c r="W146" s="972">
        <v>3.16</v>
      </c>
      <c r="X146" s="972">
        <v>7.3395000000000001</v>
      </c>
      <c r="Y146" s="756"/>
      <c r="Z146" s="972">
        <v>5.98</v>
      </c>
      <c r="AA146" s="520"/>
      <c r="AB146" s="514"/>
      <c r="AC146" s="514"/>
      <c r="AD146" s="514"/>
      <c r="AE146" s="698"/>
      <c r="AF146" s="756"/>
      <c r="AG146" s="527"/>
      <c r="AH146" s="789"/>
      <c r="AI146" s="1030">
        <v>40.99</v>
      </c>
      <c r="AJ146" s="790"/>
      <c r="AK146" s="521">
        <v>0</v>
      </c>
      <c r="AL146" s="520">
        <v>40.99</v>
      </c>
      <c r="AM146" s="695" t="s">
        <v>1703</v>
      </c>
      <c r="AN146" s="669">
        <v>15.669999999999995</v>
      </c>
    </row>
    <row r="147" spans="1:40" s="500" customFormat="1">
      <c r="A147" s="542" t="s">
        <v>524</v>
      </c>
      <c r="B147" s="542" t="s">
        <v>1247</v>
      </c>
      <c r="C147" s="616"/>
      <c r="D147" s="743"/>
      <c r="E147" s="520"/>
      <c r="F147" s="520"/>
      <c r="G147" s="520"/>
      <c r="H147" s="520"/>
      <c r="I147" s="521"/>
      <c r="J147" s="521"/>
      <c r="K147" s="725"/>
      <c r="L147" s="514"/>
      <c r="M147" s="520"/>
      <c r="N147" s="514"/>
      <c r="O147" s="514"/>
      <c r="P147" s="514"/>
      <c r="Q147" s="522"/>
      <c r="R147" s="745"/>
      <c r="S147" s="514"/>
      <c r="T147" s="520"/>
      <c r="U147" s="514"/>
      <c r="V147" s="514"/>
      <c r="W147" s="514"/>
      <c r="X147" s="514"/>
      <c r="Y147" s="756"/>
      <c r="Z147" s="514"/>
      <c r="AA147" s="520"/>
      <c r="AB147" s="514"/>
      <c r="AC147" s="514"/>
      <c r="AD147" s="514"/>
      <c r="AE147" s="698"/>
      <c r="AF147" s="756"/>
      <c r="AG147" s="527"/>
      <c r="AH147" s="789"/>
      <c r="AI147" s="664">
        <v>0</v>
      </c>
      <c r="AJ147" s="790"/>
      <c r="AK147" s="521">
        <v>0</v>
      </c>
      <c r="AL147" s="520">
        <v>0</v>
      </c>
      <c r="AM147" s="695"/>
      <c r="AN147" s="669">
        <v>0</v>
      </c>
    </row>
    <row r="148" spans="1:40" s="500" customFormat="1">
      <c r="A148" s="539" t="s">
        <v>525</v>
      </c>
      <c r="B148" s="539" t="s">
        <v>1248</v>
      </c>
      <c r="C148" s="548" t="s">
        <v>37</v>
      </c>
      <c r="D148" s="743"/>
      <c r="E148" s="520"/>
      <c r="F148" s="520"/>
      <c r="G148" s="520"/>
      <c r="H148" s="520"/>
      <c r="I148" s="521"/>
      <c r="J148" s="521"/>
      <c r="K148" s="725"/>
      <c r="L148" s="514"/>
      <c r="M148" s="520"/>
      <c r="N148" s="514"/>
      <c r="O148" s="514"/>
      <c r="P148" s="514"/>
      <c r="Q148" s="522"/>
      <c r="R148" s="745"/>
      <c r="S148" s="514"/>
      <c r="T148" s="520"/>
      <c r="U148" s="514"/>
      <c r="V148" s="514"/>
      <c r="W148" s="514"/>
      <c r="X148" s="514"/>
      <c r="Y148" s="756"/>
      <c r="Z148" s="514"/>
      <c r="AA148" s="520"/>
      <c r="AB148" s="514"/>
      <c r="AC148" s="514"/>
      <c r="AD148" s="514"/>
      <c r="AE148" s="698"/>
      <c r="AF148" s="756"/>
      <c r="AG148" s="527"/>
      <c r="AH148" s="1023">
        <v>7.83</v>
      </c>
      <c r="AI148" s="1030">
        <v>7.83</v>
      </c>
      <c r="AJ148" s="790"/>
      <c r="AK148" s="521">
        <v>0</v>
      </c>
      <c r="AL148" s="520">
        <v>7.83</v>
      </c>
      <c r="AM148" s="695" t="s">
        <v>1712</v>
      </c>
      <c r="AN148" s="669">
        <v>26.120000000000005</v>
      </c>
    </row>
  </sheetData>
  <mergeCells count="6">
    <mergeCell ref="A1:K1"/>
    <mergeCell ref="A2:K2"/>
    <mergeCell ref="B4:K4"/>
    <mergeCell ref="B5:K5"/>
    <mergeCell ref="A9:A10"/>
    <mergeCell ref="B9:B10"/>
  </mergeCells>
  <conditionalFormatting sqref="AA65">
    <cfRule type="cellIs" dxfId="27" priority="3" operator="lessThan">
      <formula>0</formula>
    </cfRule>
    <cfRule type="cellIs" dxfId="26" priority="4" operator="lessThan">
      <formula>0</formula>
    </cfRule>
  </conditionalFormatting>
  <conditionalFormatting sqref="AB33">
    <cfRule type="cellIs" dxfId="25" priority="1" operator="lessThan">
      <formula>0</formula>
    </cfRule>
    <cfRule type="cellIs" dxfId="24" priority="2" operator="lessThan">
      <formula>0</formula>
    </cfRule>
  </conditionalFormatting>
  <pageMargins left="0.7" right="0.7" top="0.75" bottom="0.75" header="0.3" footer="0.3"/>
  <pageSetup paperSize="9" scale="23" orientation="portrait" r:id="rId1"/>
  <colBreaks count="1" manualBreakCount="1">
    <brk id="35" max="700" man="1"/>
  </colBreaks>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002060"/>
  </sheetPr>
  <dimension ref="A1:N656"/>
  <sheetViews>
    <sheetView workbookViewId="0">
      <selection sqref="A1:C1"/>
    </sheetView>
  </sheetViews>
  <sheetFormatPr baseColWidth="10" defaultColWidth="11.42578125" defaultRowHeight="12.75"/>
  <cols>
    <col min="1" max="1" width="10.42578125" style="552" customWidth="1"/>
    <col min="2" max="2" width="99.42578125" style="550" customWidth="1"/>
    <col min="3" max="3" width="5" style="498" customWidth="1"/>
    <col min="4" max="4" width="9.42578125" style="500" customWidth="1"/>
    <col min="5" max="5" width="9.42578125" style="498" customWidth="1"/>
    <col min="6" max="6" width="11.42578125" style="498"/>
    <col min="7" max="7" width="14.42578125" style="498" customWidth="1"/>
    <col min="8" max="225" width="11.42578125" style="498"/>
    <col min="226" max="226" width="6.42578125" style="498" customWidth="1"/>
    <col min="227" max="227" width="47.5703125" style="498" customWidth="1"/>
    <col min="228" max="229" width="5" style="498" customWidth="1"/>
    <col min="230" max="230" width="5.42578125" style="498" customWidth="1"/>
    <col min="231" max="231" width="4.5703125" style="498" customWidth="1"/>
    <col min="232" max="233" width="4.42578125" style="498" customWidth="1"/>
    <col min="234" max="234" width="3.5703125" style="498" customWidth="1"/>
    <col min="235" max="235" width="5" style="498" customWidth="1"/>
    <col min="236" max="236" width="4" style="498" customWidth="1"/>
    <col min="237" max="238" width="4.5703125" style="498" customWidth="1"/>
    <col min="239" max="239" width="4.42578125" style="498" customWidth="1"/>
    <col min="240" max="240" width="4" style="498" customWidth="1"/>
    <col min="241" max="241" width="3.5703125" style="498" customWidth="1"/>
    <col min="242" max="243" width="4.5703125" style="498" customWidth="1"/>
    <col min="244" max="244" width="4" style="498" customWidth="1"/>
    <col min="245" max="246" width="4.42578125" style="498" customWidth="1"/>
    <col min="247" max="247" width="3.5703125" style="498" customWidth="1"/>
    <col min="248" max="248" width="4.42578125" style="498" customWidth="1"/>
    <col min="249" max="249" width="5.5703125" style="498" customWidth="1"/>
    <col min="250" max="250" width="3.5703125" style="498" customWidth="1"/>
    <col min="251" max="251" width="4" style="498" customWidth="1"/>
    <col min="252" max="252" width="4.5703125" style="498" customWidth="1"/>
    <col min="253" max="255" width="4.42578125" style="498" customWidth="1"/>
    <col min="256" max="257" width="4.5703125" style="498" customWidth="1"/>
    <col min="258" max="258" width="4" style="498" customWidth="1"/>
    <col min="259" max="259" width="4.5703125" style="498" customWidth="1"/>
    <col min="260" max="260" width="6" style="498" customWidth="1"/>
    <col min="261" max="261" width="8.5703125" style="498" customWidth="1"/>
    <col min="262" max="481" width="11.42578125" style="498"/>
    <col min="482" max="482" width="6.42578125" style="498" customWidth="1"/>
    <col min="483" max="483" width="47.5703125" style="498" customWidth="1"/>
    <col min="484" max="485" width="5" style="498" customWidth="1"/>
    <col min="486" max="486" width="5.42578125" style="498" customWidth="1"/>
    <col min="487" max="487" width="4.5703125" style="498" customWidth="1"/>
    <col min="488" max="489" width="4.42578125" style="498" customWidth="1"/>
    <col min="490" max="490" width="3.5703125" style="498" customWidth="1"/>
    <col min="491" max="491" width="5" style="498" customWidth="1"/>
    <col min="492" max="492" width="4" style="498" customWidth="1"/>
    <col min="493" max="494" width="4.5703125" style="498" customWidth="1"/>
    <col min="495" max="495" width="4.42578125" style="498" customWidth="1"/>
    <col min="496" max="496" width="4" style="498" customWidth="1"/>
    <col min="497" max="497" width="3.5703125" style="498" customWidth="1"/>
    <col min="498" max="499" width="4.5703125" style="498" customWidth="1"/>
    <col min="500" max="500" width="4" style="498" customWidth="1"/>
    <col min="501" max="502" width="4.42578125" style="498" customWidth="1"/>
    <col min="503" max="503" width="3.5703125" style="498" customWidth="1"/>
    <col min="504" max="504" width="4.42578125" style="498" customWidth="1"/>
    <col min="505" max="505" width="5.5703125" style="498" customWidth="1"/>
    <col min="506" max="506" width="3.5703125" style="498" customWidth="1"/>
    <col min="507" max="507" width="4" style="498" customWidth="1"/>
    <col min="508" max="508" width="4.5703125" style="498" customWidth="1"/>
    <col min="509" max="511" width="4.42578125" style="498" customWidth="1"/>
    <col min="512" max="513" width="4.5703125" style="498" customWidth="1"/>
    <col min="514" max="514" width="4" style="498" customWidth="1"/>
    <col min="515" max="515" width="4.5703125" style="498" customWidth="1"/>
    <col min="516" max="516" width="6" style="498" customWidth="1"/>
    <col min="517" max="517" width="8.5703125" style="498" customWidth="1"/>
    <col min="518" max="737" width="11.42578125" style="498"/>
    <col min="738" max="738" width="6.42578125" style="498" customWidth="1"/>
    <col min="739" max="739" width="47.5703125" style="498" customWidth="1"/>
    <col min="740" max="741" width="5" style="498" customWidth="1"/>
    <col min="742" max="742" width="5.42578125" style="498" customWidth="1"/>
    <col min="743" max="743" width="4.5703125" style="498" customWidth="1"/>
    <col min="744" max="745" width="4.42578125" style="498" customWidth="1"/>
    <col min="746" max="746" width="3.5703125" style="498" customWidth="1"/>
    <col min="747" max="747" width="5" style="498" customWidth="1"/>
    <col min="748" max="748" width="4" style="498" customWidth="1"/>
    <col min="749" max="750" width="4.5703125" style="498" customWidth="1"/>
    <col min="751" max="751" width="4.42578125" style="498" customWidth="1"/>
    <col min="752" max="752" width="4" style="498" customWidth="1"/>
    <col min="753" max="753" width="3.5703125" style="498" customWidth="1"/>
    <col min="754" max="755" width="4.5703125" style="498" customWidth="1"/>
    <col min="756" max="756" width="4" style="498" customWidth="1"/>
    <col min="757" max="758" width="4.42578125" style="498" customWidth="1"/>
    <col min="759" max="759" width="3.5703125" style="498" customWidth="1"/>
    <col min="760" max="760" width="4.42578125" style="498" customWidth="1"/>
    <col min="761" max="761" width="5.5703125" style="498" customWidth="1"/>
    <col min="762" max="762" width="3.5703125" style="498" customWidth="1"/>
    <col min="763" max="763" width="4" style="498" customWidth="1"/>
    <col min="764" max="764" width="4.5703125" style="498" customWidth="1"/>
    <col min="765" max="767" width="4.42578125" style="498" customWidth="1"/>
    <col min="768" max="769" width="4.5703125" style="498" customWidth="1"/>
    <col min="770" max="770" width="4" style="498" customWidth="1"/>
    <col min="771" max="771" width="4.5703125" style="498" customWidth="1"/>
    <col min="772" max="772" width="6" style="498" customWidth="1"/>
    <col min="773" max="773" width="8.5703125" style="498" customWidth="1"/>
    <col min="774" max="993" width="11.42578125" style="498"/>
    <col min="994" max="994" width="6.42578125" style="498" customWidth="1"/>
    <col min="995" max="995" width="47.5703125" style="498" customWidth="1"/>
    <col min="996" max="997" width="5" style="498" customWidth="1"/>
    <col min="998" max="998" width="5.42578125" style="498" customWidth="1"/>
    <col min="999" max="999" width="4.5703125" style="498" customWidth="1"/>
    <col min="1000" max="1001" width="4.42578125" style="498" customWidth="1"/>
    <col min="1002" max="1002" width="3.5703125" style="498" customWidth="1"/>
    <col min="1003" max="1003" width="5" style="498" customWidth="1"/>
    <col min="1004" max="1004" width="4" style="498" customWidth="1"/>
    <col min="1005" max="1006" width="4.5703125" style="498" customWidth="1"/>
    <col min="1007" max="1007" width="4.42578125" style="498" customWidth="1"/>
    <col min="1008" max="1008" width="4" style="498" customWidth="1"/>
    <col min="1009" max="1009" width="3.5703125" style="498" customWidth="1"/>
    <col min="1010" max="1011" width="4.5703125" style="498" customWidth="1"/>
    <col min="1012" max="1012" width="4" style="498" customWidth="1"/>
    <col min="1013" max="1014" width="4.42578125" style="498" customWidth="1"/>
    <col min="1015" max="1015" width="3.5703125" style="498" customWidth="1"/>
    <col min="1016" max="1016" width="4.42578125" style="498" customWidth="1"/>
    <col min="1017" max="1017" width="5.5703125" style="498" customWidth="1"/>
    <col min="1018" max="1018" width="3.5703125" style="498" customWidth="1"/>
    <col min="1019" max="1019" width="4" style="498" customWidth="1"/>
    <col min="1020" max="1020" width="4.5703125" style="498" customWidth="1"/>
    <col min="1021" max="1023" width="4.42578125" style="498" customWidth="1"/>
    <col min="1024" max="1025" width="4.5703125" style="498" customWidth="1"/>
    <col min="1026" max="1026" width="4" style="498" customWidth="1"/>
    <col min="1027" max="1027" width="4.5703125" style="498" customWidth="1"/>
    <col min="1028" max="1028" width="6" style="498" customWidth="1"/>
    <col min="1029" max="1029" width="8.5703125" style="498" customWidth="1"/>
    <col min="1030" max="1249" width="11.42578125" style="498"/>
    <col min="1250" max="1250" width="6.42578125" style="498" customWidth="1"/>
    <col min="1251" max="1251" width="47.5703125" style="498" customWidth="1"/>
    <col min="1252" max="1253" width="5" style="498" customWidth="1"/>
    <col min="1254" max="1254" width="5.42578125" style="498" customWidth="1"/>
    <col min="1255" max="1255" width="4.5703125" style="498" customWidth="1"/>
    <col min="1256" max="1257" width="4.42578125" style="498" customWidth="1"/>
    <col min="1258" max="1258" width="3.5703125" style="498" customWidth="1"/>
    <col min="1259" max="1259" width="5" style="498" customWidth="1"/>
    <col min="1260" max="1260" width="4" style="498" customWidth="1"/>
    <col min="1261" max="1262" width="4.5703125" style="498" customWidth="1"/>
    <col min="1263" max="1263" width="4.42578125" style="498" customWidth="1"/>
    <col min="1264" max="1264" width="4" style="498" customWidth="1"/>
    <col min="1265" max="1265" width="3.5703125" style="498" customWidth="1"/>
    <col min="1266" max="1267" width="4.5703125" style="498" customWidth="1"/>
    <col min="1268" max="1268" width="4" style="498" customWidth="1"/>
    <col min="1269" max="1270" width="4.42578125" style="498" customWidth="1"/>
    <col min="1271" max="1271" width="3.5703125" style="498" customWidth="1"/>
    <col min="1272" max="1272" width="4.42578125" style="498" customWidth="1"/>
    <col min="1273" max="1273" width="5.5703125" style="498" customWidth="1"/>
    <col min="1274" max="1274" width="3.5703125" style="498" customWidth="1"/>
    <col min="1275" max="1275" width="4" style="498" customWidth="1"/>
    <col min="1276" max="1276" width="4.5703125" style="498" customWidth="1"/>
    <col min="1277" max="1279" width="4.42578125" style="498" customWidth="1"/>
    <col min="1280" max="1281" width="4.5703125" style="498" customWidth="1"/>
    <col min="1282" max="1282" width="4" style="498" customWidth="1"/>
    <col min="1283" max="1283" width="4.5703125" style="498" customWidth="1"/>
    <col min="1284" max="1284" width="6" style="498" customWidth="1"/>
    <col min="1285" max="1285" width="8.5703125" style="498" customWidth="1"/>
    <col min="1286" max="1505" width="11.42578125" style="498"/>
    <col min="1506" max="1506" width="6.42578125" style="498" customWidth="1"/>
    <col min="1507" max="1507" width="47.5703125" style="498" customWidth="1"/>
    <col min="1508" max="1509" width="5" style="498" customWidth="1"/>
    <col min="1510" max="1510" width="5.42578125" style="498" customWidth="1"/>
    <col min="1511" max="1511" width="4.5703125" style="498" customWidth="1"/>
    <col min="1512" max="1513" width="4.42578125" style="498" customWidth="1"/>
    <col min="1514" max="1514" width="3.5703125" style="498" customWidth="1"/>
    <col min="1515" max="1515" width="5" style="498" customWidth="1"/>
    <col min="1516" max="1516" width="4" style="498" customWidth="1"/>
    <col min="1517" max="1518" width="4.5703125" style="498" customWidth="1"/>
    <col min="1519" max="1519" width="4.42578125" style="498" customWidth="1"/>
    <col min="1520" max="1520" width="4" style="498" customWidth="1"/>
    <col min="1521" max="1521" width="3.5703125" style="498" customWidth="1"/>
    <col min="1522" max="1523" width="4.5703125" style="498" customWidth="1"/>
    <col min="1524" max="1524" width="4" style="498" customWidth="1"/>
    <col min="1525" max="1526" width="4.42578125" style="498" customWidth="1"/>
    <col min="1527" max="1527" width="3.5703125" style="498" customWidth="1"/>
    <col min="1528" max="1528" width="4.42578125" style="498" customWidth="1"/>
    <col min="1529" max="1529" width="5.5703125" style="498" customWidth="1"/>
    <col min="1530" max="1530" width="3.5703125" style="498" customWidth="1"/>
    <col min="1531" max="1531" width="4" style="498" customWidth="1"/>
    <col min="1532" max="1532" width="4.5703125" style="498" customWidth="1"/>
    <col min="1533" max="1535" width="4.42578125" style="498" customWidth="1"/>
    <col min="1536" max="1537" width="4.5703125" style="498" customWidth="1"/>
    <col min="1538" max="1538" width="4" style="498" customWidth="1"/>
    <col min="1539" max="1539" width="4.5703125" style="498" customWidth="1"/>
    <col min="1540" max="1540" width="6" style="498" customWidth="1"/>
    <col min="1541" max="1541" width="8.5703125" style="498" customWidth="1"/>
    <col min="1542" max="1761" width="11.42578125" style="498"/>
    <col min="1762" max="1762" width="6.42578125" style="498" customWidth="1"/>
    <col min="1763" max="1763" width="47.5703125" style="498" customWidth="1"/>
    <col min="1764" max="1765" width="5" style="498" customWidth="1"/>
    <col min="1766" max="1766" width="5.42578125" style="498" customWidth="1"/>
    <col min="1767" max="1767" width="4.5703125" style="498" customWidth="1"/>
    <col min="1768" max="1769" width="4.42578125" style="498" customWidth="1"/>
    <col min="1770" max="1770" width="3.5703125" style="498" customWidth="1"/>
    <col min="1771" max="1771" width="5" style="498" customWidth="1"/>
    <col min="1772" max="1772" width="4" style="498" customWidth="1"/>
    <col min="1773" max="1774" width="4.5703125" style="498" customWidth="1"/>
    <col min="1775" max="1775" width="4.42578125" style="498" customWidth="1"/>
    <col min="1776" max="1776" width="4" style="498" customWidth="1"/>
    <col min="1777" max="1777" width="3.5703125" style="498" customWidth="1"/>
    <col min="1778" max="1779" width="4.5703125" style="498" customWidth="1"/>
    <col min="1780" max="1780" width="4" style="498" customWidth="1"/>
    <col min="1781" max="1782" width="4.42578125" style="498" customWidth="1"/>
    <col min="1783" max="1783" width="3.5703125" style="498" customWidth="1"/>
    <col min="1784" max="1784" width="4.42578125" style="498" customWidth="1"/>
    <col min="1785" max="1785" width="5.5703125" style="498" customWidth="1"/>
    <col min="1786" max="1786" width="3.5703125" style="498" customWidth="1"/>
    <col min="1787" max="1787" width="4" style="498" customWidth="1"/>
    <col min="1788" max="1788" width="4.5703125" style="498" customWidth="1"/>
    <col min="1789" max="1791" width="4.42578125" style="498" customWidth="1"/>
    <col min="1792" max="1793" width="4.5703125" style="498" customWidth="1"/>
    <col min="1794" max="1794" width="4" style="498" customWidth="1"/>
    <col min="1795" max="1795" width="4.5703125" style="498" customWidth="1"/>
    <col min="1796" max="1796" width="6" style="498" customWidth="1"/>
    <col min="1797" max="1797" width="8.5703125" style="498" customWidth="1"/>
    <col min="1798" max="2017" width="11.42578125" style="498"/>
    <col min="2018" max="2018" width="6.42578125" style="498" customWidth="1"/>
    <col min="2019" max="2019" width="47.5703125" style="498" customWidth="1"/>
    <col min="2020" max="2021" width="5" style="498" customWidth="1"/>
    <col min="2022" max="2022" width="5.42578125" style="498" customWidth="1"/>
    <col min="2023" max="2023" width="4.5703125" style="498" customWidth="1"/>
    <col min="2024" max="2025" width="4.42578125" style="498" customWidth="1"/>
    <col min="2026" max="2026" width="3.5703125" style="498" customWidth="1"/>
    <col min="2027" max="2027" width="5" style="498" customWidth="1"/>
    <col min="2028" max="2028" width="4" style="498" customWidth="1"/>
    <col min="2029" max="2030" width="4.5703125" style="498" customWidth="1"/>
    <col min="2031" max="2031" width="4.42578125" style="498" customWidth="1"/>
    <col min="2032" max="2032" width="4" style="498" customWidth="1"/>
    <col min="2033" max="2033" width="3.5703125" style="498" customWidth="1"/>
    <col min="2034" max="2035" width="4.5703125" style="498" customWidth="1"/>
    <col min="2036" max="2036" width="4" style="498" customWidth="1"/>
    <col min="2037" max="2038" width="4.42578125" style="498" customWidth="1"/>
    <col min="2039" max="2039" width="3.5703125" style="498" customWidth="1"/>
    <col min="2040" max="2040" width="4.42578125" style="498" customWidth="1"/>
    <col min="2041" max="2041" width="5.5703125" style="498" customWidth="1"/>
    <col min="2042" max="2042" width="3.5703125" style="498" customWidth="1"/>
    <col min="2043" max="2043" width="4" style="498" customWidth="1"/>
    <col min="2044" max="2044" width="4.5703125" style="498" customWidth="1"/>
    <col min="2045" max="2047" width="4.42578125" style="498" customWidth="1"/>
    <col min="2048" max="2049" width="4.5703125" style="498" customWidth="1"/>
    <col min="2050" max="2050" width="4" style="498" customWidth="1"/>
    <col min="2051" max="2051" width="4.5703125" style="498" customWidth="1"/>
    <col min="2052" max="2052" width="6" style="498" customWidth="1"/>
    <col min="2053" max="2053" width="8.5703125" style="498" customWidth="1"/>
    <col min="2054" max="2273" width="11.42578125" style="498"/>
    <col min="2274" max="2274" width="6.42578125" style="498" customWidth="1"/>
    <col min="2275" max="2275" width="47.5703125" style="498" customWidth="1"/>
    <col min="2276" max="2277" width="5" style="498" customWidth="1"/>
    <col min="2278" max="2278" width="5.42578125" style="498" customWidth="1"/>
    <col min="2279" max="2279" width="4.5703125" style="498" customWidth="1"/>
    <col min="2280" max="2281" width="4.42578125" style="498" customWidth="1"/>
    <col min="2282" max="2282" width="3.5703125" style="498" customWidth="1"/>
    <col min="2283" max="2283" width="5" style="498" customWidth="1"/>
    <col min="2284" max="2284" width="4" style="498" customWidth="1"/>
    <col min="2285" max="2286" width="4.5703125" style="498" customWidth="1"/>
    <col min="2287" max="2287" width="4.42578125" style="498" customWidth="1"/>
    <col min="2288" max="2288" width="4" style="498" customWidth="1"/>
    <col min="2289" max="2289" width="3.5703125" style="498" customWidth="1"/>
    <col min="2290" max="2291" width="4.5703125" style="498" customWidth="1"/>
    <col min="2292" max="2292" width="4" style="498" customWidth="1"/>
    <col min="2293" max="2294" width="4.42578125" style="498" customWidth="1"/>
    <col min="2295" max="2295" width="3.5703125" style="498" customWidth="1"/>
    <col min="2296" max="2296" width="4.42578125" style="498" customWidth="1"/>
    <col min="2297" max="2297" width="5.5703125" style="498" customWidth="1"/>
    <col min="2298" max="2298" width="3.5703125" style="498" customWidth="1"/>
    <col min="2299" max="2299" width="4" style="498" customWidth="1"/>
    <col min="2300" max="2300" width="4.5703125" style="498" customWidth="1"/>
    <col min="2301" max="2303" width="4.42578125" style="498" customWidth="1"/>
    <col min="2304" max="2305" width="4.5703125" style="498" customWidth="1"/>
    <col min="2306" max="2306" width="4" style="498" customWidth="1"/>
    <col min="2307" max="2307" width="4.5703125" style="498" customWidth="1"/>
    <col min="2308" max="2308" width="6" style="498" customWidth="1"/>
    <col min="2309" max="2309" width="8.5703125" style="498" customWidth="1"/>
    <col min="2310" max="2529" width="11.42578125" style="498"/>
    <col min="2530" max="2530" width="6.42578125" style="498" customWidth="1"/>
    <col min="2531" max="2531" width="47.5703125" style="498" customWidth="1"/>
    <col min="2532" max="2533" width="5" style="498" customWidth="1"/>
    <col min="2534" max="2534" width="5.42578125" style="498" customWidth="1"/>
    <col min="2535" max="2535" width="4.5703125" style="498" customWidth="1"/>
    <col min="2536" max="2537" width="4.42578125" style="498" customWidth="1"/>
    <col min="2538" max="2538" width="3.5703125" style="498" customWidth="1"/>
    <col min="2539" max="2539" width="5" style="498" customWidth="1"/>
    <col min="2540" max="2540" width="4" style="498" customWidth="1"/>
    <col min="2541" max="2542" width="4.5703125" style="498" customWidth="1"/>
    <col min="2543" max="2543" width="4.42578125" style="498" customWidth="1"/>
    <col min="2544" max="2544" width="4" style="498" customWidth="1"/>
    <col min="2545" max="2545" width="3.5703125" style="498" customWidth="1"/>
    <col min="2546" max="2547" width="4.5703125" style="498" customWidth="1"/>
    <col min="2548" max="2548" width="4" style="498" customWidth="1"/>
    <col min="2549" max="2550" width="4.42578125" style="498" customWidth="1"/>
    <col min="2551" max="2551" width="3.5703125" style="498" customWidth="1"/>
    <col min="2552" max="2552" width="4.42578125" style="498" customWidth="1"/>
    <col min="2553" max="2553" width="5.5703125" style="498" customWidth="1"/>
    <col min="2554" max="2554" width="3.5703125" style="498" customWidth="1"/>
    <col min="2555" max="2555" width="4" style="498" customWidth="1"/>
    <col min="2556" max="2556" width="4.5703125" style="498" customWidth="1"/>
    <col min="2557" max="2559" width="4.42578125" style="498" customWidth="1"/>
    <col min="2560" max="2561" width="4.5703125" style="498" customWidth="1"/>
    <col min="2562" max="2562" width="4" style="498" customWidth="1"/>
    <col min="2563" max="2563" width="4.5703125" style="498" customWidth="1"/>
    <col min="2564" max="2564" width="6" style="498" customWidth="1"/>
    <col min="2565" max="2565" width="8.5703125" style="498" customWidth="1"/>
    <col min="2566" max="2785" width="11.42578125" style="498"/>
    <col min="2786" max="2786" width="6.42578125" style="498" customWidth="1"/>
    <col min="2787" max="2787" width="47.5703125" style="498" customWidth="1"/>
    <col min="2788" max="2789" width="5" style="498" customWidth="1"/>
    <col min="2790" max="2790" width="5.42578125" style="498" customWidth="1"/>
    <col min="2791" max="2791" width="4.5703125" style="498" customWidth="1"/>
    <col min="2792" max="2793" width="4.42578125" style="498" customWidth="1"/>
    <col min="2794" max="2794" width="3.5703125" style="498" customWidth="1"/>
    <col min="2795" max="2795" width="5" style="498" customWidth="1"/>
    <col min="2796" max="2796" width="4" style="498" customWidth="1"/>
    <col min="2797" max="2798" width="4.5703125" style="498" customWidth="1"/>
    <col min="2799" max="2799" width="4.42578125" style="498" customWidth="1"/>
    <col min="2800" max="2800" width="4" style="498" customWidth="1"/>
    <col min="2801" max="2801" width="3.5703125" style="498" customWidth="1"/>
    <col min="2802" max="2803" width="4.5703125" style="498" customWidth="1"/>
    <col min="2804" max="2804" width="4" style="498" customWidth="1"/>
    <col min="2805" max="2806" width="4.42578125" style="498" customWidth="1"/>
    <col min="2807" max="2807" width="3.5703125" style="498" customWidth="1"/>
    <col min="2808" max="2808" width="4.42578125" style="498" customWidth="1"/>
    <col min="2809" max="2809" width="5.5703125" style="498" customWidth="1"/>
    <col min="2810" max="2810" width="3.5703125" style="498" customWidth="1"/>
    <col min="2811" max="2811" width="4" style="498" customWidth="1"/>
    <col min="2812" max="2812" width="4.5703125" style="498" customWidth="1"/>
    <col min="2813" max="2815" width="4.42578125" style="498" customWidth="1"/>
    <col min="2816" max="2817" width="4.5703125" style="498" customWidth="1"/>
    <col min="2818" max="2818" width="4" style="498" customWidth="1"/>
    <col min="2819" max="2819" width="4.5703125" style="498" customWidth="1"/>
    <col min="2820" max="2820" width="6" style="498" customWidth="1"/>
    <col min="2821" max="2821" width="8.5703125" style="498" customWidth="1"/>
    <col min="2822" max="3041" width="11.42578125" style="498"/>
    <col min="3042" max="3042" width="6.42578125" style="498" customWidth="1"/>
    <col min="3043" max="3043" width="47.5703125" style="498" customWidth="1"/>
    <col min="3044" max="3045" width="5" style="498" customWidth="1"/>
    <col min="3046" max="3046" width="5.42578125" style="498" customWidth="1"/>
    <col min="3047" max="3047" width="4.5703125" style="498" customWidth="1"/>
    <col min="3048" max="3049" width="4.42578125" style="498" customWidth="1"/>
    <col min="3050" max="3050" width="3.5703125" style="498" customWidth="1"/>
    <col min="3051" max="3051" width="5" style="498" customWidth="1"/>
    <col min="3052" max="3052" width="4" style="498" customWidth="1"/>
    <col min="3053" max="3054" width="4.5703125" style="498" customWidth="1"/>
    <col min="3055" max="3055" width="4.42578125" style="498" customWidth="1"/>
    <col min="3056" max="3056" width="4" style="498" customWidth="1"/>
    <col min="3057" max="3057" width="3.5703125" style="498" customWidth="1"/>
    <col min="3058" max="3059" width="4.5703125" style="498" customWidth="1"/>
    <col min="3060" max="3060" width="4" style="498" customWidth="1"/>
    <col min="3061" max="3062" width="4.42578125" style="498" customWidth="1"/>
    <col min="3063" max="3063" width="3.5703125" style="498" customWidth="1"/>
    <col min="3064" max="3064" width="4.42578125" style="498" customWidth="1"/>
    <col min="3065" max="3065" width="5.5703125" style="498" customWidth="1"/>
    <col min="3066" max="3066" width="3.5703125" style="498" customWidth="1"/>
    <col min="3067" max="3067" width="4" style="498" customWidth="1"/>
    <col min="3068" max="3068" width="4.5703125" style="498" customWidth="1"/>
    <col min="3069" max="3071" width="4.42578125" style="498" customWidth="1"/>
    <col min="3072" max="3073" width="4.5703125" style="498" customWidth="1"/>
    <col min="3074" max="3074" width="4" style="498" customWidth="1"/>
    <col min="3075" max="3075" width="4.5703125" style="498" customWidth="1"/>
    <col min="3076" max="3076" width="6" style="498" customWidth="1"/>
    <col min="3077" max="3077" width="8.5703125" style="498" customWidth="1"/>
    <col min="3078" max="3297" width="11.42578125" style="498"/>
    <col min="3298" max="3298" width="6.42578125" style="498" customWidth="1"/>
    <col min="3299" max="3299" width="47.5703125" style="498" customWidth="1"/>
    <col min="3300" max="3301" width="5" style="498" customWidth="1"/>
    <col min="3302" max="3302" width="5.42578125" style="498" customWidth="1"/>
    <col min="3303" max="3303" width="4.5703125" style="498" customWidth="1"/>
    <col min="3304" max="3305" width="4.42578125" style="498" customWidth="1"/>
    <col min="3306" max="3306" width="3.5703125" style="498" customWidth="1"/>
    <col min="3307" max="3307" width="5" style="498" customWidth="1"/>
    <col min="3308" max="3308" width="4" style="498" customWidth="1"/>
    <col min="3309" max="3310" width="4.5703125" style="498" customWidth="1"/>
    <col min="3311" max="3311" width="4.42578125" style="498" customWidth="1"/>
    <col min="3312" max="3312" width="4" style="498" customWidth="1"/>
    <col min="3313" max="3313" width="3.5703125" style="498" customWidth="1"/>
    <col min="3314" max="3315" width="4.5703125" style="498" customWidth="1"/>
    <col min="3316" max="3316" width="4" style="498" customWidth="1"/>
    <col min="3317" max="3318" width="4.42578125" style="498" customWidth="1"/>
    <col min="3319" max="3319" width="3.5703125" style="498" customWidth="1"/>
    <col min="3320" max="3320" width="4.42578125" style="498" customWidth="1"/>
    <col min="3321" max="3321" width="5.5703125" style="498" customWidth="1"/>
    <col min="3322" max="3322" width="3.5703125" style="498" customWidth="1"/>
    <col min="3323" max="3323" width="4" style="498" customWidth="1"/>
    <col min="3324" max="3324" width="4.5703125" style="498" customWidth="1"/>
    <col min="3325" max="3327" width="4.42578125" style="498" customWidth="1"/>
    <col min="3328" max="3329" width="4.5703125" style="498" customWidth="1"/>
    <col min="3330" max="3330" width="4" style="498" customWidth="1"/>
    <col min="3331" max="3331" width="4.5703125" style="498" customWidth="1"/>
    <col min="3332" max="3332" width="6" style="498" customWidth="1"/>
    <col min="3333" max="3333" width="8.5703125" style="498" customWidth="1"/>
    <col min="3334" max="3553" width="11.42578125" style="498"/>
    <col min="3554" max="3554" width="6.42578125" style="498" customWidth="1"/>
    <col min="3555" max="3555" width="47.5703125" style="498" customWidth="1"/>
    <col min="3556" max="3557" width="5" style="498" customWidth="1"/>
    <col min="3558" max="3558" width="5.42578125" style="498" customWidth="1"/>
    <col min="3559" max="3559" width="4.5703125" style="498" customWidth="1"/>
    <col min="3560" max="3561" width="4.42578125" style="498" customWidth="1"/>
    <col min="3562" max="3562" width="3.5703125" style="498" customWidth="1"/>
    <col min="3563" max="3563" width="5" style="498" customWidth="1"/>
    <col min="3564" max="3564" width="4" style="498" customWidth="1"/>
    <col min="3565" max="3566" width="4.5703125" style="498" customWidth="1"/>
    <col min="3567" max="3567" width="4.42578125" style="498" customWidth="1"/>
    <col min="3568" max="3568" width="4" style="498" customWidth="1"/>
    <col min="3569" max="3569" width="3.5703125" style="498" customWidth="1"/>
    <col min="3570" max="3571" width="4.5703125" style="498" customWidth="1"/>
    <col min="3572" max="3572" width="4" style="498" customWidth="1"/>
    <col min="3573" max="3574" width="4.42578125" style="498" customWidth="1"/>
    <col min="3575" max="3575" width="3.5703125" style="498" customWidth="1"/>
    <col min="3576" max="3576" width="4.42578125" style="498" customWidth="1"/>
    <col min="3577" max="3577" width="5.5703125" style="498" customWidth="1"/>
    <col min="3578" max="3578" width="3.5703125" style="498" customWidth="1"/>
    <col min="3579" max="3579" width="4" style="498" customWidth="1"/>
    <col min="3580" max="3580" width="4.5703125" style="498" customWidth="1"/>
    <col min="3581" max="3583" width="4.42578125" style="498" customWidth="1"/>
    <col min="3584" max="3585" width="4.5703125" style="498" customWidth="1"/>
    <col min="3586" max="3586" width="4" style="498" customWidth="1"/>
    <col min="3587" max="3587" width="4.5703125" style="498" customWidth="1"/>
    <col min="3588" max="3588" width="6" style="498" customWidth="1"/>
    <col min="3589" max="3589" width="8.5703125" style="498" customWidth="1"/>
    <col min="3590" max="3809" width="11.42578125" style="498"/>
    <col min="3810" max="3810" width="6.42578125" style="498" customWidth="1"/>
    <col min="3811" max="3811" width="47.5703125" style="498" customWidth="1"/>
    <col min="3812" max="3813" width="5" style="498" customWidth="1"/>
    <col min="3814" max="3814" width="5.42578125" style="498" customWidth="1"/>
    <col min="3815" max="3815" width="4.5703125" style="498" customWidth="1"/>
    <col min="3816" max="3817" width="4.42578125" style="498" customWidth="1"/>
    <col min="3818" max="3818" width="3.5703125" style="498" customWidth="1"/>
    <col min="3819" max="3819" width="5" style="498" customWidth="1"/>
    <col min="3820" max="3820" width="4" style="498" customWidth="1"/>
    <col min="3821" max="3822" width="4.5703125" style="498" customWidth="1"/>
    <col min="3823" max="3823" width="4.42578125" style="498" customWidth="1"/>
    <col min="3824" max="3824" width="4" style="498" customWidth="1"/>
    <col min="3825" max="3825" width="3.5703125" style="498" customWidth="1"/>
    <col min="3826" max="3827" width="4.5703125" style="498" customWidth="1"/>
    <col min="3828" max="3828" width="4" style="498" customWidth="1"/>
    <col min="3829" max="3830" width="4.42578125" style="498" customWidth="1"/>
    <col min="3831" max="3831" width="3.5703125" style="498" customWidth="1"/>
    <col min="3832" max="3832" width="4.42578125" style="498" customWidth="1"/>
    <col min="3833" max="3833" width="5.5703125" style="498" customWidth="1"/>
    <col min="3834" max="3834" width="3.5703125" style="498" customWidth="1"/>
    <col min="3835" max="3835" width="4" style="498" customWidth="1"/>
    <col min="3836" max="3836" width="4.5703125" style="498" customWidth="1"/>
    <col min="3837" max="3839" width="4.42578125" style="498" customWidth="1"/>
    <col min="3840" max="3841" width="4.5703125" style="498" customWidth="1"/>
    <col min="3842" max="3842" width="4" style="498" customWidth="1"/>
    <col min="3843" max="3843" width="4.5703125" style="498" customWidth="1"/>
    <col min="3844" max="3844" width="6" style="498" customWidth="1"/>
    <col min="3845" max="3845" width="8.5703125" style="498" customWidth="1"/>
    <col min="3846" max="4065" width="11.42578125" style="498"/>
    <col min="4066" max="4066" width="6.42578125" style="498" customWidth="1"/>
    <col min="4067" max="4067" width="47.5703125" style="498" customWidth="1"/>
    <col min="4068" max="4069" width="5" style="498" customWidth="1"/>
    <col min="4070" max="4070" width="5.42578125" style="498" customWidth="1"/>
    <col min="4071" max="4071" width="4.5703125" style="498" customWidth="1"/>
    <col min="4072" max="4073" width="4.42578125" style="498" customWidth="1"/>
    <col min="4074" max="4074" width="3.5703125" style="498" customWidth="1"/>
    <col min="4075" max="4075" width="5" style="498" customWidth="1"/>
    <col min="4076" max="4076" width="4" style="498" customWidth="1"/>
    <col min="4077" max="4078" width="4.5703125" style="498" customWidth="1"/>
    <col min="4079" max="4079" width="4.42578125" style="498" customWidth="1"/>
    <col min="4080" max="4080" width="4" style="498" customWidth="1"/>
    <col min="4081" max="4081" width="3.5703125" style="498" customWidth="1"/>
    <col min="4082" max="4083" width="4.5703125" style="498" customWidth="1"/>
    <col min="4084" max="4084" width="4" style="498" customWidth="1"/>
    <col min="4085" max="4086" width="4.42578125" style="498" customWidth="1"/>
    <col min="4087" max="4087" width="3.5703125" style="498" customWidth="1"/>
    <col min="4088" max="4088" width="4.42578125" style="498" customWidth="1"/>
    <col min="4089" max="4089" width="5.5703125" style="498" customWidth="1"/>
    <col min="4090" max="4090" width="3.5703125" style="498" customWidth="1"/>
    <col min="4091" max="4091" width="4" style="498" customWidth="1"/>
    <col min="4092" max="4092" width="4.5703125" style="498" customWidth="1"/>
    <col min="4093" max="4095" width="4.42578125" style="498" customWidth="1"/>
    <col min="4096" max="4097" width="4.5703125" style="498" customWidth="1"/>
    <col min="4098" max="4098" width="4" style="498" customWidth="1"/>
    <col min="4099" max="4099" width="4.5703125" style="498" customWidth="1"/>
    <col min="4100" max="4100" width="6" style="498" customWidth="1"/>
    <col min="4101" max="4101" width="8.5703125" style="498" customWidth="1"/>
    <col min="4102" max="4321" width="11.42578125" style="498"/>
    <col min="4322" max="4322" width="6.42578125" style="498" customWidth="1"/>
    <col min="4323" max="4323" width="47.5703125" style="498" customWidth="1"/>
    <col min="4324" max="4325" width="5" style="498" customWidth="1"/>
    <col min="4326" max="4326" width="5.42578125" style="498" customWidth="1"/>
    <col min="4327" max="4327" width="4.5703125" style="498" customWidth="1"/>
    <col min="4328" max="4329" width="4.42578125" style="498" customWidth="1"/>
    <col min="4330" max="4330" width="3.5703125" style="498" customWidth="1"/>
    <col min="4331" max="4331" width="5" style="498" customWidth="1"/>
    <col min="4332" max="4332" width="4" style="498" customWidth="1"/>
    <col min="4333" max="4334" width="4.5703125" style="498" customWidth="1"/>
    <col min="4335" max="4335" width="4.42578125" style="498" customWidth="1"/>
    <col min="4336" max="4336" width="4" style="498" customWidth="1"/>
    <col min="4337" max="4337" width="3.5703125" style="498" customWidth="1"/>
    <col min="4338" max="4339" width="4.5703125" style="498" customWidth="1"/>
    <col min="4340" max="4340" width="4" style="498" customWidth="1"/>
    <col min="4341" max="4342" width="4.42578125" style="498" customWidth="1"/>
    <col min="4343" max="4343" width="3.5703125" style="498" customWidth="1"/>
    <col min="4344" max="4344" width="4.42578125" style="498" customWidth="1"/>
    <col min="4345" max="4345" width="5.5703125" style="498" customWidth="1"/>
    <col min="4346" max="4346" width="3.5703125" style="498" customWidth="1"/>
    <col min="4347" max="4347" width="4" style="498" customWidth="1"/>
    <col min="4348" max="4348" width="4.5703125" style="498" customWidth="1"/>
    <col min="4349" max="4351" width="4.42578125" style="498" customWidth="1"/>
    <col min="4352" max="4353" width="4.5703125" style="498" customWidth="1"/>
    <col min="4354" max="4354" width="4" style="498" customWidth="1"/>
    <col min="4355" max="4355" width="4.5703125" style="498" customWidth="1"/>
    <col min="4356" max="4356" width="6" style="498" customWidth="1"/>
    <col min="4357" max="4357" width="8.5703125" style="498" customWidth="1"/>
    <col min="4358" max="4577" width="11.42578125" style="498"/>
    <col min="4578" max="4578" width="6.42578125" style="498" customWidth="1"/>
    <col min="4579" max="4579" width="47.5703125" style="498" customWidth="1"/>
    <col min="4580" max="4581" width="5" style="498" customWidth="1"/>
    <col min="4582" max="4582" width="5.42578125" style="498" customWidth="1"/>
    <col min="4583" max="4583" width="4.5703125" style="498" customWidth="1"/>
    <col min="4584" max="4585" width="4.42578125" style="498" customWidth="1"/>
    <col min="4586" max="4586" width="3.5703125" style="498" customWidth="1"/>
    <col min="4587" max="4587" width="5" style="498" customWidth="1"/>
    <col min="4588" max="4588" width="4" style="498" customWidth="1"/>
    <col min="4589" max="4590" width="4.5703125" style="498" customWidth="1"/>
    <col min="4591" max="4591" width="4.42578125" style="498" customWidth="1"/>
    <col min="4592" max="4592" width="4" style="498" customWidth="1"/>
    <col min="4593" max="4593" width="3.5703125" style="498" customWidth="1"/>
    <col min="4594" max="4595" width="4.5703125" style="498" customWidth="1"/>
    <col min="4596" max="4596" width="4" style="498" customWidth="1"/>
    <col min="4597" max="4598" width="4.42578125" style="498" customWidth="1"/>
    <col min="4599" max="4599" width="3.5703125" style="498" customWidth="1"/>
    <col min="4600" max="4600" width="4.42578125" style="498" customWidth="1"/>
    <col min="4601" max="4601" width="5.5703125" style="498" customWidth="1"/>
    <col min="4602" max="4602" width="3.5703125" style="498" customWidth="1"/>
    <col min="4603" max="4603" width="4" style="498" customWidth="1"/>
    <col min="4604" max="4604" width="4.5703125" style="498" customWidth="1"/>
    <col min="4605" max="4607" width="4.42578125" style="498" customWidth="1"/>
    <col min="4608" max="4609" width="4.5703125" style="498" customWidth="1"/>
    <col min="4610" max="4610" width="4" style="498" customWidth="1"/>
    <col min="4611" max="4611" width="4.5703125" style="498" customWidth="1"/>
    <col min="4612" max="4612" width="6" style="498" customWidth="1"/>
    <col min="4613" max="4613" width="8.5703125" style="498" customWidth="1"/>
    <col min="4614" max="4833" width="11.42578125" style="498"/>
    <col min="4834" max="4834" width="6.42578125" style="498" customWidth="1"/>
    <col min="4835" max="4835" width="47.5703125" style="498" customWidth="1"/>
    <col min="4836" max="4837" width="5" style="498" customWidth="1"/>
    <col min="4838" max="4838" width="5.42578125" style="498" customWidth="1"/>
    <col min="4839" max="4839" width="4.5703125" style="498" customWidth="1"/>
    <col min="4840" max="4841" width="4.42578125" style="498" customWidth="1"/>
    <col min="4842" max="4842" width="3.5703125" style="498" customWidth="1"/>
    <col min="4843" max="4843" width="5" style="498" customWidth="1"/>
    <col min="4844" max="4844" width="4" style="498" customWidth="1"/>
    <col min="4845" max="4846" width="4.5703125" style="498" customWidth="1"/>
    <col min="4847" max="4847" width="4.42578125" style="498" customWidth="1"/>
    <col min="4848" max="4848" width="4" style="498" customWidth="1"/>
    <col min="4849" max="4849" width="3.5703125" style="498" customWidth="1"/>
    <col min="4850" max="4851" width="4.5703125" style="498" customWidth="1"/>
    <col min="4852" max="4852" width="4" style="498" customWidth="1"/>
    <col min="4853" max="4854" width="4.42578125" style="498" customWidth="1"/>
    <col min="4855" max="4855" width="3.5703125" style="498" customWidth="1"/>
    <col min="4856" max="4856" width="4.42578125" style="498" customWidth="1"/>
    <col min="4857" max="4857" width="5.5703125" style="498" customWidth="1"/>
    <col min="4858" max="4858" width="3.5703125" style="498" customWidth="1"/>
    <col min="4859" max="4859" width="4" style="498" customWidth="1"/>
    <col min="4860" max="4860" width="4.5703125" style="498" customWidth="1"/>
    <col min="4861" max="4863" width="4.42578125" style="498" customWidth="1"/>
    <col min="4864" max="4865" width="4.5703125" style="498" customWidth="1"/>
    <col min="4866" max="4866" width="4" style="498" customWidth="1"/>
    <col min="4867" max="4867" width="4.5703125" style="498" customWidth="1"/>
    <col min="4868" max="4868" width="6" style="498" customWidth="1"/>
    <col min="4869" max="4869" width="8.5703125" style="498" customWidth="1"/>
    <col min="4870" max="5089" width="11.42578125" style="498"/>
    <col min="5090" max="5090" width="6.42578125" style="498" customWidth="1"/>
    <col min="5091" max="5091" width="47.5703125" style="498" customWidth="1"/>
    <col min="5092" max="5093" width="5" style="498" customWidth="1"/>
    <col min="5094" max="5094" width="5.42578125" style="498" customWidth="1"/>
    <col min="5095" max="5095" width="4.5703125" style="498" customWidth="1"/>
    <col min="5096" max="5097" width="4.42578125" style="498" customWidth="1"/>
    <col min="5098" max="5098" width="3.5703125" style="498" customWidth="1"/>
    <col min="5099" max="5099" width="5" style="498" customWidth="1"/>
    <col min="5100" max="5100" width="4" style="498" customWidth="1"/>
    <col min="5101" max="5102" width="4.5703125" style="498" customWidth="1"/>
    <col min="5103" max="5103" width="4.42578125" style="498" customWidth="1"/>
    <col min="5104" max="5104" width="4" style="498" customWidth="1"/>
    <col min="5105" max="5105" width="3.5703125" style="498" customWidth="1"/>
    <col min="5106" max="5107" width="4.5703125" style="498" customWidth="1"/>
    <col min="5108" max="5108" width="4" style="498" customWidth="1"/>
    <col min="5109" max="5110" width="4.42578125" style="498" customWidth="1"/>
    <col min="5111" max="5111" width="3.5703125" style="498" customWidth="1"/>
    <col min="5112" max="5112" width="4.42578125" style="498" customWidth="1"/>
    <col min="5113" max="5113" width="5.5703125" style="498" customWidth="1"/>
    <col min="5114" max="5114" width="3.5703125" style="498" customWidth="1"/>
    <col min="5115" max="5115" width="4" style="498" customWidth="1"/>
    <col min="5116" max="5116" width="4.5703125" style="498" customWidth="1"/>
    <col min="5117" max="5119" width="4.42578125" style="498" customWidth="1"/>
    <col min="5120" max="5121" width="4.5703125" style="498" customWidth="1"/>
    <col min="5122" max="5122" width="4" style="498" customWidth="1"/>
    <col min="5123" max="5123" width="4.5703125" style="498" customWidth="1"/>
    <col min="5124" max="5124" width="6" style="498" customWidth="1"/>
    <col min="5125" max="5125" width="8.5703125" style="498" customWidth="1"/>
    <col min="5126" max="5345" width="11.42578125" style="498"/>
    <col min="5346" max="5346" width="6.42578125" style="498" customWidth="1"/>
    <col min="5347" max="5347" width="47.5703125" style="498" customWidth="1"/>
    <col min="5348" max="5349" width="5" style="498" customWidth="1"/>
    <col min="5350" max="5350" width="5.42578125" style="498" customWidth="1"/>
    <col min="5351" max="5351" width="4.5703125" style="498" customWidth="1"/>
    <col min="5352" max="5353" width="4.42578125" style="498" customWidth="1"/>
    <col min="5354" max="5354" width="3.5703125" style="498" customWidth="1"/>
    <col min="5355" max="5355" width="5" style="498" customWidth="1"/>
    <col min="5356" max="5356" width="4" style="498" customWidth="1"/>
    <col min="5357" max="5358" width="4.5703125" style="498" customWidth="1"/>
    <col min="5359" max="5359" width="4.42578125" style="498" customWidth="1"/>
    <col min="5360" max="5360" width="4" style="498" customWidth="1"/>
    <col min="5361" max="5361" width="3.5703125" style="498" customWidth="1"/>
    <col min="5362" max="5363" width="4.5703125" style="498" customWidth="1"/>
    <col min="5364" max="5364" width="4" style="498" customWidth="1"/>
    <col min="5365" max="5366" width="4.42578125" style="498" customWidth="1"/>
    <col min="5367" max="5367" width="3.5703125" style="498" customWidth="1"/>
    <col min="5368" max="5368" width="4.42578125" style="498" customWidth="1"/>
    <col min="5369" max="5369" width="5.5703125" style="498" customWidth="1"/>
    <col min="5370" max="5370" width="3.5703125" style="498" customWidth="1"/>
    <col min="5371" max="5371" width="4" style="498" customWidth="1"/>
    <col min="5372" max="5372" width="4.5703125" style="498" customWidth="1"/>
    <col min="5373" max="5375" width="4.42578125" style="498" customWidth="1"/>
    <col min="5376" max="5377" width="4.5703125" style="498" customWidth="1"/>
    <col min="5378" max="5378" width="4" style="498" customWidth="1"/>
    <col min="5379" max="5379" width="4.5703125" style="498" customWidth="1"/>
    <col min="5380" max="5380" width="6" style="498" customWidth="1"/>
    <col min="5381" max="5381" width="8.5703125" style="498" customWidth="1"/>
    <col min="5382" max="5601" width="11.42578125" style="498"/>
    <col min="5602" max="5602" width="6.42578125" style="498" customWidth="1"/>
    <col min="5603" max="5603" width="47.5703125" style="498" customWidth="1"/>
    <col min="5604" max="5605" width="5" style="498" customWidth="1"/>
    <col min="5606" max="5606" width="5.42578125" style="498" customWidth="1"/>
    <col min="5607" max="5607" width="4.5703125" style="498" customWidth="1"/>
    <col min="5608" max="5609" width="4.42578125" style="498" customWidth="1"/>
    <col min="5610" max="5610" width="3.5703125" style="498" customWidth="1"/>
    <col min="5611" max="5611" width="5" style="498" customWidth="1"/>
    <col min="5612" max="5612" width="4" style="498" customWidth="1"/>
    <col min="5613" max="5614" width="4.5703125" style="498" customWidth="1"/>
    <col min="5615" max="5615" width="4.42578125" style="498" customWidth="1"/>
    <col min="5616" max="5616" width="4" style="498" customWidth="1"/>
    <col min="5617" max="5617" width="3.5703125" style="498" customWidth="1"/>
    <col min="5618" max="5619" width="4.5703125" style="498" customWidth="1"/>
    <col min="5620" max="5620" width="4" style="498" customWidth="1"/>
    <col min="5621" max="5622" width="4.42578125" style="498" customWidth="1"/>
    <col min="5623" max="5623" width="3.5703125" style="498" customWidth="1"/>
    <col min="5624" max="5624" width="4.42578125" style="498" customWidth="1"/>
    <col min="5625" max="5625" width="5.5703125" style="498" customWidth="1"/>
    <col min="5626" max="5626" width="3.5703125" style="498" customWidth="1"/>
    <col min="5627" max="5627" width="4" style="498" customWidth="1"/>
    <col min="5628" max="5628" width="4.5703125" style="498" customWidth="1"/>
    <col min="5629" max="5631" width="4.42578125" style="498" customWidth="1"/>
    <col min="5632" max="5633" width="4.5703125" style="498" customWidth="1"/>
    <col min="5634" max="5634" width="4" style="498" customWidth="1"/>
    <col min="5635" max="5635" width="4.5703125" style="498" customWidth="1"/>
    <col min="5636" max="5636" width="6" style="498" customWidth="1"/>
    <col min="5637" max="5637" width="8.5703125" style="498" customWidth="1"/>
    <col min="5638" max="5857" width="11.42578125" style="498"/>
    <col min="5858" max="5858" width="6.42578125" style="498" customWidth="1"/>
    <col min="5859" max="5859" width="47.5703125" style="498" customWidth="1"/>
    <col min="5860" max="5861" width="5" style="498" customWidth="1"/>
    <col min="5862" max="5862" width="5.42578125" style="498" customWidth="1"/>
    <col min="5863" max="5863" width="4.5703125" style="498" customWidth="1"/>
    <col min="5864" max="5865" width="4.42578125" style="498" customWidth="1"/>
    <col min="5866" max="5866" width="3.5703125" style="498" customWidth="1"/>
    <col min="5867" max="5867" width="5" style="498" customWidth="1"/>
    <col min="5868" max="5868" width="4" style="498" customWidth="1"/>
    <col min="5869" max="5870" width="4.5703125" style="498" customWidth="1"/>
    <col min="5871" max="5871" width="4.42578125" style="498" customWidth="1"/>
    <col min="5872" max="5872" width="4" style="498" customWidth="1"/>
    <col min="5873" max="5873" width="3.5703125" style="498" customWidth="1"/>
    <col min="5874" max="5875" width="4.5703125" style="498" customWidth="1"/>
    <col min="5876" max="5876" width="4" style="498" customWidth="1"/>
    <col min="5877" max="5878" width="4.42578125" style="498" customWidth="1"/>
    <col min="5879" max="5879" width="3.5703125" style="498" customWidth="1"/>
    <col min="5880" max="5880" width="4.42578125" style="498" customWidth="1"/>
    <col min="5881" max="5881" width="5.5703125" style="498" customWidth="1"/>
    <col min="5882" max="5882" width="3.5703125" style="498" customWidth="1"/>
    <col min="5883" max="5883" width="4" style="498" customWidth="1"/>
    <col min="5884" max="5884" width="4.5703125" style="498" customWidth="1"/>
    <col min="5885" max="5887" width="4.42578125" style="498" customWidth="1"/>
    <col min="5888" max="5889" width="4.5703125" style="498" customWidth="1"/>
    <col min="5890" max="5890" width="4" style="498" customWidth="1"/>
    <col min="5891" max="5891" width="4.5703125" style="498" customWidth="1"/>
    <col min="5892" max="5892" width="6" style="498" customWidth="1"/>
    <col min="5893" max="5893" width="8.5703125" style="498" customWidth="1"/>
    <col min="5894" max="6113" width="11.42578125" style="498"/>
    <col min="6114" max="6114" width="6.42578125" style="498" customWidth="1"/>
    <col min="6115" max="6115" width="47.5703125" style="498" customWidth="1"/>
    <col min="6116" max="6117" width="5" style="498" customWidth="1"/>
    <col min="6118" max="6118" width="5.42578125" style="498" customWidth="1"/>
    <col min="6119" max="6119" width="4.5703125" style="498" customWidth="1"/>
    <col min="6120" max="6121" width="4.42578125" style="498" customWidth="1"/>
    <col min="6122" max="6122" width="3.5703125" style="498" customWidth="1"/>
    <col min="6123" max="6123" width="5" style="498" customWidth="1"/>
    <col min="6124" max="6124" width="4" style="498" customWidth="1"/>
    <col min="6125" max="6126" width="4.5703125" style="498" customWidth="1"/>
    <col min="6127" max="6127" width="4.42578125" style="498" customWidth="1"/>
    <col min="6128" max="6128" width="4" style="498" customWidth="1"/>
    <col min="6129" max="6129" width="3.5703125" style="498" customWidth="1"/>
    <col min="6130" max="6131" width="4.5703125" style="498" customWidth="1"/>
    <col min="6132" max="6132" width="4" style="498" customWidth="1"/>
    <col min="6133" max="6134" width="4.42578125" style="498" customWidth="1"/>
    <col min="6135" max="6135" width="3.5703125" style="498" customWidth="1"/>
    <col min="6136" max="6136" width="4.42578125" style="498" customWidth="1"/>
    <col min="6137" max="6137" width="5.5703125" style="498" customWidth="1"/>
    <col min="6138" max="6138" width="3.5703125" style="498" customWidth="1"/>
    <col min="6139" max="6139" width="4" style="498" customWidth="1"/>
    <col min="6140" max="6140" width="4.5703125" style="498" customWidth="1"/>
    <col min="6141" max="6143" width="4.42578125" style="498" customWidth="1"/>
    <col min="6144" max="6145" width="4.5703125" style="498" customWidth="1"/>
    <col min="6146" max="6146" width="4" style="498" customWidth="1"/>
    <col min="6147" max="6147" width="4.5703125" style="498" customWidth="1"/>
    <col min="6148" max="6148" width="6" style="498" customWidth="1"/>
    <col min="6149" max="6149" width="8.5703125" style="498" customWidth="1"/>
    <col min="6150" max="6369" width="11.42578125" style="498"/>
    <col min="6370" max="6370" width="6.42578125" style="498" customWidth="1"/>
    <col min="6371" max="6371" width="47.5703125" style="498" customWidth="1"/>
    <col min="6372" max="6373" width="5" style="498" customWidth="1"/>
    <col min="6374" max="6374" width="5.42578125" style="498" customWidth="1"/>
    <col min="6375" max="6375" width="4.5703125" style="498" customWidth="1"/>
    <col min="6376" max="6377" width="4.42578125" style="498" customWidth="1"/>
    <col min="6378" max="6378" width="3.5703125" style="498" customWidth="1"/>
    <col min="6379" max="6379" width="5" style="498" customWidth="1"/>
    <col min="6380" max="6380" width="4" style="498" customWidth="1"/>
    <col min="6381" max="6382" width="4.5703125" style="498" customWidth="1"/>
    <col min="6383" max="6383" width="4.42578125" style="498" customWidth="1"/>
    <col min="6384" max="6384" width="4" style="498" customWidth="1"/>
    <col min="6385" max="6385" width="3.5703125" style="498" customWidth="1"/>
    <col min="6386" max="6387" width="4.5703125" style="498" customWidth="1"/>
    <col min="6388" max="6388" width="4" style="498" customWidth="1"/>
    <col min="6389" max="6390" width="4.42578125" style="498" customWidth="1"/>
    <col min="6391" max="6391" width="3.5703125" style="498" customWidth="1"/>
    <col min="6392" max="6392" width="4.42578125" style="498" customWidth="1"/>
    <col min="6393" max="6393" width="5.5703125" style="498" customWidth="1"/>
    <col min="6394" max="6394" width="3.5703125" style="498" customWidth="1"/>
    <col min="6395" max="6395" width="4" style="498" customWidth="1"/>
    <col min="6396" max="6396" width="4.5703125" style="498" customWidth="1"/>
    <col min="6397" max="6399" width="4.42578125" style="498" customWidth="1"/>
    <col min="6400" max="6401" width="4.5703125" style="498" customWidth="1"/>
    <col min="6402" max="6402" width="4" style="498" customWidth="1"/>
    <col min="6403" max="6403" width="4.5703125" style="498" customWidth="1"/>
    <col min="6404" max="6404" width="6" style="498" customWidth="1"/>
    <col min="6405" max="6405" width="8.5703125" style="498" customWidth="1"/>
    <col min="6406" max="6625" width="11.42578125" style="498"/>
    <col min="6626" max="6626" width="6.42578125" style="498" customWidth="1"/>
    <col min="6627" max="6627" width="47.5703125" style="498" customWidth="1"/>
    <col min="6628" max="6629" width="5" style="498" customWidth="1"/>
    <col min="6630" max="6630" width="5.42578125" style="498" customWidth="1"/>
    <col min="6631" max="6631" width="4.5703125" style="498" customWidth="1"/>
    <col min="6632" max="6633" width="4.42578125" style="498" customWidth="1"/>
    <col min="6634" max="6634" width="3.5703125" style="498" customWidth="1"/>
    <col min="6635" max="6635" width="5" style="498" customWidth="1"/>
    <col min="6636" max="6636" width="4" style="498" customWidth="1"/>
    <col min="6637" max="6638" width="4.5703125" style="498" customWidth="1"/>
    <col min="6639" max="6639" width="4.42578125" style="498" customWidth="1"/>
    <col min="6640" max="6640" width="4" style="498" customWidth="1"/>
    <col min="6641" max="6641" width="3.5703125" style="498" customWidth="1"/>
    <col min="6642" max="6643" width="4.5703125" style="498" customWidth="1"/>
    <col min="6644" max="6644" width="4" style="498" customWidth="1"/>
    <col min="6645" max="6646" width="4.42578125" style="498" customWidth="1"/>
    <col min="6647" max="6647" width="3.5703125" style="498" customWidth="1"/>
    <col min="6648" max="6648" width="4.42578125" style="498" customWidth="1"/>
    <col min="6649" max="6649" width="5.5703125" style="498" customWidth="1"/>
    <col min="6650" max="6650" width="3.5703125" style="498" customWidth="1"/>
    <col min="6651" max="6651" width="4" style="498" customWidth="1"/>
    <col min="6652" max="6652" width="4.5703125" style="498" customWidth="1"/>
    <col min="6653" max="6655" width="4.42578125" style="498" customWidth="1"/>
    <col min="6656" max="6657" width="4.5703125" style="498" customWidth="1"/>
    <col min="6658" max="6658" width="4" style="498" customWidth="1"/>
    <col min="6659" max="6659" width="4.5703125" style="498" customWidth="1"/>
    <col min="6660" max="6660" width="6" style="498" customWidth="1"/>
    <col min="6661" max="6661" width="8.5703125" style="498" customWidth="1"/>
    <col min="6662" max="6881" width="11.42578125" style="498"/>
    <col min="6882" max="6882" width="6.42578125" style="498" customWidth="1"/>
    <col min="6883" max="6883" width="47.5703125" style="498" customWidth="1"/>
    <col min="6884" max="6885" width="5" style="498" customWidth="1"/>
    <col min="6886" max="6886" width="5.42578125" style="498" customWidth="1"/>
    <col min="6887" max="6887" width="4.5703125" style="498" customWidth="1"/>
    <col min="6888" max="6889" width="4.42578125" style="498" customWidth="1"/>
    <col min="6890" max="6890" width="3.5703125" style="498" customWidth="1"/>
    <col min="6891" max="6891" width="5" style="498" customWidth="1"/>
    <col min="6892" max="6892" width="4" style="498" customWidth="1"/>
    <col min="6893" max="6894" width="4.5703125" style="498" customWidth="1"/>
    <col min="6895" max="6895" width="4.42578125" style="498" customWidth="1"/>
    <col min="6896" max="6896" width="4" style="498" customWidth="1"/>
    <col min="6897" max="6897" width="3.5703125" style="498" customWidth="1"/>
    <col min="6898" max="6899" width="4.5703125" style="498" customWidth="1"/>
    <col min="6900" max="6900" width="4" style="498" customWidth="1"/>
    <col min="6901" max="6902" width="4.42578125" style="498" customWidth="1"/>
    <col min="6903" max="6903" width="3.5703125" style="498" customWidth="1"/>
    <col min="6904" max="6904" width="4.42578125" style="498" customWidth="1"/>
    <col min="6905" max="6905" width="5.5703125" style="498" customWidth="1"/>
    <col min="6906" max="6906" width="3.5703125" style="498" customWidth="1"/>
    <col min="6907" max="6907" width="4" style="498" customWidth="1"/>
    <col min="6908" max="6908" width="4.5703125" style="498" customWidth="1"/>
    <col min="6909" max="6911" width="4.42578125" style="498" customWidth="1"/>
    <col min="6912" max="6913" width="4.5703125" style="498" customWidth="1"/>
    <col min="6914" max="6914" width="4" style="498" customWidth="1"/>
    <col min="6915" max="6915" width="4.5703125" style="498" customWidth="1"/>
    <col min="6916" max="6916" width="6" style="498" customWidth="1"/>
    <col min="6917" max="6917" width="8.5703125" style="498" customWidth="1"/>
    <col min="6918" max="7137" width="11.42578125" style="498"/>
    <col min="7138" max="7138" width="6.42578125" style="498" customWidth="1"/>
    <col min="7139" max="7139" width="47.5703125" style="498" customWidth="1"/>
    <col min="7140" max="7141" width="5" style="498" customWidth="1"/>
    <col min="7142" max="7142" width="5.42578125" style="498" customWidth="1"/>
    <col min="7143" max="7143" width="4.5703125" style="498" customWidth="1"/>
    <col min="7144" max="7145" width="4.42578125" style="498" customWidth="1"/>
    <col min="7146" max="7146" width="3.5703125" style="498" customWidth="1"/>
    <col min="7147" max="7147" width="5" style="498" customWidth="1"/>
    <col min="7148" max="7148" width="4" style="498" customWidth="1"/>
    <col min="7149" max="7150" width="4.5703125" style="498" customWidth="1"/>
    <col min="7151" max="7151" width="4.42578125" style="498" customWidth="1"/>
    <col min="7152" max="7152" width="4" style="498" customWidth="1"/>
    <col min="7153" max="7153" width="3.5703125" style="498" customWidth="1"/>
    <col min="7154" max="7155" width="4.5703125" style="498" customWidth="1"/>
    <col min="7156" max="7156" width="4" style="498" customWidth="1"/>
    <col min="7157" max="7158" width="4.42578125" style="498" customWidth="1"/>
    <col min="7159" max="7159" width="3.5703125" style="498" customWidth="1"/>
    <col min="7160" max="7160" width="4.42578125" style="498" customWidth="1"/>
    <col min="7161" max="7161" width="5.5703125" style="498" customWidth="1"/>
    <col min="7162" max="7162" width="3.5703125" style="498" customWidth="1"/>
    <col min="7163" max="7163" width="4" style="498" customWidth="1"/>
    <col min="7164" max="7164" width="4.5703125" style="498" customWidth="1"/>
    <col min="7165" max="7167" width="4.42578125" style="498" customWidth="1"/>
    <col min="7168" max="7169" width="4.5703125" style="498" customWidth="1"/>
    <col min="7170" max="7170" width="4" style="498" customWidth="1"/>
    <col min="7171" max="7171" width="4.5703125" style="498" customWidth="1"/>
    <col min="7172" max="7172" width="6" style="498" customWidth="1"/>
    <col min="7173" max="7173" width="8.5703125" style="498" customWidth="1"/>
    <col min="7174" max="7393" width="11.42578125" style="498"/>
    <col min="7394" max="7394" width="6.42578125" style="498" customWidth="1"/>
    <col min="7395" max="7395" width="47.5703125" style="498" customWidth="1"/>
    <col min="7396" max="7397" width="5" style="498" customWidth="1"/>
    <col min="7398" max="7398" width="5.42578125" style="498" customWidth="1"/>
    <col min="7399" max="7399" width="4.5703125" style="498" customWidth="1"/>
    <col min="7400" max="7401" width="4.42578125" style="498" customWidth="1"/>
    <col min="7402" max="7402" width="3.5703125" style="498" customWidth="1"/>
    <col min="7403" max="7403" width="5" style="498" customWidth="1"/>
    <col min="7404" max="7404" width="4" style="498" customWidth="1"/>
    <col min="7405" max="7406" width="4.5703125" style="498" customWidth="1"/>
    <col min="7407" max="7407" width="4.42578125" style="498" customWidth="1"/>
    <col min="7408" max="7408" width="4" style="498" customWidth="1"/>
    <col min="7409" max="7409" width="3.5703125" style="498" customWidth="1"/>
    <col min="7410" max="7411" width="4.5703125" style="498" customWidth="1"/>
    <col min="7412" max="7412" width="4" style="498" customWidth="1"/>
    <col min="7413" max="7414" width="4.42578125" style="498" customWidth="1"/>
    <col min="7415" max="7415" width="3.5703125" style="498" customWidth="1"/>
    <col min="7416" max="7416" width="4.42578125" style="498" customWidth="1"/>
    <col min="7417" max="7417" width="5.5703125" style="498" customWidth="1"/>
    <col min="7418" max="7418" width="3.5703125" style="498" customWidth="1"/>
    <col min="7419" max="7419" width="4" style="498" customWidth="1"/>
    <col min="7420" max="7420" width="4.5703125" style="498" customWidth="1"/>
    <col min="7421" max="7423" width="4.42578125" style="498" customWidth="1"/>
    <col min="7424" max="7425" width="4.5703125" style="498" customWidth="1"/>
    <col min="7426" max="7426" width="4" style="498" customWidth="1"/>
    <col min="7427" max="7427" width="4.5703125" style="498" customWidth="1"/>
    <col min="7428" max="7428" width="6" style="498" customWidth="1"/>
    <col min="7429" max="7429" width="8.5703125" style="498" customWidth="1"/>
    <col min="7430" max="7649" width="11.42578125" style="498"/>
    <col min="7650" max="7650" width="6.42578125" style="498" customWidth="1"/>
    <col min="7651" max="7651" width="47.5703125" style="498" customWidth="1"/>
    <col min="7652" max="7653" width="5" style="498" customWidth="1"/>
    <col min="7654" max="7654" width="5.42578125" style="498" customWidth="1"/>
    <col min="7655" max="7655" width="4.5703125" style="498" customWidth="1"/>
    <col min="7656" max="7657" width="4.42578125" style="498" customWidth="1"/>
    <col min="7658" max="7658" width="3.5703125" style="498" customWidth="1"/>
    <col min="7659" max="7659" width="5" style="498" customWidth="1"/>
    <col min="7660" max="7660" width="4" style="498" customWidth="1"/>
    <col min="7661" max="7662" width="4.5703125" style="498" customWidth="1"/>
    <col min="7663" max="7663" width="4.42578125" style="498" customWidth="1"/>
    <col min="7664" max="7664" width="4" style="498" customWidth="1"/>
    <col min="7665" max="7665" width="3.5703125" style="498" customWidth="1"/>
    <col min="7666" max="7667" width="4.5703125" style="498" customWidth="1"/>
    <col min="7668" max="7668" width="4" style="498" customWidth="1"/>
    <col min="7669" max="7670" width="4.42578125" style="498" customWidth="1"/>
    <col min="7671" max="7671" width="3.5703125" style="498" customWidth="1"/>
    <col min="7672" max="7672" width="4.42578125" style="498" customWidth="1"/>
    <col min="7673" max="7673" width="5.5703125" style="498" customWidth="1"/>
    <col min="7674" max="7674" width="3.5703125" style="498" customWidth="1"/>
    <col min="7675" max="7675" width="4" style="498" customWidth="1"/>
    <col min="7676" max="7676" width="4.5703125" style="498" customWidth="1"/>
    <col min="7677" max="7679" width="4.42578125" style="498" customWidth="1"/>
    <col min="7680" max="7681" width="4.5703125" style="498" customWidth="1"/>
    <col min="7682" max="7682" width="4" style="498" customWidth="1"/>
    <col min="7683" max="7683" width="4.5703125" style="498" customWidth="1"/>
    <col min="7684" max="7684" width="6" style="498" customWidth="1"/>
    <col min="7685" max="7685" width="8.5703125" style="498" customWidth="1"/>
    <col min="7686" max="7905" width="11.42578125" style="498"/>
    <col min="7906" max="7906" width="6.42578125" style="498" customWidth="1"/>
    <col min="7907" max="7907" width="47.5703125" style="498" customWidth="1"/>
    <col min="7908" max="7909" width="5" style="498" customWidth="1"/>
    <col min="7910" max="7910" width="5.42578125" style="498" customWidth="1"/>
    <col min="7911" max="7911" width="4.5703125" style="498" customWidth="1"/>
    <col min="7912" max="7913" width="4.42578125" style="498" customWidth="1"/>
    <col min="7914" max="7914" width="3.5703125" style="498" customWidth="1"/>
    <col min="7915" max="7915" width="5" style="498" customWidth="1"/>
    <col min="7916" max="7916" width="4" style="498" customWidth="1"/>
    <col min="7917" max="7918" width="4.5703125" style="498" customWidth="1"/>
    <col min="7919" max="7919" width="4.42578125" style="498" customWidth="1"/>
    <col min="7920" max="7920" width="4" style="498" customWidth="1"/>
    <col min="7921" max="7921" width="3.5703125" style="498" customWidth="1"/>
    <col min="7922" max="7923" width="4.5703125" style="498" customWidth="1"/>
    <col min="7924" max="7924" width="4" style="498" customWidth="1"/>
    <col min="7925" max="7926" width="4.42578125" style="498" customWidth="1"/>
    <col min="7927" max="7927" width="3.5703125" style="498" customWidth="1"/>
    <col min="7928" max="7928" width="4.42578125" style="498" customWidth="1"/>
    <col min="7929" max="7929" width="5.5703125" style="498" customWidth="1"/>
    <col min="7930" max="7930" width="3.5703125" style="498" customWidth="1"/>
    <col min="7931" max="7931" width="4" style="498" customWidth="1"/>
    <col min="7932" max="7932" width="4.5703125" style="498" customWidth="1"/>
    <col min="7933" max="7935" width="4.42578125" style="498" customWidth="1"/>
    <col min="7936" max="7937" width="4.5703125" style="498" customWidth="1"/>
    <col min="7938" max="7938" width="4" style="498" customWidth="1"/>
    <col min="7939" max="7939" width="4.5703125" style="498" customWidth="1"/>
    <col min="7940" max="7940" width="6" style="498" customWidth="1"/>
    <col min="7941" max="7941" width="8.5703125" style="498" customWidth="1"/>
    <col min="7942" max="8161" width="11.42578125" style="498"/>
    <col min="8162" max="8162" width="6.42578125" style="498" customWidth="1"/>
    <col min="8163" max="8163" width="47.5703125" style="498" customWidth="1"/>
    <col min="8164" max="8165" width="5" style="498" customWidth="1"/>
    <col min="8166" max="8166" width="5.42578125" style="498" customWidth="1"/>
    <col min="8167" max="8167" width="4.5703125" style="498" customWidth="1"/>
    <col min="8168" max="8169" width="4.42578125" style="498" customWidth="1"/>
    <col min="8170" max="8170" width="3.5703125" style="498" customWidth="1"/>
    <col min="8171" max="8171" width="5" style="498" customWidth="1"/>
    <col min="8172" max="8172" width="4" style="498" customWidth="1"/>
    <col min="8173" max="8174" width="4.5703125" style="498" customWidth="1"/>
    <col min="8175" max="8175" width="4.42578125" style="498" customWidth="1"/>
    <col min="8176" max="8176" width="4" style="498" customWidth="1"/>
    <col min="8177" max="8177" width="3.5703125" style="498" customWidth="1"/>
    <col min="8178" max="8179" width="4.5703125" style="498" customWidth="1"/>
    <col min="8180" max="8180" width="4" style="498" customWidth="1"/>
    <col min="8181" max="8182" width="4.42578125" style="498" customWidth="1"/>
    <col min="8183" max="8183" width="3.5703125" style="498" customWidth="1"/>
    <col min="8184" max="8184" width="4.42578125" style="498" customWidth="1"/>
    <col min="8185" max="8185" width="5.5703125" style="498" customWidth="1"/>
    <col min="8186" max="8186" width="3.5703125" style="498" customWidth="1"/>
    <col min="8187" max="8187" width="4" style="498" customWidth="1"/>
    <col min="8188" max="8188" width="4.5703125" style="498" customWidth="1"/>
    <col min="8189" max="8191" width="4.42578125" style="498" customWidth="1"/>
    <col min="8192" max="8193" width="4.5703125" style="498" customWidth="1"/>
    <col min="8194" max="8194" width="4" style="498" customWidth="1"/>
    <col min="8195" max="8195" width="4.5703125" style="498" customWidth="1"/>
    <col min="8196" max="8196" width="6" style="498" customWidth="1"/>
    <col min="8197" max="8197" width="8.5703125" style="498" customWidth="1"/>
    <col min="8198" max="8417" width="11.42578125" style="498"/>
    <col min="8418" max="8418" width="6.42578125" style="498" customWidth="1"/>
    <col min="8419" max="8419" width="47.5703125" style="498" customWidth="1"/>
    <col min="8420" max="8421" width="5" style="498" customWidth="1"/>
    <col min="8422" max="8422" width="5.42578125" style="498" customWidth="1"/>
    <col min="8423" max="8423" width="4.5703125" style="498" customWidth="1"/>
    <col min="8424" max="8425" width="4.42578125" style="498" customWidth="1"/>
    <col min="8426" max="8426" width="3.5703125" style="498" customWidth="1"/>
    <col min="8427" max="8427" width="5" style="498" customWidth="1"/>
    <col min="8428" max="8428" width="4" style="498" customWidth="1"/>
    <col min="8429" max="8430" width="4.5703125" style="498" customWidth="1"/>
    <col min="8431" max="8431" width="4.42578125" style="498" customWidth="1"/>
    <col min="8432" max="8432" width="4" style="498" customWidth="1"/>
    <col min="8433" max="8433" width="3.5703125" style="498" customWidth="1"/>
    <col min="8434" max="8435" width="4.5703125" style="498" customWidth="1"/>
    <col min="8436" max="8436" width="4" style="498" customWidth="1"/>
    <col min="8437" max="8438" width="4.42578125" style="498" customWidth="1"/>
    <col min="8439" max="8439" width="3.5703125" style="498" customWidth="1"/>
    <col min="8440" max="8440" width="4.42578125" style="498" customWidth="1"/>
    <col min="8441" max="8441" width="5.5703125" style="498" customWidth="1"/>
    <col min="8442" max="8442" width="3.5703125" style="498" customWidth="1"/>
    <col min="8443" max="8443" width="4" style="498" customWidth="1"/>
    <col min="8444" max="8444" width="4.5703125" style="498" customWidth="1"/>
    <col min="8445" max="8447" width="4.42578125" style="498" customWidth="1"/>
    <col min="8448" max="8449" width="4.5703125" style="498" customWidth="1"/>
    <col min="8450" max="8450" width="4" style="498" customWidth="1"/>
    <col min="8451" max="8451" width="4.5703125" style="498" customWidth="1"/>
    <col min="8452" max="8452" width="6" style="498" customWidth="1"/>
    <col min="8453" max="8453" width="8.5703125" style="498" customWidth="1"/>
    <col min="8454" max="8673" width="11.42578125" style="498"/>
    <col min="8674" max="8674" width="6.42578125" style="498" customWidth="1"/>
    <col min="8675" max="8675" width="47.5703125" style="498" customWidth="1"/>
    <col min="8676" max="8677" width="5" style="498" customWidth="1"/>
    <col min="8678" max="8678" width="5.42578125" style="498" customWidth="1"/>
    <col min="8679" max="8679" width="4.5703125" style="498" customWidth="1"/>
    <col min="8680" max="8681" width="4.42578125" style="498" customWidth="1"/>
    <col min="8682" max="8682" width="3.5703125" style="498" customWidth="1"/>
    <col min="8683" max="8683" width="5" style="498" customWidth="1"/>
    <col min="8684" max="8684" width="4" style="498" customWidth="1"/>
    <col min="8685" max="8686" width="4.5703125" style="498" customWidth="1"/>
    <col min="8687" max="8687" width="4.42578125" style="498" customWidth="1"/>
    <col min="8688" max="8688" width="4" style="498" customWidth="1"/>
    <col min="8689" max="8689" width="3.5703125" style="498" customWidth="1"/>
    <col min="8690" max="8691" width="4.5703125" style="498" customWidth="1"/>
    <col min="8692" max="8692" width="4" style="498" customWidth="1"/>
    <col min="8693" max="8694" width="4.42578125" style="498" customWidth="1"/>
    <col min="8695" max="8695" width="3.5703125" style="498" customWidth="1"/>
    <col min="8696" max="8696" width="4.42578125" style="498" customWidth="1"/>
    <col min="8697" max="8697" width="5.5703125" style="498" customWidth="1"/>
    <col min="8698" max="8698" width="3.5703125" style="498" customWidth="1"/>
    <col min="8699" max="8699" width="4" style="498" customWidth="1"/>
    <col min="8700" max="8700" width="4.5703125" style="498" customWidth="1"/>
    <col min="8701" max="8703" width="4.42578125" style="498" customWidth="1"/>
    <col min="8704" max="8705" width="4.5703125" style="498" customWidth="1"/>
    <col min="8706" max="8706" width="4" style="498" customWidth="1"/>
    <col min="8707" max="8707" width="4.5703125" style="498" customWidth="1"/>
    <col min="8708" max="8708" width="6" style="498" customWidth="1"/>
    <col min="8709" max="8709" width="8.5703125" style="498" customWidth="1"/>
    <col min="8710" max="8929" width="11.42578125" style="498"/>
    <col min="8930" max="8930" width="6.42578125" style="498" customWidth="1"/>
    <col min="8931" max="8931" width="47.5703125" style="498" customWidth="1"/>
    <col min="8932" max="8933" width="5" style="498" customWidth="1"/>
    <col min="8934" max="8934" width="5.42578125" style="498" customWidth="1"/>
    <col min="8935" max="8935" width="4.5703125" style="498" customWidth="1"/>
    <col min="8936" max="8937" width="4.42578125" style="498" customWidth="1"/>
    <col min="8938" max="8938" width="3.5703125" style="498" customWidth="1"/>
    <col min="8939" max="8939" width="5" style="498" customWidth="1"/>
    <col min="8940" max="8940" width="4" style="498" customWidth="1"/>
    <col min="8941" max="8942" width="4.5703125" style="498" customWidth="1"/>
    <col min="8943" max="8943" width="4.42578125" style="498" customWidth="1"/>
    <col min="8944" max="8944" width="4" style="498" customWidth="1"/>
    <col min="8945" max="8945" width="3.5703125" style="498" customWidth="1"/>
    <col min="8946" max="8947" width="4.5703125" style="498" customWidth="1"/>
    <col min="8948" max="8948" width="4" style="498" customWidth="1"/>
    <col min="8949" max="8950" width="4.42578125" style="498" customWidth="1"/>
    <col min="8951" max="8951" width="3.5703125" style="498" customWidth="1"/>
    <col min="8952" max="8952" width="4.42578125" style="498" customWidth="1"/>
    <col min="8953" max="8953" width="5.5703125" style="498" customWidth="1"/>
    <col min="8954" max="8954" width="3.5703125" style="498" customWidth="1"/>
    <col min="8955" max="8955" width="4" style="498" customWidth="1"/>
    <col min="8956" max="8956" width="4.5703125" style="498" customWidth="1"/>
    <col min="8957" max="8959" width="4.42578125" style="498" customWidth="1"/>
    <col min="8960" max="8961" width="4.5703125" style="498" customWidth="1"/>
    <col min="8962" max="8962" width="4" style="498" customWidth="1"/>
    <col min="8963" max="8963" width="4.5703125" style="498" customWidth="1"/>
    <col min="8964" max="8964" width="6" style="498" customWidth="1"/>
    <col min="8965" max="8965" width="8.5703125" style="498" customWidth="1"/>
    <col min="8966" max="9185" width="11.42578125" style="498"/>
    <col min="9186" max="9186" width="6.42578125" style="498" customWidth="1"/>
    <col min="9187" max="9187" width="47.5703125" style="498" customWidth="1"/>
    <col min="9188" max="9189" width="5" style="498" customWidth="1"/>
    <col min="9190" max="9190" width="5.42578125" style="498" customWidth="1"/>
    <col min="9191" max="9191" width="4.5703125" style="498" customWidth="1"/>
    <col min="9192" max="9193" width="4.42578125" style="498" customWidth="1"/>
    <col min="9194" max="9194" width="3.5703125" style="498" customWidth="1"/>
    <col min="9195" max="9195" width="5" style="498" customWidth="1"/>
    <col min="9196" max="9196" width="4" style="498" customWidth="1"/>
    <col min="9197" max="9198" width="4.5703125" style="498" customWidth="1"/>
    <col min="9199" max="9199" width="4.42578125" style="498" customWidth="1"/>
    <col min="9200" max="9200" width="4" style="498" customWidth="1"/>
    <col min="9201" max="9201" width="3.5703125" style="498" customWidth="1"/>
    <col min="9202" max="9203" width="4.5703125" style="498" customWidth="1"/>
    <col min="9204" max="9204" width="4" style="498" customWidth="1"/>
    <col min="9205" max="9206" width="4.42578125" style="498" customWidth="1"/>
    <col min="9207" max="9207" width="3.5703125" style="498" customWidth="1"/>
    <col min="9208" max="9208" width="4.42578125" style="498" customWidth="1"/>
    <col min="9209" max="9209" width="5.5703125" style="498" customWidth="1"/>
    <col min="9210" max="9210" width="3.5703125" style="498" customWidth="1"/>
    <col min="9211" max="9211" width="4" style="498" customWidth="1"/>
    <col min="9212" max="9212" width="4.5703125" style="498" customWidth="1"/>
    <col min="9213" max="9215" width="4.42578125" style="498" customWidth="1"/>
    <col min="9216" max="9217" width="4.5703125" style="498" customWidth="1"/>
    <col min="9218" max="9218" width="4" style="498" customWidth="1"/>
    <col min="9219" max="9219" width="4.5703125" style="498" customWidth="1"/>
    <col min="9220" max="9220" width="6" style="498" customWidth="1"/>
    <col min="9221" max="9221" width="8.5703125" style="498" customWidth="1"/>
    <col min="9222" max="9441" width="11.42578125" style="498"/>
    <col min="9442" max="9442" width="6.42578125" style="498" customWidth="1"/>
    <col min="9443" max="9443" width="47.5703125" style="498" customWidth="1"/>
    <col min="9444" max="9445" width="5" style="498" customWidth="1"/>
    <col min="9446" max="9446" width="5.42578125" style="498" customWidth="1"/>
    <col min="9447" max="9447" width="4.5703125" style="498" customWidth="1"/>
    <col min="9448" max="9449" width="4.42578125" style="498" customWidth="1"/>
    <col min="9450" max="9450" width="3.5703125" style="498" customWidth="1"/>
    <col min="9451" max="9451" width="5" style="498" customWidth="1"/>
    <col min="9452" max="9452" width="4" style="498" customWidth="1"/>
    <col min="9453" max="9454" width="4.5703125" style="498" customWidth="1"/>
    <col min="9455" max="9455" width="4.42578125" style="498" customWidth="1"/>
    <col min="9456" max="9456" width="4" style="498" customWidth="1"/>
    <col min="9457" max="9457" width="3.5703125" style="498" customWidth="1"/>
    <col min="9458" max="9459" width="4.5703125" style="498" customWidth="1"/>
    <col min="9460" max="9460" width="4" style="498" customWidth="1"/>
    <col min="9461" max="9462" width="4.42578125" style="498" customWidth="1"/>
    <col min="9463" max="9463" width="3.5703125" style="498" customWidth="1"/>
    <col min="9464" max="9464" width="4.42578125" style="498" customWidth="1"/>
    <col min="9465" max="9465" width="5.5703125" style="498" customWidth="1"/>
    <col min="9466" max="9466" width="3.5703125" style="498" customWidth="1"/>
    <col min="9467" max="9467" width="4" style="498" customWidth="1"/>
    <col min="9468" max="9468" width="4.5703125" style="498" customWidth="1"/>
    <col min="9469" max="9471" width="4.42578125" style="498" customWidth="1"/>
    <col min="9472" max="9473" width="4.5703125" style="498" customWidth="1"/>
    <col min="9474" max="9474" width="4" style="498" customWidth="1"/>
    <col min="9475" max="9475" width="4.5703125" style="498" customWidth="1"/>
    <col min="9476" max="9476" width="6" style="498" customWidth="1"/>
    <col min="9477" max="9477" width="8.5703125" style="498" customWidth="1"/>
    <col min="9478" max="9697" width="11.42578125" style="498"/>
    <col min="9698" max="9698" width="6.42578125" style="498" customWidth="1"/>
    <col min="9699" max="9699" width="47.5703125" style="498" customWidth="1"/>
    <col min="9700" max="9701" width="5" style="498" customWidth="1"/>
    <col min="9702" max="9702" width="5.42578125" style="498" customWidth="1"/>
    <col min="9703" max="9703" width="4.5703125" style="498" customWidth="1"/>
    <col min="9704" max="9705" width="4.42578125" style="498" customWidth="1"/>
    <col min="9706" max="9706" width="3.5703125" style="498" customWidth="1"/>
    <col min="9707" max="9707" width="5" style="498" customWidth="1"/>
    <col min="9708" max="9708" width="4" style="498" customWidth="1"/>
    <col min="9709" max="9710" width="4.5703125" style="498" customWidth="1"/>
    <col min="9711" max="9711" width="4.42578125" style="498" customWidth="1"/>
    <col min="9712" max="9712" width="4" style="498" customWidth="1"/>
    <col min="9713" max="9713" width="3.5703125" style="498" customWidth="1"/>
    <col min="9714" max="9715" width="4.5703125" style="498" customWidth="1"/>
    <col min="9716" max="9716" width="4" style="498" customWidth="1"/>
    <col min="9717" max="9718" width="4.42578125" style="498" customWidth="1"/>
    <col min="9719" max="9719" width="3.5703125" style="498" customWidth="1"/>
    <col min="9720" max="9720" width="4.42578125" style="498" customWidth="1"/>
    <col min="9721" max="9721" width="5.5703125" style="498" customWidth="1"/>
    <col min="9722" max="9722" width="3.5703125" style="498" customWidth="1"/>
    <col min="9723" max="9723" width="4" style="498" customWidth="1"/>
    <col min="9724" max="9724" width="4.5703125" style="498" customWidth="1"/>
    <col min="9725" max="9727" width="4.42578125" style="498" customWidth="1"/>
    <col min="9728" max="9729" width="4.5703125" style="498" customWidth="1"/>
    <col min="9730" max="9730" width="4" style="498" customWidth="1"/>
    <col min="9731" max="9731" width="4.5703125" style="498" customWidth="1"/>
    <col min="9732" max="9732" width="6" style="498" customWidth="1"/>
    <col min="9733" max="9733" width="8.5703125" style="498" customWidth="1"/>
    <col min="9734" max="9953" width="11.42578125" style="498"/>
    <col min="9954" max="9954" width="6.42578125" style="498" customWidth="1"/>
    <col min="9955" max="9955" width="47.5703125" style="498" customWidth="1"/>
    <col min="9956" max="9957" width="5" style="498" customWidth="1"/>
    <col min="9958" max="9958" width="5.42578125" style="498" customWidth="1"/>
    <col min="9959" max="9959" width="4.5703125" style="498" customWidth="1"/>
    <col min="9960" max="9961" width="4.42578125" style="498" customWidth="1"/>
    <col min="9962" max="9962" width="3.5703125" style="498" customWidth="1"/>
    <col min="9963" max="9963" width="5" style="498" customWidth="1"/>
    <col min="9964" max="9964" width="4" style="498" customWidth="1"/>
    <col min="9965" max="9966" width="4.5703125" style="498" customWidth="1"/>
    <col min="9967" max="9967" width="4.42578125" style="498" customWidth="1"/>
    <col min="9968" max="9968" width="4" style="498" customWidth="1"/>
    <col min="9969" max="9969" width="3.5703125" style="498" customWidth="1"/>
    <col min="9970" max="9971" width="4.5703125" style="498" customWidth="1"/>
    <col min="9972" max="9972" width="4" style="498" customWidth="1"/>
    <col min="9973" max="9974" width="4.42578125" style="498" customWidth="1"/>
    <col min="9975" max="9975" width="3.5703125" style="498" customWidth="1"/>
    <col min="9976" max="9976" width="4.42578125" style="498" customWidth="1"/>
    <col min="9977" max="9977" width="5.5703125" style="498" customWidth="1"/>
    <col min="9978" max="9978" width="3.5703125" style="498" customWidth="1"/>
    <col min="9979" max="9979" width="4" style="498" customWidth="1"/>
    <col min="9980" max="9980" width="4.5703125" style="498" customWidth="1"/>
    <col min="9981" max="9983" width="4.42578125" style="498" customWidth="1"/>
    <col min="9984" max="9985" width="4.5703125" style="498" customWidth="1"/>
    <col min="9986" max="9986" width="4" style="498" customWidth="1"/>
    <col min="9987" max="9987" width="4.5703125" style="498" customWidth="1"/>
    <col min="9988" max="9988" width="6" style="498" customWidth="1"/>
    <col min="9989" max="9989" width="8.5703125" style="498" customWidth="1"/>
    <col min="9990" max="10209" width="11.42578125" style="498"/>
    <col min="10210" max="10210" width="6.42578125" style="498" customWidth="1"/>
    <col min="10211" max="10211" width="47.5703125" style="498" customWidth="1"/>
    <col min="10212" max="10213" width="5" style="498" customWidth="1"/>
    <col min="10214" max="10214" width="5.42578125" style="498" customWidth="1"/>
    <col min="10215" max="10215" width="4.5703125" style="498" customWidth="1"/>
    <col min="10216" max="10217" width="4.42578125" style="498" customWidth="1"/>
    <col min="10218" max="10218" width="3.5703125" style="498" customWidth="1"/>
    <col min="10219" max="10219" width="5" style="498" customWidth="1"/>
    <col min="10220" max="10220" width="4" style="498" customWidth="1"/>
    <col min="10221" max="10222" width="4.5703125" style="498" customWidth="1"/>
    <col min="10223" max="10223" width="4.42578125" style="498" customWidth="1"/>
    <col min="10224" max="10224" width="4" style="498" customWidth="1"/>
    <col min="10225" max="10225" width="3.5703125" style="498" customWidth="1"/>
    <col min="10226" max="10227" width="4.5703125" style="498" customWidth="1"/>
    <col min="10228" max="10228" width="4" style="498" customWidth="1"/>
    <col min="10229" max="10230" width="4.42578125" style="498" customWidth="1"/>
    <col min="10231" max="10231" width="3.5703125" style="498" customWidth="1"/>
    <col min="10232" max="10232" width="4.42578125" style="498" customWidth="1"/>
    <col min="10233" max="10233" width="5.5703125" style="498" customWidth="1"/>
    <col min="10234" max="10234" width="3.5703125" style="498" customWidth="1"/>
    <col min="10235" max="10235" width="4" style="498" customWidth="1"/>
    <col min="10236" max="10236" width="4.5703125" style="498" customWidth="1"/>
    <col min="10237" max="10239" width="4.42578125" style="498" customWidth="1"/>
    <col min="10240" max="10241" width="4.5703125" style="498" customWidth="1"/>
    <col min="10242" max="10242" width="4" style="498" customWidth="1"/>
    <col min="10243" max="10243" width="4.5703125" style="498" customWidth="1"/>
    <col min="10244" max="10244" width="6" style="498" customWidth="1"/>
    <col min="10245" max="10245" width="8.5703125" style="498" customWidth="1"/>
    <col min="10246" max="10465" width="11.42578125" style="498"/>
    <col min="10466" max="10466" width="6.42578125" style="498" customWidth="1"/>
    <col min="10467" max="10467" width="47.5703125" style="498" customWidth="1"/>
    <col min="10468" max="10469" width="5" style="498" customWidth="1"/>
    <col min="10470" max="10470" width="5.42578125" style="498" customWidth="1"/>
    <col min="10471" max="10471" width="4.5703125" style="498" customWidth="1"/>
    <col min="10472" max="10473" width="4.42578125" style="498" customWidth="1"/>
    <col min="10474" max="10474" width="3.5703125" style="498" customWidth="1"/>
    <col min="10475" max="10475" width="5" style="498" customWidth="1"/>
    <col min="10476" max="10476" width="4" style="498" customWidth="1"/>
    <col min="10477" max="10478" width="4.5703125" style="498" customWidth="1"/>
    <col min="10479" max="10479" width="4.42578125" style="498" customWidth="1"/>
    <col min="10480" max="10480" width="4" style="498" customWidth="1"/>
    <col min="10481" max="10481" width="3.5703125" style="498" customWidth="1"/>
    <col min="10482" max="10483" width="4.5703125" style="498" customWidth="1"/>
    <col min="10484" max="10484" width="4" style="498" customWidth="1"/>
    <col min="10485" max="10486" width="4.42578125" style="498" customWidth="1"/>
    <col min="10487" max="10487" width="3.5703125" style="498" customWidth="1"/>
    <col min="10488" max="10488" width="4.42578125" style="498" customWidth="1"/>
    <col min="10489" max="10489" width="5.5703125" style="498" customWidth="1"/>
    <col min="10490" max="10490" width="3.5703125" style="498" customWidth="1"/>
    <col min="10491" max="10491" width="4" style="498" customWidth="1"/>
    <col min="10492" max="10492" width="4.5703125" style="498" customWidth="1"/>
    <col min="10493" max="10495" width="4.42578125" style="498" customWidth="1"/>
    <col min="10496" max="10497" width="4.5703125" style="498" customWidth="1"/>
    <col min="10498" max="10498" width="4" style="498" customWidth="1"/>
    <col min="10499" max="10499" width="4.5703125" style="498" customWidth="1"/>
    <col min="10500" max="10500" width="6" style="498" customWidth="1"/>
    <col min="10501" max="10501" width="8.5703125" style="498" customWidth="1"/>
    <col min="10502" max="10721" width="11.42578125" style="498"/>
    <col min="10722" max="10722" width="6.42578125" style="498" customWidth="1"/>
    <col min="10723" max="10723" width="47.5703125" style="498" customWidth="1"/>
    <col min="10724" max="10725" width="5" style="498" customWidth="1"/>
    <col min="10726" max="10726" width="5.42578125" style="498" customWidth="1"/>
    <col min="10727" max="10727" width="4.5703125" style="498" customWidth="1"/>
    <col min="10728" max="10729" width="4.42578125" style="498" customWidth="1"/>
    <col min="10730" max="10730" width="3.5703125" style="498" customWidth="1"/>
    <col min="10731" max="10731" width="5" style="498" customWidth="1"/>
    <col min="10732" max="10732" width="4" style="498" customWidth="1"/>
    <col min="10733" max="10734" width="4.5703125" style="498" customWidth="1"/>
    <col min="10735" max="10735" width="4.42578125" style="498" customWidth="1"/>
    <col min="10736" max="10736" width="4" style="498" customWidth="1"/>
    <col min="10737" max="10737" width="3.5703125" style="498" customWidth="1"/>
    <col min="10738" max="10739" width="4.5703125" style="498" customWidth="1"/>
    <col min="10740" max="10740" width="4" style="498" customWidth="1"/>
    <col min="10741" max="10742" width="4.42578125" style="498" customWidth="1"/>
    <col min="10743" max="10743" width="3.5703125" style="498" customWidth="1"/>
    <col min="10744" max="10744" width="4.42578125" style="498" customWidth="1"/>
    <col min="10745" max="10745" width="5.5703125" style="498" customWidth="1"/>
    <col min="10746" max="10746" width="3.5703125" style="498" customWidth="1"/>
    <col min="10747" max="10747" width="4" style="498" customWidth="1"/>
    <col min="10748" max="10748" width="4.5703125" style="498" customWidth="1"/>
    <col min="10749" max="10751" width="4.42578125" style="498" customWidth="1"/>
    <col min="10752" max="10753" width="4.5703125" style="498" customWidth="1"/>
    <col min="10754" max="10754" width="4" style="498" customWidth="1"/>
    <col min="10755" max="10755" width="4.5703125" style="498" customWidth="1"/>
    <col min="10756" max="10756" width="6" style="498" customWidth="1"/>
    <col min="10757" max="10757" width="8.5703125" style="498" customWidth="1"/>
    <col min="10758" max="10977" width="11.42578125" style="498"/>
    <col min="10978" max="10978" width="6.42578125" style="498" customWidth="1"/>
    <col min="10979" max="10979" width="47.5703125" style="498" customWidth="1"/>
    <col min="10980" max="10981" width="5" style="498" customWidth="1"/>
    <col min="10982" max="10982" width="5.42578125" style="498" customWidth="1"/>
    <col min="10983" max="10983" width="4.5703125" style="498" customWidth="1"/>
    <col min="10984" max="10985" width="4.42578125" style="498" customWidth="1"/>
    <col min="10986" max="10986" width="3.5703125" style="498" customWidth="1"/>
    <col min="10987" max="10987" width="5" style="498" customWidth="1"/>
    <col min="10988" max="10988" width="4" style="498" customWidth="1"/>
    <col min="10989" max="10990" width="4.5703125" style="498" customWidth="1"/>
    <col min="10991" max="10991" width="4.42578125" style="498" customWidth="1"/>
    <col min="10992" max="10992" width="4" style="498" customWidth="1"/>
    <col min="10993" max="10993" width="3.5703125" style="498" customWidth="1"/>
    <col min="10994" max="10995" width="4.5703125" style="498" customWidth="1"/>
    <col min="10996" max="10996" width="4" style="498" customWidth="1"/>
    <col min="10997" max="10998" width="4.42578125" style="498" customWidth="1"/>
    <col min="10999" max="10999" width="3.5703125" style="498" customWidth="1"/>
    <col min="11000" max="11000" width="4.42578125" style="498" customWidth="1"/>
    <col min="11001" max="11001" width="5.5703125" style="498" customWidth="1"/>
    <col min="11002" max="11002" width="3.5703125" style="498" customWidth="1"/>
    <col min="11003" max="11003" width="4" style="498" customWidth="1"/>
    <col min="11004" max="11004" width="4.5703125" style="498" customWidth="1"/>
    <col min="11005" max="11007" width="4.42578125" style="498" customWidth="1"/>
    <col min="11008" max="11009" width="4.5703125" style="498" customWidth="1"/>
    <col min="11010" max="11010" width="4" style="498" customWidth="1"/>
    <col min="11011" max="11011" width="4.5703125" style="498" customWidth="1"/>
    <col min="11012" max="11012" width="6" style="498" customWidth="1"/>
    <col min="11013" max="11013" width="8.5703125" style="498" customWidth="1"/>
    <col min="11014" max="11233" width="11.42578125" style="498"/>
    <col min="11234" max="11234" width="6.42578125" style="498" customWidth="1"/>
    <col min="11235" max="11235" width="47.5703125" style="498" customWidth="1"/>
    <col min="11236" max="11237" width="5" style="498" customWidth="1"/>
    <col min="11238" max="11238" width="5.42578125" style="498" customWidth="1"/>
    <col min="11239" max="11239" width="4.5703125" style="498" customWidth="1"/>
    <col min="11240" max="11241" width="4.42578125" style="498" customWidth="1"/>
    <col min="11242" max="11242" width="3.5703125" style="498" customWidth="1"/>
    <col min="11243" max="11243" width="5" style="498" customWidth="1"/>
    <col min="11244" max="11244" width="4" style="498" customWidth="1"/>
    <col min="11245" max="11246" width="4.5703125" style="498" customWidth="1"/>
    <col min="11247" max="11247" width="4.42578125" style="498" customWidth="1"/>
    <col min="11248" max="11248" width="4" style="498" customWidth="1"/>
    <col min="11249" max="11249" width="3.5703125" style="498" customWidth="1"/>
    <col min="11250" max="11251" width="4.5703125" style="498" customWidth="1"/>
    <col min="11252" max="11252" width="4" style="498" customWidth="1"/>
    <col min="11253" max="11254" width="4.42578125" style="498" customWidth="1"/>
    <col min="11255" max="11255" width="3.5703125" style="498" customWidth="1"/>
    <col min="11256" max="11256" width="4.42578125" style="498" customWidth="1"/>
    <col min="11257" max="11257" width="5.5703125" style="498" customWidth="1"/>
    <col min="11258" max="11258" width="3.5703125" style="498" customWidth="1"/>
    <col min="11259" max="11259" width="4" style="498" customWidth="1"/>
    <col min="11260" max="11260" width="4.5703125" style="498" customWidth="1"/>
    <col min="11261" max="11263" width="4.42578125" style="498" customWidth="1"/>
    <col min="11264" max="11265" width="4.5703125" style="498" customWidth="1"/>
    <col min="11266" max="11266" width="4" style="498" customWidth="1"/>
    <col min="11267" max="11267" width="4.5703125" style="498" customWidth="1"/>
    <col min="11268" max="11268" width="6" style="498" customWidth="1"/>
    <col min="11269" max="11269" width="8.5703125" style="498" customWidth="1"/>
    <col min="11270" max="11489" width="11.42578125" style="498"/>
    <col min="11490" max="11490" width="6.42578125" style="498" customWidth="1"/>
    <col min="11491" max="11491" width="47.5703125" style="498" customWidth="1"/>
    <col min="11492" max="11493" width="5" style="498" customWidth="1"/>
    <col min="11494" max="11494" width="5.42578125" style="498" customWidth="1"/>
    <col min="11495" max="11495" width="4.5703125" style="498" customWidth="1"/>
    <col min="11496" max="11497" width="4.42578125" style="498" customWidth="1"/>
    <col min="11498" max="11498" width="3.5703125" style="498" customWidth="1"/>
    <col min="11499" max="11499" width="5" style="498" customWidth="1"/>
    <col min="11500" max="11500" width="4" style="498" customWidth="1"/>
    <col min="11501" max="11502" width="4.5703125" style="498" customWidth="1"/>
    <col min="11503" max="11503" width="4.42578125" style="498" customWidth="1"/>
    <col min="11504" max="11504" width="4" style="498" customWidth="1"/>
    <col min="11505" max="11505" width="3.5703125" style="498" customWidth="1"/>
    <col min="11506" max="11507" width="4.5703125" style="498" customWidth="1"/>
    <col min="11508" max="11508" width="4" style="498" customWidth="1"/>
    <col min="11509" max="11510" width="4.42578125" style="498" customWidth="1"/>
    <col min="11511" max="11511" width="3.5703125" style="498" customWidth="1"/>
    <col min="11512" max="11512" width="4.42578125" style="498" customWidth="1"/>
    <col min="11513" max="11513" width="5.5703125" style="498" customWidth="1"/>
    <col min="11514" max="11514" width="3.5703125" style="498" customWidth="1"/>
    <col min="11515" max="11515" width="4" style="498" customWidth="1"/>
    <col min="11516" max="11516" width="4.5703125" style="498" customWidth="1"/>
    <col min="11517" max="11519" width="4.42578125" style="498" customWidth="1"/>
    <col min="11520" max="11521" width="4.5703125" style="498" customWidth="1"/>
    <col min="11522" max="11522" width="4" style="498" customWidth="1"/>
    <col min="11523" max="11523" width="4.5703125" style="498" customWidth="1"/>
    <col min="11524" max="11524" width="6" style="498" customWidth="1"/>
    <col min="11525" max="11525" width="8.5703125" style="498" customWidth="1"/>
    <col min="11526" max="11745" width="11.42578125" style="498"/>
    <col min="11746" max="11746" width="6.42578125" style="498" customWidth="1"/>
    <col min="11747" max="11747" width="47.5703125" style="498" customWidth="1"/>
    <col min="11748" max="11749" width="5" style="498" customWidth="1"/>
    <col min="11750" max="11750" width="5.42578125" style="498" customWidth="1"/>
    <col min="11751" max="11751" width="4.5703125" style="498" customWidth="1"/>
    <col min="11752" max="11753" width="4.42578125" style="498" customWidth="1"/>
    <col min="11754" max="11754" width="3.5703125" style="498" customWidth="1"/>
    <col min="11755" max="11755" width="5" style="498" customWidth="1"/>
    <col min="11756" max="11756" width="4" style="498" customWidth="1"/>
    <col min="11757" max="11758" width="4.5703125" style="498" customWidth="1"/>
    <col min="11759" max="11759" width="4.42578125" style="498" customWidth="1"/>
    <col min="11760" max="11760" width="4" style="498" customWidth="1"/>
    <col min="11761" max="11761" width="3.5703125" style="498" customWidth="1"/>
    <col min="11762" max="11763" width="4.5703125" style="498" customWidth="1"/>
    <col min="11764" max="11764" width="4" style="498" customWidth="1"/>
    <col min="11765" max="11766" width="4.42578125" style="498" customWidth="1"/>
    <col min="11767" max="11767" width="3.5703125" style="498" customWidth="1"/>
    <col min="11768" max="11768" width="4.42578125" style="498" customWidth="1"/>
    <col min="11769" max="11769" width="5.5703125" style="498" customWidth="1"/>
    <col min="11770" max="11770" width="3.5703125" style="498" customWidth="1"/>
    <col min="11771" max="11771" width="4" style="498" customWidth="1"/>
    <col min="11772" max="11772" width="4.5703125" style="498" customWidth="1"/>
    <col min="11773" max="11775" width="4.42578125" style="498" customWidth="1"/>
    <col min="11776" max="11777" width="4.5703125" style="498" customWidth="1"/>
    <col min="11778" max="11778" width="4" style="498" customWidth="1"/>
    <col min="11779" max="11779" width="4.5703125" style="498" customWidth="1"/>
    <col min="11780" max="11780" width="6" style="498" customWidth="1"/>
    <col min="11781" max="11781" width="8.5703125" style="498" customWidth="1"/>
    <col min="11782" max="12001" width="11.42578125" style="498"/>
    <col min="12002" max="12002" width="6.42578125" style="498" customWidth="1"/>
    <col min="12003" max="12003" width="47.5703125" style="498" customWidth="1"/>
    <col min="12004" max="12005" width="5" style="498" customWidth="1"/>
    <col min="12006" max="12006" width="5.42578125" style="498" customWidth="1"/>
    <col min="12007" max="12007" width="4.5703125" style="498" customWidth="1"/>
    <col min="12008" max="12009" width="4.42578125" style="498" customWidth="1"/>
    <col min="12010" max="12010" width="3.5703125" style="498" customWidth="1"/>
    <col min="12011" max="12011" width="5" style="498" customWidth="1"/>
    <col min="12012" max="12012" width="4" style="498" customWidth="1"/>
    <col min="12013" max="12014" width="4.5703125" style="498" customWidth="1"/>
    <col min="12015" max="12015" width="4.42578125" style="498" customWidth="1"/>
    <col min="12016" max="12016" width="4" style="498" customWidth="1"/>
    <col min="12017" max="12017" width="3.5703125" style="498" customWidth="1"/>
    <col min="12018" max="12019" width="4.5703125" style="498" customWidth="1"/>
    <col min="12020" max="12020" width="4" style="498" customWidth="1"/>
    <col min="12021" max="12022" width="4.42578125" style="498" customWidth="1"/>
    <col min="12023" max="12023" width="3.5703125" style="498" customWidth="1"/>
    <col min="12024" max="12024" width="4.42578125" style="498" customWidth="1"/>
    <col min="12025" max="12025" width="5.5703125" style="498" customWidth="1"/>
    <col min="12026" max="12026" width="3.5703125" style="498" customWidth="1"/>
    <col min="12027" max="12027" width="4" style="498" customWidth="1"/>
    <col min="12028" max="12028" width="4.5703125" style="498" customWidth="1"/>
    <col min="12029" max="12031" width="4.42578125" style="498" customWidth="1"/>
    <col min="12032" max="12033" width="4.5703125" style="498" customWidth="1"/>
    <col min="12034" max="12034" width="4" style="498" customWidth="1"/>
    <col min="12035" max="12035" width="4.5703125" style="498" customWidth="1"/>
    <col min="12036" max="12036" width="6" style="498" customWidth="1"/>
    <col min="12037" max="12037" width="8.5703125" style="498" customWidth="1"/>
    <col min="12038" max="12257" width="11.42578125" style="498"/>
    <col min="12258" max="12258" width="6.42578125" style="498" customWidth="1"/>
    <col min="12259" max="12259" width="47.5703125" style="498" customWidth="1"/>
    <col min="12260" max="12261" width="5" style="498" customWidth="1"/>
    <col min="12262" max="12262" width="5.42578125" style="498" customWidth="1"/>
    <col min="12263" max="12263" width="4.5703125" style="498" customWidth="1"/>
    <col min="12264" max="12265" width="4.42578125" style="498" customWidth="1"/>
    <col min="12266" max="12266" width="3.5703125" style="498" customWidth="1"/>
    <col min="12267" max="12267" width="5" style="498" customWidth="1"/>
    <col min="12268" max="12268" width="4" style="498" customWidth="1"/>
    <col min="12269" max="12270" width="4.5703125" style="498" customWidth="1"/>
    <col min="12271" max="12271" width="4.42578125" style="498" customWidth="1"/>
    <col min="12272" max="12272" width="4" style="498" customWidth="1"/>
    <col min="12273" max="12273" width="3.5703125" style="498" customWidth="1"/>
    <col min="12274" max="12275" width="4.5703125" style="498" customWidth="1"/>
    <col min="12276" max="12276" width="4" style="498" customWidth="1"/>
    <col min="12277" max="12278" width="4.42578125" style="498" customWidth="1"/>
    <col min="12279" max="12279" width="3.5703125" style="498" customWidth="1"/>
    <col min="12280" max="12280" width="4.42578125" style="498" customWidth="1"/>
    <col min="12281" max="12281" width="5.5703125" style="498" customWidth="1"/>
    <col min="12282" max="12282" width="3.5703125" style="498" customWidth="1"/>
    <col min="12283" max="12283" width="4" style="498" customWidth="1"/>
    <col min="12284" max="12284" width="4.5703125" style="498" customWidth="1"/>
    <col min="12285" max="12287" width="4.42578125" style="498" customWidth="1"/>
    <col min="12288" max="12289" width="4.5703125" style="498" customWidth="1"/>
    <col min="12290" max="12290" width="4" style="498" customWidth="1"/>
    <col min="12291" max="12291" width="4.5703125" style="498" customWidth="1"/>
    <col min="12292" max="12292" width="6" style="498" customWidth="1"/>
    <col min="12293" max="12293" width="8.5703125" style="498" customWidth="1"/>
    <col min="12294" max="12513" width="11.42578125" style="498"/>
    <col min="12514" max="12514" width="6.42578125" style="498" customWidth="1"/>
    <col min="12515" max="12515" width="47.5703125" style="498" customWidth="1"/>
    <col min="12516" max="12517" width="5" style="498" customWidth="1"/>
    <col min="12518" max="12518" width="5.42578125" style="498" customWidth="1"/>
    <col min="12519" max="12519" width="4.5703125" style="498" customWidth="1"/>
    <col min="12520" max="12521" width="4.42578125" style="498" customWidth="1"/>
    <col min="12522" max="12522" width="3.5703125" style="498" customWidth="1"/>
    <col min="12523" max="12523" width="5" style="498" customWidth="1"/>
    <col min="12524" max="12524" width="4" style="498" customWidth="1"/>
    <col min="12525" max="12526" width="4.5703125" style="498" customWidth="1"/>
    <col min="12527" max="12527" width="4.42578125" style="498" customWidth="1"/>
    <col min="12528" max="12528" width="4" style="498" customWidth="1"/>
    <col min="12529" max="12529" width="3.5703125" style="498" customWidth="1"/>
    <col min="12530" max="12531" width="4.5703125" style="498" customWidth="1"/>
    <col min="12532" max="12532" width="4" style="498" customWidth="1"/>
    <col min="12533" max="12534" width="4.42578125" style="498" customWidth="1"/>
    <col min="12535" max="12535" width="3.5703125" style="498" customWidth="1"/>
    <col min="12536" max="12536" width="4.42578125" style="498" customWidth="1"/>
    <col min="12537" max="12537" width="5.5703125" style="498" customWidth="1"/>
    <col min="12538" max="12538" width="3.5703125" style="498" customWidth="1"/>
    <col min="12539" max="12539" width="4" style="498" customWidth="1"/>
    <col min="12540" max="12540" width="4.5703125" style="498" customWidth="1"/>
    <col min="12541" max="12543" width="4.42578125" style="498" customWidth="1"/>
    <col min="12544" max="12545" width="4.5703125" style="498" customWidth="1"/>
    <col min="12546" max="12546" width="4" style="498" customWidth="1"/>
    <col min="12547" max="12547" width="4.5703125" style="498" customWidth="1"/>
    <col min="12548" max="12548" width="6" style="498" customWidth="1"/>
    <col min="12549" max="12549" width="8.5703125" style="498" customWidth="1"/>
    <col min="12550" max="12769" width="11.42578125" style="498"/>
    <col min="12770" max="12770" width="6.42578125" style="498" customWidth="1"/>
    <col min="12771" max="12771" width="47.5703125" style="498" customWidth="1"/>
    <col min="12772" max="12773" width="5" style="498" customWidth="1"/>
    <col min="12774" max="12774" width="5.42578125" style="498" customWidth="1"/>
    <col min="12775" max="12775" width="4.5703125" style="498" customWidth="1"/>
    <col min="12776" max="12777" width="4.42578125" style="498" customWidth="1"/>
    <col min="12778" max="12778" width="3.5703125" style="498" customWidth="1"/>
    <col min="12779" max="12779" width="5" style="498" customWidth="1"/>
    <col min="12780" max="12780" width="4" style="498" customWidth="1"/>
    <col min="12781" max="12782" width="4.5703125" style="498" customWidth="1"/>
    <col min="12783" max="12783" width="4.42578125" style="498" customWidth="1"/>
    <col min="12784" max="12784" width="4" style="498" customWidth="1"/>
    <col min="12785" max="12785" width="3.5703125" style="498" customWidth="1"/>
    <col min="12786" max="12787" width="4.5703125" style="498" customWidth="1"/>
    <col min="12788" max="12788" width="4" style="498" customWidth="1"/>
    <col min="12789" max="12790" width="4.42578125" style="498" customWidth="1"/>
    <col min="12791" max="12791" width="3.5703125" style="498" customWidth="1"/>
    <col min="12792" max="12792" width="4.42578125" style="498" customWidth="1"/>
    <col min="12793" max="12793" width="5.5703125" style="498" customWidth="1"/>
    <col min="12794" max="12794" width="3.5703125" style="498" customWidth="1"/>
    <col min="12795" max="12795" width="4" style="498" customWidth="1"/>
    <col min="12796" max="12796" width="4.5703125" style="498" customWidth="1"/>
    <col min="12797" max="12799" width="4.42578125" style="498" customWidth="1"/>
    <col min="12800" max="12801" width="4.5703125" style="498" customWidth="1"/>
    <col min="12802" max="12802" width="4" style="498" customWidth="1"/>
    <col min="12803" max="12803" width="4.5703125" style="498" customWidth="1"/>
    <col min="12804" max="12804" width="6" style="498" customWidth="1"/>
    <col min="12805" max="12805" width="8.5703125" style="498" customWidth="1"/>
    <col min="12806" max="13025" width="11.42578125" style="498"/>
    <col min="13026" max="13026" width="6.42578125" style="498" customWidth="1"/>
    <col min="13027" max="13027" width="47.5703125" style="498" customWidth="1"/>
    <col min="13028" max="13029" width="5" style="498" customWidth="1"/>
    <col min="13030" max="13030" width="5.42578125" style="498" customWidth="1"/>
    <col min="13031" max="13031" width="4.5703125" style="498" customWidth="1"/>
    <col min="13032" max="13033" width="4.42578125" style="498" customWidth="1"/>
    <col min="13034" max="13034" width="3.5703125" style="498" customWidth="1"/>
    <col min="13035" max="13035" width="5" style="498" customWidth="1"/>
    <col min="13036" max="13036" width="4" style="498" customWidth="1"/>
    <col min="13037" max="13038" width="4.5703125" style="498" customWidth="1"/>
    <col min="13039" max="13039" width="4.42578125" style="498" customWidth="1"/>
    <col min="13040" max="13040" width="4" style="498" customWidth="1"/>
    <col min="13041" max="13041" width="3.5703125" style="498" customWidth="1"/>
    <col min="13042" max="13043" width="4.5703125" style="498" customWidth="1"/>
    <col min="13044" max="13044" width="4" style="498" customWidth="1"/>
    <col min="13045" max="13046" width="4.42578125" style="498" customWidth="1"/>
    <col min="13047" max="13047" width="3.5703125" style="498" customWidth="1"/>
    <col min="13048" max="13048" width="4.42578125" style="498" customWidth="1"/>
    <col min="13049" max="13049" width="5.5703125" style="498" customWidth="1"/>
    <col min="13050" max="13050" width="3.5703125" style="498" customWidth="1"/>
    <col min="13051" max="13051" width="4" style="498" customWidth="1"/>
    <col min="13052" max="13052" width="4.5703125" style="498" customWidth="1"/>
    <col min="13053" max="13055" width="4.42578125" style="498" customWidth="1"/>
    <col min="13056" max="13057" width="4.5703125" style="498" customWidth="1"/>
    <col min="13058" max="13058" width="4" style="498" customWidth="1"/>
    <col min="13059" max="13059" width="4.5703125" style="498" customWidth="1"/>
    <col min="13060" max="13060" width="6" style="498" customWidth="1"/>
    <col min="13061" max="13061" width="8.5703125" style="498" customWidth="1"/>
    <col min="13062" max="13281" width="11.42578125" style="498"/>
    <col min="13282" max="13282" width="6.42578125" style="498" customWidth="1"/>
    <col min="13283" max="13283" width="47.5703125" style="498" customWidth="1"/>
    <col min="13284" max="13285" width="5" style="498" customWidth="1"/>
    <col min="13286" max="13286" width="5.42578125" style="498" customWidth="1"/>
    <col min="13287" max="13287" width="4.5703125" style="498" customWidth="1"/>
    <col min="13288" max="13289" width="4.42578125" style="498" customWidth="1"/>
    <col min="13290" max="13290" width="3.5703125" style="498" customWidth="1"/>
    <col min="13291" max="13291" width="5" style="498" customWidth="1"/>
    <col min="13292" max="13292" width="4" style="498" customWidth="1"/>
    <col min="13293" max="13294" width="4.5703125" style="498" customWidth="1"/>
    <col min="13295" max="13295" width="4.42578125" style="498" customWidth="1"/>
    <col min="13296" max="13296" width="4" style="498" customWidth="1"/>
    <col min="13297" max="13297" width="3.5703125" style="498" customWidth="1"/>
    <col min="13298" max="13299" width="4.5703125" style="498" customWidth="1"/>
    <col min="13300" max="13300" width="4" style="498" customWidth="1"/>
    <col min="13301" max="13302" width="4.42578125" style="498" customWidth="1"/>
    <col min="13303" max="13303" width="3.5703125" style="498" customWidth="1"/>
    <col min="13304" max="13304" width="4.42578125" style="498" customWidth="1"/>
    <col min="13305" max="13305" width="5.5703125" style="498" customWidth="1"/>
    <col min="13306" max="13306" width="3.5703125" style="498" customWidth="1"/>
    <col min="13307" max="13307" width="4" style="498" customWidth="1"/>
    <col min="13308" max="13308" width="4.5703125" style="498" customWidth="1"/>
    <col min="13309" max="13311" width="4.42578125" style="498" customWidth="1"/>
    <col min="13312" max="13313" width="4.5703125" style="498" customWidth="1"/>
    <col min="13314" max="13314" width="4" style="498" customWidth="1"/>
    <col min="13315" max="13315" width="4.5703125" style="498" customWidth="1"/>
    <col min="13316" max="13316" width="6" style="498" customWidth="1"/>
    <col min="13317" max="13317" width="8.5703125" style="498" customWidth="1"/>
    <col min="13318" max="13537" width="11.42578125" style="498"/>
    <col min="13538" max="13538" width="6.42578125" style="498" customWidth="1"/>
    <col min="13539" max="13539" width="47.5703125" style="498" customWidth="1"/>
    <col min="13540" max="13541" width="5" style="498" customWidth="1"/>
    <col min="13542" max="13542" width="5.42578125" style="498" customWidth="1"/>
    <col min="13543" max="13543" width="4.5703125" style="498" customWidth="1"/>
    <col min="13544" max="13545" width="4.42578125" style="498" customWidth="1"/>
    <col min="13546" max="13546" width="3.5703125" style="498" customWidth="1"/>
    <col min="13547" max="13547" width="5" style="498" customWidth="1"/>
    <col min="13548" max="13548" width="4" style="498" customWidth="1"/>
    <col min="13549" max="13550" width="4.5703125" style="498" customWidth="1"/>
    <col min="13551" max="13551" width="4.42578125" style="498" customWidth="1"/>
    <col min="13552" max="13552" width="4" style="498" customWidth="1"/>
    <col min="13553" max="13553" width="3.5703125" style="498" customWidth="1"/>
    <col min="13554" max="13555" width="4.5703125" style="498" customWidth="1"/>
    <col min="13556" max="13556" width="4" style="498" customWidth="1"/>
    <col min="13557" max="13558" width="4.42578125" style="498" customWidth="1"/>
    <col min="13559" max="13559" width="3.5703125" style="498" customWidth="1"/>
    <col min="13560" max="13560" width="4.42578125" style="498" customWidth="1"/>
    <col min="13561" max="13561" width="5.5703125" style="498" customWidth="1"/>
    <col min="13562" max="13562" width="3.5703125" style="498" customWidth="1"/>
    <col min="13563" max="13563" width="4" style="498" customWidth="1"/>
    <col min="13564" max="13564" width="4.5703125" style="498" customWidth="1"/>
    <col min="13565" max="13567" width="4.42578125" style="498" customWidth="1"/>
    <col min="13568" max="13569" width="4.5703125" style="498" customWidth="1"/>
    <col min="13570" max="13570" width="4" style="498" customWidth="1"/>
    <col min="13571" max="13571" width="4.5703125" style="498" customWidth="1"/>
    <col min="13572" max="13572" width="6" style="498" customWidth="1"/>
    <col min="13573" max="13573" width="8.5703125" style="498" customWidth="1"/>
    <col min="13574" max="13793" width="11.42578125" style="498"/>
    <col min="13794" max="13794" width="6.42578125" style="498" customWidth="1"/>
    <col min="13795" max="13795" width="47.5703125" style="498" customWidth="1"/>
    <col min="13796" max="13797" width="5" style="498" customWidth="1"/>
    <col min="13798" max="13798" width="5.42578125" style="498" customWidth="1"/>
    <col min="13799" max="13799" width="4.5703125" style="498" customWidth="1"/>
    <col min="13800" max="13801" width="4.42578125" style="498" customWidth="1"/>
    <col min="13802" max="13802" width="3.5703125" style="498" customWidth="1"/>
    <col min="13803" max="13803" width="5" style="498" customWidth="1"/>
    <col min="13804" max="13804" width="4" style="498" customWidth="1"/>
    <col min="13805" max="13806" width="4.5703125" style="498" customWidth="1"/>
    <col min="13807" max="13807" width="4.42578125" style="498" customWidth="1"/>
    <col min="13808" max="13808" width="4" style="498" customWidth="1"/>
    <col min="13809" max="13809" width="3.5703125" style="498" customWidth="1"/>
    <col min="13810" max="13811" width="4.5703125" style="498" customWidth="1"/>
    <col min="13812" max="13812" width="4" style="498" customWidth="1"/>
    <col min="13813" max="13814" width="4.42578125" style="498" customWidth="1"/>
    <col min="13815" max="13815" width="3.5703125" style="498" customWidth="1"/>
    <col min="13816" max="13816" width="4.42578125" style="498" customWidth="1"/>
    <col min="13817" max="13817" width="5.5703125" style="498" customWidth="1"/>
    <col min="13818" max="13818" width="3.5703125" style="498" customWidth="1"/>
    <col min="13819" max="13819" width="4" style="498" customWidth="1"/>
    <col min="13820" max="13820" width="4.5703125" style="498" customWidth="1"/>
    <col min="13821" max="13823" width="4.42578125" style="498" customWidth="1"/>
    <col min="13824" max="13825" width="4.5703125" style="498" customWidth="1"/>
    <col min="13826" max="13826" width="4" style="498" customWidth="1"/>
    <col min="13827" max="13827" width="4.5703125" style="498" customWidth="1"/>
    <col min="13828" max="13828" width="6" style="498" customWidth="1"/>
    <col min="13829" max="13829" width="8.5703125" style="498" customWidth="1"/>
    <col min="13830" max="14049" width="11.42578125" style="498"/>
    <col min="14050" max="14050" width="6.42578125" style="498" customWidth="1"/>
    <col min="14051" max="14051" width="47.5703125" style="498" customWidth="1"/>
    <col min="14052" max="14053" width="5" style="498" customWidth="1"/>
    <col min="14054" max="14054" width="5.42578125" style="498" customWidth="1"/>
    <col min="14055" max="14055" width="4.5703125" style="498" customWidth="1"/>
    <col min="14056" max="14057" width="4.42578125" style="498" customWidth="1"/>
    <col min="14058" max="14058" width="3.5703125" style="498" customWidth="1"/>
    <col min="14059" max="14059" width="5" style="498" customWidth="1"/>
    <col min="14060" max="14060" width="4" style="498" customWidth="1"/>
    <col min="14061" max="14062" width="4.5703125" style="498" customWidth="1"/>
    <col min="14063" max="14063" width="4.42578125" style="498" customWidth="1"/>
    <col min="14064" max="14064" width="4" style="498" customWidth="1"/>
    <col min="14065" max="14065" width="3.5703125" style="498" customWidth="1"/>
    <col min="14066" max="14067" width="4.5703125" style="498" customWidth="1"/>
    <col min="14068" max="14068" width="4" style="498" customWidth="1"/>
    <col min="14069" max="14070" width="4.42578125" style="498" customWidth="1"/>
    <col min="14071" max="14071" width="3.5703125" style="498" customWidth="1"/>
    <col min="14072" max="14072" width="4.42578125" style="498" customWidth="1"/>
    <col min="14073" max="14073" width="5.5703125" style="498" customWidth="1"/>
    <col min="14074" max="14074" width="3.5703125" style="498" customWidth="1"/>
    <col min="14075" max="14075" width="4" style="498" customWidth="1"/>
    <col min="14076" max="14076" width="4.5703125" style="498" customWidth="1"/>
    <col min="14077" max="14079" width="4.42578125" style="498" customWidth="1"/>
    <col min="14080" max="14081" width="4.5703125" style="498" customWidth="1"/>
    <col min="14082" max="14082" width="4" style="498" customWidth="1"/>
    <col min="14083" max="14083" width="4.5703125" style="498" customWidth="1"/>
    <col min="14084" max="14084" width="6" style="498" customWidth="1"/>
    <col min="14085" max="14085" width="8.5703125" style="498" customWidth="1"/>
    <col min="14086" max="14305" width="11.42578125" style="498"/>
    <col min="14306" max="14306" width="6.42578125" style="498" customWidth="1"/>
    <col min="14307" max="14307" width="47.5703125" style="498" customWidth="1"/>
    <col min="14308" max="14309" width="5" style="498" customWidth="1"/>
    <col min="14310" max="14310" width="5.42578125" style="498" customWidth="1"/>
    <col min="14311" max="14311" width="4.5703125" style="498" customWidth="1"/>
    <col min="14312" max="14313" width="4.42578125" style="498" customWidth="1"/>
    <col min="14314" max="14314" width="3.5703125" style="498" customWidth="1"/>
    <col min="14315" max="14315" width="5" style="498" customWidth="1"/>
    <col min="14316" max="14316" width="4" style="498" customWidth="1"/>
    <col min="14317" max="14318" width="4.5703125" style="498" customWidth="1"/>
    <col min="14319" max="14319" width="4.42578125" style="498" customWidth="1"/>
    <col min="14320" max="14320" width="4" style="498" customWidth="1"/>
    <col min="14321" max="14321" width="3.5703125" style="498" customWidth="1"/>
    <col min="14322" max="14323" width="4.5703125" style="498" customWidth="1"/>
    <col min="14324" max="14324" width="4" style="498" customWidth="1"/>
    <col min="14325" max="14326" width="4.42578125" style="498" customWidth="1"/>
    <col min="14327" max="14327" width="3.5703125" style="498" customWidth="1"/>
    <col min="14328" max="14328" width="4.42578125" style="498" customWidth="1"/>
    <col min="14329" max="14329" width="5.5703125" style="498" customWidth="1"/>
    <col min="14330" max="14330" width="3.5703125" style="498" customWidth="1"/>
    <col min="14331" max="14331" width="4" style="498" customWidth="1"/>
    <col min="14332" max="14332" width="4.5703125" style="498" customWidth="1"/>
    <col min="14333" max="14335" width="4.42578125" style="498" customWidth="1"/>
    <col min="14336" max="14337" width="4.5703125" style="498" customWidth="1"/>
    <col min="14338" max="14338" width="4" style="498" customWidth="1"/>
    <col min="14339" max="14339" width="4.5703125" style="498" customWidth="1"/>
    <col min="14340" max="14340" width="6" style="498" customWidth="1"/>
    <col min="14341" max="14341" width="8.5703125" style="498" customWidth="1"/>
    <col min="14342" max="14561" width="11.42578125" style="498"/>
    <col min="14562" max="14562" width="6.42578125" style="498" customWidth="1"/>
    <col min="14563" max="14563" width="47.5703125" style="498" customWidth="1"/>
    <col min="14564" max="14565" width="5" style="498" customWidth="1"/>
    <col min="14566" max="14566" width="5.42578125" style="498" customWidth="1"/>
    <col min="14567" max="14567" width="4.5703125" style="498" customWidth="1"/>
    <col min="14568" max="14569" width="4.42578125" style="498" customWidth="1"/>
    <col min="14570" max="14570" width="3.5703125" style="498" customWidth="1"/>
    <col min="14571" max="14571" width="5" style="498" customWidth="1"/>
    <col min="14572" max="14572" width="4" style="498" customWidth="1"/>
    <col min="14573" max="14574" width="4.5703125" style="498" customWidth="1"/>
    <col min="14575" max="14575" width="4.42578125" style="498" customWidth="1"/>
    <col min="14576" max="14576" width="4" style="498" customWidth="1"/>
    <col min="14577" max="14577" width="3.5703125" style="498" customWidth="1"/>
    <col min="14578" max="14579" width="4.5703125" style="498" customWidth="1"/>
    <col min="14580" max="14580" width="4" style="498" customWidth="1"/>
    <col min="14581" max="14582" width="4.42578125" style="498" customWidth="1"/>
    <col min="14583" max="14583" width="3.5703125" style="498" customWidth="1"/>
    <col min="14584" max="14584" width="4.42578125" style="498" customWidth="1"/>
    <col min="14585" max="14585" width="5.5703125" style="498" customWidth="1"/>
    <col min="14586" max="14586" width="3.5703125" style="498" customWidth="1"/>
    <col min="14587" max="14587" width="4" style="498" customWidth="1"/>
    <col min="14588" max="14588" width="4.5703125" style="498" customWidth="1"/>
    <col min="14589" max="14591" width="4.42578125" style="498" customWidth="1"/>
    <col min="14592" max="14593" width="4.5703125" style="498" customWidth="1"/>
    <col min="14594" max="14594" width="4" style="498" customWidth="1"/>
    <col min="14595" max="14595" width="4.5703125" style="498" customWidth="1"/>
    <col min="14596" max="14596" width="6" style="498" customWidth="1"/>
    <col min="14597" max="14597" width="8.5703125" style="498" customWidth="1"/>
    <col min="14598" max="14817" width="11.42578125" style="498"/>
    <col min="14818" max="14818" width="6.42578125" style="498" customWidth="1"/>
    <col min="14819" max="14819" width="47.5703125" style="498" customWidth="1"/>
    <col min="14820" max="14821" width="5" style="498" customWidth="1"/>
    <col min="14822" max="14822" width="5.42578125" style="498" customWidth="1"/>
    <col min="14823" max="14823" width="4.5703125" style="498" customWidth="1"/>
    <col min="14824" max="14825" width="4.42578125" style="498" customWidth="1"/>
    <col min="14826" max="14826" width="3.5703125" style="498" customWidth="1"/>
    <col min="14827" max="14827" width="5" style="498" customWidth="1"/>
    <col min="14828" max="14828" width="4" style="498" customWidth="1"/>
    <col min="14829" max="14830" width="4.5703125" style="498" customWidth="1"/>
    <col min="14831" max="14831" width="4.42578125" style="498" customWidth="1"/>
    <col min="14832" max="14832" width="4" style="498" customWidth="1"/>
    <col min="14833" max="14833" width="3.5703125" style="498" customWidth="1"/>
    <col min="14834" max="14835" width="4.5703125" style="498" customWidth="1"/>
    <col min="14836" max="14836" width="4" style="498" customWidth="1"/>
    <col min="14837" max="14838" width="4.42578125" style="498" customWidth="1"/>
    <col min="14839" max="14839" width="3.5703125" style="498" customWidth="1"/>
    <col min="14840" max="14840" width="4.42578125" style="498" customWidth="1"/>
    <col min="14841" max="14841" width="5.5703125" style="498" customWidth="1"/>
    <col min="14842" max="14842" width="3.5703125" style="498" customWidth="1"/>
    <col min="14843" max="14843" width="4" style="498" customWidth="1"/>
    <col min="14844" max="14844" width="4.5703125" style="498" customWidth="1"/>
    <col min="14845" max="14847" width="4.42578125" style="498" customWidth="1"/>
    <col min="14848" max="14849" width="4.5703125" style="498" customWidth="1"/>
    <col min="14850" max="14850" width="4" style="498" customWidth="1"/>
    <col min="14851" max="14851" width="4.5703125" style="498" customWidth="1"/>
    <col min="14852" max="14852" width="6" style="498" customWidth="1"/>
    <col min="14853" max="14853" width="8.5703125" style="498" customWidth="1"/>
    <col min="14854" max="15073" width="11.42578125" style="498"/>
    <col min="15074" max="15074" width="6.42578125" style="498" customWidth="1"/>
    <col min="15075" max="15075" width="47.5703125" style="498" customWidth="1"/>
    <col min="15076" max="15077" width="5" style="498" customWidth="1"/>
    <col min="15078" max="15078" width="5.42578125" style="498" customWidth="1"/>
    <col min="15079" max="15079" width="4.5703125" style="498" customWidth="1"/>
    <col min="15080" max="15081" width="4.42578125" style="498" customWidth="1"/>
    <col min="15082" max="15082" width="3.5703125" style="498" customWidth="1"/>
    <col min="15083" max="15083" width="5" style="498" customWidth="1"/>
    <col min="15084" max="15084" width="4" style="498" customWidth="1"/>
    <col min="15085" max="15086" width="4.5703125" style="498" customWidth="1"/>
    <col min="15087" max="15087" width="4.42578125" style="498" customWidth="1"/>
    <col min="15088" max="15088" width="4" style="498" customWidth="1"/>
    <col min="15089" max="15089" width="3.5703125" style="498" customWidth="1"/>
    <col min="15090" max="15091" width="4.5703125" style="498" customWidth="1"/>
    <col min="15092" max="15092" width="4" style="498" customWidth="1"/>
    <col min="15093" max="15094" width="4.42578125" style="498" customWidth="1"/>
    <col min="15095" max="15095" width="3.5703125" style="498" customWidth="1"/>
    <col min="15096" max="15096" width="4.42578125" style="498" customWidth="1"/>
    <col min="15097" max="15097" width="5.5703125" style="498" customWidth="1"/>
    <col min="15098" max="15098" width="3.5703125" style="498" customWidth="1"/>
    <col min="15099" max="15099" width="4" style="498" customWidth="1"/>
    <col min="15100" max="15100" width="4.5703125" style="498" customWidth="1"/>
    <col min="15101" max="15103" width="4.42578125" style="498" customWidth="1"/>
    <col min="15104" max="15105" width="4.5703125" style="498" customWidth="1"/>
    <col min="15106" max="15106" width="4" style="498" customWidth="1"/>
    <col min="15107" max="15107" width="4.5703125" style="498" customWidth="1"/>
    <col min="15108" max="15108" width="6" style="498" customWidth="1"/>
    <col min="15109" max="15109" width="8.5703125" style="498" customWidth="1"/>
    <col min="15110" max="15329" width="11.42578125" style="498"/>
    <col min="15330" max="15330" width="6.42578125" style="498" customWidth="1"/>
    <col min="15331" max="15331" width="47.5703125" style="498" customWidth="1"/>
    <col min="15332" max="15333" width="5" style="498" customWidth="1"/>
    <col min="15334" max="15334" width="5.42578125" style="498" customWidth="1"/>
    <col min="15335" max="15335" width="4.5703125" style="498" customWidth="1"/>
    <col min="15336" max="15337" width="4.42578125" style="498" customWidth="1"/>
    <col min="15338" max="15338" width="3.5703125" style="498" customWidth="1"/>
    <col min="15339" max="15339" width="5" style="498" customWidth="1"/>
    <col min="15340" max="15340" width="4" style="498" customWidth="1"/>
    <col min="15341" max="15342" width="4.5703125" style="498" customWidth="1"/>
    <col min="15343" max="15343" width="4.42578125" style="498" customWidth="1"/>
    <col min="15344" max="15344" width="4" style="498" customWidth="1"/>
    <col min="15345" max="15345" width="3.5703125" style="498" customWidth="1"/>
    <col min="15346" max="15347" width="4.5703125" style="498" customWidth="1"/>
    <col min="15348" max="15348" width="4" style="498" customWidth="1"/>
    <col min="15349" max="15350" width="4.42578125" style="498" customWidth="1"/>
    <col min="15351" max="15351" width="3.5703125" style="498" customWidth="1"/>
    <col min="15352" max="15352" width="4.42578125" style="498" customWidth="1"/>
    <col min="15353" max="15353" width="5.5703125" style="498" customWidth="1"/>
    <col min="15354" max="15354" width="3.5703125" style="498" customWidth="1"/>
    <col min="15355" max="15355" width="4" style="498" customWidth="1"/>
    <col min="15356" max="15356" width="4.5703125" style="498" customWidth="1"/>
    <col min="15357" max="15359" width="4.42578125" style="498" customWidth="1"/>
    <col min="15360" max="15361" width="4.5703125" style="498" customWidth="1"/>
    <col min="15362" max="15362" width="4" style="498" customWidth="1"/>
    <col min="15363" max="15363" width="4.5703125" style="498" customWidth="1"/>
    <col min="15364" max="15364" width="6" style="498" customWidth="1"/>
    <col min="15365" max="15365" width="8.5703125" style="498" customWidth="1"/>
    <col min="15366" max="15585" width="11.42578125" style="498"/>
    <col min="15586" max="15586" width="6.42578125" style="498" customWidth="1"/>
    <col min="15587" max="15587" width="47.5703125" style="498" customWidth="1"/>
    <col min="15588" max="15589" width="5" style="498" customWidth="1"/>
    <col min="15590" max="15590" width="5.42578125" style="498" customWidth="1"/>
    <col min="15591" max="15591" width="4.5703125" style="498" customWidth="1"/>
    <col min="15592" max="15593" width="4.42578125" style="498" customWidth="1"/>
    <col min="15594" max="15594" width="3.5703125" style="498" customWidth="1"/>
    <col min="15595" max="15595" width="5" style="498" customWidth="1"/>
    <col min="15596" max="15596" width="4" style="498" customWidth="1"/>
    <col min="15597" max="15598" width="4.5703125" style="498" customWidth="1"/>
    <col min="15599" max="15599" width="4.42578125" style="498" customWidth="1"/>
    <col min="15600" max="15600" width="4" style="498" customWidth="1"/>
    <col min="15601" max="15601" width="3.5703125" style="498" customWidth="1"/>
    <col min="15602" max="15603" width="4.5703125" style="498" customWidth="1"/>
    <col min="15604" max="15604" width="4" style="498" customWidth="1"/>
    <col min="15605" max="15606" width="4.42578125" style="498" customWidth="1"/>
    <col min="15607" max="15607" width="3.5703125" style="498" customWidth="1"/>
    <col min="15608" max="15608" width="4.42578125" style="498" customWidth="1"/>
    <col min="15609" max="15609" width="5.5703125" style="498" customWidth="1"/>
    <col min="15610" max="15610" width="3.5703125" style="498" customWidth="1"/>
    <col min="15611" max="15611" width="4" style="498" customWidth="1"/>
    <col min="15612" max="15612" width="4.5703125" style="498" customWidth="1"/>
    <col min="15613" max="15615" width="4.42578125" style="498" customWidth="1"/>
    <col min="15616" max="15617" width="4.5703125" style="498" customWidth="1"/>
    <col min="15618" max="15618" width="4" style="498" customWidth="1"/>
    <col min="15619" max="15619" width="4.5703125" style="498" customWidth="1"/>
    <col min="15620" max="15620" width="6" style="498" customWidth="1"/>
    <col min="15621" max="15621" width="8.5703125" style="498" customWidth="1"/>
    <col min="15622" max="15841" width="11.42578125" style="498"/>
    <col min="15842" max="15842" width="6.42578125" style="498" customWidth="1"/>
    <col min="15843" max="15843" width="47.5703125" style="498" customWidth="1"/>
    <col min="15844" max="15845" width="5" style="498" customWidth="1"/>
    <col min="15846" max="15846" width="5.42578125" style="498" customWidth="1"/>
    <col min="15847" max="15847" width="4.5703125" style="498" customWidth="1"/>
    <col min="15848" max="15849" width="4.42578125" style="498" customWidth="1"/>
    <col min="15850" max="15850" width="3.5703125" style="498" customWidth="1"/>
    <col min="15851" max="15851" width="5" style="498" customWidth="1"/>
    <col min="15852" max="15852" width="4" style="498" customWidth="1"/>
    <col min="15853" max="15854" width="4.5703125" style="498" customWidth="1"/>
    <col min="15855" max="15855" width="4.42578125" style="498" customWidth="1"/>
    <col min="15856" max="15856" width="4" style="498" customWidth="1"/>
    <col min="15857" max="15857" width="3.5703125" style="498" customWidth="1"/>
    <col min="15858" max="15859" width="4.5703125" style="498" customWidth="1"/>
    <col min="15860" max="15860" width="4" style="498" customWidth="1"/>
    <col min="15861" max="15862" width="4.42578125" style="498" customWidth="1"/>
    <col min="15863" max="15863" width="3.5703125" style="498" customWidth="1"/>
    <col min="15864" max="15864" width="4.42578125" style="498" customWidth="1"/>
    <col min="15865" max="15865" width="5.5703125" style="498" customWidth="1"/>
    <col min="15866" max="15866" width="3.5703125" style="498" customWidth="1"/>
    <col min="15867" max="15867" width="4" style="498" customWidth="1"/>
    <col min="15868" max="15868" width="4.5703125" style="498" customWidth="1"/>
    <col min="15869" max="15871" width="4.42578125" style="498" customWidth="1"/>
    <col min="15872" max="15873" width="4.5703125" style="498" customWidth="1"/>
    <col min="15874" max="15874" width="4" style="498" customWidth="1"/>
    <col min="15875" max="15875" width="4.5703125" style="498" customWidth="1"/>
    <col min="15876" max="15876" width="6" style="498" customWidth="1"/>
    <col min="15877" max="15877" width="8.5703125" style="498" customWidth="1"/>
    <col min="15878" max="16097" width="11.42578125" style="498"/>
    <col min="16098" max="16098" width="6.42578125" style="498" customWidth="1"/>
    <col min="16099" max="16099" width="47.5703125" style="498" customWidth="1"/>
    <col min="16100" max="16101" width="5" style="498" customWidth="1"/>
    <col min="16102" max="16102" width="5.42578125" style="498" customWidth="1"/>
    <col min="16103" max="16103" width="4.5703125" style="498" customWidth="1"/>
    <col min="16104" max="16105" width="4.42578125" style="498" customWidth="1"/>
    <col min="16106" max="16106" width="3.5703125" style="498" customWidth="1"/>
    <col min="16107" max="16107" width="5" style="498" customWidth="1"/>
    <col min="16108" max="16108" width="4" style="498" customWidth="1"/>
    <col min="16109" max="16110" width="4.5703125" style="498" customWidth="1"/>
    <col min="16111" max="16111" width="4.42578125" style="498" customWidth="1"/>
    <col min="16112" max="16112" width="4" style="498" customWidth="1"/>
    <col min="16113" max="16113" width="3.5703125" style="498" customWidth="1"/>
    <col min="16114" max="16115" width="4.5703125" style="498" customWidth="1"/>
    <col min="16116" max="16116" width="4" style="498" customWidth="1"/>
    <col min="16117" max="16118" width="4.42578125" style="498" customWidth="1"/>
    <col min="16119" max="16119" width="3.5703125" style="498" customWidth="1"/>
    <col min="16120" max="16120" width="4.42578125" style="498" customWidth="1"/>
    <col min="16121" max="16121" width="5.5703125" style="498" customWidth="1"/>
    <col min="16122" max="16122" width="3.5703125" style="498" customWidth="1"/>
    <col min="16123" max="16123" width="4" style="498" customWidth="1"/>
    <col min="16124" max="16124" width="4.5703125" style="498" customWidth="1"/>
    <col min="16125" max="16127" width="4.42578125" style="498" customWidth="1"/>
    <col min="16128" max="16129" width="4.5703125" style="498" customWidth="1"/>
    <col min="16130" max="16130" width="4" style="498" customWidth="1"/>
    <col min="16131" max="16131" width="4.5703125" style="498" customWidth="1"/>
    <col min="16132" max="16132" width="6" style="498" customWidth="1"/>
    <col min="16133" max="16133" width="8.5703125" style="498" customWidth="1"/>
    <col min="16134" max="16384" width="11.42578125" style="498"/>
  </cols>
  <sheetData>
    <row r="1" spans="1:9">
      <c r="A1" s="2213" t="s">
        <v>283</v>
      </c>
      <c r="B1" s="2213"/>
      <c r="C1" s="2213"/>
    </row>
    <row r="2" spans="1:9">
      <c r="A2" s="2214" t="s">
        <v>1802</v>
      </c>
      <c r="B2" s="2214"/>
      <c r="C2" s="2214"/>
    </row>
    <row r="3" spans="1:9">
      <c r="A3" s="549"/>
    </row>
    <row r="4" spans="1:9">
      <c r="A4" s="551"/>
      <c r="B4" s="2215" t="s">
        <v>1800</v>
      </c>
      <c r="C4" s="2215"/>
    </row>
    <row r="5" spans="1:9" ht="12.75" customHeight="1">
      <c r="A5" s="551"/>
      <c r="B5" s="2216" t="e">
        <v>#REF!</v>
      </c>
      <c r="C5" s="2217"/>
    </row>
    <row r="6" spans="1:9" ht="13.5" customHeight="1">
      <c r="B6" s="553"/>
      <c r="C6" s="500"/>
    </row>
    <row r="7" spans="1:9" ht="13.5" customHeight="1">
      <c r="B7" s="553"/>
      <c r="C7" s="500"/>
    </row>
    <row r="8" spans="1:9" ht="13.5" customHeight="1" thickBot="1">
      <c r="B8" s="553"/>
      <c r="C8" s="500"/>
      <c r="D8" s="952"/>
    </row>
    <row r="9" spans="1:9" ht="13.5" thickBot="1">
      <c r="A9" s="2218" t="s">
        <v>285</v>
      </c>
      <c r="B9" s="2218" t="s">
        <v>20</v>
      </c>
      <c r="C9" s="501"/>
      <c r="D9" s="504" t="s">
        <v>359</v>
      </c>
      <c r="E9" s="672" t="s">
        <v>26</v>
      </c>
      <c r="F9" s="671" t="s">
        <v>1822</v>
      </c>
      <c r="G9" s="671" t="s">
        <v>1821</v>
      </c>
      <c r="H9" s="505" t="s">
        <v>25</v>
      </c>
      <c r="I9" s="498" t="s">
        <v>2</v>
      </c>
    </row>
    <row r="10" spans="1:9" ht="13.5" thickBot="1">
      <c r="A10" s="2219"/>
      <c r="B10" s="2219"/>
      <c r="C10" s="506" t="s">
        <v>286</v>
      </c>
      <c r="D10" s="953" t="s">
        <v>287</v>
      </c>
      <c r="E10" s="668" t="s">
        <v>287</v>
      </c>
      <c r="F10" s="671"/>
      <c r="G10" s="671"/>
      <c r="H10" s="505"/>
    </row>
    <row r="11" spans="1:9" s="518" customFormat="1" ht="13.5" hidden="1" thickBot="1">
      <c r="A11" s="716" t="s">
        <v>33</v>
      </c>
      <c r="B11" s="717" t="s">
        <v>1132</v>
      </c>
      <c r="C11" s="558"/>
      <c r="D11" s="946">
        <v>0</v>
      </c>
      <c r="E11" s="521"/>
      <c r="F11" s="520"/>
      <c r="G11" s="673"/>
      <c r="H11" s="670"/>
    </row>
    <row r="12" spans="1:9" s="500" customFormat="1" ht="13.5" hidden="1" thickBot="1">
      <c r="A12" s="539" t="s">
        <v>35</v>
      </c>
      <c r="B12" s="279" t="s">
        <v>1133</v>
      </c>
      <c r="C12" s="529"/>
      <c r="D12" s="946">
        <v>0</v>
      </c>
      <c r="E12" s="521"/>
      <c r="F12" s="520"/>
      <c r="G12" s="672"/>
      <c r="H12" s="667"/>
    </row>
    <row r="13" spans="1:9" s="500" customFormat="1" ht="13.5" hidden="1" thickBot="1">
      <c r="A13" s="539" t="s">
        <v>537</v>
      </c>
      <c r="B13" s="284" t="s">
        <v>1134</v>
      </c>
      <c r="C13" s="524" t="s">
        <v>64</v>
      </c>
      <c r="D13" s="946">
        <v>0</v>
      </c>
      <c r="E13" s="521">
        <v>0</v>
      </c>
      <c r="F13" s="520">
        <v>0</v>
      </c>
      <c r="G13" s="672" t="s">
        <v>1455</v>
      </c>
      <c r="H13" s="669">
        <v>1</v>
      </c>
    </row>
    <row r="14" spans="1:9" s="500" customFormat="1" ht="13.5" hidden="1" thickBot="1">
      <c r="A14" s="539" t="s">
        <v>538</v>
      </c>
      <c r="B14" s="279" t="s">
        <v>1135</v>
      </c>
      <c r="C14" s="524" t="s">
        <v>64</v>
      </c>
      <c r="D14" s="946">
        <v>0</v>
      </c>
      <c r="E14" s="521">
        <v>0</v>
      </c>
      <c r="F14" s="520">
        <v>0</v>
      </c>
      <c r="G14" s="672" t="s">
        <v>1455</v>
      </c>
      <c r="H14" s="669">
        <v>1</v>
      </c>
    </row>
    <row r="15" spans="1:9" s="500" customFormat="1" ht="13.5" hidden="1" thickBot="1">
      <c r="A15" s="539" t="s">
        <v>539</v>
      </c>
      <c r="B15" s="284" t="s">
        <v>1136</v>
      </c>
      <c r="C15" s="529" t="s">
        <v>64</v>
      </c>
      <c r="D15" s="946">
        <v>0</v>
      </c>
      <c r="E15" s="521">
        <v>0</v>
      </c>
      <c r="F15" s="520">
        <v>0</v>
      </c>
      <c r="G15" s="672" t="s">
        <v>1455</v>
      </c>
      <c r="H15" s="669">
        <v>1</v>
      </c>
    </row>
    <row r="16" spans="1:9" s="500" customFormat="1" ht="13.5" hidden="1" thickBot="1">
      <c r="A16" s="539" t="s">
        <v>540</v>
      </c>
      <c r="B16" s="279" t="s">
        <v>1137</v>
      </c>
      <c r="C16" s="524" t="s">
        <v>64</v>
      </c>
      <c r="D16" s="946">
        <v>0</v>
      </c>
      <c r="E16" s="521">
        <v>0</v>
      </c>
      <c r="F16" s="520">
        <v>0</v>
      </c>
      <c r="G16" s="672" t="s">
        <v>1455</v>
      </c>
      <c r="H16" s="669">
        <v>1</v>
      </c>
    </row>
    <row r="17" spans="1:14" s="500" customFormat="1" ht="13.5" hidden="1" thickBot="1">
      <c r="A17" s="539" t="s">
        <v>541</v>
      </c>
      <c r="B17" s="279" t="s">
        <v>1138</v>
      </c>
      <c r="C17" s="524" t="s">
        <v>1450</v>
      </c>
      <c r="D17" s="946">
        <v>0</v>
      </c>
      <c r="E17" s="521">
        <v>1</v>
      </c>
      <c r="F17" s="520">
        <v>1</v>
      </c>
      <c r="G17" s="663" t="s">
        <v>1455</v>
      </c>
      <c r="H17" s="669">
        <v>0</v>
      </c>
      <c r="I17" s="666"/>
      <c r="J17" s="663"/>
      <c r="K17" s="663"/>
      <c r="L17" s="663"/>
      <c r="M17" s="663"/>
      <c r="N17" s="663"/>
    </row>
    <row r="18" spans="1:14" s="496" customFormat="1" ht="11.25" hidden="1" customHeight="1">
      <c r="A18" s="440" t="s">
        <v>39</v>
      </c>
      <c r="B18" s="543" t="s">
        <v>34</v>
      </c>
      <c r="C18" s="605"/>
      <c r="D18" s="946">
        <v>0</v>
      </c>
    </row>
    <row r="19" spans="1:14" s="730" customFormat="1" ht="13.5" hidden="1" thickBot="1">
      <c r="A19" s="720" t="s">
        <v>543</v>
      </c>
      <c r="B19" s="659" t="s">
        <v>1140</v>
      </c>
      <c r="C19" s="660" t="s">
        <v>40</v>
      </c>
      <c r="D19" s="946">
        <v>0</v>
      </c>
      <c r="E19" s="521">
        <v>963.6</v>
      </c>
      <c r="F19" s="520">
        <v>963.6</v>
      </c>
      <c r="G19" s="741" t="s">
        <v>1457</v>
      </c>
      <c r="H19" s="729">
        <v>60.399999999999977</v>
      </c>
      <c r="I19" s="825">
        <v>1024</v>
      </c>
      <c r="J19" s="741">
        <v>-416.4</v>
      </c>
      <c r="K19" s="741"/>
      <c r="L19" s="741"/>
      <c r="M19" s="741"/>
      <c r="N19" s="741"/>
    </row>
    <row r="20" spans="1:14" s="500" customFormat="1" ht="13.5" hidden="1" thickBot="1">
      <c r="A20" s="539" t="s">
        <v>544</v>
      </c>
      <c r="B20" s="539" t="s">
        <v>1141</v>
      </c>
      <c r="C20" s="472" t="s">
        <v>40</v>
      </c>
      <c r="D20" s="946">
        <v>0</v>
      </c>
      <c r="E20" s="521">
        <v>0</v>
      </c>
      <c r="F20" s="520">
        <v>0</v>
      </c>
      <c r="G20" s="672" t="s">
        <v>1458</v>
      </c>
      <c r="H20" s="669">
        <v>759.49</v>
      </c>
      <c r="J20" s="517">
        <v>60.399999999999977</v>
      </c>
      <c r="K20" s="500">
        <v>-13.879999999999999</v>
      </c>
    </row>
    <row r="21" spans="1:14" s="500" customFormat="1" ht="13.5" hidden="1" thickBot="1">
      <c r="A21" s="440" t="s">
        <v>545</v>
      </c>
      <c r="B21" s="543" t="s">
        <v>1142</v>
      </c>
      <c r="C21" s="605"/>
      <c r="D21" s="946">
        <v>0</v>
      </c>
      <c r="E21" s="521">
        <v>0</v>
      </c>
      <c r="F21" s="520">
        <v>0</v>
      </c>
      <c r="G21" s="672"/>
      <c r="H21" s="669">
        <v>0</v>
      </c>
    </row>
    <row r="22" spans="1:14" s="500" customFormat="1" ht="13.5" hidden="1" thickBot="1">
      <c r="A22" s="539" t="s">
        <v>546</v>
      </c>
      <c r="B22" s="539" t="s">
        <v>1142</v>
      </c>
      <c r="C22" s="472" t="s">
        <v>64</v>
      </c>
      <c r="D22" s="946">
        <v>0</v>
      </c>
      <c r="E22" s="521">
        <v>0</v>
      </c>
      <c r="F22" s="520">
        <v>0</v>
      </c>
      <c r="G22" s="673" t="s">
        <v>1455</v>
      </c>
      <c r="H22" s="669">
        <v>1</v>
      </c>
    </row>
    <row r="23" spans="1:14" s="500" customFormat="1" ht="13.5" hidden="1" thickBot="1">
      <c r="A23" s="539" t="s">
        <v>547</v>
      </c>
      <c r="B23" s="539" t="s">
        <v>1144</v>
      </c>
      <c r="C23" s="472" t="s">
        <v>64</v>
      </c>
      <c r="D23" s="946">
        <v>0</v>
      </c>
      <c r="E23" s="521">
        <v>0</v>
      </c>
      <c r="F23" s="520">
        <v>0</v>
      </c>
      <c r="G23" s="672" t="s">
        <v>1455</v>
      </c>
      <c r="H23" s="669">
        <v>1</v>
      </c>
    </row>
    <row r="24" spans="1:14" s="500" customFormat="1" ht="13.5" hidden="1" thickBot="1">
      <c r="A24" s="440" t="s">
        <v>548</v>
      </c>
      <c r="B24" s="543" t="s">
        <v>1145</v>
      </c>
      <c r="C24" s="605"/>
      <c r="D24" s="946">
        <v>0</v>
      </c>
      <c r="E24" s="521">
        <v>0</v>
      </c>
      <c r="F24" s="520">
        <v>0</v>
      </c>
      <c r="G24" s="672"/>
      <c r="H24" s="669">
        <v>0</v>
      </c>
    </row>
    <row r="25" spans="1:14" s="500" customFormat="1" ht="13.5" hidden="1" thickBot="1">
      <c r="A25" s="539" t="s">
        <v>549</v>
      </c>
      <c r="B25" s="539" t="s">
        <v>1146</v>
      </c>
      <c r="C25" s="472" t="s">
        <v>37</v>
      </c>
      <c r="D25" s="946">
        <v>0</v>
      </c>
      <c r="E25" s="521">
        <v>656.8</v>
      </c>
      <c r="F25" s="520">
        <v>656.8</v>
      </c>
      <c r="G25" s="672" t="s">
        <v>1456</v>
      </c>
      <c r="H25" s="669">
        <v>0</v>
      </c>
    </row>
    <row r="26" spans="1:14" s="500" customFormat="1" ht="13.5" hidden="1" thickBot="1">
      <c r="A26" s="539" t="s">
        <v>550</v>
      </c>
      <c r="B26" s="539" t="s">
        <v>1819</v>
      </c>
      <c r="C26" s="472" t="s">
        <v>37</v>
      </c>
      <c r="D26" s="946">
        <v>0</v>
      </c>
      <c r="E26" s="521">
        <v>154.35</v>
      </c>
      <c r="F26" s="520">
        <v>154.35</v>
      </c>
      <c r="G26" s="672" t="s">
        <v>1456</v>
      </c>
      <c r="H26" s="669">
        <v>502.44999999999993</v>
      </c>
      <c r="J26" s="500">
        <v>4.0266666666666655</v>
      </c>
    </row>
    <row r="27" spans="1:14" s="518" customFormat="1" ht="13.5" hidden="1" thickBot="1">
      <c r="A27" s="440" t="s">
        <v>551</v>
      </c>
      <c r="B27" s="543" t="s">
        <v>1147</v>
      </c>
      <c r="C27" s="605"/>
      <c r="D27" s="946">
        <v>0</v>
      </c>
      <c r="E27" s="521">
        <v>0</v>
      </c>
      <c r="F27" s="520">
        <v>0</v>
      </c>
      <c r="G27" s="672"/>
      <c r="H27" s="669">
        <v>0</v>
      </c>
    </row>
    <row r="28" spans="1:14" s="500" customFormat="1" ht="13.5" hidden="1" thickBot="1">
      <c r="A28" s="539" t="s">
        <v>552</v>
      </c>
      <c r="B28" s="539" t="s">
        <v>1148</v>
      </c>
      <c r="C28" s="472" t="s">
        <v>64</v>
      </c>
      <c r="D28" s="946">
        <v>0</v>
      </c>
      <c r="E28" s="521">
        <v>0</v>
      </c>
      <c r="F28" s="520">
        <v>0</v>
      </c>
      <c r="G28" s="672" t="s">
        <v>1455</v>
      </c>
      <c r="H28" s="669">
        <v>1</v>
      </c>
    </row>
    <row r="29" spans="1:14" s="500" customFormat="1" ht="13.5" hidden="1" thickBot="1">
      <c r="A29" s="539" t="s">
        <v>553</v>
      </c>
      <c r="B29" s="539" t="s">
        <v>1149</v>
      </c>
      <c r="C29" s="472" t="s">
        <v>36</v>
      </c>
      <c r="D29" s="946">
        <v>0</v>
      </c>
      <c r="E29" s="521">
        <v>0</v>
      </c>
      <c r="F29" s="520">
        <v>0</v>
      </c>
      <c r="G29" s="672" t="s">
        <v>1459</v>
      </c>
      <c r="H29" s="669">
        <v>30</v>
      </c>
    </row>
    <row r="30" spans="1:14" s="518" customFormat="1" ht="13.5" hidden="1" thickBot="1">
      <c r="A30" s="539" t="s">
        <v>554</v>
      </c>
      <c r="B30" s="539" t="s">
        <v>1150</v>
      </c>
      <c r="C30" s="472" t="s">
        <v>64</v>
      </c>
      <c r="D30" s="946">
        <v>0</v>
      </c>
      <c r="E30" s="521">
        <v>0</v>
      </c>
      <c r="F30" s="520">
        <v>0</v>
      </c>
      <c r="G30" s="672" t="s">
        <v>1455</v>
      </c>
      <c r="H30" s="669">
        <v>1</v>
      </c>
    </row>
    <row r="31" spans="1:14" s="500" customFormat="1" ht="13.5" hidden="1" thickBot="1">
      <c r="A31" s="539" t="s">
        <v>555</v>
      </c>
      <c r="B31" s="539" t="s">
        <v>1151</v>
      </c>
      <c r="C31" s="472" t="s">
        <v>64</v>
      </c>
      <c r="D31" s="946">
        <v>0</v>
      </c>
      <c r="E31" s="521">
        <v>0</v>
      </c>
      <c r="F31" s="520">
        <v>0</v>
      </c>
      <c r="G31" s="672" t="s">
        <v>1455</v>
      </c>
      <c r="H31" s="669">
        <v>1</v>
      </c>
    </row>
    <row r="32" spans="1:14" s="500" customFormat="1" ht="13.5" hidden="1" thickBot="1">
      <c r="A32" s="539" t="s">
        <v>556</v>
      </c>
      <c r="B32" s="539" t="s">
        <v>1152</v>
      </c>
      <c r="C32" s="472" t="s">
        <v>64</v>
      </c>
      <c r="D32" s="946">
        <v>0</v>
      </c>
      <c r="E32" s="521">
        <v>0</v>
      </c>
      <c r="F32" s="520">
        <v>0</v>
      </c>
      <c r="G32" s="672" t="s">
        <v>1455</v>
      </c>
      <c r="H32" s="669">
        <v>1</v>
      </c>
    </row>
    <row r="33" spans="1:8" s="500" customFormat="1" ht="13.5" hidden="1" thickBot="1">
      <c r="A33" s="539" t="s">
        <v>557</v>
      </c>
      <c r="B33" s="539" t="s">
        <v>1153</v>
      </c>
      <c r="C33" s="472" t="s">
        <v>64</v>
      </c>
      <c r="D33" s="946">
        <v>0</v>
      </c>
      <c r="E33" s="521">
        <v>0</v>
      </c>
      <c r="F33" s="520">
        <v>0</v>
      </c>
      <c r="G33" s="673" t="s">
        <v>1455</v>
      </c>
      <c r="H33" s="669">
        <v>1</v>
      </c>
    </row>
    <row r="34" spans="1:8" s="500" customFormat="1">
      <c r="A34" s="541" t="s">
        <v>42</v>
      </c>
      <c r="B34" s="541" t="s">
        <v>1154</v>
      </c>
      <c r="C34" s="605"/>
      <c r="D34" s="946">
        <v>0</v>
      </c>
      <c r="E34" s="521">
        <v>0</v>
      </c>
      <c r="F34" s="520">
        <v>0</v>
      </c>
      <c r="G34" s="672"/>
      <c r="H34" s="669">
        <v>0</v>
      </c>
    </row>
    <row r="35" spans="1:8" s="518" customFormat="1">
      <c r="A35" s="440" t="s">
        <v>43</v>
      </c>
      <c r="B35" s="543" t="s">
        <v>1155</v>
      </c>
      <c r="C35" s="605"/>
      <c r="D35" s="946">
        <v>0</v>
      </c>
      <c r="E35" s="521">
        <v>0</v>
      </c>
      <c r="F35" s="520">
        <v>0</v>
      </c>
      <c r="G35" s="672"/>
      <c r="H35" s="669">
        <v>0</v>
      </c>
    </row>
    <row r="36" spans="1:8" s="518" customFormat="1" hidden="1">
      <c r="A36" s="542" t="s">
        <v>53</v>
      </c>
      <c r="B36" s="542" t="s">
        <v>46</v>
      </c>
      <c r="C36" s="605"/>
      <c r="D36" s="946">
        <v>0</v>
      </c>
      <c r="E36" s="521"/>
      <c r="F36" s="520"/>
      <c r="G36" s="672"/>
      <c r="H36" s="669"/>
    </row>
    <row r="37" spans="1:8" s="518" customFormat="1" hidden="1">
      <c r="A37" s="539" t="s">
        <v>558</v>
      </c>
      <c r="B37" s="539" t="s">
        <v>1156</v>
      </c>
      <c r="C37" s="472" t="s">
        <v>40</v>
      </c>
      <c r="D37" s="946">
        <v>0</v>
      </c>
      <c r="E37" s="521"/>
      <c r="F37" s="520"/>
      <c r="G37" s="672"/>
      <c r="H37" s="669"/>
    </row>
    <row r="38" spans="1:8" s="518" customFormat="1" hidden="1">
      <c r="A38" s="539" t="s">
        <v>559</v>
      </c>
      <c r="B38" s="539" t="s">
        <v>1157</v>
      </c>
      <c r="C38" s="472" t="s">
        <v>40</v>
      </c>
      <c r="D38" s="946">
        <v>0</v>
      </c>
      <c r="E38" s="521"/>
      <c r="F38" s="520"/>
      <c r="G38" s="672"/>
      <c r="H38" s="669"/>
    </row>
    <row r="39" spans="1:8" s="518" customFormat="1" hidden="1">
      <c r="A39" s="539" t="s">
        <v>560</v>
      </c>
      <c r="B39" s="539" t="s">
        <v>1158</v>
      </c>
      <c r="C39" s="472" t="s">
        <v>40</v>
      </c>
      <c r="D39" s="946">
        <v>0</v>
      </c>
      <c r="E39" s="521"/>
      <c r="F39" s="520"/>
      <c r="G39" s="672"/>
      <c r="H39" s="669"/>
    </row>
    <row r="40" spans="1:8" s="500" customFormat="1" hidden="1">
      <c r="A40" s="539" t="s">
        <v>561</v>
      </c>
      <c r="B40" s="539" t="s">
        <v>1159</v>
      </c>
      <c r="C40" s="472" t="s">
        <v>37</v>
      </c>
      <c r="D40" s="946">
        <v>0</v>
      </c>
      <c r="E40" s="521">
        <v>0</v>
      </c>
      <c r="F40" s="520">
        <v>0</v>
      </c>
      <c r="G40" s="672" t="s">
        <v>1463</v>
      </c>
      <c r="H40" s="669">
        <v>26.03</v>
      </c>
    </row>
    <row r="41" spans="1:8" s="500" customFormat="1" hidden="1">
      <c r="A41" s="539" t="s">
        <v>562</v>
      </c>
      <c r="B41" s="539" t="s">
        <v>1160</v>
      </c>
      <c r="C41" s="472" t="s">
        <v>40</v>
      </c>
      <c r="D41" s="946">
        <v>0</v>
      </c>
      <c r="E41" s="521">
        <v>0</v>
      </c>
      <c r="F41" s="520">
        <v>0</v>
      </c>
      <c r="G41" s="673" t="s">
        <v>1464</v>
      </c>
      <c r="H41" s="669">
        <v>27.56</v>
      </c>
    </row>
    <row r="42" spans="1:8" s="500" customFormat="1" hidden="1">
      <c r="A42" s="539" t="s">
        <v>563</v>
      </c>
      <c r="B42" s="539" t="s">
        <v>1161</v>
      </c>
      <c r="C42" s="548" t="s">
        <v>40</v>
      </c>
      <c r="D42" s="946">
        <v>0</v>
      </c>
      <c r="E42" s="521">
        <v>0</v>
      </c>
      <c r="F42" s="520">
        <v>0</v>
      </c>
      <c r="G42" s="672" t="s">
        <v>1464</v>
      </c>
      <c r="H42" s="669">
        <v>27.56</v>
      </c>
    </row>
    <row r="43" spans="1:8" s="500" customFormat="1" hidden="1">
      <c r="A43" s="542" t="s">
        <v>564</v>
      </c>
      <c r="B43" s="542" t="s">
        <v>1162</v>
      </c>
      <c r="C43" s="605"/>
      <c r="D43" s="946">
        <v>0</v>
      </c>
      <c r="E43" s="521">
        <v>0</v>
      </c>
      <c r="F43" s="520">
        <v>0</v>
      </c>
      <c r="G43" s="672"/>
      <c r="H43" s="669">
        <v>0</v>
      </c>
    </row>
    <row r="44" spans="1:8" s="500" customFormat="1" hidden="1">
      <c r="A44" s="539" t="s">
        <v>565</v>
      </c>
      <c r="B44" s="539" t="s">
        <v>1163</v>
      </c>
      <c r="C44" s="472" t="s">
        <v>40</v>
      </c>
      <c r="D44" s="946">
        <v>0</v>
      </c>
      <c r="E44" s="521">
        <v>0</v>
      </c>
      <c r="F44" s="520">
        <v>0</v>
      </c>
      <c r="G44" s="672" t="s">
        <v>1465</v>
      </c>
      <c r="H44" s="669">
        <v>7.7</v>
      </c>
    </row>
    <row r="45" spans="1:8" s="500" customFormat="1" hidden="1">
      <c r="A45" s="539" t="s">
        <v>566</v>
      </c>
      <c r="B45" s="539" t="s">
        <v>1164</v>
      </c>
      <c r="C45" s="472" t="s">
        <v>37</v>
      </c>
      <c r="D45" s="946">
        <v>0</v>
      </c>
      <c r="E45" s="521">
        <v>0</v>
      </c>
      <c r="F45" s="520">
        <v>0</v>
      </c>
      <c r="G45" s="672" t="s">
        <v>1466</v>
      </c>
      <c r="H45" s="669">
        <v>13.46</v>
      </c>
    </row>
    <row r="46" spans="1:8" s="500" customFormat="1" hidden="1">
      <c r="A46" s="539" t="s">
        <v>567</v>
      </c>
      <c r="B46" s="539" t="s">
        <v>1165</v>
      </c>
      <c r="C46" s="472" t="s">
        <v>40</v>
      </c>
      <c r="D46" s="946">
        <v>0</v>
      </c>
      <c r="E46" s="521">
        <v>0</v>
      </c>
      <c r="F46" s="520">
        <v>0</v>
      </c>
      <c r="G46" s="672" t="s">
        <v>1467</v>
      </c>
      <c r="H46" s="669">
        <v>2.97</v>
      </c>
    </row>
    <row r="47" spans="1:8" s="500" customFormat="1" hidden="1">
      <c r="A47" s="539" t="s">
        <v>568</v>
      </c>
      <c r="B47" s="539" t="s">
        <v>1166</v>
      </c>
      <c r="C47" s="472" t="s">
        <v>40</v>
      </c>
      <c r="D47" s="946">
        <v>0</v>
      </c>
      <c r="E47" s="521">
        <v>0</v>
      </c>
      <c r="F47" s="520">
        <v>0</v>
      </c>
      <c r="G47" s="672" t="s">
        <v>1468</v>
      </c>
      <c r="H47" s="669">
        <v>0.84</v>
      </c>
    </row>
    <row r="48" spans="1:8" s="500" customFormat="1" hidden="1">
      <c r="A48" s="539" t="s">
        <v>569</v>
      </c>
      <c r="B48" s="539" t="s">
        <v>1167</v>
      </c>
      <c r="C48" s="472" t="s">
        <v>37</v>
      </c>
      <c r="D48" s="946">
        <v>0</v>
      </c>
      <c r="E48" s="521">
        <v>0</v>
      </c>
      <c r="F48" s="520">
        <v>0</v>
      </c>
      <c r="G48" s="672" t="s">
        <v>1469</v>
      </c>
      <c r="H48" s="669">
        <v>23.65</v>
      </c>
    </row>
    <row r="49" spans="1:8" s="500" customFormat="1" hidden="1">
      <c r="A49" s="539" t="s">
        <v>570</v>
      </c>
      <c r="B49" s="539" t="s">
        <v>1168</v>
      </c>
      <c r="C49" s="472" t="s">
        <v>37</v>
      </c>
      <c r="D49" s="946">
        <v>0</v>
      </c>
      <c r="E49" s="521">
        <v>0</v>
      </c>
      <c r="F49" s="520">
        <v>0</v>
      </c>
      <c r="G49" s="672" t="s">
        <v>1463</v>
      </c>
      <c r="H49" s="669">
        <v>26.03</v>
      </c>
    </row>
    <row r="50" spans="1:8" s="500" customFormat="1">
      <c r="A50" s="542" t="s">
        <v>571</v>
      </c>
      <c r="B50" s="542" t="s">
        <v>1169</v>
      </c>
      <c r="C50" s="605"/>
      <c r="D50" s="946">
        <v>0</v>
      </c>
      <c r="E50" s="521">
        <v>0</v>
      </c>
      <c r="F50" s="520">
        <v>0</v>
      </c>
      <c r="G50" s="672"/>
      <c r="H50" s="669">
        <v>0</v>
      </c>
    </row>
    <row r="51" spans="1:8" s="500" customFormat="1" hidden="1">
      <c r="A51" s="539" t="s">
        <v>572</v>
      </c>
      <c r="B51" s="539" t="s">
        <v>1170</v>
      </c>
      <c r="C51" s="605"/>
      <c r="D51" s="946">
        <v>0</v>
      </c>
      <c r="E51" s="521">
        <v>0</v>
      </c>
      <c r="F51" s="520">
        <v>0</v>
      </c>
      <c r="G51" s="672"/>
      <c r="H51" s="669">
        <v>0</v>
      </c>
    </row>
    <row r="52" spans="1:8" s="500" customFormat="1" hidden="1">
      <c r="A52" s="539" t="s">
        <v>573</v>
      </c>
      <c r="B52" s="539" t="s">
        <v>1171</v>
      </c>
      <c r="C52" s="472" t="s">
        <v>40</v>
      </c>
      <c r="D52" s="946">
        <v>0</v>
      </c>
      <c r="E52" s="521">
        <v>0</v>
      </c>
      <c r="F52" s="520">
        <v>0</v>
      </c>
      <c r="G52" s="672" t="s">
        <v>1470</v>
      </c>
      <c r="H52" s="669">
        <v>4.6100000000000003</v>
      </c>
    </row>
    <row r="53" spans="1:8" s="500" customFormat="1" hidden="1">
      <c r="A53" s="539" t="s">
        <v>574</v>
      </c>
      <c r="B53" s="539" t="s">
        <v>1172</v>
      </c>
      <c r="C53" s="472" t="s">
        <v>48</v>
      </c>
      <c r="D53" s="946">
        <v>0</v>
      </c>
      <c r="E53" s="521">
        <v>0</v>
      </c>
      <c r="F53" s="520">
        <v>0</v>
      </c>
      <c r="G53" s="672" t="s">
        <v>1471</v>
      </c>
      <c r="H53" s="669">
        <v>192.7</v>
      </c>
    </row>
    <row r="54" spans="1:8" s="500" customFormat="1" hidden="1">
      <c r="A54" s="539" t="s">
        <v>575</v>
      </c>
      <c r="B54" s="539" t="s">
        <v>1173</v>
      </c>
      <c r="C54" s="605"/>
      <c r="D54" s="946">
        <v>0</v>
      </c>
      <c r="E54" s="521">
        <v>0</v>
      </c>
      <c r="F54" s="520">
        <v>0</v>
      </c>
      <c r="G54" s="672"/>
      <c r="H54" s="669">
        <v>0</v>
      </c>
    </row>
    <row r="55" spans="1:8" s="500" customFormat="1" hidden="1">
      <c r="A55" s="539" t="s">
        <v>576</v>
      </c>
      <c r="B55" s="539" t="s">
        <v>1174</v>
      </c>
      <c r="C55" s="472" t="s">
        <v>40</v>
      </c>
      <c r="D55" s="946">
        <v>0</v>
      </c>
      <c r="E55" s="521">
        <v>0</v>
      </c>
      <c r="F55" s="520">
        <v>0</v>
      </c>
      <c r="G55" s="672" t="s">
        <v>1472</v>
      </c>
      <c r="H55" s="669">
        <v>1.93</v>
      </c>
    </row>
    <row r="56" spans="1:8" s="500" customFormat="1" hidden="1">
      <c r="A56" s="539" t="s">
        <v>577</v>
      </c>
      <c r="B56" s="539" t="s">
        <v>1175</v>
      </c>
      <c r="C56" s="472" t="s">
        <v>37</v>
      </c>
      <c r="D56" s="946">
        <v>0</v>
      </c>
      <c r="E56" s="521">
        <v>0</v>
      </c>
      <c r="F56" s="520">
        <v>0</v>
      </c>
      <c r="G56" s="672" t="s">
        <v>1473</v>
      </c>
      <c r="H56" s="669">
        <v>15.42</v>
      </c>
    </row>
    <row r="57" spans="1:8" s="500" customFormat="1" hidden="1">
      <c r="A57" s="539" t="s">
        <v>578</v>
      </c>
      <c r="B57" s="539" t="s">
        <v>1176</v>
      </c>
      <c r="C57" s="472" t="s">
        <v>48</v>
      </c>
      <c r="D57" s="946">
        <v>0</v>
      </c>
      <c r="E57" s="521">
        <v>0</v>
      </c>
      <c r="F57" s="520">
        <v>0</v>
      </c>
      <c r="G57" s="673" t="s">
        <v>1474</v>
      </c>
      <c r="H57" s="669">
        <v>275.55</v>
      </c>
    </row>
    <row r="58" spans="1:8" s="500" customFormat="1" hidden="1">
      <c r="A58" s="539" t="s">
        <v>579</v>
      </c>
      <c r="B58" s="539" t="s">
        <v>1177</v>
      </c>
      <c r="C58" s="605"/>
      <c r="D58" s="946">
        <v>0</v>
      </c>
      <c r="E58" s="521">
        <v>0</v>
      </c>
      <c r="F58" s="520">
        <v>0</v>
      </c>
      <c r="G58" s="673"/>
      <c r="H58" s="669">
        <v>0</v>
      </c>
    </row>
    <row r="59" spans="1:8" s="500" customFormat="1" hidden="1">
      <c r="A59" s="539" t="s">
        <v>580</v>
      </c>
      <c r="B59" s="539" t="s">
        <v>1178</v>
      </c>
      <c r="C59" s="472" t="s">
        <v>40</v>
      </c>
      <c r="D59" s="946">
        <v>0</v>
      </c>
      <c r="E59" s="521">
        <v>0</v>
      </c>
      <c r="F59" s="520">
        <v>0</v>
      </c>
      <c r="G59" s="672" t="s">
        <v>1475</v>
      </c>
      <c r="H59" s="669">
        <v>2.83</v>
      </c>
    </row>
    <row r="60" spans="1:8" s="500" customFormat="1" hidden="1">
      <c r="A60" s="539" t="s">
        <v>581</v>
      </c>
      <c r="B60" s="539" t="s">
        <v>1179</v>
      </c>
      <c r="C60" s="472" t="s">
        <v>37</v>
      </c>
      <c r="D60" s="946">
        <v>0</v>
      </c>
      <c r="E60" s="521">
        <v>0</v>
      </c>
      <c r="F60" s="520">
        <v>0</v>
      </c>
      <c r="G60" s="672" t="s">
        <v>1476</v>
      </c>
      <c r="H60" s="669">
        <v>40.020000000000003</v>
      </c>
    </row>
    <row r="61" spans="1:8" s="500" customFormat="1" hidden="1">
      <c r="A61" s="539" t="s">
        <v>582</v>
      </c>
      <c r="B61" s="539" t="s">
        <v>1180</v>
      </c>
      <c r="C61" s="472" t="s">
        <v>48</v>
      </c>
      <c r="D61" s="946">
        <v>0</v>
      </c>
      <c r="E61" s="521">
        <v>0</v>
      </c>
      <c r="F61" s="520">
        <v>0</v>
      </c>
      <c r="G61" s="672" t="s">
        <v>1477</v>
      </c>
      <c r="H61" s="669">
        <v>444.48</v>
      </c>
    </row>
    <row r="62" spans="1:8" s="500" customFormat="1">
      <c r="A62" s="539" t="s">
        <v>583</v>
      </c>
      <c r="B62" s="539" t="s">
        <v>1181</v>
      </c>
      <c r="C62" s="605"/>
      <c r="D62" s="946">
        <v>0</v>
      </c>
      <c r="E62" s="521">
        <v>0</v>
      </c>
      <c r="F62" s="520">
        <v>0</v>
      </c>
      <c r="G62" s="672"/>
      <c r="H62" s="669">
        <v>0</v>
      </c>
    </row>
    <row r="63" spans="1:8" s="500" customFormat="1">
      <c r="A63" s="539" t="s">
        <v>584</v>
      </c>
      <c r="B63" s="539" t="s">
        <v>1182</v>
      </c>
      <c r="C63" s="472" t="s">
        <v>40</v>
      </c>
      <c r="D63" s="990">
        <v>0.85</v>
      </c>
      <c r="E63" s="521">
        <v>0</v>
      </c>
      <c r="F63" s="520">
        <v>0.85</v>
      </c>
      <c r="G63" s="672" t="s">
        <v>1478</v>
      </c>
      <c r="H63" s="669">
        <v>0.64</v>
      </c>
    </row>
    <row r="64" spans="1:8" s="500" customFormat="1">
      <c r="A64" s="539" t="s">
        <v>585</v>
      </c>
      <c r="B64" s="539" t="s">
        <v>1183</v>
      </c>
      <c r="C64" s="548" t="s">
        <v>37</v>
      </c>
      <c r="D64" s="990">
        <v>8.9600000000000009</v>
      </c>
      <c r="E64" s="521">
        <v>0</v>
      </c>
      <c r="F64" s="520">
        <v>8.9600000000000009</v>
      </c>
      <c r="G64" s="672" t="s">
        <v>1479</v>
      </c>
      <c r="H64" s="669">
        <v>10.75</v>
      </c>
    </row>
    <row r="65" spans="1:8" s="500" customFormat="1" hidden="1">
      <c r="A65" s="539" t="s">
        <v>586</v>
      </c>
      <c r="B65" s="539" t="s">
        <v>1184</v>
      </c>
      <c r="C65" s="472" t="s">
        <v>48</v>
      </c>
      <c r="D65" s="946">
        <v>0</v>
      </c>
      <c r="E65" s="521">
        <v>0</v>
      </c>
      <c r="F65" s="520">
        <v>0</v>
      </c>
      <c r="G65" s="672" t="s">
        <v>1480</v>
      </c>
      <c r="H65" s="669">
        <v>659.98</v>
      </c>
    </row>
    <row r="66" spans="1:8" s="500" customFormat="1" hidden="1">
      <c r="A66" s="539" t="s">
        <v>587</v>
      </c>
      <c r="B66" s="539" t="s">
        <v>1185</v>
      </c>
      <c r="C66" s="605"/>
      <c r="D66" s="946">
        <v>0</v>
      </c>
      <c r="E66" s="521">
        <v>0</v>
      </c>
      <c r="F66" s="520">
        <v>0</v>
      </c>
      <c r="G66" s="672"/>
      <c r="H66" s="669">
        <v>0</v>
      </c>
    </row>
    <row r="67" spans="1:8" s="500" customFormat="1" hidden="1">
      <c r="A67" s="539" t="s">
        <v>588</v>
      </c>
      <c r="B67" s="539" t="s">
        <v>1186</v>
      </c>
      <c r="C67" s="472" t="s">
        <v>40</v>
      </c>
      <c r="D67" s="946">
        <v>0</v>
      </c>
      <c r="E67" s="521">
        <v>0</v>
      </c>
      <c r="F67" s="520">
        <v>0</v>
      </c>
      <c r="G67" s="672" t="s">
        <v>1481</v>
      </c>
      <c r="H67" s="669">
        <v>4.54</v>
      </c>
    </row>
    <row r="68" spans="1:8" s="500" customFormat="1" hidden="1">
      <c r="A68" s="539" t="s">
        <v>589</v>
      </c>
      <c r="B68" s="539" t="s">
        <v>1187</v>
      </c>
      <c r="C68" s="472" t="s">
        <v>37</v>
      </c>
      <c r="D68" s="946">
        <v>0</v>
      </c>
      <c r="E68" s="521">
        <v>0</v>
      </c>
      <c r="F68" s="520">
        <v>0</v>
      </c>
      <c r="G68" s="672" t="s">
        <v>1482</v>
      </c>
      <c r="H68" s="669">
        <v>38.93</v>
      </c>
    </row>
    <row r="69" spans="1:8" s="500" customFormat="1" hidden="1">
      <c r="A69" s="539" t="s">
        <v>590</v>
      </c>
      <c r="B69" s="539" t="s">
        <v>1188</v>
      </c>
      <c r="C69" s="472" t="s">
        <v>48</v>
      </c>
      <c r="D69" s="946">
        <v>0</v>
      </c>
      <c r="E69" s="521">
        <v>0</v>
      </c>
      <c r="F69" s="520">
        <v>0</v>
      </c>
      <c r="G69" s="672" t="s">
        <v>1483</v>
      </c>
      <c r="H69" s="669">
        <v>563.80999999999995</v>
      </c>
    </row>
    <row r="70" spans="1:8" s="500" customFormat="1" hidden="1">
      <c r="A70" s="539" t="s">
        <v>591</v>
      </c>
      <c r="B70" s="539" t="s">
        <v>1189</v>
      </c>
      <c r="C70" s="605"/>
      <c r="D70" s="946">
        <v>0</v>
      </c>
      <c r="E70" s="521">
        <v>0</v>
      </c>
      <c r="F70" s="520">
        <v>0</v>
      </c>
      <c r="G70" s="673"/>
      <c r="H70" s="669">
        <v>0</v>
      </c>
    </row>
    <row r="71" spans="1:8" s="500" customFormat="1" hidden="1">
      <c r="A71" s="539" t="s">
        <v>592</v>
      </c>
      <c r="B71" s="539" t="s">
        <v>1190</v>
      </c>
      <c r="C71" s="472" t="s">
        <v>40</v>
      </c>
      <c r="D71" s="946">
        <v>0</v>
      </c>
      <c r="E71" s="521">
        <v>0</v>
      </c>
      <c r="F71" s="520">
        <v>0</v>
      </c>
      <c r="G71" s="672" t="s">
        <v>1484</v>
      </c>
      <c r="H71" s="669">
        <v>3.65</v>
      </c>
    </row>
    <row r="72" spans="1:8" s="500" customFormat="1" hidden="1">
      <c r="A72" s="539" t="s">
        <v>593</v>
      </c>
      <c r="B72" s="539" t="s">
        <v>1191</v>
      </c>
      <c r="C72" s="472" t="s">
        <v>37</v>
      </c>
      <c r="D72" s="946">
        <v>0</v>
      </c>
      <c r="E72" s="521">
        <v>0</v>
      </c>
      <c r="F72" s="520">
        <v>0</v>
      </c>
      <c r="G72" s="672" t="s">
        <v>1485</v>
      </c>
      <c r="H72" s="669">
        <v>41.77</v>
      </c>
    </row>
    <row r="73" spans="1:8" s="500" customFormat="1" hidden="1">
      <c r="A73" s="539" t="s">
        <v>594</v>
      </c>
      <c r="B73" s="539" t="s">
        <v>1192</v>
      </c>
      <c r="C73" s="472" t="s">
        <v>48</v>
      </c>
      <c r="D73" s="946">
        <v>0</v>
      </c>
      <c r="E73" s="521">
        <v>0</v>
      </c>
      <c r="F73" s="520">
        <v>0</v>
      </c>
      <c r="G73" s="672" t="s">
        <v>1486</v>
      </c>
      <c r="H73" s="669">
        <v>298.24</v>
      </c>
    </row>
    <row r="74" spans="1:8" s="500" customFormat="1" hidden="1">
      <c r="A74" s="539" t="s">
        <v>595</v>
      </c>
      <c r="B74" s="539" t="s">
        <v>1193</v>
      </c>
      <c r="C74" s="548" t="s">
        <v>1450</v>
      </c>
      <c r="D74" s="946">
        <v>0</v>
      </c>
      <c r="E74" s="521">
        <v>0</v>
      </c>
      <c r="F74" s="520">
        <v>0</v>
      </c>
      <c r="G74" s="672" t="s">
        <v>1487</v>
      </c>
      <c r="H74" s="669">
        <v>347.95</v>
      </c>
    </row>
    <row r="75" spans="1:8" s="500" customFormat="1" hidden="1">
      <c r="A75" s="539" t="s">
        <v>596</v>
      </c>
      <c r="B75" s="539" t="s">
        <v>1194</v>
      </c>
      <c r="C75" s="605"/>
      <c r="D75" s="946">
        <v>0</v>
      </c>
      <c r="E75" s="521">
        <v>0</v>
      </c>
      <c r="F75" s="520">
        <v>0</v>
      </c>
      <c r="G75" s="672"/>
      <c r="H75" s="669">
        <v>0</v>
      </c>
    </row>
    <row r="76" spans="1:8" s="500" customFormat="1" hidden="1">
      <c r="A76" s="539" t="s">
        <v>597</v>
      </c>
      <c r="B76" s="539" t="s">
        <v>1195</v>
      </c>
      <c r="C76" s="472" t="s">
        <v>40</v>
      </c>
      <c r="D76" s="946">
        <v>0</v>
      </c>
      <c r="E76" s="521">
        <v>0</v>
      </c>
      <c r="F76" s="520">
        <v>0</v>
      </c>
      <c r="G76" s="672" t="s">
        <v>1488</v>
      </c>
      <c r="H76" s="669">
        <v>1.2</v>
      </c>
    </row>
    <row r="77" spans="1:8" s="500" customFormat="1" hidden="1">
      <c r="A77" s="539" t="s">
        <v>598</v>
      </c>
      <c r="B77" s="539" t="s">
        <v>1196</v>
      </c>
      <c r="C77" s="472" t="s">
        <v>37</v>
      </c>
      <c r="D77" s="946">
        <v>0</v>
      </c>
      <c r="E77" s="521">
        <v>0</v>
      </c>
      <c r="F77" s="520">
        <v>0</v>
      </c>
      <c r="G77" s="672" t="s">
        <v>1489</v>
      </c>
      <c r="H77" s="669">
        <v>16</v>
      </c>
    </row>
    <row r="78" spans="1:8" s="500" customFormat="1" hidden="1">
      <c r="A78" s="539" t="s">
        <v>599</v>
      </c>
      <c r="B78" s="539" t="s">
        <v>1197</v>
      </c>
      <c r="C78" s="472" t="s">
        <v>48</v>
      </c>
      <c r="D78" s="946">
        <v>0</v>
      </c>
      <c r="E78" s="521">
        <v>0</v>
      </c>
      <c r="F78" s="520">
        <v>0</v>
      </c>
      <c r="G78" s="672" t="s">
        <v>1490</v>
      </c>
      <c r="H78" s="669">
        <v>124.05</v>
      </c>
    </row>
    <row r="79" spans="1:8" s="500" customFormat="1" hidden="1">
      <c r="A79" s="542" t="s">
        <v>600</v>
      </c>
      <c r="B79" s="542" t="s">
        <v>1198</v>
      </c>
      <c r="C79" s="605"/>
      <c r="D79" s="946">
        <v>0</v>
      </c>
      <c r="E79" s="521">
        <v>0</v>
      </c>
      <c r="F79" s="520">
        <v>0</v>
      </c>
      <c r="G79" s="672"/>
      <c r="H79" s="669">
        <v>0</v>
      </c>
    </row>
    <row r="80" spans="1:8" s="500" customFormat="1" hidden="1">
      <c r="A80" s="539" t="s">
        <v>601</v>
      </c>
      <c r="B80" s="539" t="s">
        <v>1199</v>
      </c>
      <c r="C80" s="472" t="s">
        <v>38</v>
      </c>
      <c r="D80" s="946">
        <v>0</v>
      </c>
      <c r="E80" s="521">
        <v>0</v>
      </c>
      <c r="F80" s="520">
        <v>0</v>
      </c>
      <c r="G80" s="672" t="s">
        <v>1491</v>
      </c>
      <c r="H80" s="669">
        <v>59.04</v>
      </c>
    </row>
    <row r="81" spans="1:8" s="500" customFormat="1" hidden="1">
      <c r="A81" s="542" t="s">
        <v>602</v>
      </c>
      <c r="B81" s="542" t="s">
        <v>1200</v>
      </c>
      <c r="C81" s="616"/>
      <c r="D81" s="946">
        <v>0</v>
      </c>
      <c r="E81" s="521">
        <v>0</v>
      </c>
      <c r="F81" s="520">
        <v>0</v>
      </c>
      <c r="G81" s="672"/>
      <c r="H81" s="669">
        <v>0</v>
      </c>
    </row>
    <row r="82" spans="1:8" s="500" customFormat="1" hidden="1">
      <c r="A82" s="539" t="s">
        <v>603</v>
      </c>
      <c r="B82" s="539" t="s">
        <v>1201</v>
      </c>
      <c r="C82" s="472" t="s">
        <v>38</v>
      </c>
      <c r="D82" s="946">
        <v>0</v>
      </c>
      <c r="E82" s="521">
        <v>0</v>
      </c>
      <c r="F82" s="520">
        <v>0</v>
      </c>
      <c r="G82" s="672" t="s">
        <v>1492</v>
      </c>
      <c r="H82" s="669">
        <v>100.3</v>
      </c>
    </row>
    <row r="83" spans="1:8" s="500" customFormat="1" hidden="1">
      <c r="A83" s="539" t="s">
        <v>604</v>
      </c>
      <c r="B83" s="539" t="s">
        <v>225</v>
      </c>
      <c r="C83" s="472" t="s">
        <v>1450</v>
      </c>
      <c r="D83" s="946">
        <v>0</v>
      </c>
      <c r="E83" s="521">
        <v>0</v>
      </c>
      <c r="F83" s="520">
        <v>0</v>
      </c>
      <c r="G83" s="673" t="s">
        <v>1493</v>
      </c>
      <c r="H83" s="669">
        <v>15</v>
      </c>
    </row>
    <row r="84" spans="1:8" s="500" customFormat="1">
      <c r="A84" s="440" t="s">
        <v>44</v>
      </c>
      <c r="B84" s="543" t="s">
        <v>1202</v>
      </c>
      <c r="C84" s="605"/>
      <c r="D84" s="946">
        <v>0</v>
      </c>
      <c r="E84" s="521">
        <v>0</v>
      </c>
      <c r="F84" s="520">
        <v>0</v>
      </c>
      <c r="G84" s="672"/>
      <c r="H84" s="669">
        <v>0</v>
      </c>
    </row>
    <row r="85" spans="1:8" s="500" customFormat="1" hidden="1">
      <c r="A85" s="542" t="s">
        <v>54</v>
      </c>
      <c r="B85" s="542" t="s">
        <v>46</v>
      </c>
      <c r="C85" s="605"/>
      <c r="D85" s="946">
        <v>0</v>
      </c>
      <c r="E85" s="521">
        <v>0</v>
      </c>
      <c r="F85" s="520">
        <v>0</v>
      </c>
      <c r="G85" s="672"/>
      <c r="H85" s="669">
        <v>0</v>
      </c>
    </row>
    <row r="86" spans="1:8" s="500" customFormat="1" hidden="1">
      <c r="A86" s="539" t="s">
        <v>605</v>
      </c>
      <c r="B86" s="539" t="s">
        <v>1156</v>
      </c>
      <c r="C86" s="472" t="s">
        <v>40</v>
      </c>
      <c r="D86" s="946">
        <v>0</v>
      </c>
      <c r="E86" s="521">
        <v>0</v>
      </c>
      <c r="F86" s="520">
        <v>0</v>
      </c>
      <c r="G86" s="672" t="s">
        <v>1494</v>
      </c>
      <c r="H86" s="669">
        <v>34.270000000000003</v>
      </c>
    </row>
    <row r="87" spans="1:8" s="500" customFormat="1" hidden="1">
      <c r="A87" s="539" t="s">
        <v>606</v>
      </c>
      <c r="B87" s="539" t="s">
        <v>1157</v>
      </c>
      <c r="C87" s="472" t="s">
        <v>40</v>
      </c>
      <c r="D87" s="946">
        <v>0</v>
      </c>
      <c r="E87" s="521">
        <v>0</v>
      </c>
      <c r="F87" s="520">
        <v>0</v>
      </c>
      <c r="G87" s="672" t="s">
        <v>1495</v>
      </c>
      <c r="H87" s="669">
        <v>16.989999999999998</v>
      </c>
    </row>
    <row r="88" spans="1:8" s="500" customFormat="1" hidden="1">
      <c r="A88" s="539" t="s">
        <v>607</v>
      </c>
      <c r="B88" s="539" t="s">
        <v>1158</v>
      </c>
      <c r="C88" s="548" t="s">
        <v>40</v>
      </c>
      <c r="D88" s="946">
        <v>0</v>
      </c>
      <c r="E88" s="521">
        <v>0</v>
      </c>
      <c r="F88" s="520">
        <v>0</v>
      </c>
      <c r="G88" s="672" t="s">
        <v>1496</v>
      </c>
      <c r="H88" s="669">
        <v>28.37</v>
      </c>
    </row>
    <row r="89" spans="1:8" s="500" customFormat="1" hidden="1">
      <c r="A89" s="539" t="s">
        <v>608</v>
      </c>
      <c r="B89" s="539" t="s">
        <v>1159</v>
      </c>
      <c r="C89" s="472" t="s">
        <v>37</v>
      </c>
      <c r="D89" s="946">
        <v>0</v>
      </c>
      <c r="E89" s="521">
        <v>0</v>
      </c>
      <c r="F89" s="520">
        <v>0</v>
      </c>
      <c r="G89" s="672" t="s">
        <v>1497</v>
      </c>
      <c r="H89" s="669">
        <v>57.19</v>
      </c>
    </row>
    <row r="90" spans="1:8" s="500" customFormat="1" hidden="1">
      <c r="A90" s="539" t="s">
        <v>609</v>
      </c>
      <c r="B90" s="539" t="s">
        <v>1160</v>
      </c>
      <c r="C90" s="472" t="s">
        <v>40</v>
      </c>
      <c r="D90" s="946">
        <v>0</v>
      </c>
      <c r="E90" s="521">
        <v>0</v>
      </c>
      <c r="F90" s="520">
        <v>0</v>
      </c>
      <c r="G90" s="672" t="s">
        <v>1498</v>
      </c>
      <c r="H90" s="669">
        <v>28.61</v>
      </c>
    </row>
    <row r="91" spans="1:8" s="500" customFormat="1" hidden="1">
      <c r="A91" s="539" t="s">
        <v>610</v>
      </c>
      <c r="B91" s="539" t="s">
        <v>1161</v>
      </c>
      <c r="C91" s="472" t="s">
        <v>40</v>
      </c>
      <c r="D91" s="946">
        <v>0</v>
      </c>
      <c r="E91" s="521">
        <v>0</v>
      </c>
      <c r="F91" s="520">
        <v>0</v>
      </c>
      <c r="G91" s="672" t="s">
        <v>1498</v>
      </c>
      <c r="H91" s="669">
        <v>28.61</v>
      </c>
    </row>
    <row r="92" spans="1:8" s="500" customFormat="1" hidden="1">
      <c r="A92" s="542" t="s">
        <v>55</v>
      </c>
      <c r="B92" s="542" t="s">
        <v>1162</v>
      </c>
      <c r="C92" s="605"/>
      <c r="D92" s="946">
        <v>0</v>
      </c>
      <c r="E92" s="521">
        <v>0</v>
      </c>
      <c r="F92" s="520">
        <v>0</v>
      </c>
      <c r="G92" s="672"/>
      <c r="H92" s="669">
        <v>0</v>
      </c>
    </row>
    <row r="93" spans="1:8" s="500" customFormat="1" hidden="1">
      <c r="A93" s="539" t="s">
        <v>611</v>
      </c>
      <c r="B93" s="539" t="s">
        <v>1203</v>
      </c>
      <c r="C93" s="472" t="s">
        <v>37</v>
      </c>
      <c r="D93" s="946">
        <v>0</v>
      </c>
      <c r="E93" s="521">
        <v>0</v>
      </c>
      <c r="F93" s="520">
        <v>0</v>
      </c>
      <c r="G93" s="672" t="s">
        <v>1499</v>
      </c>
      <c r="H93" s="669">
        <v>26.55</v>
      </c>
    </row>
    <row r="94" spans="1:8" s="843" customFormat="1" hidden="1">
      <c r="A94" s="832" t="s">
        <v>612</v>
      </c>
      <c r="B94" s="832" t="s">
        <v>1204</v>
      </c>
      <c r="C94" s="833" t="s">
        <v>40</v>
      </c>
      <c r="D94" s="946">
        <v>0</v>
      </c>
      <c r="E94" s="521">
        <v>0</v>
      </c>
      <c r="F94" s="520">
        <v>0</v>
      </c>
      <c r="G94" s="841" t="s">
        <v>1500</v>
      </c>
      <c r="H94" s="842">
        <v>12.87</v>
      </c>
    </row>
    <row r="95" spans="1:8" s="843" customFormat="1" hidden="1">
      <c r="A95" s="832" t="s">
        <v>613</v>
      </c>
      <c r="B95" s="832" t="s">
        <v>1205</v>
      </c>
      <c r="C95" s="833" t="s">
        <v>40</v>
      </c>
      <c r="D95" s="946">
        <v>0</v>
      </c>
      <c r="E95" s="521">
        <v>0</v>
      </c>
      <c r="F95" s="520">
        <v>0</v>
      </c>
      <c r="G95" s="841" t="s">
        <v>1501</v>
      </c>
      <c r="H95" s="842">
        <v>2.68</v>
      </c>
    </row>
    <row r="96" spans="1:8" s="843" customFormat="1" hidden="1">
      <c r="A96" s="832" t="s">
        <v>614</v>
      </c>
      <c r="B96" s="832" t="s">
        <v>1167</v>
      </c>
      <c r="C96" s="846" t="s">
        <v>37</v>
      </c>
      <c r="D96" s="946">
        <v>0</v>
      </c>
      <c r="E96" s="521">
        <v>0</v>
      </c>
      <c r="F96" s="520">
        <v>0</v>
      </c>
      <c r="G96" s="841" t="s">
        <v>1502</v>
      </c>
      <c r="H96" s="842">
        <v>96.66</v>
      </c>
    </row>
    <row r="97" spans="1:8" s="500" customFormat="1" hidden="1">
      <c r="A97" s="539" t="s">
        <v>615</v>
      </c>
      <c r="B97" s="539" t="s">
        <v>1168</v>
      </c>
      <c r="C97" s="472" t="s">
        <v>37</v>
      </c>
      <c r="D97" s="946">
        <v>0</v>
      </c>
      <c r="E97" s="521">
        <v>0</v>
      </c>
      <c r="F97" s="520">
        <v>0</v>
      </c>
      <c r="G97" s="672" t="s">
        <v>1497</v>
      </c>
      <c r="H97" s="669">
        <v>57.19</v>
      </c>
    </row>
    <row r="98" spans="1:8" s="500" customFormat="1">
      <c r="A98" s="542" t="s">
        <v>616</v>
      </c>
      <c r="B98" s="542" t="s">
        <v>1169</v>
      </c>
      <c r="C98" s="605"/>
      <c r="D98" s="946">
        <v>0</v>
      </c>
      <c r="E98" s="521">
        <v>0</v>
      </c>
      <c r="F98" s="520">
        <v>0</v>
      </c>
      <c r="G98" s="672"/>
      <c r="H98" s="669">
        <v>0</v>
      </c>
    </row>
    <row r="99" spans="1:8" s="500" customFormat="1" hidden="1">
      <c r="A99" s="539" t="s">
        <v>617</v>
      </c>
      <c r="B99" s="539" t="s">
        <v>1170</v>
      </c>
      <c r="C99" s="605"/>
      <c r="D99" s="946">
        <v>0</v>
      </c>
      <c r="E99" s="521">
        <v>0</v>
      </c>
      <c r="F99" s="520">
        <v>0</v>
      </c>
      <c r="G99" s="672"/>
      <c r="H99" s="669">
        <v>0</v>
      </c>
    </row>
    <row r="100" spans="1:8" s="500" customFormat="1" hidden="1">
      <c r="A100" s="539" t="s">
        <v>618</v>
      </c>
      <c r="B100" s="539" t="s">
        <v>1206</v>
      </c>
      <c r="C100" s="472" t="s">
        <v>40</v>
      </c>
      <c r="D100" s="946">
        <v>0</v>
      </c>
      <c r="E100" s="521">
        <v>0</v>
      </c>
      <c r="F100" s="520">
        <v>0</v>
      </c>
      <c r="G100" s="672" t="s">
        <v>1503</v>
      </c>
      <c r="H100" s="669">
        <v>8.06</v>
      </c>
    </row>
    <row r="101" spans="1:8" s="500" customFormat="1" hidden="1">
      <c r="A101" s="539" t="s">
        <v>619</v>
      </c>
      <c r="B101" s="539" t="s">
        <v>1172</v>
      </c>
      <c r="C101" s="472" t="s">
        <v>48</v>
      </c>
      <c r="D101" s="946">
        <v>0</v>
      </c>
      <c r="E101" s="521">
        <v>0</v>
      </c>
      <c r="F101" s="520">
        <v>0</v>
      </c>
      <c r="G101" s="672" t="s">
        <v>1504</v>
      </c>
      <c r="H101" s="669">
        <v>337.22</v>
      </c>
    </row>
    <row r="102" spans="1:8" s="500" customFormat="1" hidden="1">
      <c r="A102" s="539" t="s">
        <v>620</v>
      </c>
      <c r="B102" s="539" t="s">
        <v>1173</v>
      </c>
      <c r="C102" s="605"/>
      <c r="D102" s="946">
        <v>0</v>
      </c>
      <c r="E102" s="521">
        <v>0</v>
      </c>
      <c r="F102" s="520">
        <v>0</v>
      </c>
      <c r="G102" s="672"/>
      <c r="H102" s="669">
        <v>0</v>
      </c>
    </row>
    <row r="103" spans="1:8" s="500" customFormat="1" hidden="1">
      <c r="A103" s="539" t="s">
        <v>621</v>
      </c>
      <c r="B103" s="539" t="s">
        <v>1207</v>
      </c>
      <c r="C103" s="472" t="s">
        <v>40</v>
      </c>
      <c r="D103" s="946">
        <v>0</v>
      </c>
      <c r="E103" s="521">
        <v>0</v>
      </c>
      <c r="F103" s="520">
        <v>0</v>
      </c>
      <c r="G103" s="672" t="s">
        <v>1505</v>
      </c>
      <c r="H103" s="669">
        <v>3.81</v>
      </c>
    </row>
    <row r="104" spans="1:8" s="500" customFormat="1" hidden="1">
      <c r="A104" s="539" t="s">
        <v>622</v>
      </c>
      <c r="B104" s="539" t="s">
        <v>1175</v>
      </c>
      <c r="C104" s="548" t="s">
        <v>37</v>
      </c>
      <c r="D104" s="946">
        <v>0</v>
      </c>
      <c r="E104" s="521">
        <v>0</v>
      </c>
      <c r="F104" s="520">
        <v>0</v>
      </c>
      <c r="G104" s="672" t="s">
        <v>1506</v>
      </c>
      <c r="H104" s="669">
        <v>30.45</v>
      </c>
    </row>
    <row r="105" spans="1:8" s="500" customFormat="1" hidden="1">
      <c r="A105" s="539" t="s">
        <v>623</v>
      </c>
      <c r="B105" s="539" t="s">
        <v>1176</v>
      </c>
      <c r="C105" s="472" t="s">
        <v>48</v>
      </c>
      <c r="D105" s="946">
        <v>0</v>
      </c>
      <c r="E105" s="521">
        <v>0</v>
      </c>
      <c r="F105" s="520">
        <v>0</v>
      </c>
      <c r="G105" s="672" t="s">
        <v>1507</v>
      </c>
      <c r="H105" s="669">
        <v>322.07</v>
      </c>
    </row>
    <row r="106" spans="1:8" s="500" customFormat="1" hidden="1">
      <c r="A106" s="539" t="s">
        <v>624</v>
      </c>
      <c r="B106" s="539" t="s">
        <v>1177</v>
      </c>
      <c r="C106" s="605"/>
      <c r="D106" s="946">
        <v>0</v>
      </c>
      <c r="E106" s="521">
        <v>0</v>
      </c>
      <c r="F106" s="520">
        <v>0</v>
      </c>
      <c r="G106" s="672"/>
      <c r="H106" s="669">
        <v>0</v>
      </c>
    </row>
    <row r="107" spans="1:8" s="500" customFormat="1" hidden="1">
      <c r="A107" s="539" t="s">
        <v>625</v>
      </c>
      <c r="B107" s="539" t="s">
        <v>1208</v>
      </c>
      <c r="C107" s="472" t="s">
        <v>40</v>
      </c>
      <c r="D107" s="946">
        <v>0</v>
      </c>
      <c r="E107" s="521">
        <v>0</v>
      </c>
      <c r="F107" s="520">
        <v>0</v>
      </c>
      <c r="G107" s="672" t="s">
        <v>1508</v>
      </c>
      <c r="H107" s="669">
        <v>5.95</v>
      </c>
    </row>
    <row r="108" spans="1:8" s="500" customFormat="1" hidden="1">
      <c r="A108" s="539" t="s">
        <v>626</v>
      </c>
      <c r="B108" s="539" t="s">
        <v>1179</v>
      </c>
      <c r="C108" s="472" t="s">
        <v>37</v>
      </c>
      <c r="D108" s="946">
        <v>0</v>
      </c>
      <c r="E108" s="521">
        <v>0</v>
      </c>
      <c r="F108" s="520">
        <v>0</v>
      </c>
      <c r="G108" s="673" t="s">
        <v>1509</v>
      </c>
      <c r="H108" s="669">
        <v>77.91</v>
      </c>
    </row>
    <row r="109" spans="1:8" s="500" customFormat="1" hidden="1">
      <c r="A109" s="539" t="s">
        <v>627</v>
      </c>
      <c r="B109" s="539" t="s">
        <v>1180</v>
      </c>
      <c r="C109" s="472" t="s">
        <v>48</v>
      </c>
      <c r="D109" s="946">
        <v>0</v>
      </c>
      <c r="E109" s="521">
        <v>0</v>
      </c>
      <c r="F109" s="520">
        <v>0</v>
      </c>
      <c r="G109" s="672" t="s">
        <v>1510</v>
      </c>
      <c r="H109" s="669">
        <v>2582.91</v>
      </c>
    </row>
    <row r="110" spans="1:8" s="500" customFormat="1">
      <c r="A110" s="542" t="s">
        <v>616</v>
      </c>
      <c r="B110" s="539" t="s">
        <v>1181</v>
      </c>
      <c r="C110" s="605"/>
      <c r="D110" s="946">
        <v>0</v>
      </c>
      <c r="E110" s="521">
        <v>0</v>
      </c>
      <c r="F110" s="520">
        <v>0</v>
      </c>
      <c r="G110" s="672"/>
      <c r="H110" s="669">
        <v>0</v>
      </c>
    </row>
    <row r="111" spans="1:8" s="500" customFormat="1">
      <c r="A111" s="542" t="s">
        <v>616</v>
      </c>
      <c r="B111" s="539" t="s">
        <v>1182</v>
      </c>
      <c r="C111" s="472" t="s">
        <v>40</v>
      </c>
      <c r="D111" s="990">
        <v>0.31</v>
      </c>
      <c r="E111" s="521">
        <v>0</v>
      </c>
      <c r="F111" s="520">
        <v>0.31</v>
      </c>
      <c r="G111" s="672" t="s">
        <v>1511</v>
      </c>
      <c r="H111" s="669">
        <v>2.5099999999999998</v>
      </c>
    </row>
    <row r="112" spans="1:8" s="500" customFormat="1" hidden="1">
      <c r="A112" s="539" t="s">
        <v>632</v>
      </c>
      <c r="B112" s="539" t="s">
        <v>1185</v>
      </c>
      <c r="C112" s="605"/>
      <c r="D112" s="946">
        <v>0</v>
      </c>
      <c r="E112" s="521">
        <v>0</v>
      </c>
      <c r="F112" s="520">
        <v>0</v>
      </c>
      <c r="G112" s="672"/>
      <c r="H112" s="669">
        <v>0</v>
      </c>
    </row>
    <row r="113" spans="1:8" s="500" customFormat="1" hidden="1">
      <c r="A113" s="539" t="s">
        <v>633</v>
      </c>
      <c r="B113" s="539" t="s">
        <v>1186</v>
      </c>
      <c r="C113" s="472" t="s">
        <v>40</v>
      </c>
      <c r="D113" s="946">
        <v>0</v>
      </c>
      <c r="E113" s="521">
        <v>0</v>
      </c>
      <c r="F113" s="520">
        <v>0</v>
      </c>
      <c r="G113" s="672" t="s">
        <v>1514</v>
      </c>
      <c r="H113" s="669">
        <v>10.33</v>
      </c>
    </row>
    <row r="114" spans="1:8" s="500" customFormat="1" hidden="1">
      <c r="A114" s="539" t="s">
        <v>634</v>
      </c>
      <c r="B114" s="539" t="s">
        <v>1187</v>
      </c>
      <c r="C114" s="472" t="s">
        <v>37</v>
      </c>
      <c r="D114" s="946">
        <v>0</v>
      </c>
      <c r="E114" s="521">
        <v>0</v>
      </c>
      <c r="F114" s="520">
        <v>0</v>
      </c>
      <c r="G114" s="672" t="s">
        <v>1515</v>
      </c>
      <c r="H114" s="669">
        <v>116.46</v>
      </c>
    </row>
    <row r="115" spans="1:8" s="500" customFormat="1" hidden="1">
      <c r="A115" s="539" t="s">
        <v>635</v>
      </c>
      <c r="B115" s="539" t="s">
        <v>1188</v>
      </c>
      <c r="C115" s="472" t="s">
        <v>48</v>
      </c>
      <c r="D115" s="946">
        <v>0</v>
      </c>
      <c r="E115" s="521">
        <v>0</v>
      </c>
      <c r="F115" s="520">
        <v>0</v>
      </c>
      <c r="G115" s="672" t="s">
        <v>1516</v>
      </c>
      <c r="H115" s="669">
        <v>1452.85</v>
      </c>
    </row>
    <row r="116" spans="1:8" s="500" customFormat="1" hidden="1">
      <c r="A116" s="539" t="s">
        <v>636</v>
      </c>
      <c r="B116" s="539" t="s">
        <v>1189</v>
      </c>
      <c r="C116" s="472"/>
      <c r="D116" s="946">
        <v>0</v>
      </c>
      <c r="E116" s="521">
        <v>0</v>
      </c>
      <c r="F116" s="520">
        <v>0</v>
      </c>
      <c r="G116" s="672"/>
      <c r="H116" s="669">
        <v>0</v>
      </c>
    </row>
    <row r="117" spans="1:8" s="500" customFormat="1" hidden="1">
      <c r="A117" s="539" t="s">
        <v>637</v>
      </c>
      <c r="B117" s="539" t="s">
        <v>1190</v>
      </c>
      <c r="C117" s="472" t="s">
        <v>40</v>
      </c>
      <c r="D117" s="946">
        <v>0</v>
      </c>
      <c r="E117" s="521">
        <v>0</v>
      </c>
      <c r="F117" s="520">
        <v>0</v>
      </c>
      <c r="G117" s="672" t="s">
        <v>1517</v>
      </c>
      <c r="H117" s="669">
        <v>8.94</v>
      </c>
    </row>
    <row r="118" spans="1:8" s="500" customFormat="1" hidden="1">
      <c r="A118" s="539" t="s">
        <v>638</v>
      </c>
      <c r="B118" s="539" t="s">
        <v>1191</v>
      </c>
      <c r="C118" s="472" t="s">
        <v>37</v>
      </c>
      <c r="D118" s="946">
        <v>0</v>
      </c>
      <c r="E118" s="521">
        <v>0</v>
      </c>
      <c r="F118" s="520">
        <v>0</v>
      </c>
      <c r="G118" s="672" t="s">
        <v>1518</v>
      </c>
      <c r="H118" s="669">
        <v>102.17</v>
      </c>
    </row>
    <row r="119" spans="1:8" s="500" customFormat="1" hidden="1">
      <c r="A119" s="539" t="s">
        <v>639</v>
      </c>
      <c r="B119" s="539" t="s">
        <v>1192</v>
      </c>
      <c r="C119" s="472" t="s">
        <v>48</v>
      </c>
      <c r="D119" s="946">
        <v>0</v>
      </c>
      <c r="E119" s="521">
        <v>0</v>
      </c>
      <c r="F119" s="520">
        <v>0</v>
      </c>
      <c r="G119" s="672" t="s">
        <v>1519</v>
      </c>
      <c r="H119" s="669">
        <v>1062.45</v>
      </c>
    </row>
    <row r="120" spans="1:8" s="500" customFormat="1" hidden="1">
      <c r="A120" s="539" t="s">
        <v>640</v>
      </c>
      <c r="B120" s="539" t="s">
        <v>1193</v>
      </c>
      <c r="C120" s="472" t="s">
        <v>1450</v>
      </c>
      <c r="D120" s="946">
        <v>0</v>
      </c>
      <c r="E120" s="521">
        <v>0</v>
      </c>
      <c r="F120" s="520">
        <v>0</v>
      </c>
      <c r="G120" s="672" t="s">
        <v>1520</v>
      </c>
      <c r="H120" s="669">
        <v>851.11</v>
      </c>
    </row>
    <row r="121" spans="1:8" s="500" customFormat="1" hidden="1">
      <c r="A121" s="539" t="s">
        <v>641</v>
      </c>
      <c r="B121" s="539" t="s">
        <v>1194</v>
      </c>
      <c r="C121" s="605"/>
      <c r="D121" s="946">
        <v>0</v>
      </c>
      <c r="E121" s="521">
        <v>0</v>
      </c>
      <c r="F121" s="520">
        <v>0</v>
      </c>
      <c r="G121" s="672"/>
      <c r="H121" s="669">
        <v>0</v>
      </c>
    </row>
    <row r="122" spans="1:8" s="500" customFormat="1" hidden="1">
      <c r="A122" s="539" t="s">
        <v>642</v>
      </c>
      <c r="B122" s="539" t="s">
        <v>1195</v>
      </c>
      <c r="C122" s="472" t="s">
        <v>40</v>
      </c>
      <c r="D122" s="946">
        <v>0</v>
      </c>
      <c r="E122" s="521">
        <v>0</v>
      </c>
      <c r="F122" s="520">
        <v>0</v>
      </c>
      <c r="G122" s="672" t="s">
        <v>1521</v>
      </c>
      <c r="H122" s="669">
        <v>2.66</v>
      </c>
    </row>
    <row r="123" spans="1:8" s="500" customFormat="1" hidden="1">
      <c r="A123" s="539" t="s">
        <v>643</v>
      </c>
      <c r="B123" s="539" t="s">
        <v>1196</v>
      </c>
      <c r="C123" s="472" t="s">
        <v>37</v>
      </c>
      <c r="D123" s="946">
        <v>0</v>
      </c>
      <c r="E123" s="521">
        <v>0</v>
      </c>
      <c r="F123" s="520">
        <v>0</v>
      </c>
      <c r="G123" s="672" t="s">
        <v>1512</v>
      </c>
      <c r="H123" s="669">
        <v>35.44</v>
      </c>
    </row>
    <row r="124" spans="1:8" s="500" customFormat="1" hidden="1">
      <c r="A124" s="539" t="s">
        <v>644</v>
      </c>
      <c r="B124" s="539" t="s">
        <v>1197</v>
      </c>
      <c r="C124" s="472" t="s">
        <v>48</v>
      </c>
      <c r="D124" s="946">
        <v>0</v>
      </c>
      <c r="E124" s="521">
        <v>0</v>
      </c>
      <c r="F124" s="520">
        <v>0</v>
      </c>
      <c r="G124" s="672" t="s">
        <v>1522</v>
      </c>
      <c r="H124" s="669">
        <v>179.59</v>
      </c>
    </row>
    <row r="125" spans="1:8" s="500" customFormat="1" hidden="1">
      <c r="A125" s="542" t="s">
        <v>645</v>
      </c>
      <c r="B125" s="542" t="s">
        <v>1198</v>
      </c>
      <c r="C125" s="605"/>
      <c r="D125" s="946">
        <v>0</v>
      </c>
      <c r="E125" s="521">
        <v>0</v>
      </c>
      <c r="F125" s="520">
        <v>0</v>
      </c>
      <c r="G125" s="672"/>
      <c r="H125" s="669">
        <v>0</v>
      </c>
    </row>
    <row r="126" spans="1:8" s="500" customFormat="1" hidden="1">
      <c r="A126" s="539" t="s">
        <v>646</v>
      </c>
      <c r="B126" s="539" t="s">
        <v>1199</v>
      </c>
      <c r="C126" s="472" t="s">
        <v>38</v>
      </c>
      <c r="D126" s="946">
        <v>0</v>
      </c>
      <c r="E126" s="521">
        <v>0</v>
      </c>
      <c r="F126" s="520">
        <v>0</v>
      </c>
      <c r="G126" s="672" t="s">
        <v>1523</v>
      </c>
      <c r="H126" s="669">
        <v>158.4</v>
      </c>
    </row>
    <row r="127" spans="1:8" s="500" customFormat="1" hidden="1">
      <c r="A127" s="542" t="s">
        <v>647</v>
      </c>
      <c r="B127" s="542" t="s">
        <v>1200</v>
      </c>
      <c r="C127" s="616"/>
      <c r="D127" s="946">
        <v>0</v>
      </c>
      <c r="E127" s="521">
        <v>0</v>
      </c>
      <c r="F127" s="520">
        <v>0</v>
      </c>
      <c r="G127" s="673"/>
      <c r="H127" s="669">
        <v>0</v>
      </c>
    </row>
    <row r="128" spans="1:8" s="500" customFormat="1" hidden="1">
      <c r="A128" s="539" t="s">
        <v>648</v>
      </c>
      <c r="B128" s="539" t="s">
        <v>1201</v>
      </c>
      <c r="C128" s="472" t="s">
        <v>38</v>
      </c>
      <c r="D128" s="946">
        <v>0</v>
      </c>
      <c r="E128" s="521">
        <v>0</v>
      </c>
      <c r="F128" s="520">
        <v>0</v>
      </c>
      <c r="G128" s="673" t="s">
        <v>1524</v>
      </c>
      <c r="H128" s="669">
        <v>83.2</v>
      </c>
    </row>
    <row r="129" spans="1:8" s="500" customFormat="1" hidden="1">
      <c r="A129" s="539" t="s">
        <v>649</v>
      </c>
      <c r="B129" s="539" t="s">
        <v>225</v>
      </c>
      <c r="C129" s="472" t="s">
        <v>1450</v>
      </c>
      <c r="D129" s="946">
        <v>0</v>
      </c>
      <c r="E129" s="521">
        <v>0</v>
      </c>
      <c r="F129" s="520">
        <v>0</v>
      </c>
      <c r="G129" s="672" t="s">
        <v>1493</v>
      </c>
      <c r="H129" s="669">
        <v>15</v>
      </c>
    </row>
    <row r="130" spans="1:8" s="500" customFormat="1">
      <c r="A130" s="440" t="s">
        <v>52</v>
      </c>
      <c r="B130" s="543" t="s">
        <v>1209</v>
      </c>
      <c r="C130" s="605"/>
      <c r="D130" s="946">
        <v>0</v>
      </c>
      <c r="E130" s="521">
        <v>0</v>
      </c>
      <c r="F130" s="520">
        <v>0</v>
      </c>
      <c r="G130" s="672"/>
      <c r="H130" s="669">
        <v>0</v>
      </c>
    </row>
    <row r="131" spans="1:8" s="500" customFormat="1">
      <c r="A131" s="542" t="s">
        <v>56</v>
      </c>
      <c r="B131" s="542" t="s">
        <v>46</v>
      </c>
      <c r="C131" s="616"/>
      <c r="D131" s="946">
        <v>0</v>
      </c>
      <c r="E131" s="521">
        <v>0</v>
      </c>
      <c r="F131" s="520">
        <v>0</v>
      </c>
      <c r="G131" s="672" t="s">
        <v>1525</v>
      </c>
      <c r="H131" s="669">
        <v>28.51</v>
      </c>
    </row>
    <row r="132" spans="1:8" s="500" customFormat="1">
      <c r="A132" s="539" t="s">
        <v>652</v>
      </c>
      <c r="B132" s="539" t="s">
        <v>1158</v>
      </c>
      <c r="C132" s="548" t="s">
        <v>40</v>
      </c>
      <c r="D132" s="990">
        <v>4.5</v>
      </c>
      <c r="E132" s="521">
        <v>0</v>
      </c>
      <c r="F132" s="520">
        <v>4.5</v>
      </c>
      <c r="G132" s="672" t="s">
        <v>1528</v>
      </c>
      <c r="H132" s="669">
        <v>67.83</v>
      </c>
    </row>
    <row r="133" spans="1:8" s="500" customFormat="1">
      <c r="A133" s="539" t="s">
        <v>653</v>
      </c>
      <c r="B133" s="539" t="s">
        <v>1159</v>
      </c>
      <c r="C133" s="548" t="s">
        <v>37</v>
      </c>
      <c r="D133" s="990">
        <v>55.87</v>
      </c>
      <c r="E133" s="521">
        <v>0</v>
      </c>
      <c r="F133" s="520">
        <v>55.87</v>
      </c>
      <c r="G133" s="672" t="s">
        <v>1529</v>
      </c>
      <c r="H133" s="669">
        <v>-38.679999999999993</v>
      </c>
    </row>
    <row r="134" spans="1:8" s="500" customFormat="1" hidden="1">
      <c r="A134" s="542" t="s">
        <v>57</v>
      </c>
      <c r="B134" s="542" t="s">
        <v>1162</v>
      </c>
      <c r="C134" s="616"/>
      <c r="D134" s="946">
        <v>0</v>
      </c>
      <c r="E134" s="521">
        <v>0</v>
      </c>
      <c r="F134" s="520">
        <v>0</v>
      </c>
      <c r="G134" s="673" t="s">
        <v>1530</v>
      </c>
      <c r="H134" s="669">
        <v>23.07</v>
      </c>
    </row>
    <row r="135" spans="1:8" s="500" customFormat="1" hidden="1">
      <c r="A135" s="539" t="s">
        <v>656</v>
      </c>
      <c r="B135" s="539" t="s">
        <v>1203</v>
      </c>
      <c r="C135" s="548" t="s">
        <v>37</v>
      </c>
      <c r="D135" s="946">
        <v>0</v>
      </c>
      <c r="E135" s="521">
        <v>0</v>
      </c>
      <c r="F135" s="520">
        <v>0</v>
      </c>
      <c r="G135" s="672" t="s">
        <v>1531</v>
      </c>
      <c r="H135" s="669">
        <v>10.4</v>
      </c>
    </row>
    <row r="136" spans="1:8" s="843" customFormat="1" hidden="1">
      <c r="A136" s="832" t="s">
        <v>657</v>
      </c>
      <c r="B136" s="832" t="s">
        <v>1204</v>
      </c>
      <c r="C136" s="846" t="s">
        <v>40</v>
      </c>
      <c r="D136" s="946">
        <v>0</v>
      </c>
      <c r="E136" s="521">
        <v>0</v>
      </c>
      <c r="F136" s="520">
        <v>0</v>
      </c>
      <c r="G136" s="841" t="s">
        <v>1532</v>
      </c>
      <c r="H136" s="842">
        <v>2.1800000000000002</v>
      </c>
    </row>
    <row r="137" spans="1:8" s="843" customFormat="1" hidden="1">
      <c r="A137" s="832" t="s">
        <v>658</v>
      </c>
      <c r="B137" s="832" t="s">
        <v>1205</v>
      </c>
      <c r="C137" s="846" t="s">
        <v>40</v>
      </c>
      <c r="D137" s="946">
        <v>0</v>
      </c>
      <c r="E137" s="521">
        <v>0</v>
      </c>
      <c r="F137" s="520">
        <v>0</v>
      </c>
      <c r="G137" s="841" t="s">
        <v>1533</v>
      </c>
      <c r="H137" s="842">
        <v>29.03</v>
      </c>
    </row>
    <row r="138" spans="1:8" s="500" customFormat="1" hidden="1">
      <c r="A138" s="539" t="s">
        <v>659</v>
      </c>
      <c r="B138" s="539" t="s">
        <v>1167</v>
      </c>
      <c r="C138" s="548" t="s">
        <v>37</v>
      </c>
      <c r="D138" s="946">
        <v>0</v>
      </c>
      <c r="E138" s="521">
        <v>0</v>
      </c>
      <c r="F138" s="520">
        <v>0</v>
      </c>
      <c r="G138" s="672" t="s">
        <v>1528</v>
      </c>
      <c r="H138" s="669">
        <v>72.33</v>
      </c>
    </row>
    <row r="139" spans="1:8" s="500" customFormat="1" hidden="1">
      <c r="A139" s="539" t="s">
        <v>660</v>
      </c>
      <c r="B139" s="539" t="s">
        <v>1168</v>
      </c>
      <c r="C139" s="548" t="s">
        <v>37</v>
      </c>
      <c r="D139" s="946">
        <v>0</v>
      </c>
      <c r="E139" s="521">
        <v>0</v>
      </c>
      <c r="F139" s="520">
        <v>0</v>
      </c>
      <c r="G139" s="672"/>
      <c r="H139" s="669">
        <v>0</v>
      </c>
    </row>
    <row r="140" spans="1:8" s="500" customFormat="1">
      <c r="A140" s="542" t="s">
        <v>661</v>
      </c>
      <c r="B140" s="542" t="s">
        <v>1169</v>
      </c>
      <c r="C140" s="616"/>
      <c r="D140" s="946">
        <v>0</v>
      </c>
      <c r="E140" s="521">
        <v>0</v>
      </c>
      <c r="F140" s="520">
        <v>0</v>
      </c>
      <c r="G140" s="672"/>
      <c r="H140" s="669">
        <v>0</v>
      </c>
    </row>
    <row r="141" spans="1:8" s="500" customFormat="1" hidden="1">
      <c r="A141" s="539" t="s">
        <v>662</v>
      </c>
      <c r="B141" s="539" t="s">
        <v>1170</v>
      </c>
      <c r="C141" s="616"/>
      <c r="D141" s="946">
        <v>0</v>
      </c>
      <c r="E141" s="521">
        <v>0</v>
      </c>
      <c r="F141" s="520">
        <v>0</v>
      </c>
      <c r="G141" s="672" t="s">
        <v>1534</v>
      </c>
      <c r="H141" s="669">
        <v>6.34</v>
      </c>
    </row>
    <row r="142" spans="1:8" s="500" customFormat="1" hidden="1">
      <c r="A142" s="539" t="s">
        <v>663</v>
      </c>
      <c r="B142" s="539" t="s">
        <v>1206</v>
      </c>
      <c r="C142" s="548" t="s">
        <v>40</v>
      </c>
      <c r="D142" s="946">
        <v>0</v>
      </c>
      <c r="E142" s="521">
        <v>0</v>
      </c>
      <c r="F142" s="520">
        <v>0</v>
      </c>
      <c r="G142" s="672" t="s">
        <v>1535</v>
      </c>
      <c r="H142" s="669">
        <v>264.95999999999998</v>
      </c>
    </row>
    <row r="143" spans="1:8" s="500" customFormat="1" hidden="1">
      <c r="A143" s="539" t="s">
        <v>664</v>
      </c>
      <c r="B143" s="539" t="s">
        <v>1172</v>
      </c>
      <c r="C143" s="548" t="s">
        <v>48</v>
      </c>
      <c r="D143" s="946">
        <v>0</v>
      </c>
      <c r="E143" s="521">
        <v>0</v>
      </c>
      <c r="F143" s="520">
        <v>0</v>
      </c>
      <c r="G143" s="672"/>
      <c r="H143" s="669">
        <v>0</v>
      </c>
    </row>
    <row r="144" spans="1:8" s="500" customFormat="1" hidden="1">
      <c r="A144" s="539" t="s">
        <v>665</v>
      </c>
      <c r="B144" s="539" t="s">
        <v>1173</v>
      </c>
      <c r="C144" s="616"/>
      <c r="D144" s="946">
        <v>0</v>
      </c>
      <c r="E144" s="521">
        <v>0</v>
      </c>
      <c r="F144" s="520">
        <v>0</v>
      </c>
      <c r="G144" s="672" t="s">
        <v>1536</v>
      </c>
      <c r="H144" s="669">
        <v>3.77</v>
      </c>
    </row>
    <row r="145" spans="1:8" s="500" customFormat="1" hidden="1">
      <c r="A145" s="539" t="s">
        <v>666</v>
      </c>
      <c r="B145" s="539" t="s">
        <v>1207</v>
      </c>
      <c r="C145" s="548" t="s">
        <v>40</v>
      </c>
      <c r="D145" s="946">
        <v>0</v>
      </c>
      <c r="E145" s="521">
        <v>0</v>
      </c>
      <c r="F145" s="520">
        <v>0</v>
      </c>
      <c r="G145" s="672" t="s">
        <v>1537</v>
      </c>
      <c r="H145" s="669">
        <v>30.18</v>
      </c>
    </row>
    <row r="146" spans="1:8" s="500" customFormat="1" hidden="1">
      <c r="A146" s="539" t="s">
        <v>667</v>
      </c>
      <c r="B146" s="539" t="s">
        <v>1175</v>
      </c>
      <c r="C146" s="548" t="s">
        <v>37</v>
      </c>
      <c r="D146" s="946">
        <v>0</v>
      </c>
      <c r="E146" s="521">
        <v>0</v>
      </c>
      <c r="F146" s="520">
        <v>0</v>
      </c>
      <c r="G146" s="672" t="s">
        <v>1538</v>
      </c>
      <c r="H146" s="669">
        <v>365.33</v>
      </c>
    </row>
    <row r="147" spans="1:8" s="500" customFormat="1" ht="13.35" hidden="1" customHeight="1">
      <c r="A147" s="539" t="s">
        <v>668</v>
      </c>
      <c r="B147" s="539" t="s">
        <v>1176</v>
      </c>
      <c r="C147" s="548" t="s">
        <v>48</v>
      </c>
      <c r="D147" s="946">
        <v>0</v>
      </c>
      <c r="E147" s="521">
        <v>0</v>
      </c>
      <c r="F147" s="520">
        <v>0</v>
      </c>
      <c r="G147" s="672"/>
      <c r="H147" s="669">
        <v>0</v>
      </c>
    </row>
    <row r="148" spans="1:8" s="500" customFormat="1" ht="13.35" hidden="1" customHeight="1">
      <c r="A148" s="539" t="s">
        <v>669</v>
      </c>
      <c r="B148" s="539" t="s">
        <v>1177</v>
      </c>
      <c r="C148" s="548"/>
      <c r="D148" s="946">
        <v>0</v>
      </c>
      <c r="E148" s="521">
        <v>0</v>
      </c>
      <c r="F148" s="520">
        <v>0</v>
      </c>
      <c r="G148" s="672" t="s">
        <v>1539</v>
      </c>
      <c r="H148" s="669">
        <v>6.4</v>
      </c>
    </row>
    <row r="149" spans="1:8" s="500" customFormat="1" ht="13.35" hidden="1" customHeight="1">
      <c r="A149" s="539" t="s">
        <v>670</v>
      </c>
      <c r="B149" s="539" t="s">
        <v>1208</v>
      </c>
      <c r="C149" s="548" t="s">
        <v>40</v>
      </c>
      <c r="D149" s="946">
        <v>0</v>
      </c>
      <c r="E149" s="521">
        <v>0</v>
      </c>
      <c r="F149" s="520">
        <v>0</v>
      </c>
      <c r="G149" s="672" t="s">
        <v>1540</v>
      </c>
      <c r="H149" s="669">
        <v>76.7</v>
      </c>
    </row>
    <row r="150" spans="1:8" s="500" customFormat="1" ht="13.35" hidden="1" customHeight="1">
      <c r="A150" s="539" t="s">
        <v>671</v>
      </c>
      <c r="B150" s="539" t="s">
        <v>1179</v>
      </c>
      <c r="C150" s="548" t="s">
        <v>37</v>
      </c>
      <c r="D150" s="946">
        <v>0</v>
      </c>
      <c r="E150" s="521">
        <v>0</v>
      </c>
      <c r="F150" s="520">
        <v>0</v>
      </c>
      <c r="G150" s="672" t="s">
        <v>1541</v>
      </c>
      <c r="H150" s="669">
        <v>1929.18</v>
      </c>
    </row>
    <row r="151" spans="1:8" s="500" customFormat="1" ht="13.35" hidden="1" customHeight="1">
      <c r="A151" s="539" t="s">
        <v>672</v>
      </c>
      <c r="B151" s="539" t="s">
        <v>1180</v>
      </c>
      <c r="C151" s="548" t="s">
        <v>48</v>
      </c>
      <c r="D151" s="946">
        <v>0</v>
      </c>
      <c r="E151" s="521">
        <v>0</v>
      </c>
      <c r="F151" s="520">
        <v>0</v>
      </c>
      <c r="G151" s="672"/>
      <c r="H151" s="669">
        <v>0</v>
      </c>
    </row>
    <row r="152" spans="1:8" s="500" customFormat="1" ht="13.35" customHeight="1">
      <c r="A152" s="539" t="s">
        <v>673</v>
      </c>
      <c r="B152" s="539" t="s">
        <v>1181</v>
      </c>
      <c r="C152" s="616"/>
      <c r="D152" s="946">
        <v>0</v>
      </c>
      <c r="E152" s="521">
        <v>0</v>
      </c>
      <c r="F152" s="520">
        <v>0</v>
      </c>
      <c r="G152" s="672" t="s">
        <v>1542</v>
      </c>
      <c r="H152" s="669">
        <v>3.44</v>
      </c>
    </row>
    <row r="153" spans="1:8" s="500" customFormat="1" ht="13.35" customHeight="1">
      <c r="A153" s="539" t="s">
        <v>674</v>
      </c>
      <c r="B153" s="539" t="s">
        <v>1182</v>
      </c>
      <c r="C153" s="548" t="s">
        <v>40</v>
      </c>
      <c r="D153" s="990">
        <v>0.45</v>
      </c>
      <c r="E153" s="521">
        <v>0</v>
      </c>
      <c r="F153" s="520">
        <v>0.45</v>
      </c>
      <c r="G153" s="672" t="s">
        <v>1543</v>
      </c>
      <c r="H153" s="669">
        <v>21.01</v>
      </c>
    </row>
    <row r="154" spans="1:8" s="500" customFormat="1" ht="13.35" customHeight="1">
      <c r="A154" s="539" t="s">
        <v>675</v>
      </c>
      <c r="B154" s="539" t="s">
        <v>1183</v>
      </c>
      <c r="C154" s="548" t="s">
        <v>37</v>
      </c>
      <c r="D154" s="990">
        <v>17.39</v>
      </c>
      <c r="E154" s="521">
        <v>0</v>
      </c>
      <c r="F154" s="520">
        <v>17.39</v>
      </c>
      <c r="G154" s="672" t="s">
        <v>1544</v>
      </c>
      <c r="H154" s="669">
        <v>285.51</v>
      </c>
    </row>
    <row r="155" spans="1:8" s="500" customFormat="1" ht="13.35" hidden="1" customHeight="1">
      <c r="A155" s="539" t="s">
        <v>677</v>
      </c>
      <c r="B155" s="539" t="s">
        <v>1185</v>
      </c>
      <c r="C155" s="616"/>
      <c r="D155" s="946">
        <v>0</v>
      </c>
      <c r="E155" s="521">
        <v>0</v>
      </c>
      <c r="F155" s="520">
        <v>0</v>
      </c>
      <c r="G155" s="672" t="s">
        <v>1545</v>
      </c>
      <c r="H155" s="669">
        <v>11.56</v>
      </c>
    </row>
    <row r="156" spans="1:8" s="500" customFormat="1" ht="13.35" hidden="1" customHeight="1">
      <c r="A156" s="539" t="s">
        <v>678</v>
      </c>
      <c r="B156" s="539" t="s">
        <v>1186</v>
      </c>
      <c r="C156" s="548" t="s">
        <v>40</v>
      </c>
      <c r="D156" s="946">
        <v>0</v>
      </c>
      <c r="E156" s="521">
        <v>0</v>
      </c>
      <c r="F156" s="520">
        <v>0</v>
      </c>
      <c r="G156" s="672" t="s">
        <v>1546</v>
      </c>
      <c r="H156" s="669">
        <v>101.84</v>
      </c>
    </row>
    <row r="157" spans="1:8" s="500" customFormat="1" ht="13.35" hidden="1" customHeight="1">
      <c r="A157" s="539" t="s">
        <v>679</v>
      </c>
      <c r="B157" s="539" t="s">
        <v>1187</v>
      </c>
      <c r="C157" s="548" t="s">
        <v>37</v>
      </c>
      <c r="D157" s="946">
        <v>0</v>
      </c>
      <c r="E157" s="521">
        <v>0</v>
      </c>
      <c r="F157" s="520">
        <v>0</v>
      </c>
      <c r="G157" s="672" t="s">
        <v>1547</v>
      </c>
      <c r="H157" s="669">
        <v>1333.5</v>
      </c>
    </row>
    <row r="158" spans="1:8" s="500" customFormat="1" ht="13.35" hidden="1" customHeight="1">
      <c r="A158" s="539" t="s">
        <v>680</v>
      </c>
      <c r="B158" s="539" t="s">
        <v>1188</v>
      </c>
      <c r="C158" s="548" t="s">
        <v>48</v>
      </c>
      <c r="D158" s="946">
        <v>0</v>
      </c>
      <c r="E158" s="521">
        <v>0</v>
      </c>
      <c r="F158" s="520">
        <v>0</v>
      </c>
      <c r="G158" s="672"/>
      <c r="H158" s="669">
        <v>0</v>
      </c>
    </row>
    <row r="159" spans="1:8" s="500" customFormat="1" ht="13.35" hidden="1" customHeight="1">
      <c r="A159" s="539" t="s">
        <v>681</v>
      </c>
      <c r="B159" s="539" t="s">
        <v>1189</v>
      </c>
      <c r="C159" s="616"/>
      <c r="D159" s="946">
        <v>0</v>
      </c>
      <c r="E159" s="521">
        <v>0</v>
      </c>
      <c r="F159" s="520">
        <v>0</v>
      </c>
      <c r="G159" s="672" t="s">
        <v>1548</v>
      </c>
      <c r="H159" s="669">
        <v>13.47</v>
      </c>
    </row>
    <row r="160" spans="1:8" s="500" customFormat="1" ht="13.35" hidden="1" customHeight="1">
      <c r="A160" s="539" t="s">
        <v>682</v>
      </c>
      <c r="B160" s="539" t="s">
        <v>1190</v>
      </c>
      <c r="C160" s="548" t="s">
        <v>40</v>
      </c>
      <c r="D160" s="946">
        <v>0</v>
      </c>
      <c r="E160" s="521">
        <v>0</v>
      </c>
      <c r="F160" s="520">
        <v>0</v>
      </c>
      <c r="G160" s="672" t="s">
        <v>1549</v>
      </c>
      <c r="H160" s="669">
        <v>153.93</v>
      </c>
    </row>
    <row r="161" spans="1:8" s="500" customFormat="1" ht="13.35" hidden="1" customHeight="1">
      <c r="A161" s="539" t="s">
        <v>683</v>
      </c>
      <c r="B161" s="539" t="s">
        <v>1191</v>
      </c>
      <c r="C161" s="548" t="s">
        <v>37</v>
      </c>
      <c r="D161" s="946">
        <v>0</v>
      </c>
      <c r="E161" s="521">
        <v>0</v>
      </c>
      <c r="F161" s="520">
        <v>0</v>
      </c>
      <c r="G161" s="672" t="s">
        <v>1550</v>
      </c>
      <c r="H161" s="669">
        <v>1781.46</v>
      </c>
    </row>
    <row r="162" spans="1:8" s="500" customFormat="1" ht="13.35" hidden="1" customHeight="1">
      <c r="A162" s="539" t="s">
        <v>684</v>
      </c>
      <c r="B162" s="539" t="s">
        <v>1192</v>
      </c>
      <c r="C162" s="548" t="s">
        <v>48</v>
      </c>
      <c r="D162" s="946">
        <v>0</v>
      </c>
      <c r="E162" s="521">
        <v>0</v>
      </c>
      <c r="F162" s="520">
        <v>0</v>
      </c>
      <c r="G162" s="672" t="s">
        <v>1551</v>
      </c>
      <c r="H162" s="669">
        <v>1146.1400000000001</v>
      </c>
    </row>
    <row r="163" spans="1:8" s="500" customFormat="1" ht="13.35" hidden="1" customHeight="1">
      <c r="A163" s="539" t="s">
        <v>685</v>
      </c>
      <c r="B163" s="539" t="s">
        <v>1193</v>
      </c>
      <c r="C163" s="548" t="s">
        <v>1450</v>
      </c>
      <c r="D163" s="946">
        <v>0</v>
      </c>
      <c r="E163" s="521">
        <v>0</v>
      </c>
      <c r="F163" s="520">
        <v>0</v>
      </c>
      <c r="G163" s="672"/>
      <c r="H163" s="669">
        <v>0</v>
      </c>
    </row>
    <row r="164" spans="1:8" s="500" customFormat="1" ht="13.35" hidden="1" customHeight="1">
      <c r="A164" s="539" t="s">
        <v>686</v>
      </c>
      <c r="B164" s="539" t="s">
        <v>1194</v>
      </c>
      <c r="C164" s="616"/>
      <c r="D164" s="946">
        <v>0</v>
      </c>
      <c r="E164" s="521">
        <v>0</v>
      </c>
      <c r="F164" s="520">
        <v>0</v>
      </c>
      <c r="G164" s="672" t="s">
        <v>1552</v>
      </c>
      <c r="H164" s="669">
        <v>2.57</v>
      </c>
    </row>
    <row r="165" spans="1:8" s="500" customFormat="1" ht="13.35" hidden="1" customHeight="1">
      <c r="A165" s="539" t="s">
        <v>687</v>
      </c>
      <c r="B165" s="539" t="s">
        <v>1195</v>
      </c>
      <c r="C165" s="548" t="s">
        <v>40</v>
      </c>
      <c r="D165" s="946">
        <v>0</v>
      </c>
      <c r="E165" s="521">
        <v>0</v>
      </c>
      <c r="F165" s="520">
        <v>0</v>
      </c>
      <c r="G165" s="672" t="s">
        <v>1494</v>
      </c>
      <c r="H165" s="669">
        <v>34.270000000000003</v>
      </c>
    </row>
    <row r="166" spans="1:8" s="500" customFormat="1" ht="13.35" hidden="1" customHeight="1">
      <c r="A166" s="539" t="s">
        <v>688</v>
      </c>
      <c r="B166" s="539" t="s">
        <v>1196</v>
      </c>
      <c r="C166" s="548" t="s">
        <v>37</v>
      </c>
      <c r="D166" s="946">
        <v>0</v>
      </c>
      <c r="E166" s="521">
        <v>0</v>
      </c>
      <c r="F166" s="520">
        <v>0</v>
      </c>
      <c r="G166" s="672" t="s">
        <v>1553</v>
      </c>
      <c r="H166" s="669">
        <v>178.66</v>
      </c>
    </row>
    <row r="167" spans="1:8" s="500" customFormat="1" ht="13.35" hidden="1" customHeight="1">
      <c r="A167" s="539" t="s">
        <v>689</v>
      </c>
      <c r="B167" s="539" t="s">
        <v>1197</v>
      </c>
      <c r="C167" s="548" t="s">
        <v>48</v>
      </c>
      <c r="D167" s="946">
        <v>0</v>
      </c>
      <c r="E167" s="521">
        <v>0</v>
      </c>
      <c r="F167" s="520">
        <v>0</v>
      </c>
      <c r="G167" s="672"/>
      <c r="H167" s="669">
        <v>0</v>
      </c>
    </row>
    <row r="168" spans="1:8" s="500" customFormat="1" ht="13.35" hidden="1" customHeight="1">
      <c r="A168" s="542" t="s">
        <v>690</v>
      </c>
      <c r="B168" s="542" t="s">
        <v>1198</v>
      </c>
      <c r="C168" s="616"/>
      <c r="D168" s="946">
        <v>0</v>
      </c>
      <c r="E168" s="521">
        <v>0</v>
      </c>
      <c r="F168" s="520">
        <v>0</v>
      </c>
      <c r="G168" s="672" t="s">
        <v>1554</v>
      </c>
      <c r="H168" s="669">
        <v>377.52</v>
      </c>
    </row>
    <row r="169" spans="1:8" s="500" customFormat="1" ht="13.35" hidden="1" customHeight="1">
      <c r="A169" s="539" t="s">
        <v>691</v>
      </c>
      <c r="B169" s="539" t="s">
        <v>1199</v>
      </c>
      <c r="C169" s="548" t="s">
        <v>38</v>
      </c>
      <c r="D169" s="946">
        <v>0</v>
      </c>
      <c r="E169" s="521">
        <v>0</v>
      </c>
      <c r="F169" s="520">
        <v>0</v>
      </c>
      <c r="G169" s="672"/>
      <c r="H169" s="669">
        <v>0</v>
      </c>
    </row>
    <row r="170" spans="1:8" s="500" customFormat="1" ht="13.35" hidden="1" customHeight="1">
      <c r="A170" s="542" t="s">
        <v>692</v>
      </c>
      <c r="B170" s="542" t="s">
        <v>1200</v>
      </c>
      <c r="C170" s="548"/>
      <c r="D170" s="946">
        <v>0</v>
      </c>
      <c r="E170" s="521">
        <v>0</v>
      </c>
      <c r="F170" s="520">
        <v>0</v>
      </c>
      <c r="G170" s="672" t="s">
        <v>1555</v>
      </c>
      <c r="H170" s="669">
        <v>75.400000000000006</v>
      </c>
    </row>
    <row r="171" spans="1:8" s="500" customFormat="1" ht="13.35" hidden="1" customHeight="1">
      <c r="A171" s="539" t="s">
        <v>693</v>
      </c>
      <c r="B171" s="539" t="s">
        <v>1201</v>
      </c>
      <c r="C171" s="548" t="s">
        <v>38</v>
      </c>
      <c r="D171" s="946">
        <v>0</v>
      </c>
      <c r="E171" s="521">
        <v>0</v>
      </c>
      <c r="F171" s="520">
        <v>0</v>
      </c>
      <c r="G171" s="672" t="s">
        <v>1493</v>
      </c>
      <c r="H171" s="669">
        <v>15</v>
      </c>
    </row>
    <row r="172" spans="1:8" s="500" customFormat="1" ht="13.35" hidden="1" customHeight="1">
      <c r="A172" s="539" t="s">
        <v>694</v>
      </c>
      <c r="B172" s="539" t="s">
        <v>225</v>
      </c>
      <c r="C172" s="548" t="s">
        <v>1450</v>
      </c>
      <c r="D172" s="946">
        <v>0</v>
      </c>
      <c r="E172" s="521">
        <v>0</v>
      </c>
      <c r="F172" s="520">
        <v>0</v>
      </c>
      <c r="G172" s="672"/>
      <c r="H172" s="669">
        <v>0</v>
      </c>
    </row>
    <row r="173" spans="1:8" s="500" customFormat="1" ht="13.35" customHeight="1">
      <c r="A173" s="440" t="s">
        <v>516</v>
      </c>
      <c r="B173" s="543" t="s">
        <v>1210</v>
      </c>
      <c r="C173" s="616"/>
      <c r="D173" s="946">
        <v>0</v>
      </c>
      <c r="E173" s="521">
        <v>0</v>
      </c>
      <c r="F173" s="520">
        <v>0</v>
      </c>
      <c r="G173" s="672"/>
      <c r="H173" s="669">
        <v>0</v>
      </c>
    </row>
    <row r="174" spans="1:8" s="500" customFormat="1" ht="13.35" customHeight="1">
      <c r="A174" s="542" t="s">
        <v>517</v>
      </c>
      <c r="B174" s="542" t="s">
        <v>46</v>
      </c>
      <c r="C174" s="616"/>
      <c r="D174" s="946">
        <v>0</v>
      </c>
      <c r="E174" s="521">
        <v>0</v>
      </c>
      <c r="F174" s="520">
        <v>0</v>
      </c>
      <c r="G174" s="672" t="s">
        <v>1556</v>
      </c>
      <c r="H174" s="669">
        <v>39.86</v>
      </c>
    </row>
    <row r="175" spans="1:8" s="500" customFormat="1" ht="13.35" customHeight="1">
      <c r="A175" s="539" t="s">
        <v>697</v>
      </c>
      <c r="B175" s="539" t="s">
        <v>1158</v>
      </c>
      <c r="C175" s="548" t="s">
        <v>40</v>
      </c>
      <c r="D175" s="990">
        <v>4.16</v>
      </c>
      <c r="E175" s="521">
        <v>0</v>
      </c>
      <c r="F175" s="520">
        <v>4.16</v>
      </c>
      <c r="G175" s="672" t="s">
        <v>1559</v>
      </c>
      <c r="H175" s="669">
        <v>17.87</v>
      </c>
    </row>
    <row r="176" spans="1:8" s="500" customFormat="1" ht="13.35" customHeight="1" thickBot="1">
      <c r="A176" s="539" t="s">
        <v>698</v>
      </c>
      <c r="B176" s="539" t="s">
        <v>1159</v>
      </c>
      <c r="C176" s="548" t="s">
        <v>37</v>
      </c>
      <c r="D176" s="990">
        <v>4.76</v>
      </c>
      <c r="E176" s="521">
        <v>0</v>
      </c>
      <c r="F176" s="520">
        <v>4.76</v>
      </c>
      <c r="G176" s="672" t="s">
        <v>1560</v>
      </c>
      <c r="H176" s="669">
        <v>36.800000000000004</v>
      </c>
    </row>
    <row r="177" spans="1:8" s="500" customFormat="1" ht="13.35" hidden="1" customHeight="1">
      <c r="A177" s="542" t="s">
        <v>701</v>
      </c>
      <c r="B177" s="542" t="s">
        <v>1162</v>
      </c>
      <c r="C177" s="616"/>
      <c r="D177" s="946">
        <v>0</v>
      </c>
      <c r="E177" s="521">
        <v>0</v>
      </c>
      <c r="F177" s="520">
        <v>0</v>
      </c>
      <c r="G177" s="672" t="s">
        <v>1561</v>
      </c>
      <c r="H177" s="669">
        <v>20.28</v>
      </c>
    </row>
    <row r="178" spans="1:8" s="500" customFormat="1" ht="13.35" hidden="1" customHeight="1">
      <c r="A178" s="539" t="s">
        <v>702</v>
      </c>
      <c r="B178" s="539" t="s">
        <v>1163</v>
      </c>
      <c r="C178" s="548" t="s">
        <v>40</v>
      </c>
      <c r="D178" s="946">
        <v>0</v>
      </c>
      <c r="E178" s="521">
        <v>0</v>
      </c>
      <c r="F178" s="520">
        <v>0</v>
      </c>
      <c r="G178" s="672" t="s">
        <v>1562</v>
      </c>
      <c r="H178" s="669">
        <v>14.79</v>
      </c>
    </row>
    <row r="179" spans="1:8" s="500" customFormat="1" ht="13.35" hidden="1" customHeight="1">
      <c r="A179" s="539" t="s">
        <v>703</v>
      </c>
      <c r="B179" s="539" t="s">
        <v>1203</v>
      </c>
      <c r="C179" s="548" t="s">
        <v>37</v>
      </c>
      <c r="D179" s="946">
        <v>0</v>
      </c>
      <c r="E179" s="521">
        <v>0</v>
      </c>
      <c r="F179" s="520">
        <v>0</v>
      </c>
      <c r="G179" s="672" t="s">
        <v>1563</v>
      </c>
      <c r="H179" s="669">
        <v>3.22</v>
      </c>
    </row>
    <row r="180" spans="1:8" s="500" customFormat="1" ht="13.35" hidden="1" customHeight="1">
      <c r="A180" s="539" t="s">
        <v>704</v>
      </c>
      <c r="B180" s="539" t="s">
        <v>1204</v>
      </c>
      <c r="C180" s="548" t="s">
        <v>40</v>
      </c>
      <c r="D180" s="946">
        <v>0</v>
      </c>
      <c r="E180" s="521">
        <v>0</v>
      </c>
      <c r="F180" s="520">
        <v>0</v>
      </c>
      <c r="G180" s="672" t="s">
        <v>1564</v>
      </c>
      <c r="H180" s="669">
        <v>1.61</v>
      </c>
    </row>
    <row r="181" spans="1:8" s="500" customFormat="1" ht="13.35" hidden="1" customHeight="1">
      <c r="A181" s="539" t="s">
        <v>705</v>
      </c>
      <c r="B181" s="539" t="s">
        <v>1205</v>
      </c>
      <c r="C181" s="548" t="s">
        <v>40</v>
      </c>
      <c r="D181" s="946">
        <v>0</v>
      </c>
      <c r="E181" s="521">
        <v>0</v>
      </c>
      <c r="F181" s="520">
        <v>0</v>
      </c>
      <c r="G181" s="672" t="s">
        <v>1565</v>
      </c>
      <c r="H181" s="669">
        <v>42.4</v>
      </c>
    </row>
    <row r="182" spans="1:8" s="500" customFormat="1" ht="13.35" hidden="1" customHeight="1">
      <c r="A182" s="539" t="s">
        <v>706</v>
      </c>
      <c r="B182" s="539" t="s">
        <v>1167</v>
      </c>
      <c r="C182" s="548" t="s">
        <v>37</v>
      </c>
      <c r="D182" s="946">
        <v>0</v>
      </c>
      <c r="E182" s="521">
        <v>0</v>
      </c>
      <c r="F182" s="520">
        <v>0</v>
      </c>
      <c r="G182" s="672" t="s">
        <v>1559</v>
      </c>
      <c r="H182" s="669">
        <v>22.03</v>
      </c>
    </row>
    <row r="183" spans="1:8" s="500" customFormat="1" ht="13.35" hidden="1" customHeight="1">
      <c r="A183" s="539" t="s">
        <v>707</v>
      </c>
      <c r="B183" s="539" t="s">
        <v>1168</v>
      </c>
      <c r="C183" s="548" t="s">
        <v>37</v>
      </c>
      <c r="D183" s="946">
        <v>0</v>
      </c>
      <c r="E183" s="521">
        <v>0</v>
      </c>
      <c r="F183" s="520">
        <v>0</v>
      </c>
      <c r="G183" s="672"/>
      <c r="H183" s="669">
        <v>0</v>
      </c>
    </row>
    <row r="184" spans="1:8" s="500" customFormat="1" ht="13.35" hidden="1" customHeight="1">
      <c r="A184" s="542" t="s">
        <v>708</v>
      </c>
      <c r="B184" s="542" t="s">
        <v>1169</v>
      </c>
      <c r="C184" s="616"/>
      <c r="D184" s="946">
        <v>0</v>
      </c>
      <c r="E184" s="521">
        <v>0</v>
      </c>
      <c r="F184" s="520">
        <v>0</v>
      </c>
      <c r="G184" s="672"/>
      <c r="H184" s="669">
        <v>0</v>
      </c>
    </row>
    <row r="185" spans="1:8" s="500" customFormat="1" ht="13.35" hidden="1" customHeight="1">
      <c r="A185" s="539" t="s">
        <v>709</v>
      </c>
      <c r="B185" s="539" t="s">
        <v>1170</v>
      </c>
      <c r="C185" s="616"/>
      <c r="D185" s="946">
        <v>0</v>
      </c>
      <c r="E185" s="521">
        <v>0</v>
      </c>
      <c r="F185" s="520">
        <v>0</v>
      </c>
      <c r="G185" s="672" t="s">
        <v>1470</v>
      </c>
      <c r="H185" s="669">
        <v>4.6100000000000003</v>
      </c>
    </row>
    <row r="186" spans="1:8" s="500" customFormat="1" ht="13.35" hidden="1" customHeight="1">
      <c r="A186" s="539" t="s">
        <v>710</v>
      </c>
      <c r="B186" s="539" t="s">
        <v>1206</v>
      </c>
      <c r="C186" s="548" t="s">
        <v>40</v>
      </c>
      <c r="D186" s="946">
        <v>0</v>
      </c>
      <c r="E186" s="521">
        <v>0</v>
      </c>
      <c r="F186" s="520">
        <v>0</v>
      </c>
      <c r="G186" s="672" t="s">
        <v>1471</v>
      </c>
      <c r="H186" s="669">
        <v>192.7</v>
      </c>
    </row>
    <row r="187" spans="1:8" s="500" customFormat="1" ht="13.35" hidden="1" customHeight="1">
      <c r="A187" s="539" t="s">
        <v>711</v>
      </c>
      <c r="B187" s="539" t="s">
        <v>1172</v>
      </c>
      <c r="C187" s="548" t="s">
        <v>48</v>
      </c>
      <c r="D187" s="946">
        <v>0</v>
      </c>
      <c r="E187" s="521">
        <v>0</v>
      </c>
      <c r="F187" s="520">
        <v>0</v>
      </c>
      <c r="G187" s="672"/>
      <c r="H187" s="669">
        <v>0</v>
      </c>
    </row>
    <row r="188" spans="1:8" s="500" customFormat="1" ht="13.35" hidden="1" customHeight="1">
      <c r="A188" s="539" t="s">
        <v>712</v>
      </c>
      <c r="B188" s="539" t="s">
        <v>1173</v>
      </c>
      <c r="C188" s="616"/>
      <c r="D188" s="946">
        <v>0</v>
      </c>
      <c r="E188" s="521">
        <v>0</v>
      </c>
      <c r="F188" s="520">
        <v>0</v>
      </c>
      <c r="G188" s="672" t="s">
        <v>1566</v>
      </c>
      <c r="H188" s="669">
        <v>2.19</v>
      </c>
    </row>
    <row r="189" spans="1:8" s="500" customFormat="1" ht="13.35" hidden="1" customHeight="1">
      <c r="A189" s="539" t="s">
        <v>713</v>
      </c>
      <c r="B189" s="539" t="s">
        <v>1207</v>
      </c>
      <c r="C189" s="548" t="s">
        <v>40</v>
      </c>
      <c r="D189" s="946">
        <v>0</v>
      </c>
      <c r="E189" s="521">
        <v>0</v>
      </c>
      <c r="F189" s="520">
        <v>0</v>
      </c>
      <c r="G189" s="672" t="s">
        <v>1567</v>
      </c>
      <c r="H189" s="669">
        <v>17.489999999999998</v>
      </c>
    </row>
    <row r="190" spans="1:8" s="500" customFormat="1" ht="13.35" hidden="1" customHeight="1">
      <c r="A190" s="539" t="s">
        <v>714</v>
      </c>
      <c r="B190" s="539" t="s">
        <v>1175</v>
      </c>
      <c r="C190" s="548" t="s">
        <v>37</v>
      </c>
      <c r="D190" s="946">
        <v>0</v>
      </c>
      <c r="E190" s="521">
        <v>0</v>
      </c>
      <c r="F190" s="520">
        <v>0</v>
      </c>
      <c r="G190" s="672" t="s">
        <v>1568</v>
      </c>
      <c r="H190" s="669">
        <v>179.25</v>
      </c>
    </row>
    <row r="191" spans="1:8" s="500" customFormat="1" ht="13.35" hidden="1" customHeight="1">
      <c r="A191" s="539" t="s">
        <v>715</v>
      </c>
      <c r="B191" s="539" t="s">
        <v>1176</v>
      </c>
      <c r="C191" s="548" t="s">
        <v>48</v>
      </c>
      <c r="D191" s="946">
        <v>0</v>
      </c>
      <c r="E191" s="521">
        <v>0</v>
      </c>
      <c r="F191" s="520">
        <v>0</v>
      </c>
      <c r="G191" s="672"/>
      <c r="H191" s="669">
        <v>0</v>
      </c>
    </row>
    <row r="192" spans="1:8" s="500" customFormat="1" ht="13.35" hidden="1" customHeight="1">
      <c r="A192" s="539" t="s">
        <v>716</v>
      </c>
      <c r="B192" s="539" t="s">
        <v>1177</v>
      </c>
      <c r="C192" s="616"/>
      <c r="D192" s="946">
        <v>0</v>
      </c>
      <c r="E192" s="521">
        <v>0</v>
      </c>
      <c r="F192" s="520">
        <v>0</v>
      </c>
      <c r="G192" s="672" t="s">
        <v>1532</v>
      </c>
      <c r="H192" s="669">
        <v>2.1800000000000002</v>
      </c>
    </row>
    <row r="193" spans="1:8" s="500" customFormat="1" ht="13.35" hidden="1" customHeight="1">
      <c r="A193" s="539" t="s">
        <v>717</v>
      </c>
      <c r="B193" s="539" t="s">
        <v>1208</v>
      </c>
      <c r="C193" s="548" t="s">
        <v>40</v>
      </c>
      <c r="D193" s="946">
        <v>0</v>
      </c>
      <c r="E193" s="521">
        <v>0</v>
      </c>
      <c r="F193" s="520">
        <v>0</v>
      </c>
      <c r="G193" s="672" t="s">
        <v>1569</v>
      </c>
      <c r="H193" s="669">
        <v>34.799999999999997</v>
      </c>
    </row>
    <row r="194" spans="1:8" s="500" customFormat="1" ht="13.35" hidden="1" customHeight="1">
      <c r="A194" s="539" t="s">
        <v>718</v>
      </c>
      <c r="B194" s="539" t="s">
        <v>1179</v>
      </c>
      <c r="C194" s="548" t="s">
        <v>37</v>
      </c>
      <c r="D194" s="946">
        <v>0</v>
      </c>
      <c r="E194" s="521">
        <v>0</v>
      </c>
      <c r="F194" s="520">
        <v>0</v>
      </c>
      <c r="G194" s="672" t="s">
        <v>1570</v>
      </c>
      <c r="H194" s="669">
        <v>314.66000000000003</v>
      </c>
    </row>
    <row r="195" spans="1:8" s="500" customFormat="1" ht="13.35" hidden="1" customHeight="1">
      <c r="A195" s="539" t="s">
        <v>719</v>
      </c>
      <c r="B195" s="539" t="s">
        <v>1180</v>
      </c>
      <c r="C195" s="548" t="s">
        <v>48</v>
      </c>
      <c r="D195" s="946">
        <v>0</v>
      </c>
      <c r="E195" s="521">
        <v>0</v>
      </c>
      <c r="F195" s="520">
        <v>0</v>
      </c>
      <c r="G195" s="672"/>
      <c r="H195" s="669">
        <v>0</v>
      </c>
    </row>
    <row r="196" spans="1:8" s="500" customFormat="1" ht="13.35" hidden="1" customHeight="1">
      <c r="A196" s="539" t="s">
        <v>720</v>
      </c>
      <c r="B196" s="539" t="s">
        <v>1181</v>
      </c>
      <c r="C196" s="616"/>
      <c r="D196" s="946">
        <v>0</v>
      </c>
      <c r="E196" s="521">
        <v>0</v>
      </c>
      <c r="F196" s="520">
        <v>0</v>
      </c>
      <c r="G196" s="672" t="s">
        <v>1478</v>
      </c>
      <c r="H196" s="669">
        <v>1.49</v>
      </c>
    </row>
    <row r="197" spans="1:8" s="500" customFormat="1" ht="13.35" hidden="1" customHeight="1">
      <c r="A197" s="539" t="s">
        <v>721</v>
      </c>
      <c r="B197" s="539" t="s">
        <v>1182</v>
      </c>
      <c r="C197" s="548" t="s">
        <v>40</v>
      </c>
      <c r="D197" s="946">
        <v>0</v>
      </c>
      <c r="E197" s="521">
        <v>0</v>
      </c>
      <c r="F197" s="520">
        <v>0</v>
      </c>
      <c r="G197" s="672" t="s">
        <v>1479</v>
      </c>
      <c r="H197" s="669">
        <v>19.71</v>
      </c>
    </row>
    <row r="198" spans="1:8" s="500" customFormat="1" ht="13.35" hidden="1" customHeight="1">
      <c r="A198" s="539" t="s">
        <v>722</v>
      </c>
      <c r="B198" s="539" t="s">
        <v>1183</v>
      </c>
      <c r="C198" s="548" t="s">
        <v>37</v>
      </c>
      <c r="D198" s="946">
        <v>0</v>
      </c>
      <c r="E198" s="521">
        <v>0</v>
      </c>
      <c r="F198" s="520">
        <v>0</v>
      </c>
      <c r="G198" s="672" t="s">
        <v>1480</v>
      </c>
      <c r="H198" s="669">
        <v>659.98</v>
      </c>
    </row>
    <row r="199" spans="1:8" s="500" customFormat="1" ht="13.35" hidden="1" customHeight="1">
      <c r="A199" s="539" t="s">
        <v>723</v>
      </c>
      <c r="B199" s="539" t="s">
        <v>1184</v>
      </c>
      <c r="C199" s="548" t="s">
        <v>48</v>
      </c>
      <c r="D199" s="946">
        <v>0</v>
      </c>
      <c r="E199" s="521">
        <v>0</v>
      </c>
      <c r="F199" s="520">
        <v>0</v>
      </c>
      <c r="G199" s="672"/>
      <c r="H199" s="669">
        <v>0</v>
      </c>
    </row>
    <row r="200" spans="1:8" s="500" customFormat="1" ht="13.35" hidden="1" customHeight="1">
      <c r="A200" s="539" t="s">
        <v>724</v>
      </c>
      <c r="B200" s="539" t="s">
        <v>1185</v>
      </c>
      <c r="C200" s="616"/>
      <c r="D200" s="946">
        <v>0</v>
      </c>
      <c r="E200" s="521">
        <v>0</v>
      </c>
      <c r="F200" s="520">
        <v>0</v>
      </c>
      <c r="G200" s="672" t="s">
        <v>1571</v>
      </c>
      <c r="H200" s="669">
        <v>5.6</v>
      </c>
    </row>
    <row r="201" spans="1:8" s="500" customFormat="1" ht="13.35" hidden="1" customHeight="1">
      <c r="A201" s="539" t="s">
        <v>725</v>
      </c>
      <c r="B201" s="539" t="s">
        <v>1186</v>
      </c>
      <c r="C201" s="548" t="s">
        <v>40</v>
      </c>
      <c r="D201" s="946">
        <v>0</v>
      </c>
      <c r="E201" s="521">
        <v>0</v>
      </c>
      <c r="F201" s="520">
        <v>0</v>
      </c>
      <c r="G201" s="672" t="s">
        <v>1572</v>
      </c>
      <c r="H201" s="669">
        <v>48.75</v>
      </c>
    </row>
    <row r="202" spans="1:8" s="500" customFormat="1" ht="13.35" hidden="1" customHeight="1">
      <c r="A202" s="539" t="s">
        <v>726</v>
      </c>
      <c r="B202" s="539" t="s">
        <v>1187</v>
      </c>
      <c r="C202" s="548" t="s">
        <v>37</v>
      </c>
      <c r="D202" s="946">
        <v>0</v>
      </c>
      <c r="E202" s="521">
        <v>0</v>
      </c>
      <c r="F202" s="520">
        <v>0</v>
      </c>
      <c r="G202" s="672" t="s">
        <v>1573</v>
      </c>
      <c r="H202" s="669">
        <v>642.09</v>
      </c>
    </row>
    <row r="203" spans="1:8" s="500" customFormat="1" ht="13.35" hidden="1" customHeight="1">
      <c r="A203" s="539" t="s">
        <v>727</v>
      </c>
      <c r="B203" s="539" t="s">
        <v>1188</v>
      </c>
      <c r="C203" s="548" t="s">
        <v>48</v>
      </c>
      <c r="D203" s="946">
        <v>0</v>
      </c>
      <c r="E203" s="521">
        <v>0</v>
      </c>
      <c r="F203" s="520">
        <v>0</v>
      </c>
      <c r="G203" s="672"/>
      <c r="H203" s="669">
        <v>0</v>
      </c>
    </row>
    <row r="204" spans="1:8" s="500" customFormat="1" ht="13.35" hidden="1" customHeight="1">
      <c r="A204" s="539" t="s">
        <v>728</v>
      </c>
      <c r="B204" s="539" t="s">
        <v>1189</v>
      </c>
      <c r="C204" s="616"/>
      <c r="D204" s="946">
        <v>0</v>
      </c>
      <c r="E204" s="521">
        <v>0</v>
      </c>
      <c r="F204" s="520">
        <v>0</v>
      </c>
      <c r="G204" s="672" t="s">
        <v>1574</v>
      </c>
      <c r="H204" s="669">
        <v>3.36</v>
      </c>
    </row>
    <row r="205" spans="1:8" s="500" customFormat="1" ht="13.35" hidden="1" customHeight="1">
      <c r="A205" s="539" t="s">
        <v>729</v>
      </c>
      <c r="B205" s="539" t="s">
        <v>1190</v>
      </c>
      <c r="C205" s="548" t="s">
        <v>40</v>
      </c>
      <c r="D205" s="946">
        <v>0</v>
      </c>
      <c r="E205" s="521">
        <v>0</v>
      </c>
      <c r="F205" s="520">
        <v>0</v>
      </c>
      <c r="G205" s="672" t="s">
        <v>1575</v>
      </c>
      <c r="H205" s="669">
        <v>38.35</v>
      </c>
    </row>
    <row r="206" spans="1:8" s="500" customFormat="1" ht="13.35" hidden="1" customHeight="1">
      <c r="A206" s="539" t="s">
        <v>730</v>
      </c>
      <c r="B206" s="539" t="s">
        <v>1191</v>
      </c>
      <c r="C206" s="548" t="s">
        <v>37</v>
      </c>
      <c r="D206" s="946">
        <v>0</v>
      </c>
      <c r="E206" s="521">
        <v>0</v>
      </c>
      <c r="F206" s="520">
        <v>0</v>
      </c>
      <c r="G206" s="672" t="s">
        <v>1576</v>
      </c>
      <c r="H206" s="669">
        <v>276.95999999999998</v>
      </c>
    </row>
    <row r="207" spans="1:8" s="500" customFormat="1" ht="13.35" hidden="1" customHeight="1">
      <c r="A207" s="539" t="s">
        <v>731</v>
      </c>
      <c r="B207" s="539" t="s">
        <v>1192</v>
      </c>
      <c r="C207" s="548" t="s">
        <v>48</v>
      </c>
      <c r="D207" s="946">
        <v>0</v>
      </c>
      <c r="E207" s="521">
        <v>0</v>
      </c>
      <c r="F207" s="520">
        <v>0</v>
      </c>
      <c r="G207" s="672" t="s">
        <v>1577</v>
      </c>
      <c r="H207" s="669">
        <v>319.48</v>
      </c>
    </row>
    <row r="208" spans="1:8" s="500" customFormat="1" ht="13.35" hidden="1" customHeight="1">
      <c r="A208" s="539" t="s">
        <v>732</v>
      </c>
      <c r="B208" s="539" t="s">
        <v>1193</v>
      </c>
      <c r="C208" s="548" t="s">
        <v>1450</v>
      </c>
      <c r="D208" s="946">
        <v>0</v>
      </c>
      <c r="E208" s="521">
        <v>0</v>
      </c>
      <c r="F208" s="520">
        <v>0</v>
      </c>
      <c r="G208" s="672"/>
      <c r="H208" s="669">
        <v>0</v>
      </c>
    </row>
    <row r="209" spans="1:8" s="500" customFormat="1" ht="13.35" hidden="1" customHeight="1">
      <c r="A209" s="539" t="s">
        <v>733</v>
      </c>
      <c r="B209" s="539" t="s">
        <v>1194</v>
      </c>
      <c r="C209" s="616"/>
      <c r="D209" s="946">
        <v>0</v>
      </c>
      <c r="E209" s="521">
        <v>0</v>
      </c>
      <c r="F209" s="520">
        <v>0</v>
      </c>
      <c r="G209" s="672" t="s">
        <v>1578</v>
      </c>
      <c r="H209" s="669">
        <v>1.03</v>
      </c>
    </row>
    <row r="210" spans="1:8" s="500" customFormat="1" ht="13.35" hidden="1" customHeight="1">
      <c r="A210" s="539" t="s">
        <v>734</v>
      </c>
      <c r="B210" s="539" t="s">
        <v>1195</v>
      </c>
      <c r="C210" s="548" t="s">
        <v>40</v>
      </c>
      <c r="D210" s="946">
        <v>0</v>
      </c>
      <c r="E210" s="521">
        <v>0</v>
      </c>
      <c r="F210" s="520">
        <v>0</v>
      </c>
      <c r="G210" s="672" t="s">
        <v>1579</v>
      </c>
      <c r="H210" s="669">
        <v>13.74</v>
      </c>
    </row>
    <row r="211" spans="1:8" s="500" customFormat="1" ht="13.35" hidden="1" customHeight="1">
      <c r="A211" s="539" t="s">
        <v>735</v>
      </c>
      <c r="B211" s="539" t="s">
        <v>1196</v>
      </c>
      <c r="C211" s="548" t="s">
        <v>37</v>
      </c>
      <c r="D211" s="946">
        <v>0</v>
      </c>
      <c r="E211" s="521">
        <v>0</v>
      </c>
      <c r="F211" s="520">
        <v>0</v>
      </c>
      <c r="G211" s="672" t="s">
        <v>1580</v>
      </c>
      <c r="H211" s="669">
        <v>65.349999999999994</v>
      </c>
    </row>
    <row r="212" spans="1:8" s="500" customFormat="1" ht="13.35" hidden="1" customHeight="1">
      <c r="A212" s="539" t="s">
        <v>736</v>
      </c>
      <c r="B212" s="539" t="s">
        <v>1197</v>
      </c>
      <c r="C212" s="548" t="s">
        <v>48</v>
      </c>
      <c r="D212" s="946">
        <v>0</v>
      </c>
      <c r="E212" s="521">
        <v>0</v>
      </c>
      <c r="F212" s="520">
        <v>0</v>
      </c>
      <c r="G212" s="672"/>
      <c r="H212" s="669">
        <v>0</v>
      </c>
    </row>
    <row r="213" spans="1:8" s="500" customFormat="1" ht="13.35" hidden="1" customHeight="1">
      <c r="A213" s="542" t="s">
        <v>737</v>
      </c>
      <c r="B213" s="542" t="s">
        <v>1198</v>
      </c>
      <c r="C213" s="616"/>
      <c r="D213" s="946">
        <v>0</v>
      </c>
      <c r="E213" s="521">
        <v>0</v>
      </c>
      <c r="F213" s="520">
        <v>0</v>
      </c>
      <c r="G213" s="672" t="s">
        <v>1581</v>
      </c>
      <c r="H213" s="669">
        <v>110.7</v>
      </c>
    </row>
    <row r="214" spans="1:8" s="500" customFormat="1" ht="13.35" hidden="1" customHeight="1">
      <c r="A214" s="539" t="s">
        <v>738</v>
      </c>
      <c r="B214" s="539" t="s">
        <v>1199</v>
      </c>
      <c r="C214" s="548" t="s">
        <v>38</v>
      </c>
      <c r="D214" s="946">
        <v>0</v>
      </c>
      <c r="E214" s="521">
        <v>0</v>
      </c>
      <c r="F214" s="520">
        <v>0</v>
      </c>
      <c r="G214" s="672"/>
      <c r="H214" s="669">
        <v>0</v>
      </c>
    </row>
    <row r="215" spans="1:8" s="500" customFormat="1" ht="13.35" hidden="1" customHeight="1">
      <c r="A215" s="542" t="s">
        <v>739</v>
      </c>
      <c r="B215" s="542" t="s">
        <v>1200</v>
      </c>
      <c r="C215" s="548"/>
      <c r="D215" s="946">
        <v>0</v>
      </c>
      <c r="E215" s="521">
        <v>0</v>
      </c>
      <c r="F215" s="520">
        <v>0</v>
      </c>
      <c r="G215" s="672" t="s">
        <v>1582</v>
      </c>
      <c r="H215" s="669">
        <v>46</v>
      </c>
    </row>
    <row r="216" spans="1:8" s="500" customFormat="1" ht="13.35" hidden="1" customHeight="1">
      <c r="A216" s="539" t="s">
        <v>740</v>
      </c>
      <c r="B216" s="539" t="s">
        <v>1201</v>
      </c>
      <c r="C216" s="548" t="s">
        <v>38</v>
      </c>
      <c r="D216" s="946">
        <v>0</v>
      </c>
      <c r="E216" s="521">
        <v>0</v>
      </c>
      <c r="F216" s="520">
        <v>0</v>
      </c>
      <c r="G216" s="672" t="s">
        <v>1493</v>
      </c>
      <c r="H216" s="669">
        <v>15</v>
      </c>
    </row>
    <row r="217" spans="1:8" s="500" customFormat="1" ht="13.35" hidden="1" customHeight="1">
      <c r="A217" s="539" t="s">
        <v>741</v>
      </c>
      <c r="B217" s="539" t="s">
        <v>225</v>
      </c>
      <c r="C217" s="548" t="s">
        <v>1450</v>
      </c>
      <c r="D217" s="946">
        <v>0</v>
      </c>
      <c r="E217" s="521">
        <v>0</v>
      </c>
      <c r="F217" s="520">
        <v>0</v>
      </c>
      <c r="G217" s="672"/>
      <c r="H217" s="669">
        <v>0</v>
      </c>
    </row>
    <row r="218" spans="1:8" s="500" customFormat="1" ht="13.35" hidden="1" customHeight="1">
      <c r="A218" s="440" t="s">
        <v>742</v>
      </c>
      <c r="B218" s="543" t="s">
        <v>1211</v>
      </c>
      <c r="C218" s="616"/>
      <c r="D218" s="946">
        <v>0</v>
      </c>
      <c r="E218" s="521">
        <v>0</v>
      </c>
      <c r="F218" s="520">
        <v>0</v>
      </c>
      <c r="G218" s="672"/>
      <c r="H218" s="669">
        <v>0</v>
      </c>
    </row>
    <row r="219" spans="1:8" s="500" customFormat="1" ht="13.35" hidden="1" customHeight="1">
      <c r="A219" s="542" t="s">
        <v>743</v>
      </c>
      <c r="B219" s="542" t="s">
        <v>46</v>
      </c>
      <c r="C219" s="616"/>
      <c r="D219" s="946">
        <v>0</v>
      </c>
      <c r="E219" s="521">
        <v>0</v>
      </c>
      <c r="F219" s="520">
        <v>0</v>
      </c>
      <c r="G219" s="672" t="s">
        <v>1583</v>
      </c>
      <c r="H219" s="669">
        <v>467.39</v>
      </c>
    </row>
    <row r="220" spans="1:8" s="500" customFormat="1" ht="13.35" hidden="1" customHeight="1">
      <c r="A220" s="539" t="s">
        <v>744</v>
      </c>
      <c r="B220" s="539" t="s">
        <v>1212</v>
      </c>
      <c r="C220" s="548" t="s">
        <v>40</v>
      </c>
      <c r="D220" s="946">
        <v>0</v>
      </c>
      <c r="E220" s="521">
        <v>0</v>
      </c>
      <c r="F220" s="520">
        <v>0</v>
      </c>
      <c r="G220" s="695" t="s">
        <v>1584</v>
      </c>
      <c r="H220" s="669">
        <v>560.87</v>
      </c>
    </row>
    <row r="221" spans="1:8" s="500" customFormat="1" ht="13.35" hidden="1" customHeight="1">
      <c r="A221" s="539" t="s">
        <v>745</v>
      </c>
      <c r="B221" s="539" t="s">
        <v>1161</v>
      </c>
      <c r="C221" s="548" t="s">
        <v>40</v>
      </c>
      <c r="D221" s="946">
        <v>0</v>
      </c>
      <c r="E221" s="521">
        <v>0</v>
      </c>
      <c r="F221" s="520">
        <v>0</v>
      </c>
      <c r="G221" s="695"/>
      <c r="H221" s="669">
        <v>0</v>
      </c>
    </row>
    <row r="222" spans="1:8" s="500" customFormat="1" ht="13.35" hidden="1" customHeight="1">
      <c r="A222" s="542" t="s">
        <v>746</v>
      </c>
      <c r="B222" s="542" t="s">
        <v>1162</v>
      </c>
      <c r="C222" s="548"/>
      <c r="D222" s="946">
        <v>0</v>
      </c>
      <c r="E222" s="521">
        <v>0</v>
      </c>
      <c r="F222" s="520">
        <v>0</v>
      </c>
      <c r="G222" s="695" t="s">
        <v>1585</v>
      </c>
      <c r="H222" s="669">
        <v>13.83</v>
      </c>
    </row>
    <row r="223" spans="1:8" s="500" customFormat="1" ht="13.35" hidden="1" customHeight="1">
      <c r="A223" s="539" t="s">
        <v>747</v>
      </c>
      <c r="B223" s="539" t="s">
        <v>1204</v>
      </c>
      <c r="C223" s="548" t="s">
        <v>40</v>
      </c>
      <c r="D223" s="946">
        <v>0</v>
      </c>
      <c r="E223" s="521">
        <v>0</v>
      </c>
      <c r="F223" s="520">
        <v>0</v>
      </c>
      <c r="G223" s="695"/>
      <c r="H223" s="669">
        <v>0</v>
      </c>
    </row>
    <row r="224" spans="1:8" s="500" customFormat="1" ht="13.35" hidden="1" customHeight="1">
      <c r="A224" s="542" t="s">
        <v>748</v>
      </c>
      <c r="B224" s="542" t="s">
        <v>1169</v>
      </c>
      <c r="C224" s="616"/>
      <c r="D224" s="946">
        <v>0</v>
      </c>
      <c r="E224" s="521">
        <v>0</v>
      </c>
      <c r="F224" s="520">
        <v>0</v>
      </c>
      <c r="G224" s="695"/>
      <c r="H224" s="669">
        <v>0</v>
      </c>
    </row>
    <row r="225" spans="1:8" s="500" customFormat="1" ht="13.35" hidden="1" customHeight="1">
      <c r="A225" s="539" t="s">
        <v>749</v>
      </c>
      <c r="B225" s="539" t="s">
        <v>1177</v>
      </c>
      <c r="C225" s="616"/>
      <c r="D225" s="946">
        <v>0</v>
      </c>
      <c r="E225" s="521">
        <v>0</v>
      </c>
      <c r="F225" s="520">
        <v>0</v>
      </c>
      <c r="G225" s="695" t="s">
        <v>1586</v>
      </c>
      <c r="H225" s="669">
        <v>4.8899999999999997</v>
      </c>
    </row>
    <row r="226" spans="1:8" s="500" customFormat="1" ht="13.35" hidden="1" customHeight="1">
      <c r="A226" s="539" t="s">
        <v>750</v>
      </c>
      <c r="B226" s="539" t="s">
        <v>1208</v>
      </c>
      <c r="C226" s="548" t="s">
        <v>40</v>
      </c>
      <c r="D226" s="946">
        <v>0</v>
      </c>
      <c r="E226" s="521">
        <v>0</v>
      </c>
      <c r="F226" s="520">
        <v>0</v>
      </c>
      <c r="G226" s="695" t="s">
        <v>1587</v>
      </c>
      <c r="H226" s="669">
        <v>76.69</v>
      </c>
    </row>
    <row r="227" spans="1:8" s="500" customFormat="1" ht="13.35" hidden="1" customHeight="1">
      <c r="A227" s="539" t="s">
        <v>751</v>
      </c>
      <c r="B227" s="539" t="s">
        <v>1179</v>
      </c>
      <c r="C227" s="548" t="s">
        <v>37</v>
      </c>
      <c r="D227" s="946">
        <v>0</v>
      </c>
      <c r="E227" s="521">
        <v>0</v>
      </c>
      <c r="F227" s="520">
        <v>0</v>
      </c>
      <c r="G227" s="695" t="s">
        <v>1588</v>
      </c>
      <c r="H227" s="669">
        <v>947.8</v>
      </c>
    </row>
    <row r="228" spans="1:8" s="500" customFormat="1" ht="13.35" hidden="1" customHeight="1">
      <c r="A228" s="539" t="s">
        <v>752</v>
      </c>
      <c r="B228" s="539" t="s">
        <v>1180</v>
      </c>
      <c r="C228" s="548" t="s">
        <v>48</v>
      </c>
      <c r="D228" s="946">
        <v>0</v>
      </c>
      <c r="E228" s="521">
        <v>0</v>
      </c>
      <c r="F228" s="520">
        <v>0</v>
      </c>
      <c r="G228" s="695"/>
      <c r="H228" s="669">
        <v>0</v>
      </c>
    </row>
    <row r="229" spans="1:8" s="500" customFormat="1" ht="13.35" hidden="1" customHeight="1">
      <c r="A229" s="539" t="s">
        <v>753</v>
      </c>
      <c r="B229" s="539" t="s">
        <v>1185</v>
      </c>
      <c r="C229" s="616"/>
      <c r="D229" s="946">
        <v>0</v>
      </c>
      <c r="E229" s="521">
        <v>0</v>
      </c>
      <c r="F229" s="520">
        <v>0</v>
      </c>
      <c r="G229" s="695" t="s">
        <v>1589</v>
      </c>
      <c r="H229" s="669">
        <v>4.2300000000000004</v>
      </c>
    </row>
    <row r="230" spans="1:8" s="500" customFormat="1" ht="13.35" hidden="1" customHeight="1">
      <c r="A230" s="539" t="s">
        <v>754</v>
      </c>
      <c r="B230" s="539" t="s">
        <v>1186</v>
      </c>
      <c r="C230" s="548" t="s">
        <v>40</v>
      </c>
      <c r="D230" s="946">
        <v>0</v>
      </c>
      <c r="E230" s="521">
        <v>0</v>
      </c>
      <c r="F230" s="520">
        <v>0</v>
      </c>
      <c r="G230" s="695" t="s">
        <v>1590</v>
      </c>
      <c r="H230" s="669">
        <v>49.66</v>
      </c>
    </row>
    <row r="231" spans="1:8" s="500" customFormat="1" ht="13.35" hidden="1" customHeight="1">
      <c r="A231" s="539" t="s">
        <v>755</v>
      </c>
      <c r="B231" s="539" t="s">
        <v>1187</v>
      </c>
      <c r="C231" s="548" t="s">
        <v>37</v>
      </c>
      <c r="D231" s="946">
        <v>0</v>
      </c>
      <c r="E231" s="521">
        <v>0</v>
      </c>
      <c r="F231" s="520">
        <v>0</v>
      </c>
      <c r="G231" s="695" t="s">
        <v>1591</v>
      </c>
      <c r="H231" s="669">
        <v>483.02</v>
      </c>
    </row>
    <row r="232" spans="1:8" s="500" customFormat="1" ht="13.35" hidden="1" customHeight="1">
      <c r="A232" s="539" t="s">
        <v>756</v>
      </c>
      <c r="B232" s="539" t="s">
        <v>1188</v>
      </c>
      <c r="C232" s="548" t="s">
        <v>48</v>
      </c>
      <c r="D232" s="946">
        <v>0</v>
      </c>
      <c r="E232" s="521">
        <v>0</v>
      </c>
      <c r="F232" s="520">
        <v>0</v>
      </c>
      <c r="G232" s="695"/>
      <c r="H232" s="669">
        <v>0</v>
      </c>
    </row>
    <row r="233" spans="1:8" s="500" customFormat="1" ht="13.35" hidden="1" customHeight="1">
      <c r="A233" s="539" t="s">
        <v>757</v>
      </c>
      <c r="B233" s="539" t="s">
        <v>1213</v>
      </c>
      <c r="C233" s="616"/>
      <c r="D233" s="946">
        <v>0</v>
      </c>
      <c r="E233" s="521">
        <v>0</v>
      </c>
      <c r="F233" s="520">
        <v>0</v>
      </c>
      <c r="G233" s="695" t="s">
        <v>1592</v>
      </c>
      <c r="H233" s="669">
        <v>4.24</v>
      </c>
    </row>
    <row r="234" spans="1:8" s="500" customFormat="1" ht="13.35" hidden="1" customHeight="1">
      <c r="A234" s="539" t="s">
        <v>758</v>
      </c>
      <c r="B234" s="539" t="s">
        <v>1205</v>
      </c>
      <c r="C234" s="548" t="s">
        <v>40</v>
      </c>
      <c r="D234" s="946">
        <v>0</v>
      </c>
      <c r="E234" s="521">
        <v>0</v>
      </c>
      <c r="F234" s="520">
        <v>0</v>
      </c>
      <c r="G234" s="695" t="s">
        <v>1593</v>
      </c>
      <c r="H234" s="669">
        <v>56.57</v>
      </c>
    </row>
    <row r="235" spans="1:8" s="500" customFormat="1" ht="13.35" hidden="1" customHeight="1">
      <c r="A235" s="539" t="s">
        <v>759</v>
      </c>
      <c r="B235" s="539" t="s">
        <v>1214</v>
      </c>
      <c r="C235" s="548" t="s">
        <v>37</v>
      </c>
      <c r="D235" s="946">
        <v>0</v>
      </c>
      <c r="E235" s="521">
        <v>0</v>
      </c>
      <c r="F235" s="520">
        <v>0</v>
      </c>
      <c r="G235" s="695" t="s">
        <v>1594</v>
      </c>
      <c r="H235" s="669">
        <v>438.73</v>
      </c>
    </row>
    <row r="236" spans="1:8" s="500" customFormat="1" ht="13.35" hidden="1" customHeight="1">
      <c r="A236" s="539" t="s">
        <v>760</v>
      </c>
      <c r="B236" s="539" t="s">
        <v>1215</v>
      </c>
      <c r="C236" s="548" t="s">
        <v>48</v>
      </c>
      <c r="D236" s="946">
        <v>0</v>
      </c>
      <c r="E236" s="521">
        <v>0</v>
      </c>
      <c r="F236" s="520">
        <v>0</v>
      </c>
      <c r="G236" s="695"/>
      <c r="H236" s="669">
        <v>0</v>
      </c>
    </row>
    <row r="237" spans="1:8" s="500" customFormat="1" ht="13.35" hidden="1" customHeight="1">
      <c r="A237" s="542" t="s">
        <v>761</v>
      </c>
      <c r="B237" s="542" t="s">
        <v>1200</v>
      </c>
      <c r="C237" s="616"/>
      <c r="D237" s="946">
        <v>0</v>
      </c>
      <c r="E237" s="521">
        <v>0</v>
      </c>
      <c r="F237" s="520">
        <v>0</v>
      </c>
      <c r="G237" s="695" t="s">
        <v>1595</v>
      </c>
      <c r="H237" s="669">
        <v>36</v>
      </c>
    </row>
    <row r="238" spans="1:8" s="500" customFormat="1" ht="13.35" hidden="1" customHeight="1">
      <c r="A238" s="539" t="s">
        <v>762</v>
      </c>
      <c r="B238" s="539" t="s">
        <v>1216</v>
      </c>
      <c r="C238" s="548" t="s">
        <v>38</v>
      </c>
      <c r="D238" s="946">
        <v>0</v>
      </c>
      <c r="E238" s="521">
        <v>0</v>
      </c>
      <c r="F238" s="520">
        <v>0</v>
      </c>
      <c r="G238" s="695"/>
      <c r="H238" s="669">
        <v>0</v>
      </c>
    </row>
    <row r="239" spans="1:8" s="500" customFormat="1" ht="13.35" hidden="1" customHeight="1">
      <c r="A239" s="440" t="s">
        <v>763</v>
      </c>
      <c r="B239" s="543" t="s">
        <v>1217</v>
      </c>
      <c r="C239" s="616"/>
      <c r="D239" s="946">
        <v>0</v>
      </c>
      <c r="E239" s="521">
        <v>0</v>
      </c>
      <c r="F239" s="520">
        <v>0</v>
      </c>
      <c r="G239" s="695"/>
      <c r="H239" s="669">
        <v>0</v>
      </c>
    </row>
    <row r="240" spans="1:8" s="500" customFormat="1" ht="13.35" hidden="1" customHeight="1">
      <c r="A240" s="542" t="s">
        <v>764</v>
      </c>
      <c r="B240" s="542" t="s">
        <v>46</v>
      </c>
      <c r="C240" s="616"/>
      <c r="D240" s="946">
        <v>0</v>
      </c>
      <c r="E240" s="521">
        <v>0</v>
      </c>
      <c r="F240" s="520">
        <v>0</v>
      </c>
      <c r="G240" s="695" t="s">
        <v>1596</v>
      </c>
      <c r="H240" s="669">
        <v>441.64</v>
      </c>
    </row>
    <row r="241" spans="1:8" s="500" customFormat="1" ht="13.35" hidden="1" customHeight="1">
      <c r="A241" s="539" t="s">
        <v>765</v>
      </c>
      <c r="B241" s="539" t="s">
        <v>1212</v>
      </c>
      <c r="C241" s="548" t="s">
        <v>40</v>
      </c>
      <c r="D241" s="946">
        <v>0</v>
      </c>
      <c r="E241" s="521">
        <v>0</v>
      </c>
      <c r="F241" s="520">
        <v>0</v>
      </c>
      <c r="G241" s="695" t="s">
        <v>1597</v>
      </c>
      <c r="H241" s="669">
        <v>574.13</v>
      </c>
    </row>
    <row r="242" spans="1:8" s="500" customFormat="1" ht="13.35" hidden="1" customHeight="1">
      <c r="A242" s="539" t="s">
        <v>766</v>
      </c>
      <c r="B242" s="539" t="s">
        <v>1161</v>
      </c>
      <c r="C242" s="548" t="s">
        <v>40</v>
      </c>
      <c r="D242" s="946">
        <v>0</v>
      </c>
      <c r="E242" s="521">
        <v>0</v>
      </c>
      <c r="F242" s="520">
        <v>0</v>
      </c>
      <c r="G242" s="695"/>
      <c r="H242" s="669">
        <v>0</v>
      </c>
    </row>
    <row r="243" spans="1:8" s="500" customFormat="1" ht="13.35" hidden="1" customHeight="1">
      <c r="A243" s="542" t="s">
        <v>767</v>
      </c>
      <c r="B243" s="542" t="s">
        <v>1218</v>
      </c>
      <c r="C243" s="616"/>
      <c r="D243" s="946">
        <v>0</v>
      </c>
      <c r="E243" s="521">
        <v>0</v>
      </c>
      <c r="F243" s="520">
        <v>0</v>
      </c>
      <c r="G243" s="695" t="s">
        <v>1598</v>
      </c>
      <c r="H243" s="669">
        <v>204.01</v>
      </c>
    </row>
    <row r="244" spans="1:8" s="500" customFormat="1" ht="13.35" hidden="1" customHeight="1">
      <c r="A244" s="539" t="s">
        <v>768</v>
      </c>
      <c r="B244" s="539" t="s">
        <v>1219</v>
      </c>
      <c r="C244" s="548" t="s">
        <v>40</v>
      </c>
      <c r="D244" s="946">
        <v>0</v>
      </c>
      <c r="E244" s="521">
        <v>0</v>
      </c>
      <c r="F244" s="520">
        <v>0</v>
      </c>
      <c r="G244" s="695" t="s">
        <v>1599</v>
      </c>
      <c r="H244" s="669">
        <v>550.44000000000005</v>
      </c>
    </row>
    <row r="245" spans="1:8" s="500" customFormat="1" ht="13.35" hidden="1" customHeight="1">
      <c r="A245" s="539" t="s">
        <v>769</v>
      </c>
      <c r="B245" s="539" t="s">
        <v>1220</v>
      </c>
      <c r="C245" s="548" t="s">
        <v>37</v>
      </c>
      <c r="D245" s="946">
        <v>0</v>
      </c>
      <c r="E245" s="521">
        <v>0</v>
      </c>
      <c r="F245" s="520">
        <v>0</v>
      </c>
      <c r="G245" s="695" t="s">
        <v>1600</v>
      </c>
      <c r="H245" s="669">
        <v>15448.74</v>
      </c>
    </row>
    <row r="246" spans="1:8" s="500" customFormat="1" ht="13.35" hidden="1" customHeight="1">
      <c r="A246" s="539" t="s">
        <v>770</v>
      </c>
      <c r="B246" s="539" t="s">
        <v>1221</v>
      </c>
      <c r="C246" s="548" t="s">
        <v>48</v>
      </c>
      <c r="D246" s="946">
        <v>0</v>
      </c>
      <c r="E246" s="521">
        <v>0</v>
      </c>
      <c r="F246" s="520">
        <v>0</v>
      </c>
      <c r="G246" s="695"/>
      <c r="H246" s="669">
        <v>0</v>
      </c>
    </row>
    <row r="247" spans="1:8" s="500" customFormat="1" ht="13.35" hidden="1" customHeight="1">
      <c r="A247" s="542" t="s">
        <v>771</v>
      </c>
      <c r="B247" s="542" t="s">
        <v>1200</v>
      </c>
      <c r="C247" s="616"/>
      <c r="D247" s="946">
        <v>0</v>
      </c>
      <c r="E247" s="521">
        <v>0</v>
      </c>
      <c r="F247" s="520">
        <v>0</v>
      </c>
      <c r="G247" s="695" t="s">
        <v>1601</v>
      </c>
      <c r="H247" s="669">
        <v>111.93</v>
      </c>
    </row>
    <row r="248" spans="1:8" s="500" customFormat="1" ht="13.35" hidden="1" customHeight="1">
      <c r="A248" s="539" t="s">
        <v>772</v>
      </c>
      <c r="B248" s="539" t="s">
        <v>1222</v>
      </c>
      <c r="C248" s="548" t="s">
        <v>38</v>
      </c>
      <c r="D248" s="946">
        <v>0</v>
      </c>
      <c r="E248" s="521">
        <v>0</v>
      </c>
      <c r="F248" s="520">
        <v>0</v>
      </c>
      <c r="G248" s="695" t="s">
        <v>1602</v>
      </c>
      <c r="H248" s="669">
        <v>24</v>
      </c>
    </row>
    <row r="249" spans="1:8" s="500" customFormat="1" ht="13.35" hidden="1" customHeight="1">
      <c r="A249" s="539" t="s">
        <v>773</v>
      </c>
      <c r="B249" s="539" t="s">
        <v>225</v>
      </c>
      <c r="C249" s="548" t="s">
        <v>1450</v>
      </c>
      <c r="D249" s="946">
        <v>0</v>
      </c>
      <c r="E249" s="521">
        <v>0</v>
      </c>
      <c r="F249" s="520">
        <v>0</v>
      </c>
      <c r="G249" s="695"/>
      <c r="H249" s="669">
        <v>0</v>
      </c>
    </row>
    <row r="250" spans="1:8" s="500" customFormat="1" ht="13.35" hidden="1" customHeight="1">
      <c r="A250" s="440" t="s">
        <v>774</v>
      </c>
      <c r="B250" s="543" t="s">
        <v>1223</v>
      </c>
      <c r="C250" s="616"/>
      <c r="D250" s="946">
        <v>0</v>
      </c>
      <c r="E250" s="521">
        <v>0</v>
      </c>
      <c r="F250" s="520">
        <v>0</v>
      </c>
      <c r="G250" s="695"/>
      <c r="H250" s="669">
        <v>0</v>
      </c>
    </row>
    <row r="251" spans="1:8" s="500" customFormat="1" ht="13.35" hidden="1" customHeight="1">
      <c r="A251" s="542" t="s">
        <v>775</v>
      </c>
      <c r="B251" s="542" t="s">
        <v>46</v>
      </c>
      <c r="C251" s="616"/>
      <c r="D251" s="946">
        <v>0</v>
      </c>
      <c r="E251" s="521">
        <v>0</v>
      </c>
      <c r="F251" s="520">
        <v>0</v>
      </c>
      <c r="G251" s="695" t="s">
        <v>1603</v>
      </c>
      <c r="H251" s="669">
        <v>95.88</v>
      </c>
    </row>
    <row r="252" spans="1:8" s="500" customFormat="1" ht="13.35" hidden="1" customHeight="1">
      <c r="A252" s="539" t="s">
        <v>776</v>
      </c>
      <c r="B252" s="539" t="s">
        <v>1212</v>
      </c>
      <c r="C252" s="548" t="s">
        <v>40</v>
      </c>
      <c r="D252" s="946">
        <v>0</v>
      </c>
      <c r="E252" s="521">
        <v>0</v>
      </c>
      <c r="F252" s="520">
        <v>0</v>
      </c>
      <c r="G252" s="695" t="s">
        <v>1604</v>
      </c>
      <c r="H252" s="669">
        <v>124.65</v>
      </c>
    </row>
    <row r="253" spans="1:8" s="500" customFormat="1" ht="13.35" hidden="1" customHeight="1">
      <c r="A253" s="539" t="s">
        <v>777</v>
      </c>
      <c r="B253" s="539" t="s">
        <v>1161</v>
      </c>
      <c r="C253" s="548" t="s">
        <v>40</v>
      </c>
      <c r="D253" s="946">
        <v>0</v>
      </c>
      <c r="E253" s="521">
        <v>0</v>
      </c>
      <c r="F253" s="520">
        <v>0</v>
      </c>
      <c r="G253" s="695"/>
      <c r="H253" s="669">
        <v>0</v>
      </c>
    </row>
    <row r="254" spans="1:8" s="500" customFormat="1" ht="13.35" hidden="1" customHeight="1">
      <c r="A254" s="542" t="s">
        <v>778</v>
      </c>
      <c r="B254" s="542" t="s">
        <v>1162</v>
      </c>
      <c r="C254" s="616"/>
      <c r="D254" s="946">
        <v>0</v>
      </c>
      <c r="E254" s="521">
        <v>0</v>
      </c>
      <c r="F254" s="520">
        <v>0</v>
      </c>
      <c r="G254" s="695" t="s">
        <v>1605</v>
      </c>
      <c r="H254" s="669">
        <v>81.67</v>
      </c>
    </row>
    <row r="255" spans="1:8" s="500" customFormat="1" ht="13.35" hidden="1" customHeight="1">
      <c r="A255" s="539" t="s">
        <v>779</v>
      </c>
      <c r="B255" s="539" t="s">
        <v>1204</v>
      </c>
      <c r="C255" s="548" t="s">
        <v>40</v>
      </c>
      <c r="D255" s="946">
        <v>0</v>
      </c>
      <c r="E255" s="521">
        <v>0</v>
      </c>
      <c r="F255" s="520">
        <v>0</v>
      </c>
      <c r="G255" s="695" t="s">
        <v>1606</v>
      </c>
      <c r="H255" s="669">
        <v>221.37</v>
      </c>
    </row>
    <row r="256" spans="1:8" s="500" customFormat="1" ht="13.35" hidden="1" customHeight="1">
      <c r="A256" s="539" t="s">
        <v>780</v>
      </c>
      <c r="B256" s="539" t="s">
        <v>1224</v>
      </c>
      <c r="C256" s="548" t="s">
        <v>37</v>
      </c>
      <c r="D256" s="946">
        <v>0</v>
      </c>
      <c r="E256" s="521">
        <v>0</v>
      </c>
      <c r="F256" s="520">
        <v>0</v>
      </c>
      <c r="G256" s="695"/>
      <c r="H256" s="669">
        <v>0</v>
      </c>
    </row>
    <row r="257" spans="1:8" s="500" customFormat="1" ht="13.35" hidden="1" customHeight="1">
      <c r="A257" s="440" t="s">
        <v>781</v>
      </c>
      <c r="B257" s="543" t="s">
        <v>1225</v>
      </c>
      <c r="C257" s="616"/>
      <c r="D257" s="946">
        <v>0</v>
      </c>
      <c r="E257" s="521">
        <v>0</v>
      </c>
      <c r="F257" s="520">
        <v>0</v>
      </c>
      <c r="G257" s="695"/>
      <c r="H257" s="669">
        <v>0</v>
      </c>
    </row>
    <row r="258" spans="1:8" s="500" customFormat="1" ht="13.35" hidden="1" customHeight="1">
      <c r="A258" s="542" t="s">
        <v>782</v>
      </c>
      <c r="B258" s="542" t="s">
        <v>46</v>
      </c>
      <c r="C258" s="616"/>
      <c r="D258" s="946">
        <v>0</v>
      </c>
      <c r="E258" s="521">
        <v>0</v>
      </c>
      <c r="F258" s="520">
        <v>0</v>
      </c>
      <c r="G258" s="695" t="s">
        <v>1607</v>
      </c>
      <c r="H258" s="669">
        <v>2.81</v>
      </c>
    </row>
    <row r="259" spans="1:8" s="500" customFormat="1" ht="13.35" hidden="1" customHeight="1">
      <c r="A259" s="539" t="s">
        <v>783</v>
      </c>
      <c r="B259" s="539" t="s">
        <v>1226</v>
      </c>
      <c r="C259" s="548" t="s">
        <v>40</v>
      </c>
      <c r="D259" s="946">
        <v>0</v>
      </c>
      <c r="E259" s="521">
        <v>0</v>
      </c>
      <c r="F259" s="520">
        <v>0</v>
      </c>
      <c r="G259" s="695" t="s">
        <v>1608</v>
      </c>
      <c r="H259" s="669">
        <v>60</v>
      </c>
    </row>
    <row r="260" spans="1:8" s="500" customFormat="1" ht="13.35" hidden="1" customHeight="1">
      <c r="A260" s="539" t="s">
        <v>784</v>
      </c>
      <c r="B260" s="539" t="s">
        <v>269</v>
      </c>
      <c r="C260" s="548" t="s">
        <v>37</v>
      </c>
      <c r="D260" s="946">
        <v>0</v>
      </c>
      <c r="E260" s="521">
        <v>0</v>
      </c>
      <c r="F260" s="520">
        <v>0</v>
      </c>
      <c r="G260" s="695" t="s">
        <v>1609</v>
      </c>
      <c r="H260" s="669">
        <v>3.51</v>
      </c>
    </row>
    <row r="261" spans="1:8" s="500" customFormat="1" ht="13.35" hidden="1" customHeight="1">
      <c r="A261" s="539" t="s">
        <v>785</v>
      </c>
      <c r="B261" s="539" t="s">
        <v>1161</v>
      </c>
      <c r="C261" s="548" t="s">
        <v>40</v>
      </c>
      <c r="D261" s="946">
        <v>0</v>
      </c>
      <c r="E261" s="521">
        <v>0</v>
      </c>
      <c r="F261" s="520">
        <v>0</v>
      </c>
      <c r="G261" s="695"/>
      <c r="H261" s="669">
        <v>0</v>
      </c>
    </row>
    <row r="262" spans="1:8" s="500" customFormat="1" ht="13.35" hidden="1" customHeight="1">
      <c r="A262" s="542" t="s">
        <v>786</v>
      </c>
      <c r="B262" s="542" t="s">
        <v>1162</v>
      </c>
      <c r="C262" s="616"/>
      <c r="D262" s="946">
        <v>0</v>
      </c>
      <c r="E262" s="521">
        <v>0</v>
      </c>
      <c r="F262" s="520">
        <v>0</v>
      </c>
      <c r="G262" s="695" t="s">
        <v>1610</v>
      </c>
      <c r="H262" s="669">
        <v>2.16</v>
      </c>
    </row>
    <row r="263" spans="1:8" s="500" customFormat="1" ht="13.35" hidden="1" customHeight="1">
      <c r="A263" s="539" t="s">
        <v>787</v>
      </c>
      <c r="B263" s="539" t="s">
        <v>1203</v>
      </c>
      <c r="C263" s="548" t="s">
        <v>37</v>
      </c>
      <c r="D263" s="946">
        <v>0</v>
      </c>
      <c r="E263" s="521">
        <v>0</v>
      </c>
      <c r="F263" s="520">
        <v>0</v>
      </c>
      <c r="G263" s="695" t="s">
        <v>1608</v>
      </c>
      <c r="H263" s="669">
        <v>60</v>
      </c>
    </row>
    <row r="264" spans="1:8" s="500" customFormat="1" ht="13.35" hidden="1" customHeight="1">
      <c r="A264" s="539" t="s">
        <v>788</v>
      </c>
      <c r="B264" s="539" t="s">
        <v>1227</v>
      </c>
      <c r="C264" s="548" t="s">
        <v>37</v>
      </c>
      <c r="D264" s="946">
        <v>0</v>
      </c>
      <c r="E264" s="521">
        <v>0</v>
      </c>
      <c r="F264" s="520">
        <v>0</v>
      </c>
      <c r="G264" s="695"/>
      <c r="H264" s="669">
        <v>0</v>
      </c>
    </row>
    <row r="265" spans="1:8" s="500" customFormat="1" ht="13.35" hidden="1" customHeight="1">
      <c r="A265" s="542" t="s">
        <v>789</v>
      </c>
      <c r="B265" s="542" t="s">
        <v>1169</v>
      </c>
      <c r="C265" s="616"/>
      <c r="D265" s="946">
        <v>0</v>
      </c>
      <c r="E265" s="521">
        <v>0</v>
      </c>
      <c r="F265" s="520">
        <v>0</v>
      </c>
      <c r="G265" s="695"/>
      <c r="H265" s="669">
        <v>0</v>
      </c>
    </row>
    <row r="266" spans="1:8" s="500" customFormat="1" ht="13.35" hidden="1" customHeight="1">
      <c r="A266" s="539" t="s">
        <v>790</v>
      </c>
      <c r="B266" s="539" t="s">
        <v>1170</v>
      </c>
      <c r="C266" s="616"/>
      <c r="D266" s="946">
        <v>0</v>
      </c>
      <c r="E266" s="521">
        <v>0</v>
      </c>
      <c r="F266" s="520">
        <v>0</v>
      </c>
      <c r="G266" s="695" t="s">
        <v>1611</v>
      </c>
      <c r="H266" s="669">
        <v>2.52</v>
      </c>
    </row>
    <row r="267" spans="1:8" s="500" customFormat="1" ht="13.35" hidden="1" customHeight="1">
      <c r="A267" s="539" t="s">
        <v>791</v>
      </c>
      <c r="B267" s="539" t="s">
        <v>1206</v>
      </c>
      <c r="C267" s="548" t="s">
        <v>40</v>
      </c>
      <c r="D267" s="946">
        <v>0</v>
      </c>
      <c r="E267" s="521">
        <v>0</v>
      </c>
      <c r="F267" s="520">
        <v>0</v>
      </c>
      <c r="G267" s="695" t="s">
        <v>1612</v>
      </c>
      <c r="H267" s="669">
        <v>186.08</v>
      </c>
    </row>
    <row r="268" spans="1:8" s="500" customFormat="1" ht="13.35" hidden="1" customHeight="1">
      <c r="A268" s="539" t="s">
        <v>792</v>
      </c>
      <c r="B268" s="539" t="s">
        <v>1172</v>
      </c>
      <c r="C268" s="548" t="s">
        <v>48</v>
      </c>
      <c r="D268" s="946">
        <v>0</v>
      </c>
      <c r="E268" s="521">
        <v>0</v>
      </c>
      <c r="F268" s="520">
        <v>0</v>
      </c>
      <c r="G268" s="695"/>
      <c r="H268" s="669">
        <v>0</v>
      </c>
    </row>
    <row r="269" spans="1:8" s="500" customFormat="1" ht="13.35" hidden="1" customHeight="1">
      <c r="A269" s="542" t="s">
        <v>793</v>
      </c>
      <c r="B269" s="542" t="s">
        <v>1228</v>
      </c>
      <c r="C269" s="616"/>
      <c r="D269" s="946">
        <v>0</v>
      </c>
      <c r="E269" s="521">
        <v>0</v>
      </c>
      <c r="F269" s="520">
        <v>0</v>
      </c>
      <c r="G269" s="695" t="s">
        <v>1613</v>
      </c>
      <c r="H269" s="669">
        <v>899.99</v>
      </c>
    </row>
    <row r="270" spans="1:8" s="500" customFormat="1" ht="13.35" hidden="1" customHeight="1">
      <c r="A270" s="539" t="s">
        <v>794</v>
      </c>
      <c r="B270" s="539" t="s">
        <v>1229</v>
      </c>
      <c r="C270" s="548" t="s">
        <v>48</v>
      </c>
      <c r="D270" s="946">
        <v>0</v>
      </c>
      <c r="E270" s="521">
        <v>0</v>
      </c>
      <c r="F270" s="520">
        <v>0</v>
      </c>
      <c r="G270" s="695" t="s">
        <v>1614</v>
      </c>
      <c r="H270" s="669">
        <v>394.52</v>
      </c>
    </row>
    <row r="271" spans="1:8" s="500" customFormat="1" ht="13.35" hidden="1" customHeight="1">
      <c r="A271" s="539" t="s">
        <v>795</v>
      </c>
      <c r="B271" s="539" t="s">
        <v>1230</v>
      </c>
      <c r="C271" s="548" t="s">
        <v>48</v>
      </c>
      <c r="D271" s="946">
        <v>0</v>
      </c>
      <c r="E271" s="521">
        <v>0</v>
      </c>
      <c r="F271" s="520">
        <v>0</v>
      </c>
      <c r="G271" s="695" t="s">
        <v>1615</v>
      </c>
      <c r="H271" s="669">
        <v>271.91000000000003</v>
      </c>
    </row>
    <row r="272" spans="1:8" s="500" customFormat="1" ht="13.35" hidden="1" customHeight="1">
      <c r="A272" s="539" t="s">
        <v>796</v>
      </c>
      <c r="B272" s="539" t="s">
        <v>1231</v>
      </c>
      <c r="C272" s="548" t="s">
        <v>48</v>
      </c>
      <c r="D272" s="946">
        <v>0</v>
      </c>
      <c r="E272" s="521">
        <v>0</v>
      </c>
      <c r="F272" s="520">
        <v>0</v>
      </c>
      <c r="G272" s="695" t="s">
        <v>1616</v>
      </c>
      <c r="H272" s="669">
        <v>80.92</v>
      </c>
    </row>
    <row r="273" spans="1:8" s="500" customFormat="1" ht="13.35" hidden="1" customHeight="1">
      <c r="A273" s="539" t="s">
        <v>797</v>
      </c>
      <c r="B273" s="539" t="s">
        <v>1232</v>
      </c>
      <c r="C273" s="548" t="s">
        <v>38</v>
      </c>
      <c r="D273" s="946">
        <v>0</v>
      </c>
      <c r="E273" s="521">
        <v>0</v>
      </c>
      <c r="F273" s="520">
        <v>0</v>
      </c>
      <c r="G273" s="695" t="s">
        <v>1617</v>
      </c>
      <c r="H273" s="669">
        <v>6</v>
      </c>
    </row>
    <row r="274" spans="1:8" s="500" customFormat="1" ht="13.35" hidden="1" customHeight="1">
      <c r="A274" s="539" t="s">
        <v>798</v>
      </c>
      <c r="B274" s="539" t="s">
        <v>1233</v>
      </c>
      <c r="C274" s="548" t="s">
        <v>1450</v>
      </c>
      <c r="D274" s="946">
        <v>0</v>
      </c>
      <c r="E274" s="521">
        <v>0</v>
      </c>
      <c r="F274" s="520">
        <v>0</v>
      </c>
      <c r="G274" s="695"/>
      <c r="H274" s="669">
        <v>0</v>
      </c>
    </row>
    <row r="275" spans="1:8" s="500" customFormat="1" ht="13.35" hidden="1" customHeight="1">
      <c r="A275" s="542" t="s">
        <v>799</v>
      </c>
      <c r="B275" s="542" t="s">
        <v>1200</v>
      </c>
      <c r="C275" s="616"/>
      <c r="D275" s="946">
        <v>0</v>
      </c>
      <c r="E275" s="521">
        <v>0</v>
      </c>
      <c r="F275" s="520">
        <v>0</v>
      </c>
      <c r="G275" s="695" t="s">
        <v>1618</v>
      </c>
      <c r="H275" s="669">
        <v>3</v>
      </c>
    </row>
    <row r="276" spans="1:8" s="500" customFormat="1" ht="14.1" hidden="1" customHeight="1">
      <c r="A276" s="539" t="s">
        <v>800</v>
      </c>
      <c r="B276" s="539" t="s">
        <v>225</v>
      </c>
      <c r="C276" s="548" t="s">
        <v>1450</v>
      </c>
      <c r="D276" s="946">
        <v>0</v>
      </c>
      <c r="E276" s="521">
        <v>0</v>
      </c>
      <c r="F276" s="520">
        <v>0</v>
      </c>
      <c r="G276" s="695"/>
      <c r="H276" s="669">
        <v>0</v>
      </c>
    </row>
    <row r="277" spans="1:8" s="500" customFormat="1" ht="13.35" customHeight="1">
      <c r="A277" s="541" t="s">
        <v>45</v>
      </c>
      <c r="B277" s="541" t="s">
        <v>1234</v>
      </c>
      <c r="C277" s="616"/>
      <c r="D277" s="946">
        <v>0</v>
      </c>
      <c r="E277" s="521">
        <v>0</v>
      </c>
      <c r="F277" s="520">
        <v>0</v>
      </c>
      <c r="G277" s="695"/>
      <c r="H277" s="669">
        <v>0</v>
      </c>
    </row>
    <row r="278" spans="1:8" s="500" customFormat="1" ht="13.35" hidden="1" customHeight="1">
      <c r="A278" s="542" t="s">
        <v>49</v>
      </c>
      <c r="B278" s="542" t="s">
        <v>1236</v>
      </c>
      <c r="C278" s="616"/>
      <c r="D278" s="946">
        <v>0</v>
      </c>
      <c r="E278" s="521">
        <v>0</v>
      </c>
      <c r="F278" s="520">
        <v>0</v>
      </c>
      <c r="G278" s="695" t="s">
        <v>1619</v>
      </c>
      <c r="H278" s="669">
        <v>72.27</v>
      </c>
    </row>
    <row r="279" spans="1:8" s="500" customFormat="1" ht="13.35" hidden="1" customHeight="1">
      <c r="A279" s="539" t="s">
        <v>801</v>
      </c>
      <c r="B279" s="539" t="s">
        <v>1237</v>
      </c>
      <c r="C279" s="548" t="s">
        <v>37</v>
      </c>
      <c r="D279" s="946">
        <v>0</v>
      </c>
      <c r="E279" s="521">
        <v>0</v>
      </c>
      <c r="F279" s="520">
        <v>0</v>
      </c>
      <c r="G279" s="695" t="s">
        <v>1620</v>
      </c>
      <c r="H279" s="669">
        <v>15.22</v>
      </c>
    </row>
    <row r="280" spans="1:8" s="500" customFormat="1" ht="13.35" hidden="1" customHeight="1">
      <c r="A280" s="539" t="s">
        <v>802</v>
      </c>
      <c r="B280" s="539" t="s">
        <v>1238</v>
      </c>
      <c r="C280" s="548" t="s">
        <v>37</v>
      </c>
      <c r="D280" s="946">
        <v>0</v>
      </c>
      <c r="E280" s="521">
        <v>0</v>
      </c>
      <c r="F280" s="520">
        <v>0</v>
      </c>
      <c r="G280" s="695"/>
      <c r="H280" s="669">
        <v>0</v>
      </c>
    </row>
    <row r="281" spans="1:8" s="500" customFormat="1" ht="13.35" hidden="1" customHeight="1">
      <c r="A281" s="542" t="s">
        <v>50</v>
      </c>
      <c r="B281" s="542" t="s">
        <v>1239</v>
      </c>
      <c r="C281" s="616"/>
      <c r="D281" s="946">
        <v>0</v>
      </c>
      <c r="E281" s="521">
        <v>0</v>
      </c>
      <c r="F281" s="520">
        <v>0</v>
      </c>
      <c r="G281" s="695" t="s">
        <v>1621</v>
      </c>
      <c r="H281" s="669">
        <v>123.1</v>
      </c>
    </row>
    <row r="282" spans="1:8" s="500" customFormat="1" ht="13.35" hidden="1" customHeight="1">
      <c r="A282" s="539" t="s">
        <v>803</v>
      </c>
      <c r="B282" s="539" t="s">
        <v>1240</v>
      </c>
      <c r="C282" s="548" t="s">
        <v>37</v>
      </c>
      <c r="D282" s="946">
        <v>0</v>
      </c>
      <c r="E282" s="521">
        <v>0</v>
      </c>
      <c r="F282" s="520">
        <v>0</v>
      </c>
      <c r="G282" s="695" t="s">
        <v>1622</v>
      </c>
      <c r="H282" s="669">
        <v>54.38</v>
      </c>
    </row>
    <row r="283" spans="1:8" s="500" customFormat="1" ht="13.35" hidden="1" customHeight="1">
      <c r="A283" s="539" t="s">
        <v>804</v>
      </c>
      <c r="B283" s="539" t="s">
        <v>1241</v>
      </c>
      <c r="C283" s="548" t="s">
        <v>37</v>
      </c>
      <c r="D283" s="946">
        <v>0</v>
      </c>
      <c r="E283" s="521">
        <v>0</v>
      </c>
      <c r="F283" s="520">
        <v>0</v>
      </c>
      <c r="G283" s="695" t="s">
        <v>1623</v>
      </c>
      <c r="H283" s="669">
        <v>34.44</v>
      </c>
    </row>
    <row r="284" spans="1:8" s="500" customFormat="1" ht="13.35" hidden="1" customHeight="1">
      <c r="A284" s="539" t="s">
        <v>805</v>
      </c>
      <c r="B284" s="539" t="s">
        <v>1242</v>
      </c>
      <c r="C284" s="548" t="s">
        <v>37</v>
      </c>
      <c r="D284" s="946">
        <v>0</v>
      </c>
      <c r="E284" s="521">
        <v>0</v>
      </c>
      <c r="F284" s="520">
        <v>0</v>
      </c>
      <c r="G284" s="695" t="s">
        <v>1624</v>
      </c>
      <c r="H284" s="669">
        <v>30.39</v>
      </c>
    </row>
    <row r="285" spans="1:8" s="500" customFormat="1" ht="13.35" hidden="1" customHeight="1">
      <c r="A285" s="539" t="s">
        <v>806</v>
      </c>
      <c r="B285" s="539" t="s">
        <v>1243</v>
      </c>
      <c r="C285" s="548" t="s">
        <v>37</v>
      </c>
      <c r="D285" s="946">
        <v>0</v>
      </c>
      <c r="E285" s="521">
        <v>0</v>
      </c>
      <c r="F285" s="520">
        <v>0</v>
      </c>
      <c r="G285" s="695" t="s">
        <v>1625</v>
      </c>
      <c r="H285" s="669">
        <v>39.17</v>
      </c>
    </row>
    <row r="286" spans="1:8" s="500" customFormat="1" ht="13.35" hidden="1" customHeight="1">
      <c r="A286" s="539" t="s">
        <v>807</v>
      </c>
      <c r="B286" s="539" t="s">
        <v>1244</v>
      </c>
      <c r="C286" s="548" t="s">
        <v>37</v>
      </c>
      <c r="D286" s="946">
        <v>0</v>
      </c>
      <c r="E286" s="521">
        <v>0</v>
      </c>
      <c r="F286" s="520">
        <v>0</v>
      </c>
      <c r="G286" s="695" t="s">
        <v>1626</v>
      </c>
      <c r="H286" s="669">
        <v>68.38</v>
      </c>
    </row>
    <row r="287" spans="1:8" s="500" customFormat="1" ht="13.35" hidden="1" customHeight="1">
      <c r="A287" s="539" t="s">
        <v>808</v>
      </c>
      <c r="B287" s="539" t="s">
        <v>1245</v>
      </c>
      <c r="C287" s="548" t="s">
        <v>38</v>
      </c>
      <c r="D287" s="946">
        <v>0</v>
      </c>
      <c r="E287" s="521">
        <v>0</v>
      </c>
      <c r="F287" s="520">
        <v>0</v>
      </c>
      <c r="G287" s="695" t="s">
        <v>1627</v>
      </c>
      <c r="H287" s="669">
        <v>228.32</v>
      </c>
    </row>
    <row r="288" spans="1:8" s="500" customFormat="1" ht="13.35" hidden="1" customHeight="1">
      <c r="A288" s="539" t="s">
        <v>809</v>
      </c>
      <c r="B288" s="539" t="s">
        <v>1246</v>
      </c>
      <c r="C288" s="548" t="s">
        <v>38</v>
      </c>
      <c r="D288" s="946">
        <v>0</v>
      </c>
      <c r="E288" s="521">
        <v>0</v>
      </c>
      <c r="F288" s="520">
        <v>0</v>
      </c>
      <c r="G288" s="695"/>
      <c r="H288" s="669">
        <v>0</v>
      </c>
    </row>
    <row r="289" spans="1:8" s="500" customFormat="1" ht="13.35" hidden="1" customHeight="1">
      <c r="A289" s="542" t="s">
        <v>51</v>
      </c>
      <c r="B289" s="542" t="s">
        <v>1247</v>
      </c>
      <c r="C289" s="616"/>
      <c r="D289" s="946">
        <v>0</v>
      </c>
      <c r="E289" s="521">
        <v>0</v>
      </c>
      <c r="F289" s="520">
        <v>0</v>
      </c>
      <c r="G289" s="695" t="s">
        <v>1628</v>
      </c>
      <c r="H289" s="669">
        <v>90.62</v>
      </c>
    </row>
    <row r="290" spans="1:8" s="500" customFormat="1" ht="13.35" hidden="1" customHeight="1">
      <c r="A290" s="539" t="s">
        <v>810</v>
      </c>
      <c r="B290" s="539" t="s">
        <v>1248</v>
      </c>
      <c r="C290" s="548" t="s">
        <v>37</v>
      </c>
      <c r="D290" s="946">
        <v>0</v>
      </c>
      <c r="E290" s="521">
        <v>0</v>
      </c>
      <c r="F290" s="520">
        <v>0</v>
      </c>
      <c r="G290" s="695"/>
      <c r="H290" s="669">
        <v>0</v>
      </c>
    </row>
    <row r="291" spans="1:8" s="500" customFormat="1" ht="13.35" hidden="1" customHeight="1">
      <c r="A291" s="542" t="s">
        <v>277</v>
      </c>
      <c r="B291" s="542" t="s">
        <v>1249</v>
      </c>
      <c r="C291" s="616"/>
      <c r="D291" s="946">
        <v>0</v>
      </c>
      <c r="E291" s="521">
        <v>0</v>
      </c>
      <c r="F291" s="520">
        <v>0</v>
      </c>
      <c r="G291" s="695" t="s">
        <v>1629</v>
      </c>
      <c r="H291" s="669">
        <v>72.22</v>
      </c>
    </row>
    <row r="292" spans="1:8" s="500" customFormat="1" ht="13.35" hidden="1" customHeight="1">
      <c r="A292" s="539" t="s">
        <v>811</v>
      </c>
      <c r="B292" s="539" t="s">
        <v>1250</v>
      </c>
      <c r="C292" s="548" t="s">
        <v>37</v>
      </c>
      <c r="D292" s="946">
        <v>0</v>
      </c>
      <c r="E292" s="521">
        <v>0</v>
      </c>
      <c r="F292" s="520">
        <v>0</v>
      </c>
      <c r="G292" s="695" t="s">
        <v>1630</v>
      </c>
      <c r="H292" s="669">
        <v>56.44</v>
      </c>
    </row>
    <row r="293" spans="1:8" s="500" customFormat="1" ht="13.35" hidden="1" customHeight="1">
      <c r="A293" s="539" t="s">
        <v>812</v>
      </c>
      <c r="B293" s="539" t="s">
        <v>1251</v>
      </c>
      <c r="C293" s="548" t="s">
        <v>37</v>
      </c>
      <c r="D293" s="946">
        <v>0</v>
      </c>
      <c r="E293" s="521">
        <v>0</v>
      </c>
      <c r="F293" s="520">
        <v>0</v>
      </c>
      <c r="G293" s="695" t="s">
        <v>1631</v>
      </c>
      <c r="H293" s="669">
        <v>15.78</v>
      </c>
    </row>
    <row r="294" spans="1:8" s="500" customFormat="1" ht="13.35" hidden="1" customHeight="1">
      <c r="A294" s="539" t="s">
        <v>813</v>
      </c>
      <c r="B294" s="539" t="s">
        <v>1252</v>
      </c>
      <c r="C294" s="548" t="s">
        <v>37</v>
      </c>
      <c r="D294" s="946">
        <v>0</v>
      </c>
      <c r="E294" s="521">
        <v>0</v>
      </c>
      <c r="F294" s="520">
        <v>0</v>
      </c>
      <c r="G294" s="695"/>
      <c r="H294" s="669">
        <v>0</v>
      </c>
    </row>
    <row r="295" spans="1:8" s="500" customFormat="1" ht="13.35" hidden="1" customHeight="1">
      <c r="A295" s="542" t="s">
        <v>279</v>
      </c>
      <c r="B295" s="542" t="s">
        <v>1253</v>
      </c>
      <c r="C295" s="616"/>
      <c r="D295" s="946">
        <v>0</v>
      </c>
      <c r="E295" s="521">
        <v>0</v>
      </c>
      <c r="F295" s="520">
        <v>0</v>
      </c>
      <c r="G295" s="695" t="s">
        <v>1632</v>
      </c>
      <c r="H295" s="669">
        <v>11.52</v>
      </c>
    </row>
    <row r="296" spans="1:8" s="500" customFormat="1" ht="13.35" hidden="1" customHeight="1">
      <c r="A296" s="539" t="s">
        <v>814</v>
      </c>
      <c r="B296" s="539" t="s">
        <v>1254</v>
      </c>
      <c r="C296" s="548" t="s">
        <v>38</v>
      </c>
      <c r="D296" s="946">
        <v>0</v>
      </c>
      <c r="E296" s="521">
        <v>0</v>
      </c>
      <c r="F296" s="520">
        <v>0</v>
      </c>
      <c r="G296" s="695" t="s">
        <v>1633</v>
      </c>
      <c r="H296" s="669">
        <v>5.18</v>
      </c>
    </row>
    <row r="297" spans="1:8" s="500" customFormat="1" ht="13.35" hidden="1" customHeight="1">
      <c r="A297" s="539" t="s">
        <v>815</v>
      </c>
      <c r="B297" s="539" t="s">
        <v>1255</v>
      </c>
      <c r="C297" s="548" t="s">
        <v>37</v>
      </c>
      <c r="D297" s="946">
        <v>0</v>
      </c>
      <c r="E297" s="521">
        <v>0</v>
      </c>
      <c r="F297" s="520">
        <v>0</v>
      </c>
      <c r="G297" s="695"/>
      <c r="H297" s="669">
        <v>0</v>
      </c>
    </row>
    <row r="298" spans="1:8" s="500" customFormat="1" ht="13.35" hidden="1" customHeight="1">
      <c r="A298" s="542" t="s">
        <v>280</v>
      </c>
      <c r="B298" s="542" t="s">
        <v>1256</v>
      </c>
      <c r="C298" s="616"/>
      <c r="D298" s="946">
        <v>0</v>
      </c>
      <c r="E298" s="521">
        <v>0</v>
      </c>
      <c r="F298" s="520">
        <v>0</v>
      </c>
      <c r="G298" s="695" t="s">
        <v>1634</v>
      </c>
      <c r="H298" s="669">
        <v>73.5</v>
      </c>
    </row>
    <row r="299" spans="1:8" s="500" customFormat="1" ht="13.35" hidden="1" customHeight="1">
      <c r="A299" s="539" t="s">
        <v>816</v>
      </c>
      <c r="B299" s="539" t="s">
        <v>1257</v>
      </c>
      <c r="C299" s="548" t="s">
        <v>37</v>
      </c>
      <c r="D299" s="946">
        <v>0</v>
      </c>
      <c r="E299" s="521">
        <v>0</v>
      </c>
      <c r="F299" s="520">
        <v>0</v>
      </c>
      <c r="G299" s="695"/>
      <c r="H299" s="669">
        <v>0</v>
      </c>
    </row>
    <row r="300" spans="1:8" s="500" customFormat="1" ht="13.35" hidden="1" customHeight="1">
      <c r="A300" s="542" t="s">
        <v>281</v>
      </c>
      <c r="B300" s="542" t="s">
        <v>1258</v>
      </c>
      <c r="C300" s="616"/>
      <c r="D300" s="946">
        <v>0</v>
      </c>
      <c r="E300" s="521">
        <v>0</v>
      </c>
      <c r="F300" s="520">
        <v>0</v>
      </c>
      <c r="G300" s="695" t="s">
        <v>1635</v>
      </c>
      <c r="H300" s="669">
        <v>15.8</v>
      </c>
    </row>
    <row r="301" spans="1:8" s="500" customFormat="1" ht="13.35" hidden="1" customHeight="1">
      <c r="A301" s="539" t="s">
        <v>817</v>
      </c>
      <c r="B301" s="539" t="s">
        <v>1259</v>
      </c>
      <c r="C301" s="548" t="s">
        <v>37</v>
      </c>
      <c r="D301" s="946">
        <v>0</v>
      </c>
      <c r="E301" s="521">
        <v>0</v>
      </c>
      <c r="F301" s="520">
        <v>0</v>
      </c>
      <c r="G301" s="695" t="s">
        <v>1636</v>
      </c>
      <c r="H301" s="669">
        <v>27.62</v>
      </c>
    </row>
    <row r="302" spans="1:8" s="500" customFormat="1" ht="13.35" hidden="1" customHeight="1">
      <c r="A302" s="539" t="s">
        <v>818</v>
      </c>
      <c r="B302" s="539" t="s">
        <v>1260</v>
      </c>
      <c r="C302" s="548" t="s">
        <v>38</v>
      </c>
      <c r="D302" s="946">
        <v>0</v>
      </c>
      <c r="E302" s="521">
        <v>0</v>
      </c>
      <c r="F302" s="520">
        <v>0</v>
      </c>
      <c r="G302" s="695" t="s">
        <v>1637</v>
      </c>
      <c r="H302" s="669">
        <v>30.2</v>
      </c>
    </row>
    <row r="303" spans="1:8" s="500" customFormat="1" ht="13.35" hidden="1" customHeight="1">
      <c r="A303" s="539" t="s">
        <v>819</v>
      </c>
      <c r="B303" s="539" t="s">
        <v>1261</v>
      </c>
      <c r="C303" s="548" t="s">
        <v>38</v>
      </c>
      <c r="D303" s="946">
        <v>0</v>
      </c>
      <c r="E303" s="521">
        <v>0</v>
      </c>
      <c r="F303" s="520">
        <v>0</v>
      </c>
      <c r="G303" s="695"/>
      <c r="H303" s="669">
        <v>0</v>
      </c>
    </row>
    <row r="304" spans="1:8" s="500" customFormat="1" ht="13.35" hidden="1" customHeight="1">
      <c r="A304" s="542" t="s">
        <v>282</v>
      </c>
      <c r="B304" s="542" t="s">
        <v>1198</v>
      </c>
      <c r="C304" s="616"/>
      <c r="D304" s="946">
        <v>0</v>
      </c>
      <c r="E304" s="521">
        <v>0</v>
      </c>
      <c r="F304" s="520">
        <v>0</v>
      </c>
      <c r="G304" s="695" t="s">
        <v>1638</v>
      </c>
      <c r="H304" s="669">
        <v>90.78</v>
      </c>
    </row>
    <row r="305" spans="1:8" s="500" customFormat="1" ht="13.35" hidden="1" customHeight="1">
      <c r="A305" s="539" t="s">
        <v>820</v>
      </c>
      <c r="B305" s="539" t="s">
        <v>1262</v>
      </c>
      <c r="C305" s="548" t="s">
        <v>37</v>
      </c>
      <c r="D305" s="946">
        <v>0</v>
      </c>
      <c r="E305" s="521">
        <v>0</v>
      </c>
      <c r="F305" s="520">
        <v>0</v>
      </c>
      <c r="G305" s="695" t="s">
        <v>1639</v>
      </c>
      <c r="H305" s="669">
        <v>29.18</v>
      </c>
    </row>
    <row r="306" spans="1:8" s="500" customFormat="1" ht="13.35" hidden="1" customHeight="1">
      <c r="A306" s="539" t="s">
        <v>821</v>
      </c>
      <c r="B306" s="539" t="s">
        <v>1263</v>
      </c>
      <c r="C306" s="548" t="s">
        <v>38</v>
      </c>
      <c r="D306" s="946">
        <v>0</v>
      </c>
      <c r="E306" s="521">
        <v>0</v>
      </c>
      <c r="F306" s="520">
        <v>0</v>
      </c>
      <c r="G306" s="695"/>
      <c r="H306" s="669">
        <v>0</v>
      </c>
    </row>
    <row r="307" spans="1:8" s="500" customFormat="1" ht="13.35" hidden="1" customHeight="1">
      <c r="A307" s="542" t="s">
        <v>822</v>
      </c>
      <c r="B307" s="542" t="s">
        <v>1264</v>
      </c>
      <c r="C307" s="616"/>
      <c r="D307" s="946">
        <v>0</v>
      </c>
      <c r="E307" s="521">
        <v>0</v>
      </c>
      <c r="F307" s="520">
        <v>0</v>
      </c>
      <c r="G307" s="695" t="s">
        <v>1640</v>
      </c>
      <c r="H307" s="669">
        <v>6.3</v>
      </c>
    </row>
    <row r="308" spans="1:8" s="500" customFormat="1" ht="13.35" hidden="1" customHeight="1">
      <c r="A308" s="539" t="s">
        <v>823</v>
      </c>
      <c r="B308" s="539" t="s">
        <v>1265</v>
      </c>
      <c r="C308" s="548" t="s">
        <v>37</v>
      </c>
      <c r="D308" s="946">
        <v>0</v>
      </c>
      <c r="E308" s="521">
        <v>0</v>
      </c>
      <c r="F308" s="520">
        <v>0</v>
      </c>
      <c r="G308" s="695"/>
      <c r="H308" s="669">
        <v>0</v>
      </c>
    </row>
    <row r="309" spans="1:8" s="500" customFormat="1" ht="13.35" hidden="1" customHeight="1">
      <c r="A309" s="542" t="s">
        <v>824</v>
      </c>
      <c r="B309" s="542" t="s">
        <v>1266</v>
      </c>
      <c r="C309" s="616"/>
      <c r="D309" s="946">
        <v>0</v>
      </c>
      <c r="E309" s="521">
        <v>0</v>
      </c>
      <c r="F309" s="520">
        <v>0</v>
      </c>
      <c r="G309" s="695" t="s">
        <v>1641</v>
      </c>
      <c r="H309" s="669">
        <v>9</v>
      </c>
    </row>
    <row r="310" spans="1:8" s="500" customFormat="1" ht="13.35" hidden="1" customHeight="1">
      <c r="A310" s="539" t="s">
        <v>825</v>
      </c>
      <c r="B310" s="539" t="s">
        <v>1267</v>
      </c>
      <c r="C310" s="548" t="s">
        <v>1451</v>
      </c>
      <c r="D310" s="946">
        <v>0</v>
      </c>
      <c r="E310" s="521">
        <v>0</v>
      </c>
      <c r="F310" s="520">
        <v>0</v>
      </c>
      <c r="G310" s="695" t="s">
        <v>1618</v>
      </c>
      <c r="H310" s="669">
        <v>3</v>
      </c>
    </row>
    <row r="311" spans="1:8" s="500" customFormat="1" ht="13.35" hidden="1" customHeight="1">
      <c r="A311" s="539" t="s">
        <v>826</v>
      </c>
      <c r="B311" s="539" t="s">
        <v>1268</v>
      </c>
      <c r="C311" s="548" t="s">
        <v>36</v>
      </c>
      <c r="D311" s="946">
        <v>0</v>
      </c>
      <c r="E311" s="521">
        <v>0</v>
      </c>
      <c r="F311" s="520">
        <v>0</v>
      </c>
      <c r="G311" s="695"/>
      <c r="H311" s="669">
        <v>0</v>
      </c>
    </row>
    <row r="312" spans="1:8" s="500" customFormat="1" ht="13.35" hidden="1" customHeight="1">
      <c r="A312" s="542" t="s">
        <v>827</v>
      </c>
      <c r="B312" s="542" t="s">
        <v>1269</v>
      </c>
      <c r="C312" s="616"/>
      <c r="D312" s="946">
        <v>0</v>
      </c>
      <c r="E312" s="521">
        <v>0</v>
      </c>
      <c r="F312" s="520">
        <v>0</v>
      </c>
      <c r="G312" s="695" t="s">
        <v>1642</v>
      </c>
      <c r="H312" s="669">
        <v>19.149999999999999</v>
      </c>
    </row>
    <row r="313" spans="1:8" s="500" customFormat="1" ht="13.35" hidden="1" customHeight="1">
      <c r="A313" s="539" t="s">
        <v>828</v>
      </c>
      <c r="B313" s="539" t="s">
        <v>1270</v>
      </c>
      <c r="C313" s="548" t="s">
        <v>37</v>
      </c>
      <c r="D313" s="946">
        <v>0</v>
      </c>
      <c r="E313" s="521">
        <v>0</v>
      </c>
      <c r="F313" s="520">
        <v>0</v>
      </c>
      <c r="G313" s="695" t="s">
        <v>1643</v>
      </c>
      <c r="H313" s="669">
        <v>1.5</v>
      </c>
    </row>
    <row r="314" spans="1:8" s="500" customFormat="1" ht="13.35" hidden="1" customHeight="1">
      <c r="A314" s="539" t="s">
        <v>829</v>
      </c>
      <c r="B314" s="539" t="s">
        <v>1271</v>
      </c>
      <c r="C314" s="548" t="s">
        <v>37</v>
      </c>
      <c r="D314" s="946">
        <v>0</v>
      </c>
      <c r="E314" s="521">
        <v>0</v>
      </c>
      <c r="F314" s="520">
        <v>0</v>
      </c>
      <c r="G314" s="695"/>
      <c r="H314" s="669">
        <v>0</v>
      </c>
    </row>
    <row r="315" spans="1:8" s="500" customFormat="1" ht="13.35" hidden="1" customHeight="1">
      <c r="A315" s="542" t="s">
        <v>830</v>
      </c>
      <c r="B315" s="542" t="s">
        <v>1272</v>
      </c>
      <c r="C315" s="616"/>
      <c r="D315" s="946">
        <v>0</v>
      </c>
      <c r="E315" s="521">
        <v>0</v>
      </c>
      <c r="F315" s="520">
        <v>0</v>
      </c>
      <c r="G315" s="695" t="s">
        <v>1628</v>
      </c>
      <c r="H315" s="669">
        <v>90.62</v>
      </c>
    </row>
    <row r="316" spans="1:8" s="500" customFormat="1" ht="13.35" hidden="1" customHeight="1">
      <c r="A316" s="539" t="s">
        <v>831</v>
      </c>
      <c r="B316" s="539" t="s">
        <v>1273</v>
      </c>
      <c r="C316" s="548" t="s">
        <v>37</v>
      </c>
      <c r="D316" s="946">
        <v>0</v>
      </c>
      <c r="E316" s="521">
        <v>0</v>
      </c>
      <c r="F316" s="520">
        <v>0</v>
      </c>
      <c r="G316" s="695" t="s">
        <v>1621</v>
      </c>
      <c r="H316" s="669">
        <v>123.1</v>
      </c>
    </row>
    <row r="317" spans="1:8" s="500" customFormat="1" ht="13.35" hidden="1" customHeight="1">
      <c r="A317" s="539" t="s">
        <v>832</v>
      </c>
      <c r="B317" s="539" t="s">
        <v>1274</v>
      </c>
      <c r="C317" s="548" t="s">
        <v>37</v>
      </c>
      <c r="D317" s="946">
        <v>0</v>
      </c>
      <c r="E317" s="521">
        <v>0</v>
      </c>
      <c r="F317" s="520">
        <v>0</v>
      </c>
      <c r="G317" s="695" t="s">
        <v>1622</v>
      </c>
      <c r="H317" s="669">
        <v>54.38</v>
      </c>
    </row>
    <row r="318" spans="1:8" s="500" customFormat="1" ht="13.35" hidden="1" customHeight="1">
      <c r="A318" s="539" t="s">
        <v>833</v>
      </c>
      <c r="B318" s="539" t="s">
        <v>1275</v>
      </c>
      <c r="C318" s="548" t="s">
        <v>37</v>
      </c>
      <c r="D318" s="946">
        <v>0</v>
      </c>
      <c r="E318" s="521">
        <v>0</v>
      </c>
      <c r="F318" s="520">
        <v>0</v>
      </c>
      <c r="G318" s="695" t="s">
        <v>1623</v>
      </c>
      <c r="H318" s="669">
        <v>34.44</v>
      </c>
    </row>
    <row r="319" spans="1:8" s="500" customFormat="1" ht="13.35" hidden="1" customHeight="1">
      <c r="A319" s="539" t="s">
        <v>834</v>
      </c>
      <c r="B319" s="539" t="s">
        <v>1276</v>
      </c>
      <c r="C319" s="548" t="s">
        <v>37</v>
      </c>
      <c r="D319" s="946">
        <v>0</v>
      </c>
      <c r="E319" s="521">
        <v>0</v>
      </c>
      <c r="F319" s="520">
        <v>0</v>
      </c>
      <c r="G319" s="695" t="s">
        <v>1624</v>
      </c>
      <c r="H319" s="669">
        <v>30.39</v>
      </c>
    </row>
    <row r="320" spans="1:8" s="500" customFormat="1" ht="13.35" hidden="1" customHeight="1">
      <c r="A320" s="539" t="s">
        <v>835</v>
      </c>
      <c r="B320" s="539" t="s">
        <v>1277</v>
      </c>
      <c r="C320" s="548" t="s">
        <v>37</v>
      </c>
      <c r="D320" s="946">
        <v>0</v>
      </c>
      <c r="E320" s="521">
        <v>0</v>
      </c>
      <c r="F320" s="520">
        <v>0</v>
      </c>
      <c r="G320" s="695" t="s">
        <v>1635</v>
      </c>
      <c r="H320" s="669">
        <v>15.8</v>
      </c>
    </row>
    <row r="321" spans="1:8" s="500" customFormat="1" ht="13.35" hidden="1" customHeight="1">
      <c r="A321" s="539" t="s">
        <v>836</v>
      </c>
      <c r="B321" s="539" t="s">
        <v>1278</v>
      </c>
      <c r="C321" s="548" t="s">
        <v>37</v>
      </c>
      <c r="D321" s="946">
        <v>0</v>
      </c>
      <c r="E321" s="521">
        <v>0</v>
      </c>
      <c r="F321" s="520">
        <v>0</v>
      </c>
      <c r="G321" s="695" t="s">
        <v>1644</v>
      </c>
      <c r="H321" s="669">
        <v>12.6</v>
      </c>
    </row>
    <row r="322" spans="1:8" s="500" customFormat="1" ht="13.35" hidden="1" customHeight="1">
      <c r="A322" s="539" t="s">
        <v>837</v>
      </c>
      <c r="B322" s="539" t="s">
        <v>1279</v>
      </c>
      <c r="C322" s="548" t="s">
        <v>37</v>
      </c>
      <c r="D322" s="946">
        <v>0</v>
      </c>
      <c r="E322" s="521">
        <v>0</v>
      </c>
      <c r="F322" s="520">
        <v>0</v>
      </c>
      <c r="G322" s="695"/>
      <c r="H322" s="669">
        <v>0</v>
      </c>
    </row>
    <row r="323" spans="1:8" s="500" customFormat="1" ht="13.35" hidden="1" customHeight="1">
      <c r="A323" s="542" t="s">
        <v>838</v>
      </c>
      <c r="B323" s="542" t="s">
        <v>1280</v>
      </c>
      <c r="C323" s="616"/>
      <c r="D323" s="946">
        <v>0</v>
      </c>
      <c r="E323" s="521">
        <v>0</v>
      </c>
      <c r="F323" s="520">
        <v>0</v>
      </c>
      <c r="G323" s="695" t="s">
        <v>1641</v>
      </c>
      <c r="H323" s="669">
        <v>9</v>
      </c>
    </row>
    <row r="324" spans="1:8" s="500" customFormat="1" ht="13.35" hidden="1" customHeight="1">
      <c r="A324" s="539" t="s">
        <v>839</v>
      </c>
      <c r="B324" s="539" t="s">
        <v>1281</v>
      </c>
      <c r="C324" s="548" t="s">
        <v>1450</v>
      </c>
      <c r="D324" s="946">
        <v>0</v>
      </c>
      <c r="E324" s="521">
        <v>0</v>
      </c>
      <c r="F324" s="520">
        <v>0</v>
      </c>
      <c r="G324" s="695" t="s">
        <v>1455</v>
      </c>
      <c r="H324" s="669">
        <v>1</v>
      </c>
    </row>
    <row r="325" spans="1:8" s="500" customFormat="1" ht="13.35" hidden="1" customHeight="1">
      <c r="A325" s="539" t="s">
        <v>840</v>
      </c>
      <c r="B325" s="539" t="s">
        <v>1282</v>
      </c>
      <c r="C325" s="548" t="s">
        <v>64</v>
      </c>
      <c r="D325" s="946">
        <v>0</v>
      </c>
      <c r="E325" s="521">
        <v>0</v>
      </c>
      <c r="F325" s="520">
        <v>0</v>
      </c>
      <c r="G325" s="695" t="s">
        <v>1645</v>
      </c>
      <c r="H325" s="669">
        <v>21.02</v>
      </c>
    </row>
    <row r="326" spans="1:8" s="500" customFormat="1" ht="13.35" hidden="1" customHeight="1">
      <c r="A326" s="539" t="s">
        <v>841</v>
      </c>
      <c r="B326" s="539" t="s">
        <v>1283</v>
      </c>
      <c r="C326" s="548" t="s">
        <v>37</v>
      </c>
      <c r="D326" s="946">
        <v>0</v>
      </c>
      <c r="E326" s="521">
        <v>0</v>
      </c>
      <c r="F326" s="520">
        <v>0</v>
      </c>
      <c r="G326" s="695"/>
      <c r="H326" s="669">
        <v>0</v>
      </c>
    </row>
    <row r="327" spans="1:8" s="500" customFormat="1" ht="13.35" customHeight="1">
      <c r="A327" s="440" t="s">
        <v>475</v>
      </c>
      <c r="B327" s="543" t="s">
        <v>1284</v>
      </c>
      <c r="C327" s="616"/>
      <c r="D327" s="946">
        <v>0</v>
      </c>
      <c r="E327" s="521">
        <v>0</v>
      </c>
      <c r="F327" s="520">
        <v>0</v>
      </c>
      <c r="G327" s="695"/>
      <c r="H327" s="669">
        <v>0</v>
      </c>
    </row>
    <row r="328" spans="1:8" s="500" customFormat="1" ht="13.35" customHeight="1">
      <c r="A328" s="542" t="s">
        <v>478</v>
      </c>
      <c r="B328" s="542" t="s">
        <v>1247</v>
      </c>
      <c r="C328" s="616"/>
      <c r="D328" s="946">
        <v>0</v>
      </c>
      <c r="E328" s="521">
        <v>0</v>
      </c>
      <c r="F328" s="520">
        <v>0</v>
      </c>
      <c r="G328" s="695" t="s">
        <v>1655</v>
      </c>
      <c r="H328" s="669">
        <v>65.92</v>
      </c>
    </row>
    <row r="329" spans="1:8" s="500" customFormat="1" ht="13.35" customHeight="1">
      <c r="A329" s="539" t="s">
        <v>851</v>
      </c>
      <c r="B329" s="539" t="s">
        <v>1248</v>
      </c>
      <c r="C329" s="548" t="s">
        <v>37</v>
      </c>
      <c r="D329" s="990">
        <v>1.02</v>
      </c>
      <c r="E329" s="521">
        <v>0</v>
      </c>
      <c r="F329" s="520">
        <v>1.02</v>
      </c>
      <c r="G329" s="695"/>
      <c r="H329" s="669">
        <v>-1.02</v>
      </c>
    </row>
    <row r="330" spans="1:8" s="500" customFormat="1" ht="13.35" hidden="1" customHeight="1">
      <c r="A330" s="542" t="s">
        <v>479</v>
      </c>
      <c r="B330" s="542" t="s">
        <v>1249</v>
      </c>
      <c r="C330" s="616"/>
      <c r="D330" s="946">
        <v>0</v>
      </c>
      <c r="E330" s="521">
        <v>0</v>
      </c>
      <c r="F330" s="520">
        <v>0</v>
      </c>
      <c r="G330" s="695" t="s">
        <v>1656</v>
      </c>
      <c r="H330" s="669">
        <v>57.88</v>
      </c>
    </row>
    <row r="331" spans="1:8" s="500" customFormat="1" ht="13.35" hidden="1" customHeight="1">
      <c r="A331" s="539" t="s">
        <v>852</v>
      </c>
      <c r="B331" s="539" t="s">
        <v>1250</v>
      </c>
      <c r="C331" s="548" t="s">
        <v>37</v>
      </c>
      <c r="D331" s="946">
        <v>0</v>
      </c>
      <c r="E331" s="521">
        <v>0</v>
      </c>
      <c r="F331" s="520">
        <v>0</v>
      </c>
      <c r="G331" s="695" t="s">
        <v>1657</v>
      </c>
      <c r="H331" s="669">
        <v>40.200000000000003</v>
      </c>
    </row>
    <row r="332" spans="1:8" s="500" customFormat="1" ht="13.35" hidden="1" customHeight="1">
      <c r="A332" s="539" t="s">
        <v>853</v>
      </c>
      <c r="B332" s="539" t="s">
        <v>1285</v>
      </c>
      <c r="C332" s="548" t="s">
        <v>37</v>
      </c>
      <c r="D332" s="946">
        <v>0</v>
      </c>
      <c r="E332" s="521">
        <v>0</v>
      </c>
      <c r="F332" s="520">
        <v>0</v>
      </c>
      <c r="G332" s="695" t="s">
        <v>1658</v>
      </c>
      <c r="H332" s="669">
        <v>5.72</v>
      </c>
    </row>
    <row r="333" spans="1:8" s="500" customFormat="1" ht="13.35" hidden="1" customHeight="1">
      <c r="A333" s="539" t="s">
        <v>854</v>
      </c>
      <c r="B333" s="539" t="s">
        <v>1251</v>
      </c>
      <c r="C333" s="548" t="s">
        <v>37</v>
      </c>
      <c r="D333" s="946">
        <v>0</v>
      </c>
      <c r="E333" s="521">
        <v>0</v>
      </c>
      <c r="F333" s="520">
        <v>0</v>
      </c>
      <c r="G333" s="695" t="s">
        <v>1659</v>
      </c>
      <c r="H333" s="669">
        <v>11.96</v>
      </c>
    </row>
    <row r="334" spans="1:8" s="500" customFormat="1" ht="13.35" hidden="1" customHeight="1">
      <c r="A334" s="539" t="s">
        <v>855</v>
      </c>
      <c r="B334" s="539" t="s">
        <v>1252</v>
      </c>
      <c r="C334" s="548" t="s">
        <v>37</v>
      </c>
      <c r="D334" s="946">
        <v>0</v>
      </c>
      <c r="E334" s="521">
        <v>0</v>
      </c>
      <c r="F334" s="520">
        <v>0</v>
      </c>
      <c r="G334" s="695"/>
      <c r="H334" s="669">
        <v>0</v>
      </c>
    </row>
    <row r="335" spans="1:8" s="500" customFormat="1" ht="13.35" hidden="1" customHeight="1">
      <c r="A335" s="542" t="s">
        <v>480</v>
      </c>
      <c r="B335" s="542" t="s">
        <v>1256</v>
      </c>
      <c r="C335" s="616"/>
      <c r="D335" s="946">
        <v>0</v>
      </c>
      <c r="E335" s="521">
        <v>0</v>
      </c>
      <c r="F335" s="520">
        <v>0</v>
      </c>
      <c r="G335" s="695" t="s">
        <v>1660</v>
      </c>
      <c r="H335" s="669">
        <v>55.35</v>
      </c>
    </row>
    <row r="336" spans="1:8" s="500" customFormat="1" ht="13.35" hidden="1" customHeight="1">
      <c r="A336" s="539" t="s">
        <v>856</v>
      </c>
      <c r="B336" s="539" t="s">
        <v>1257</v>
      </c>
      <c r="C336" s="548" t="s">
        <v>37</v>
      </c>
      <c r="D336" s="946">
        <v>0</v>
      </c>
      <c r="E336" s="521">
        <v>0</v>
      </c>
      <c r="F336" s="520">
        <v>0</v>
      </c>
      <c r="G336" s="695"/>
      <c r="H336" s="669">
        <v>0</v>
      </c>
    </row>
    <row r="337" spans="1:8" s="500" customFormat="1" ht="13.35" hidden="1" customHeight="1">
      <c r="A337" s="542" t="s">
        <v>481</v>
      </c>
      <c r="B337" s="542" t="s">
        <v>1258</v>
      </c>
      <c r="C337" s="616"/>
      <c r="D337" s="946">
        <v>0</v>
      </c>
      <c r="E337" s="521">
        <v>0</v>
      </c>
      <c r="F337" s="520">
        <v>0</v>
      </c>
      <c r="G337" s="695" t="s">
        <v>1635</v>
      </c>
      <c r="H337" s="669">
        <v>15.8</v>
      </c>
    </row>
    <row r="338" spans="1:8" s="500" customFormat="1" ht="13.35" hidden="1" customHeight="1">
      <c r="A338" s="539" t="s">
        <v>857</v>
      </c>
      <c r="B338" s="539" t="s">
        <v>1259</v>
      </c>
      <c r="C338" s="548" t="s">
        <v>37</v>
      </c>
      <c r="D338" s="946">
        <v>0</v>
      </c>
      <c r="E338" s="521">
        <v>0</v>
      </c>
      <c r="F338" s="520">
        <v>0</v>
      </c>
      <c r="G338" s="695" t="s">
        <v>1661</v>
      </c>
      <c r="H338" s="669">
        <v>29.4</v>
      </c>
    </row>
    <row r="339" spans="1:8" s="500" customFormat="1" ht="13.35" hidden="1" customHeight="1">
      <c r="A339" s="539" t="s">
        <v>858</v>
      </c>
      <c r="B339" s="539" t="s">
        <v>1286</v>
      </c>
      <c r="C339" s="548" t="s">
        <v>37</v>
      </c>
      <c r="D339" s="946">
        <v>0</v>
      </c>
      <c r="E339" s="521">
        <v>0</v>
      </c>
      <c r="F339" s="520">
        <v>0</v>
      </c>
      <c r="G339" s="695" t="s">
        <v>1662</v>
      </c>
      <c r="H339" s="669">
        <v>9.6</v>
      </c>
    </row>
    <row r="340" spans="1:8" s="500" customFormat="1" ht="13.35" hidden="1" customHeight="1">
      <c r="A340" s="539" t="s">
        <v>859</v>
      </c>
      <c r="B340" s="539" t="s">
        <v>1261</v>
      </c>
      <c r="C340" s="548" t="s">
        <v>38</v>
      </c>
      <c r="D340" s="946">
        <v>0</v>
      </c>
      <c r="E340" s="521">
        <v>0</v>
      </c>
      <c r="F340" s="520">
        <v>0</v>
      </c>
      <c r="G340" s="695" t="s">
        <v>1663</v>
      </c>
      <c r="H340" s="669">
        <v>23.08</v>
      </c>
    </row>
    <row r="341" spans="1:8" s="500" customFormat="1" ht="13.35" hidden="1" customHeight="1">
      <c r="A341" s="539" t="s">
        <v>860</v>
      </c>
      <c r="B341" s="539" t="s">
        <v>1287</v>
      </c>
      <c r="C341" s="548" t="s">
        <v>38</v>
      </c>
      <c r="D341" s="946">
        <v>0</v>
      </c>
      <c r="E341" s="521">
        <v>0</v>
      </c>
      <c r="F341" s="520">
        <v>0</v>
      </c>
      <c r="G341" s="695"/>
      <c r="H341" s="669">
        <v>0</v>
      </c>
    </row>
    <row r="342" spans="1:8" s="500" customFormat="1" ht="13.35" hidden="1" customHeight="1">
      <c r="A342" s="542" t="s">
        <v>482</v>
      </c>
      <c r="B342" s="542" t="s">
        <v>1198</v>
      </c>
      <c r="C342" s="616"/>
      <c r="D342" s="946">
        <v>0</v>
      </c>
      <c r="E342" s="521">
        <v>0</v>
      </c>
      <c r="F342" s="520">
        <v>0</v>
      </c>
      <c r="G342" s="695" t="s">
        <v>1664</v>
      </c>
      <c r="H342" s="669">
        <v>48.24</v>
      </c>
    </row>
    <row r="343" spans="1:8" s="500" customFormat="1" ht="13.35" hidden="1" customHeight="1">
      <c r="A343" s="539" t="s">
        <v>861</v>
      </c>
      <c r="B343" s="539" t="s">
        <v>1262</v>
      </c>
      <c r="C343" s="548" t="s">
        <v>37</v>
      </c>
      <c r="D343" s="946">
        <v>0</v>
      </c>
      <c r="E343" s="521">
        <v>0</v>
      </c>
      <c r="F343" s="520">
        <v>0</v>
      </c>
      <c r="G343" s="695" t="s">
        <v>1665</v>
      </c>
      <c r="H343" s="669">
        <v>34.880000000000003</v>
      </c>
    </row>
    <row r="344" spans="1:8" s="500" customFormat="1" ht="13.35" hidden="1" customHeight="1">
      <c r="A344" s="539" t="s">
        <v>862</v>
      </c>
      <c r="B344" s="539" t="s">
        <v>1263</v>
      </c>
      <c r="C344" s="548" t="s">
        <v>38</v>
      </c>
      <c r="D344" s="946">
        <v>0</v>
      </c>
      <c r="E344" s="521">
        <v>0</v>
      </c>
      <c r="F344" s="520">
        <v>0</v>
      </c>
      <c r="G344" s="695" t="s">
        <v>1666</v>
      </c>
      <c r="H344" s="669">
        <v>22.97</v>
      </c>
    </row>
    <row r="345" spans="1:8" s="500" customFormat="1" ht="13.35" hidden="1" customHeight="1">
      <c r="A345" s="539" t="s">
        <v>863</v>
      </c>
      <c r="B345" s="539" t="s">
        <v>1288</v>
      </c>
      <c r="C345" s="548" t="s">
        <v>37</v>
      </c>
      <c r="D345" s="946">
        <v>0</v>
      </c>
      <c r="E345" s="521">
        <v>0</v>
      </c>
      <c r="F345" s="520">
        <v>0</v>
      </c>
      <c r="G345" s="695"/>
      <c r="H345" s="669">
        <v>0</v>
      </c>
    </row>
    <row r="346" spans="1:8" s="500" customFormat="1" ht="13.35" hidden="1" customHeight="1">
      <c r="A346" s="542" t="s">
        <v>483</v>
      </c>
      <c r="B346" s="542" t="s">
        <v>1264</v>
      </c>
      <c r="C346" s="548"/>
      <c r="D346" s="946">
        <v>0</v>
      </c>
      <c r="E346" s="521">
        <v>0</v>
      </c>
      <c r="F346" s="520">
        <v>0</v>
      </c>
      <c r="G346" s="695" t="s">
        <v>1667</v>
      </c>
      <c r="H346" s="669">
        <v>5.88</v>
      </c>
    </row>
    <row r="347" spans="1:8" s="500" customFormat="1" ht="13.35" hidden="1" customHeight="1">
      <c r="A347" s="539" t="s">
        <v>864</v>
      </c>
      <c r="B347" s="539" t="s">
        <v>1289</v>
      </c>
      <c r="C347" s="548" t="s">
        <v>37</v>
      </c>
      <c r="D347" s="946">
        <v>0</v>
      </c>
      <c r="E347" s="521">
        <v>0</v>
      </c>
      <c r="F347" s="520">
        <v>0</v>
      </c>
      <c r="G347" s="695" t="s">
        <v>1668</v>
      </c>
      <c r="H347" s="669">
        <v>1.68</v>
      </c>
    </row>
    <row r="348" spans="1:8" s="500" customFormat="1" ht="13.35" hidden="1" customHeight="1">
      <c r="A348" s="539" t="s">
        <v>865</v>
      </c>
      <c r="B348" s="539" t="s">
        <v>1290</v>
      </c>
      <c r="C348" s="548" t="s">
        <v>37</v>
      </c>
      <c r="D348" s="946">
        <v>0</v>
      </c>
      <c r="E348" s="521">
        <v>0</v>
      </c>
      <c r="F348" s="520">
        <v>0</v>
      </c>
      <c r="G348" s="695"/>
      <c r="H348" s="669">
        <v>0</v>
      </c>
    </row>
    <row r="349" spans="1:8" s="500" customFormat="1" ht="13.35" hidden="1" customHeight="1">
      <c r="A349" s="542" t="s">
        <v>866</v>
      </c>
      <c r="B349" s="542" t="s">
        <v>1291</v>
      </c>
      <c r="C349" s="616"/>
      <c r="D349" s="946">
        <v>0</v>
      </c>
      <c r="E349" s="521">
        <v>0</v>
      </c>
      <c r="F349" s="520">
        <v>0</v>
      </c>
      <c r="G349" s="695" t="s">
        <v>1669</v>
      </c>
      <c r="H349" s="669">
        <v>9.24</v>
      </c>
    </row>
    <row r="350" spans="1:8" s="500" customFormat="1" ht="13.35" hidden="1" customHeight="1">
      <c r="A350" s="539" t="s">
        <v>867</v>
      </c>
      <c r="B350" s="539" t="s">
        <v>1292</v>
      </c>
      <c r="C350" s="548" t="s">
        <v>37</v>
      </c>
      <c r="D350" s="946">
        <v>0</v>
      </c>
      <c r="E350" s="521">
        <v>0</v>
      </c>
      <c r="F350" s="520">
        <v>0</v>
      </c>
      <c r="G350" s="695"/>
      <c r="H350" s="669">
        <v>0</v>
      </c>
    </row>
    <row r="351" spans="1:8" s="500" customFormat="1" ht="13.35" hidden="1" customHeight="1">
      <c r="A351" s="542" t="s">
        <v>868</v>
      </c>
      <c r="B351" s="542" t="s">
        <v>1266</v>
      </c>
      <c r="C351" s="616"/>
      <c r="D351" s="946">
        <v>0</v>
      </c>
      <c r="E351" s="521">
        <v>0</v>
      </c>
      <c r="F351" s="520">
        <v>0</v>
      </c>
      <c r="G351" s="695" t="s">
        <v>1670</v>
      </c>
      <c r="H351" s="669">
        <v>20</v>
      </c>
    </row>
    <row r="352" spans="1:8" s="500" customFormat="1" ht="13.35" hidden="1" customHeight="1">
      <c r="A352" s="539" t="s">
        <v>869</v>
      </c>
      <c r="B352" s="539" t="s">
        <v>1267</v>
      </c>
      <c r="C352" s="548" t="s">
        <v>1451</v>
      </c>
      <c r="D352" s="946">
        <v>0</v>
      </c>
      <c r="E352" s="521">
        <v>0</v>
      </c>
      <c r="F352" s="520">
        <v>0</v>
      </c>
      <c r="G352" s="695" t="s">
        <v>1671</v>
      </c>
      <c r="H352" s="669">
        <v>4</v>
      </c>
    </row>
    <row r="353" spans="1:8" s="500" customFormat="1" ht="13.35" hidden="1" customHeight="1">
      <c r="A353" s="539" t="s">
        <v>870</v>
      </c>
      <c r="B353" s="539" t="s">
        <v>1268</v>
      </c>
      <c r="C353" s="548" t="s">
        <v>36</v>
      </c>
      <c r="D353" s="946">
        <v>0</v>
      </c>
      <c r="E353" s="521">
        <v>0</v>
      </c>
      <c r="F353" s="520">
        <v>0</v>
      </c>
      <c r="G353" s="695" t="s">
        <v>1671</v>
      </c>
      <c r="H353" s="669">
        <v>4</v>
      </c>
    </row>
    <row r="354" spans="1:8" s="500" customFormat="1" ht="13.35" hidden="1" customHeight="1">
      <c r="A354" s="539" t="s">
        <v>871</v>
      </c>
      <c r="B354" s="539" t="s">
        <v>1293</v>
      </c>
      <c r="C354" s="548" t="s">
        <v>1451</v>
      </c>
      <c r="D354" s="946">
        <v>0</v>
      </c>
      <c r="E354" s="521">
        <v>0</v>
      </c>
      <c r="F354" s="520">
        <v>0</v>
      </c>
      <c r="G354" s="695"/>
      <c r="H354" s="669">
        <v>0</v>
      </c>
    </row>
    <row r="355" spans="1:8" s="500" customFormat="1" ht="13.35" hidden="1" customHeight="1">
      <c r="A355" s="542" t="s">
        <v>872</v>
      </c>
      <c r="B355" s="542" t="s">
        <v>1269</v>
      </c>
      <c r="C355" s="616"/>
      <c r="D355" s="946">
        <v>0</v>
      </c>
      <c r="E355" s="521">
        <v>0</v>
      </c>
      <c r="F355" s="520">
        <v>0</v>
      </c>
      <c r="G355" s="695" t="s">
        <v>1672</v>
      </c>
      <c r="H355" s="669">
        <v>18.09</v>
      </c>
    </row>
    <row r="356" spans="1:8" s="500" customFormat="1" ht="13.35" hidden="1" customHeight="1">
      <c r="A356" s="539" t="s">
        <v>873</v>
      </c>
      <c r="B356" s="539" t="s">
        <v>1270</v>
      </c>
      <c r="C356" s="548" t="s">
        <v>37</v>
      </c>
      <c r="D356" s="946">
        <v>0</v>
      </c>
      <c r="E356" s="521">
        <v>0</v>
      </c>
      <c r="F356" s="520">
        <v>0</v>
      </c>
      <c r="G356" s="695" t="s">
        <v>1673</v>
      </c>
      <c r="H356" s="669">
        <v>1.75</v>
      </c>
    </row>
    <row r="357" spans="1:8" s="500" customFormat="1" ht="13.35" hidden="1" customHeight="1">
      <c r="A357" s="539" t="s">
        <v>874</v>
      </c>
      <c r="B357" s="539" t="s">
        <v>1271</v>
      </c>
      <c r="C357" s="548" t="s">
        <v>37</v>
      </c>
      <c r="D357" s="946">
        <v>0</v>
      </c>
      <c r="E357" s="521">
        <v>0</v>
      </c>
      <c r="F357" s="520">
        <v>0</v>
      </c>
      <c r="G357" s="695"/>
      <c r="H357" s="669">
        <v>0</v>
      </c>
    </row>
    <row r="358" spans="1:8" s="500" customFormat="1" ht="13.35" hidden="1" customHeight="1">
      <c r="A358" s="542" t="s">
        <v>875</v>
      </c>
      <c r="B358" s="542" t="s">
        <v>1272</v>
      </c>
      <c r="C358" s="616"/>
      <c r="D358" s="946">
        <v>0</v>
      </c>
      <c r="E358" s="521">
        <v>0</v>
      </c>
      <c r="F358" s="520">
        <v>0</v>
      </c>
      <c r="G358" s="695" t="s">
        <v>1655</v>
      </c>
      <c r="H358" s="669">
        <v>65.92</v>
      </c>
    </row>
    <row r="359" spans="1:8" s="500" customFormat="1" ht="13.35" hidden="1" customHeight="1">
      <c r="A359" s="539" t="s">
        <v>876</v>
      </c>
      <c r="B359" s="539" t="s">
        <v>1273</v>
      </c>
      <c r="C359" s="548" t="s">
        <v>37</v>
      </c>
      <c r="D359" s="946">
        <v>0</v>
      </c>
      <c r="E359" s="521">
        <v>0</v>
      </c>
      <c r="F359" s="520">
        <v>0</v>
      </c>
      <c r="G359" s="695" t="s">
        <v>1648</v>
      </c>
      <c r="H359" s="669">
        <v>99.99</v>
      </c>
    </row>
    <row r="360" spans="1:8" s="500" customFormat="1" ht="13.35" hidden="1" customHeight="1">
      <c r="A360" s="539" t="s">
        <v>877</v>
      </c>
      <c r="B360" s="539" t="s">
        <v>1274</v>
      </c>
      <c r="C360" s="548" t="s">
        <v>37</v>
      </c>
      <c r="D360" s="946">
        <v>0</v>
      </c>
      <c r="E360" s="521">
        <v>0</v>
      </c>
      <c r="F360" s="520">
        <v>0</v>
      </c>
      <c r="G360" s="695" t="s">
        <v>1649</v>
      </c>
      <c r="H360" s="669">
        <v>60.07</v>
      </c>
    </row>
    <row r="361" spans="1:8" s="500" customFormat="1" ht="13.35" hidden="1" customHeight="1">
      <c r="A361" s="539" t="s">
        <v>878</v>
      </c>
      <c r="B361" s="539" t="s">
        <v>1275</v>
      </c>
      <c r="C361" s="548" t="s">
        <v>37</v>
      </c>
      <c r="D361" s="946">
        <v>0</v>
      </c>
      <c r="E361" s="521">
        <v>0</v>
      </c>
      <c r="F361" s="520">
        <v>0</v>
      </c>
      <c r="G361" s="695" t="s">
        <v>1650</v>
      </c>
      <c r="H361" s="669">
        <v>33.6</v>
      </c>
    </row>
    <row r="362" spans="1:8" s="500" customFormat="1" ht="13.35" hidden="1" customHeight="1">
      <c r="A362" s="539" t="s">
        <v>879</v>
      </c>
      <c r="B362" s="539" t="s">
        <v>1276</v>
      </c>
      <c r="C362" s="548" t="s">
        <v>37</v>
      </c>
      <c r="D362" s="946">
        <v>0</v>
      </c>
      <c r="E362" s="521">
        <v>0</v>
      </c>
      <c r="F362" s="520">
        <v>0</v>
      </c>
      <c r="G362" s="695" t="s">
        <v>1651</v>
      </c>
      <c r="H362" s="669">
        <v>27.42</v>
      </c>
    </row>
    <row r="363" spans="1:8" s="500" customFormat="1" ht="13.35" hidden="1" customHeight="1">
      <c r="A363" s="539" t="s">
        <v>880</v>
      </c>
      <c r="B363" s="539" t="s">
        <v>1277</v>
      </c>
      <c r="C363" s="548" t="s">
        <v>37</v>
      </c>
      <c r="D363" s="946">
        <v>0</v>
      </c>
      <c r="E363" s="521">
        <v>0</v>
      </c>
      <c r="F363" s="520">
        <v>0</v>
      </c>
      <c r="G363" s="695" t="s">
        <v>1635</v>
      </c>
      <c r="H363" s="669">
        <v>15.8</v>
      </c>
    </row>
    <row r="364" spans="1:8" s="500" customFormat="1" ht="13.35" hidden="1" customHeight="1">
      <c r="A364" s="539" t="s">
        <v>881</v>
      </c>
      <c r="B364" s="539" t="s">
        <v>1278</v>
      </c>
      <c r="C364" s="548" t="s">
        <v>37</v>
      </c>
      <c r="D364" s="946">
        <v>0</v>
      </c>
      <c r="E364" s="521">
        <v>0</v>
      </c>
      <c r="F364" s="520">
        <v>0</v>
      </c>
      <c r="G364" s="695" t="s">
        <v>1674</v>
      </c>
      <c r="H364" s="669">
        <v>14.7</v>
      </c>
    </row>
    <row r="365" spans="1:8" s="500" customFormat="1" ht="13.35" hidden="1" customHeight="1">
      <c r="A365" s="539" t="s">
        <v>882</v>
      </c>
      <c r="B365" s="539" t="s">
        <v>1279</v>
      </c>
      <c r="C365" s="548" t="s">
        <v>37</v>
      </c>
      <c r="D365" s="946">
        <v>0</v>
      </c>
      <c r="E365" s="521">
        <v>0</v>
      </c>
      <c r="F365" s="520">
        <v>0</v>
      </c>
      <c r="G365" s="695"/>
      <c r="H365" s="669">
        <v>0</v>
      </c>
    </row>
    <row r="366" spans="1:8" s="500" customFormat="1" ht="13.35" hidden="1" customHeight="1">
      <c r="A366" s="542" t="s">
        <v>883</v>
      </c>
      <c r="B366" s="542" t="s">
        <v>1280</v>
      </c>
      <c r="C366" s="616"/>
      <c r="D366" s="946">
        <v>0</v>
      </c>
      <c r="E366" s="521">
        <v>0</v>
      </c>
      <c r="F366" s="520">
        <v>0</v>
      </c>
      <c r="G366" s="695" t="s">
        <v>1675</v>
      </c>
      <c r="H366" s="669">
        <v>8</v>
      </c>
    </row>
    <row r="367" spans="1:8" s="500" customFormat="1" ht="13.35" hidden="1" customHeight="1">
      <c r="A367" s="539" t="s">
        <v>884</v>
      </c>
      <c r="B367" s="539" t="s">
        <v>1281</v>
      </c>
      <c r="C367" s="548" t="s">
        <v>1450</v>
      </c>
      <c r="D367" s="946">
        <v>0</v>
      </c>
      <c r="E367" s="521">
        <v>0</v>
      </c>
      <c r="F367" s="520">
        <v>0</v>
      </c>
      <c r="G367" s="695" t="s">
        <v>1455</v>
      </c>
      <c r="H367" s="669">
        <v>1</v>
      </c>
    </row>
    <row r="368" spans="1:8" s="500" customFormat="1" ht="13.35" hidden="1" customHeight="1">
      <c r="A368" s="539" t="s">
        <v>885</v>
      </c>
      <c r="B368" s="539" t="s">
        <v>1282</v>
      </c>
      <c r="C368" s="548" t="s">
        <v>64</v>
      </c>
      <c r="D368" s="946">
        <v>0</v>
      </c>
      <c r="E368" s="521">
        <v>0</v>
      </c>
      <c r="F368" s="520">
        <v>0</v>
      </c>
      <c r="G368" s="695" t="s">
        <v>1676</v>
      </c>
      <c r="H368" s="669">
        <v>19.84</v>
      </c>
    </row>
    <row r="369" spans="1:8" s="500" customFormat="1" ht="13.35" hidden="1" customHeight="1">
      <c r="A369" s="539" t="s">
        <v>886</v>
      </c>
      <c r="B369" s="539" t="s">
        <v>1283</v>
      </c>
      <c r="C369" s="548" t="s">
        <v>37</v>
      </c>
      <c r="D369" s="946">
        <v>0</v>
      </c>
      <c r="E369" s="521">
        <v>0</v>
      </c>
      <c r="F369" s="520">
        <v>0</v>
      </c>
      <c r="G369" s="695"/>
      <c r="H369" s="669">
        <v>0</v>
      </c>
    </row>
    <row r="370" spans="1:8" s="500" customFormat="1" ht="13.35" hidden="1" customHeight="1">
      <c r="A370" s="440" t="s">
        <v>484</v>
      </c>
      <c r="B370" s="543" t="s">
        <v>1155</v>
      </c>
      <c r="C370" s="616"/>
      <c r="D370" s="946">
        <v>0</v>
      </c>
      <c r="E370" s="521">
        <v>0</v>
      </c>
      <c r="F370" s="520">
        <v>0</v>
      </c>
      <c r="G370" s="695"/>
      <c r="H370" s="669">
        <v>0</v>
      </c>
    </row>
    <row r="371" spans="1:8" s="500" customFormat="1" ht="13.35" hidden="1" customHeight="1">
      <c r="A371" s="542" t="s">
        <v>485</v>
      </c>
      <c r="B371" s="542" t="s">
        <v>1236</v>
      </c>
      <c r="C371" s="616"/>
      <c r="D371" s="946">
        <v>0</v>
      </c>
      <c r="E371" s="521">
        <v>0</v>
      </c>
      <c r="F371" s="520">
        <v>0</v>
      </c>
      <c r="G371" s="695" t="s">
        <v>1677</v>
      </c>
      <c r="H371" s="669">
        <v>45.75</v>
      </c>
    </row>
    <row r="372" spans="1:8" s="500" customFormat="1" ht="13.35" hidden="1" customHeight="1">
      <c r="A372" s="539" t="s">
        <v>887</v>
      </c>
      <c r="B372" s="539" t="s">
        <v>1237</v>
      </c>
      <c r="C372" s="548" t="s">
        <v>37</v>
      </c>
      <c r="D372" s="946">
        <v>0</v>
      </c>
      <c r="E372" s="521">
        <v>0</v>
      </c>
      <c r="F372" s="520">
        <v>0</v>
      </c>
      <c r="G372" s="695" t="s">
        <v>1678</v>
      </c>
      <c r="H372" s="669">
        <v>18.920000000000002</v>
      </c>
    </row>
    <row r="373" spans="1:8" s="500" customFormat="1" ht="13.35" hidden="1" customHeight="1">
      <c r="A373" s="539" t="s">
        <v>888</v>
      </c>
      <c r="B373" s="539" t="s">
        <v>1238</v>
      </c>
      <c r="C373" s="548" t="s">
        <v>37</v>
      </c>
      <c r="D373" s="946">
        <v>0</v>
      </c>
      <c r="E373" s="521">
        <v>0</v>
      </c>
      <c r="F373" s="520">
        <v>0</v>
      </c>
      <c r="G373" s="695"/>
      <c r="H373" s="669">
        <v>0</v>
      </c>
    </row>
    <row r="374" spans="1:8" s="500" customFormat="1" ht="13.35" hidden="1" customHeight="1">
      <c r="A374" s="542" t="s">
        <v>486</v>
      </c>
      <c r="B374" s="542" t="s">
        <v>1239</v>
      </c>
      <c r="C374" s="616"/>
      <c r="D374" s="946">
        <v>0</v>
      </c>
      <c r="E374" s="521">
        <v>0</v>
      </c>
      <c r="F374" s="520">
        <v>0</v>
      </c>
      <c r="G374" s="695" t="s">
        <v>1679</v>
      </c>
      <c r="H374" s="669">
        <v>83.58</v>
      </c>
    </row>
    <row r="375" spans="1:8" s="500" customFormat="1" ht="13.35" hidden="1" customHeight="1">
      <c r="A375" s="539" t="s">
        <v>889</v>
      </c>
      <c r="B375" s="539" t="s">
        <v>1240</v>
      </c>
      <c r="C375" s="548" t="s">
        <v>37</v>
      </c>
      <c r="D375" s="946">
        <v>0</v>
      </c>
      <c r="E375" s="521">
        <v>0</v>
      </c>
      <c r="F375" s="520">
        <v>0</v>
      </c>
      <c r="G375" s="695" t="s">
        <v>1677</v>
      </c>
      <c r="H375" s="669">
        <v>45.75</v>
      </c>
    </row>
    <row r="376" spans="1:8" s="500" customFormat="1" ht="13.35" hidden="1" customHeight="1">
      <c r="A376" s="539" t="s">
        <v>890</v>
      </c>
      <c r="B376" s="539" t="s">
        <v>1241</v>
      </c>
      <c r="C376" s="548" t="s">
        <v>37</v>
      </c>
      <c r="D376" s="946">
        <v>0</v>
      </c>
      <c r="E376" s="521">
        <v>0</v>
      </c>
      <c r="F376" s="520">
        <v>0</v>
      </c>
      <c r="G376" s="695" t="s">
        <v>1680</v>
      </c>
      <c r="H376" s="669">
        <v>12.95</v>
      </c>
    </row>
    <row r="377" spans="1:8" s="500" customFormat="1" ht="13.35" hidden="1" customHeight="1">
      <c r="A377" s="539" t="s">
        <v>891</v>
      </c>
      <c r="B377" s="539" t="s">
        <v>1242</v>
      </c>
      <c r="C377" s="548" t="s">
        <v>37</v>
      </c>
      <c r="D377" s="946">
        <v>0</v>
      </c>
      <c r="E377" s="521">
        <v>0</v>
      </c>
      <c r="F377" s="520">
        <v>0</v>
      </c>
      <c r="G377" s="695" t="s">
        <v>1681</v>
      </c>
      <c r="H377" s="669">
        <v>24.87</v>
      </c>
    </row>
    <row r="378" spans="1:8" s="500" customFormat="1" ht="13.35" hidden="1" customHeight="1">
      <c r="A378" s="539" t="s">
        <v>892</v>
      </c>
      <c r="B378" s="539" t="s">
        <v>1243</v>
      </c>
      <c r="C378" s="548" t="s">
        <v>37</v>
      </c>
      <c r="D378" s="946">
        <v>0</v>
      </c>
      <c r="E378" s="521">
        <v>0</v>
      </c>
      <c r="F378" s="520">
        <v>0</v>
      </c>
      <c r="G378" s="695" t="s">
        <v>1682</v>
      </c>
      <c r="H378" s="669">
        <v>17.22</v>
      </c>
    </row>
    <row r="379" spans="1:8" s="500" customFormat="1" ht="13.35" hidden="1" customHeight="1">
      <c r="A379" s="539" t="s">
        <v>893</v>
      </c>
      <c r="B379" s="539" t="s">
        <v>1244</v>
      </c>
      <c r="C379" s="548" t="s">
        <v>37</v>
      </c>
      <c r="D379" s="946">
        <v>0</v>
      </c>
      <c r="E379" s="521">
        <v>0</v>
      </c>
      <c r="F379" s="520">
        <v>0</v>
      </c>
      <c r="G379" s="695" t="s">
        <v>1683</v>
      </c>
      <c r="H379" s="669">
        <v>48.7</v>
      </c>
    </row>
    <row r="380" spans="1:8" s="500" customFormat="1" ht="13.35" hidden="1" customHeight="1">
      <c r="A380" s="539" t="s">
        <v>894</v>
      </c>
      <c r="B380" s="539" t="s">
        <v>1245</v>
      </c>
      <c r="C380" s="548" t="s">
        <v>38</v>
      </c>
      <c r="D380" s="946">
        <v>0</v>
      </c>
      <c r="E380" s="521">
        <v>0</v>
      </c>
      <c r="F380" s="520">
        <v>0</v>
      </c>
      <c r="G380" s="695" t="s">
        <v>1684</v>
      </c>
      <c r="H380" s="669">
        <v>172.48</v>
      </c>
    </row>
    <row r="381" spans="1:8" s="500" customFormat="1" ht="13.35" hidden="1" customHeight="1">
      <c r="A381" s="539" t="s">
        <v>895</v>
      </c>
      <c r="B381" s="539" t="s">
        <v>1246</v>
      </c>
      <c r="C381" s="548" t="s">
        <v>38</v>
      </c>
      <c r="D381" s="946">
        <v>0</v>
      </c>
      <c r="E381" s="521">
        <v>0</v>
      </c>
      <c r="F381" s="520">
        <v>0</v>
      </c>
      <c r="G381" s="695"/>
      <c r="H381" s="669">
        <v>0</v>
      </c>
    </row>
    <row r="382" spans="1:8" s="500" customFormat="1" ht="13.35" hidden="1" customHeight="1">
      <c r="A382" s="542" t="s">
        <v>487</v>
      </c>
      <c r="B382" s="542" t="s">
        <v>1247</v>
      </c>
      <c r="C382" s="616"/>
      <c r="D382" s="946">
        <v>0</v>
      </c>
      <c r="E382" s="521">
        <v>0</v>
      </c>
      <c r="F382" s="520">
        <v>0</v>
      </c>
      <c r="G382" s="695" t="s">
        <v>1685</v>
      </c>
      <c r="H382" s="669">
        <v>38.24</v>
      </c>
    </row>
    <row r="383" spans="1:8" s="500" customFormat="1" ht="13.35" hidden="1" customHeight="1">
      <c r="A383" s="539" t="s">
        <v>896</v>
      </c>
      <c r="B383" s="539" t="s">
        <v>1248</v>
      </c>
      <c r="C383" s="548" t="s">
        <v>37</v>
      </c>
      <c r="D383" s="946">
        <v>0</v>
      </c>
      <c r="E383" s="521">
        <v>0</v>
      </c>
      <c r="F383" s="520">
        <v>0</v>
      </c>
      <c r="G383" s="695"/>
      <c r="H383" s="669">
        <v>0</v>
      </c>
    </row>
    <row r="384" spans="1:8" s="500" customFormat="1" ht="13.35" hidden="1" customHeight="1">
      <c r="A384" s="542" t="s">
        <v>897</v>
      </c>
      <c r="B384" s="542" t="s">
        <v>1249</v>
      </c>
      <c r="C384" s="616"/>
      <c r="D384" s="946">
        <v>0</v>
      </c>
      <c r="E384" s="521">
        <v>0</v>
      </c>
      <c r="F384" s="520">
        <v>0</v>
      </c>
      <c r="G384" s="695" t="s">
        <v>1686</v>
      </c>
      <c r="H384" s="669">
        <v>33.03</v>
      </c>
    </row>
    <row r="385" spans="1:8" s="500" customFormat="1" ht="13.35" hidden="1" customHeight="1">
      <c r="A385" s="539" t="s">
        <v>898</v>
      </c>
      <c r="B385" s="539" t="s">
        <v>1250</v>
      </c>
      <c r="C385" s="548" t="s">
        <v>37</v>
      </c>
      <c r="D385" s="946">
        <v>0</v>
      </c>
      <c r="E385" s="521">
        <v>0</v>
      </c>
      <c r="F385" s="520">
        <v>0</v>
      </c>
      <c r="G385" s="695" t="s">
        <v>1687</v>
      </c>
      <c r="H385" s="669">
        <v>30.08</v>
      </c>
    </row>
    <row r="386" spans="1:8" s="500" customFormat="1" ht="13.35" hidden="1" customHeight="1">
      <c r="A386" s="539" t="s">
        <v>899</v>
      </c>
      <c r="B386" s="539" t="s">
        <v>1251</v>
      </c>
      <c r="C386" s="548" t="s">
        <v>37</v>
      </c>
      <c r="D386" s="946">
        <v>0</v>
      </c>
      <c r="E386" s="521">
        <v>0</v>
      </c>
      <c r="F386" s="520">
        <v>0</v>
      </c>
      <c r="G386" s="695" t="s">
        <v>1688</v>
      </c>
      <c r="H386" s="669">
        <v>2.95</v>
      </c>
    </row>
    <row r="387" spans="1:8" s="500" customFormat="1" ht="13.35" hidden="1" customHeight="1">
      <c r="A387" s="539" t="s">
        <v>900</v>
      </c>
      <c r="B387" s="539" t="s">
        <v>1252</v>
      </c>
      <c r="C387" s="548" t="s">
        <v>37</v>
      </c>
      <c r="D387" s="946">
        <v>0</v>
      </c>
      <c r="E387" s="521">
        <v>0</v>
      </c>
      <c r="F387" s="520">
        <v>0</v>
      </c>
      <c r="G387" s="695"/>
      <c r="H387" s="669">
        <v>0</v>
      </c>
    </row>
    <row r="388" spans="1:8" s="500" customFormat="1" ht="13.35" hidden="1" customHeight="1">
      <c r="A388" s="542" t="s">
        <v>901</v>
      </c>
      <c r="B388" s="542" t="s">
        <v>1253</v>
      </c>
      <c r="C388" s="616"/>
      <c r="D388" s="946">
        <v>0</v>
      </c>
      <c r="E388" s="521">
        <v>0</v>
      </c>
      <c r="F388" s="520">
        <v>0</v>
      </c>
      <c r="G388" s="695" t="s">
        <v>1689</v>
      </c>
      <c r="H388" s="669">
        <v>6.15</v>
      </c>
    </row>
    <row r="389" spans="1:8" s="500" customFormat="1" ht="13.35" hidden="1" customHeight="1">
      <c r="A389" s="539" t="s">
        <v>902</v>
      </c>
      <c r="B389" s="539" t="s">
        <v>1294</v>
      </c>
      <c r="C389" s="548" t="s">
        <v>38</v>
      </c>
      <c r="D389" s="946">
        <v>0</v>
      </c>
      <c r="E389" s="521">
        <v>0</v>
      </c>
      <c r="F389" s="520">
        <v>0</v>
      </c>
      <c r="G389" s="695" t="s">
        <v>1690</v>
      </c>
      <c r="H389" s="669">
        <v>2.77</v>
      </c>
    </row>
    <row r="390" spans="1:8" s="500" customFormat="1" ht="13.35" hidden="1" customHeight="1">
      <c r="A390" s="539" t="s">
        <v>903</v>
      </c>
      <c r="B390" s="539" t="s">
        <v>1255</v>
      </c>
      <c r="C390" s="548" t="s">
        <v>37</v>
      </c>
      <c r="D390" s="946">
        <v>0</v>
      </c>
      <c r="E390" s="521">
        <v>0</v>
      </c>
      <c r="F390" s="520">
        <v>0</v>
      </c>
      <c r="G390" s="695"/>
      <c r="H390" s="669">
        <v>0</v>
      </c>
    </row>
    <row r="391" spans="1:8" s="500" customFormat="1" ht="13.35" hidden="1" customHeight="1">
      <c r="A391" s="542" t="s">
        <v>904</v>
      </c>
      <c r="B391" s="542" t="s">
        <v>1256</v>
      </c>
      <c r="C391" s="616"/>
      <c r="D391" s="946">
        <v>0</v>
      </c>
      <c r="E391" s="521">
        <v>0</v>
      </c>
      <c r="F391" s="520">
        <v>0</v>
      </c>
      <c r="G391" s="695" t="s">
        <v>1691</v>
      </c>
      <c r="H391" s="669">
        <v>8.3000000000000007</v>
      </c>
    </row>
    <row r="392" spans="1:8" s="500" customFormat="1" ht="13.35" hidden="1" customHeight="1">
      <c r="A392" s="539" t="s">
        <v>905</v>
      </c>
      <c r="B392" s="539" t="s">
        <v>1257</v>
      </c>
      <c r="C392" s="548" t="s">
        <v>37</v>
      </c>
      <c r="D392" s="946">
        <v>0</v>
      </c>
      <c r="E392" s="521">
        <v>0</v>
      </c>
      <c r="F392" s="520">
        <v>0</v>
      </c>
      <c r="G392" s="695"/>
      <c r="H392" s="669">
        <v>0</v>
      </c>
    </row>
    <row r="393" spans="1:8" s="500" customFormat="1" ht="13.35" hidden="1" customHeight="1">
      <c r="A393" s="539" t="s">
        <v>906</v>
      </c>
      <c r="B393" s="539" t="s">
        <v>1258</v>
      </c>
      <c r="C393" s="616"/>
      <c r="D393" s="946">
        <v>0</v>
      </c>
      <c r="E393" s="521">
        <v>0</v>
      </c>
      <c r="F393" s="520">
        <v>0</v>
      </c>
      <c r="G393" s="695" t="s">
        <v>1692</v>
      </c>
      <c r="H393" s="669">
        <v>6.66</v>
      </c>
    </row>
    <row r="394" spans="1:8" s="500" customFormat="1" ht="13.35" hidden="1" customHeight="1">
      <c r="A394" s="539" t="s">
        <v>907</v>
      </c>
      <c r="B394" s="539" t="s">
        <v>1259</v>
      </c>
      <c r="C394" s="548" t="s">
        <v>37</v>
      </c>
      <c r="D394" s="946">
        <v>0</v>
      </c>
      <c r="E394" s="521">
        <v>0</v>
      </c>
      <c r="F394" s="520">
        <v>0</v>
      </c>
      <c r="G394" s="695" t="s">
        <v>1693</v>
      </c>
      <c r="H394" s="669">
        <v>7.76</v>
      </c>
    </row>
    <row r="395" spans="1:8" s="500" customFormat="1" ht="13.35" hidden="1" customHeight="1">
      <c r="A395" s="539" t="s">
        <v>908</v>
      </c>
      <c r="B395" s="539" t="s">
        <v>1286</v>
      </c>
      <c r="C395" s="548" t="s">
        <v>37</v>
      </c>
      <c r="D395" s="946">
        <v>0</v>
      </c>
      <c r="E395" s="521">
        <v>0</v>
      </c>
      <c r="F395" s="520">
        <v>0</v>
      </c>
      <c r="G395" s="695" t="s">
        <v>1694</v>
      </c>
      <c r="H395" s="669">
        <v>25.31</v>
      </c>
    </row>
    <row r="396" spans="1:8" s="500" customFormat="1" ht="13.35" hidden="1" customHeight="1">
      <c r="A396" s="539" t="s">
        <v>909</v>
      </c>
      <c r="B396" s="539" t="s">
        <v>1261</v>
      </c>
      <c r="C396" s="548" t="s">
        <v>38</v>
      </c>
      <c r="D396" s="946">
        <v>0</v>
      </c>
      <c r="E396" s="521">
        <v>0</v>
      </c>
      <c r="F396" s="520">
        <v>0</v>
      </c>
      <c r="G396" s="695"/>
      <c r="H396" s="669">
        <v>0</v>
      </c>
    </row>
    <row r="397" spans="1:8" s="500" customFormat="1" ht="13.35" hidden="1" customHeight="1">
      <c r="A397" s="542" t="s">
        <v>910</v>
      </c>
      <c r="B397" s="542" t="s">
        <v>1198</v>
      </c>
      <c r="C397" s="616"/>
      <c r="D397" s="946">
        <v>0</v>
      </c>
      <c r="E397" s="521">
        <v>0</v>
      </c>
      <c r="F397" s="520">
        <v>0</v>
      </c>
      <c r="G397" s="695" t="s">
        <v>1695</v>
      </c>
      <c r="H397" s="669">
        <v>34.93</v>
      </c>
    </row>
    <row r="398" spans="1:8" s="500" customFormat="1" ht="13.35" hidden="1" customHeight="1">
      <c r="A398" s="539" t="s">
        <v>911</v>
      </c>
      <c r="B398" s="539" t="s">
        <v>1262</v>
      </c>
      <c r="C398" s="548" t="s">
        <v>37</v>
      </c>
      <c r="D398" s="946">
        <v>0</v>
      </c>
      <c r="E398" s="521">
        <v>0</v>
      </c>
      <c r="F398" s="520">
        <v>0</v>
      </c>
      <c r="G398" s="695" t="s">
        <v>1689</v>
      </c>
      <c r="H398" s="669">
        <v>6.15</v>
      </c>
    </row>
    <row r="399" spans="1:8" s="500" customFormat="1" ht="13.35" hidden="1" customHeight="1">
      <c r="A399" s="539" t="s">
        <v>912</v>
      </c>
      <c r="B399" s="539" t="s">
        <v>1263</v>
      </c>
      <c r="C399" s="548" t="s">
        <v>38</v>
      </c>
      <c r="D399" s="946">
        <v>0</v>
      </c>
      <c r="E399" s="521">
        <v>0</v>
      </c>
      <c r="F399" s="520">
        <v>0</v>
      </c>
      <c r="G399" s="695"/>
      <c r="H399" s="669">
        <v>0</v>
      </c>
    </row>
    <row r="400" spans="1:8" s="500" customFormat="1" ht="13.35" hidden="1" customHeight="1">
      <c r="A400" s="542" t="s">
        <v>913</v>
      </c>
      <c r="B400" s="542" t="s">
        <v>1264</v>
      </c>
      <c r="C400" s="616"/>
      <c r="D400" s="946">
        <v>0</v>
      </c>
      <c r="E400" s="521">
        <v>0</v>
      </c>
      <c r="F400" s="520">
        <v>0</v>
      </c>
      <c r="G400" s="695" t="s">
        <v>1696</v>
      </c>
      <c r="H400" s="669">
        <v>3.78</v>
      </c>
    </row>
    <row r="401" spans="1:8" s="500" customFormat="1" ht="13.35" hidden="1" customHeight="1">
      <c r="A401" s="539" t="s">
        <v>914</v>
      </c>
      <c r="B401" s="539" t="s">
        <v>1265</v>
      </c>
      <c r="C401" s="548" t="s">
        <v>37</v>
      </c>
      <c r="D401" s="946">
        <v>0</v>
      </c>
      <c r="E401" s="521">
        <v>0</v>
      </c>
      <c r="F401" s="520">
        <v>0</v>
      </c>
      <c r="G401" s="695" t="s">
        <v>1697</v>
      </c>
      <c r="H401" s="669">
        <v>1.47</v>
      </c>
    </row>
    <row r="402" spans="1:8" s="500" customFormat="1" ht="13.35" hidden="1" customHeight="1">
      <c r="A402" s="539" t="s">
        <v>915</v>
      </c>
      <c r="B402" s="539" t="s">
        <v>1295</v>
      </c>
      <c r="C402" s="548" t="s">
        <v>37</v>
      </c>
      <c r="D402" s="946">
        <v>0</v>
      </c>
      <c r="E402" s="521">
        <v>0</v>
      </c>
      <c r="F402" s="520">
        <v>0</v>
      </c>
      <c r="G402" s="695"/>
      <c r="H402" s="669">
        <v>0</v>
      </c>
    </row>
    <row r="403" spans="1:8" s="500" customFormat="1" ht="13.35" hidden="1" customHeight="1">
      <c r="A403" s="542" t="s">
        <v>916</v>
      </c>
      <c r="B403" s="542" t="s">
        <v>1266</v>
      </c>
      <c r="C403" s="616"/>
      <c r="D403" s="946">
        <v>0</v>
      </c>
      <c r="E403" s="521">
        <v>0</v>
      </c>
      <c r="F403" s="520">
        <v>0</v>
      </c>
      <c r="G403" s="695" t="s">
        <v>1641</v>
      </c>
      <c r="H403" s="669">
        <v>9</v>
      </c>
    </row>
    <row r="404" spans="1:8" s="500" customFormat="1" ht="13.35" hidden="1" customHeight="1">
      <c r="A404" s="539" t="s">
        <v>917</v>
      </c>
      <c r="B404" s="539" t="s">
        <v>1267</v>
      </c>
      <c r="C404" s="548" t="s">
        <v>1451</v>
      </c>
      <c r="D404" s="946">
        <v>0</v>
      </c>
      <c r="E404" s="521">
        <v>0</v>
      </c>
      <c r="F404" s="520">
        <v>0</v>
      </c>
      <c r="G404" s="695" t="s">
        <v>1698</v>
      </c>
      <c r="H404" s="669">
        <v>2</v>
      </c>
    </row>
    <row r="405" spans="1:8" s="500" customFormat="1" ht="13.35" hidden="1" customHeight="1">
      <c r="A405" s="539" t="s">
        <v>918</v>
      </c>
      <c r="B405" s="539" t="s">
        <v>1268</v>
      </c>
      <c r="C405" s="548" t="s">
        <v>36</v>
      </c>
      <c r="D405" s="946">
        <v>0</v>
      </c>
      <c r="E405" s="521">
        <v>0</v>
      </c>
      <c r="F405" s="520">
        <v>0</v>
      </c>
      <c r="G405" s="695" t="s">
        <v>1455</v>
      </c>
      <c r="H405" s="669">
        <v>1</v>
      </c>
    </row>
    <row r="406" spans="1:8" s="500" customFormat="1" ht="13.35" hidden="1" customHeight="1">
      <c r="A406" s="539" t="s">
        <v>919</v>
      </c>
      <c r="B406" s="539" t="s">
        <v>1296</v>
      </c>
      <c r="C406" s="548" t="s">
        <v>36</v>
      </c>
      <c r="D406" s="946">
        <v>0</v>
      </c>
      <c r="E406" s="521">
        <v>0</v>
      </c>
      <c r="F406" s="520">
        <v>0</v>
      </c>
      <c r="G406" s="695"/>
      <c r="H406" s="669">
        <v>0</v>
      </c>
    </row>
    <row r="407" spans="1:8" s="500" customFormat="1" ht="13.35" hidden="1" customHeight="1">
      <c r="A407" s="542" t="s">
        <v>920</v>
      </c>
      <c r="B407" s="542" t="s">
        <v>1269</v>
      </c>
      <c r="C407" s="616"/>
      <c r="D407" s="946">
        <v>0</v>
      </c>
      <c r="E407" s="521">
        <v>0</v>
      </c>
      <c r="F407" s="520">
        <v>0</v>
      </c>
      <c r="G407" s="695" t="s">
        <v>1699</v>
      </c>
      <c r="H407" s="669">
        <v>7.54</v>
      </c>
    </row>
    <row r="408" spans="1:8" s="500" customFormat="1" ht="13.35" hidden="1" customHeight="1">
      <c r="A408" s="539" t="s">
        <v>921</v>
      </c>
      <c r="B408" s="539" t="s">
        <v>1270</v>
      </c>
      <c r="C408" s="548" t="s">
        <v>37</v>
      </c>
      <c r="D408" s="946">
        <v>0</v>
      </c>
      <c r="E408" s="521">
        <v>0</v>
      </c>
      <c r="F408" s="520">
        <v>0</v>
      </c>
      <c r="G408" s="695" t="s">
        <v>1700</v>
      </c>
      <c r="H408" s="669">
        <v>1.25</v>
      </c>
    </row>
    <row r="409" spans="1:8" s="500" customFormat="1" ht="13.35" hidden="1" customHeight="1">
      <c r="A409" s="539" t="s">
        <v>922</v>
      </c>
      <c r="B409" s="539" t="s">
        <v>1271</v>
      </c>
      <c r="C409" s="548" t="s">
        <v>37</v>
      </c>
      <c r="D409" s="946">
        <v>0</v>
      </c>
      <c r="E409" s="521">
        <v>0</v>
      </c>
      <c r="F409" s="520">
        <v>0</v>
      </c>
      <c r="G409" s="695"/>
      <c r="H409" s="669">
        <v>0</v>
      </c>
    </row>
    <row r="410" spans="1:8" s="500" customFormat="1" ht="13.35" hidden="1" customHeight="1">
      <c r="A410" s="542" t="s">
        <v>923</v>
      </c>
      <c r="B410" s="542" t="s">
        <v>1272</v>
      </c>
      <c r="C410" s="616"/>
      <c r="D410" s="946">
        <v>0</v>
      </c>
      <c r="E410" s="521">
        <v>0</v>
      </c>
      <c r="F410" s="520">
        <v>0</v>
      </c>
      <c r="G410" s="695" t="s">
        <v>1685</v>
      </c>
      <c r="H410" s="669">
        <v>38.24</v>
      </c>
    </row>
    <row r="411" spans="1:8" s="500" customFormat="1" ht="13.35" hidden="1" customHeight="1">
      <c r="A411" s="539" t="s">
        <v>924</v>
      </c>
      <c r="B411" s="539" t="s">
        <v>1273</v>
      </c>
      <c r="C411" s="548" t="s">
        <v>37</v>
      </c>
      <c r="D411" s="946">
        <v>0</v>
      </c>
      <c r="E411" s="521">
        <v>0</v>
      </c>
      <c r="F411" s="520">
        <v>0</v>
      </c>
      <c r="G411" s="695" t="s">
        <v>1679</v>
      </c>
      <c r="H411" s="669">
        <v>83.58</v>
      </c>
    </row>
    <row r="412" spans="1:8" s="500" customFormat="1" ht="13.35" hidden="1" customHeight="1">
      <c r="A412" s="539" t="s">
        <v>925</v>
      </c>
      <c r="B412" s="539" t="s">
        <v>1274</v>
      </c>
      <c r="C412" s="548" t="s">
        <v>37</v>
      </c>
      <c r="D412" s="946">
        <v>0</v>
      </c>
      <c r="E412" s="521">
        <v>0</v>
      </c>
      <c r="F412" s="520">
        <v>0</v>
      </c>
      <c r="G412" s="695" t="s">
        <v>1677</v>
      </c>
      <c r="H412" s="669">
        <v>45.75</v>
      </c>
    </row>
    <row r="413" spans="1:8" s="500" customFormat="1" ht="13.35" hidden="1" customHeight="1">
      <c r="A413" s="539" t="s">
        <v>926</v>
      </c>
      <c r="B413" s="539" t="s">
        <v>1275</v>
      </c>
      <c r="C413" s="548" t="s">
        <v>37</v>
      </c>
      <c r="D413" s="946">
        <v>0</v>
      </c>
      <c r="E413" s="521">
        <v>0</v>
      </c>
      <c r="F413" s="520">
        <v>0</v>
      </c>
      <c r="G413" s="695" t="s">
        <v>1680</v>
      </c>
      <c r="H413" s="669">
        <v>12.95</v>
      </c>
    </row>
    <row r="414" spans="1:8" s="500" customFormat="1" ht="13.35" hidden="1" customHeight="1">
      <c r="A414" s="539" t="s">
        <v>927</v>
      </c>
      <c r="B414" s="539" t="s">
        <v>1276</v>
      </c>
      <c r="C414" s="548" t="s">
        <v>37</v>
      </c>
      <c r="D414" s="946">
        <v>0</v>
      </c>
      <c r="E414" s="521">
        <v>0</v>
      </c>
      <c r="F414" s="520">
        <v>0</v>
      </c>
      <c r="G414" s="695" t="s">
        <v>1681</v>
      </c>
      <c r="H414" s="669">
        <v>24.87</v>
      </c>
    </row>
    <row r="415" spans="1:8" s="500" customFormat="1" ht="13.35" hidden="1" customHeight="1">
      <c r="A415" s="539" t="s">
        <v>928</v>
      </c>
      <c r="B415" s="539" t="s">
        <v>1277</v>
      </c>
      <c r="C415" s="548" t="s">
        <v>37</v>
      </c>
      <c r="D415" s="946">
        <v>0</v>
      </c>
      <c r="E415" s="521">
        <v>0</v>
      </c>
      <c r="F415" s="520">
        <v>0</v>
      </c>
      <c r="G415" s="695" t="s">
        <v>1692</v>
      </c>
      <c r="H415" s="669">
        <v>6.66</v>
      </c>
    </row>
    <row r="416" spans="1:8" s="500" customFormat="1" ht="13.35" hidden="1" customHeight="1">
      <c r="A416" s="539" t="s">
        <v>929</v>
      </c>
      <c r="B416" s="539" t="s">
        <v>1278</v>
      </c>
      <c r="C416" s="548" t="s">
        <v>37</v>
      </c>
      <c r="D416" s="946">
        <v>0</v>
      </c>
      <c r="E416" s="521">
        <v>0</v>
      </c>
      <c r="F416" s="520">
        <v>0</v>
      </c>
      <c r="G416" s="695" t="s">
        <v>1701</v>
      </c>
      <c r="H416" s="669">
        <v>12.48</v>
      </c>
    </row>
    <row r="417" spans="1:8" s="500" customFormat="1" ht="13.35" hidden="1" customHeight="1">
      <c r="A417" s="539" t="s">
        <v>930</v>
      </c>
      <c r="B417" s="539" t="s">
        <v>1279</v>
      </c>
      <c r="C417" s="548" t="s">
        <v>37</v>
      </c>
      <c r="D417" s="946">
        <v>0</v>
      </c>
      <c r="E417" s="521">
        <v>0</v>
      </c>
      <c r="F417" s="520">
        <v>0</v>
      </c>
      <c r="G417" s="695"/>
      <c r="H417" s="669">
        <v>0</v>
      </c>
    </row>
    <row r="418" spans="1:8" s="500" customFormat="1" ht="13.35" hidden="1" customHeight="1">
      <c r="A418" s="542" t="s">
        <v>931</v>
      </c>
      <c r="B418" s="542" t="s">
        <v>1280</v>
      </c>
      <c r="C418" s="616"/>
      <c r="D418" s="946">
        <v>0</v>
      </c>
      <c r="E418" s="521">
        <v>0</v>
      </c>
      <c r="F418" s="520">
        <v>0</v>
      </c>
      <c r="G418" s="695" t="s">
        <v>1455</v>
      </c>
      <c r="H418" s="669">
        <v>1</v>
      </c>
    </row>
    <row r="419" spans="1:8" s="500" customFormat="1" ht="13.35" hidden="1" customHeight="1">
      <c r="A419" s="539" t="s">
        <v>932</v>
      </c>
      <c r="B419" s="539" t="s">
        <v>1281</v>
      </c>
      <c r="C419" s="548" t="s">
        <v>1450</v>
      </c>
      <c r="D419" s="946">
        <v>0</v>
      </c>
      <c r="E419" s="521">
        <v>0</v>
      </c>
      <c r="F419" s="520">
        <v>0</v>
      </c>
      <c r="G419" s="695" t="s">
        <v>1455</v>
      </c>
      <c r="H419" s="669">
        <v>1</v>
      </c>
    </row>
    <row r="420" spans="1:8" s="500" customFormat="1" ht="13.35" hidden="1" customHeight="1">
      <c r="A420" s="539" t="s">
        <v>933</v>
      </c>
      <c r="B420" s="539" t="s">
        <v>1282</v>
      </c>
      <c r="C420" s="548" t="s">
        <v>64</v>
      </c>
      <c r="D420" s="946">
        <v>0</v>
      </c>
      <c r="E420" s="521">
        <v>0</v>
      </c>
      <c r="F420" s="520">
        <v>0</v>
      </c>
      <c r="G420" s="695" t="s">
        <v>1702</v>
      </c>
      <c r="H420" s="669">
        <v>6.79</v>
      </c>
    </row>
    <row r="421" spans="1:8" s="500" customFormat="1" ht="13.35" hidden="1" customHeight="1">
      <c r="A421" s="539" t="s">
        <v>934</v>
      </c>
      <c r="B421" s="539" t="s">
        <v>1283</v>
      </c>
      <c r="C421" s="548" t="s">
        <v>37</v>
      </c>
      <c r="D421" s="946">
        <v>0</v>
      </c>
      <c r="E421" s="521">
        <v>0</v>
      </c>
      <c r="F421" s="520">
        <v>0</v>
      </c>
      <c r="G421" s="695"/>
      <c r="H421" s="669">
        <v>0</v>
      </c>
    </row>
    <row r="422" spans="1:8" s="500" customFormat="1" ht="13.35" hidden="1" customHeight="1">
      <c r="A422" s="440" t="s">
        <v>518</v>
      </c>
      <c r="B422" s="543" t="s">
        <v>1297</v>
      </c>
      <c r="C422" s="616"/>
      <c r="D422" s="946">
        <v>0</v>
      </c>
      <c r="E422" s="521">
        <v>0</v>
      </c>
      <c r="F422" s="520">
        <v>0</v>
      </c>
      <c r="G422" s="695"/>
      <c r="H422" s="669">
        <v>0</v>
      </c>
    </row>
    <row r="423" spans="1:8" s="500" customFormat="1" ht="13.35" hidden="1" customHeight="1">
      <c r="A423" s="542" t="s">
        <v>519</v>
      </c>
      <c r="B423" s="542" t="s">
        <v>1236</v>
      </c>
      <c r="C423" s="616"/>
      <c r="D423" s="946">
        <v>0</v>
      </c>
      <c r="E423" s="521">
        <v>0</v>
      </c>
      <c r="F423" s="520">
        <v>0</v>
      </c>
      <c r="G423" s="695" t="s">
        <v>1703</v>
      </c>
      <c r="H423" s="669">
        <v>56.66</v>
      </c>
    </row>
    <row r="424" spans="1:8" s="500" customFormat="1" ht="13.35" hidden="1" customHeight="1">
      <c r="A424" s="539" t="s">
        <v>520</v>
      </c>
      <c r="B424" s="539" t="s">
        <v>1237</v>
      </c>
      <c r="C424" s="548" t="s">
        <v>37</v>
      </c>
      <c r="D424" s="946">
        <v>0</v>
      </c>
      <c r="E424" s="521">
        <v>0</v>
      </c>
      <c r="F424" s="520">
        <v>0</v>
      </c>
      <c r="G424" s="695" t="s">
        <v>1704</v>
      </c>
      <c r="H424" s="669">
        <v>8.17</v>
      </c>
    </row>
    <row r="425" spans="1:8" s="500" customFormat="1" ht="13.35" hidden="1" customHeight="1">
      <c r="A425" s="539" t="s">
        <v>521</v>
      </c>
      <c r="B425" s="539" t="s">
        <v>1238</v>
      </c>
      <c r="C425" s="548" t="s">
        <v>37</v>
      </c>
      <c r="D425" s="946">
        <v>0</v>
      </c>
      <c r="E425" s="521">
        <v>0</v>
      </c>
      <c r="F425" s="520">
        <v>0</v>
      </c>
      <c r="G425" s="695"/>
      <c r="H425" s="669">
        <v>0</v>
      </c>
    </row>
    <row r="426" spans="1:8" s="500" customFormat="1" ht="13.35" hidden="1" customHeight="1">
      <c r="A426" s="542" t="s">
        <v>522</v>
      </c>
      <c r="B426" s="542" t="s">
        <v>1239</v>
      </c>
      <c r="C426" s="616"/>
      <c r="D426" s="946">
        <v>0</v>
      </c>
      <c r="E426" s="521">
        <v>0</v>
      </c>
      <c r="F426" s="520">
        <v>0</v>
      </c>
      <c r="G426" s="695" t="s">
        <v>1705</v>
      </c>
      <c r="H426" s="669">
        <v>77.680000000000007</v>
      </c>
    </row>
    <row r="427" spans="1:8" s="500" customFormat="1" ht="13.35" hidden="1" customHeight="1">
      <c r="A427" s="539" t="s">
        <v>523</v>
      </c>
      <c r="B427" s="539" t="s">
        <v>1240</v>
      </c>
      <c r="C427" s="548" t="s">
        <v>37</v>
      </c>
      <c r="D427" s="946">
        <v>0</v>
      </c>
      <c r="E427" s="521">
        <v>0</v>
      </c>
      <c r="F427" s="520">
        <v>0</v>
      </c>
      <c r="G427" s="695" t="s">
        <v>1706</v>
      </c>
      <c r="H427" s="669">
        <v>51.98</v>
      </c>
    </row>
    <row r="428" spans="1:8" s="500" customFormat="1" ht="13.35" hidden="1" customHeight="1">
      <c r="A428" s="539" t="s">
        <v>935</v>
      </c>
      <c r="B428" s="539" t="s">
        <v>1241</v>
      </c>
      <c r="C428" s="548" t="s">
        <v>37</v>
      </c>
      <c r="D428" s="946">
        <v>0</v>
      </c>
      <c r="E428" s="521">
        <v>0</v>
      </c>
      <c r="F428" s="520">
        <v>0</v>
      </c>
      <c r="G428" s="695" t="s">
        <v>1707</v>
      </c>
      <c r="H428" s="669">
        <v>12</v>
      </c>
    </row>
    <row r="429" spans="1:8" s="500" customFormat="1" ht="13.35" hidden="1" customHeight="1">
      <c r="A429" s="539" t="s">
        <v>936</v>
      </c>
      <c r="B429" s="539" t="s">
        <v>1242</v>
      </c>
      <c r="C429" s="548" t="s">
        <v>37</v>
      </c>
      <c r="D429" s="946">
        <v>0</v>
      </c>
      <c r="E429" s="521">
        <v>0</v>
      </c>
      <c r="F429" s="520">
        <v>0</v>
      </c>
      <c r="G429" s="695" t="s">
        <v>1708</v>
      </c>
      <c r="H429" s="669">
        <v>19.97</v>
      </c>
    </row>
    <row r="430" spans="1:8" s="500" customFormat="1" ht="13.35" hidden="1" customHeight="1">
      <c r="A430" s="539" t="s">
        <v>937</v>
      </c>
      <c r="B430" s="539" t="s">
        <v>1243</v>
      </c>
      <c r="C430" s="548" t="s">
        <v>37</v>
      </c>
      <c r="D430" s="946">
        <v>0</v>
      </c>
      <c r="E430" s="521">
        <v>0</v>
      </c>
      <c r="F430" s="520">
        <v>0</v>
      </c>
      <c r="G430" s="695" t="s">
        <v>1709</v>
      </c>
      <c r="H430" s="669">
        <v>35.729999999999997</v>
      </c>
    </row>
    <row r="431" spans="1:8" s="500" customFormat="1" ht="13.35" hidden="1" customHeight="1">
      <c r="A431" s="539" t="s">
        <v>938</v>
      </c>
      <c r="B431" s="539" t="s">
        <v>1244</v>
      </c>
      <c r="C431" s="548" t="s">
        <v>37</v>
      </c>
      <c r="D431" s="946">
        <v>0</v>
      </c>
      <c r="E431" s="521">
        <v>0</v>
      </c>
      <c r="F431" s="520">
        <v>0</v>
      </c>
      <c r="G431" s="695" t="s">
        <v>1710</v>
      </c>
      <c r="H431" s="669">
        <v>35.9</v>
      </c>
    </row>
    <row r="432" spans="1:8" s="500" customFormat="1" ht="13.35" hidden="1" customHeight="1">
      <c r="A432" s="539" t="s">
        <v>939</v>
      </c>
      <c r="B432" s="539" t="s">
        <v>1245</v>
      </c>
      <c r="C432" s="548" t="s">
        <v>38</v>
      </c>
      <c r="D432" s="946">
        <v>0</v>
      </c>
      <c r="E432" s="521">
        <v>0</v>
      </c>
      <c r="F432" s="520">
        <v>0</v>
      </c>
      <c r="G432" s="695" t="s">
        <v>1711</v>
      </c>
      <c r="H432" s="669">
        <v>151.28</v>
      </c>
    </row>
    <row r="433" spans="1:8" s="500" customFormat="1" ht="13.35" hidden="1" customHeight="1">
      <c r="A433" s="539" t="s">
        <v>940</v>
      </c>
      <c r="B433" s="539" t="s">
        <v>1246</v>
      </c>
      <c r="C433" s="548" t="s">
        <v>38</v>
      </c>
      <c r="D433" s="946">
        <v>0</v>
      </c>
      <c r="E433" s="521">
        <v>0</v>
      </c>
      <c r="F433" s="520">
        <v>0</v>
      </c>
      <c r="G433" s="695"/>
      <c r="H433" s="669">
        <v>0</v>
      </c>
    </row>
    <row r="434" spans="1:8" s="500" customFormat="1" ht="13.35" hidden="1" customHeight="1">
      <c r="A434" s="542" t="s">
        <v>524</v>
      </c>
      <c r="B434" s="542" t="s">
        <v>1247</v>
      </c>
      <c r="C434" s="616"/>
      <c r="D434" s="946">
        <v>0</v>
      </c>
      <c r="E434" s="521">
        <v>0</v>
      </c>
      <c r="F434" s="520">
        <v>0</v>
      </c>
      <c r="G434" s="695" t="s">
        <v>1712</v>
      </c>
      <c r="H434" s="669">
        <v>33.950000000000003</v>
      </c>
    </row>
    <row r="435" spans="1:8" s="500" customFormat="1" ht="13.35" hidden="1" customHeight="1">
      <c r="A435" s="539" t="s">
        <v>525</v>
      </c>
      <c r="B435" s="539" t="s">
        <v>1248</v>
      </c>
      <c r="C435" s="548" t="s">
        <v>37</v>
      </c>
      <c r="D435" s="946">
        <v>0</v>
      </c>
      <c r="E435" s="521">
        <v>0</v>
      </c>
      <c r="F435" s="520">
        <v>0</v>
      </c>
      <c r="G435" s="695"/>
      <c r="H435" s="669">
        <v>0</v>
      </c>
    </row>
    <row r="436" spans="1:8" s="500" customFormat="1" ht="13.35" hidden="1" customHeight="1">
      <c r="A436" s="542" t="s">
        <v>941</v>
      </c>
      <c r="B436" s="542" t="s">
        <v>1249</v>
      </c>
      <c r="C436" s="616"/>
      <c r="D436" s="946">
        <v>0</v>
      </c>
      <c r="E436" s="521">
        <v>0</v>
      </c>
      <c r="F436" s="520">
        <v>0</v>
      </c>
      <c r="G436" s="695" t="s">
        <v>1713</v>
      </c>
      <c r="H436" s="669">
        <v>22.08</v>
      </c>
    </row>
    <row r="437" spans="1:8" s="500" customFormat="1" ht="13.35" hidden="1" customHeight="1">
      <c r="A437" s="539" t="s">
        <v>942</v>
      </c>
      <c r="B437" s="539" t="s">
        <v>1250</v>
      </c>
      <c r="C437" s="548" t="s">
        <v>37</v>
      </c>
      <c r="D437" s="946">
        <v>0</v>
      </c>
      <c r="E437" s="521">
        <v>0</v>
      </c>
      <c r="F437" s="520">
        <v>0</v>
      </c>
      <c r="G437" s="695" t="s">
        <v>1714</v>
      </c>
      <c r="H437" s="669">
        <v>12.13</v>
      </c>
    </row>
    <row r="438" spans="1:8" s="500" customFormat="1" ht="13.35" hidden="1" customHeight="1">
      <c r="A438" s="539" t="s">
        <v>943</v>
      </c>
      <c r="B438" s="539" t="s">
        <v>1251</v>
      </c>
      <c r="C438" s="548" t="s">
        <v>37</v>
      </c>
      <c r="D438" s="946">
        <v>0</v>
      </c>
      <c r="E438" s="521">
        <v>0</v>
      </c>
      <c r="F438" s="520">
        <v>0</v>
      </c>
      <c r="G438" s="695" t="s">
        <v>1715</v>
      </c>
      <c r="H438" s="669">
        <v>9.9499999999999993</v>
      </c>
    </row>
    <row r="439" spans="1:8" s="500" customFormat="1" ht="13.35" hidden="1" customHeight="1">
      <c r="A439" s="539" t="s">
        <v>944</v>
      </c>
      <c r="B439" s="539" t="s">
        <v>1252</v>
      </c>
      <c r="C439" s="548" t="s">
        <v>37</v>
      </c>
      <c r="D439" s="946">
        <v>0</v>
      </c>
      <c r="E439" s="521">
        <v>0</v>
      </c>
      <c r="F439" s="520">
        <v>0</v>
      </c>
      <c r="G439" s="695"/>
      <c r="H439" s="669">
        <v>0</v>
      </c>
    </row>
    <row r="440" spans="1:8" s="500" customFormat="1" ht="13.35" hidden="1" customHeight="1">
      <c r="A440" s="542" t="s">
        <v>945</v>
      </c>
      <c r="B440" s="542" t="s">
        <v>1256</v>
      </c>
      <c r="C440" s="616"/>
      <c r="D440" s="946">
        <v>0</v>
      </c>
      <c r="E440" s="521">
        <v>0</v>
      </c>
      <c r="F440" s="520">
        <v>0</v>
      </c>
      <c r="G440" s="695" t="s">
        <v>1716</v>
      </c>
      <c r="H440" s="669">
        <v>8.93</v>
      </c>
    </row>
    <row r="441" spans="1:8" s="500" customFormat="1" ht="13.35" hidden="1" customHeight="1">
      <c r="A441" s="539" t="s">
        <v>946</v>
      </c>
      <c r="B441" s="539" t="s">
        <v>1257</v>
      </c>
      <c r="C441" s="548" t="s">
        <v>37</v>
      </c>
      <c r="D441" s="946">
        <v>0</v>
      </c>
      <c r="E441" s="521">
        <v>0</v>
      </c>
      <c r="F441" s="520">
        <v>0</v>
      </c>
      <c r="G441" s="695"/>
      <c r="H441" s="669">
        <v>0</v>
      </c>
    </row>
    <row r="442" spans="1:8" s="500" customFormat="1" ht="13.35" hidden="1" customHeight="1">
      <c r="A442" s="542" t="s">
        <v>947</v>
      </c>
      <c r="B442" s="542" t="s">
        <v>1258</v>
      </c>
      <c r="C442" s="616"/>
      <c r="D442" s="946">
        <v>0</v>
      </c>
      <c r="E442" s="521">
        <v>0</v>
      </c>
      <c r="F442" s="520">
        <v>0</v>
      </c>
      <c r="G442" s="695" t="s">
        <v>1717</v>
      </c>
      <c r="H442" s="669">
        <v>6.91</v>
      </c>
    </row>
    <row r="443" spans="1:8" s="500" customFormat="1" ht="13.35" hidden="1" customHeight="1">
      <c r="A443" s="539" t="s">
        <v>948</v>
      </c>
      <c r="B443" s="539" t="s">
        <v>1259</v>
      </c>
      <c r="C443" s="548" t="s">
        <v>37</v>
      </c>
      <c r="D443" s="946">
        <v>0</v>
      </c>
      <c r="E443" s="521">
        <v>0</v>
      </c>
      <c r="F443" s="520">
        <v>0</v>
      </c>
      <c r="G443" s="695" t="s">
        <v>1718</v>
      </c>
      <c r="H443" s="669">
        <v>8.86</v>
      </c>
    </row>
    <row r="444" spans="1:8" s="500" customFormat="1" ht="13.35" hidden="1" customHeight="1">
      <c r="A444" s="539" t="s">
        <v>949</v>
      </c>
      <c r="B444" s="539" t="s">
        <v>1286</v>
      </c>
      <c r="C444" s="548" t="s">
        <v>37</v>
      </c>
      <c r="D444" s="946">
        <v>0</v>
      </c>
      <c r="E444" s="521">
        <v>0</v>
      </c>
      <c r="F444" s="520">
        <v>0</v>
      </c>
      <c r="G444" s="695" t="s">
        <v>1719</v>
      </c>
      <c r="H444" s="669">
        <v>10.78</v>
      </c>
    </row>
    <row r="445" spans="1:8" s="500" customFormat="1" ht="13.35" hidden="1" customHeight="1">
      <c r="A445" s="539" t="s">
        <v>950</v>
      </c>
      <c r="B445" s="539" t="s">
        <v>1260</v>
      </c>
      <c r="C445" s="548" t="s">
        <v>38</v>
      </c>
      <c r="D445" s="946">
        <v>0</v>
      </c>
      <c r="E445" s="521">
        <v>0</v>
      </c>
      <c r="F445" s="520">
        <v>0</v>
      </c>
      <c r="G445" s="695" t="s">
        <v>1720</v>
      </c>
      <c r="H445" s="669">
        <v>14.4</v>
      </c>
    </row>
    <row r="446" spans="1:8" s="500" customFormat="1" ht="13.35" hidden="1" customHeight="1">
      <c r="A446" s="539" t="s">
        <v>951</v>
      </c>
      <c r="B446" s="539" t="s">
        <v>1261</v>
      </c>
      <c r="C446" s="548" t="s">
        <v>38</v>
      </c>
      <c r="D446" s="946">
        <v>0</v>
      </c>
      <c r="E446" s="521">
        <v>0</v>
      </c>
      <c r="F446" s="520">
        <v>0</v>
      </c>
      <c r="G446" s="695"/>
      <c r="H446" s="669">
        <v>0</v>
      </c>
    </row>
    <row r="447" spans="1:8" s="500" customFormat="1" ht="13.35" hidden="1" customHeight="1">
      <c r="A447" s="542" t="s">
        <v>952</v>
      </c>
      <c r="B447" s="542" t="s">
        <v>1198</v>
      </c>
      <c r="C447" s="616"/>
      <c r="D447" s="946">
        <v>0</v>
      </c>
      <c r="E447" s="521">
        <v>0</v>
      </c>
      <c r="F447" s="520">
        <v>0</v>
      </c>
      <c r="G447" s="695" t="s">
        <v>1721</v>
      </c>
      <c r="H447" s="669">
        <v>21.28</v>
      </c>
    </row>
    <row r="448" spans="1:8" s="500" customFormat="1" ht="13.35" hidden="1" customHeight="1">
      <c r="A448" s="539" t="s">
        <v>953</v>
      </c>
      <c r="B448" s="539" t="s">
        <v>1262</v>
      </c>
      <c r="C448" s="548" t="s">
        <v>37</v>
      </c>
      <c r="D448" s="946">
        <v>0</v>
      </c>
      <c r="E448" s="521">
        <v>0</v>
      </c>
      <c r="F448" s="520">
        <v>0</v>
      </c>
      <c r="G448" s="695" t="s">
        <v>1689</v>
      </c>
      <c r="H448" s="669">
        <v>6.15</v>
      </c>
    </row>
    <row r="449" spans="1:8" s="500" customFormat="1" ht="13.35" hidden="1" customHeight="1">
      <c r="A449" s="539" t="s">
        <v>954</v>
      </c>
      <c r="B449" s="539" t="s">
        <v>1263</v>
      </c>
      <c r="C449" s="548" t="s">
        <v>38</v>
      </c>
      <c r="D449" s="946">
        <v>0</v>
      </c>
      <c r="E449" s="521">
        <v>0</v>
      </c>
      <c r="F449" s="520">
        <v>0</v>
      </c>
      <c r="G449" s="695"/>
      <c r="H449" s="669">
        <v>0</v>
      </c>
    </row>
    <row r="450" spans="1:8" s="500" customFormat="1" ht="13.35" hidden="1" customHeight="1">
      <c r="A450" s="542" t="s">
        <v>955</v>
      </c>
      <c r="B450" s="542" t="s">
        <v>1264</v>
      </c>
      <c r="C450" s="616"/>
      <c r="D450" s="946">
        <v>0</v>
      </c>
      <c r="E450" s="521">
        <v>0</v>
      </c>
      <c r="F450" s="520">
        <v>0</v>
      </c>
      <c r="G450" s="695" t="s">
        <v>1722</v>
      </c>
      <c r="H450" s="669">
        <v>1.89</v>
      </c>
    </row>
    <row r="451" spans="1:8" s="500" customFormat="1" ht="13.35" hidden="1" customHeight="1">
      <c r="A451" s="539" t="s">
        <v>956</v>
      </c>
      <c r="B451" s="539" t="s">
        <v>1265</v>
      </c>
      <c r="C451" s="548" t="s">
        <v>37</v>
      </c>
      <c r="D451" s="946">
        <v>0</v>
      </c>
      <c r="E451" s="521">
        <v>0</v>
      </c>
      <c r="F451" s="520">
        <v>0</v>
      </c>
      <c r="G451" s="695" t="s">
        <v>1723</v>
      </c>
      <c r="H451" s="669">
        <v>3.15</v>
      </c>
    </row>
    <row r="452" spans="1:8" s="500" customFormat="1" ht="13.35" hidden="1" customHeight="1">
      <c r="A452" s="539" t="s">
        <v>957</v>
      </c>
      <c r="B452" s="539" t="s">
        <v>1295</v>
      </c>
      <c r="C452" s="548" t="s">
        <v>37</v>
      </c>
      <c r="D452" s="946">
        <v>0</v>
      </c>
      <c r="E452" s="521">
        <v>0</v>
      </c>
      <c r="F452" s="520">
        <v>0</v>
      </c>
      <c r="G452" s="695"/>
      <c r="H452" s="669">
        <v>0</v>
      </c>
    </row>
    <row r="453" spans="1:8" s="500" customFormat="1" ht="13.35" hidden="1" customHeight="1">
      <c r="A453" s="542" t="s">
        <v>958</v>
      </c>
      <c r="B453" s="542" t="s">
        <v>1266</v>
      </c>
      <c r="C453" s="616"/>
      <c r="D453" s="946">
        <v>0</v>
      </c>
      <c r="E453" s="521">
        <v>0</v>
      </c>
      <c r="F453" s="520">
        <v>0</v>
      </c>
      <c r="G453" s="695" t="s">
        <v>1641</v>
      </c>
      <c r="H453" s="669">
        <v>9</v>
      </c>
    </row>
    <row r="454" spans="1:8" s="500" customFormat="1" ht="13.35" hidden="1" customHeight="1">
      <c r="A454" s="539" t="s">
        <v>959</v>
      </c>
      <c r="B454" s="539" t="s">
        <v>1267</v>
      </c>
      <c r="C454" s="548" t="s">
        <v>1451</v>
      </c>
      <c r="D454" s="946">
        <v>0</v>
      </c>
      <c r="E454" s="521">
        <v>0</v>
      </c>
      <c r="F454" s="520">
        <v>0</v>
      </c>
      <c r="G454" s="695" t="s">
        <v>1455</v>
      </c>
      <c r="H454" s="669">
        <v>1</v>
      </c>
    </row>
    <row r="455" spans="1:8" s="500" customFormat="1" ht="13.35" hidden="1" customHeight="1">
      <c r="A455" s="539" t="s">
        <v>960</v>
      </c>
      <c r="B455" s="539" t="s">
        <v>1268</v>
      </c>
      <c r="C455" s="548" t="s">
        <v>36</v>
      </c>
      <c r="D455" s="946">
        <v>0</v>
      </c>
      <c r="E455" s="521">
        <v>0</v>
      </c>
      <c r="F455" s="520">
        <v>0</v>
      </c>
      <c r="G455" s="695" t="s">
        <v>1698</v>
      </c>
      <c r="H455" s="669">
        <v>2</v>
      </c>
    </row>
    <row r="456" spans="1:8" s="500" customFormat="1" ht="13.35" hidden="1" customHeight="1">
      <c r="A456" s="539" t="s">
        <v>961</v>
      </c>
      <c r="B456" s="539" t="s">
        <v>1296</v>
      </c>
      <c r="C456" s="548" t="s">
        <v>36</v>
      </c>
      <c r="D456" s="946">
        <v>0</v>
      </c>
      <c r="E456" s="521">
        <v>0</v>
      </c>
      <c r="F456" s="520">
        <v>0</v>
      </c>
      <c r="G456" s="695"/>
      <c r="H456" s="669">
        <v>0</v>
      </c>
    </row>
    <row r="457" spans="1:8" s="500" customFormat="1" ht="13.35" hidden="1" customHeight="1">
      <c r="A457" s="542" t="s">
        <v>962</v>
      </c>
      <c r="B457" s="542" t="s">
        <v>1269</v>
      </c>
      <c r="C457" s="616"/>
      <c r="D457" s="946">
        <v>0</v>
      </c>
      <c r="E457" s="521">
        <v>0</v>
      </c>
      <c r="F457" s="520">
        <v>0</v>
      </c>
      <c r="G457" s="695" t="s">
        <v>1724</v>
      </c>
      <c r="H457" s="669">
        <v>4.96</v>
      </c>
    </row>
    <row r="458" spans="1:8" s="500" customFormat="1" ht="13.35" hidden="1" customHeight="1">
      <c r="A458" s="539" t="s">
        <v>963</v>
      </c>
      <c r="B458" s="539" t="s">
        <v>1270</v>
      </c>
      <c r="C458" s="548" t="s">
        <v>37</v>
      </c>
      <c r="D458" s="946">
        <v>0</v>
      </c>
      <c r="E458" s="521">
        <v>0</v>
      </c>
      <c r="F458" s="520">
        <v>0</v>
      </c>
      <c r="G458" s="695" t="s">
        <v>1488</v>
      </c>
      <c r="H458" s="669">
        <v>1.2</v>
      </c>
    </row>
    <row r="459" spans="1:8" s="500" customFormat="1" ht="13.35" hidden="1" customHeight="1">
      <c r="A459" s="539" t="s">
        <v>964</v>
      </c>
      <c r="B459" s="539" t="s">
        <v>1271</v>
      </c>
      <c r="C459" s="548" t="s">
        <v>37</v>
      </c>
      <c r="D459" s="946">
        <v>0</v>
      </c>
      <c r="E459" s="521">
        <v>0</v>
      </c>
      <c r="F459" s="520">
        <v>0</v>
      </c>
      <c r="G459" s="695"/>
      <c r="H459" s="669">
        <v>0</v>
      </c>
    </row>
    <row r="460" spans="1:8" s="500" customFormat="1" ht="13.35" hidden="1" customHeight="1">
      <c r="A460" s="542" t="s">
        <v>965</v>
      </c>
      <c r="B460" s="542" t="s">
        <v>1272</v>
      </c>
      <c r="C460" s="616"/>
      <c r="D460" s="946">
        <v>0</v>
      </c>
      <c r="E460" s="521">
        <v>0</v>
      </c>
      <c r="F460" s="520">
        <v>0</v>
      </c>
      <c r="G460" s="695" t="s">
        <v>1712</v>
      </c>
      <c r="H460" s="669">
        <v>33.950000000000003</v>
      </c>
    </row>
    <row r="461" spans="1:8" s="500" customFormat="1" ht="13.35" hidden="1" customHeight="1">
      <c r="A461" s="539" t="s">
        <v>966</v>
      </c>
      <c r="B461" s="539" t="s">
        <v>1273</v>
      </c>
      <c r="C461" s="548" t="s">
        <v>37</v>
      </c>
      <c r="D461" s="946">
        <v>0</v>
      </c>
      <c r="E461" s="521">
        <v>0</v>
      </c>
      <c r="F461" s="520">
        <v>0</v>
      </c>
      <c r="G461" s="695" t="s">
        <v>1705</v>
      </c>
      <c r="H461" s="669">
        <v>77.680000000000007</v>
      </c>
    </row>
    <row r="462" spans="1:8" s="500" customFormat="1" ht="13.35" hidden="1" customHeight="1">
      <c r="A462" s="539" t="s">
        <v>967</v>
      </c>
      <c r="B462" s="539" t="s">
        <v>1274</v>
      </c>
      <c r="C462" s="548" t="s">
        <v>37</v>
      </c>
      <c r="D462" s="946">
        <v>0</v>
      </c>
      <c r="E462" s="521">
        <v>0</v>
      </c>
      <c r="F462" s="520">
        <v>0</v>
      </c>
      <c r="G462" s="695" t="s">
        <v>1706</v>
      </c>
      <c r="H462" s="669">
        <v>51.98</v>
      </c>
    </row>
    <row r="463" spans="1:8" s="500" customFormat="1" ht="13.35" hidden="1" customHeight="1">
      <c r="A463" s="539" t="s">
        <v>968</v>
      </c>
      <c r="B463" s="539" t="s">
        <v>1275</v>
      </c>
      <c r="C463" s="548" t="s">
        <v>37</v>
      </c>
      <c r="D463" s="946">
        <v>0</v>
      </c>
      <c r="E463" s="521">
        <v>0</v>
      </c>
      <c r="F463" s="520">
        <v>0</v>
      </c>
      <c r="G463" s="695" t="s">
        <v>1707</v>
      </c>
      <c r="H463" s="669">
        <v>12</v>
      </c>
    </row>
    <row r="464" spans="1:8" s="500" customFormat="1" ht="13.35" hidden="1" customHeight="1">
      <c r="A464" s="539" t="s">
        <v>969</v>
      </c>
      <c r="B464" s="539" t="s">
        <v>1276</v>
      </c>
      <c r="C464" s="548" t="s">
        <v>37</v>
      </c>
      <c r="D464" s="946">
        <v>0</v>
      </c>
      <c r="E464" s="521">
        <v>0</v>
      </c>
      <c r="F464" s="520">
        <v>0</v>
      </c>
      <c r="G464" s="695" t="s">
        <v>1708</v>
      </c>
      <c r="H464" s="669">
        <v>19.97</v>
      </c>
    </row>
    <row r="465" spans="1:8" s="500" customFormat="1" ht="13.35" hidden="1" customHeight="1">
      <c r="A465" s="539" t="s">
        <v>970</v>
      </c>
      <c r="B465" s="539" t="s">
        <v>1277</v>
      </c>
      <c r="C465" s="548" t="s">
        <v>37</v>
      </c>
      <c r="D465" s="946">
        <v>0</v>
      </c>
      <c r="E465" s="521">
        <v>0</v>
      </c>
      <c r="F465" s="520">
        <v>0</v>
      </c>
      <c r="G465" s="695" t="s">
        <v>1717</v>
      </c>
      <c r="H465" s="669">
        <v>6.91</v>
      </c>
    </row>
    <row r="466" spans="1:8" s="500" customFormat="1" ht="13.35" hidden="1" customHeight="1">
      <c r="A466" s="539" t="s">
        <v>971</v>
      </c>
      <c r="B466" s="539" t="s">
        <v>1278</v>
      </c>
      <c r="C466" s="548" t="s">
        <v>37</v>
      </c>
      <c r="D466" s="946">
        <v>0</v>
      </c>
      <c r="E466" s="521">
        <v>0</v>
      </c>
      <c r="F466" s="520">
        <v>0</v>
      </c>
      <c r="G466" s="695" t="s">
        <v>1725</v>
      </c>
      <c r="H466" s="669">
        <v>10.5</v>
      </c>
    </row>
    <row r="467" spans="1:8" s="500" customFormat="1" ht="13.35" hidden="1" customHeight="1">
      <c r="A467" s="539" t="s">
        <v>972</v>
      </c>
      <c r="B467" s="539" t="s">
        <v>1279</v>
      </c>
      <c r="C467" s="548" t="s">
        <v>37</v>
      </c>
      <c r="D467" s="946">
        <v>0</v>
      </c>
      <c r="E467" s="521">
        <v>0</v>
      </c>
      <c r="F467" s="520">
        <v>0</v>
      </c>
      <c r="G467" s="695"/>
      <c r="H467" s="669">
        <v>0</v>
      </c>
    </row>
    <row r="468" spans="1:8" s="500" customFormat="1" ht="13.35" hidden="1" customHeight="1">
      <c r="A468" s="542" t="s">
        <v>973</v>
      </c>
      <c r="B468" s="542" t="s">
        <v>1280</v>
      </c>
      <c r="C468" s="616"/>
      <c r="D468" s="946">
        <v>0</v>
      </c>
      <c r="E468" s="521">
        <v>0</v>
      </c>
      <c r="F468" s="520">
        <v>0</v>
      </c>
      <c r="G468" s="695" t="s">
        <v>1726</v>
      </c>
      <c r="H468" s="669">
        <v>11</v>
      </c>
    </row>
    <row r="469" spans="1:8" s="500" customFormat="1" ht="13.35" hidden="1" customHeight="1">
      <c r="A469" s="539" t="s">
        <v>974</v>
      </c>
      <c r="B469" s="539" t="s">
        <v>1281</v>
      </c>
      <c r="C469" s="548" t="s">
        <v>1450</v>
      </c>
      <c r="D469" s="946">
        <v>0</v>
      </c>
      <c r="E469" s="521">
        <v>0</v>
      </c>
      <c r="F469" s="520">
        <v>0</v>
      </c>
      <c r="G469" s="695" t="s">
        <v>1455</v>
      </c>
      <c r="H469" s="669">
        <v>1</v>
      </c>
    </row>
    <row r="470" spans="1:8" s="500" customFormat="1" ht="13.35" hidden="1" customHeight="1">
      <c r="A470" s="539" t="s">
        <v>975</v>
      </c>
      <c r="B470" s="539" t="s">
        <v>1282</v>
      </c>
      <c r="C470" s="548" t="s">
        <v>64</v>
      </c>
      <c r="D470" s="946">
        <v>0</v>
      </c>
      <c r="E470" s="521">
        <v>0</v>
      </c>
      <c r="F470" s="520">
        <v>0</v>
      </c>
      <c r="G470" s="695" t="s">
        <v>1727</v>
      </c>
      <c r="H470" s="669">
        <v>8.15</v>
      </c>
    </row>
    <row r="471" spans="1:8" s="500" customFormat="1" ht="13.35" hidden="1" customHeight="1">
      <c r="A471" s="539" t="s">
        <v>976</v>
      </c>
      <c r="B471" s="539" t="s">
        <v>1283</v>
      </c>
      <c r="C471" s="548" t="s">
        <v>37</v>
      </c>
      <c r="D471" s="946">
        <v>0</v>
      </c>
      <c r="E471" s="521">
        <v>0</v>
      </c>
      <c r="F471" s="520">
        <v>0</v>
      </c>
      <c r="G471" s="695"/>
      <c r="H471" s="669">
        <v>0</v>
      </c>
    </row>
    <row r="472" spans="1:8" s="500" customFormat="1" ht="13.35" hidden="1" customHeight="1">
      <c r="A472" s="440" t="s">
        <v>526</v>
      </c>
      <c r="B472" s="543" t="s">
        <v>1298</v>
      </c>
      <c r="C472" s="616"/>
      <c r="D472" s="946">
        <v>0</v>
      </c>
      <c r="E472" s="521">
        <v>0</v>
      </c>
      <c r="F472" s="520">
        <v>0</v>
      </c>
      <c r="G472" s="695"/>
      <c r="H472" s="669">
        <v>0</v>
      </c>
    </row>
    <row r="473" spans="1:8" s="500" customFormat="1" ht="13.35" hidden="1" customHeight="1">
      <c r="A473" s="542" t="s">
        <v>527</v>
      </c>
      <c r="B473" s="542" t="s">
        <v>1236</v>
      </c>
      <c r="C473" s="616"/>
      <c r="D473" s="946">
        <v>0</v>
      </c>
      <c r="E473" s="521">
        <v>0</v>
      </c>
      <c r="F473" s="520">
        <v>0</v>
      </c>
      <c r="G473" s="695" t="s">
        <v>1728</v>
      </c>
      <c r="H473" s="669">
        <v>239.98</v>
      </c>
    </row>
    <row r="474" spans="1:8" s="500" customFormat="1" ht="13.35" hidden="1" customHeight="1">
      <c r="A474" s="539" t="s">
        <v>528</v>
      </c>
      <c r="B474" s="539" t="s">
        <v>1299</v>
      </c>
      <c r="C474" s="548" t="s">
        <v>37</v>
      </c>
      <c r="D474" s="946">
        <v>0</v>
      </c>
      <c r="E474" s="521">
        <v>0</v>
      </c>
      <c r="F474" s="520">
        <v>0</v>
      </c>
      <c r="G474" s="695"/>
      <c r="H474" s="669">
        <v>0</v>
      </c>
    </row>
    <row r="475" spans="1:8" s="500" customFormat="1" ht="13.35" hidden="1" customHeight="1">
      <c r="A475" s="542" t="s">
        <v>977</v>
      </c>
      <c r="B475" s="542" t="s">
        <v>1239</v>
      </c>
      <c r="C475" s="616"/>
      <c r="D475" s="946">
        <v>0</v>
      </c>
      <c r="E475" s="521">
        <v>0</v>
      </c>
      <c r="F475" s="520">
        <v>0</v>
      </c>
      <c r="G475" s="695" t="s">
        <v>1729</v>
      </c>
      <c r="H475" s="669">
        <v>117.85</v>
      </c>
    </row>
    <row r="476" spans="1:8" s="500" customFormat="1" ht="13.35" hidden="1" customHeight="1">
      <c r="A476" s="539" t="s">
        <v>978</v>
      </c>
      <c r="B476" s="539" t="s">
        <v>1300</v>
      </c>
      <c r="C476" s="548" t="s">
        <v>37</v>
      </c>
      <c r="D476" s="946">
        <v>0</v>
      </c>
      <c r="E476" s="521">
        <v>0</v>
      </c>
      <c r="F476" s="520">
        <v>0</v>
      </c>
      <c r="G476" s="695" t="s">
        <v>1730</v>
      </c>
      <c r="H476" s="669">
        <v>65.94</v>
      </c>
    </row>
    <row r="477" spans="1:8" s="500" customFormat="1" ht="13.35" hidden="1" customHeight="1">
      <c r="A477" s="539" t="s">
        <v>979</v>
      </c>
      <c r="B477" s="539" t="s">
        <v>1301</v>
      </c>
      <c r="C477" s="548" t="s">
        <v>37</v>
      </c>
      <c r="D477" s="946">
        <v>0</v>
      </c>
      <c r="E477" s="521">
        <v>0</v>
      </c>
      <c r="F477" s="520">
        <v>0</v>
      </c>
      <c r="G477" s="695" t="s">
        <v>1590</v>
      </c>
      <c r="H477" s="669">
        <v>49.66</v>
      </c>
    </row>
    <row r="478" spans="1:8" s="500" customFormat="1" ht="13.35" hidden="1" customHeight="1">
      <c r="A478" s="539" t="s">
        <v>980</v>
      </c>
      <c r="B478" s="539" t="s">
        <v>1302</v>
      </c>
      <c r="C478" s="548" t="s">
        <v>37</v>
      </c>
      <c r="D478" s="946">
        <v>0</v>
      </c>
      <c r="E478" s="521">
        <v>0</v>
      </c>
      <c r="F478" s="520">
        <v>0</v>
      </c>
      <c r="G478" s="695"/>
      <c r="H478" s="669">
        <v>0</v>
      </c>
    </row>
    <row r="479" spans="1:8" s="500" customFormat="1" ht="13.35" hidden="1" customHeight="1">
      <c r="A479" s="542" t="s">
        <v>981</v>
      </c>
      <c r="B479" s="542" t="s">
        <v>1291</v>
      </c>
      <c r="C479" s="616"/>
      <c r="D479" s="946">
        <v>0</v>
      </c>
      <c r="E479" s="521">
        <v>0</v>
      </c>
      <c r="F479" s="520">
        <v>0</v>
      </c>
      <c r="G479" s="695" t="s">
        <v>1731</v>
      </c>
      <c r="H479" s="669">
        <v>7.98</v>
      </c>
    </row>
    <row r="480" spans="1:8" s="500" customFormat="1" ht="13.35" hidden="1" customHeight="1">
      <c r="A480" s="539" t="s">
        <v>982</v>
      </c>
      <c r="B480" s="539" t="s">
        <v>1303</v>
      </c>
      <c r="C480" s="548" t="s">
        <v>37</v>
      </c>
      <c r="D480" s="946">
        <v>0</v>
      </c>
      <c r="E480" s="521">
        <v>0</v>
      </c>
      <c r="F480" s="520">
        <v>0</v>
      </c>
      <c r="G480" s="695"/>
      <c r="H480" s="669">
        <v>0</v>
      </c>
    </row>
    <row r="481" spans="1:8" s="500" customFormat="1" ht="13.35" hidden="1" customHeight="1">
      <c r="A481" s="542" t="s">
        <v>983</v>
      </c>
      <c r="B481" s="542" t="s">
        <v>1272</v>
      </c>
      <c r="C481" s="616"/>
      <c r="D481" s="946">
        <v>0</v>
      </c>
      <c r="E481" s="521">
        <v>0</v>
      </c>
      <c r="F481" s="520">
        <v>0</v>
      </c>
      <c r="G481" s="695" t="s">
        <v>1729</v>
      </c>
      <c r="H481" s="669">
        <v>117.85</v>
      </c>
    </row>
    <row r="482" spans="1:8" s="500" customFormat="1" ht="13.35" hidden="1" customHeight="1">
      <c r="A482" s="539" t="s">
        <v>984</v>
      </c>
      <c r="B482" s="539" t="s">
        <v>1304</v>
      </c>
      <c r="C482" s="548" t="s">
        <v>37</v>
      </c>
      <c r="D482" s="946">
        <v>0</v>
      </c>
      <c r="E482" s="521">
        <v>0</v>
      </c>
      <c r="F482" s="520">
        <v>0</v>
      </c>
      <c r="G482" s="695" t="s">
        <v>1730</v>
      </c>
      <c r="H482" s="669">
        <v>65.94</v>
      </c>
    </row>
    <row r="483" spans="1:8" s="500" customFormat="1" ht="13.35" hidden="1" customHeight="1">
      <c r="A483" s="539" t="s">
        <v>985</v>
      </c>
      <c r="B483" s="539" t="s">
        <v>1276</v>
      </c>
      <c r="C483" s="548" t="s">
        <v>37</v>
      </c>
      <c r="D483" s="946">
        <v>0</v>
      </c>
      <c r="E483" s="521">
        <v>0</v>
      </c>
      <c r="F483" s="520">
        <v>0</v>
      </c>
      <c r="G483" s="695" t="s">
        <v>1590</v>
      </c>
      <c r="H483" s="669">
        <v>49.66</v>
      </c>
    </row>
    <row r="484" spans="1:8" s="500" customFormat="1" ht="13.35" hidden="1" customHeight="1">
      <c r="A484" s="539" t="s">
        <v>986</v>
      </c>
      <c r="B484" s="539" t="s">
        <v>1277</v>
      </c>
      <c r="C484" s="548" t="s">
        <v>37</v>
      </c>
      <c r="D484" s="946">
        <v>0</v>
      </c>
      <c r="E484" s="521">
        <v>0</v>
      </c>
      <c r="F484" s="520">
        <v>0</v>
      </c>
      <c r="G484" s="695"/>
      <c r="H484" s="669">
        <v>0</v>
      </c>
    </row>
    <row r="485" spans="1:8" s="500" customFormat="1" ht="13.35" hidden="1" customHeight="1">
      <c r="A485" s="440" t="s">
        <v>987</v>
      </c>
      <c r="B485" s="543" t="s">
        <v>1305</v>
      </c>
      <c r="C485" s="616"/>
      <c r="D485" s="946">
        <v>0</v>
      </c>
      <c r="E485" s="521">
        <v>0</v>
      </c>
      <c r="F485" s="520">
        <v>0</v>
      </c>
      <c r="G485" s="695" t="s">
        <v>1732</v>
      </c>
      <c r="H485" s="669">
        <v>154.19</v>
      </c>
    </row>
    <row r="486" spans="1:8" s="500" customFormat="1" ht="13.35" hidden="1" customHeight="1">
      <c r="A486" s="542" t="s">
        <v>988</v>
      </c>
      <c r="B486" s="542" t="s">
        <v>1306</v>
      </c>
      <c r="C486" s="548" t="s">
        <v>37</v>
      </c>
      <c r="D486" s="946">
        <v>0</v>
      </c>
      <c r="E486" s="521">
        <v>0</v>
      </c>
      <c r="F486" s="520">
        <v>0</v>
      </c>
      <c r="G486" s="695" t="s">
        <v>1733</v>
      </c>
      <c r="H486" s="669">
        <v>48.81</v>
      </c>
    </row>
    <row r="487" spans="1:8" s="500" customFormat="1" ht="13.35" hidden="1" customHeight="1">
      <c r="A487" s="542" t="s">
        <v>989</v>
      </c>
      <c r="B487" s="542" t="s">
        <v>1307</v>
      </c>
      <c r="C487" s="548" t="s">
        <v>37</v>
      </c>
      <c r="D487" s="946">
        <v>0</v>
      </c>
      <c r="E487" s="521">
        <v>0</v>
      </c>
      <c r="F487" s="520">
        <v>0</v>
      </c>
      <c r="G487" s="695"/>
      <c r="H487" s="669">
        <v>0</v>
      </c>
    </row>
    <row r="488" spans="1:8" s="500" customFormat="1" ht="13.35" hidden="1" customHeight="1">
      <c r="A488" s="440" t="s">
        <v>990</v>
      </c>
      <c r="B488" s="543" t="s">
        <v>1308</v>
      </c>
      <c r="C488" s="616"/>
      <c r="D488" s="946">
        <v>0</v>
      </c>
      <c r="E488" s="521">
        <v>0</v>
      </c>
      <c r="F488" s="520">
        <v>0</v>
      </c>
      <c r="G488" s="695"/>
      <c r="H488" s="669">
        <v>0</v>
      </c>
    </row>
    <row r="489" spans="1:8" s="500" customFormat="1" ht="13.35" hidden="1" customHeight="1">
      <c r="A489" s="542" t="s">
        <v>991</v>
      </c>
      <c r="B489" s="542" t="s">
        <v>1249</v>
      </c>
      <c r="C489" s="616"/>
      <c r="D489" s="946">
        <v>0</v>
      </c>
      <c r="E489" s="521">
        <v>0</v>
      </c>
      <c r="F489" s="520">
        <v>0</v>
      </c>
      <c r="G489" s="695" t="s">
        <v>1608</v>
      </c>
      <c r="H489" s="669">
        <v>60</v>
      </c>
    </row>
    <row r="490" spans="1:8" s="500" customFormat="1" ht="13.35" hidden="1" customHeight="1">
      <c r="A490" s="539" t="s">
        <v>992</v>
      </c>
      <c r="B490" s="539" t="s">
        <v>1309</v>
      </c>
      <c r="C490" s="548" t="s">
        <v>37</v>
      </c>
      <c r="D490" s="946">
        <v>0</v>
      </c>
      <c r="E490" s="521">
        <v>0</v>
      </c>
      <c r="F490" s="520">
        <v>0</v>
      </c>
      <c r="G490" s="695" t="s">
        <v>1633</v>
      </c>
      <c r="H490" s="669">
        <v>5.18</v>
      </c>
    </row>
    <row r="491" spans="1:8" s="500" customFormat="1" ht="13.35" hidden="1" customHeight="1">
      <c r="A491" s="539" t="s">
        <v>993</v>
      </c>
      <c r="B491" s="539" t="s">
        <v>1310</v>
      </c>
      <c r="C491" s="548" t="s">
        <v>37</v>
      </c>
      <c r="D491" s="946">
        <v>0</v>
      </c>
      <c r="E491" s="521">
        <v>0</v>
      </c>
      <c r="F491" s="520">
        <v>0</v>
      </c>
      <c r="G491" s="695"/>
      <c r="H491" s="669">
        <v>0</v>
      </c>
    </row>
    <row r="492" spans="1:8" s="500" customFormat="1" ht="13.35" hidden="1" customHeight="1">
      <c r="A492" s="542" t="s">
        <v>994</v>
      </c>
      <c r="B492" s="542" t="s">
        <v>1253</v>
      </c>
      <c r="C492" s="616"/>
      <c r="D492" s="946">
        <v>0</v>
      </c>
      <c r="E492" s="521">
        <v>0</v>
      </c>
      <c r="F492" s="520">
        <v>0</v>
      </c>
      <c r="G492" s="695" t="s">
        <v>1734</v>
      </c>
      <c r="H492" s="669">
        <v>73.98</v>
      </c>
    </row>
    <row r="493" spans="1:8" s="500" customFormat="1" ht="13.35" hidden="1" customHeight="1">
      <c r="A493" s="539" t="s">
        <v>995</v>
      </c>
      <c r="B493" s="539" t="s">
        <v>1311</v>
      </c>
      <c r="C493" s="548" t="s">
        <v>38</v>
      </c>
      <c r="D493" s="946">
        <v>0</v>
      </c>
      <c r="E493" s="521">
        <v>0</v>
      </c>
      <c r="F493" s="520">
        <v>0</v>
      </c>
      <c r="G493" s="695" t="s">
        <v>1735</v>
      </c>
      <c r="H493" s="669">
        <v>44.39</v>
      </c>
    </row>
    <row r="494" spans="1:8" s="500" customFormat="1" ht="13.35" hidden="1" customHeight="1">
      <c r="A494" s="539" t="s">
        <v>996</v>
      </c>
      <c r="B494" s="539" t="s">
        <v>1255</v>
      </c>
      <c r="C494" s="548" t="s">
        <v>37</v>
      </c>
      <c r="D494" s="946">
        <v>0</v>
      </c>
      <c r="E494" s="521">
        <v>0</v>
      </c>
      <c r="F494" s="520">
        <v>0</v>
      </c>
      <c r="G494" s="695"/>
      <c r="H494" s="669">
        <v>0</v>
      </c>
    </row>
    <row r="495" spans="1:8" s="500" customFormat="1" ht="13.35" hidden="1" customHeight="1">
      <c r="A495" s="542" t="s">
        <v>997</v>
      </c>
      <c r="B495" s="542" t="s">
        <v>1312</v>
      </c>
      <c r="C495" s="616"/>
      <c r="D495" s="946">
        <v>0</v>
      </c>
      <c r="E495" s="521">
        <v>0</v>
      </c>
      <c r="F495" s="520">
        <v>0</v>
      </c>
      <c r="G495" s="695" t="s">
        <v>1736</v>
      </c>
      <c r="H495" s="669">
        <v>64</v>
      </c>
    </row>
    <row r="496" spans="1:8" s="500" customFormat="1" ht="13.35" hidden="1" customHeight="1">
      <c r="A496" s="539" t="s">
        <v>998</v>
      </c>
      <c r="B496" s="539" t="s">
        <v>1313</v>
      </c>
      <c r="C496" s="548" t="s">
        <v>37</v>
      </c>
      <c r="D496" s="946">
        <v>0</v>
      </c>
      <c r="E496" s="521">
        <v>0</v>
      </c>
      <c r="F496" s="520">
        <v>0</v>
      </c>
      <c r="G496" s="695"/>
      <c r="H496" s="669">
        <v>0</v>
      </c>
    </row>
    <row r="497" spans="1:8" s="500" customFormat="1" ht="13.35" hidden="1" customHeight="1">
      <c r="A497" s="542" t="s">
        <v>999</v>
      </c>
      <c r="B497" s="542" t="s">
        <v>1200</v>
      </c>
      <c r="C497" s="616"/>
      <c r="D497" s="946">
        <v>0</v>
      </c>
      <c r="E497" s="521">
        <v>0</v>
      </c>
      <c r="F497" s="520">
        <v>0</v>
      </c>
      <c r="G497" s="695" t="s">
        <v>1737</v>
      </c>
      <c r="H497" s="669">
        <v>22</v>
      </c>
    </row>
    <row r="498" spans="1:8" s="500" customFormat="1" ht="13.35" hidden="1" customHeight="1">
      <c r="A498" s="539" t="s">
        <v>1000</v>
      </c>
      <c r="B498" s="539" t="s">
        <v>1314</v>
      </c>
      <c r="C498" s="548" t="s">
        <v>38</v>
      </c>
      <c r="D498" s="946">
        <v>0</v>
      </c>
      <c r="E498" s="521">
        <v>0</v>
      </c>
      <c r="F498" s="520">
        <v>0</v>
      </c>
      <c r="G498" s="695" t="s">
        <v>1455</v>
      </c>
      <c r="H498" s="669">
        <v>1</v>
      </c>
    </row>
    <row r="499" spans="1:8" s="500" customFormat="1" ht="13.35" hidden="1" customHeight="1">
      <c r="A499" s="539" t="s">
        <v>1001</v>
      </c>
      <c r="B499" s="539" t="s">
        <v>1315</v>
      </c>
      <c r="C499" s="548" t="s">
        <v>1450</v>
      </c>
      <c r="D499" s="946">
        <v>0</v>
      </c>
      <c r="E499" s="521">
        <v>0</v>
      </c>
      <c r="F499" s="520">
        <v>0</v>
      </c>
      <c r="G499" s="695"/>
      <c r="H499" s="669">
        <v>0</v>
      </c>
    </row>
    <row r="500" spans="1:8" s="500" customFormat="1" ht="13.35" hidden="1" customHeight="1">
      <c r="A500" s="440" t="s">
        <v>1002</v>
      </c>
      <c r="B500" s="543" t="s">
        <v>1316</v>
      </c>
      <c r="C500" s="616"/>
      <c r="D500" s="946">
        <v>0</v>
      </c>
      <c r="E500" s="521">
        <v>0</v>
      </c>
      <c r="F500" s="520">
        <v>0</v>
      </c>
      <c r="G500" s="695"/>
      <c r="H500" s="669">
        <v>0</v>
      </c>
    </row>
    <row r="501" spans="1:8" s="500" customFormat="1" ht="13.35" hidden="1" customHeight="1">
      <c r="A501" s="542" t="s">
        <v>1003</v>
      </c>
      <c r="B501" s="542" t="s">
        <v>1249</v>
      </c>
      <c r="C501" s="616"/>
      <c r="D501" s="946">
        <v>0</v>
      </c>
      <c r="E501" s="521">
        <v>0</v>
      </c>
      <c r="F501" s="520">
        <v>0</v>
      </c>
      <c r="G501" s="695" t="s">
        <v>1738</v>
      </c>
      <c r="H501" s="669">
        <v>28.21</v>
      </c>
    </row>
    <row r="502" spans="1:8" s="500" customFormat="1" ht="13.35" hidden="1" customHeight="1">
      <c r="A502" s="539" t="s">
        <v>1004</v>
      </c>
      <c r="B502" s="539" t="s">
        <v>1317</v>
      </c>
      <c r="C502" s="548" t="s">
        <v>37</v>
      </c>
      <c r="D502" s="946">
        <v>0</v>
      </c>
      <c r="E502" s="521">
        <v>0</v>
      </c>
      <c r="F502" s="520">
        <v>0</v>
      </c>
      <c r="G502" s="695"/>
      <c r="H502" s="669">
        <v>0</v>
      </c>
    </row>
    <row r="503" spans="1:8" s="500" customFormat="1" ht="13.35" hidden="1" customHeight="1">
      <c r="A503" s="542" t="s">
        <v>1005</v>
      </c>
      <c r="B503" s="542" t="s">
        <v>1318</v>
      </c>
      <c r="C503" s="616"/>
      <c r="D503" s="946">
        <v>0</v>
      </c>
      <c r="E503" s="521">
        <v>0</v>
      </c>
      <c r="F503" s="520">
        <v>0</v>
      </c>
      <c r="G503" s="695" t="s">
        <v>1739</v>
      </c>
      <c r="H503" s="669">
        <v>5.9</v>
      </c>
    </row>
    <row r="504" spans="1:8" s="500" customFormat="1" ht="13.35" hidden="1" customHeight="1">
      <c r="A504" s="539" t="s">
        <v>1006</v>
      </c>
      <c r="B504" s="539" t="s">
        <v>1319</v>
      </c>
      <c r="C504" s="548" t="s">
        <v>40</v>
      </c>
      <c r="D504" s="946">
        <v>0</v>
      </c>
      <c r="E504" s="521">
        <v>0</v>
      </c>
      <c r="F504" s="520">
        <v>0</v>
      </c>
      <c r="G504" s="695" t="s">
        <v>1678</v>
      </c>
      <c r="H504" s="669">
        <v>18.920000000000002</v>
      </c>
    </row>
    <row r="505" spans="1:8" s="500" customFormat="1" ht="13.35" hidden="1" customHeight="1">
      <c r="A505" s="539" t="s">
        <v>1007</v>
      </c>
      <c r="B505" s="539" t="s">
        <v>1196</v>
      </c>
      <c r="C505" s="548" t="s">
        <v>37</v>
      </c>
      <c r="D505" s="946">
        <v>0</v>
      </c>
      <c r="E505" s="521">
        <v>0</v>
      </c>
      <c r="F505" s="520">
        <v>0</v>
      </c>
      <c r="G505" s="695"/>
      <c r="H505" s="669">
        <v>0</v>
      </c>
    </row>
    <row r="506" spans="1:8" s="500" customFormat="1" ht="13.35" hidden="1" customHeight="1">
      <c r="A506" s="542" t="s">
        <v>1008</v>
      </c>
      <c r="B506" s="542" t="s">
        <v>1291</v>
      </c>
      <c r="C506" s="616"/>
      <c r="D506" s="946">
        <v>0</v>
      </c>
      <c r="E506" s="521">
        <v>0</v>
      </c>
      <c r="F506" s="520">
        <v>0</v>
      </c>
      <c r="G506" s="695" t="s">
        <v>1628</v>
      </c>
      <c r="H506" s="669">
        <v>90.62</v>
      </c>
    </row>
    <row r="507" spans="1:8" s="500" customFormat="1" ht="13.35" hidden="1" customHeight="1">
      <c r="A507" s="539" t="s">
        <v>1009</v>
      </c>
      <c r="B507" s="539" t="s">
        <v>1320</v>
      </c>
      <c r="C507" s="548" t="s">
        <v>38</v>
      </c>
      <c r="D507" s="946">
        <v>0</v>
      </c>
      <c r="E507" s="521">
        <v>0</v>
      </c>
      <c r="F507" s="520">
        <v>0</v>
      </c>
      <c r="G507" s="695"/>
      <c r="H507" s="669">
        <v>0</v>
      </c>
    </row>
    <row r="508" spans="1:8" s="500" customFormat="1" ht="13.35" hidden="1" customHeight="1">
      <c r="A508" s="542" t="s">
        <v>1010</v>
      </c>
      <c r="B508" s="542" t="s">
        <v>1321</v>
      </c>
      <c r="C508" s="616"/>
      <c r="D508" s="946">
        <v>0</v>
      </c>
      <c r="E508" s="521">
        <v>0</v>
      </c>
      <c r="F508" s="520">
        <v>0</v>
      </c>
      <c r="G508" s="695" t="s">
        <v>1740</v>
      </c>
      <c r="H508" s="669">
        <v>36.799999999999997</v>
      </c>
    </row>
    <row r="509" spans="1:8" s="500" customFormat="1" ht="13.35" hidden="1" customHeight="1">
      <c r="A509" s="539" t="s">
        <v>1011</v>
      </c>
      <c r="B509" s="539" t="s">
        <v>1314</v>
      </c>
      <c r="C509" s="548" t="s">
        <v>38</v>
      </c>
      <c r="D509" s="946">
        <v>0</v>
      </c>
      <c r="E509" s="521">
        <v>0</v>
      </c>
      <c r="F509" s="520">
        <v>0</v>
      </c>
      <c r="G509" s="695"/>
      <c r="H509" s="669">
        <v>0</v>
      </c>
    </row>
    <row r="510" spans="1:8" s="500" customFormat="1" ht="13.35" hidden="1" customHeight="1">
      <c r="A510" s="440" t="s">
        <v>1012</v>
      </c>
      <c r="B510" s="543" t="s">
        <v>1322</v>
      </c>
      <c r="C510" s="616"/>
      <c r="D510" s="946">
        <v>0</v>
      </c>
      <c r="E510" s="521">
        <v>0</v>
      </c>
      <c r="F510" s="520">
        <v>0</v>
      </c>
      <c r="G510" s="695"/>
      <c r="H510" s="669">
        <v>0</v>
      </c>
    </row>
    <row r="511" spans="1:8" s="500" customFormat="1" ht="13.35" hidden="1" customHeight="1">
      <c r="A511" s="542" t="s">
        <v>1013</v>
      </c>
      <c r="B511" s="542" t="s">
        <v>1323</v>
      </c>
      <c r="C511" s="616"/>
      <c r="D511" s="946">
        <v>0</v>
      </c>
      <c r="E511" s="521">
        <v>0</v>
      </c>
      <c r="F511" s="520">
        <v>0</v>
      </c>
      <c r="G511" s="695" t="s">
        <v>1741</v>
      </c>
      <c r="H511" s="669">
        <v>42.32</v>
      </c>
    </row>
    <row r="512" spans="1:8" s="500" customFormat="1" ht="13.35" hidden="1" customHeight="1">
      <c r="A512" s="539" t="s">
        <v>1014</v>
      </c>
      <c r="B512" s="539" t="s">
        <v>1324</v>
      </c>
      <c r="C512" s="548" t="s">
        <v>37</v>
      </c>
      <c r="D512" s="946">
        <v>0</v>
      </c>
      <c r="E512" s="521">
        <v>0</v>
      </c>
      <c r="F512" s="520">
        <v>0</v>
      </c>
      <c r="G512" s="695" t="s">
        <v>1741</v>
      </c>
      <c r="H512" s="669">
        <v>42.32</v>
      </c>
    </row>
    <row r="513" spans="1:8" s="500" customFormat="1" ht="13.35" hidden="1" customHeight="1">
      <c r="A513" s="539" t="s">
        <v>1015</v>
      </c>
      <c r="B513" s="539" t="s">
        <v>1325</v>
      </c>
      <c r="C513" s="548" t="s">
        <v>37</v>
      </c>
      <c r="D513" s="946">
        <v>0</v>
      </c>
      <c r="E513" s="521">
        <v>0</v>
      </c>
      <c r="F513" s="520">
        <v>0</v>
      </c>
      <c r="G513" s="695" t="s">
        <v>1742</v>
      </c>
      <c r="H513" s="669">
        <v>10</v>
      </c>
    </row>
    <row r="514" spans="1:8" s="500" customFormat="1" ht="14.1" hidden="1" customHeight="1">
      <c r="A514" s="539" t="s">
        <v>1016</v>
      </c>
      <c r="B514" s="539" t="s">
        <v>1326</v>
      </c>
      <c r="C514" s="548" t="s">
        <v>36</v>
      </c>
      <c r="D514" s="946">
        <v>0</v>
      </c>
      <c r="E514" s="521">
        <v>0</v>
      </c>
      <c r="F514" s="520">
        <v>0</v>
      </c>
      <c r="G514" s="695"/>
      <c r="H514" s="669">
        <v>0</v>
      </c>
    </row>
    <row r="515" spans="1:8" s="843" customFormat="1" ht="13.35" hidden="1" customHeight="1">
      <c r="A515" s="949" t="s">
        <v>488</v>
      </c>
      <c r="B515" s="949" t="s">
        <v>1327</v>
      </c>
      <c r="C515" s="951"/>
      <c r="D515" s="946">
        <v>0</v>
      </c>
      <c r="E515" s="521">
        <v>0</v>
      </c>
      <c r="F515" s="520">
        <v>0</v>
      </c>
      <c r="G515" s="848"/>
      <c r="H515" s="842">
        <v>0</v>
      </c>
    </row>
    <row r="516" spans="1:8" s="500" customFormat="1" ht="13.35" hidden="1" customHeight="1">
      <c r="A516" s="440" t="s">
        <v>489</v>
      </c>
      <c r="B516" s="543" t="s">
        <v>1328</v>
      </c>
      <c r="C516" s="616"/>
      <c r="D516" s="946">
        <v>0</v>
      </c>
      <c r="E516" s="521">
        <v>0</v>
      </c>
      <c r="F516" s="520">
        <v>0</v>
      </c>
      <c r="G516" s="695" t="s">
        <v>1671</v>
      </c>
      <c r="H516" s="669">
        <v>4</v>
      </c>
    </row>
    <row r="517" spans="1:8" s="500" customFormat="1" ht="13.35" hidden="1" customHeight="1">
      <c r="A517" s="542" t="s">
        <v>490</v>
      </c>
      <c r="B517" s="542" t="s">
        <v>1329</v>
      </c>
      <c r="C517" s="548" t="s">
        <v>1450</v>
      </c>
      <c r="D517" s="946">
        <v>0</v>
      </c>
      <c r="E517" s="521">
        <v>0</v>
      </c>
      <c r="F517" s="520">
        <v>0</v>
      </c>
      <c r="G517" s="695" t="s">
        <v>1698</v>
      </c>
      <c r="H517" s="669">
        <v>2</v>
      </c>
    </row>
    <row r="518" spans="1:8" s="500" customFormat="1" ht="13.35" hidden="1" customHeight="1">
      <c r="A518" s="542" t="s">
        <v>491</v>
      </c>
      <c r="B518" s="542" t="s">
        <v>1330</v>
      </c>
      <c r="C518" s="548" t="s">
        <v>1450</v>
      </c>
      <c r="D518" s="946">
        <v>0</v>
      </c>
      <c r="E518" s="521">
        <v>0</v>
      </c>
      <c r="F518" s="520">
        <v>0</v>
      </c>
      <c r="G518" s="695" t="s">
        <v>1671</v>
      </c>
      <c r="H518" s="669">
        <v>4</v>
      </c>
    </row>
    <row r="519" spans="1:8" s="500" customFormat="1" ht="13.35" hidden="1" customHeight="1">
      <c r="A519" s="542" t="s">
        <v>492</v>
      </c>
      <c r="B519" s="542" t="s">
        <v>1331</v>
      </c>
      <c r="C519" s="548" t="s">
        <v>1450</v>
      </c>
      <c r="D519" s="946">
        <v>0</v>
      </c>
      <c r="E519" s="521">
        <v>0</v>
      </c>
      <c r="F519" s="520">
        <v>0</v>
      </c>
      <c r="G519" s="695" t="s">
        <v>1698</v>
      </c>
      <c r="H519" s="669">
        <v>2</v>
      </c>
    </row>
    <row r="520" spans="1:8" s="500" customFormat="1" ht="13.35" hidden="1" customHeight="1">
      <c r="A520" s="542" t="s">
        <v>1017</v>
      </c>
      <c r="B520" s="542" t="s">
        <v>1332</v>
      </c>
      <c r="C520" s="548" t="s">
        <v>1450</v>
      </c>
      <c r="D520" s="946">
        <v>0</v>
      </c>
      <c r="E520" s="521">
        <v>0</v>
      </c>
      <c r="F520" s="520">
        <v>0</v>
      </c>
      <c r="G520" s="695" t="s">
        <v>1455</v>
      </c>
      <c r="H520" s="669">
        <v>1</v>
      </c>
    </row>
    <row r="521" spans="1:8" s="500" customFormat="1" ht="13.35" hidden="1" customHeight="1">
      <c r="A521" s="542" t="s">
        <v>1018</v>
      </c>
      <c r="B521" s="542" t="s">
        <v>1333</v>
      </c>
      <c r="C521" s="548" t="s">
        <v>1450</v>
      </c>
      <c r="D521" s="946">
        <v>0</v>
      </c>
      <c r="E521" s="521">
        <v>0</v>
      </c>
      <c r="F521" s="520">
        <v>0</v>
      </c>
      <c r="G521" s="695" t="s">
        <v>1617</v>
      </c>
      <c r="H521" s="669">
        <v>6</v>
      </c>
    </row>
    <row r="522" spans="1:8" s="500" customFormat="1" ht="13.35" hidden="1" customHeight="1">
      <c r="A522" s="542" t="s">
        <v>1019</v>
      </c>
      <c r="B522" s="542" t="s">
        <v>1334</v>
      </c>
      <c r="C522" s="548" t="s">
        <v>1450</v>
      </c>
      <c r="D522" s="946">
        <v>0</v>
      </c>
      <c r="E522" s="521">
        <v>0</v>
      </c>
      <c r="F522" s="520">
        <v>0</v>
      </c>
      <c r="G522" s="695" t="s">
        <v>1671</v>
      </c>
      <c r="H522" s="669">
        <v>4</v>
      </c>
    </row>
    <row r="523" spans="1:8" s="500" customFormat="1" ht="13.35" hidden="1" customHeight="1">
      <c r="A523" s="542" t="s">
        <v>1020</v>
      </c>
      <c r="B523" s="542" t="s">
        <v>1335</v>
      </c>
      <c r="C523" s="548" t="s">
        <v>1450</v>
      </c>
      <c r="D523" s="946">
        <v>0</v>
      </c>
      <c r="E523" s="521">
        <v>0</v>
      </c>
      <c r="F523" s="520">
        <v>0</v>
      </c>
      <c r="G523" s="695" t="s">
        <v>1455</v>
      </c>
      <c r="H523" s="669">
        <v>1</v>
      </c>
    </row>
    <row r="524" spans="1:8" s="500" customFormat="1" ht="13.35" hidden="1" customHeight="1">
      <c r="A524" s="542" t="s">
        <v>1021</v>
      </c>
      <c r="B524" s="542" t="s">
        <v>1336</v>
      </c>
      <c r="C524" s="548" t="s">
        <v>1451</v>
      </c>
      <c r="D524" s="946">
        <v>0</v>
      </c>
      <c r="E524" s="521">
        <v>0</v>
      </c>
      <c r="F524" s="520">
        <v>0</v>
      </c>
      <c r="G524" s="695" t="s">
        <v>1455</v>
      </c>
      <c r="H524" s="669">
        <v>1</v>
      </c>
    </row>
    <row r="525" spans="1:8" s="500" customFormat="1" ht="13.35" hidden="1" customHeight="1">
      <c r="A525" s="542" t="s">
        <v>1022</v>
      </c>
      <c r="B525" s="542" t="s">
        <v>1337</v>
      </c>
      <c r="C525" s="548" t="s">
        <v>41</v>
      </c>
      <c r="D525" s="946">
        <v>0</v>
      </c>
      <c r="E525" s="521">
        <v>0</v>
      </c>
      <c r="F525" s="520">
        <v>0</v>
      </c>
      <c r="G525" s="695" t="s">
        <v>1455</v>
      </c>
      <c r="H525" s="669">
        <v>1</v>
      </c>
    </row>
    <row r="526" spans="1:8" s="500" customFormat="1" ht="13.35" hidden="1" customHeight="1">
      <c r="A526" s="542" t="s">
        <v>1023</v>
      </c>
      <c r="B526" s="542" t="s">
        <v>1338</v>
      </c>
      <c r="C526" s="548" t="s">
        <v>1450</v>
      </c>
      <c r="D526" s="946">
        <v>0</v>
      </c>
      <c r="E526" s="521">
        <v>0</v>
      </c>
      <c r="F526" s="520">
        <v>0</v>
      </c>
      <c r="G526" s="695" t="s">
        <v>1743</v>
      </c>
      <c r="H526" s="669">
        <v>19</v>
      </c>
    </row>
    <row r="527" spans="1:8" s="500" customFormat="1" ht="13.35" hidden="1" customHeight="1">
      <c r="A527" s="542" t="s">
        <v>1024</v>
      </c>
      <c r="B527" s="542" t="s">
        <v>1339</v>
      </c>
      <c r="C527" s="548" t="s">
        <v>1451</v>
      </c>
      <c r="D527" s="946">
        <v>0</v>
      </c>
      <c r="E527" s="521">
        <v>0</v>
      </c>
      <c r="F527" s="520">
        <v>0</v>
      </c>
      <c r="G527" s="695"/>
      <c r="H527" s="669">
        <v>0</v>
      </c>
    </row>
    <row r="528" spans="1:8" s="500" customFormat="1" ht="13.35" hidden="1" customHeight="1">
      <c r="A528" s="440" t="s">
        <v>493</v>
      </c>
      <c r="B528" s="543" t="s">
        <v>1340</v>
      </c>
      <c r="C528" s="616"/>
      <c r="D528" s="946">
        <v>0</v>
      </c>
      <c r="E528" s="521">
        <v>0</v>
      </c>
      <c r="F528" s="520">
        <v>0</v>
      </c>
      <c r="G528" s="695" t="s">
        <v>1671</v>
      </c>
      <c r="H528" s="669">
        <v>4</v>
      </c>
    </row>
    <row r="529" spans="1:8" s="500" customFormat="1" ht="13.35" hidden="1" customHeight="1">
      <c r="A529" s="542" t="s">
        <v>494</v>
      </c>
      <c r="B529" s="542" t="s">
        <v>1341</v>
      </c>
      <c r="C529" s="548" t="s">
        <v>1452</v>
      </c>
      <c r="D529" s="946">
        <v>0</v>
      </c>
      <c r="E529" s="521">
        <v>0</v>
      </c>
      <c r="F529" s="520">
        <v>0</v>
      </c>
      <c r="G529" s="695" t="s">
        <v>1617</v>
      </c>
      <c r="H529" s="669">
        <v>6</v>
      </c>
    </row>
    <row r="530" spans="1:8" s="500" customFormat="1" ht="13.35" hidden="1" customHeight="1">
      <c r="A530" s="542" t="s">
        <v>495</v>
      </c>
      <c r="B530" s="542" t="s">
        <v>1342</v>
      </c>
      <c r="C530" s="548" t="s">
        <v>1452</v>
      </c>
      <c r="D530" s="946">
        <v>0</v>
      </c>
      <c r="E530" s="521">
        <v>0</v>
      </c>
      <c r="F530" s="520">
        <v>0</v>
      </c>
      <c r="G530" s="695" t="s">
        <v>1742</v>
      </c>
      <c r="H530" s="669">
        <v>10</v>
      </c>
    </row>
    <row r="531" spans="1:8" s="500" customFormat="1" ht="13.35" hidden="1" customHeight="1">
      <c r="A531" s="542" t="s">
        <v>496</v>
      </c>
      <c r="B531" s="542" t="s">
        <v>1343</v>
      </c>
      <c r="C531" s="548" t="s">
        <v>1452</v>
      </c>
      <c r="D531" s="946">
        <v>0</v>
      </c>
      <c r="E531" s="521">
        <v>0</v>
      </c>
      <c r="F531" s="520">
        <v>0</v>
      </c>
      <c r="G531" s="695" t="s">
        <v>1744</v>
      </c>
      <c r="H531" s="669">
        <v>32.450000000000003</v>
      </c>
    </row>
    <row r="532" spans="1:8" s="500" customFormat="1" ht="13.35" hidden="1" customHeight="1">
      <c r="A532" s="542" t="s">
        <v>1025</v>
      </c>
      <c r="B532" s="542" t="s">
        <v>1344</v>
      </c>
      <c r="C532" s="548" t="s">
        <v>38</v>
      </c>
      <c r="D532" s="946">
        <v>0</v>
      </c>
      <c r="E532" s="521">
        <v>0</v>
      </c>
      <c r="F532" s="520">
        <v>0</v>
      </c>
      <c r="G532" s="695" t="s">
        <v>1745</v>
      </c>
      <c r="H532" s="669">
        <v>45.55</v>
      </c>
    </row>
    <row r="533" spans="1:8" s="500" customFormat="1" ht="13.35" hidden="1" customHeight="1">
      <c r="A533" s="542" t="s">
        <v>1026</v>
      </c>
      <c r="B533" s="542" t="s">
        <v>1345</v>
      </c>
      <c r="C533" s="548" t="s">
        <v>38</v>
      </c>
      <c r="D533" s="946">
        <v>0</v>
      </c>
      <c r="E533" s="521">
        <v>0</v>
      </c>
      <c r="F533" s="520">
        <v>0</v>
      </c>
      <c r="G533" s="695" t="s">
        <v>1671</v>
      </c>
      <c r="H533" s="669">
        <v>4</v>
      </c>
    </row>
    <row r="534" spans="1:8" s="500" customFormat="1" ht="13.35" hidden="1" customHeight="1">
      <c r="A534" s="542" t="s">
        <v>1027</v>
      </c>
      <c r="B534" s="542" t="s">
        <v>1346</v>
      </c>
      <c r="C534" s="548" t="s">
        <v>1450</v>
      </c>
      <c r="D534" s="946">
        <v>0</v>
      </c>
      <c r="E534" s="521">
        <v>0</v>
      </c>
      <c r="F534" s="520">
        <v>0</v>
      </c>
      <c r="G534" s="695" t="s">
        <v>1698</v>
      </c>
      <c r="H534" s="669">
        <v>2</v>
      </c>
    </row>
    <row r="535" spans="1:8" s="500" customFormat="1" ht="13.35" hidden="1" customHeight="1">
      <c r="A535" s="542" t="s">
        <v>1028</v>
      </c>
      <c r="B535" s="542" t="s">
        <v>1347</v>
      </c>
      <c r="C535" s="548" t="s">
        <v>1450</v>
      </c>
      <c r="D535" s="946">
        <v>0</v>
      </c>
      <c r="E535" s="521">
        <v>0</v>
      </c>
      <c r="F535" s="520">
        <v>0</v>
      </c>
      <c r="G535" s="695" t="s">
        <v>1617</v>
      </c>
      <c r="H535" s="669">
        <v>6</v>
      </c>
    </row>
    <row r="536" spans="1:8" s="500" customFormat="1" ht="13.35" hidden="1" customHeight="1">
      <c r="A536" s="542" t="s">
        <v>1029</v>
      </c>
      <c r="B536" s="542" t="s">
        <v>1348</v>
      </c>
      <c r="C536" s="548" t="s">
        <v>1450</v>
      </c>
      <c r="D536" s="946">
        <v>0</v>
      </c>
      <c r="E536" s="521">
        <v>0</v>
      </c>
      <c r="F536" s="520">
        <v>0</v>
      </c>
      <c r="G536" s="695" t="s">
        <v>1617</v>
      </c>
      <c r="H536" s="669">
        <v>6</v>
      </c>
    </row>
    <row r="537" spans="1:8" s="500" customFormat="1" ht="13.35" hidden="1" customHeight="1">
      <c r="A537" s="542" t="s">
        <v>1030</v>
      </c>
      <c r="B537" s="542" t="s">
        <v>1349</v>
      </c>
      <c r="C537" s="548" t="s">
        <v>1450</v>
      </c>
      <c r="D537" s="946">
        <v>0</v>
      </c>
      <c r="E537" s="521">
        <v>0</v>
      </c>
      <c r="F537" s="520">
        <v>0</v>
      </c>
      <c r="G537" s="695" t="s">
        <v>1617</v>
      </c>
      <c r="H537" s="669">
        <v>6</v>
      </c>
    </row>
    <row r="538" spans="1:8" s="500" customFormat="1" ht="13.35" hidden="1" customHeight="1">
      <c r="A538" s="542" t="s">
        <v>1031</v>
      </c>
      <c r="B538" s="542" t="s">
        <v>1350</v>
      </c>
      <c r="C538" s="548" t="s">
        <v>1451</v>
      </c>
      <c r="D538" s="946">
        <v>0</v>
      </c>
      <c r="E538" s="521">
        <v>0</v>
      </c>
      <c r="F538" s="520">
        <v>0</v>
      </c>
      <c r="G538" s="695"/>
      <c r="H538" s="669">
        <v>0</v>
      </c>
    </row>
    <row r="539" spans="1:8" s="500" customFormat="1" ht="13.35" hidden="1" customHeight="1">
      <c r="A539" s="440" t="s">
        <v>497</v>
      </c>
      <c r="B539" s="543" t="s">
        <v>1351</v>
      </c>
      <c r="C539" s="616"/>
      <c r="D539" s="946">
        <v>0</v>
      </c>
      <c r="E539" s="521">
        <v>0</v>
      </c>
      <c r="F539" s="520">
        <v>0</v>
      </c>
      <c r="G539" s="695" t="s">
        <v>1746</v>
      </c>
      <c r="H539" s="669">
        <v>18.04</v>
      </c>
    </row>
    <row r="540" spans="1:8" s="500" customFormat="1" ht="13.35" hidden="1" customHeight="1">
      <c r="A540" s="542" t="s">
        <v>498</v>
      </c>
      <c r="B540" s="542" t="s">
        <v>1352</v>
      </c>
      <c r="C540" s="548" t="s">
        <v>40</v>
      </c>
      <c r="D540" s="946">
        <v>0</v>
      </c>
      <c r="E540" s="521">
        <v>0</v>
      </c>
      <c r="F540" s="520">
        <v>0</v>
      </c>
      <c r="G540" s="695" t="s">
        <v>1746</v>
      </c>
      <c r="H540" s="669">
        <v>18.04</v>
      </c>
    </row>
    <row r="541" spans="1:8" s="500" customFormat="1" ht="13.35" hidden="1" customHeight="1">
      <c r="A541" s="542" t="s">
        <v>499</v>
      </c>
      <c r="B541" s="542" t="s">
        <v>1353</v>
      </c>
      <c r="C541" s="548" t="s">
        <v>40</v>
      </c>
      <c r="D541" s="946">
        <v>0</v>
      </c>
      <c r="E541" s="521">
        <v>0</v>
      </c>
      <c r="F541" s="520">
        <v>0</v>
      </c>
      <c r="G541" s="695" t="s">
        <v>1455</v>
      </c>
      <c r="H541" s="669">
        <v>1</v>
      </c>
    </row>
    <row r="542" spans="1:8" s="500" customFormat="1" ht="13.35" hidden="1" customHeight="1">
      <c r="A542" s="542" t="s">
        <v>1032</v>
      </c>
      <c r="B542" s="542" t="s">
        <v>1354</v>
      </c>
      <c r="C542" s="548" t="s">
        <v>36</v>
      </c>
      <c r="D542" s="946">
        <v>0</v>
      </c>
      <c r="E542" s="521">
        <v>0</v>
      </c>
      <c r="F542" s="520">
        <v>0</v>
      </c>
      <c r="G542" s="695" t="s">
        <v>1455</v>
      </c>
      <c r="H542" s="669">
        <v>1</v>
      </c>
    </row>
    <row r="543" spans="1:8" s="500" customFormat="1" ht="13.35" hidden="1" customHeight="1">
      <c r="A543" s="542" t="s">
        <v>1033</v>
      </c>
      <c r="B543" s="542" t="s">
        <v>1355</v>
      </c>
      <c r="C543" s="548" t="s">
        <v>41</v>
      </c>
      <c r="D543" s="946">
        <v>0</v>
      </c>
      <c r="E543" s="521">
        <v>0</v>
      </c>
      <c r="F543" s="520">
        <v>0</v>
      </c>
      <c r="G543" s="695"/>
      <c r="H543" s="669">
        <v>0</v>
      </c>
    </row>
    <row r="544" spans="1:8" s="500" customFormat="1" ht="13.35" hidden="1" customHeight="1">
      <c r="A544" s="440" t="s">
        <v>500</v>
      </c>
      <c r="B544" s="543" t="s">
        <v>1356</v>
      </c>
      <c r="C544" s="616"/>
      <c r="D544" s="946">
        <v>0</v>
      </c>
      <c r="E544" s="521">
        <v>0</v>
      </c>
      <c r="F544" s="520">
        <v>0</v>
      </c>
      <c r="G544" s="695" t="s">
        <v>1747</v>
      </c>
      <c r="H544" s="669">
        <v>10.08</v>
      </c>
    </row>
    <row r="545" spans="1:8" s="500" customFormat="1" ht="13.35" hidden="1" customHeight="1">
      <c r="A545" s="542" t="s">
        <v>501</v>
      </c>
      <c r="B545" s="542" t="s">
        <v>1352</v>
      </c>
      <c r="C545" s="548" t="s">
        <v>40</v>
      </c>
      <c r="D545" s="946">
        <v>0</v>
      </c>
      <c r="E545" s="521">
        <v>0</v>
      </c>
      <c r="F545" s="520">
        <v>0</v>
      </c>
      <c r="G545" s="695" t="s">
        <v>1747</v>
      </c>
      <c r="H545" s="669">
        <v>10.08</v>
      </c>
    </row>
    <row r="546" spans="1:8" s="500" customFormat="1" ht="13.35" hidden="1" customHeight="1">
      <c r="A546" s="542" t="s">
        <v>502</v>
      </c>
      <c r="B546" s="542" t="s">
        <v>1353</v>
      </c>
      <c r="C546" s="548" t="s">
        <v>40</v>
      </c>
      <c r="D546" s="946">
        <v>0</v>
      </c>
      <c r="E546" s="521">
        <v>0</v>
      </c>
      <c r="F546" s="520">
        <v>0</v>
      </c>
      <c r="G546" s="695" t="s">
        <v>1748</v>
      </c>
      <c r="H546" s="669">
        <v>5.04</v>
      </c>
    </row>
    <row r="547" spans="1:8" s="500" customFormat="1" ht="13.35" hidden="1" customHeight="1">
      <c r="A547" s="542" t="s">
        <v>503</v>
      </c>
      <c r="B547" s="542" t="s">
        <v>1357</v>
      </c>
      <c r="C547" s="548" t="s">
        <v>40</v>
      </c>
      <c r="D547" s="946">
        <v>0</v>
      </c>
      <c r="E547" s="521">
        <v>0</v>
      </c>
      <c r="F547" s="520">
        <v>0</v>
      </c>
      <c r="G547" s="695" t="s">
        <v>1455</v>
      </c>
      <c r="H547" s="669">
        <v>1</v>
      </c>
    </row>
    <row r="548" spans="1:8" s="500" customFormat="1" ht="13.35" hidden="1" customHeight="1">
      <c r="A548" s="542" t="s">
        <v>504</v>
      </c>
      <c r="B548" s="542" t="s">
        <v>1358</v>
      </c>
      <c r="C548" s="548" t="s">
        <v>41</v>
      </c>
      <c r="D548" s="946">
        <v>0</v>
      </c>
      <c r="E548" s="521">
        <v>0</v>
      </c>
      <c r="F548" s="520">
        <v>0</v>
      </c>
      <c r="G548" s="695" t="s">
        <v>1602</v>
      </c>
      <c r="H548" s="669">
        <v>24</v>
      </c>
    </row>
    <row r="549" spans="1:8" s="500" customFormat="1" ht="13.35" hidden="1" customHeight="1">
      <c r="A549" s="542" t="s">
        <v>1034</v>
      </c>
      <c r="B549" s="542" t="s">
        <v>1359</v>
      </c>
      <c r="C549" s="548" t="s">
        <v>38</v>
      </c>
      <c r="D549" s="946">
        <v>0</v>
      </c>
      <c r="E549" s="521">
        <v>0</v>
      </c>
      <c r="F549" s="520">
        <v>0</v>
      </c>
      <c r="G549" s="695"/>
      <c r="H549" s="669">
        <v>0</v>
      </c>
    </row>
    <row r="550" spans="1:8" ht="13.35" hidden="1" customHeight="1">
      <c r="A550" s="440" t="s">
        <v>505</v>
      </c>
      <c r="B550" s="543" t="s">
        <v>1360</v>
      </c>
      <c r="C550" s="616"/>
      <c r="D550" s="946">
        <v>0</v>
      </c>
      <c r="E550" s="521">
        <v>0</v>
      </c>
      <c r="F550" s="520">
        <v>0</v>
      </c>
      <c r="G550" s="695" t="s">
        <v>1493</v>
      </c>
      <c r="H550" s="669">
        <v>15</v>
      </c>
    </row>
    <row r="551" spans="1:8" ht="13.35" hidden="1" customHeight="1">
      <c r="A551" s="542" t="s">
        <v>506</v>
      </c>
      <c r="B551" s="542" t="s">
        <v>1361</v>
      </c>
      <c r="C551" s="548" t="s">
        <v>1452</v>
      </c>
      <c r="D551" s="946">
        <v>0</v>
      </c>
      <c r="E551" s="521">
        <v>0</v>
      </c>
      <c r="F551" s="520">
        <v>0</v>
      </c>
      <c r="G551" s="695" t="s">
        <v>1749</v>
      </c>
      <c r="H551" s="669">
        <v>31.6</v>
      </c>
    </row>
    <row r="552" spans="1:8" ht="13.35" hidden="1" customHeight="1">
      <c r="A552" s="542" t="s">
        <v>507</v>
      </c>
      <c r="B552" s="542" t="s">
        <v>1362</v>
      </c>
      <c r="C552" s="548" t="s">
        <v>38</v>
      </c>
      <c r="D552" s="946">
        <v>0</v>
      </c>
      <c r="E552" s="521">
        <v>0</v>
      </c>
      <c r="F552" s="520">
        <v>0</v>
      </c>
      <c r="G552" s="695" t="s">
        <v>1750</v>
      </c>
      <c r="H552" s="669">
        <v>46.35</v>
      </c>
    </row>
    <row r="553" spans="1:8" ht="13.35" hidden="1" customHeight="1">
      <c r="A553" s="542" t="s">
        <v>508</v>
      </c>
      <c r="B553" s="542" t="s">
        <v>1363</v>
      </c>
      <c r="C553" s="548" t="s">
        <v>38</v>
      </c>
      <c r="D553" s="946">
        <v>0</v>
      </c>
      <c r="E553" s="521">
        <v>0</v>
      </c>
      <c r="F553" s="520">
        <v>0</v>
      </c>
      <c r="G553" s="695" t="s">
        <v>1617</v>
      </c>
      <c r="H553" s="669">
        <v>6</v>
      </c>
    </row>
    <row r="554" spans="1:8" ht="13.35" hidden="1" customHeight="1">
      <c r="A554" s="542" t="s">
        <v>1035</v>
      </c>
      <c r="B554" s="542" t="s">
        <v>1364</v>
      </c>
      <c r="C554" s="548" t="s">
        <v>1450</v>
      </c>
      <c r="D554" s="946">
        <v>0</v>
      </c>
      <c r="E554" s="521">
        <v>0</v>
      </c>
      <c r="F554" s="520">
        <v>0</v>
      </c>
      <c r="G554" s="695" t="s">
        <v>1455</v>
      </c>
      <c r="H554" s="669">
        <v>1</v>
      </c>
    </row>
    <row r="555" spans="1:8" ht="13.35" hidden="1" customHeight="1">
      <c r="A555" s="542" t="s">
        <v>1036</v>
      </c>
      <c r="B555" s="542" t="s">
        <v>1365</v>
      </c>
      <c r="C555" s="548" t="s">
        <v>1451</v>
      </c>
      <c r="D555" s="946">
        <v>0</v>
      </c>
      <c r="E555" s="521">
        <v>0</v>
      </c>
      <c r="F555" s="520">
        <v>0</v>
      </c>
      <c r="G555" s="695" t="s">
        <v>1698</v>
      </c>
      <c r="H555" s="669">
        <v>2</v>
      </c>
    </row>
    <row r="556" spans="1:8" ht="13.35" hidden="1" customHeight="1">
      <c r="A556" s="542" t="s">
        <v>1037</v>
      </c>
      <c r="B556" s="542" t="s">
        <v>1366</v>
      </c>
      <c r="C556" s="548" t="s">
        <v>1450</v>
      </c>
      <c r="D556" s="946">
        <v>0</v>
      </c>
      <c r="E556" s="521">
        <v>0</v>
      </c>
      <c r="F556" s="520">
        <v>0</v>
      </c>
      <c r="G556" s="695"/>
      <c r="H556" s="669">
        <v>0</v>
      </c>
    </row>
    <row r="557" spans="1:8" ht="13.35" hidden="1" customHeight="1">
      <c r="A557" s="440" t="s">
        <v>1038</v>
      </c>
      <c r="B557" s="543" t="s">
        <v>1367</v>
      </c>
      <c r="C557" s="548"/>
      <c r="D557" s="946">
        <v>0</v>
      </c>
      <c r="E557" s="521">
        <v>0</v>
      </c>
      <c r="F557" s="520">
        <v>0</v>
      </c>
      <c r="G557" s="695" t="s">
        <v>1455</v>
      </c>
      <c r="H557" s="669">
        <v>1</v>
      </c>
    </row>
    <row r="558" spans="1:8" ht="13.35" hidden="1" customHeight="1">
      <c r="A558" s="542" t="s">
        <v>509</v>
      </c>
      <c r="B558" s="542" t="s">
        <v>1368</v>
      </c>
      <c r="C558" s="548" t="s">
        <v>64</v>
      </c>
      <c r="D558" s="946">
        <v>0</v>
      </c>
      <c r="E558" s="521">
        <v>0</v>
      </c>
      <c r="F558" s="520">
        <v>0</v>
      </c>
      <c r="G558" s="695" t="s">
        <v>1751</v>
      </c>
      <c r="H558" s="669">
        <v>77.95</v>
      </c>
    </row>
    <row r="559" spans="1:8" ht="13.35" hidden="1" customHeight="1">
      <c r="A559" s="542" t="s">
        <v>510</v>
      </c>
      <c r="B559" s="542" t="s">
        <v>1369</v>
      </c>
      <c r="C559" s="548" t="s">
        <v>38</v>
      </c>
      <c r="D559" s="946">
        <v>0</v>
      </c>
      <c r="E559" s="521">
        <v>0</v>
      </c>
      <c r="F559" s="520">
        <v>0</v>
      </c>
      <c r="G559" s="695"/>
      <c r="H559" s="669">
        <v>0</v>
      </c>
    </row>
    <row r="560" spans="1:8" ht="13.35" hidden="1" customHeight="1">
      <c r="A560" s="440" t="s">
        <v>1039</v>
      </c>
      <c r="B560" s="543" t="s">
        <v>1370</v>
      </c>
      <c r="C560" s="548"/>
      <c r="D560" s="946">
        <v>0</v>
      </c>
      <c r="E560" s="521">
        <v>0</v>
      </c>
      <c r="F560" s="520">
        <v>0</v>
      </c>
      <c r="G560" s="695" t="s">
        <v>1752</v>
      </c>
      <c r="H560" s="669">
        <v>110.78</v>
      </c>
    </row>
    <row r="561" spans="1:8" ht="13.35" hidden="1" customHeight="1">
      <c r="A561" s="542" t="s">
        <v>1040</v>
      </c>
      <c r="B561" s="542" t="s">
        <v>1371</v>
      </c>
      <c r="C561" s="548" t="s">
        <v>38</v>
      </c>
      <c r="D561" s="946">
        <v>0</v>
      </c>
      <c r="E561" s="521">
        <v>0</v>
      </c>
      <c r="F561" s="520">
        <v>0</v>
      </c>
      <c r="G561" s="695" t="s">
        <v>1753</v>
      </c>
      <c r="H561" s="669">
        <v>34</v>
      </c>
    </row>
    <row r="562" spans="1:8" ht="13.35" hidden="1" customHeight="1">
      <c r="A562" s="542" t="s">
        <v>1041</v>
      </c>
      <c r="B562" s="542" t="s">
        <v>1372</v>
      </c>
      <c r="C562" s="548" t="s">
        <v>1450</v>
      </c>
      <c r="D562" s="946">
        <v>0</v>
      </c>
      <c r="E562" s="521">
        <v>0</v>
      </c>
      <c r="F562" s="520">
        <v>0</v>
      </c>
      <c r="G562" s="695" t="s">
        <v>1754</v>
      </c>
      <c r="H562" s="669">
        <v>35.200000000000003</v>
      </c>
    </row>
    <row r="563" spans="1:8" ht="13.35" hidden="1" customHeight="1">
      <c r="A563" s="542" t="s">
        <v>1042</v>
      </c>
      <c r="B563" s="542" t="s">
        <v>1373</v>
      </c>
      <c r="C563" s="548" t="s">
        <v>37</v>
      </c>
      <c r="D563" s="946">
        <v>0</v>
      </c>
      <c r="E563" s="521">
        <v>0</v>
      </c>
      <c r="F563" s="520">
        <v>0</v>
      </c>
      <c r="G563" s="695" t="s">
        <v>1755</v>
      </c>
      <c r="H563" s="669">
        <v>1.32</v>
      </c>
    </row>
    <row r="564" spans="1:8" ht="13.35" hidden="1" customHeight="1">
      <c r="A564" s="542" t="s">
        <v>1043</v>
      </c>
      <c r="B564" s="542" t="s">
        <v>1374</v>
      </c>
      <c r="C564" s="548" t="s">
        <v>40</v>
      </c>
      <c r="D564" s="946">
        <v>0</v>
      </c>
      <c r="E564" s="521">
        <v>0</v>
      </c>
      <c r="F564" s="520">
        <v>0</v>
      </c>
      <c r="G564" s="695" t="s">
        <v>1756</v>
      </c>
      <c r="H564" s="669">
        <v>114.4</v>
      </c>
    </row>
    <row r="565" spans="1:8" ht="13.35" hidden="1" customHeight="1">
      <c r="A565" s="542" t="s">
        <v>1044</v>
      </c>
      <c r="B565" s="542" t="s">
        <v>1375</v>
      </c>
      <c r="C565" s="548" t="s">
        <v>48</v>
      </c>
      <c r="D565" s="946">
        <v>0</v>
      </c>
      <c r="E565" s="521">
        <v>0</v>
      </c>
      <c r="F565" s="520">
        <v>0</v>
      </c>
      <c r="G565" s="695" t="s">
        <v>1757</v>
      </c>
      <c r="H565" s="669">
        <v>89.98</v>
      </c>
    </row>
    <row r="566" spans="1:8" ht="13.35" hidden="1" customHeight="1">
      <c r="A566" s="542" t="s">
        <v>1045</v>
      </c>
      <c r="B566" s="542" t="s">
        <v>1376</v>
      </c>
      <c r="C566" s="548" t="s">
        <v>38</v>
      </c>
      <c r="D566" s="946">
        <v>0</v>
      </c>
      <c r="E566" s="521">
        <v>0</v>
      </c>
      <c r="F566" s="520">
        <v>0</v>
      </c>
      <c r="G566" s="695" t="s">
        <v>1758</v>
      </c>
      <c r="H566" s="669">
        <v>33.78</v>
      </c>
    </row>
    <row r="567" spans="1:8" ht="13.35" hidden="1" customHeight="1">
      <c r="A567" s="542" t="s">
        <v>1046</v>
      </c>
      <c r="B567" s="542" t="s">
        <v>1377</v>
      </c>
      <c r="C567" s="548" t="s">
        <v>38</v>
      </c>
      <c r="D567" s="946">
        <v>0</v>
      </c>
      <c r="E567" s="521">
        <v>0</v>
      </c>
      <c r="F567" s="520">
        <v>0</v>
      </c>
      <c r="G567" s="695" t="s">
        <v>1759</v>
      </c>
      <c r="H567" s="669">
        <v>18</v>
      </c>
    </row>
    <row r="568" spans="1:8" ht="13.35" hidden="1" customHeight="1">
      <c r="A568" s="542" t="s">
        <v>1047</v>
      </c>
      <c r="B568" s="542" t="s">
        <v>1353</v>
      </c>
      <c r="C568" s="548" t="s">
        <v>40</v>
      </c>
      <c r="D568" s="946">
        <v>0</v>
      </c>
      <c r="E568" s="521">
        <v>0</v>
      </c>
      <c r="F568" s="520">
        <v>0</v>
      </c>
      <c r="G568" s="695" t="s">
        <v>1760</v>
      </c>
      <c r="H568" s="669">
        <v>56.2</v>
      </c>
    </row>
    <row r="569" spans="1:8" ht="13.35" hidden="1" customHeight="1">
      <c r="A569" s="542" t="s">
        <v>1048</v>
      </c>
      <c r="B569" s="542" t="s">
        <v>1378</v>
      </c>
      <c r="C569" s="548" t="s">
        <v>38</v>
      </c>
      <c r="D569" s="946">
        <v>0</v>
      </c>
      <c r="E569" s="521">
        <v>0</v>
      </c>
      <c r="F569" s="520">
        <v>0</v>
      </c>
      <c r="G569" s="695" t="s">
        <v>1760</v>
      </c>
      <c r="H569" s="669">
        <v>56.2</v>
      </c>
    </row>
    <row r="570" spans="1:8" ht="13.35" hidden="1" customHeight="1">
      <c r="A570" s="542" t="s">
        <v>1049</v>
      </c>
      <c r="B570" s="542" t="s">
        <v>1379</v>
      </c>
      <c r="C570" s="548" t="s">
        <v>38</v>
      </c>
      <c r="D570" s="946">
        <v>0</v>
      </c>
      <c r="E570" s="521">
        <v>0</v>
      </c>
      <c r="F570" s="520">
        <v>0</v>
      </c>
      <c r="G570" s="695" t="s">
        <v>1761</v>
      </c>
      <c r="H570" s="669">
        <v>59.01</v>
      </c>
    </row>
    <row r="571" spans="1:8" ht="13.35" hidden="1" customHeight="1">
      <c r="A571" s="542" t="s">
        <v>1050</v>
      </c>
      <c r="B571" s="542" t="s">
        <v>1380</v>
      </c>
      <c r="C571" s="548" t="s">
        <v>37</v>
      </c>
      <c r="D571" s="946">
        <v>0</v>
      </c>
      <c r="E571" s="521">
        <v>0</v>
      </c>
      <c r="F571" s="520">
        <v>0</v>
      </c>
      <c r="G571" s="695" t="s">
        <v>1762</v>
      </c>
      <c r="H571" s="669">
        <v>36.119999999999997</v>
      </c>
    </row>
    <row r="572" spans="1:8" ht="13.35" hidden="1" customHeight="1">
      <c r="A572" s="542" t="s">
        <v>1051</v>
      </c>
      <c r="B572" s="542" t="s">
        <v>1381</v>
      </c>
      <c r="C572" s="548" t="s">
        <v>38</v>
      </c>
      <c r="D572" s="946">
        <v>0</v>
      </c>
      <c r="E572" s="521">
        <v>0</v>
      </c>
      <c r="F572" s="520">
        <v>0</v>
      </c>
      <c r="G572" s="695" t="s">
        <v>1670</v>
      </c>
      <c r="H572" s="669">
        <v>20</v>
      </c>
    </row>
    <row r="573" spans="1:8" ht="14.1" hidden="1" customHeight="1">
      <c r="A573" s="542" t="s">
        <v>1052</v>
      </c>
      <c r="B573" s="542" t="s">
        <v>1382</v>
      </c>
      <c r="C573" s="548" t="s">
        <v>38</v>
      </c>
      <c r="D573" s="946">
        <v>0</v>
      </c>
      <c r="E573" s="521">
        <v>0</v>
      </c>
      <c r="F573" s="520">
        <v>0</v>
      </c>
      <c r="G573" s="695"/>
      <c r="H573" s="669">
        <v>0</v>
      </c>
    </row>
    <row r="574" spans="1:8" s="978" customFormat="1" ht="13.35" hidden="1" customHeight="1">
      <c r="A574" s="949" t="s">
        <v>511</v>
      </c>
      <c r="B574" s="949" t="s">
        <v>1383</v>
      </c>
      <c r="C574" s="951"/>
      <c r="D574" s="946">
        <v>0</v>
      </c>
      <c r="E574" s="521">
        <v>0</v>
      </c>
      <c r="F574" s="520">
        <v>0</v>
      </c>
      <c r="G574" s="848"/>
      <c r="H574" s="842">
        <v>0</v>
      </c>
    </row>
    <row r="575" spans="1:8" ht="13.35" hidden="1" customHeight="1">
      <c r="A575" s="440" t="s">
        <v>512</v>
      </c>
      <c r="B575" s="543" t="s">
        <v>1384</v>
      </c>
      <c r="C575" s="616"/>
      <c r="D575" s="946">
        <v>0</v>
      </c>
      <c r="E575" s="521">
        <v>0</v>
      </c>
      <c r="F575" s="520">
        <v>0</v>
      </c>
      <c r="G575" s="695"/>
      <c r="H575" s="669">
        <v>0</v>
      </c>
    </row>
    <row r="576" spans="1:8" ht="13.35" hidden="1" customHeight="1">
      <c r="A576" s="542" t="s">
        <v>1053</v>
      </c>
      <c r="B576" s="542" t="s">
        <v>1385</v>
      </c>
      <c r="C576" s="616"/>
      <c r="D576" s="946">
        <v>0</v>
      </c>
      <c r="E576" s="521">
        <v>0</v>
      </c>
      <c r="F576" s="520">
        <v>0</v>
      </c>
      <c r="G576" s="695" t="s">
        <v>1455</v>
      </c>
      <c r="H576" s="669">
        <v>1</v>
      </c>
    </row>
    <row r="577" spans="1:8" ht="13.35" hidden="1" customHeight="1">
      <c r="A577" s="539" t="s">
        <v>1054</v>
      </c>
      <c r="B577" s="539" t="s">
        <v>1386</v>
      </c>
      <c r="C577" s="548" t="s">
        <v>1453</v>
      </c>
      <c r="D577" s="946">
        <v>0</v>
      </c>
      <c r="E577" s="521">
        <v>0</v>
      </c>
      <c r="F577" s="520">
        <v>0</v>
      </c>
      <c r="G577" s="695" t="s">
        <v>1455</v>
      </c>
      <c r="H577" s="669">
        <v>1</v>
      </c>
    </row>
    <row r="578" spans="1:8" ht="13.35" hidden="1" customHeight="1">
      <c r="A578" s="539" t="s">
        <v>1055</v>
      </c>
      <c r="B578" s="539" t="s">
        <v>1387</v>
      </c>
      <c r="C578" s="548" t="s">
        <v>1453</v>
      </c>
      <c r="D578" s="946">
        <v>0</v>
      </c>
      <c r="E578" s="521">
        <v>0</v>
      </c>
      <c r="F578" s="520">
        <v>0</v>
      </c>
      <c r="G578" s="695" t="s">
        <v>1455</v>
      </c>
      <c r="H578" s="669">
        <v>1</v>
      </c>
    </row>
    <row r="579" spans="1:8" ht="13.35" hidden="1" customHeight="1">
      <c r="A579" s="539" t="s">
        <v>1056</v>
      </c>
      <c r="B579" s="539" t="s">
        <v>1388</v>
      </c>
      <c r="C579" s="548" t="s">
        <v>1453</v>
      </c>
      <c r="D579" s="946">
        <v>0</v>
      </c>
      <c r="E579" s="521">
        <v>0</v>
      </c>
      <c r="F579" s="520">
        <v>0</v>
      </c>
      <c r="G579" s="695" t="s">
        <v>1455</v>
      </c>
      <c r="H579" s="669">
        <v>1</v>
      </c>
    </row>
    <row r="580" spans="1:8" ht="13.35" hidden="1" customHeight="1">
      <c r="A580" s="539" t="s">
        <v>1057</v>
      </c>
      <c r="B580" s="539" t="s">
        <v>1389</v>
      </c>
      <c r="C580" s="548" t="s">
        <v>1453</v>
      </c>
      <c r="D580" s="946">
        <v>0</v>
      </c>
      <c r="E580" s="521">
        <v>0</v>
      </c>
      <c r="F580" s="520">
        <v>0</v>
      </c>
      <c r="G580" s="695"/>
      <c r="H580" s="669">
        <v>0</v>
      </c>
    </row>
    <row r="581" spans="1:8" ht="13.35" hidden="1" customHeight="1">
      <c r="A581" s="542" t="s">
        <v>1058</v>
      </c>
      <c r="B581" s="542" t="s">
        <v>1390</v>
      </c>
      <c r="C581" s="616"/>
      <c r="D581" s="946">
        <v>0</v>
      </c>
      <c r="E581" s="521">
        <v>0</v>
      </c>
      <c r="F581" s="520">
        <v>0</v>
      </c>
      <c r="G581" s="695" t="s">
        <v>1763</v>
      </c>
      <c r="H581" s="669">
        <v>43</v>
      </c>
    </row>
    <row r="582" spans="1:8" ht="13.35" hidden="1" customHeight="1">
      <c r="A582" s="539" t="s">
        <v>1059</v>
      </c>
      <c r="B582" s="539" t="s">
        <v>1390</v>
      </c>
      <c r="C582" s="548" t="s">
        <v>1452</v>
      </c>
      <c r="D582" s="946">
        <v>0</v>
      </c>
      <c r="E582" s="521">
        <v>0</v>
      </c>
      <c r="F582" s="520">
        <v>0</v>
      </c>
      <c r="G582" s="695" t="s">
        <v>1764</v>
      </c>
      <c r="H582" s="669">
        <v>7</v>
      </c>
    </row>
    <row r="583" spans="1:8" ht="13.35" hidden="1" customHeight="1">
      <c r="A583" s="539" t="s">
        <v>1060</v>
      </c>
      <c r="B583" s="539" t="s">
        <v>1391</v>
      </c>
      <c r="C583" s="548" t="s">
        <v>1452</v>
      </c>
      <c r="D583" s="946">
        <v>0</v>
      </c>
      <c r="E583" s="521">
        <v>0</v>
      </c>
      <c r="F583" s="520">
        <v>0</v>
      </c>
      <c r="G583" s="695"/>
      <c r="H583" s="669">
        <v>0</v>
      </c>
    </row>
    <row r="584" spans="1:8" ht="13.35" hidden="1" customHeight="1">
      <c r="A584" s="542" t="s">
        <v>1061</v>
      </c>
      <c r="B584" s="542" t="s">
        <v>1392</v>
      </c>
      <c r="C584" s="616"/>
      <c r="D584" s="946">
        <v>0</v>
      </c>
      <c r="E584" s="521">
        <v>0</v>
      </c>
      <c r="F584" s="520">
        <v>0</v>
      </c>
      <c r="G584" s="695" t="s">
        <v>1765</v>
      </c>
      <c r="H584" s="669">
        <v>17</v>
      </c>
    </row>
    <row r="585" spans="1:8" ht="13.35" hidden="1" customHeight="1">
      <c r="A585" s="539" t="s">
        <v>1062</v>
      </c>
      <c r="B585" s="539" t="s">
        <v>1393</v>
      </c>
      <c r="C585" s="548" t="s">
        <v>36</v>
      </c>
      <c r="D585" s="946">
        <v>0</v>
      </c>
      <c r="E585" s="521">
        <v>0</v>
      </c>
      <c r="F585" s="520">
        <v>0</v>
      </c>
      <c r="G585" s="695" t="s">
        <v>1766</v>
      </c>
      <c r="H585" s="669">
        <v>23</v>
      </c>
    </row>
    <row r="586" spans="1:8" ht="13.35" hidden="1" customHeight="1">
      <c r="A586" s="539" t="s">
        <v>1063</v>
      </c>
      <c r="B586" s="539" t="s">
        <v>1394</v>
      </c>
      <c r="C586" s="548" t="s">
        <v>36</v>
      </c>
      <c r="D586" s="946">
        <v>0</v>
      </c>
      <c r="E586" s="521">
        <v>0</v>
      </c>
      <c r="F586" s="520">
        <v>0</v>
      </c>
      <c r="G586" s="695" t="s">
        <v>1698</v>
      </c>
      <c r="H586" s="669">
        <v>2</v>
      </c>
    </row>
    <row r="587" spans="1:8" ht="13.35" hidden="1" customHeight="1">
      <c r="A587" s="539" t="s">
        <v>1064</v>
      </c>
      <c r="B587" s="539" t="s">
        <v>1395</v>
      </c>
      <c r="C587" s="548" t="s">
        <v>36</v>
      </c>
      <c r="D587" s="946">
        <v>0</v>
      </c>
      <c r="E587" s="521">
        <v>0</v>
      </c>
      <c r="F587" s="520">
        <v>0</v>
      </c>
      <c r="G587" s="695" t="s">
        <v>1455</v>
      </c>
      <c r="H587" s="669">
        <v>1</v>
      </c>
    </row>
    <row r="588" spans="1:8" ht="13.35" hidden="1" customHeight="1">
      <c r="A588" s="539" t="s">
        <v>1065</v>
      </c>
      <c r="B588" s="539" t="s">
        <v>1396</v>
      </c>
      <c r="C588" s="548" t="s">
        <v>36</v>
      </c>
      <c r="D588" s="946">
        <v>0</v>
      </c>
      <c r="E588" s="521">
        <v>0</v>
      </c>
      <c r="F588" s="520">
        <v>0</v>
      </c>
      <c r="G588" s="695" t="s">
        <v>1764</v>
      </c>
      <c r="H588" s="669">
        <v>7</v>
      </c>
    </row>
    <row r="589" spans="1:8" ht="13.35" hidden="1" customHeight="1">
      <c r="A589" s="539" t="s">
        <v>1066</v>
      </c>
      <c r="B589" s="539" t="s">
        <v>1397</v>
      </c>
      <c r="C589" s="548" t="s">
        <v>36</v>
      </c>
      <c r="D589" s="946">
        <v>0</v>
      </c>
      <c r="E589" s="521">
        <v>0</v>
      </c>
      <c r="F589" s="520">
        <v>0</v>
      </c>
      <c r="G589" s="695"/>
      <c r="H589" s="669">
        <v>0</v>
      </c>
    </row>
    <row r="590" spans="1:8" ht="13.35" hidden="1" customHeight="1">
      <c r="A590" s="542" t="s">
        <v>1067</v>
      </c>
      <c r="B590" s="542" t="s">
        <v>1398</v>
      </c>
      <c r="C590" s="616"/>
      <c r="D590" s="946">
        <v>0</v>
      </c>
      <c r="E590" s="521">
        <v>0</v>
      </c>
      <c r="F590" s="520">
        <v>0</v>
      </c>
      <c r="G590" s="695" t="s">
        <v>1489</v>
      </c>
      <c r="H590" s="669">
        <v>16</v>
      </c>
    </row>
    <row r="591" spans="1:8" ht="13.35" hidden="1" customHeight="1">
      <c r="A591" s="539" t="s">
        <v>1068</v>
      </c>
      <c r="B591" s="539" t="s">
        <v>1399</v>
      </c>
      <c r="C591" s="548" t="s">
        <v>1452</v>
      </c>
      <c r="D591" s="946">
        <v>0</v>
      </c>
      <c r="E591" s="521">
        <v>0</v>
      </c>
      <c r="F591" s="520">
        <v>0</v>
      </c>
      <c r="G591" s="695" t="s">
        <v>1698</v>
      </c>
      <c r="H591" s="669">
        <v>2</v>
      </c>
    </row>
    <row r="592" spans="1:8" ht="13.35" hidden="1" customHeight="1">
      <c r="A592" s="539" t="s">
        <v>1069</v>
      </c>
      <c r="B592" s="539" t="s">
        <v>1400</v>
      </c>
      <c r="C592" s="548" t="s">
        <v>1452</v>
      </c>
      <c r="D592" s="946">
        <v>0</v>
      </c>
      <c r="E592" s="521">
        <v>0</v>
      </c>
      <c r="F592" s="520">
        <v>0</v>
      </c>
      <c r="G592" s="695" t="s">
        <v>1698</v>
      </c>
      <c r="H592" s="669">
        <v>2</v>
      </c>
    </row>
    <row r="593" spans="1:8" ht="13.35" hidden="1" customHeight="1">
      <c r="A593" s="539" t="s">
        <v>1070</v>
      </c>
      <c r="B593" s="539" t="s">
        <v>1401</v>
      </c>
      <c r="C593" s="548" t="s">
        <v>1452</v>
      </c>
      <c r="D593" s="946">
        <v>0</v>
      </c>
      <c r="E593" s="521">
        <v>0</v>
      </c>
      <c r="F593" s="520">
        <v>0</v>
      </c>
      <c r="G593" s="695"/>
      <c r="H593" s="669">
        <v>0</v>
      </c>
    </row>
    <row r="594" spans="1:8" ht="13.35" hidden="1" customHeight="1">
      <c r="A594" s="542" t="s">
        <v>1071</v>
      </c>
      <c r="B594" s="542" t="s">
        <v>1402</v>
      </c>
      <c r="C594" s="616"/>
      <c r="D594" s="946">
        <v>0</v>
      </c>
      <c r="E594" s="521">
        <v>0</v>
      </c>
      <c r="F594" s="520">
        <v>0</v>
      </c>
      <c r="G594" s="695" t="s">
        <v>1767</v>
      </c>
      <c r="H594" s="669">
        <v>14</v>
      </c>
    </row>
    <row r="595" spans="1:8" ht="13.35" hidden="1" customHeight="1">
      <c r="A595" s="539" t="s">
        <v>1072</v>
      </c>
      <c r="B595" s="539" t="s">
        <v>1403</v>
      </c>
      <c r="C595" s="548" t="s">
        <v>1452</v>
      </c>
      <c r="D595" s="946">
        <v>0</v>
      </c>
      <c r="E595" s="521">
        <v>0</v>
      </c>
      <c r="F595" s="520">
        <v>0</v>
      </c>
      <c r="G595" s="695" t="s">
        <v>1455</v>
      </c>
      <c r="H595" s="669">
        <v>1</v>
      </c>
    </row>
    <row r="596" spans="1:8" ht="13.35" hidden="1" customHeight="1">
      <c r="A596" s="539" t="s">
        <v>1073</v>
      </c>
      <c r="B596" s="539" t="s">
        <v>1404</v>
      </c>
      <c r="C596" s="548" t="s">
        <v>1452</v>
      </c>
      <c r="D596" s="946">
        <v>0</v>
      </c>
      <c r="E596" s="521">
        <v>0</v>
      </c>
      <c r="F596" s="520">
        <v>0</v>
      </c>
      <c r="G596" s="695" t="s">
        <v>1618</v>
      </c>
      <c r="H596" s="669">
        <v>3</v>
      </c>
    </row>
    <row r="597" spans="1:8" ht="13.35" hidden="1" customHeight="1">
      <c r="A597" s="539" t="s">
        <v>1074</v>
      </c>
      <c r="B597" s="539" t="s">
        <v>1405</v>
      </c>
      <c r="C597" s="548" t="s">
        <v>1452</v>
      </c>
      <c r="D597" s="946">
        <v>0</v>
      </c>
      <c r="E597" s="521">
        <v>0</v>
      </c>
      <c r="F597" s="520">
        <v>0</v>
      </c>
      <c r="G597" s="695" t="s">
        <v>1641</v>
      </c>
      <c r="H597" s="669">
        <v>9</v>
      </c>
    </row>
    <row r="598" spans="1:8" ht="13.35" hidden="1" customHeight="1">
      <c r="A598" s="539" t="s">
        <v>1075</v>
      </c>
      <c r="B598" s="539" t="s">
        <v>1406</v>
      </c>
      <c r="C598" s="548" t="s">
        <v>1452</v>
      </c>
      <c r="D598" s="946">
        <v>0</v>
      </c>
      <c r="E598" s="521">
        <v>0</v>
      </c>
      <c r="F598" s="520">
        <v>0</v>
      </c>
      <c r="G598" s="695" t="s">
        <v>1455</v>
      </c>
      <c r="H598" s="669">
        <v>1</v>
      </c>
    </row>
    <row r="599" spans="1:8" ht="13.35" hidden="1" customHeight="1">
      <c r="A599" s="539" t="s">
        <v>1076</v>
      </c>
      <c r="B599" s="539" t="s">
        <v>1407</v>
      </c>
      <c r="C599" s="548" t="s">
        <v>1452</v>
      </c>
      <c r="D599" s="946">
        <v>0</v>
      </c>
      <c r="E599" s="521">
        <v>0</v>
      </c>
      <c r="F599" s="520">
        <v>0</v>
      </c>
      <c r="G599" s="695"/>
      <c r="H599" s="669">
        <v>0</v>
      </c>
    </row>
    <row r="600" spans="1:8" ht="13.35" hidden="1" customHeight="1">
      <c r="A600" s="542" t="s">
        <v>1077</v>
      </c>
      <c r="B600" s="542" t="s">
        <v>1408</v>
      </c>
      <c r="C600" s="616"/>
      <c r="D600" s="946">
        <v>0</v>
      </c>
      <c r="E600" s="521">
        <v>0</v>
      </c>
      <c r="F600" s="520">
        <v>0</v>
      </c>
      <c r="G600" s="695" t="s">
        <v>1455</v>
      </c>
      <c r="H600" s="669">
        <v>1</v>
      </c>
    </row>
    <row r="601" spans="1:8" ht="13.35" hidden="1" customHeight="1">
      <c r="A601" s="539" t="s">
        <v>1078</v>
      </c>
      <c r="B601" s="539" t="s">
        <v>1409</v>
      </c>
      <c r="C601" s="548" t="s">
        <v>1452</v>
      </c>
      <c r="D601" s="946">
        <v>0</v>
      </c>
      <c r="E601" s="521">
        <v>0</v>
      </c>
      <c r="F601" s="520">
        <v>0</v>
      </c>
      <c r="G601" s="695" t="s">
        <v>1455</v>
      </c>
      <c r="H601" s="669">
        <v>1</v>
      </c>
    </row>
    <row r="602" spans="1:8" ht="13.35" hidden="1" customHeight="1">
      <c r="A602" s="539" t="s">
        <v>1079</v>
      </c>
      <c r="B602" s="539" t="s">
        <v>1410</v>
      </c>
      <c r="C602" s="548" t="s">
        <v>1452</v>
      </c>
      <c r="D602" s="946">
        <v>0</v>
      </c>
      <c r="E602" s="521">
        <v>0</v>
      </c>
      <c r="F602" s="520">
        <v>0</v>
      </c>
      <c r="G602" s="695" t="s">
        <v>1726</v>
      </c>
      <c r="H602" s="669">
        <v>11</v>
      </c>
    </row>
    <row r="603" spans="1:8" ht="13.35" hidden="1" customHeight="1">
      <c r="A603" s="539" t="s">
        <v>1080</v>
      </c>
      <c r="B603" s="539" t="s">
        <v>1411</v>
      </c>
      <c r="C603" s="548" t="s">
        <v>1452</v>
      </c>
      <c r="D603" s="946">
        <v>0</v>
      </c>
      <c r="E603" s="521">
        <v>0</v>
      </c>
      <c r="F603" s="520">
        <v>0</v>
      </c>
      <c r="G603" s="695" t="s">
        <v>1698</v>
      </c>
      <c r="H603" s="669">
        <v>2</v>
      </c>
    </row>
    <row r="604" spans="1:8" ht="13.35" hidden="1" customHeight="1">
      <c r="A604" s="539" t="s">
        <v>1081</v>
      </c>
      <c r="B604" s="539" t="s">
        <v>1412</v>
      </c>
      <c r="C604" s="548" t="s">
        <v>1452</v>
      </c>
      <c r="D604" s="946">
        <v>0</v>
      </c>
      <c r="E604" s="521">
        <v>0</v>
      </c>
      <c r="F604" s="520">
        <v>0</v>
      </c>
      <c r="G604" s="695" t="s">
        <v>1698</v>
      </c>
      <c r="H604" s="669">
        <v>2</v>
      </c>
    </row>
    <row r="605" spans="1:8" ht="13.35" hidden="1" customHeight="1">
      <c r="A605" s="539" t="s">
        <v>1082</v>
      </c>
      <c r="B605" s="539" t="s">
        <v>1413</v>
      </c>
      <c r="C605" s="548" t="s">
        <v>1452</v>
      </c>
      <c r="D605" s="946">
        <v>0</v>
      </c>
      <c r="E605" s="521">
        <v>0</v>
      </c>
      <c r="F605" s="520">
        <v>0</v>
      </c>
      <c r="G605" s="695"/>
      <c r="H605" s="669">
        <v>0</v>
      </c>
    </row>
    <row r="606" spans="1:8" ht="13.35" hidden="1" customHeight="1">
      <c r="A606" s="542" t="s">
        <v>1083</v>
      </c>
      <c r="B606" s="542" t="s">
        <v>1414</v>
      </c>
      <c r="C606" s="616"/>
      <c r="D606" s="946">
        <v>0</v>
      </c>
      <c r="E606" s="521">
        <v>0</v>
      </c>
      <c r="F606" s="520">
        <v>0</v>
      </c>
      <c r="G606" s="695" t="s">
        <v>1455</v>
      </c>
      <c r="H606" s="669">
        <v>1</v>
      </c>
    </row>
    <row r="607" spans="1:8" ht="13.35" hidden="1" customHeight="1">
      <c r="A607" s="539" t="s">
        <v>1084</v>
      </c>
      <c r="B607" s="539" t="s">
        <v>1415</v>
      </c>
      <c r="C607" s="548" t="s">
        <v>36</v>
      </c>
      <c r="D607" s="946">
        <v>0</v>
      </c>
      <c r="E607" s="521">
        <v>0</v>
      </c>
      <c r="F607" s="520">
        <v>0</v>
      </c>
      <c r="G607" s="695"/>
      <c r="H607" s="669">
        <v>0</v>
      </c>
    </row>
    <row r="608" spans="1:8" ht="13.35" hidden="1" customHeight="1">
      <c r="A608" s="542" t="s">
        <v>1085</v>
      </c>
      <c r="B608" s="542" t="s">
        <v>1416</v>
      </c>
      <c r="C608" s="616"/>
      <c r="D608" s="946">
        <v>0</v>
      </c>
      <c r="E608" s="521">
        <v>0</v>
      </c>
      <c r="F608" s="520">
        <v>0</v>
      </c>
      <c r="G608" s="695" t="s">
        <v>1455</v>
      </c>
      <c r="H608" s="669">
        <v>1</v>
      </c>
    </row>
    <row r="609" spans="1:8" ht="13.35" hidden="1" customHeight="1">
      <c r="A609" s="539" t="s">
        <v>1086</v>
      </c>
      <c r="B609" s="539" t="s">
        <v>1417</v>
      </c>
      <c r="C609" s="548" t="s">
        <v>36</v>
      </c>
      <c r="D609" s="946">
        <v>0</v>
      </c>
      <c r="E609" s="521">
        <v>0</v>
      </c>
      <c r="F609" s="520">
        <v>0</v>
      </c>
      <c r="G609" s="695"/>
      <c r="H609" s="669">
        <v>0</v>
      </c>
    </row>
    <row r="610" spans="1:8" ht="13.35" hidden="1" customHeight="1">
      <c r="A610" s="440" t="s">
        <v>513</v>
      </c>
      <c r="B610" s="543" t="s">
        <v>1418</v>
      </c>
      <c r="C610" s="616"/>
      <c r="D610" s="946">
        <v>0</v>
      </c>
      <c r="E610" s="521">
        <v>0</v>
      </c>
      <c r="F610" s="520">
        <v>0</v>
      </c>
      <c r="G610" s="695"/>
      <c r="H610" s="669">
        <v>0</v>
      </c>
    </row>
    <row r="611" spans="1:8" ht="13.35" hidden="1" customHeight="1">
      <c r="A611" s="542" t="s">
        <v>1087</v>
      </c>
      <c r="B611" s="542" t="s">
        <v>1419</v>
      </c>
      <c r="C611" s="616"/>
      <c r="D611" s="946">
        <v>0</v>
      </c>
      <c r="E611" s="521">
        <v>0</v>
      </c>
      <c r="F611" s="520">
        <v>0</v>
      </c>
      <c r="G611" s="695" t="s">
        <v>1768</v>
      </c>
      <c r="H611" s="669">
        <v>29</v>
      </c>
    </row>
    <row r="612" spans="1:8" ht="13.35" hidden="1" customHeight="1">
      <c r="A612" s="539" t="s">
        <v>1088</v>
      </c>
      <c r="B612" s="539" t="s">
        <v>1420</v>
      </c>
      <c r="C612" s="548" t="s">
        <v>38</v>
      </c>
      <c r="D612" s="946">
        <v>0</v>
      </c>
      <c r="E612" s="521">
        <v>0</v>
      </c>
      <c r="F612" s="520">
        <v>0</v>
      </c>
      <c r="G612" s="695"/>
      <c r="H612" s="669">
        <v>0</v>
      </c>
    </row>
    <row r="613" spans="1:8" ht="13.35" hidden="1" customHeight="1">
      <c r="A613" s="542" t="s">
        <v>1089</v>
      </c>
      <c r="B613" s="542" t="s">
        <v>1421</v>
      </c>
      <c r="C613" s="616"/>
      <c r="D613" s="946">
        <v>0</v>
      </c>
      <c r="E613" s="521">
        <v>0</v>
      </c>
      <c r="F613" s="520">
        <v>0</v>
      </c>
      <c r="G613" s="695" t="s">
        <v>1736</v>
      </c>
      <c r="H613" s="669">
        <v>64</v>
      </c>
    </row>
    <row r="614" spans="1:8" ht="13.35" hidden="1" customHeight="1">
      <c r="A614" s="539" t="s">
        <v>1090</v>
      </c>
      <c r="B614" s="539" t="s">
        <v>1422</v>
      </c>
      <c r="C614" s="548" t="s">
        <v>38</v>
      </c>
      <c r="D614" s="946">
        <v>0</v>
      </c>
      <c r="E614" s="521">
        <v>0</v>
      </c>
      <c r="F614" s="520">
        <v>0</v>
      </c>
      <c r="G614" s="695"/>
      <c r="H614" s="669">
        <v>0</v>
      </c>
    </row>
    <row r="615" spans="1:8" ht="13.35" hidden="1" customHeight="1">
      <c r="A615" s="542" t="s">
        <v>1091</v>
      </c>
      <c r="B615" s="542" t="s">
        <v>1423</v>
      </c>
      <c r="C615" s="616"/>
      <c r="D615" s="946">
        <v>0</v>
      </c>
      <c r="E615" s="521">
        <v>0</v>
      </c>
      <c r="F615" s="520">
        <v>0</v>
      </c>
      <c r="G615" s="695" t="s">
        <v>1736</v>
      </c>
      <c r="H615" s="669">
        <v>64</v>
      </c>
    </row>
    <row r="616" spans="1:8" ht="13.35" hidden="1" customHeight="1">
      <c r="A616" s="539" t="s">
        <v>1092</v>
      </c>
      <c r="B616" s="539" t="s">
        <v>1424</v>
      </c>
      <c r="C616" s="548" t="s">
        <v>38</v>
      </c>
      <c r="D616" s="946">
        <v>0</v>
      </c>
      <c r="E616" s="521">
        <v>0</v>
      </c>
      <c r="F616" s="520">
        <v>0</v>
      </c>
      <c r="G616" s="695"/>
      <c r="H616" s="669">
        <v>0</v>
      </c>
    </row>
    <row r="617" spans="1:8" ht="13.35" hidden="1" customHeight="1">
      <c r="A617" s="542" t="s">
        <v>1093</v>
      </c>
      <c r="B617" s="542" t="s">
        <v>1425</v>
      </c>
      <c r="C617" s="616"/>
      <c r="D617" s="946">
        <v>0</v>
      </c>
      <c r="E617" s="521">
        <v>0</v>
      </c>
      <c r="F617" s="520">
        <v>0</v>
      </c>
      <c r="G617" s="695" t="s">
        <v>1617</v>
      </c>
      <c r="H617" s="669">
        <v>6</v>
      </c>
    </row>
    <row r="618" spans="1:8" ht="13.35" hidden="1" customHeight="1">
      <c r="A618" s="539" t="s">
        <v>1094</v>
      </c>
      <c r="B618" s="539" t="s">
        <v>1426</v>
      </c>
      <c r="C618" s="548" t="s">
        <v>1452</v>
      </c>
      <c r="D618" s="946">
        <v>0</v>
      </c>
      <c r="E618" s="521">
        <v>0</v>
      </c>
      <c r="F618" s="520">
        <v>0</v>
      </c>
      <c r="G618" s="695"/>
      <c r="H618" s="669">
        <v>0</v>
      </c>
    </row>
    <row r="619" spans="1:8" ht="13.35" hidden="1" customHeight="1">
      <c r="A619" s="542" t="s">
        <v>1095</v>
      </c>
      <c r="B619" s="542" t="s">
        <v>1392</v>
      </c>
      <c r="C619" s="616"/>
      <c r="D619" s="946">
        <v>0</v>
      </c>
      <c r="E619" s="521">
        <v>0</v>
      </c>
      <c r="F619" s="520">
        <v>0</v>
      </c>
      <c r="G619" s="695" t="s">
        <v>1617</v>
      </c>
      <c r="H619" s="669">
        <v>6</v>
      </c>
    </row>
    <row r="620" spans="1:8" ht="13.35" hidden="1" customHeight="1">
      <c r="A620" s="539" t="s">
        <v>1096</v>
      </c>
      <c r="B620" s="539" t="s">
        <v>1427</v>
      </c>
      <c r="C620" s="548" t="s">
        <v>36</v>
      </c>
      <c r="D620" s="946">
        <v>0</v>
      </c>
      <c r="E620" s="521">
        <v>0</v>
      </c>
      <c r="F620" s="520">
        <v>0</v>
      </c>
      <c r="G620" s="695"/>
      <c r="H620" s="669">
        <v>0</v>
      </c>
    </row>
    <row r="621" spans="1:8" ht="13.35" hidden="1" customHeight="1">
      <c r="A621" s="440" t="s">
        <v>1097</v>
      </c>
      <c r="B621" s="543" t="s">
        <v>1428</v>
      </c>
      <c r="C621" s="616"/>
      <c r="D621" s="946">
        <v>0</v>
      </c>
      <c r="E621" s="521">
        <v>0</v>
      </c>
      <c r="F621" s="520">
        <v>0</v>
      </c>
      <c r="G621" s="695"/>
      <c r="H621" s="669">
        <v>0</v>
      </c>
    </row>
    <row r="622" spans="1:8" ht="13.35" hidden="1" customHeight="1">
      <c r="A622" s="542" t="s">
        <v>1098</v>
      </c>
      <c r="B622" s="542" t="s">
        <v>1419</v>
      </c>
      <c r="C622" s="616"/>
      <c r="D622" s="946">
        <v>0</v>
      </c>
      <c r="E622" s="521">
        <v>0</v>
      </c>
      <c r="F622" s="520">
        <v>0</v>
      </c>
      <c r="G622" s="695" t="s">
        <v>1769</v>
      </c>
      <c r="H622" s="669">
        <v>56</v>
      </c>
    </row>
    <row r="623" spans="1:8" ht="13.35" hidden="1" customHeight="1">
      <c r="A623" s="539" t="s">
        <v>1099</v>
      </c>
      <c r="B623" s="539" t="s">
        <v>1420</v>
      </c>
      <c r="C623" s="548" t="s">
        <v>38</v>
      </c>
      <c r="D623" s="946">
        <v>0</v>
      </c>
      <c r="E623" s="521">
        <v>0</v>
      </c>
      <c r="F623" s="520">
        <v>0</v>
      </c>
      <c r="G623" s="695"/>
      <c r="H623" s="669">
        <v>0</v>
      </c>
    </row>
    <row r="624" spans="1:8" ht="13.35" hidden="1" customHeight="1">
      <c r="A624" s="542" t="s">
        <v>1100</v>
      </c>
      <c r="B624" s="542" t="s">
        <v>1421</v>
      </c>
      <c r="C624" s="616"/>
      <c r="D624" s="946">
        <v>0</v>
      </c>
      <c r="E624" s="521">
        <v>0</v>
      </c>
      <c r="F624" s="520">
        <v>0</v>
      </c>
      <c r="G624" s="695" t="s">
        <v>1770</v>
      </c>
      <c r="H624" s="669">
        <v>80</v>
      </c>
    </row>
    <row r="625" spans="1:8" ht="13.35" hidden="1" customHeight="1">
      <c r="A625" s="539" t="s">
        <v>1101</v>
      </c>
      <c r="B625" s="539" t="s">
        <v>1429</v>
      </c>
      <c r="C625" s="548" t="s">
        <v>38</v>
      </c>
      <c r="D625" s="946">
        <v>0</v>
      </c>
      <c r="E625" s="521">
        <v>0</v>
      </c>
      <c r="F625" s="520">
        <v>0</v>
      </c>
      <c r="G625" s="695"/>
      <c r="H625" s="669">
        <v>0</v>
      </c>
    </row>
    <row r="626" spans="1:8" ht="13.35" hidden="1" customHeight="1">
      <c r="A626" s="542" t="s">
        <v>1102</v>
      </c>
      <c r="B626" s="542" t="s">
        <v>1423</v>
      </c>
      <c r="C626" s="616"/>
      <c r="D626" s="946">
        <v>0</v>
      </c>
      <c r="E626" s="521">
        <v>0</v>
      </c>
      <c r="F626" s="520">
        <v>0</v>
      </c>
      <c r="G626" s="695" t="s">
        <v>1769</v>
      </c>
      <c r="H626" s="669">
        <v>56</v>
      </c>
    </row>
    <row r="627" spans="1:8" ht="13.35" hidden="1" customHeight="1">
      <c r="A627" s="539" t="s">
        <v>1103</v>
      </c>
      <c r="B627" s="539" t="s">
        <v>1430</v>
      </c>
      <c r="C627" s="548" t="s">
        <v>38</v>
      </c>
      <c r="D627" s="946">
        <v>0</v>
      </c>
      <c r="E627" s="521">
        <v>0</v>
      </c>
      <c r="F627" s="520">
        <v>0</v>
      </c>
      <c r="G627" s="695"/>
      <c r="H627" s="669">
        <v>0</v>
      </c>
    </row>
    <row r="628" spans="1:8" ht="13.35" hidden="1" customHeight="1">
      <c r="A628" s="542" t="s">
        <v>1104</v>
      </c>
      <c r="B628" s="542" t="s">
        <v>1431</v>
      </c>
      <c r="C628" s="616"/>
      <c r="D628" s="946">
        <v>0</v>
      </c>
      <c r="E628" s="521">
        <v>0</v>
      </c>
      <c r="F628" s="520">
        <v>0</v>
      </c>
      <c r="G628" s="695" t="s">
        <v>1617</v>
      </c>
      <c r="H628" s="669">
        <v>6</v>
      </c>
    </row>
    <row r="629" spans="1:8" ht="13.35" hidden="1" customHeight="1">
      <c r="A629" s="539" t="s">
        <v>1105</v>
      </c>
      <c r="B629" s="539" t="s">
        <v>1432</v>
      </c>
      <c r="C629" s="548" t="s">
        <v>36</v>
      </c>
      <c r="D629" s="946">
        <v>0</v>
      </c>
      <c r="E629" s="521">
        <v>0</v>
      </c>
      <c r="F629" s="520">
        <v>0</v>
      </c>
      <c r="G629" s="695"/>
      <c r="H629" s="669">
        <v>0</v>
      </c>
    </row>
    <row r="630" spans="1:8" ht="13.35" hidden="1" customHeight="1">
      <c r="A630" s="542" t="s">
        <v>1106</v>
      </c>
      <c r="B630" s="542" t="s">
        <v>1433</v>
      </c>
      <c r="C630" s="616"/>
      <c r="D630" s="946">
        <v>0</v>
      </c>
      <c r="E630" s="521">
        <v>0</v>
      </c>
      <c r="F630" s="520">
        <v>0</v>
      </c>
      <c r="G630" s="695" t="s">
        <v>1617</v>
      </c>
      <c r="H630" s="669">
        <v>6</v>
      </c>
    </row>
    <row r="631" spans="1:8" ht="13.35" hidden="1" customHeight="1">
      <c r="A631" s="539" t="s">
        <v>1107</v>
      </c>
      <c r="B631" s="539" t="s">
        <v>1434</v>
      </c>
      <c r="C631" s="548" t="s">
        <v>1452</v>
      </c>
      <c r="D631" s="946">
        <v>0</v>
      </c>
      <c r="E631" s="521">
        <v>0</v>
      </c>
      <c r="F631" s="520">
        <v>0</v>
      </c>
      <c r="G631" s="695"/>
      <c r="H631" s="669">
        <v>0</v>
      </c>
    </row>
    <row r="632" spans="1:8" ht="13.35" hidden="1" customHeight="1">
      <c r="A632" s="542" t="s">
        <v>1108</v>
      </c>
      <c r="B632" s="542" t="s">
        <v>1416</v>
      </c>
      <c r="C632" s="616"/>
      <c r="D632" s="946">
        <v>0</v>
      </c>
      <c r="E632" s="521">
        <v>0</v>
      </c>
      <c r="F632" s="520">
        <v>0</v>
      </c>
      <c r="G632" s="695" t="s">
        <v>1617</v>
      </c>
      <c r="H632" s="669">
        <v>6</v>
      </c>
    </row>
    <row r="633" spans="1:8" ht="13.35" hidden="1" customHeight="1">
      <c r="A633" s="539" t="s">
        <v>1109</v>
      </c>
      <c r="B633" s="539" t="s">
        <v>1435</v>
      </c>
      <c r="C633" s="548" t="s">
        <v>36</v>
      </c>
      <c r="D633" s="946">
        <v>0</v>
      </c>
      <c r="E633" s="521">
        <v>0</v>
      </c>
      <c r="F633" s="520">
        <v>0</v>
      </c>
      <c r="G633" s="695"/>
      <c r="H633" s="669">
        <v>0</v>
      </c>
    </row>
    <row r="634" spans="1:8" ht="13.35" hidden="1" customHeight="1">
      <c r="A634" s="542" t="s">
        <v>1110</v>
      </c>
      <c r="B634" s="542" t="s">
        <v>1425</v>
      </c>
      <c r="C634" s="616"/>
      <c r="D634" s="946">
        <v>0</v>
      </c>
      <c r="E634" s="521">
        <v>0</v>
      </c>
      <c r="F634" s="520">
        <v>0</v>
      </c>
      <c r="G634" s="695" t="s">
        <v>1617</v>
      </c>
      <c r="H634" s="669">
        <v>6</v>
      </c>
    </row>
    <row r="635" spans="1:8" ht="13.35" hidden="1" customHeight="1">
      <c r="A635" s="539" t="s">
        <v>1111</v>
      </c>
      <c r="B635" s="539" t="s">
        <v>1436</v>
      </c>
      <c r="C635" s="548" t="s">
        <v>1452</v>
      </c>
      <c r="D635" s="946">
        <v>0</v>
      </c>
      <c r="E635" s="521">
        <v>0</v>
      </c>
      <c r="F635" s="520">
        <v>0</v>
      </c>
      <c r="G635" s="695"/>
      <c r="H635" s="669">
        <v>0</v>
      </c>
    </row>
    <row r="636" spans="1:8" ht="13.35" hidden="1" customHeight="1">
      <c r="A636" s="542" t="s">
        <v>1112</v>
      </c>
      <c r="B636" s="542" t="s">
        <v>1392</v>
      </c>
      <c r="C636" s="616"/>
      <c r="D636" s="946">
        <v>0</v>
      </c>
      <c r="E636" s="521">
        <v>0</v>
      </c>
      <c r="F636" s="520">
        <v>0</v>
      </c>
      <c r="G636" s="695" t="s">
        <v>1617</v>
      </c>
      <c r="H636" s="669">
        <v>6</v>
      </c>
    </row>
    <row r="637" spans="1:8" ht="13.35" hidden="1" customHeight="1">
      <c r="A637" s="539" t="s">
        <v>1113</v>
      </c>
      <c r="B637" s="539" t="s">
        <v>1437</v>
      </c>
      <c r="C637" s="548" t="s">
        <v>36</v>
      </c>
      <c r="D637" s="946">
        <v>0</v>
      </c>
      <c r="E637" s="521">
        <v>0</v>
      </c>
      <c r="F637" s="520">
        <v>0</v>
      </c>
      <c r="G637" s="695"/>
      <c r="H637" s="669">
        <v>0</v>
      </c>
    </row>
    <row r="638" spans="1:8" ht="13.35" hidden="1" customHeight="1">
      <c r="A638" s="440" t="s">
        <v>1114</v>
      </c>
      <c r="B638" s="543" t="s">
        <v>1438</v>
      </c>
      <c r="C638" s="616"/>
      <c r="D638" s="946">
        <v>0</v>
      </c>
      <c r="E638" s="521">
        <v>0</v>
      </c>
      <c r="F638" s="520">
        <v>0</v>
      </c>
      <c r="G638" s="695"/>
      <c r="H638" s="669">
        <v>0</v>
      </c>
    </row>
    <row r="639" spans="1:8" ht="13.35" hidden="1" customHeight="1">
      <c r="A639" s="542" t="s">
        <v>1115</v>
      </c>
      <c r="B639" s="542" t="s">
        <v>1439</v>
      </c>
      <c r="C639" s="616"/>
      <c r="D639" s="946">
        <v>0</v>
      </c>
      <c r="E639" s="521">
        <v>0</v>
      </c>
      <c r="F639" s="520">
        <v>0</v>
      </c>
      <c r="G639" s="695" t="s">
        <v>1455</v>
      </c>
      <c r="H639" s="669">
        <v>1</v>
      </c>
    </row>
    <row r="640" spans="1:8" ht="13.35" hidden="1" customHeight="1">
      <c r="A640" s="539" t="s">
        <v>1116</v>
      </c>
      <c r="B640" s="539" t="s">
        <v>1440</v>
      </c>
      <c r="C640" s="548" t="s">
        <v>1453</v>
      </c>
      <c r="D640" s="946">
        <v>0</v>
      </c>
      <c r="E640" s="521">
        <v>0</v>
      </c>
      <c r="F640" s="520">
        <v>0</v>
      </c>
      <c r="G640" s="695"/>
      <c r="H640" s="669">
        <v>0</v>
      </c>
    </row>
    <row r="641" spans="1:8" ht="13.35" hidden="1" customHeight="1">
      <c r="A641" s="542" t="s">
        <v>1117</v>
      </c>
      <c r="B641" s="542" t="s">
        <v>1441</v>
      </c>
      <c r="C641" s="616"/>
      <c r="D641" s="946">
        <v>0</v>
      </c>
      <c r="E641" s="521">
        <v>0</v>
      </c>
      <c r="F641" s="520">
        <v>0</v>
      </c>
      <c r="G641" s="695" t="s">
        <v>1698</v>
      </c>
      <c r="H641" s="669">
        <v>2</v>
      </c>
    </row>
    <row r="642" spans="1:8" ht="13.35" hidden="1" customHeight="1">
      <c r="A642" s="539" t="s">
        <v>1118</v>
      </c>
      <c r="B642" s="539" t="s">
        <v>1442</v>
      </c>
      <c r="C642" s="548" t="s">
        <v>1454</v>
      </c>
      <c r="D642" s="946">
        <v>0</v>
      </c>
      <c r="E642" s="521">
        <v>0</v>
      </c>
      <c r="F642" s="520">
        <v>0</v>
      </c>
      <c r="G642" s="695"/>
      <c r="H642" s="669">
        <v>0</v>
      </c>
    </row>
    <row r="643" spans="1:8" ht="13.35" hidden="1" customHeight="1">
      <c r="A643" s="542" t="s">
        <v>1119</v>
      </c>
      <c r="B643" s="542" t="s">
        <v>1419</v>
      </c>
      <c r="C643" s="616"/>
      <c r="D643" s="946">
        <v>0</v>
      </c>
      <c r="E643" s="521">
        <v>0</v>
      </c>
      <c r="F643" s="520">
        <v>0</v>
      </c>
      <c r="G643" s="695" t="s">
        <v>1771</v>
      </c>
      <c r="H643" s="669">
        <v>90</v>
      </c>
    </row>
    <row r="644" spans="1:8" ht="13.35" hidden="1" customHeight="1">
      <c r="A644" s="539" t="s">
        <v>1120</v>
      </c>
      <c r="B644" s="539" t="s">
        <v>1420</v>
      </c>
      <c r="C644" s="548" t="s">
        <v>38</v>
      </c>
      <c r="D644" s="946">
        <v>0</v>
      </c>
      <c r="E644" s="521">
        <v>0</v>
      </c>
      <c r="F644" s="520">
        <v>0</v>
      </c>
      <c r="G644" s="695"/>
      <c r="H644" s="669">
        <v>0</v>
      </c>
    </row>
    <row r="645" spans="1:8" ht="13.35" hidden="1" customHeight="1">
      <c r="A645" s="542" t="s">
        <v>1121</v>
      </c>
      <c r="B645" s="542" t="s">
        <v>1421</v>
      </c>
      <c r="C645" s="616"/>
      <c r="D645" s="946">
        <v>0</v>
      </c>
      <c r="E645" s="521">
        <v>0</v>
      </c>
      <c r="F645" s="520">
        <v>0</v>
      </c>
      <c r="G645" s="695">
        <v>12</v>
      </c>
      <c r="H645" s="669">
        <v>12</v>
      </c>
    </row>
    <row r="646" spans="1:8" ht="13.35" hidden="1" customHeight="1">
      <c r="A646" s="539" t="s">
        <v>1122</v>
      </c>
      <c r="B646" s="539" t="s">
        <v>1443</v>
      </c>
      <c r="C646" s="548" t="s">
        <v>38</v>
      </c>
      <c r="D646" s="946">
        <v>0</v>
      </c>
      <c r="E646" s="521">
        <v>0</v>
      </c>
      <c r="F646" s="520">
        <v>0</v>
      </c>
      <c r="G646" s="695">
        <v>106</v>
      </c>
      <c r="H646" s="669">
        <v>106</v>
      </c>
    </row>
    <row r="647" spans="1:8" ht="13.35" hidden="1" customHeight="1">
      <c r="A647" s="539" t="s">
        <v>1123</v>
      </c>
      <c r="B647" s="539" t="s">
        <v>1444</v>
      </c>
      <c r="C647" s="548" t="s">
        <v>38</v>
      </c>
      <c r="D647" s="946">
        <v>0</v>
      </c>
      <c r="E647" s="521">
        <v>0</v>
      </c>
      <c r="F647" s="520">
        <v>0</v>
      </c>
      <c r="G647" s="695"/>
      <c r="H647" s="669">
        <v>0</v>
      </c>
    </row>
    <row r="648" spans="1:8" ht="13.35" hidden="1" customHeight="1">
      <c r="A648" s="542" t="s">
        <v>1124</v>
      </c>
      <c r="B648" s="542" t="s">
        <v>1423</v>
      </c>
      <c r="C648" s="616"/>
      <c r="D648" s="946">
        <v>0</v>
      </c>
      <c r="E648" s="521">
        <v>0</v>
      </c>
      <c r="F648" s="520">
        <v>0</v>
      </c>
      <c r="G648" s="695">
        <v>106</v>
      </c>
      <c r="H648" s="669">
        <v>106</v>
      </c>
    </row>
    <row r="649" spans="1:8" ht="13.35" hidden="1" customHeight="1">
      <c r="A649" s="539" t="s">
        <v>1125</v>
      </c>
      <c r="B649" s="539" t="s">
        <v>1445</v>
      </c>
      <c r="C649" s="548" t="s">
        <v>38</v>
      </c>
      <c r="D649" s="946">
        <v>0</v>
      </c>
      <c r="E649" s="521">
        <v>0</v>
      </c>
      <c r="F649" s="520">
        <v>0</v>
      </c>
      <c r="G649" s="695"/>
      <c r="H649" s="669">
        <v>0</v>
      </c>
    </row>
    <row r="650" spans="1:8" ht="13.35" hidden="1" customHeight="1">
      <c r="A650" s="542" t="s">
        <v>1126</v>
      </c>
      <c r="B650" s="542" t="s">
        <v>1416</v>
      </c>
      <c r="C650" s="616"/>
      <c r="D650" s="946">
        <v>0</v>
      </c>
      <c r="E650" s="521">
        <v>0</v>
      </c>
      <c r="F650" s="520">
        <v>0</v>
      </c>
      <c r="G650" s="695">
        <v>5</v>
      </c>
      <c r="H650" s="669">
        <v>5</v>
      </c>
    </row>
    <row r="651" spans="1:8" ht="13.35" hidden="1" customHeight="1">
      <c r="A651" s="539" t="s">
        <v>1127</v>
      </c>
      <c r="B651" s="539" t="s">
        <v>1417</v>
      </c>
      <c r="C651" s="548" t="s">
        <v>36</v>
      </c>
      <c r="D651" s="946">
        <v>0</v>
      </c>
      <c r="E651" s="521">
        <v>0</v>
      </c>
      <c r="F651" s="520">
        <v>0</v>
      </c>
      <c r="G651" s="695"/>
      <c r="H651" s="669">
        <v>0</v>
      </c>
    </row>
    <row r="652" spans="1:8" ht="13.35" hidden="1" customHeight="1">
      <c r="A652" s="542" t="s">
        <v>1128</v>
      </c>
      <c r="B652" s="542" t="s">
        <v>1446</v>
      </c>
      <c r="C652" s="616"/>
      <c r="D652" s="946">
        <v>0</v>
      </c>
      <c r="E652" s="521">
        <v>0</v>
      </c>
      <c r="F652" s="520">
        <v>0</v>
      </c>
      <c r="G652" s="695">
        <v>1</v>
      </c>
      <c r="H652" s="669">
        <v>1</v>
      </c>
    </row>
    <row r="653" spans="1:8" ht="13.35" hidden="1" customHeight="1">
      <c r="A653" s="539" t="s">
        <v>1129</v>
      </c>
      <c r="B653" s="539" t="s">
        <v>1447</v>
      </c>
      <c r="C653" s="548" t="s">
        <v>64</v>
      </c>
      <c r="D653" s="946">
        <v>0</v>
      </c>
      <c r="E653" s="521">
        <v>0</v>
      </c>
      <c r="F653" s="520">
        <v>0</v>
      </c>
      <c r="G653" s="695"/>
      <c r="H653" s="669">
        <v>0</v>
      </c>
    </row>
    <row r="654" spans="1:8" ht="13.35" hidden="1" customHeight="1">
      <c r="A654" s="542" t="s">
        <v>1130</v>
      </c>
      <c r="B654" s="542" t="s">
        <v>1448</v>
      </c>
      <c r="C654" s="792"/>
      <c r="D654" s="946">
        <v>0</v>
      </c>
      <c r="E654" s="521">
        <v>1</v>
      </c>
      <c r="F654" s="520">
        <v>1</v>
      </c>
      <c r="G654" s="695"/>
      <c r="H654" s="669">
        <v>-1</v>
      </c>
    </row>
    <row r="655" spans="1:8" ht="14.1" hidden="1" customHeight="1">
      <c r="A655" s="554" t="s">
        <v>1131</v>
      </c>
      <c r="B655" s="554" t="s">
        <v>1449</v>
      </c>
      <c r="C655" s="793" t="s">
        <v>64</v>
      </c>
      <c r="D655" s="946">
        <v>0</v>
      </c>
      <c r="E655" s="521">
        <v>2</v>
      </c>
      <c r="F655" s="520">
        <v>2</v>
      </c>
      <c r="G655" s="695"/>
      <c r="H655" s="669">
        <v>-2</v>
      </c>
    </row>
    <row r="656" spans="1:8" ht="14.1" hidden="1" customHeight="1">
      <c r="A656" s="556"/>
      <c r="B656" s="557" t="s">
        <v>2</v>
      </c>
      <c r="C656" s="531"/>
      <c r="D656" s="954"/>
      <c r="E656" s="671"/>
      <c r="F656" s="671"/>
      <c r="G656" s="696">
        <v>0</v>
      </c>
      <c r="H656" s="669">
        <v>0</v>
      </c>
    </row>
  </sheetData>
  <mergeCells count="6">
    <mergeCell ref="A9:A10"/>
    <mergeCell ref="B9:B10"/>
    <mergeCell ref="A1:C1"/>
    <mergeCell ref="A2:C2"/>
    <mergeCell ref="B4:C4"/>
    <mergeCell ref="B5:C5"/>
  </mergeCells>
  <pageMargins left="0.7" right="0.7" top="0.75" bottom="0.75" header="0.3" footer="0.3"/>
  <pageSetup paperSize="9" scale="71" orientation="portrait" r:id="rId1"/>
  <colBreaks count="1" manualBreakCount="1">
    <brk id="4" max="1048575" man="1"/>
  </colBreaks>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002060"/>
  </sheetPr>
  <dimension ref="A1:AQ30"/>
  <sheetViews>
    <sheetView workbookViewId="0">
      <selection sqref="A1:X1"/>
    </sheetView>
  </sheetViews>
  <sheetFormatPr baseColWidth="10" defaultColWidth="11.42578125" defaultRowHeight="12.75"/>
  <cols>
    <col min="1" max="1" width="14.42578125" style="552" customWidth="1"/>
    <col min="2" max="2" width="99.42578125" style="550" customWidth="1"/>
    <col min="3" max="3" width="5" style="498" customWidth="1"/>
    <col min="4" max="4" width="7" style="735" hidden="1" customWidth="1"/>
    <col min="5" max="10" width="7" style="498" hidden="1" customWidth="1"/>
    <col min="11" max="11" width="7" style="735" hidden="1" customWidth="1"/>
    <col min="12" max="17" width="7" style="498" hidden="1" customWidth="1"/>
    <col min="18" max="18" width="7" style="735" hidden="1" customWidth="1"/>
    <col min="19" max="24" width="7" style="498" hidden="1" customWidth="1"/>
    <col min="25" max="25" width="7" style="735" hidden="1" customWidth="1"/>
    <col min="26" max="29" width="7" style="498" hidden="1" customWidth="1"/>
    <col min="30" max="30" width="7" style="499" hidden="1" customWidth="1"/>
    <col min="31" max="31" width="10.42578125" style="499" hidden="1" customWidth="1"/>
    <col min="32" max="32" width="7" style="755" hidden="1" customWidth="1"/>
    <col min="33" max="34" width="7" style="499" hidden="1" customWidth="1"/>
    <col min="35" max="36" width="9.42578125" style="498" customWidth="1"/>
    <col min="37" max="37" width="8.42578125" style="498" customWidth="1"/>
    <col min="38" max="38" width="11.42578125" style="498" customWidth="1"/>
    <col min="39" max="256" width="11.42578125" style="498"/>
    <col min="257" max="257" width="6.42578125" style="498" customWidth="1"/>
    <col min="258" max="258" width="47.5703125" style="498" customWidth="1"/>
    <col min="259" max="260" width="5" style="498" customWidth="1"/>
    <col min="261" max="261" width="5.42578125" style="498" customWidth="1"/>
    <col min="262" max="262" width="4.5703125" style="498" customWidth="1"/>
    <col min="263" max="264" width="4.42578125" style="498" customWidth="1"/>
    <col min="265" max="265" width="3.5703125" style="498" customWidth="1"/>
    <col min="266" max="266" width="5" style="498" customWidth="1"/>
    <col min="267" max="267" width="4" style="498" customWidth="1"/>
    <col min="268" max="269" width="4.5703125" style="498" customWidth="1"/>
    <col min="270" max="270" width="4.42578125" style="498" customWidth="1"/>
    <col min="271" max="271" width="4" style="498" customWidth="1"/>
    <col min="272" max="272" width="3.5703125" style="498" customWidth="1"/>
    <col min="273" max="274" width="4.5703125" style="498" customWidth="1"/>
    <col min="275" max="275" width="4" style="498" customWidth="1"/>
    <col min="276" max="277" width="4.42578125" style="498" customWidth="1"/>
    <col min="278" max="278" width="3.5703125" style="498" customWidth="1"/>
    <col min="279" max="279" width="4.42578125" style="498" customWidth="1"/>
    <col min="280" max="280" width="5.5703125" style="498" customWidth="1"/>
    <col min="281" max="281" width="3.5703125" style="498" customWidth="1"/>
    <col min="282" max="282" width="4" style="498" customWidth="1"/>
    <col min="283" max="283" width="4.5703125" style="498" customWidth="1"/>
    <col min="284" max="286" width="4.42578125" style="498" customWidth="1"/>
    <col min="287" max="288" width="4.5703125" style="498" customWidth="1"/>
    <col min="289" max="289" width="4" style="498" customWidth="1"/>
    <col min="290" max="290" width="4.5703125" style="498" customWidth="1"/>
    <col min="291" max="291" width="6" style="498" customWidth="1"/>
    <col min="292" max="292" width="8.5703125" style="498" customWidth="1"/>
    <col min="293" max="512" width="11.42578125" style="498"/>
    <col min="513" max="513" width="6.42578125" style="498" customWidth="1"/>
    <col min="514" max="514" width="47.5703125" style="498" customWidth="1"/>
    <col min="515" max="516" width="5" style="498" customWidth="1"/>
    <col min="517" max="517" width="5.42578125" style="498" customWidth="1"/>
    <col min="518" max="518" width="4.5703125" style="498" customWidth="1"/>
    <col min="519" max="520" width="4.42578125" style="498" customWidth="1"/>
    <col min="521" max="521" width="3.5703125" style="498" customWidth="1"/>
    <col min="522" max="522" width="5" style="498" customWidth="1"/>
    <col min="523" max="523" width="4" style="498" customWidth="1"/>
    <col min="524" max="525" width="4.5703125" style="498" customWidth="1"/>
    <col min="526" max="526" width="4.42578125" style="498" customWidth="1"/>
    <col min="527" max="527" width="4" style="498" customWidth="1"/>
    <col min="528" max="528" width="3.5703125" style="498" customWidth="1"/>
    <col min="529" max="530" width="4.5703125" style="498" customWidth="1"/>
    <col min="531" max="531" width="4" style="498" customWidth="1"/>
    <col min="532" max="533" width="4.42578125" style="498" customWidth="1"/>
    <col min="534" max="534" width="3.5703125" style="498" customWidth="1"/>
    <col min="535" max="535" width="4.42578125" style="498" customWidth="1"/>
    <col min="536" max="536" width="5.5703125" style="498" customWidth="1"/>
    <col min="537" max="537" width="3.5703125" style="498" customWidth="1"/>
    <col min="538" max="538" width="4" style="498" customWidth="1"/>
    <col min="539" max="539" width="4.5703125" style="498" customWidth="1"/>
    <col min="540" max="542" width="4.42578125" style="498" customWidth="1"/>
    <col min="543" max="544" width="4.5703125" style="498" customWidth="1"/>
    <col min="545" max="545" width="4" style="498" customWidth="1"/>
    <col min="546" max="546" width="4.5703125" style="498" customWidth="1"/>
    <col min="547" max="547" width="6" style="498" customWidth="1"/>
    <col min="548" max="548" width="8.5703125" style="498" customWidth="1"/>
    <col min="549" max="768" width="11.42578125" style="498"/>
    <col min="769" max="769" width="6.42578125" style="498" customWidth="1"/>
    <col min="770" max="770" width="47.5703125" style="498" customWidth="1"/>
    <col min="771" max="772" width="5" style="498" customWidth="1"/>
    <col min="773" max="773" width="5.42578125" style="498" customWidth="1"/>
    <col min="774" max="774" width="4.5703125" style="498" customWidth="1"/>
    <col min="775" max="776" width="4.42578125" style="498" customWidth="1"/>
    <col min="777" max="777" width="3.5703125" style="498" customWidth="1"/>
    <col min="778" max="778" width="5" style="498" customWidth="1"/>
    <col min="779" max="779" width="4" style="498" customWidth="1"/>
    <col min="780" max="781" width="4.5703125" style="498" customWidth="1"/>
    <col min="782" max="782" width="4.42578125" style="498" customWidth="1"/>
    <col min="783" max="783" width="4" style="498" customWidth="1"/>
    <col min="784" max="784" width="3.5703125" style="498" customWidth="1"/>
    <col min="785" max="786" width="4.5703125" style="498" customWidth="1"/>
    <col min="787" max="787" width="4" style="498" customWidth="1"/>
    <col min="788" max="789" width="4.42578125" style="498" customWidth="1"/>
    <col min="790" max="790" width="3.5703125" style="498" customWidth="1"/>
    <col min="791" max="791" width="4.42578125" style="498" customWidth="1"/>
    <col min="792" max="792" width="5.5703125" style="498" customWidth="1"/>
    <col min="793" max="793" width="3.5703125" style="498" customWidth="1"/>
    <col min="794" max="794" width="4" style="498" customWidth="1"/>
    <col min="795" max="795" width="4.5703125" style="498" customWidth="1"/>
    <col min="796" max="798" width="4.42578125" style="498" customWidth="1"/>
    <col min="799" max="800" width="4.5703125" style="498" customWidth="1"/>
    <col min="801" max="801" width="4" style="498" customWidth="1"/>
    <col min="802" max="802" width="4.5703125" style="498" customWidth="1"/>
    <col min="803" max="803" width="6" style="498" customWidth="1"/>
    <col min="804" max="804" width="8.5703125" style="498" customWidth="1"/>
    <col min="805" max="1024" width="11.42578125" style="498"/>
    <col min="1025" max="1025" width="6.42578125" style="498" customWidth="1"/>
    <col min="1026" max="1026" width="47.5703125" style="498" customWidth="1"/>
    <col min="1027" max="1028" width="5" style="498" customWidth="1"/>
    <col min="1029" max="1029" width="5.42578125" style="498" customWidth="1"/>
    <col min="1030" max="1030" width="4.5703125" style="498" customWidth="1"/>
    <col min="1031" max="1032" width="4.42578125" style="498" customWidth="1"/>
    <col min="1033" max="1033" width="3.5703125" style="498" customWidth="1"/>
    <col min="1034" max="1034" width="5" style="498" customWidth="1"/>
    <col min="1035" max="1035" width="4" style="498" customWidth="1"/>
    <col min="1036" max="1037" width="4.5703125" style="498" customWidth="1"/>
    <col min="1038" max="1038" width="4.42578125" style="498" customWidth="1"/>
    <col min="1039" max="1039" width="4" style="498" customWidth="1"/>
    <col min="1040" max="1040" width="3.5703125" style="498" customWidth="1"/>
    <col min="1041" max="1042" width="4.5703125" style="498" customWidth="1"/>
    <col min="1043" max="1043" width="4" style="498" customWidth="1"/>
    <col min="1044" max="1045" width="4.42578125" style="498" customWidth="1"/>
    <col min="1046" max="1046" width="3.5703125" style="498" customWidth="1"/>
    <col min="1047" max="1047" width="4.42578125" style="498" customWidth="1"/>
    <col min="1048" max="1048" width="5.5703125" style="498" customWidth="1"/>
    <col min="1049" max="1049" width="3.5703125" style="498" customWidth="1"/>
    <col min="1050" max="1050" width="4" style="498" customWidth="1"/>
    <col min="1051" max="1051" width="4.5703125" style="498" customWidth="1"/>
    <col min="1052" max="1054" width="4.42578125" style="498" customWidth="1"/>
    <col min="1055" max="1056" width="4.5703125" style="498" customWidth="1"/>
    <col min="1057" max="1057" width="4" style="498" customWidth="1"/>
    <col min="1058" max="1058" width="4.5703125" style="498" customWidth="1"/>
    <col min="1059" max="1059" width="6" style="498" customWidth="1"/>
    <col min="1060" max="1060" width="8.5703125" style="498" customWidth="1"/>
    <col min="1061" max="1280" width="11.42578125" style="498"/>
    <col min="1281" max="1281" width="6.42578125" style="498" customWidth="1"/>
    <col min="1282" max="1282" width="47.5703125" style="498" customWidth="1"/>
    <col min="1283" max="1284" width="5" style="498" customWidth="1"/>
    <col min="1285" max="1285" width="5.42578125" style="498" customWidth="1"/>
    <col min="1286" max="1286" width="4.5703125" style="498" customWidth="1"/>
    <col min="1287" max="1288" width="4.42578125" style="498" customWidth="1"/>
    <col min="1289" max="1289" width="3.5703125" style="498" customWidth="1"/>
    <col min="1290" max="1290" width="5" style="498" customWidth="1"/>
    <col min="1291" max="1291" width="4" style="498" customWidth="1"/>
    <col min="1292" max="1293" width="4.5703125" style="498" customWidth="1"/>
    <col min="1294" max="1294" width="4.42578125" style="498" customWidth="1"/>
    <col min="1295" max="1295" width="4" style="498" customWidth="1"/>
    <col min="1296" max="1296" width="3.5703125" style="498" customWidth="1"/>
    <col min="1297" max="1298" width="4.5703125" style="498" customWidth="1"/>
    <col min="1299" max="1299" width="4" style="498" customWidth="1"/>
    <col min="1300" max="1301" width="4.42578125" style="498" customWidth="1"/>
    <col min="1302" max="1302" width="3.5703125" style="498" customWidth="1"/>
    <col min="1303" max="1303" width="4.42578125" style="498" customWidth="1"/>
    <col min="1304" max="1304" width="5.5703125" style="498" customWidth="1"/>
    <col min="1305" max="1305" width="3.5703125" style="498" customWidth="1"/>
    <col min="1306" max="1306" width="4" style="498" customWidth="1"/>
    <col min="1307" max="1307" width="4.5703125" style="498" customWidth="1"/>
    <col min="1308" max="1310" width="4.42578125" style="498" customWidth="1"/>
    <col min="1311" max="1312" width="4.5703125" style="498" customWidth="1"/>
    <col min="1313" max="1313" width="4" style="498" customWidth="1"/>
    <col min="1314" max="1314" width="4.5703125" style="498" customWidth="1"/>
    <col min="1315" max="1315" width="6" style="498" customWidth="1"/>
    <col min="1316" max="1316" width="8.5703125" style="498" customWidth="1"/>
    <col min="1317" max="1536" width="11.42578125" style="498"/>
    <col min="1537" max="1537" width="6.42578125" style="498" customWidth="1"/>
    <col min="1538" max="1538" width="47.5703125" style="498" customWidth="1"/>
    <col min="1539" max="1540" width="5" style="498" customWidth="1"/>
    <col min="1541" max="1541" width="5.42578125" style="498" customWidth="1"/>
    <col min="1542" max="1542" width="4.5703125" style="498" customWidth="1"/>
    <col min="1543" max="1544" width="4.42578125" style="498" customWidth="1"/>
    <col min="1545" max="1545" width="3.5703125" style="498" customWidth="1"/>
    <col min="1546" max="1546" width="5" style="498" customWidth="1"/>
    <col min="1547" max="1547" width="4" style="498" customWidth="1"/>
    <col min="1548" max="1549" width="4.5703125" style="498" customWidth="1"/>
    <col min="1550" max="1550" width="4.42578125" style="498" customWidth="1"/>
    <col min="1551" max="1551" width="4" style="498" customWidth="1"/>
    <col min="1552" max="1552" width="3.5703125" style="498" customWidth="1"/>
    <col min="1553" max="1554" width="4.5703125" style="498" customWidth="1"/>
    <col min="1555" max="1555" width="4" style="498" customWidth="1"/>
    <col min="1556" max="1557" width="4.42578125" style="498" customWidth="1"/>
    <col min="1558" max="1558" width="3.5703125" style="498" customWidth="1"/>
    <col min="1559" max="1559" width="4.42578125" style="498" customWidth="1"/>
    <col min="1560" max="1560" width="5.5703125" style="498" customWidth="1"/>
    <col min="1561" max="1561" width="3.5703125" style="498" customWidth="1"/>
    <col min="1562" max="1562" width="4" style="498" customWidth="1"/>
    <col min="1563" max="1563" width="4.5703125" style="498" customWidth="1"/>
    <col min="1564" max="1566" width="4.42578125" style="498" customWidth="1"/>
    <col min="1567" max="1568" width="4.5703125" style="498" customWidth="1"/>
    <col min="1569" max="1569" width="4" style="498" customWidth="1"/>
    <col min="1570" max="1570" width="4.5703125" style="498" customWidth="1"/>
    <col min="1571" max="1571" width="6" style="498" customWidth="1"/>
    <col min="1572" max="1572" width="8.5703125" style="498" customWidth="1"/>
    <col min="1573" max="1792" width="11.42578125" style="498"/>
    <col min="1793" max="1793" width="6.42578125" style="498" customWidth="1"/>
    <col min="1794" max="1794" width="47.5703125" style="498" customWidth="1"/>
    <col min="1795" max="1796" width="5" style="498" customWidth="1"/>
    <col min="1797" max="1797" width="5.42578125" style="498" customWidth="1"/>
    <col min="1798" max="1798" width="4.5703125" style="498" customWidth="1"/>
    <col min="1799" max="1800" width="4.42578125" style="498" customWidth="1"/>
    <col min="1801" max="1801" width="3.5703125" style="498" customWidth="1"/>
    <col min="1802" max="1802" width="5" style="498" customWidth="1"/>
    <col min="1803" max="1803" width="4" style="498" customWidth="1"/>
    <col min="1804" max="1805" width="4.5703125" style="498" customWidth="1"/>
    <col min="1806" max="1806" width="4.42578125" style="498" customWidth="1"/>
    <col min="1807" max="1807" width="4" style="498" customWidth="1"/>
    <col min="1808" max="1808" width="3.5703125" style="498" customWidth="1"/>
    <col min="1809" max="1810" width="4.5703125" style="498" customWidth="1"/>
    <col min="1811" max="1811" width="4" style="498" customWidth="1"/>
    <col min="1812" max="1813" width="4.42578125" style="498" customWidth="1"/>
    <col min="1814" max="1814" width="3.5703125" style="498" customWidth="1"/>
    <col min="1815" max="1815" width="4.42578125" style="498" customWidth="1"/>
    <col min="1816" max="1816" width="5.5703125" style="498" customWidth="1"/>
    <col min="1817" max="1817" width="3.5703125" style="498" customWidth="1"/>
    <col min="1818" max="1818" width="4" style="498" customWidth="1"/>
    <col min="1819" max="1819" width="4.5703125" style="498" customWidth="1"/>
    <col min="1820" max="1822" width="4.42578125" style="498" customWidth="1"/>
    <col min="1823" max="1824" width="4.5703125" style="498" customWidth="1"/>
    <col min="1825" max="1825" width="4" style="498" customWidth="1"/>
    <col min="1826" max="1826" width="4.5703125" style="498" customWidth="1"/>
    <col min="1827" max="1827" width="6" style="498" customWidth="1"/>
    <col min="1828" max="1828" width="8.5703125" style="498" customWidth="1"/>
    <col min="1829" max="2048" width="11.42578125" style="498"/>
    <col min="2049" max="2049" width="6.42578125" style="498" customWidth="1"/>
    <col min="2050" max="2050" width="47.5703125" style="498" customWidth="1"/>
    <col min="2051" max="2052" width="5" style="498" customWidth="1"/>
    <col min="2053" max="2053" width="5.42578125" style="498" customWidth="1"/>
    <col min="2054" max="2054" width="4.5703125" style="498" customWidth="1"/>
    <col min="2055" max="2056" width="4.42578125" style="498" customWidth="1"/>
    <col min="2057" max="2057" width="3.5703125" style="498" customWidth="1"/>
    <col min="2058" max="2058" width="5" style="498" customWidth="1"/>
    <col min="2059" max="2059" width="4" style="498" customWidth="1"/>
    <col min="2060" max="2061" width="4.5703125" style="498" customWidth="1"/>
    <col min="2062" max="2062" width="4.42578125" style="498" customWidth="1"/>
    <col min="2063" max="2063" width="4" style="498" customWidth="1"/>
    <col min="2064" max="2064" width="3.5703125" style="498" customWidth="1"/>
    <col min="2065" max="2066" width="4.5703125" style="498" customWidth="1"/>
    <col min="2067" max="2067" width="4" style="498" customWidth="1"/>
    <col min="2068" max="2069" width="4.42578125" style="498" customWidth="1"/>
    <col min="2070" max="2070" width="3.5703125" style="498" customWidth="1"/>
    <col min="2071" max="2071" width="4.42578125" style="498" customWidth="1"/>
    <col min="2072" max="2072" width="5.5703125" style="498" customWidth="1"/>
    <col min="2073" max="2073" width="3.5703125" style="498" customWidth="1"/>
    <col min="2074" max="2074" width="4" style="498" customWidth="1"/>
    <col min="2075" max="2075" width="4.5703125" style="498" customWidth="1"/>
    <col min="2076" max="2078" width="4.42578125" style="498" customWidth="1"/>
    <col min="2079" max="2080" width="4.5703125" style="498" customWidth="1"/>
    <col min="2081" max="2081" width="4" style="498" customWidth="1"/>
    <col min="2082" max="2082" width="4.5703125" style="498" customWidth="1"/>
    <col min="2083" max="2083" width="6" style="498" customWidth="1"/>
    <col min="2084" max="2084" width="8.5703125" style="498" customWidth="1"/>
    <col min="2085" max="2304" width="11.42578125" style="498"/>
    <col min="2305" max="2305" width="6.42578125" style="498" customWidth="1"/>
    <col min="2306" max="2306" width="47.5703125" style="498" customWidth="1"/>
    <col min="2307" max="2308" width="5" style="498" customWidth="1"/>
    <col min="2309" max="2309" width="5.42578125" style="498" customWidth="1"/>
    <col min="2310" max="2310" width="4.5703125" style="498" customWidth="1"/>
    <col min="2311" max="2312" width="4.42578125" style="498" customWidth="1"/>
    <col min="2313" max="2313" width="3.5703125" style="498" customWidth="1"/>
    <col min="2314" max="2314" width="5" style="498" customWidth="1"/>
    <col min="2315" max="2315" width="4" style="498" customWidth="1"/>
    <col min="2316" max="2317" width="4.5703125" style="498" customWidth="1"/>
    <col min="2318" max="2318" width="4.42578125" style="498" customWidth="1"/>
    <col min="2319" max="2319" width="4" style="498" customWidth="1"/>
    <col min="2320" max="2320" width="3.5703125" style="498" customWidth="1"/>
    <col min="2321" max="2322" width="4.5703125" style="498" customWidth="1"/>
    <col min="2323" max="2323" width="4" style="498" customWidth="1"/>
    <col min="2324" max="2325" width="4.42578125" style="498" customWidth="1"/>
    <col min="2326" max="2326" width="3.5703125" style="498" customWidth="1"/>
    <col min="2327" max="2327" width="4.42578125" style="498" customWidth="1"/>
    <col min="2328" max="2328" width="5.5703125" style="498" customWidth="1"/>
    <col min="2329" max="2329" width="3.5703125" style="498" customWidth="1"/>
    <col min="2330" max="2330" width="4" style="498" customWidth="1"/>
    <col min="2331" max="2331" width="4.5703125" style="498" customWidth="1"/>
    <col min="2332" max="2334" width="4.42578125" style="498" customWidth="1"/>
    <col min="2335" max="2336" width="4.5703125" style="498" customWidth="1"/>
    <col min="2337" max="2337" width="4" style="498" customWidth="1"/>
    <col min="2338" max="2338" width="4.5703125" style="498" customWidth="1"/>
    <col min="2339" max="2339" width="6" style="498" customWidth="1"/>
    <col min="2340" max="2340" width="8.5703125" style="498" customWidth="1"/>
    <col min="2341" max="2560" width="11.42578125" style="498"/>
    <col min="2561" max="2561" width="6.42578125" style="498" customWidth="1"/>
    <col min="2562" max="2562" width="47.5703125" style="498" customWidth="1"/>
    <col min="2563" max="2564" width="5" style="498" customWidth="1"/>
    <col min="2565" max="2565" width="5.42578125" style="498" customWidth="1"/>
    <col min="2566" max="2566" width="4.5703125" style="498" customWidth="1"/>
    <col min="2567" max="2568" width="4.42578125" style="498" customWidth="1"/>
    <col min="2569" max="2569" width="3.5703125" style="498" customWidth="1"/>
    <col min="2570" max="2570" width="5" style="498" customWidth="1"/>
    <col min="2571" max="2571" width="4" style="498" customWidth="1"/>
    <col min="2572" max="2573" width="4.5703125" style="498" customWidth="1"/>
    <col min="2574" max="2574" width="4.42578125" style="498" customWidth="1"/>
    <col min="2575" max="2575" width="4" style="498" customWidth="1"/>
    <col min="2576" max="2576" width="3.5703125" style="498" customWidth="1"/>
    <col min="2577" max="2578" width="4.5703125" style="498" customWidth="1"/>
    <col min="2579" max="2579" width="4" style="498" customWidth="1"/>
    <col min="2580" max="2581" width="4.42578125" style="498" customWidth="1"/>
    <col min="2582" max="2582" width="3.5703125" style="498" customWidth="1"/>
    <col min="2583" max="2583" width="4.42578125" style="498" customWidth="1"/>
    <col min="2584" max="2584" width="5.5703125" style="498" customWidth="1"/>
    <col min="2585" max="2585" width="3.5703125" style="498" customWidth="1"/>
    <col min="2586" max="2586" width="4" style="498" customWidth="1"/>
    <col min="2587" max="2587" width="4.5703125" style="498" customWidth="1"/>
    <col min="2588" max="2590" width="4.42578125" style="498" customWidth="1"/>
    <col min="2591" max="2592" width="4.5703125" style="498" customWidth="1"/>
    <col min="2593" max="2593" width="4" style="498" customWidth="1"/>
    <col min="2594" max="2594" width="4.5703125" style="498" customWidth="1"/>
    <col min="2595" max="2595" width="6" style="498" customWidth="1"/>
    <col min="2596" max="2596" width="8.5703125" style="498" customWidth="1"/>
    <col min="2597" max="2816" width="11.42578125" style="498"/>
    <col min="2817" max="2817" width="6.42578125" style="498" customWidth="1"/>
    <col min="2818" max="2818" width="47.5703125" style="498" customWidth="1"/>
    <col min="2819" max="2820" width="5" style="498" customWidth="1"/>
    <col min="2821" max="2821" width="5.42578125" style="498" customWidth="1"/>
    <col min="2822" max="2822" width="4.5703125" style="498" customWidth="1"/>
    <col min="2823" max="2824" width="4.42578125" style="498" customWidth="1"/>
    <col min="2825" max="2825" width="3.5703125" style="498" customWidth="1"/>
    <col min="2826" max="2826" width="5" style="498" customWidth="1"/>
    <col min="2827" max="2827" width="4" style="498" customWidth="1"/>
    <col min="2828" max="2829" width="4.5703125" style="498" customWidth="1"/>
    <col min="2830" max="2830" width="4.42578125" style="498" customWidth="1"/>
    <col min="2831" max="2831" width="4" style="498" customWidth="1"/>
    <col min="2832" max="2832" width="3.5703125" style="498" customWidth="1"/>
    <col min="2833" max="2834" width="4.5703125" style="498" customWidth="1"/>
    <col min="2835" max="2835" width="4" style="498" customWidth="1"/>
    <col min="2836" max="2837" width="4.42578125" style="498" customWidth="1"/>
    <col min="2838" max="2838" width="3.5703125" style="498" customWidth="1"/>
    <col min="2839" max="2839" width="4.42578125" style="498" customWidth="1"/>
    <col min="2840" max="2840" width="5.5703125" style="498" customWidth="1"/>
    <col min="2841" max="2841" width="3.5703125" style="498" customWidth="1"/>
    <col min="2842" max="2842" width="4" style="498" customWidth="1"/>
    <col min="2843" max="2843" width="4.5703125" style="498" customWidth="1"/>
    <col min="2844" max="2846" width="4.42578125" style="498" customWidth="1"/>
    <col min="2847" max="2848" width="4.5703125" style="498" customWidth="1"/>
    <col min="2849" max="2849" width="4" style="498" customWidth="1"/>
    <col min="2850" max="2850" width="4.5703125" style="498" customWidth="1"/>
    <col min="2851" max="2851" width="6" style="498" customWidth="1"/>
    <col min="2852" max="2852" width="8.5703125" style="498" customWidth="1"/>
    <col min="2853" max="3072" width="11.42578125" style="498"/>
    <col min="3073" max="3073" width="6.42578125" style="498" customWidth="1"/>
    <col min="3074" max="3074" width="47.5703125" style="498" customWidth="1"/>
    <col min="3075" max="3076" width="5" style="498" customWidth="1"/>
    <col min="3077" max="3077" width="5.42578125" style="498" customWidth="1"/>
    <col min="3078" max="3078" width="4.5703125" style="498" customWidth="1"/>
    <col min="3079" max="3080" width="4.42578125" style="498" customWidth="1"/>
    <col min="3081" max="3081" width="3.5703125" style="498" customWidth="1"/>
    <col min="3082" max="3082" width="5" style="498" customWidth="1"/>
    <col min="3083" max="3083" width="4" style="498" customWidth="1"/>
    <col min="3084" max="3085" width="4.5703125" style="498" customWidth="1"/>
    <col min="3086" max="3086" width="4.42578125" style="498" customWidth="1"/>
    <col min="3087" max="3087" width="4" style="498" customWidth="1"/>
    <col min="3088" max="3088" width="3.5703125" style="498" customWidth="1"/>
    <col min="3089" max="3090" width="4.5703125" style="498" customWidth="1"/>
    <col min="3091" max="3091" width="4" style="498" customWidth="1"/>
    <col min="3092" max="3093" width="4.42578125" style="498" customWidth="1"/>
    <col min="3094" max="3094" width="3.5703125" style="498" customWidth="1"/>
    <col min="3095" max="3095" width="4.42578125" style="498" customWidth="1"/>
    <col min="3096" max="3096" width="5.5703125" style="498" customWidth="1"/>
    <col min="3097" max="3097" width="3.5703125" style="498" customWidth="1"/>
    <col min="3098" max="3098" width="4" style="498" customWidth="1"/>
    <col min="3099" max="3099" width="4.5703125" style="498" customWidth="1"/>
    <col min="3100" max="3102" width="4.42578125" style="498" customWidth="1"/>
    <col min="3103" max="3104" width="4.5703125" style="498" customWidth="1"/>
    <col min="3105" max="3105" width="4" style="498" customWidth="1"/>
    <col min="3106" max="3106" width="4.5703125" style="498" customWidth="1"/>
    <col min="3107" max="3107" width="6" style="498" customWidth="1"/>
    <col min="3108" max="3108" width="8.5703125" style="498" customWidth="1"/>
    <col min="3109" max="3328" width="11.42578125" style="498"/>
    <col min="3329" max="3329" width="6.42578125" style="498" customWidth="1"/>
    <col min="3330" max="3330" width="47.5703125" style="498" customWidth="1"/>
    <col min="3331" max="3332" width="5" style="498" customWidth="1"/>
    <col min="3333" max="3333" width="5.42578125" style="498" customWidth="1"/>
    <col min="3334" max="3334" width="4.5703125" style="498" customWidth="1"/>
    <col min="3335" max="3336" width="4.42578125" style="498" customWidth="1"/>
    <col min="3337" max="3337" width="3.5703125" style="498" customWidth="1"/>
    <col min="3338" max="3338" width="5" style="498" customWidth="1"/>
    <col min="3339" max="3339" width="4" style="498" customWidth="1"/>
    <col min="3340" max="3341" width="4.5703125" style="498" customWidth="1"/>
    <col min="3342" max="3342" width="4.42578125" style="498" customWidth="1"/>
    <col min="3343" max="3343" width="4" style="498" customWidth="1"/>
    <col min="3344" max="3344" width="3.5703125" style="498" customWidth="1"/>
    <col min="3345" max="3346" width="4.5703125" style="498" customWidth="1"/>
    <col min="3347" max="3347" width="4" style="498" customWidth="1"/>
    <col min="3348" max="3349" width="4.42578125" style="498" customWidth="1"/>
    <col min="3350" max="3350" width="3.5703125" style="498" customWidth="1"/>
    <col min="3351" max="3351" width="4.42578125" style="498" customWidth="1"/>
    <col min="3352" max="3352" width="5.5703125" style="498" customWidth="1"/>
    <col min="3353" max="3353" width="3.5703125" style="498" customWidth="1"/>
    <col min="3354" max="3354" width="4" style="498" customWidth="1"/>
    <col min="3355" max="3355" width="4.5703125" style="498" customWidth="1"/>
    <col min="3356" max="3358" width="4.42578125" style="498" customWidth="1"/>
    <col min="3359" max="3360" width="4.5703125" style="498" customWidth="1"/>
    <col min="3361" max="3361" width="4" style="498" customWidth="1"/>
    <col min="3362" max="3362" width="4.5703125" style="498" customWidth="1"/>
    <col min="3363" max="3363" width="6" style="498" customWidth="1"/>
    <col min="3364" max="3364" width="8.5703125" style="498" customWidth="1"/>
    <col min="3365" max="3584" width="11.42578125" style="498"/>
    <col min="3585" max="3585" width="6.42578125" style="498" customWidth="1"/>
    <col min="3586" max="3586" width="47.5703125" style="498" customWidth="1"/>
    <col min="3587" max="3588" width="5" style="498" customWidth="1"/>
    <col min="3589" max="3589" width="5.42578125" style="498" customWidth="1"/>
    <col min="3590" max="3590" width="4.5703125" style="498" customWidth="1"/>
    <col min="3591" max="3592" width="4.42578125" style="498" customWidth="1"/>
    <col min="3593" max="3593" width="3.5703125" style="498" customWidth="1"/>
    <col min="3594" max="3594" width="5" style="498" customWidth="1"/>
    <col min="3595" max="3595" width="4" style="498" customWidth="1"/>
    <col min="3596" max="3597" width="4.5703125" style="498" customWidth="1"/>
    <col min="3598" max="3598" width="4.42578125" style="498" customWidth="1"/>
    <col min="3599" max="3599" width="4" style="498" customWidth="1"/>
    <col min="3600" max="3600" width="3.5703125" style="498" customWidth="1"/>
    <col min="3601" max="3602" width="4.5703125" style="498" customWidth="1"/>
    <col min="3603" max="3603" width="4" style="498" customWidth="1"/>
    <col min="3604" max="3605" width="4.42578125" style="498" customWidth="1"/>
    <col min="3606" max="3606" width="3.5703125" style="498" customWidth="1"/>
    <col min="3607" max="3607" width="4.42578125" style="498" customWidth="1"/>
    <col min="3608" max="3608" width="5.5703125" style="498" customWidth="1"/>
    <col min="3609" max="3609" width="3.5703125" style="498" customWidth="1"/>
    <col min="3610" max="3610" width="4" style="498" customWidth="1"/>
    <col min="3611" max="3611" width="4.5703125" style="498" customWidth="1"/>
    <col min="3612" max="3614" width="4.42578125" style="498" customWidth="1"/>
    <col min="3615" max="3616" width="4.5703125" style="498" customWidth="1"/>
    <col min="3617" max="3617" width="4" style="498" customWidth="1"/>
    <col min="3618" max="3618" width="4.5703125" style="498" customWidth="1"/>
    <col min="3619" max="3619" width="6" style="498" customWidth="1"/>
    <col min="3620" max="3620" width="8.5703125" style="498" customWidth="1"/>
    <col min="3621" max="3840" width="11.42578125" style="498"/>
    <col min="3841" max="3841" width="6.42578125" style="498" customWidth="1"/>
    <col min="3842" max="3842" width="47.5703125" style="498" customWidth="1"/>
    <col min="3843" max="3844" width="5" style="498" customWidth="1"/>
    <col min="3845" max="3845" width="5.42578125" style="498" customWidth="1"/>
    <col min="3846" max="3846" width="4.5703125" style="498" customWidth="1"/>
    <col min="3847" max="3848" width="4.42578125" style="498" customWidth="1"/>
    <col min="3849" max="3849" width="3.5703125" style="498" customWidth="1"/>
    <col min="3850" max="3850" width="5" style="498" customWidth="1"/>
    <col min="3851" max="3851" width="4" style="498" customWidth="1"/>
    <col min="3852" max="3853" width="4.5703125" style="498" customWidth="1"/>
    <col min="3854" max="3854" width="4.42578125" style="498" customWidth="1"/>
    <col min="3855" max="3855" width="4" style="498" customWidth="1"/>
    <col min="3856" max="3856" width="3.5703125" style="498" customWidth="1"/>
    <col min="3857" max="3858" width="4.5703125" style="498" customWidth="1"/>
    <col min="3859" max="3859" width="4" style="498" customWidth="1"/>
    <col min="3860" max="3861" width="4.42578125" style="498" customWidth="1"/>
    <col min="3862" max="3862" width="3.5703125" style="498" customWidth="1"/>
    <col min="3863" max="3863" width="4.42578125" style="498" customWidth="1"/>
    <col min="3864" max="3864" width="5.5703125" style="498" customWidth="1"/>
    <col min="3865" max="3865" width="3.5703125" style="498" customWidth="1"/>
    <col min="3866" max="3866" width="4" style="498" customWidth="1"/>
    <col min="3867" max="3867" width="4.5703125" style="498" customWidth="1"/>
    <col min="3868" max="3870" width="4.42578125" style="498" customWidth="1"/>
    <col min="3871" max="3872" width="4.5703125" style="498" customWidth="1"/>
    <col min="3873" max="3873" width="4" style="498" customWidth="1"/>
    <col min="3874" max="3874" width="4.5703125" style="498" customWidth="1"/>
    <col min="3875" max="3875" width="6" style="498" customWidth="1"/>
    <col min="3876" max="3876" width="8.5703125" style="498" customWidth="1"/>
    <col min="3877" max="4096" width="11.42578125" style="498"/>
    <col min="4097" max="4097" width="6.42578125" style="498" customWidth="1"/>
    <col min="4098" max="4098" width="47.5703125" style="498" customWidth="1"/>
    <col min="4099" max="4100" width="5" style="498" customWidth="1"/>
    <col min="4101" max="4101" width="5.42578125" style="498" customWidth="1"/>
    <col min="4102" max="4102" width="4.5703125" style="498" customWidth="1"/>
    <col min="4103" max="4104" width="4.42578125" style="498" customWidth="1"/>
    <col min="4105" max="4105" width="3.5703125" style="498" customWidth="1"/>
    <col min="4106" max="4106" width="5" style="498" customWidth="1"/>
    <col min="4107" max="4107" width="4" style="498" customWidth="1"/>
    <col min="4108" max="4109" width="4.5703125" style="498" customWidth="1"/>
    <col min="4110" max="4110" width="4.42578125" style="498" customWidth="1"/>
    <col min="4111" max="4111" width="4" style="498" customWidth="1"/>
    <col min="4112" max="4112" width="3.5703125" style="498" customWidth="1"/>
    <col min="4113" max="4114" width="4.5703125" style="498" customWidth="1"/>
    <col min="4115" max="4115" width="4" style="498" customWidth="1"/>
    <col min="4116" max="4117" width="4.42578125" style="498" customWidth="1"/>
    <col min="4118" max="4118" width="3.5703125" style="498" customWidth="1"/>
    <col min="4119" max="4119" width="4.42578125" style="498" customWidth="1"/>
    <col min="4120" max="4120" width="5.5703125" style="498" customWidth="1"/>
    <col min="4121" max="4121" width="3.5703125" style="498" customWidth="1"/>
    <col min="4122" max="4122" width="4" style="498" customWidth="1"/>
    <col min="4123" max="4123" width="4.5703125" style="498" customWidth="1"/>
    <col min="4124" max="4126" width="4.42578125" style="498" customWidth="1"/>
    <col min="4127" max="4128" width="4.5703125" style="498" customWidth="1"/>
    <col min="4129" max="4129" width="4" style="498" customWidth="1"/>
    <col min="4130" max="4130" width="4.5703125" style="498" customWidth="1"/>
    <col min="4131" max="4131" width="6" style="498" customWidth="1"/>
    <col min="4132" max="4132" width="8.5703125" style="498" customWidth="1"/>
    <col min="4133" max="4352" width="11.42578125" style="498"/>
    <col min="4353" max="4353" width="6.42578125" style="498" customWidth="1"/>
    <col min="4354" max="4354" width="47.5703125" style="498" customWidth="1"/>
    <col min="4355" max="4356" width="5" style="498" customWidth="1"/>
    <col min="4357" max="4357" width="5.42578125" style="498" customWidth="1"/>
    <col min="4358" max="4358" width="4.5703125" style="498" customWidth="1"/>
    <col min="4359" max="4360" width="4.42578125" style="498" customWidth="1"/>
    <col min="4361" max="4361" width="3.5703125" style="498" customWidth="1"/>
    <col min="4362" max="4362" width="5" style="498" customWidth="1"/>
    <col min="4363" max="4363" width="4" style="498" customWidth="1"/>
    <col min="4364" max="4365" width="4.5703125" style="498" customWidth="1"/>
    <col min="4366" max="4366" width="4.42578125" style="498" customWidth="1"/>
    <col min="4367" max="4367" width="4" style="498" customWidth="1"/>
    <col min="4368" max="4368" width="3.5703125" style="498" customWidth="1"/>
    <col min="4369" max="4370" width="4.5703125" style="498" customWidth="1"/>
    <col min="4371" max="4371" width="4" style="498" customWidth="1"/>
    <col min="4372" max="4373" width="4.42578125" style="498" customWidth="1"/>
    <col min="4374" max="4374" width="3.5703125" style="498" customWidth="1"/>
    <col min="4375" max="4375" width="4.42578125" style="498" customWidth="1"/>
    <col min="4376" max="4376" width="5.5703125" style="498" customWidth="1"/>
    <col min="4377" max="4377" width="3.5703125" style="498" customWidth="1"/>
    <col min="4378" max="4378" width="4" style="498" customWidth="1"/>
    <col min="4379" max="4379" width="4.5703125" style="498" customWidth="1"/>
    <col min="4380" max="4382" width="4.42578125" style="498" customWidth="1"/>
    <col min="4383" max="4384" width="4.5703125" style="498" customWidth="1"/>
    <col min="4385" max="4385" width="4" style="498" customWidth="1"/>
    <col min="4386" max="4386" width="4.5703125" style="498" customWidth="1"/>
    <col min="4387" max="4387" width="6" style="498" customWidth="1"/>
    <col min="4388" max="4388" width="8.5703125" style="498" customWidth="1"/>
    <col min="4389" max="4608" width="11.42578125" style="498"/>
    <col min="4609" max="4609" width="6.42578125" style="498" customWidth="1"/>
    <col min="4610" max="4610" width="47.5703125" style="498" customWidth="1"/>
    <col min="4611" max="4612" width="5" style="498" customWidth="1"/>
    <col min="4613" max="4613" width="5.42578125" style="498" customWidth="1"/>
    <col min="4614" max="4614" width="4.5703125" style="498" customWidth="1"/>
    <col min="4615" max="4616" width="4.42578125" style="498" customWidth="1"/>
    <col min="4617" max="4617" width="3.5703125" style="498" customWidth="1"/>
    <col min="4618" max="4618" width="5" style="498" customWidth="1"/>
    <col min="4619" max="4619" width="4" style="498" customWidth="1"/>
    <col min="4620" max="4621" width="4.5703125" style="498" customWidth="1"/>
    <col min="4622" max="4622" width="4.42578125" style="498" customWidth="1"/>
    <col min="4623" max="4623" width="4" style="498" customWidth="1"/>
    <col min="4624" max="4624" width="3.5703125" style="498" customWidth="1"/>
    <col min="4625" max="4626" width="4.5703125" style="498" customWidth="1"/>
    <col min="4627" max="4627" width="4" style="498" customWidth="1"/>
    <col min="4628" max="4629" width="4.42578125" style="498" customWidth="1"/>
    <col min="4630" max="4630" width="3.5703125" style="498" customWidth="1"/>
    <col min="4631" max="4631" width="4.42578125" style="498" customWidth="1"/>
    <col min="4632" max="4632" width="5.5703125" style="498" customWidth="1"/>
    <col min="4633" max="4633" width="3.5703125" style="498" customWidth="1"/>
    <col min="4634" max="4634" width="4" style="498" customWidth="1"/>
    <col min="4635" max="4635" width="4.5703125" style="498" customWidth="1"/>
    <col min="4636" max="4638" width="4.42578125" style="498" customWidth="1"/>
    <col min="4639" max="4640" width="4.5703125" style="498" customWidth="1"/>
    <col min="4641" max="4641" width="4" style="498" customWidth="1"/>
    <col min="4642" max="4642" width="4.5703125" style="498" customWidth="1"/>
    <col min="4643" max="4643" width="6" style="498" customWidth="1"/>
    <col min="4644" max="4644" width="8.5703125" style="498" customWidth="1"/>
    <col min="4645" max="4864" width="11.42578125" style="498"/>
    <col min="4865" max="4865" width="6.42578125" style="498" customWidth="1"/>
    <col min="4866" max="4866" width="47.5703125" style="498" customWidth="1"/>
    <col min="4867" max="4868" width="5" style="498" customWidth="1"/>
    <col min="4869" max="4869" width="5.42578125" style="498" customWidth="1"/>
    <col min="4870" max="4870" width="4.5703125" style="498" customWidth="1"/>
    <col min="4871" max="4872" width="4.42578125" style="498" customWidth="1"/>
    <col min="4873" max="4873" width="3.5703125" style="498" customWidth="1"/>
    <col min="4874" max="4874" width="5" style="498" customWidth="1"/>
    <col min="4875" max="4875" width="4" style="498" customWidth="1"/>
    <col min="4876" max="4877" width="4.5703125" style="498" customWidth="1"/>
    <col min="4878" max="4878" width="4.42578125" style="498" customWidth="1"/>
    <col min="4879" max="4879" width="4" style="498" customWidth="1"/>
    <col min="4880" max="4880" width="3.5703125" style="498" customWidth="1"/>
    <col min="4881" max="4882" width="4.5703125" style="498" customWidth="1"/>
    <col min="4883" max="4883" width="4" style="498" customWidth="1"/>
    <col min="4884" max="4885" width="4.42578125" style="498" customWidth="1"/>
    <col min="4886" max="4886" width="3.5703125" style="498" customWidth="1"/>
    <col min="4887" max="4887" width="4.42578125" style="498" customWidth="1"/>
    <col min="4888" max="4888" width="5.5703125" style="498" customWidth="1"/>
    <col min="4889" max="4889" width="3.5703125" style="498" customWidth="1"/>
    <col min="4890" max="4890" width="4" style="498" customWidth="1"/>
    <col min="4891" max="4891" width="4.5703125" style="498" customWidth="1"/>
    <col min="4892" max="4894" width="4.42578125" style="498" customWidth="1"/>
    <col min="4895" max="4896" width="4.5703125" style="498" customWidth="1"/>
    <col min="4897" max="4897" width="4" style="498" customWidth="1"/>
    <col min="4898" max="4898" width="4.5703125" style="498" customWidth="1"/>
    <col min="4899" max="4899" width="6" style="498" customWidth="1"/>
    <col min="4900" max="4900" width="8.5703125" style="498" customWidth="1"/>
    <col min="4901" max="5120" width="11.42578125" style="498"/>
    <col min="5121" max="5121" width="6.42578125" style="498" customWidth="1"/>
    <col min="5122" max="5122" width="47.5703125" style="498" customWidth="1"/>
    <col min="5123" max="5124" width="5" style="498" customWidth="1"/>
    <col min="5125" max="5125" width="5.42578125" style="498" customWidth="1"/>
    <col min="5126" max="5126" width="4.5703125" style="498" customWidth="1"/>
    <col min="5127" max="5128" width="4.42578125" style="498" customWidth="1"/>
    <col min="5129" max="5129" width="3.5703125" style="498" customWidth="1"/>
    <col min="5130" max="5130" width="5" style="498" customWidth="1"/>
    <col min="5131" max="5131" width="4" style="498" customWidth="1"/>
    <col min="5132" max="5133" width="4.5703125" style="498" customWidth="1"/>
    <col min="5134" max="5134" width="4.42578125" style="498" customWidth="1"/>
    <col min="5135" max="5135" width="4" style="498" customWidth="1"/>
    <col min="5136" max="5136" width="3.5703125" style="498" customWidth="1"/>
    <col min="5137" max="5138" width="4.5703125" style="498" customWidth="1"/>
    <col min="5139" max="5139" width="4" style="498" customWidth="1"/>
    <col min="5140" max="5141" width="4.42578125" style="498" customWidth="1"/>
    <col min="5142" max="5142" width="3.5703125" style="498" customWidth="1"/>
    <col min="5143" max="5143" width="4.42578125" style="498" customWidth="1"/>
    <col min="5144" max="5144" width="5.5703125" style="498" customWidth="1"/>
    <col min="5145" max="5145" width="3.5703125" style="498" customWidth="1"/>
    <col min="5146" max="5146" width="4" style="498" customWidth="1"/>
    <col min="5147" max="5147" width="4.5703125" style="498" customWidth="1"/>
    <col min="5148" max="5150" width="4.42578125" style="498" customWidth="1"/>
    <col min="5151" max="5152" width="4.5703125" style="498" customWidth="1"/>
    <col min="5153" max="5153" width="4" style="498" customWidth="1"/>
    <col min="5154" max="5154" width="4.5703125" style="498" customWidth="1"/>
    <col min="5155" max="5155" width="6" style="498" customWidth="1"/>
    <col min="5156" max="5156" width="8.5703125" style="498" customWidth="1"/>
    <col min="5157" max="5376" width="11.42578125" style="498"/>
    <col min="5377" max="5377" width="6.42578125" style="498" customWidth="1"/>
    <col min="5378" max="5378" width="47.5703125" style="498" customWidth="1"/>
    <col min="5379" max="5380" width="5" style="498" customWidth="1"/>
    <col min="5381" max="5381" width="5.42578125" style="498" customWidth="1"/>
    <col min="5382" max="5382" width="4.5703125" style="498" customWidth="1"/>
    <col min="5383" max="5384" width="4.42578125" style="498" customWidth="1"/>
    <col min="5385" max="5385" width="3.5703125" style="498" customWidth="1"/>
    <col min="5386" max="5386" width="5" style="498" customWidth="1"/>
    <col min="5387" max="5387" width="4" style="498" customWidth="1"/>
    <col min="5388" max="5389" width="4.5703125" style="498" customWidth="1"/>
    <col min="5390" max="5390" width="4.42578125" style="498" customWidth="1"/>
    <col min="5391" max="5391" width="4" style="498" customWidth="1"/>
    <col min="5392" max="5392" width="3.5703125" style="498" customWidth="1"/>
    <col min="5393" max="5394" width="4.5703125" style="498" customWidth="1"/>
    <col min="5395" max="5395" width="4" style="498" customWidth="1"/>
    <col min="5396" max="5397" width="4.42578125" style="498" customWidth="1"/>
    <col min="5398" max="5398" width="3.5703125" style="498" customWidth="1"/>
    <col min="5399" max="5399" width="4.42578125" style="498" customWidth="1"/>
    <col min="5400" max="5400" width="5.5703125" style="498" customWidth="1"/>
    <col min="5401" max="5401" width="3.5703125" style="498" customWidth="1"/>
    <col min="5402" max="5402" width="4" style="498" customWidth="1"/>
    <col min="5403" max="5403" width="4.5703125" style="498" customWidth="1"/>
    <col min="5404" max="5406" width="4.42578125" style="498" customWidth="1"/>
    <col min="5407" max="5408" width="4.5703125" style="498" customWidth="1"/>
    <col min="5409" max="5409" width="4" style="498" customWidth="1"/>
    <col min="5410" max="5410" width="4.5703125" style="498" customWidth="1"/>
    <col min="5411" max="5411" width="6" style="498" customWidth="1"/>
    <col min="5412" max="5412" width="8.5703125" style="498" customWidth="1"/>
    <col min="5413" max="5632" width="11.42578125" style="498"/>
    <col min="5633" max="5633" width="6.42578125" style="498" customWidth="1"/>
    <col min="5634" max="5634" width="47.5703125" style="498" customWidth="1"/>
    <col min="5635" max="5636" width="5" style="498" customWidth="1"/>
    <col min="5637" max="5637" width="5.42578125" style="498" customWidth="1"/>
    <col min="5638" max="5638" width="4.5703125" style="498" customWidth="1"/>
    <col min="5639" max="5640" width="4.42578125" style="498" customWidth="1"/>
    <col min="5641" max="5641" width="3.5703125" style="498" customWidth="1"/>
    <col min="5642" max="5642" width="5" style="498" customWidth="1"/>
    <col min="5643" max="5643" width="4" style="498" customWidth="1"/>
    <col min="5644" max="5645" width="4.5703125" style="498" customWidth="1"/>
    <col min="5646" max="5646" width="4.42578125" style="498" customWidth="1"/>
    <col min="5647" max="5647" width="4" style="498" customWidth="1"/>
    <col min="5648" max="5648" width="3.5703125" style="498" customWidth="1"/>
    <col min="5649" max="5650" width="4.5703125" style="498" customWidth="1"/>
    <col min="5651" max="5651" width="4" style="498" customWidth="1"/>
    <col min="5652" max="5653" width="4.42578125" style="498" customWidth="1"/>
    <col min="5654" max="5654" width="3.5703125" style="498" customWidth="1"/>
    <col min="5655" max="5655" width="4.42578125" style="498" customWidth="1"/>
    <col min="5656" max="5656" width="5.5703125" style="498" customWidth="1"/>
    <col min="5657" max="5657" width="3.5703125" style="498" customWidth="1"/>
    <col min="5658" max="5658" width="4" style="498" customWidth="1"/>
    <col min="5659" max="5659" width="4.5703125" style="498" customWidth="1"/>
    <col min="5660" max="5662" width="4.42578125" style="498" customWidth="1"/>
    <col min="5663" max="5664" width="4.5703125" style="498" customWidth="1"/>
    <col min="5665" max="5665" width="4" style="498" customWidth="1"/>
    <col min="5666" max="5666" width="4.5703125" style="498" customWidth="1"/>
    <col min="5667" max="5667" width="6" style="498" customWidth="1"/>
    <col min="5668" max="5668" width="8.5703125" style="498" customWidth="1"/>
    <col min="5669" max="5888" width="11.42578125" style="498"/>
    <col min="5889" max="5889" width="6.42578125" style="498" customWidth="1"/>
    <col min="5890" max="5890" width="47.5703125" style="498" customWidth="1"/>
    <col min="5891" max="5892" width="5" style="498" customWidth="1"/>
    <col min="5893" max="5893" width="5.42578125" style="498" customWidth="1"/>
    <col min="5894" max="5894" width="4.5703125" style="498" customWidth="1"/>
    <col min="5895" max="5896" width="4.42578125" style="498" customWidth="1"/>
    <col min="5897" max="5897" width="3.5703125" style="498" customWidth="1"/>
    <col min="5898" max="5898" width="5" style="498" customWidth="1"/>
    <col min="5899" max="5899" width="4" style="498" customWidth="1"/>
    <col min="5900" max="5901" width="4.5703125" style="498" customWidth="1"/>
    <col min="5902" max="5902" width="4.42578125" style="498" customWidth="1"/>
    <col min="5903" max="5903" width="4" style="498" customWidth="1"/>
    <col min="5904" max="5904" width="3.5703125" style="498" customWidth="1"/>
    <col min="5905" max="5906" width="4.5703125" style="498" customWidth="1"/>
    <col min="5907" max="5907" width="4" style="498" customWidth="1"/>
    <col min="5908" max="5909" width="4.42578125" style="498" customWidth="1"/>
    <col min="5910" max="5910" width="3.5703125" style="498" customWidth="1"/>
    <col min="5911" max="5911" width="4.42578125" style="498" customWidth="1"/>
    <col min="5912" max="5912" width="5.5703125" style="498" customWidth="1"/>
    <col min="5913" max="5913" width="3.5703125" style="498" customWidth="1"/>
    <col min="5914" max="5914" width="4" style="498" customWidth="1"/>
    <col min="5915" max="5915" width="4.5703125" style="498" customWidth="1"/>
    <col min="5916" max="5918" width="4.42578125" style="498" customWidth="1"/>
    <col min="5919" max="5920" width="4.5703125" style="498" customWidth="1"/>
    <col min="5921" max="5921" width="4" style="498" customWidth="1"/>
    <col min="5922" max="5922" width="4.5703125" style="498" customWidth="1"/>
    <col min="5923" max="5923" width="6" style="498" customWidth="1"/>
    <col min="5924" max="5924" width="8.5703125" style="498" customWidth="1"/>
    <col min="5925" max="6144" width="11.42578125" style="498"/>
    <col min="6145" max="6145" width="6.42578125" style="498" customWidth="1"/>
    <col min="6146" max="6146" width="47.5703125" style="498" customWidth="1"/>
    <col min="6147" max="6148" width="5" style="498" customWidth="1"/>
    <col min="6149" max="6149" width="5.42578125" style="498" customWidth="1"/>
    <col min="6150" max="6150" width="4.5703125" style="498" customWidth="1"/>
    <col min="6151" max="6152" width="4.42578125" style="498" customWidth="1"/>
    <col min="6153" max="6153" width="3.5703125" style="498" customWidth="1"/>
    <col min="6154" max="6154" width="5" style="498" customWidth="1"/>
    <col min="6155" max="6155" width="4" style="498" customWidth="1"/>
    <col min="6156" max="6157" width="4.5703125" style="498" customWidth="1"/>
    <col min="6158" max="6158" width="4.42578125" style="498" customWidth="1"/>
    <col min="6159" max="6159" width="4" style="498" customWidth="1"/>
    <col min="6160" max="6160" width="3.5703125" style="498" customWidth="1"/>
    <col min="6161" max="6162" width="4.5703125" style="498" customWidth="1"/>
    <col min="6163" max="6163" width="4" style="498" customWidth="1"/>
    <col min="6164" max="6165" width="4.42578125" style="498" customWidth="1"/>
    <col min="6166" max="6166" width="3.5703125" style="498" customWidth="1"/>
    <col min="6167" max="6167" width="4.42578125" style="498" customWidth="1"/>
    <col min="6168" max="6168" width="5.5703125" style="498" customWidth="1"/>
    <col min="6169" max="6169" width="3.5703125" style="498" customWidth="1"/>
    <col min="6170" max="6170" width="4" style="498" customWidth="1"/>
    <col min="6171" max="6171" width="4.5703125" style="498" customWidth="1"/>
    <col min="6172" max="6174" width="4.42578125" style="498" customWidth="1"/>
    <col min="6175" max="6176" width="4.5703125" style="498" customWidth="1"/>
    <col min="6177" max="6177" width="4" style="498" customWidth="1"/>
    <col min="6178" max="6178" width="4.5703125" style="498" customWidth="1"/>
    <col min="6179" max="6179" width="6" style="498" customWidth="1"/>
    <col min="6180" max="6180" width="8.5703125" style="498" customWidth="1"/>
    <col min="6181" max="6400" width="11.42578125" style="498"/>
    <col min="6401" max="6401" width="6.42578125" style="498" customWidth="1"/>
    <col min="6402" max="6402" width="47.5703125" style="498" customWidth="1"/>
    <col min="6403" max="6404" width="5" style="498" customWidth="1"/>
    <col min="6405" max="6405" width="5.42578125" style="498" customWidth="1"/>
    <col min="6406" max="6406" width="4.5703125" style="498" customWidth="1"/>
    <col min="6407" max="6408" width="4.42578125" style="498" customWidth="1"/>
    <col min="6409" max="6409" width="3.5703125" style="498" customWidth="1"/>
    <col min="6410" max="6410" width="5" style="498" customWidth="1"/>
    <col min="6411" max="6411" width="4" style="498" customWidth="1"/>
    <col min="6412" max="6413" width="4.5703125" style="498" customWidth="1"/>
    <col min="6414" max="6414" width="4.42578125" style="498" customWidth="1"/>
    <col min="6415" max="6415" width="4" style="498" customWidth="1"/>
    <col min="6416" max="6416" width="3.5703125" style="498" customWidth="1"/>
    <col min="6417" max="6418" width="4.5703125" style="498" customWidth="1"/>
    <col min="6419" max="6419" width="4" style="498" customWidth="1"/>
    <col min="6420" max="6421" width="4.42578125" style="498" customWidth="1"/>
    <col min="6422" max="6422" width="3.5703125" style="498" customWidth="1"/>
    <col min="6423" max="6423" width="4.42578125" style="498" customWidth="1"/>
    <col min="6424" max="6424" width="5.5703125" style="498" customWidth="1"/>
    <col min="6425" max="6425" width="3.5703125" style="498" customWidth="1"/>
    <col min="6426" max="6426" width="4" style="498" customWidth="1"/>
    <col min="6427" max="6427" width="4.5703125" style="498" customWidth="1"/>
    <col min="6428" max="6430" width="4.42578125" style="498" customWidth="1"/>
    <col min="6431" max="6432" width="4.5703125" style="498" customWidth="1"/>
    <col min="6433" max="6433" width="4" style="498" customWidth="1"/>
    <col min="6434" max="6434" width="4.5703125" style="498" customWidth="1"/>
    <col min="6435" max="6435" width="6" style="498" customWidth="1"/>
    <col min="6436" max="6436" width="8.5703125" style="498" customWidth="1"/>
    <col min="6437" max="6656" width="11.42578125" style="498"/>
    <col min="6657" max="6657" width="6.42578125" style="498" customWidth="1"/>
    <col min="6658" max="6658" width="47.5703125" style="498" customWidth="1"/>
    <col min="6659" max="6660" width="5" style="498" customWidth="1"/>
    <col min="6661" max="6661" width="5.42578125" style="498" customWidth="1"/>
    <col min="6662" max="6662" width="4.5703125" style="498" customWidth="1"/>
    <col min="6663" max="6664" width="4.42578125" style="498" customWidth="1"/>
    <col min="6665" max="6665" width="3.5703125" style="498" customWidth="1"/>
    <col min="6666" max="6666" width="5" style="498" customWidth="1"/>
    <col min="6667" max="6667" width="4" style="498" customWidth="1"/>
    <col min="6668" max="6669" width="4.5703125" style="498" customWidth="1"/>
    <col min="6670" max="6670" width="4.42578125" style="498" customWidth="1"/>
    <col min="6671" max="6671" width="4" style="498" customWidth="1"/>
    <col min="6672" max="6672" width="3.5703125" style="498" customWidth="1"/>
    <col min="6673" max="6674" width="4.5703125" style="498" customWidth="1"/>
    <col min="6675" max="6675" width="4" style="498" customWidth="1"/>
    <col min="6676" max="6677" width="4.42578125" style="498" customWidth="1"/>
    <col min="6678" max="6678" width="3.5703125" style="498" customWidth="1"/>
    <col min="6679" max="6679" width="4.42578125" style="498" customWidth="1"/>
    <col min="6680" max="6680" width="5.5703125" style="498" customWidth="1"/>
    <col min="6681" max="6681" width="3.5703125" style="498" customWidth="1"/>
    <col min="6682" max="6682" width="4" style="498" customWidth="1"/>
    <col min="6683" max="6683" width="4.5703125" style="498" customWidth="1"/>
    <col min="6684" max="6686" width="4.42578125" style="498" customWidth="1"/>
    <col min="6687" max="6688" width="4.5703125" style="498" customWidth="1"/>
    <col min="6689" max="6689" width="4" style="498" customWidth="1"/>
    <col min="6690" max="6690" width="4.5703125" style="498" customWidth="1"/>
    <col min="6691" max="6691" width="6" style="498" customWidth="1"/>
    <col min="6692" max="6692" width="8.5703125" style="498" customWidth="1"/>
    <col min="6693" max="6912" width="11.42578125" style="498"/>
    <col min="6913" max="6913" width="6.42578125" style="498" customWidth="1"/>
    <col min="6914" max="6914" width="47.5703125" style="498" customWidth="1"/>
    <col min="6915" max="6916" width="5" style="498" customWidth="1"/>
    <col min="6917" max="6917" width="5.42578125" style="498" customWidth="1"/>
    <col min="6918" max="6918" width="4.5703125" style="498" customWidth="1"/>
    <col min="6919" max="6920" width="4.42578125" style="498" customWidth="1"/>
    <col min="6921" max="6921" width="3.5703125" style="498" customWidth="1"/>
    <col min="6922" max="6922" width="5" style="498" customWidth="1"/>
    <col min="6923" max="6923" width="4" style="498" customWidth="1"/>
    <col min="6924" max="6925" width="4.5703125" style="498" customWidth="1"/>
    <col min="6926" max="6926" width="4.42578125" style="498" customWidth="1"/>
    <col min="6927" max="6927" width="4" style="498" customWidth="1"/>
    <col min="6928" max="6928" width="3.5703125" style="498" customWidth="1"/>
    <col min="6929" max="6930" width="4.5703125" style="498" customWidth="1"/>
    <col min="6931" max="6931" width="4" style="498" customWidth="1"/>
    <col min="6932" max="6933" width="4.42578125" style="498" customWidth="1"/>
    <col min="6934" max="6934" width="3.5703125" style="498" customWidth="1"/>
    <col min="6935" max="6935" width="4.42578125" style="498" customWidth="1"/>
    <col min="6936" max="6936" width="5.5703125" style="498" customWidth="1"/>
    <col min="6937" max="6937" width="3.5703125" style="498" customWidth="1"/>
    <col min="6938" max="6938" width="4" style="498" customWidth="1"/>
    <col min="6939" max="6939" width="4.5703125" style="498" customWidth="1"/>
    <col min="6940" max="6942" width="4.42578125" style="498" customWidth="1"/>
    <col min="6943" max="6944" width="4.5703125" style="498" customWidth="1"/>
    <col min="6945" max="6945" width="4" style="498" customWidth="1"/>
    <col min="6946" max="6946" width="4.5703125" style="498" customWidth="1"/>
    <col min="6947" max="6947" width="6" style="498" customWidth="1"/>
    <col min="6948" max="6948" width="8.5703125" style="498" customWidth="1"/>
    <col min="6949" max="7168" width="11.42578125" style="498"/>
    <col min="7169" max="7169" width="6.42578125" style="498" customWidth="1"/>
    <col min="7170" max="7170" width="47.5703125" style="498" customWidth="1"/>
    <col min="7171" max="7172" width="5" style="498" customWidth="1"/>
    <col min="7173" max="7173" width="5.42578125" style="498" customWidth="1"/>
    <col min="7174" max="7174" width="4.5703125" style="498" customWidth="1"/>
    <col min="7175" max="7176" width="4.42578125" style="498" customWidth="1"/>
    <col min="7177" max="7177" width="3.5703125" style="498" customWidth="1"/>
    <col min="7178" max="7178" width="5" style="498" customWidth="1"/>
    <col min="7179" max="7179" width="4" style="498" customWidth="1"/>
    <col min="7180" max="7181" width="4.5703125" style="498" customWidth="1"/>
    <col min="7182" max="7182" width="4.42578125" style="498" customWidth="1"/>
    <col min="7183" max="7183" width="4" style="498" customWidth="1"/>
    <col min="7184" max="7184" width="3.5703125" style="498" customWidth="1"/>
    <col min="7185" max="7186" width="4.5703125" style="498" customWidth="1"/>
    <col min="7187" max="7187" width="4" style="498" customWidth="1"/>
    <col min="7188" max="7189" width="4.42578125" style="498" customWidth="1"/>
    <col min="7190" max="7190" width="3.5703125" style="498" customWidth="1"/>
    <col min="7191" max="7191" width="4.42578125" style="498" customWidth="1"/>
    <col min="7192" max="7192" width="5.5703125" style="498" customWidth="1"/>
    <col min="7193" max="7193" width="3.5703125" style="498" customWidth="1"/>
    <col min="7194" max="7194" width="4" style="498" customWidth="1"/>
    <col min="7195" max="7195" width="4.5703125" style="498" customWidth="1"/>
    <col min="7196" max="7198" width="4.42578125" style="498" customWidth="1"/>
    <col min="7199" max="7200" width="4.5703125" style="498" customWidth="1"/>
    <col min="7201" max="7201" width="4" style="498" customWidth="1"/>
    <col min="7202" max="7202" width="4.5703125" style="498" customWidth="1"/>
    <col min="7203" max="7203" width="6" style="498" customWidth="1"/>
    <col min="7204" max="7204" width="8.5703125" style="498" customWidth="1"/>
    <col min="7205" max="7424" width="11.42578125" style="498"/>
    <col min="7425" max="7425" width="6.42578125" style="498" customWidth="1"/>
    <col min="7426" max="7426" width="47.5703125" style="498" customWidth="1"/>
    <col min="7427" max="7428" width="5" style="498" customWidth="1"/>
    <col min="7429" max="7429" width="5.42578125" style="498" customWidth="1"/>
    <col min="7430" max="7430" width="4.5703125" style="498" customWidth="1"/>
    <col min="7431" max="7432" width="4.42578125" style="498" customWidth="1"/>
    <col min="7433" max="7433" width="3.5703125" style="498" customWidth="1"/>
    <col min="7434" max="7434" width="5" style="498" customWidth="1"/>
    <col min="7435" max="7435" width="4" style="498" customWidth="1"/>
    <col min="7436" max="7437" width="4.5703125" style="498" customWidth="1"/>
    <col min="7438" max="7438" width="4.42578125" style="498" customWidth="1"/>
    <col min="7439" max="7439" width="4" style="498" customWidth="1"/>
    <col min="7440" max="7440" width="3.5703125" style="498" customWidth="1"/>
    <col min="7441" max="7442" width="4.5703125" style="498" customWidth="1"/>
    <col min="7443" max="7443" width="4" style="498" customWidth="1"/>
    <col min="7444" max="7445" width="4.42578125" style="498" customWidth="1"/>
    <col min="7446" max="7446" width="3.5703125" style="498" customWidth="1"/>
    <col min="7447" max="7447" width="4.42578125" style="498" customWidth="1"/>
    <col min="7448" max="7448" width="5.5703125" style="498" customWidth="1"/>
    <col min="7449" max="7449" width="3.5703125" style="498" customWidth="1"/>
    <col min="7450" max="7450" width="4" style="498" customWidth="1"/>
    <col min="7451" max="7451" width="4.5703125" style="498" customWidth="1"/>
    <col min="7452" max="7454" width="4.42578125" style="498" customWidth="1"/>
    <col min="7455" max="7456" width="4.5703125" style="498" customWidth="1"/>
    <col min="7457" max="7457" width="4" style="498" customWidth="1"/>
    <col min="7458" max="7458" width="4.5703125" style="498" customWidth="1"/>
    <col min="7459" max="7459" width="6" style="498" customWidth="1"/>
    <col min="7460" max="7460" width="8.5703125" style="498" customWidth="1"/>
    <col min="7461" max="7680" width="11.42578125" style="498"/>
    <col min="7681" max="7681" width="6.42578125" style="498" customWidth="1"/>
    <col min="7682" max="7682" width="47.5703125" style="498" customWidth="1"/>
    <col min="7683" max="7684" width="5" style="498" customWidth="1"/>
    <col min="7685" max="7685" width="5.42578125" style="498" customWidth="1"/>
    <col min="7686" max="7686" width="4.5703125" style="498" customWidth="1"/>
    <col min="7687" max="7688" width="4.42578125" style="498" customWidth="1"/>
    <col min="7689" max="7689" width="3.5703125" style="498" customWidth="1"/>
    <col min="7690" max="7690" width="5" style="498" customWidth="1"/>
    <col min="7691" max="7691" width="4" style="498" customWidth="1"/>
    <col min="7692" max="7693" width="4.5703125" style="498" customWidth="1"/>
    <col min="7694" max="7694" width="4.42578125" style="498" customWidth="1"/>
    <col min="7695" max="7695" width="4" style="498" customWidth="1"/>
    <col min="7696" max="7696" width="3.5703125" style="498" customWidth="1"/>
    <col min="7697" max="7698" width="4.5703125" style="498" customWidth="1"/>
    <col min="7699" max="7699" width="4" style="498" customWidth="1"/>
    <col min="7700" max="7701" width="4.42578125" style="498" customWidth="1"/>
    <col min="7702" max="7702" width="3.5703125" style="498" customWidth="1"/>
    <col min="7703" max="7703" width="4.42578125" style="498" customWidth="1"/>
    <col min="7704" max="7704" width="5.5703125" style="498" customWidth="1"/>
    <col min="7705" max="7705" width="3.5703125" style="498" customWidth="1"/>
    <col min="7706" max="7706" width="4" style="498" customWidth="1"/>
    <col min="7707" max="7707" width="4.5703125" style="498" customWidth="1"/>
    <col min="7708" max="7710" width="4.42578125" style="498" customWidth="1"/>
    <col min="7711" max="7712" width="4.5703125" style="498" customWidth="1"/>
    <col min="7713" max="7713" width="4" style="498" customWidth="1"/>
    <col min="7714" max="7714" width="4.5703125" style="498" customWidth="1"/>
    <col min="7715" max="7715" width="6" style="498" customWidth="1"/>
    <col min="7716" max="7716" width="8.5703125" style="498" customWidth="1"/>
    <col min="7717" max="7936" width="11.42578125" style="498"/>
    <col min="7937" max="7937" width="6.42578125" style="498" customWidth="1"/>
    <col min="7938" max="7938" width="47.5703125" style="498" customWidth="1"/>
    <col min="7939" max="7940" width="5" style="498" customWidth="1"/>
    <col min="7941" max="7941" width="5.42578125" style="498" customWidth="1"/>
    <col min="7942" max="7942" width="4.5703125" style="498" customWidth="1"/>
    <col min="7943" max="7944" width="4.42578125" style="498" customWidth="1"/>
    <col min="7945" max="7945" width="3.5703125" style="498" customWidth="1"/>
    <col min="7946" max="7946" width="5" style="498" customWidth="1"/>
    <col min="7947" max="7947" width="4" style="498" customWidth="1"/>
    <col min="7948" max="7949" width="4.5703125" style="498" customWidth="1"/>
    <col min="7950" max="7950" width="4.42578125" style="498" customWidth="1"/>
    <col min="7951" max="7951" width="4" style="498" customWidth="1"/>
    <col min="7952" max="7952" width="3.5703125" style="498" customWidth="1"/>
    <col min="7953" max="7954" width="4.5703125" style="498" customWidth="1"/>
    <col min="7955" max="7955" width="4" style="498" customWidth="1"/>
    <col min="7956" max="7957" width="4.42578125" style="498" customWidth="1"/>
    <col min="7958" max="7958" width="3.5703125" style="498" customWidth="1"/>
    <col min="7959" max="7959" width="4.42578125" style="498" customWidth="1"/>
    <col min="7960" max="7960" width="5.5703125" style="498" customWidth="1"/>
    <col min="7961" max="7961" width="3.5703125" style="498" customWidth="1"/>
    <col min="7962" max="7962" width="4" style="498" customWidth="1"/>
    <col min="7963" max="7963" width="4.5703125" style="498" customWidth="1"/>
    <col min="7964" max="7966" width="4.42578125" style="498" customWidth="1"/>
    <col min="7967" max="7968" width="4.5703125" style="498" customWidth="1"/>
    <col min="7969" max="7969" width="4" style="498" customWidth="1"/>
    <col min="7970" max="7970" width="4.5703125" style="498" customWidth="1"/>
    <col min="7971" max="7971" width="6" style="498" customWidth="1"/>
    <col min="7972" max="7972" width="8.5703125" style="498" customWidth="1"/>
    <col min="7973" max="8192" width="11.42578125" style="498"/>
    <col min="8193" max="8193" width="6.42578125" style="498" customWidth="1"/>
    <col min="8194" max="8194" width="47.5703125" style="498" customWidth="1"/>
    <col min="8195" max="8196" width="5" style="498" customWidth="1"/>
    <col min="8197" max="8197" width="5.42578125" style="498" customWidth="1"/>
    <col min="8198" max="8198" width="4.5703125" style="498" customWidth="1"/>
    <col min="8199" max="8200" width="4.42578125" style="498" customWidth="1"/>
    <col min="8201" max="8201" width="3.5703125" style="498" customWidth="1"/>
    <col min="8202" max="8202" width="5" style="498" customWidth="1"/>
    <col min="8203" max="8203" width="4" style="498" customWidth="1"/>
    <col min="8204" max="8205" width="4.5703125" style="498" customWidth="1"/>
    <col min="8206" max="8206" width="4.42578125" style="498" customWidth="1"/>
    <col min="8207" max="8207" width="4" style="498" customWidth="1"/>
    <col min="8208" max="8208" width="3.5703125" style="498" customWidth="1"/>
    <col min="8209" max="8210" width="4.5703125" style="498" customWidth="1"/>
    <col min="8211" max="8211" width="4" style="498" customWidth="1"/>
    <col min="8212" max="8213" width="4.42578125" style="498" customWidth="1"/>
    <col min="8214" max="8214" width="3.5703125" style="498" customWidth="1"/>
    <col min="8215" max="8215" width="4.42578125" style="498" customWidth="1"/>
    <col min="8216" max="8216" width="5.5703125" style="498" customWidth="1"/>
    <col min="8217" max="8217" width="3.5703125" style="498" customWidth="1"/>
    <col min="8218" max="8218" width="4" style="498" customWidth="1"/>
    <col min="8219" max="8219" width="4.5703125" style="498" customWidth="1"/>
    <col min="8220" max="8222" width="4.42578125" style="498" customWidth="1"/>
    <col min="8223" max="8224" width="4.5703125" style="498" customWidth="1"/>
    <col min="8225" max="8225" width="4" style="498" customWidth="1"/>
    <col min="8226" max="8226" width="4.5703125" style="498" customWidth="1"/>
    <col min="8227" max="8227" width="6" style="498" customWidth="1"/>
    <col min="8228" max="8228" width="8.5703125" style="498" customWidth="1"/>
    <col min="8229" max="8448" width="11.42578125" style="498"/>
    <col min="8449" max="8449" width="6.42578125" style="498" customWidth="1"/>
    <col min="8450" max="8450" width="47.5703125" style="498" customWidth="1"/>
    <col min="8451" max="8452" width="5" style="498" customWidth="1"/>
    <col min="8453" max="8453" width="5.42578125" style="498" customWidth="1"/>
    <col min="8454" max="8454" width="4.5703125" style="498" customWidth="1"/>
    <col min="8455" max="8456" width="4.42578125" style="498" customWidth="1"/>
    <col min="8457" max="8457" width="3.5703125" style="498" customWidth="1"/>
    <col min="8458" max="8458" width="5" style="498" customWidth="1"/>
    <col min="8459" max="8459" width="4" style="498" customWidth="1"/>
    <col min="8460" max="8461" width="4.5703125" style="498" customWidth="1"/>
    <col min="8462" max="8462" width="4.42578125" style="498" customWidth="1"/>
    <col min="8463" max="8463" width="4" style="498" customWidth="1"/>
    <col min="8464" max="8464" width="3.5703125" style="498" customWidth="1"/>
    <col min="8465" max="8466" width="4.5703125" style="498" customWidth="1"/>
    <col min="8467" max="8467" width="4" style="498" customWidth="1"/>
    <col min="8468" max="8469" width="4.42578125" style="498" customWidth="1"/>
    <col min="8470" max="8470" width="3.5703125" style="498" customWidth="1"/>
    <col min="8471" max="8471" width="4.42578125" style="498" customWidth="1"/>
    <col min="8472" max="8472" width="5.5703125" style="498" customWidth="1"/>
    <col min="8473" max="8473" width="3.5703125" style="498" customWidth="1"/>
    <col min="8474" max="8474" width="4" style="498" customWidth="1"/>
    <col min="8475" max="8475" width="4.5703125" style="498" customWidth="1"/>
    <col min="8476" max="8478" width="4.42578125" style="498" customWidth="1"/>
    <col min="8479" max="8480" width="4.5703125" style="498" customWidth="1"/>
    <col min="8481" max="8481" width="4" style="498" customWidth="1"/>
    <col min="8482" max="8482" width="4.5703125" style="498" customWidth="1"/>
    <col min="8483" max="8483" width="6" style="498" customWidth="1"/>
    <col min="8484" max="8484" width="8.5703125" style="498" customWidth="1"/>
    <col min="8485" max="8704" width="11.42578125" style="498"/>
    <col min="8705" max="8705" width="6.42578125" style="498" customWidth="1"/>
    <col min="8706" max="8706" width="47.5703125" style="498" customWidth="1"/>
    <col min="8707" max="8708" width="5" style="498" customWidth="1"/>
    <col min="8709" max="8709" width="5.42578125" style="498" customWidth="1"/>
    <col min="8710" max="8710" width="4.5703125" style="498" customWidth="1"/>
    <col min="8711" max="8712" width="4.42578125" style="498" customWidth="1"/>
    <col min="8713" max="8713" width="3.5703125" style="498" customWidth="1"/>
    <col min="8714" max="8714" width="5" style="498" customWidth="1"/>
    <col min="8715" max="8715" width="4" style="498" customWidth="1"/>
    <col min="8716" max="8717" width="4.5703125" style="498" customWidth="1"/>
    <col min="8718" max="8718" width="4.42578125" style="498" customWidth="1"/>
    <col min="8719" max="8719" width="4" style="498" customWidth="1"/>
    <col min="8720" max="8720" width="3.5703125" style="498" customWidth="1"/>
    <col min="8721" max="8722" width="4.5703125" style="498" customWidth="1"/>
    <col min="8723" max="8723" width="4" style="498" customWidth="1"/>
    <col min="8724" max="8725" width="4.42578125" style="498" customWidth="1"/>
    <col min="8726" max="8726" width="3.5703125" style="498" customWidth="1"/>
    <col min="8727" max="8727" width="4.42578125" style="498" customWidth="1"/>
    <col min="8728" max="8728" width="5.5703125" style="498" customWidth="1"/>
    <col min="8729" max="8729" width="3.5703125" style="498" customWidth="1"/>
    <col min="8730" max="8730" width="4" style="498" customWidth="1"/>
    <col min="8731" max="8731" width="4.5703125" style="498" customWidth="1"/>
    <col min="8732" max="8734" width="4.42578125" style="498" customWidth="1"/>
    <col min="8735" max="8736" width="4.5703125" style="498" customWidth="1"/>
    <col min="8737" max="8737" width="4" style="498" customWidth="1"/>
    <col min="8738" max="8738" width="4.5703125" style="498" customWidth="1"/>
    <col min="8739" max="8739" width="6" style="498" customWidth="1"/>
    <col min="8740" max="8740" width="8.5703125" style="498" customWidth="1"/>
    <col min="8741" max="8960" width="11.42578125" style="498"/>
    <col min="8961" max="8961" width="6.42578125" style="498" customWidth="1"/>
    <col min="8962" max="8962" width="47.5703125" style="498" customWidth="1"/>
    <col min="8963" max="8964" width="5" style="498" customWidth="1"/>
    <col min="8965" max="8965" width="5.42578125" style="498" customWidth="1"/>
    <col min="8966" max="8966" width="4.5703125" style="498" customWidth="1"/>
    <col min="8967" max="8968" width="4.42578125" style="498" customWidth="1"/>
    <col min="8969" max="8969" width="3.5703125" style="498" customWidth="1"/>
    <col min="8970" max="8970" width="5" style="498" customWidth="1"/>
    <col min="8971" max="8971" width="4" style="498" customWidth="1"/>
    <col min="8972" max="8973" width="4.5703125" style="498" customWidth="1"/>
    <col min="8974" max="8974" width="4.42578125" style="498" customWidth="1"/>
    <col min="8975" max="8975" width="4" style="498" customWidth="1"/>
    <col min="8976" max="8976" width="3.5703125" style="498" customWidth="1"/>
    <col min="8977" max="8978" width="4.5703125" style="498" customWidth="1"/>
    <col min="8979" max="8979" width="4" style="498" customWidth="1"/>
    <col min="8980" max="8981" width="4.42578125" style="498" customWidth="1"/>
    <col min="8982" max="8982" width="3.5703125" style="498" customWidth="1"/>
    <col min="8983" max="8983" width="4.42578125" style="498" customWidth="1"/>
    <col min="8984" max="8984" width="5.5703125" style="498" customWidth="1"/>
    <col min="8985" max="8985" width="3.5703125" style="498" customWidth="1"/>
    <col min="8986" max="8986" width="4" style="498" customWidth="1"/>
    <col min="8987" max="8987" width="4.5703125" style="498" customWidth="1"/>
    <col min="8988" max="8990" width="4.42578125" style="498" customWidth="1"/>
    <col min="8991" max="8992" width="4.5703125" style="498" customWidth="1"/>
    <col min="8993" max="8993" width="4" style="498" customWidth="1"/>
    <col min="8994" max="8994" width="4.5703125" style="498" customWidth="1"/>
    <col min="8995" max="8995" width="6" style="498" customWidth="1"/>
    <col min="8996" max="8996" width="8.5703125" style="498" customWidth="1"/>
    <col min="8997" max="9216" width="11.42578125" style="498"/>
    <col min="9217" max="9217" width="6.42578125" style="498" customWidth="1"/>
    <col min="9218" max="9218" width="47.5703125" style="498" customWidth="1"/>
    <col min="9219" max="9220" width="5" style="498" customWidth="1"/>
    <col min="9221" max="9221" width="5.42578125" style="498" customWidth="1"/>
    <col min="9222" max="9222" width="4.5703125" style="498" customWidth="1"/>
    <col min="9223" max="9224" width="4.42578125" style="498" customWidth="1"/>
    <col min="9225" max="9225" width="3.5703125" style="498" customWidth="1"/>
    <col min="9226" max="9226" width="5" style="498" customWidth="1"/>
    <col min="9227" max="9227" width="4" style="498" customWidth="1"/>
    <col min="9228" max="9229" width="4.5703125" style="498" customWidth="1"/>
    <col min="9230" max="9230" width="4.42578125" style="498" customWidth="1"/>
    <col min="9231" max="9231" width="4" style="498" customWidth="1"/>
    <col min="9232" max="9232" width="3.5703125" style="498" customWidth="1"/>
    <col min="9233" max="9234" width="4.5703125" style="498" customWidth="1"/>
    <col min="9235" max="9235" width="4" style="498" customWidth="1"/>
    <col min="9236" max="9237" width="4.42578125" style="498" customWidth="1"/>
    <col min="9238" max="9238" width="3.5703125" style="498" customWidth="1"/>
    <col min="9239" max="9239" width="4.42578125" style="498" customWidth="1"/>
    <col min="9240" max="9240" width="5.5703125" style="498" customWidth="1"/>
    <col min="9241" max="9241" width="3.5703125" style="498" customWidth="1"/>
    <col min="9242" max="9242" width="4" style="498" customWidth="1"/>
    <col min="9243" max="9243" width="4.5703125" style="498" customWidth="1"/>
    <col min="9244" max="9246" width="4.42578125" style="498" customWidth="1"/>
    <col min="9247" max="9248" width="4.5703125" style="498" customWidth="1"/>
    <col min="9249" max="9249" width="4" style="498" customWidth="1"/>
    <col min="9250" max="9250" width="4.5703125" style="498" customWidth="1"/>
    <col min="9251" max="9251" width="6" style="498" customWidth="1"/>
    <col min="9252" max="9252" width="8.5703125" style="498" customWidth="1"/>
    <col min="9253" max="9472" width="11.42578125" style="498"/>
    <col min="9473" max="9473" width="6.42578125" style="498" customWidth="1"/>
    <col min="9474" max="9474" width="47.5703125" style="498" customWidth="1"/>
    <col min="9475" max="9476" width="5" style="498" customWidth="1"/>
    <col min="9477" max="9477" width="5.42578125" style="498" customWidth="1"/>
    <col min="9478" max="9478" width="4.5703125" style="498" customWidth="1"/>
    <col min="9479" max="9480" width="4.42578125" style="498" customWidth="1"/>
    <col min="9481" max="9481" width="3.5703125" style="498" customWidth="1"/>
    <col min="9482" max="9482" width="5" style="498" customWidth="1"/>
    <col min="9483" max="9483" width="4" style="498" customWidth="1"/>
    <col min="9484" max="9485" width="4.5703125" style="498" customWidth="1"/>
    <col min="9486" max="9486" width="4.42578125" style="498" customWidth="1"/>
    <col min="9487" max="9487" width="4" style="498" customWidth="1"/>
    <col min="9488" max="9488" width="3.5703125" style="498" customWidth="1"/>
    <col min="9489" max="9490" width="4.5703125" style="498" customWidth="1"/>
    <col min="9491" max="9491" width="4" style="498" customWidth="1"/>
    <col min="9492" max="9493" width="4.42578125" style="498" customWidth="1"/>
    <col min="9494" max="9494" width="3.5703125" style="498" customWidth="1"/>
    <col min="9495" max="9495" width="4.42578125" style="498" customWidth="1"/>
    <col min="9496" max="9496" width="5.5703125" style="498" customWidth="1"/>
    <col min="9497" max="9497" width="3.5703125" style="498" customWidth="1"/>
    <col min="9498" max="9498" width="4" style="498" customWidth="1"/>
    <col min="9499" max="9499" width="4.5703125" style="498" customWidth="1"/>
    <col min="9500" max="9502" width="4.42578125" style="498" customWidth="1"/>
    <col min="9503" max="9504" width="4.5703125" style="498" customWidth="1"/>
    <col min="9505" max="9505" width="4" style="498" customWidth="1"/>
    <col min="9506" max="9506" width="4.5703125" style="498" customWidth="1"/>
    <col min="9507" max="9507" width="6" style="498" customWidth="1"/>
    <col min="9508" max="9508" width="8.5703125" style="498" customWidth="1"/>
    <col min="9509" max="9728" width="11.42578125" style="498"/>
    <col min="9729" max="9729" width="6.42578125" style="498" customWidth="1"/>
    <col min="9730" max="9730" width="47.5703125" style="498" customWidth="1"/>
    <col min="9731" max="9732" width="5" style="498" customWidth="1"/>
    <col min="9733" max="9733" width="5.42578125" style="498" customWidth="1"/>
    <col min="9734" max="9734" width="4.5703125" style="498" customWidth="1"/>
    <col min="9735" max="9736" width="4.42578125" style="498" customWidth="1"/>
    <col min="9737" max="9737" width="3.5703125" style="498" customWidth="1"/>
    <col min="9738" max="9738" width="5" style="498" customWidth="1"/>
    <col min="9739" max="9739" width="4" style="498" customWidth="1"/>
    <col min="9740" max="9741" width="4.5703125" style="498" customWidth="1"/>
    <col min="9742" max="9742" width="4.42578125" style="498" customWidth="1"/>
    <col min="9743" max="9743" width="4" style="498" customWidth="1"/>
    <col min="9744" max="9744" width="3.5703125" style="498" customWidth="1"/>
    <col min="9745" max="9746" width="4.5703125" style="498" customWidth="1"/>
    <col min="9747" max="9747" width="4" style="498" customWidth="1"/>
    <col min="9748" max="9749" width="4.42578125" style="498" customWidth="1"/>
    <col min="9750" max="9750" width="3.5703125" style="498" customWidth="1"/>
    <col min="9751" max="9751" width="4.42578125" style="498" customWidth="1"/>
    <col min="9752" max="9752" width="5.5703125" style="498" customWidth="1"/>
    <col min="9753" max="9753" width="3.5703125" style="498" customWidth="1"/>
    <col min="9754" max="9754" width="4" style="498" customWidth="1"/>
    <col min="9755" max="9755" width="4.5703125" style="498" customWidth="1"/>
    <col min="9756" max="9758" width="4.42578125" style="498" customWidth="1"/>
    <col min="9759" max="9760" width="4.5703125" style="498" customWidth="1"/>
    <col min="9761" max="9761" width="4" style="498" customWidth="1"/>
    <col min="9762" max="9762" width="4.5703125" style="498" customWidth="1"/>
    <col min="9763" max="9763" width="6" style="498" customWidth="1"/>
    <col min="9764" max="9764" width="8.5703125" style="498" customWidth="1"/>
    <col min="9765" max="9984" width="11.42578125" style="498"/>
    <col min="9985" max="9985" width="6.42578125" style="498" customWidth="1"/>
    <col min="9986" max="9986" width="47.5703125" style="498" customWidth="1"/>
    <col min="9987" max="9988" width="5" style="498" customWidth="1"/>
    <col min="9989" max="9989" width="5.42578125" style="498" customWidth="1"/>
    <col min="9990" max="9990" width="4.5703125" style="498" customWidth="1"/>
    <col min="9991" max="9992" width="4.42578125" style="498" customWidth="1"/>
    <col min="9993" max="9993" width="3.5703125" style="498" customWidth="1"/>
    <col min="9994" max="9994" width="5" style="498" customWidth="1"/>
    <col min="9995" max="9995" width="4" style="498" customWidth="1"/>
    <col min="9996" max="9997" width="4.5703125" style="498" customWidth="1"/>
    <col min="9998" max="9998" width="4.42578125" style="498" customWidth="1"/>
    <col min="9999" max="9999" width="4" style="498" customWidth="1"/>
    <col min="10000" max="10000" width="3.5703125" style="498" customWidth="1"/>
    <col min="10001" max="10002" width="4.5703125" style="498" customWidth="1"/>
    <col min="10003" max="10003" width="4" style="498" customWidth="1"/>
    <col min="10004" max="10005" width="4.42578125" style="498" customWidth="1"/>
    <col min="10006" max="10006" width="3.5703125" style="498" customWidth="1"/>
    <col min="10007" max="10007" width="4.42578125" style="498" customWidth="1"/>
    <col min="10008" max="10008" width="5.5703125" style="498" customWidth="1"/>
    <col min="10009" max="10009" width="3.5703125" style="498" customWidth="1"/>
    <col min="10010" max="10010" width="4" style="498" customWidth="1"/>
    <col min="10011" max="10011" width="4.5703125" style="498" customWidth="1"/>
    <col min="10012" max="10014" width="4.42578125" style="498" customWidth="1"/>
    <col min="10015" max="10016" width="4.5703125" style="498" customWidth="1"/>
    <col min="10017" max="10017" width="4" style="498" customWidth="1"/>
    <col min="10018" max="10018" width="4.5703125" style="498" customWidth="1"/>
    <col min="10019" max="10019" width="6" style="498" customWidth="1"/>
    <col min="10020" max="10020" width="8.5703125" style="498" customWidth="1"/>
    <col min="10021" max="10240" width="11.42578125" style="498"/>
    <col min="10241" max="10241" width="6.42578125" style="498" customWidth="1"/>
    <col min="10242" max="10242" width="47.5703125" style="498" customWidth="1"/>
    <col min="10243" max="10244" width="5" style="498" customWidth="1"/>
    <col min="10245" max="10245" width="5.42578125" style="498" customWidth="1"/>
    <col min="10246" max="10246" width="4.5703125" style="498" customWidth="1"/>
    <col min="10247" max="10248" width="4.42578125" style="498" customWidth="1"/>
    <col min="10249" max="10249" width="3.5703125" style="498" customWidth="1"/>
    <col min="10250" max="10250" width="5" style="498" customWidth="1"/>
    <col min="10251" max="10251" width="4" style="498" customWidth="1"/>
    <col min="10252" max="10253" width="4.5703125" style="498" customWidth="1"/>
    <col min="10254" max="10254" width="4.42578125" style="498" customWidth="1"/>
    <col min="10255" max="10255" width="4" style="498" customWidth="1"/>
    <col min="10256" max="10256" width="3.5703125" style="498" customWidth="1"/>
    <col min="10257" max="10258" width="4.5703125" style="498" customWidth="1"/>
    <col min="10259" max="10259" width="4" style="498" customWidth="1"/>
    <col min="10260" max="10261" width="4.42578125" style="498" customWidth="1"/>
    <col min="10262" max="10262" width="3.5703125" style="498" customWidth="1"/>
    <col min="10263" max="10263" width="4.42578125" style="498" customWidth="1"/>
    <col min="10264" max="10264" width="5.5703125" style="498" customWidth="1"/>
    <col min="10265" max="10265" width="3.5703125" style="498" customWidth="1"/>
    <col min="10266" max="10266" width="4" style="498" customWidth="1"/>
    <col min="10267" max="10267" width="4.5703125" style="498" customWidth="1"/>
    <col min="10268" max="10270" width="4.42578125" style="498" customWidth="1"/>
    <col min="10271" max="10272" width="4.5703125" style="498" customWidth="1"/>
    <col min="10273" max="10273" width="4" style="498" customWidth="1"/>
    <col min="10274" max="10274" width="4.5703125" style="498" customWidth="1"/>
    <col min="10275" max="10275" width="6" style="498" customWidth="1"/>
    <col min="10276" max="10276" width="8.5703125" style="498" customWidth="1"/>
    <col min="10277" max="10496" width="11.42578125" style="498"/>
    <col min="10497" max="10497" width="6.42578125" style="498" customWidth="1"/>
    <col min="10498" max="10498" width="47.5703125" style="498" customWidth="1"/>
    <col min="10499" max="10500" width="5" style="498" customWidth="1"/>
    <col min="10501" max="10501" width="5.42578125" style="498" customWidth="1"/>
    <col min="10502" max="10502" width="4.5703125" style="498" customWidth="1"/>
    <col min="10503" max="10504" width="4.42578125" style="498" customWidth="1"/>
    <col min="10505" max="10505" width="3.5703125" style="498" customWidth="1"/>
    <col min="10506" max="10506" width="5" style="498" customWidth="1"/>
    <col min="10507" max="10507" width="4" style="498" customWidth="1"/>
    <col min="10508" max="10509" width="4.5703125" style="498" customWidth="1"/>
    <col min="10510" max="10510" width="4.42578125" style="498" customWidth="1"/>
    <col min="10511" max="10511" width="4" style="498" customWidth="1"/>
    <col min="10512" max="10512" width="3.5703125" style="498" customWidth="1"/>
    <col min="10513" max="10514" width="4.5703125" style="498" customWidth="1"/>
    <col min="10515" max="10515" width="4" style="498" customWidth="1"/>
    <col min="10516" max="10517" width="4.42578125" style="498" customWidth="1"/>
    <col min="10518" max="10518" width="3.5703125" style="498" customWidth="1"/>
    <col min="10519" max="10519" width="4.42578125" style="498" customWidth="1"/>
    <col min="10520" max="10520" width="5.5703125" style="498" customWidth="1"/>
    <col min="10521" max="10521" width="3.5703125" style="498" customWidth="1"/>
    <col min="10522" max="10522" width="4" style="498" customWidth="1"/>
    <col min="10523" max="10523" width="4.5703125" style="498" customWidth="1"/>
    <col min="10524" max="10526" width="4.42578125" style="498" customWidth="1"/>
    <col min="10527" max="10528" width="4.5703125" style="498" customWidth="1"/>
    <col min="10529" max="10529" width="4" style="498" customWidth="1"/>
    <col min="10530" max="10530" width="4.5703125" style="498" customWidth="1"/>
    <col min="10531" max="10531" width="6" style="498" customWidth="1"/>
    <col min="10532" max="10532" width="8.5703125" style="498" customWidth="1"/>
    <col min="10533" max="10752" width="11.42578125" style="498"/>
    <col min="10753" max="10753" width="6.42578125" style="498" customWidth="1"/>
    <col min="10754" max="10754" width="47.5703125" style="498" customWidth="1"/>
    <col min="10755" max="10756" width="5" style="498" customWidth="1"/>
    <col min="10757" max="10757" width="5.42578125" style="498" customWidth="1"/>
    <col min="10758" max="10758" width="4.5703125" style="498" customWidth="1"/>
    <col min="10759" max="10760" width="4.42578125" style="498" customWidth="1"/>
    <col min="10761" max="10761" width="3.5703125" style="498" customWidth="1"/>
    <col min="10762" max="10762" width="5" style="498" customWidth="1"/>
    <col min="10763" max="10763" width="4" style="498" customWidth="1"/>
    <col min="10764" max="10765" width="4.5703125" style="498" customWidth="1"/>
    <col min="10766" max="10766" width="4.42578125" style="498" customWidth="1"/>
    <col min="10767" max="10767" width="4" style="498" customWidth="1"/>
    <col min="10768" max="10768" width="3.5703125" style="498" customWidth="1"/>
    <col min="10769" max="10770" width="4.5703125" style="498" customWidth="1"/>
    <col min="10771" max="10771" width="4" style="498" customWidth="1"/>
    <col min="10772" max="10773" width="4.42578125" style="498" customWidth="1"/>
    <col min="10774" max="10774" width="3.5703125" style="498" customWidth="1"/>
    <col min="10775" max="10775" width="4.42578125" style="498" customWidth="1"/>
    <col min="10776" max="10776" width="5.5703125" style="498" customWidth="1"/>
    <col min="10777" max="10777" width="3.5703125" style="498" customWidth="1"/>
    <col min="10778" max="10778" width="4" style="498" customWidth="1"/>
    <col min="10779" max="10779" width="4.5703125" style="498" customWidth="1"/>
    <col min="10780" max="10782" width="4.42578125" style="498" customWidth="1"/>
    <col min="10783" max="10784" width="4.5703125" style="498" customWidth="1"/>
    <col min="10785" max="10785" width="4" style="498" customWidth="1"/>
    <col min="10786" max="10786" width="4.5703125" style="498" customWidth="1"/>
    <col min="10787" max="10787" width="6" style="498" customWidth="1"/>
    <col min="10788" max="10788" width="8.5703125" style="498" customWidth="1"/>
    <col min="10789" max="11008" width="11.42578125" style="498"/>
    <col min="11009" max="11009" width="6.42578125" style="498" customWidth="1"/>
    <col min="11010" max="11010" width="47.5703125" style="498" customWidth="1"/>
    <col min="11011" max="11012" width="5" style="498" customWidth="1"/>
    <col min="11013" max="11013" width="5.42578125" style="498" customWidth="1"/>
    <col min="11014" max="11014" width="4.5703125" style="498" customWidth="1"/>
    <col min="11015" max="11016" width="4.42578125" style="498" customWidth="1"/>
    <col min="11017" max="11017" width="3.5703125" style="498" customWidth="1"/>
    <col min="11018" max="11018" width="5" style="498" customWidth="1"/>
    <col min="11019" max="11019" width="4" style="498" customWidth="1"/>
    <col min="11020" max="11021" width="4.5703125" style="498" customWidth="1"/>
    <col min="11022" max="11022" width="4.42578125" style="498" customWidth="1"/>
    <col min="11023" max="11023" width="4" style="498" customWidth="1"/>
    <col min="11024" max="11024" width="3.5703125" style="498" customWidth="1"/>
    <col min="11025" max="11026" width="4.5703125" style="498" customWidth="1"/>
    <col min="11027" max="11027" width="4" style="498" customWidth="1"/>
    <col min="11028" max="11029" width="4.42578125" style="498" customWidth="1"/>
    <col min="11030" max="11030" width="3.5703125" style="498" customWidth="1"/>
    <col min="11031" max="11031" width="4.42578125" style="498" customWidth="1"/>
    <col min="11032" max="11032" width="5.5703125" style="498" customWidth="1"/>
    <col min="11033" max="11033" width="3.5703125" style="498" customWidth="1"/>
    <col min="11034" max="11034" width="4" style="498" customWidth="1"/>
    <col min="11035" max="11035" width="4.5703125" style="498" customWidth="1"/>
    <col min="11036" max="11038" width="4.42578125" style="498" customWidth="1"/>
    <col min="11039" max="11040" width="4.5703125" style="498" customWidth="1"/>
    <col min="11041" max="11041" width="4" style="498" customWidth="1"/>
    <col min="11042" max="11042" width="4.5703125" style="498" customWidth="1"/>
    <col min="11043" max="11043" width="6" style="498" customWidth="1"/>
    <col min="11044" max="11044" width="8.5703125" style="498" customWidth="1"/>
    <col min="11045" max="11264" width="11.42578125" style="498"/>
    <col min="11265" max="11265" width="6.42578125" style="498" customWidth="1"/>
    <col min="11266" max="11266" width="47.5703125" style="498" customWidth="1"/>
    <col min="11267" max="11268" width="5" style="498" customWidth="1"/>
    <col min="11269" max="11269" width="5.42578125" style="498" customWidth="1"/>
    <col min="11270" max="11270" width="4.5703125" style="498" customWidth="1"/>
    <col min="11271" max="11272" width="4.42578125" style="498" customWidth="1"/>
    <col min="11273" max="11273" width="3.5703125" style="498" customWidth="1"/>
    <col min="11274" max="11274" width="5" style="498" customWidth="1"/>
    <col min="11275" max="11275" width="4" style="498" customWidth="1"/>
    <col min="11276" max="11277" width="4.5703125" style="498" customWidth="1"/>
    <col min="11278" max="11278" width="4.42578125" style="498" customWidth="1"/>
    <col min="11279" max="11279" width="4" style="498" customWidth="1"/>
    <col min="11280" max="11280" width="3.5703125" style="498" customWidth="1"/>
    <col min="11281" max="11282" width="4.5703125" style="498" customWidth="1"/>
    <col min="11283" max="11283" width="4" style="498" customWidth="1"/>
    <col min="11284" max="11285" width="4.42578125" style="498" customWidth="1"/>
    <col min="11286" max="11286" width="3.5703125" style="498" customWidth="1"/>
    <col min="11287" max="11287" width="4.42578125" style="498" customWidth="1"/>
    <col min="11288" max="11288" width="5.5703125" style="498" customWidth="1"/>
    <col min="11289" max="11289" width="3.5703125" style="498" customWidth="1"/>
    <col min="11290" max="11290" width="4" style="498" customWidth="1"/>
    <col min="11291" max="11291" width="4.5703125" style="498" customWidth="1"/>
    <col min="11292" max="11294" width="4.42578125" style="498" customWidth="1"/>
    <col min="11295" max="11296" width="4.5703125" style="498" customWidth="1"/>
    <col min="11297" max="11297" width="4" style="498" customWidth="1"/>
    <col min="11298" max="11298" width="4.5703125" style="498" customWidth="1"/>
    <col min="11299" max="11299" width="6" style="498" customWidth="1"/>
    <col min="11300" max="11300" width="8.5703125" style="498" customWidth="1"/>
    <col min="11301" max="11520" width="11.42578125" style="498"/>
    <col min="11521" max="11521" width="6.42578125" style="498" customWidth="1"/>
    <col min="11522" max="11522" width="47.5703125" style="498" customWidth="1"/>
    <col min="11523" max="11524" width="5" style="498" customWidth="1"/>
    <col min="11525" max="11525" width="5.42578125" style="498" customWidth="1"/>
    <col min="11526" max="11526" width="4.5703125" style="498" customWidth="1"/>
    <col min="11527" max="11528" width="4.42578125" style="498" customWidth="1"/>
    <col min="11529" max="11529" width="3.5703125" style="498" customWidth="1"/>
    <col min="11530" max="11530" width="5" style="498" customWidth="1"/>
    <col min="11531" max="11531" width="4" style="498" customWidth="1"/>
    <col min="11532" max="11533" width="4.5703125" style="498" customWidth="1"/>
    <col min="11534" max="11534" width="4.42578125" style="498" customWidth="1"/>
    <col min="11535" max="11535" width="4" style="498" customWidth="1"/>
    <col min="11536" max="11536" width="3.5703125" style="498" customWidth="1"/>
    <col min="11537" max="11538" width="4.5703125" style="498" customWidth="1"/>
    <col min="11539" max="11539" width="4" style="498" customWidth="1"/>
    <col min="11540" max="11541" width="4.42578125" style="498" customWidth="1"/>
    <col min="11542" max="11542" width="3.5703125" style="498" customWidth="1"/>
    <col min="11543" max="11543" width="4.42578125" style="498" customWidth="1"/>
    <col min="11544" max="11544" width="5.5703125" style="498" customWidth="1"/>
    <col min="11545" max="11545" width="3.5703125" style="498" customWidth="1"/>
    <col min="11546" max="11546" width="4" style="498" customWidth="1"/>
    <col min="11547" max="11547" width="4.5703125" style="498" customWidth="1"/>
    <col min="11548" max="11550" width="4.42578125" style="498" customWidth="1"/>
    <col min="11551" max="11552" width="4.5703125" style="498" customWidth="1"/>
    <col min="11553" max="11553" width="4" style="498" customWidth="1"/>
    <col min="11554" max="11554" width="4.5703125" style="498" customWidth="1"/>
    <col min="11555" max="11555" width="6" style="498" customWidth="1"/>
    <col min="11556" max="11556" width="8.5703125" style="498" customWidth="1"/>
    <col min="11557" max="11776" width="11.42578125" style="498"/>
    <col min="11777" max="11777" width="6.42578125" style="498" customWidth="1"/>
    <col min="11778" max="11778" width="47.5703125" style="498" customWidth="1"/>
    <col min="11779" max="11780" width="5" style="498" customWidth="1"/>
    <col min="11781" max="11781" width="5.42578125" style="498" customWidth="1"/>
    <col min="11782" max="11782" width="4.5703125" style="498" customWidth="1"/>
    <col min="11783" max="11784" width="4.42578125" style="498" customWidth="1"/>
    <col min="11785" max="11785" width="3.5703125" style="498" customWidth="1"/>
    <col min="11786" max="11786" width="5" style="498" customWidth="1"/>
    <col min="11787" max="11787" width="4" style="498" customWidth="1"/>
    <col min="11788" max="11789" width="4.5703125" style="498" customWidth="1"/>
    <col min="11790" max="11790" width="4.42578125" style="498" customWidth="1"/>
    <col min="11791" max="11791" width="4" style="498" customWidth="1"/>
    <col min="11792" max="11792" width="3.5703125" style="498" customWidth="1"/>
    <col min="11793" max="11794" width="4.5703125" style="498" customWidth="1"/>
    <col min="11795" max="11795" width="4" style="498" customWidth="1"/>
    <col min="11796" max="11797" width="4.42578125" style="498" customWidth="1"/>
    <col min="11798" max="11798" width="3.5703125" style="498" customWidth="1"/>
    <col min="11799" max="11799" width="4.42578125" style="498" customWidth="1"/>
    <col min="11800" max="11800" width="5.5703125" style="498" customWidth="1"/>
    <col min="11801" max="11801" width="3.5703125" style="498" customWidth="1"/>
    <col min="11802" max="11802" width="4" style="498" customWidth="1"/>
    <col min="11803" max="11803" width="4.5703125" style="498" customWidth="1"/>
    <col min="11804" max="11806" width="4.42578125" style="498" customWidth="1"/>
    <col min="11807" max="11808" width="4.5703125" style="498" customWidth="1"/>
    <col min="11809" max="11809" width="4" style="498" customWidth="1"/>
    <col min="11810" max="11810" width="4.5703125" style="498" customWidth="1"/>
    <col min="11811" max="11811" width="6" style="498" customWidth="1"/>
    <col min="11812" max="11812" width="8.5703125" style="498" customWidth="1"/>
    <col min="11813" max="12032" width="11.42578125" style="498"/>
    <col min="12033" max="12033" width="6.42578125" style="498" customWidth="1"/>
    <col min="12034" max="12034" width="47.5703125" style="498" customWidth="1"/>
    <col min="12035" max="12036" width="5" style="498" customWidth="1"/>
    <col min="12037" max="12037" width="5.42578125" style="498" customWidth="1"/>
    <col min="12038" max="12038" width="4.5703125" style="498" customWidth="1"/>
    <col min="12039" max="12040" width="4.42578125" style="498" customWidth="1"/>
    <col min="12041" max="12041" width="3.5703125" style="498" customWidth="1"/>
    <col min="12042" max="12042" width="5" style="498" customWidth="1"/>
    <col min="12043" max="12043" width="4" style="498" customWidth="1"/>
    <col min="12044" max="12045" width="4.5703125" style="498" customWidth="1"/>
    <col min="12046" max="12046" width="4.42578125" style="498" customWidth="1"/>
    <col min="12047" max="12047" width="4" style="498" customWidth="1"/>
    <col min="12048" max="12048" width="3.5703125" style="498" customWidth="1"/>
    <col min="12049" max="12050" width="4.5703125" style="498" customWidth="1"/>
    <col min="12051" max="12051" width="4" style="498" customWidth="1"/>
    <col min="12052" max="12053" width="4.42578125" style="498" customWidth="1"/>
    <col min="12054" max="12054" width="3.5703125" style="498" customWidth="1"/>
    <col min="12055" max="12055" width="4.42578125" style="498" customWidth="1"/>
    <col min="12056" max="12056" width="5.5703125" style="498" customWidth="1"/>
    <col min="12057" max="12057" width="3.5703125" style="498" customWidth="1"/>
    <col min="12058" max="12058" width="4" style="498" customWidth="1"/>
    <col min="12059" max="12059" width="4.5703125" style="498" customWidth="1"/>
    <col min="12060" max="12062" width="4.42578125" style="498" customWidth="1"/>
    <col min="12063" max="12064" width="4.5703125" style="498" customWidth="1"/>
    <col min="12065" max="12065" width="4" style="498" customWidth="1"/>
    <col min="12066" max="12066" width="4.5703125" style="498" customWidth="1"/>
    <col min="12067" max="12067" width="6" style="498" customWidth="1"/>
    <col min="12068" max="12068" width="8.5703125" style="498" customWidth="1"/>
    <col min="12069" max="12288" width="11.42578125" style="498"/>
    <col min="12289" max="12289" width="6.42578125" style="498" customWidth="1"/>
    <col min="12290" max="12290" width="47.5703125" style="498" customWidth="1"/>
    <col min="12291" max="12292" width="5" style="498" customWidth="1"/>
    <col min="12293" max="12293" width="5.42578125" style="498" customWidth="1"/>
    <col min="12294" max="12294" width="4.5703125" style="498" customWidth="1"/>
    <col min="12295" max="12296" width="4.42578125" style="498" customWidth="1"/>
    <col min="12297" max="12297" width="3.5703125" style="498" customWidth="1"/>
    <col min="12298" max="12298" width="5" style="498" customWidth="1"/>
    <col min="12299" max="12299" width="4" style="498" customWidth="1"/>
    <col min="12300" max="12301" width="4.5703125" style="498" customWidth="1"/>
    <col min="12302" max="12302" width="4.42578125" style="498" customWidth="1"/>
    <col min="12303" max="12303" width="4" style="498" customWidth="1"/>
    <col min="12304" max="12304" width="3.5703125" style="498" customWidth="1"/>
    <col min="12305" max="12306" width="4.5703125" style="498" customWidth="1"/>
    <col min="12307" max="12307" width="4" style="498" customWidth="1"/>
    <col min="12308" max="12309" width="4.42578125" style="498" customWidth="1"/>
    <col min="12310" max="12310" width="3.5703125" style="498" customWidth="1"/>
    <col min="12311" max="12311" width="4.42578125" style="498" customWidth="1"/>
    <col min="12312" max="12312" width="5.5703125" style="498" customWidth="1"/>
    <col min="12313" max="12313" width="3.5703125" style="498" customWidth="1"/>
    <col min="12314" max="12314" width="4" style="498" customWidth="1"/>
    <col min="12315" max="12315" width="4.5703125" style="498" customWidth="1"/>
    <col min="12316" max="12318" width="4.42578125" style="498" customWidth="1"/>
    <col min="12319" max="12320" width="4.5703125" style="498" customWidth="1"/>
    <col min="12321" max="12321" width="4" style="498" customWidth="1"/>
    <col min="12322" max="12322" width="4.5703125" style="498" customWidth="1"/>
    <col min="12323" max="12323" width="6" style="498" customWidth="1"/>
    <col min="12324" max="12324" width="8.5703125" style="498" customWidth="1"/>
    <col min="12325" max="12544" width="11.42578125" style="498"/>
    <col min="12545" max="12545" width="6.42578125" style="498" customWidth="1"/>
    <col min="12546" max="12546" width="47.5703125" style="498" customWidth="1"/>
    <col min="12547" max="12548" width="5" style="498" customWidth="1"/>
    <col min="12549" max="12549" width="5.42578125" style="498" customWidth="1"/>
    <col min="12550" max="12550" width="4.5703125" style="498" customWidth="1"/>
    <col min="12551" max="12552" width="4.42578125" style="498" customWidth="1"/>
    <col min="12553" max="12553" width="3.5703125" style="498" customWidth="1"/>
    <col min="12554" max="12554" width="5" style="498" customWidth="1"/>
    <col min="12555" max="12555" width="4" style="498" customWidth="1"/>
    <col min="12556" max="12557" width="4.5703125" style="498" customWidth="1"/>
    <col min="12558" max="12558" width="4.42578125" style="498" customWidth="1"/>
    <col min="12559" max="12559" width="4" style="498" customWidth="1"/>
    <col min="12560" max="12560" width="3.5703125" style="498" customWidth="1"/>
    <col min="12561" max="12562" width="4.5703125" style="498" customWidth="1"/>
    <col min="12563" max="12563" width="4" style="498" customWidth="1"/>
    <col min="12564" max="12565" width="4.42578125" style="498" customWidth="1"/>
    <col min="12566" max="12566" width="3.5703125" style="498" customWidth="1"/>
    <col min="12567" max="12567" width="4.42578125" style="498" customWidth="1"/>
    <col min="12568" max="12568" width="5.5703125" style="498" customWidth="1"/>
    <col min="12569" max="12569" width="3.5703125" style="498" customWidth="1"/>
    <col min="12570" max="12570" width="4" style="498" customWidth="1"/>
    <col min="12571" max="12571" width="4.5703125" style="498" customWidth="1"/>
    <col min="12572" max="12574" width="4.42578125" style="498" customWidth="1"/>
    <col min="12575" max="12576" width="4.5703125" style="498" customWidth="1"/>
    <col min="12577" max="12577" width="4" style="498" customWidth="1"/>
    <col min="12578" max="12578" width="4.5703125" style="498" customWidth="1"/>
    <col min="12579" max="12579" width="6" style="498" customWidth="1"/>
    <col min="12580" max="12580" width="8.5703125" style="498" customWidth="1"/>
    <col min="12581" max="12800" width="11.42578125" style="498"/>
    <col min="12801" max="12801" width="6.42578125" style="498" customWidth="1"/>
    <col min="12802" max="12802" width="47.5703125" style="498" customWidth="1"/>
    <col min="12803" max="12804" width="5" style="498" customWidth="1"/>
    <col min="12805" max="12805" width="5.42578125" style="498" customWidth="1"/>
    <col min="12806" max="12806" width="4.5703125" style="498" customWidth="1"/>
    <col min="12807" max="12808" width="4.42578125" style="498" customWidth="1"/>
    <col min="12809" max="12809" width="3.5703125" style="498" customWidth="1"/>
    <col min="12810" max="12810" width="5" style="498" customWidth="1"/>
    <col min="12811" max="12811" width="4" style="498" customWidth="1"/>
    <col min="12812" max="12813" width="4.5703125" style="498" customWidth="1"/>
    <col min="12814" max="12814" width="4.42578125" style="498" customWidth="1"/>
    <col min="12815" max="12815" width="4" style="498" customWidth="1"/>
    <col min="12816" max="12816" width="3.5703125" style="498" customWidth="1"/>
    <col min="12817" max="12818" width="4.5703125" style="498" customWidth="1"/>
    <col min="12819" max="12819" width="4" style="498" customWidth="1"/>
    <col min="12820" max="12821" width="4.42578125" style="498" customWidth="1"/>
    <col min="12822" max="12822" width="3.5703125" style="498" customWidth="1"/>
    <col min="12823" max="12823" width="4.42578125" style="498" customWidth="1"/>
    <col min="12824" max="12824" width="5.5703125" style="498" customWidth="1"/>
    <col min="12825" max="12825" width="3.5703125" style="498" customWidth="1"/>
    <col min="12826" max="12826" width="4" style="498" customWidth="1"/>
    <col min="12827" max="12827" width="4.5703125" style="498" customWidth="1"/>
    <col min="12828" max="12830" width="4.42578125" style="498" customWidth="1"/>
    <col min="12831" max="12832" width="4.5703125" style="498" customWidth="1"/>
    <col min="12833" max="12833" width="4" style="498" customWidth="1"/>
    <col min="12834" max="12834" width="4.5703125" style="498" customWidth="1"/>
    <col min="12835" max="12835" width="6" style="498" customWidth="1"/>
    <col min="12836" max="12836" width="8.5703125" style="498" customWidth="1"/>
    <col min="12837" max="13056" width="11.42578125" style="498"/>
    <col min="13057" max="13057" width="6.42578125" style="498" customWidth="1"/>
    <col min="13058" max="13058" width="47.5703125" style="498" customWidth="1"/>
    <col min="13059" max="13060" width="5" style="498" customWidth="1"/>
    <col min="13061" max="13061" width="5.42578125" style="498" customWidth="1"/>
    <col min="13062" max="13062" width="4.5703125" style="498" customWidth="1"/>
    <col min="13063" max="13064" width="4.42578125" style="498" customWidth="1"/>
    <col min="13065" max="13065" width="3.5703125" style="498" customWidth="1"/>
    <col min="13066" max="13066" width="5" style="498" customWidth="1"/>
    <col min="13067" max="13067" width="4" style="498" customWidth="1"/>
    <col min="13068" max="13069" width="4.5703125" style="498" customWidth="1"/>
    <col min="13070" max="13070" width="4.42578125" style="498" customWidth="1"/>
    <col min="13071" max="13071" width="4" style="498" customWidth="1"/>
    <col min="13072" max="13072" width="3.5703125" style="498" customWidth="1"/>
    <col min="13073" max="13074" width="4.5703125" style="498" customWidth="1"/>
    <col min="13075" max="13075" width="4" style="498" customWidth="1"/>
    <col min="13076" max="13077" width="4.42578125" style="498" customWidth="1"/>
    <col min="13078" max="13078" width="3.5703125" style="498" customWidth="1"/>
    <col min="13079" max="13079" width="4.42578125" style="498" customWidth="1"/>
    <col min="13080" max="13080" width="5.5703125" style="498" customWidth="1"/>
    <col min="13081" max="13081" width="3.5703125" style="498" customWidth="1"/>
    <col min="13082" max="13082" width="4" style="498" customWidth="1"/>
    <col min="13083" max="13083" width="4.5703125" style="498" customWidth="1"/>
    <col min="13084" max="13086" width="4.42578125" style="498" customWidth="1"/>
    <col min="13087" max="13088" width="4.5703125" style="498" customWidth="1"/>
    <col min="13089" max="13089" width="4" style="498" customWidth="1"/>
    <col min="13090" max="13090" width="4.5703125" style="498" customWidth="1"/>
    <col min="13091" max="13091" width="6" style="498" customWidth="1"/>
    <col min="13092" max="13092" width="8.5703125" style="498" customWidth="1"/>
    <col min="13093" max="13312" width="11.42578125" style="498"/>
    <col min="13313" max="13313" width="6.42578125" style="498" customWidth="1"/>
    <col min="13314" max="13314" width="47.5703125" style="498" customWidth="1"/>
    <col min="13315" max="13316" width="5" style="498" customWidth="1"/>
    <col min="13317" max="13317" width="5.42578125" style="498" customWidth="1"/>
    <col min="13318" max="13318" width="4.5703125" style="498" customWidth="1"/>
    <col min="13319" max="13320" width="4.42578125" style="498" customWidth="1"/>
    <col min="13321" max="13321" width="3.5703125" style="498" customWidth="1"/>
    <col min="13322" max="13322" width="5" style="498" customWidth="1"/>
    <col min="13323" max="13323" width="4" style="498" customWidth="1"/>
    <col min="13324" max="13325" width="4.5703125" style="498" customWidth="1"/>
    <col min="13326" max="13326" width="4.42578125" style="498" customWidth="1"/>
    <col min="13327" max="13327" width="4" style="498" customWidth="1"/>
    <col min="13328" max="13328" width="3.5703125" style="498" customWidth="1"/>
    <col min="13329" max="13330" width="4.5703125" style="498" customWidth="1"/>
    <col min="13331" max="13331" width="4" style="498" customWidth="1"/>
    <col min="13332" max="13333" width="4.42578125" style="498" customWidth="1"/>
    <col min="13334" max="13334" width="3.5703125" style="498" customWidth="1"/>
    <col min="13335" max="13335" width="4.42578125" style="498" customWidth="1"/>
    <col min="13336" max="13336" width="5.5703125" style="498" customWidth="1"/>
    <col min="13337" max="13337" width="3.5703125" style="498" customWidth="1"/>
    <col min="13338" max="13338" width="4" style="498" customWidth="1"/>
    <col min="13339" max="13339" width="4.5703125" style="498" customWidth="1"/>
    <col min="13340" max="13342" width="4.42578125" style="498" customWidth="1"/>
    <col min="13343" max="13344" width="4.5703125" style="498" customWidth="1"/>
    <col min="13345" max="13345" width="4" style="498" customWidth="1"/>
    <col min="13346" max="13346" width="4.5703125" style="498" customWidth="1"/>
    <col min="13347" max="13347" width="6" style="498" customWidth="1"/>
    <col min="13348" max="13348" width="8.5703125" style="498" customWidth="1"/>
    <col min="13349" max="13568" width="11.42578125" style="498"/>
    <col min="13569" max="13569" width="6.42578125" style="498" customWidth="1"/>
    <col min="13570" max="13570" width="47.5703125" style="498" customWidth="1"/>
    <col min="13571" max="13572" width="5" style="498" customWidth="1"/>
    <col min="13573" max="13573" width="5.42578125" style="498" customWidth="1"/>
    <col min="13574" max="13574" width="4.5703125" style="498" customWidth="1"/>
    <col min="13575" max="13576" width="4.42578125" style="498" customWidth="1"/>
    <col min="13577" max="13577" width="3.5703125" style="498" customWidth="1"/>
    <col min="13578" max="13578" width="5" style="498" customWidth="1"/>
    <col min="13579" max="13579" width="4" style="498" customWidth="1"/>
    <col min="13580" max="13581" width="4.5703125" style="498" customWidth="1"/>
    <col min="13582" max="13582" width="4.42578125" style="498" customWidth="1"/>
    <col min="13583" max="13583" width="4" style="498" customWidth="1"/>
    <col min="13584" max="13584" width="3.5703125" style="498" customWidth="1"/>
    <col min="13585" max="13586" width="4.5703125" style="498" customWidth="1"/>
    <col min="13587" max="13587" width="4" style="498" customWidth="1"/>
    <col min="13588" max="13589" width="4.42578125" style="498" customWidth="1"/>
    <col min="13590" max="13590" width="3.5703125" style="498" customWidth="1"/>
    <col min="13591" max="13591" width="4.42578125" style="498" customWidth="1"/>
    <col min="13592" max="13592" width="5.5703125" style="498" customWidth="1"/>
    <col min="13593" max="13593" width="3.5703125" style="498" customWidth="1"/>
    <col min="13594" max="13594" width="4" style="498" customWidth="1"/>
    <col min="13595" max="13595" width="4.5703125" style="498" customWidth="1"/>
    <col min="13596" max="13598" width="4.42578125" style="498" customWidth="1"/>
    <col min="13599" max="13600" width="4.5703125" style="498" customWidth="1"/>
    <col min="13601" max="13601" width="4" style="498" customWidth="1"/>
    <col min="13602" max="13602" width="4.5703125" style="498" customWidth="1"/>
    <col min="13603" max="13603" width="6" style="498" customWidth="1"/>
    <col min="13604" max="13604" width="8.5703125" style="498" customWidth="1"/>
    <col min="13605" max="13824" width="11.42578125" style="498"/>
    <col min="13825" max="13825" width="6.42578125" style="498" customWidth="1"/>
    <col min="13826" max="13826" width="47.5703125" style="498" customWidth="1"/>
    <col min="13827" max="13828" width="5" style="498" customWidth="1"/>
    <col min="13829" max="13829" width="5.42578125" style="498" customWidth="1"/>
    <col min="13830" max="13830" width="4.5703125" style="498" customWidth="1"/>
    <col min="13831" max="13832" width="4.42578125" style="498" customWidth="1"/>
    <col min="13833" max="13833" width="3.5703125" style="498" customWidth="1"/>
    <col min="13834" max="13834" width="5" style="498" customWidth="1"/>
    <col min="13835" max="13835" width="4" style="498" customWidth="1"/>
    <col min="13836" max="13837" width="4.5703125" style="498" customWidth="1"/>
    <col min="13838" max="13838" width="4.42578125" style="498" customWidth="1"/>
    <col min="13839" max="13839" width="4" style="498" customWidth="1"/>
    <col min="13840" max="13840" width="3.5703125" style="498" customWidth="1"/>
    <col min="13841" max="13842" width="4.5703125" style="498" customWidth="1"/>
    <col min="13843" max="13843" width="4" style="498" customWidth="1"/>
    <col min="13844" max="13845" width="4.42578125" style="498" customWidth="1"/>
    <col min="13846" max="13846" width="3.5703125" style="498" customWidth="1"/>
    <col min="13847" max="13847" width="4.42578125" style="498" customWidth="1"/>
    <col min="13848" max="13848" width="5.5703125" style="498" customWidth="1"/>
    <col min="13849" max="13849" width="3.5703125" style="498" customWidth="1"/>
    <col min="13850" max="13850" width="4" style="498" customWidth="1"/>
    <col min="13851" max="13851" width="4.5703125" style="498" customWidth="1"/>
    <col min="13852" max="13854" width="4.42578125" style="498" customWidth="1"/>
    <col min="13855" max="13856" width="4.5703125" style="498" customWidth="1"/>
    <col min="13857" max="13857" width="4" style="498" customWidth="1"/>
    <col min="13858" max="13858" width="4.5703125" style="498" customWidth="1"/>
    <col min="13859" max="13859" width="6" style="498" customWidth="1"/>
    <col min="13860" max="13860" width="8.5703125" style="498" customWidth="1"/>
    <col min="13861" max="14080" width="11.42578125" style="498"/>
    <col min="14081" max="14081" width="6.42578125" style="498" customWidth="1"/>
    <col min="14082" max="14082" width="47.5703125" style="498" customWidth="1"/>
    <col min="14083" max="14084" width="5" style="498" customWidth="1"/>
    <col min="14085" max="14085" width="5.42578125" style="498" customWidth="1"/>
    <col min="14086" max="14086" width="4.5703125" style="498" customWidth="1"/>
    <col min="14087" max="14088" width="4.42578125" style="498" customWidth="1"/>
    <col min="14089" max="14089" width="3.5703125" style="498" customWidth="1"/>
    <col min="14090" max="14090" width="5" style="498" customWidth="1"/>
    <col min="14091" max="14091" width="4" style="498" customWidth="1"/>
    <col min="14092" max="14093" width="4.5703125" style="498" customWidth="1"/>
    <col min="14094" max="14094" width="4.42578125" style="498" customWidth="1"/>
    <col min="14095" max="14095" width="4" style="498" customWidth="1"/>
    <col min="14096" max="14096" width="3.5703125" style="498" customWidth="1"/>
    <col min="14097" max="14098" width="4.5703125" style="498" customWidth="1"/>
    <col min="14099" max="14099" width="4" style="498" customWidth="1"/>
    <col min="14100" max="14101" width="4.42578125" style="498" customWidth="1"/>
    <col min="14102" max="14102" width="3.5703125" style="498" customWidth="1"/>
    <col min="14103" max="14103" width="4.42578125" style="498" customWidth="1"/>
    <col min="14104" max="14104" width="5.5703125" style="498" customWidth="1"/>
    <col min="14105" max="14105" width="3.5703125" style="498" customWidth="1"/>
    <col min="14106" max="14106" width="4" style="498" customWidth="1"/>
    <col min="14107" max="14107" width="4.5703125" style="498" customWidth="1"/>
    <col min="14108" max="14110" width="4.42578125" style="498" customWidth="1"/>
    <col min="14111" max="14112" width="4.5703125" style="498" customWidth="1"/>
    <col min="14113" max="14113" width="4" style="498" customWidth="1"/>
    <col min="14114" max="14114" width="4.5703125" style="498" customWidth="1"/>
    <col min="14115" max="14115" width="6" style="498" customWidth="1"/>
    <col min="14116" max="14116" width="8.5703125" style="498" customWidth="1"/>
    <col min="14117" max="14336" width="11.42578125" style="498"/>
    <col min="14337" max="14337" width="6.42578125" style="498" customWidth="1"/>
    <col min="14338" max="14338" width="47.5703125" style="498" customWidth="1"/>
    <col min="14339" max="14340" width="5" style="498" customWidth="1"/>
    <col min="14341" max="14341" width="5.42578125" style="498" customWidth="1"/>
    <col min="14342" max="14342" width="4.5703125" style="498" customWidth="1"/>
    <col min="14343" max="14344" width="4.42578125" style="498" customWidth="1"/>
    <col min="14345" max="14345" width="3.5703125" style="498" customWidth="1"/>
    <col min="14346" max="14346" width="5" style="498" customWidth="1"/>
    <col min="14347" max="14347" width="4" style="498" customWidth="1"/>
    <col min="14348" max="14349" width="4.5703125" style="498" customWidth="1"/>
    <col min="14350" max="14350" width="4.42578125" style="498" customWidth="1"/>
    <col min="14351" max="14351" width="4" style="498" customWidth="1"/>
    <col min="14352" max="14352" width="3.5703125" style="498" customWidth="1"/>
    <col min="14353" max="14354" width="4.5703125" style="498" customWidth="1"/>
    <col min="14355" max="14355" width="4" style="498" customWidth="1"/>
    <col min="14356" max="14357" width="4.42578125" style="498" customWidth="1"/>
    <col min="14358" max="14358" width="3.5703125" style="498" customWidth="1"/>
    <col min="14359" max="14359" width="4.42578125" style="498" customWidth="1"/>
    <col min="14360" max="14360" width="5.5703125" style="498" customWidth="1"/>
    <col min="14361" max="14361" width="3.5703125" style="498" customWidth="1"/>
    <col min="14362" max="14362" width="4" style="498" customWidth="1"/>
    <col min="14363" max="14363" width="4.5703125" style="498" customWidth="1"/>
    <col min="14364" max="14366" width="4.42578125" style="498" customWidth="1"/>
    <col min="14367" max="14368" width="4.5703125" style="498" customWidth="1"/>
    <col min="14369" max="14369" width="4" style="498" customWidth="1"/>
    <col min="14370" max="14370" width="4.5703125" style="498" customWidth="1"/>
    <col min="14371" max="14371" width="6" style="498" customWidth="1"/>
    <col min="14372" max="14372" width="8.5703125" style="498" customWidth="1"/>
    <col min="14373" max="14592" width="11.42578125" style="498"/>
    <col min="14593" max="14593" width="6.42578125" style="498" customWidth="1"/>
    <col min="14594" max="14594" width="47.5703125" style="498" customWidth="1"/>
    <col min="14595" max="14596" width="5" style="498" customWidth="1"/>
    <col min="14597" max="14597" width="5.42578125" style="498" customWidth="1"/>
    <col min="14598" max="14598" width="4.5703125" style="498" customWidth="1"/>
    <col min="14599" max="14600" width="4.42578125" style="498" customWidth="1"/>
    <col min="14601" max="14601" width="3.5703125" style="498" customWidth="1"/>
    <col min="14602" max="14602" width="5" style="498" customWidth="1"/>
    <col min="14603" max="14603" width="4" style="498" customWidth="1"/>
    <col min="14604" max="14605" width="4.5703125" style="498" customWidth="1"/>
    <col min="14606" max="14606" width="4.42578125" style="498" customWidth="1"/>
    <col min="14607" max="14607" width="4" style="498" customWidth="1"/>
    <col min="14608" max="14608" width="3.5703125" style="498" customWidth="1"/>
    <col min="14609" max="14610" width="4.5703125" style="498" customWidth="1"/>
    <col min="14611" max="14611" width="4" style="498" customWidth="1"/>
    <col min="14612" max="14613" width="4.42578125" style="498" customWidth="1"/>
    <col min="14614" max="14614" width="3.5703125" style="498" customWidth="1"/>
    <col min="14615" max="14615" width="4.42578125" style="498" customWidth="1"/>
    <col min="14616" max="14616" width="5.5703125" style="498" customWidth="1"/>
    <col min="14617" max="14617" width="3.5703125" style="498" customWidth="1"/>
    <col min="14618" max="14618" width="4" style="498" customWidth="1"/>
    <col min="14619" max="14619" width="4.5703125" style="498" customWidth="1"/>
    <col min="14620" max="14622" width="4.42578125" style="498" customWidth="1"/>
    <col min="14623" max="14624" width="4.5703125" style="498" customWidth="1"/>
    <col min="14625" max="14625" width="4" style="498" customWidth="1"/>
    <col min="14626" max="14626" width="4.5703125" style="498" customWidth="1"/>
    <col min="14627" max="14627" width="6" style="498" customWidth="1"/>
    <col min="14628" max="14628" width="8.5703125" style="498" customWidth="1"/>
    <col min="14629" max="14848" width="11.42578125" style="498"/>
    <col min="14849" max="14849" width="6.42578125" style="498" customWidth="1"/>
    <col min="14850" max="14850" width="47.5703125" style="498" customWidth="1"/>
    <col min="14851" max="14852" width="5" style="498" customWidth="1"/>
    <col min="14853" max="14853" width="5.42578125" style="498" customWidth="1"/>
    <col min="14854" max="14854" width="4.5703125" style="498" customWidth="1"/>
    <col min="14855" max="14856" width="4.42578125" style="498" customWidth="1"/>
    <col min="14857" max="14857" width="3.5703125" style="498" customWidth="1"/>
    <col min="14858" max="14858" width="5" style="498" customWidth="1"/>
    <col min="14859" max="14859" width="4" style="498" customWidth="1"/>
    <col min="14860" max="14861" width="4.5703125" style="498" customWidth="1"/>
    <col min="14862" max="14862" width="4.42578125" style="498" customWidth="1"/>
    <col min="14863" max="14863" width="4" style="498" customWidth="1"/>
    <col min="14864" max="14864" width="3.5703125" style="498" customWidth="1"/>
    <col min="14865" max="14866" width="4.5703125" style="498" customWidth="1"/>
    <col min="14867" max="14867" width="4" style="498" customWidth="1"/>
    <col min="14868" max="14869" width="4.42578125" style="498" customWidth="1"/>
    <col min="14870" max="14870" width="3.5703125" style="498" customWidth="1"/>
    <col min="14871" max="14871" width="4.42578125" style="498" customWidth="1"/>
    <col min="14872" max="14872" width="5.5703125" style="498" customWidth="1"/>
    <col min="14873" max="14873" width="3.5703125" style="498" customWidth="1"/>
    <col min="14874" max="14874" width="4" style="498" customWidth="1"/>
    <col min="14875" max="14875" width="4.5703125" style="498" customWidth="1"/>
    <col min="14876" max="14878" width="4.42578125" style="498" customWidth="1"/>
    <col min="14879" max="14880" width="4.5703125" style="498" customWidth="1"/>
    <col min="14881" max="14881" width="4" style="498" customWidth="1"/>
    <col min="14882" max="14882" width="4.5703125" style="498" customWidth="1"/>
    <col min="14883" max="14883" width="6" style="498" customWidth="1"/>
    <col min="14884" max="14884" width="8.5703125" style="498" customWidth="1"/>
    <col min="14885" max="15104" width="11.42578125" style="498"/>
    <col min="15105" max="15105" width="6.42578125" style="498" customWidth="1"/>
    <col min="15106" max="15106" width="47.5703125" style="498" customWidth="1"/>
    <col min="15107" max="15108" width="5" style="498" customWidth="1"/>
    <col min="15109" max="15109" width="5.42578125" style="498" customWidth="1"/>
    <col min="15110" max="15110" width="4.5703125" style="498" customWidth="1"/>
    <col min="15111" max="15112" width="4.42578125" style="498" customWidth="1"/>
    <col min="15113" max="15113" width="3.5703125" style="498" customWidth="1"/>
    <col min="15114" max="15114" width="5" style="498" customWidth="1"/>
    <col min="15115" max="15115" width="4" style="498" customWidth="1"/>
    <col min="15116" max="15117" width="4.5703125" style="498" customWidth="1"/>
    <col min="15118" max="15118" width="4.42578125" style="498" customWidth="1"/>
    <col min="15119" max="15119" width="4" style="498" customWidth="1"/>
    <col min="15120" max="15120" width="3.5703125" style="498" customWidth="1"/>
    <col min="15121" max="15122" width="4.5703125" style="498" customWidth="1"/>
    <col min="15123" max="15123" width="4" style="498" customWidth="1"/>
    <col min="15124" max="15125" width="4.42578125" style="498" customWidth="1"/>
    <col min="15126" max="15126" width="3.5703125" style="498" customWidth="1"/>
    <col min="15127" max="15127" width="4.42578125" style="498" customWidth="1"/>
    <col min="15128" max="15128" width="5.5703125" style="498" customWidth="1"/>
    <col min="15129" max="15129" width="3.5703125" style="498" customWidth="1"/>
    <col min="15130" max="15130" width="4" style="498" customWidth="1"/>
    <col min="15131" max="15131" width="4.5703125" style="498" customWidth="1"/>
    <col min="15132" max="15134" width="4.42578125" style="498" customWidth="1"/>
    <col min="15135" max="15136" width="4.5703125" style="498" customWidth="1"/>
    <col min="15137" max="15137" width="4" style="498" customWidth="1"/>
    <col min="15138" max="15138" width="4.5703125" style="498" customWidth="1"/>
    <col min="15139" max="15139" width="6" style="498" customWidth="1"/>
    <col min="15140" max="15140" width="8.5703125" style="498" customWidth="1"/>
    <col min="15141" max="15360" width="11.42578125" style="498"/>
    <col min="15361" max="15361" width="6.42578125" style="498" customWidth="1"/>
    <col min="15362" max="15362" width="47.5703125" style="498" customWidth="1"/>
    <col min="15363" max="15364" width="5" style="498" customWidth="1"/>
    <col min="15365" max="15365" width="5.42578125" style="498" customWidth="1"/>
    <col min="15366" max="15366" width="4.5703125" style="498" customWidth="1"/>
    <col min="15367" max="15368" width="4.42578125" style="498" customWidth="1"/>
    <col min="15369" max="15369" width="3.5703125" style="498" customWidth="1"/>
    <col min="15370" max="15370" width="5" style="498" customWidth="1"/>
    <col min="15371" max="15371" width="4" style="498" customWidth="1"/>
    <col min="15372" max="15373" width="4.5703125" style="498" customWidth="1"/>
    <col min="15374" max="15374" width="4.42578125" style="498" customWidth="1"/>
    <col min="15375" max="15375" width="4" style="498" customWidth="1"/>
    <col min="15376" max="15376" width="3.5703125" style="498" customWidth="1"/>
    <col min="15377" max="15378" width="4.5703125" style="498" customWidth="1"/>
    <col min="15379" max="15379" width="4" style="498" customWidth="1"/>
    <col min="15380" max="15381" width="4.42578125" style="498" customWidth="1"/>
    <col min="15382" max="15382" width="3.5703125" style="498" customWidth="1"/>
    <col min="15383" max="15383" width="4.42578125" style="498" customWidth="1"/>
    <col min="15384" max="15384" width="5.5703125" style="498" customWidth="1"/>
    <col min="15385" max="15385" width="3.5703125" style="498" customWidth="1"/>
    <col min="15386" max="15386" width="4" style="498" customWidth="1"/>
    <col min="15387" max="15387" width="4.5703125" style="498" customWidth="1"/>
    <col min="15388" max="15390" width="4.42578125" style="498" customWidth="1"/>
    <col min="15391" max="15392" width="4.5703125" style="498" customWidth="1"/>
    <col min="15393" max="15393" width="4" style="498" customWidth="1"/>
    <col min="15394" max="15394" width="4.5703125" style="498" customWidth="1"/>
    <col min="15395" max="15395" width="6" style="498" customWidth="1"/>
    <col min="15396" max="15396" width="8.5703125" style="498" customWidth="1"/>
    <col min="15397" max="15616" width="11.42578125" style="498"/>
    <col min="15617" max="15617" width="6.42578125" style="498" customWidth="1"/>
    <col min="15618" max="15618" width="47.5703125" style="498" customWidth="1"/>
    <col min="15619" max="15620" width="5" style="498" customWidth="1"/>
    <col min="15621" max="15621" width="5.42578125" style="498" customWidth="1"/>
    <col min="15622" max="15622" width="4.5703125" style="498" customWidth="1"/>
    <col min="15623" max="15624" width="4.42578125" style="498" customWidth="1"/>
    <col min="15625" max="15625" width="3.5703125" style="498" customWidth="1"/>
    <col min="15626" max="15626" width="5" style="498" customWidth="1"/>
    <col min="15627" max="15627" width="4" style="498" customWidth="1"/>
    <col min="15628" max="15629" width="4.5703125" style="498" customWidth="1"/>
    <col min="15630" max="15630" width="4.42578125" style="498" customWidth="1"/>
    <col min="15631" max="15631" width="4" style="498" customWidth="1"/>
    <col min="15632" max="15632" width="3.5703125" style="498" customWidth="1"/>
    <col min="15633" max="15634" width="4.5703125" style="498" customWidth="1"/>
    <col min="15635" max="15635" width="4" style="498" customWidth="1"/>
    <col min="15636" max="15637" width="4.42578125" style="498" customWidth="1"/>
    <col min="15638" max="15638" width="3.5703125" style="498" customWidth="1"/>
    <col min="15639" max="15639" width="4.42578125" style="498" customWidth="1"/>
    <col min="15640" max="15640" width="5.5703125" style="498" customWidth="1"/>
    <col min="15641" max="15641" width="3.5703125" style="498" customWidth="1"/>
    <col min="15642" max="15642" width="4" style="498" customWidth="1"/>
    <col min="15643" max="15643" width="4.5703125" style="498" customWidth="1"/>
    <col min="15644" max="15646" width="4.42578125" style="498" customWidth="1"/>
    <col min="15647" max="15648" width="4.5703125" style="498" customWidth="1"/>
    <col min="15649" max="15649" width="4" style="498" customWidth="1"/>
    <col min="15650" max="15650" width="4.5703125" style="498" customWidth="1"/>
    <col min="15651" max="15651" width="6" style="498" customWidth="1"/>
    <col min="15652" max="15652" width="8.5703125" style="498" customWidth="1"/>
    <col min="15653" max="15872" width="11.42578125" style="498"/>
    <col min="15873" max="15873" width="6.42578125" style="498" customWidth="1"/>
    <col min="15874" max="15874" width="47.5703125" style="498" customWidth="1"/>
    <col min="15875" max="15876" width="5" style="498" customWidth="1"/>
    <col min="15877" max="15877" width="5.42578125" style="498" customWidth="1"/>
    <col min="15878" max="15878" width="4.5703125" style="498" customWidth="1"/>
    <col min="15879" max="15880" width="4.42578125" style="498" customWidth="1"/>
    <col min="15881" max="15881" width="3.5703125" style="498" customWidth="1"/>
    <col min="15882" max="15882" width="5" style="498" customWidth="1"/>
    <col min="15883" max="15883" width="4" style="498" customWidth="1"/>
    <col min="15884" max="15885" width="4.5703125" style="498" customWidth="1"/>
    <col min="15886" max="15886" width="4.42578125" style="498" customWidth="1"/>
    <col min="15887" max="15887" width="4" style="498" customWidth="1"/>
    <col min="15888" max="15888" width="3.5703125" style="498" customWidth="1"/>
    <col min="15889" max="15890" width="4.5703125" style="498" customWidth="1"/>
    <col min="15891" max="15891" width="4" style="498" customWidth="1"/>
    <col min="15892" max="15893" width="4.42578125" style="498" customWidth="1"/>
    <col min="15894" max="15894" width="3.5703125" style="498" customWidth="1"/>
    <col min="15895" max="15895" width="4.42578125" style="498" customWidth="1"/>
    <col min="15896" max="15896" width="5.5703125" style="498" customWidth="1"/>
    <col min="15897" max="15897" width="3.5703125" style="498" customWidth="1"/>
    <col min="15898" max="15898" width="4" style="498" customWidth="1"/>
    <col min="15899" max="15899" width="4.5703125" style="498" customWidth="1"/>
    <col min="15900" max="15902" width="4.42578125" style="498" customWidth="1"/>
    <col min="15903" max="15904" width="4.5703125" style="498" customWidth="1"/>
    <col min="15905" max="15905" width="4" style="498" customWidth="1"/>
    <col min="15906" max="15906" width="4.5703125" style="498" customWidth="1"/>
    <col min="15907" max="15907" width="6" style="498" customWidth="1"/>
    <col min="15908" max="15908" width="8.5703125" style="498" customWidth="1"/>
    <col min="15909" max="16128" width="11.42578125" style="498"/>
    <col min="16129" max="16129" width="6.42578125" style="498" customWidth="1"/>
    <col min="16130" max="16130" width="47.5703125" style="498" customWidth="1"/>
    <col min="16131" max="16132" width="5" style="498" customWidth="1"/>
    <col min="16133" max="16133" width="5.42578125" style="498" customWidth="1"/>
    <col min="16134" max="16134" width="4.5703125" style="498" customWidth="1"/>
    <col min="16135" max="16136" width="4.42578125" style="498" customWidth="1"/>
    <col min="16137" max="16137" width="3.5703125" style="498" customWidth="1"/>
    <col min="16138" max="16138" width="5" style="498" customWidth="1"/>
    <col min="16139" max="16139" width="4" style="498" customWidth="1"/>
    <col min="16140" max="16141" width="4.5703125" style="498" customWidth="1"/>
    <col min="16142" max="16142" width="4.42578125" style="498" customWidth="1"/>
    <col min="16143" max="16143" width="4" style="498" customWidth="1"/>
    <col min="16144" max="16144" width="3.5703125" style="498" customWidth="1"/>
    <col min="16145" max="16146" width="4.5703125" style="498" customWidth="1"/>
    <col min="16147" max="16147" width="4" style="498" customWidth="1"/>
    <col min="16148" max="16149" width="4.42578125" style="498" customWidth="1"/>
    <col min="16150" max="16150" width="3.5703125" style="498" customWidth="1"/>
    <col min="16151" max="16151" width="4.42578125" style="498" customWidth="1"/>
    <col min="16152" max="16152" width="5.5703125" style="498" customWidth="1"/>
    <col min="16153" max="16153" width="3.5703125" style="498" customWidth="1"/>
    <col min="16154" max="16154" width="4" style="498" customWidth="1"/>
    <col min="16155" max="16155" width="4.5703125" style="498" customWidth="1"/>
    <col min="16156" max="16158" width="4.42578125" style="498" customWidth="1"/>
    <col min="16159" max="16160" width="4.5703125" style="498" customWidth="1"/>
    <col min="16161" max="16161" width="4" style="498" customWidth="1"/>
    <col min="16162" max="16162" width="4.5703125" style="498" customWidth="1"/>
    <col min="16163" max="16163" width="6" style="498" customWidth="1"/>
    <col min="16164" max="16164" width="8.5703125" style="498" customWidth="1"/>
    <col min="16165" max="16384" width="11.42578125" style="498"/>
  </cols>
  <sheetData>
    <row r="1" spans="1:43">
      <c r="A1" s="2213" t="s">
        <v>283</v>
      </c>
      <c r="B1" s="2213"/>
      <c r="C1" s="2213"/>
      <c r="D1" s="2213"/>
      <c r="E1" s="2213"/>
      <c r="F1" s="2213"/>
      <c r="G1" s="2213"/>
      <c r="H1" s="2213"/>
      <c r="I1" s="2213"/>
      <c r="J1" s="2213"/>
      <c r="K1" s="2213"/>
      <c r="L1" s="2213"/>
      <c r="M1" s="2213"/>
      <c r="N1" s="2213"/>
      <c r="O1" s="2213"/>
      <c r="P1" s="2213"/>
      <c r="Q1" s="2213"/>
      <c r="R1" s="2213"/>
      <c r="S1" s="2213"/>
      <c r="T1" s="2213"/>
      <c r="U1" s="2213"/>
      <c r="V1" s="2213"/>
      <c r="W1" s="2213"/>
      <c r="X1" s="2213"/>
    </row>
    <row r="2" spans="1:43">
      <c r="A2" s="2214" t="s">
        <v>1803</v>
      </c>
      <c r="B2" s="2214"/>
      <c r="C2" s="2214"/>
      <c r="D2" s="2214"/>
      <c r="E2" s="2214"/>
      <c r="F2" s="2214"/>
      <c r="G2" s="2214"/>
      <c r="H2" s="2214"/>
      <c r="I2" s="2214"/>
      <c r="J2" s="2214"/>
      <c r="K2" s="2214"/>
      <c r="L2" s="2214"/>
      <c r="M2" s="2214"/>
      <c r="N2" s="2214"/>
      <c r="O2" s="2214"/>
      <c r="P2" s="2214"/>
      <c r="Q2" s="2214"/>
      <c r="R2" s="2214"/>
      <c r="S2" s="2214"/>
      <c r="T2" s="2214"/>
      <c r="U2" s="2214"/>
      <c r="V2" s="2214"/>
      <c r="W2" s="2214"/>
      <c r="X2" s="2214"/>
    </row>
    <row r="3" spans="1:43">
      <c r="A3" s="549"/>
      <c r="O3" s="498" t="s">
        <v>2096</v>
      </c>
    </row>
    <row r="4" spans="1:43">
      <c r="A4" s="551"/>
      <c r="B4" s="2215" t="s">
        <v>1800</v>
      </c>
      <c r="C4" s="2215"/>
      <c r="D4" s="2215"/>
      <c r="E4" s="2215"/>
      <c r="F4" s="2215"/>
      <c r="G4" s="2215"/>
      <c r="H4" s="2215"/>
      <c r="I4" s="2215"/>
      <c r="J4" s="2215"/>
      <c r="K4" s="2215"/>
      <c r="L4" s="2215"/>
    </row>
    <row r="5" spans="1:43" ht="12.75" customHeight="1">
      <c r="A5" s="551"/>
      <c r="B5" s="2216" t="e">
        <v>#REF!</v>
      </c>
      <c r="C5" s="2217"/>
      <c r="D5" s="2217"/>
      <c r="E5" s="2217"/>
      <c r="F5" s="2217"/>
      <c r="G5" s="2217"/>
      <c r="H5" s="2217"/>
      <c r="I5" s="2217"/>
      <c r="J5" s="2217"/>
      <c r="K5" s="2217"/>
      <c r="L5" s="2217"/>
      <c r="M5" s="2217"/>
      <c r="N5" s="2217"/>
      <c r="O5" s="2217"/>
      <c r="P5" s="2217"/>
      <c r="Q5" s="2217"/>
      <c r="R5" s="2217"/>
      <c r="S5" s="2217"/>
      <c r="T5" s="2217"/>
      <c r="U5" s="2217"/>
      <c r="V5" s="2217"/>
      <c r="W5" s="2217"/>
      <c r="X5" s="2217"/>
      <c r="Y5" s="2217"/>
      <c r="Z5" s="2217"/>
      <c r="AA5" s="2217"/>
    </row>
    <row r="6" spans="1:43" ht="13.5" customHeight="1">
      <c r="B6" s="553"/>
      <c r="C6" s="500"/>
    </row>
    <row r="7" spans="1:43" ht="13.5" customHeight="1" thickBot="1">
      <c r="B7" s="553"/>
      <c r="C7" s="500"/>
      <c r="Q7" s="2220" t="s">
        <v>284</v>
      </c>
      <c r="R7" s="2220"/>
      <c r="S7" s="2220"/>
      <c r="T7" s="2220"/>
      <c r="U7" s="2220"/>
      <c r="V7" s="2220"/>
      <c r="W7" s="2221">
        <v>42857</v>
      </c>
      <c r="X7" s="2221"/>
      <c r="Y7" s="2221"/>
      <c r="Z7" s="2221"/>
    </row>
    <row r="8" spans="1:43" ht="13.5" customHeight="1" thickBot="1">
      <c r="B8" s="553"/>
      <c r="C8" s="500"/>
      <c r="D8" s="1001" t="s">
        <v>1990</v>
      </c>
      <c r="E8" s="1002" t="s">
        <v>1984</v>
      </c>
      <c r="F8" s="1002" t="s">
        <v>1985</v>
      </c>
      <c r="G8" s="1002" t="s">
        <v>1986</v>
      </c>
      <c r="H8" s="1002" t="s">
        <v>1987</v>
      </c>
      <c r="I8" s="1002" t="s">
        <v>1988</v>
      </c>
      <c r="J8" s="1002" t="s">
        <v>1989</v>
      </c>
      <c r="K8" s="1001" t="s">
        <v>1990</v>
      </c>
      <c r="L8" s="1002" t="s">
        <v>1984</v>
      </c>
      <c r="M8" s="1002" t="s">
        <v>1985</v>
      </c>
      <c r="N8" s="1002" t="s">
        <v>1986</v>
      </c>
      <c r="O8" s="1002" t="s">
        <v>1987</v>
      </c>
      <c r="P8" s="1002" t="s">
        <v>1988</v>
      </c>
      <c r="Q8" s="1002" t="s">
        <v>1989</v>
      </c>
      <c r="R8" s="1001" t="s">
        <v>1990</v>
      </c>
      <c r="S8" s="1002" t="s">
        <v>1984</v>
      </c>
      <c r="T8" s="1002" t="s">
        <v>1985</v>
      </c>
      <c r="U8" s="1002" t="s">
        <v>1986</v>
      </c>
      <c r="V8" s="1002" t="s">
        <v>1987</v>
      </c>
      <c r="W8" s="1002" t="s">
        <v>1988</v>
      </c>
      <c r="X8" s="1002" t="s">
        <v>1989</v>
      </c>
      <c r="Y8" s="1001" t="s">
        <v>1990</v>
      </c>
      <c r="Z8" s="1002" t="s">
        <v>1984</v>
      </c>
      <c r="AA8" s="1002" t="s">
        <v>1985</v>
      </c>
      <c r="AB8" s="1002" t="s">
        <v>1986</v>
      </c>
      <c r="AC8" s="1002" t="s">
        <v>1987</v>
      </c>
      <c r="AD8" s="1002" t="s">
        <v>1988</v>
      </c>
      <c r="AE8" s="1002" t="s">
        <v>1989</v>
      </c>
      <c r="AF8" s="1001" t="s">
        <v>1990</v>
      </c>
      <c r="AG8" s="1002" t="s">
        <v>1984</v>
      </c>
      <c r="AH8" s="1002" t="s">
        <v>1985</v>
      </c>
      <c r="AI8" s="871"/>
      <c r="AJ8" s="2222" t="s">
        <v>1982</v>
      </c>
      <c r="AK8" s="2223"/>
      <c r="AL8" s="2223"/>
      <c r="AM8" s="2224"/>
      <c r="AN8" s="2222" t="s">
        <v>1983</v>
      </c>
      <c r="AO8" s="2223"/>
      <c r="AP8" s="2223"/>
      <c r="AQ8" s="2224"/>
    </row>
    <row r="9" spans="1:43" ht="13.5" thickBot="1">
      <c r="A9" s="2218" t="s">
        <v>285</v>
      </c>
      <c r="B9" s="2218" t="s">
        <v>20</v>
      </c>
      <c r="C9" s="501"/>
      <c r="D9" s="736">
        <v>1</v>
      </c>
      <c r="E9" s="502">
        <v>2</v>
      </c>
      <c r="F9" s="502">
        <v>3</v>
      </c>
      <c r="G9" s="502">
        <v>4</v>
      </c>
      <c r="H9" s="502">
        <v>5</v>
      </c>
      <c r="I9" s="502">
        <v>6</v>
      </c>
      <c r="J9" s="502">
        <v>7</v>
      </c>
      <c r="K9" s="736">
        <v>8</v>
      </c>
      <c r="L9" s="502">
        <v>9</v>
      </c>
      <c r="M9" s="502">
        <v>10</v>
      </c>
      <c r="N9" s="502">
        <v>11</v>
      </c>
      <c r="O9" s="502">
        <v>12</v>
      </c>
      <c r="P9" s="502">
        <v>13</v>
      </c>
      <c r="Q9" s="502">
        <v>14</v>
      </c>
      <c r="R9" s="736">
        <v>15</v>
      </c>
      <c r="S9" s="502">
        <v>16</v>
      </c>
      <c r="T9" s="502">
        <v>17</v>
      </c>
      <c r="U9" s="502">
        <v>18</v>
      </c>
      <c r="V9" s="502">
        <v>19</v>
      </c>
      <c r="W9" s="502">
        <v>20</v>
      </c>
      <c r="X9" s="502">
        <v>21</v>
      </c>
      <c r="Y9" s="736">
        <v>22</v>
      </c>
      <c r="Z9" s="502">
        <v>23</v>
      </c>
      <c r="AA9" s="502">
        <v>24</v>
      </c>
      <c r="AB9" s="502">
        <v>25</v>
      </c>
      <c r="AC9" s="502">
        <v>26</v>
      </c>
      <c r="AD9" s="503">
        <v>27</v>
      </c>
      <c r="AE9" s="502">
        <v>28</v>
      </c>
      <c r="AF9" s="999">
        <v>29</v>
      </c>
      <c r="AG9" s="502">
        <v>30</v>
      </c>
      <c r="AH9" s="503">
        <v>31</v>
      </c>
      <c r="AI9" s="504" t="s">
        <v>359</v>
      </c>
      <c r="AJ9" s="865" t="s">
        <v>26</v>
      </c>
      <c r="AK9" s="866" t="s">
        <v>1822</v>
      </c>
      <c r="AL9" s="866" t="s">
        <v>1821</v>
      </c>
      <c r="AM9" s="867" t="s">
        <v>25</v>
      </c>
      <c r="AN9" s="865" t="s">
        <v>26</v>
      </c>
      <c r="AO9" s="866" t="s">
        <v>1822</v>
      </c>
      <c r="AP9" s="866" t="s">
        <v>1821</v>
      </c>
      <c r="AQ9" s="867" t="s">
        <v>25</v>
      </c>
    </row>
    <row r="10" spans="1:43" ht="13.5" thickBot="1">
      <c r="A10" s="2219"/>
      <c r="B10" s="2219"/>
      <c r="C10" s="506" t="s">
        <v>286</v>
      </c>
      <c r="D10" s="737" t="s">
        <v>305</v>
      </c>
      <c r="E10" s="507" t="s">
        <v>305</v>
      </c>
      <c r="F10" s="507" t="s">
        <v>305</v>
      </c>
      <c r="G10" s="507" t="s">
        <v>305</v>
      </c>
      <c r="H10" s="507" t="s">
        <v>305</v>
      </c>
      <c r="I10" s="507" t="s">
        <v>305</v>
      </c>
      <c r="J10" s="507" t="s">
        <v>305</v>
      </c>
      <c r="K10" s="737" t="s">
        <v>305</v>
      </c>
      <c r="L10" s="507" t="s">
        <v>305</v>
      </c>
      <c r="M10" s="507" t="s">
        <v>305</v>
      </c>
      <c r="N10" s="507" t="s">
        <v>305</v>
      </c>
      <c r="O10" s="507" t="s">
        <v>305</v>
      </c>
      <c r="P10" s="507" t="s">
        <v>305</v>
      </c>
      <c r="Q10" s="507" t="s">
        <v>305</v>
      </c>
      <c r="R10" s="737" t="s">
        <v>305</v>
      </c>
      <c r="S10" s="507" t="s">
        <v>305</v>
      </c>
      <c r="T10" s="507" t="s">
        <v>305</v>
      </c>
      <c r="U10" s="507" t="s">
        <v>305</v>
      </c>
      <c r="V10" s="507" t="s">
        <v>305</v>
      </c>
      <c r="W10" s="507" t="s">
        <v>305</v>
      </c>
      <c r="X10" s="507" t="s">
        <v>305</v>
      </c>
      <c r="Y10" s="737" t="s">
        <v>305</v>
      </c>
      <c r="Z10" s="507" t="s">
        <v>305</v>
      </c>
      <c r="AA10" s="507" t="s">
        <v>305</v>
      </c>
      <c r="AB10" s="507" t="s">
        <v>305</v>
      </c>
      <c r="AC10" s="507" t="s">
        <v>305</v>
      </c>
      <c r="AD10" s="508" t="s">
        <v>305</v>
      </c>
      <c r="AE10" s="507" t="s">
        <v>305</v>
      </c>
      <c r="AF10" s="1000" t="s">
        <v>305</v>
      </c>
      <c r="AG10" s="507" t="s">
        <v>305</v>
      </c>
      <c r="AH10" s="507" t="s">
        <v>305</v>
      </c>
      <c r="AI10" s="509" t="s">
        <v>287</v>
      </c>
      <c r="AJ10" s="505"/>
      <c r="AN10" s="505"/>
    </row>
    <row r="11" spans="1:43" s="518" customFormat="1">
      <c r="A11" s="559" t="s">
        <v>514</v>
      </c>
      <c r="B11" s="560" t="s">
        <v>1804</v>
      </c>
      <c r="C11" s="558"/>
      <c r="D11" s="818"/>
      <c r="E11" s="511"/>
      <c r="F11" s="511"/>
      <c r="G11" s="511"/>
      <c r="H11" s="511"/>
      <c r="I11" s="512"/>
      <c r="J11" s="512"/>
      <c r="K11" s="740"/>
      <c r="L11" s="512"/>
      <c r="M11" s="511"/>
      <c r="N11" s="512"/>
      <c r="O11" s="512"/>
      <c r="P11" s="512"/>
      <c r="Q11" s="512"/>
      <c r="R11" s="740"/>
      <c r="S11" s="512"/>
      <c r="T11" s="511"/>
      <c r="U11" s="512"/>
      <c r="V11" s="512"/>
      <c r="W11" s="512"/>
      <c r="X11" s="512"/>
      <c r="Y11" s="740"/>
      <c r="Z11" s="512"/>
      <c r="AA11" s="511"/>
      <c r="AB11" s="513"/>
      <c r="AC11" s="513"/>
      <c r="AD11" s="513"/>
      <c r="AE11" s="513"/>
      <c r="AF11" s="756"/>
      <c r="AG11" s="514"/>
      <c r="AH11" s="514"/>
      <c r="AI11" s="515">
        <v>0</v>
      </c>
      <c r="AJ11" s="516">
        <v>0</v>
      </c>
      <c r="AK11" s="517">
        <v>0</v>
      </c>
      <c r="AN11" s="516">
        <v>0</v>
      </c>
      <c r="AO11" s="517">
        <v>0</v>
      </c>
    </row>
    <row r="12" spans="1:43" s="500" customFormat="1">
      <c r="A12" s="539" t="s">
        <v>515</v>
      </c>
      <c r="B12" s="279" t="s">
        <v>34</v>
      </c>
      <c r="C12" s="529"/>
      <c r="D12" s="743"/>
      <c r="E12" s="520"/>
      <c r="F12" s="520"/>
      <c r="G12" s="520"/>
      <c r="H12" s="520"/>
      <c r="I12" s="521"/>
      <c r="J12" s="521"/>
      <c r="K12" s="725"/>
      <c r="L12" s="521"/>
      <c r="M12" s="520"/>
      <c r="N12" s="521"/>
      <c r="O12" s="521"/>
      <c r="P12" s="521"/>
      <c r="Q12" s="521"/>
      <c r="R12" s="725"/>
      <c r="S12" s="521"/>
      <c r="T12" s="520"/>
      <c r="U12" s="521"/>
      <c r="V12" s="521"/>
      <c r="W12" s="521"/>
      <c r="X12" s="521"/>
      <c r="Y12" s="725"/>
      <c r="Z12" s="521"/>
      <c r="AA12" s="520"/>
      <c r="AB12" s="522"/>
      <c r="AC12" s="522"/>
      <c r="AD12" s="514"/>
      <c r="AE12" s="514"/>
      <c r="AF12" s="756"/>
      <c r="AG12" s="514"/>
      <c r="AH12" s="514"/>
      <c r="AI12" s="515">
        <v>0</v>
      </c>
      <c r="AJ12" s="523">
        <v>0</v>
      </c>
      <c r="AK12" s="517">
        <v>0</v>
      </c>
      <c r="AN12" s="523">
        <v>0</v>
      </c>
      <c r="AO12" s="517">
        <v>0</v>
      </c>
    </row>
    <row r="13" spans="1:43" s="500" customFormat="1">
      <c r="A13" s="539" t="s">
        <v>1805</v>
      </c>
      <c r="B13" s="279" t="s">
        <v>1820</v>
      </c>
      <c r="C13" s="524" t="s">
        <v>40</v>
      </c>
      <c r="D13" s="743"/>
      <c r="E13" s="946"/>
      <c r="F13" s="968">
        <v>21.157499999999999</v>
      </c>
      <c r="G13" s="968">
        <v>16.900000000000002</v>
      </c>
      <c r="H13" s="944"/>
      <c r="I13" s="963">
        <v>9.8279999999999994</v>
      </c>
      <c r="J13" s="519"/>
      <c r="K13" s="743"/>
      <c r="L13" s="962">
        <v>11.232000000000001</v>
      </c>
      <c r="M13" s="520"/>
      <c r="N13" s="519"/>
      <c r="O13" s="519"/>
      <c r="P13" s="1007">
        <v>9.9450000000000003</v>
      </c>
      <c r="Q13" s="519"/>
      <c r="R13" s="743"/>
      <c r="S13" s="1007">
        <v>11.700000000000001</v>
      </c>
      <c r="T13" s="1011">
        <v>11.700000000000001</v>
      </c>
      <c r="U13" s="962">
        <v>8.7048000000000005</v>
      </c>
      <c r="V13" s="962">
        <v>8.19</v>
      </c>
      <c r="W13" s="519"/>
      <c r="X13" s="519"/>
      <c r="Y13" s="743"/>
      <c r="Z13" s="519"/>
      <c r="AA13" s="520"/>
      <c r="AB13" s="972">
        <v>53.04</v>
      </c>
      <c r="AC13" s="972">
        <v>53.04</v>
      </c>
      <c r="AD13" s="972">
        <v>53.04</v>
      </c>
      <c r="AE13" s="972">
        <v>53.04</v>
      </c>
      <c r="AF13" s="743"/>
      <c r="AG13" s="972">
        <v>53.04</v>
      </c>
      <c r="AH13" s="972">
        <v>53.04</v>
      </c>
      <c r="AI13" s="991">
        <v>427.59730000000008</v>
      </c>
      <c r="AJ13" s="523">
        <v>1088.27</v>
      </c>
      <c r="AK13" s="517">
        <v>1515.8673000000001</v>
      </c>
      <c r="AL13" s="500">
        <v>1565.2</v>
      </c>
      <c r="AM13" s="517">
        <v>49.332699999999932</v>
      </c>
      <c r="AN13" s="523">
        <v>1088.27</v>
      </c>
      <c r="AO13" s="517">
        <v>1137.6026999999999</v>
      </c>
      <c r="AP13" s="500">
        <v>1565.2</v>
      </c>
      <c r="AQ13" s="517">
        <v>427.59730000000013</v>
      </c>
    </row>
    <row r="14" spans="1:43" s="500" customFormat="1">
      <c r="A14" s="539" t="s">
        <v>1929</v>
      </c>
      <c r="B14" s="752" t="s">
        <v>1935</v>
      </c>
      <c r="C14" s="746" t="s">
        <v>40</v>
      </c>
      <c r="D14" s="726"/>
      <c r="E14" s="979">
        <v>14</v>
      </c>
      <c r="F14" s="979">
        <v>14</v>
      </c>
      <c r="G14" s="979">
        <v>7</v>
      </c>
      <c r="H14" s="944"/>
      <c r="I14" s="521"/>
      <c r="J14" s="520"/>
      <c r="K14" s="726"/>
      <c r="L14" s="521"/>
      <c r="M14" s="979">
        <v>24.6</v>
      </c>
      <c r="N14" s="979">
        <v>12.3</v>
      </c>
      <c r="O14" s="521"/>
      <c r="P14" s="521"/>
      <c r="Q14" s="521"/>
      <c r="R14" s="725"/>
      <c r="S14" s="521"/>
      <c r="T14" s="667"/>
      <c r="U14" s="521"/>
      <c r="V14" s="521"/>
      <c r="W14" s="521"/>
      <c r="X14" s="521"/>
      <c r="Y14" s="725"/>
      <c r="Z14" s="521"/>
      <c r="AA14" s="667"/>
      <c r="AB14" s="520"/>
      <c r="AC14" s="521"/>
      <c r="AD14" s="521"/>
      <c r="AE14" s="521"/>
      <c r="AF14" s="725"/>
      <c r="AG14" s="521"/>
      <c r="AH14" s="734"/>
      <c r="AI14" s="991">
        <v>71.900000000000006</v>
      </c>
      <c r="AJ14" s="523">
        <v>339.27</v>
      </c>
      <c r="AK14" s="517">
        <v>411.16999999999996</v>
      </c>
      <c r="AL14" s="500">
        <v>1204.5</v>
      </c>
      <c r="AM14" s="517">
        <v>793.33</v>
      </c>
      <c r="AN14" s="523">
        <v>339.27</v>
      </c>
      <c r="AO14" s="517">
        <v>1132.5999999999999</v>
      </c>
      <c r="AP14" s="500">
        <v>1204.5</v>
      </c>
      <c r="AQ14" s="517">
        <v>71.900000000000091</v>
      </c>
    </row>
    <row r="15" spans="1:43" s="500" customFormat="1">
      <c r="A15" s="539" t="s">
        <v>2010</v>
      </c>
      <c r="B15" s="752" t="s">
        <v>2098</v>
      </c>
      <c r="C15" s="747" t="s">
        <v>2063</v>
      </c>
      <c r="D15" s="749"/>
      <c r="E15" s="966">
        <v>170</v>
      </c>
      <c r="F15" s="966">
        <v>170</v>
      </c>
      <c r="H15" s="979">
        <v>110</v>
      </c>
      <c r="I15" s="750"/>
      <c r="J15" s="750"/>
      <c r="K15" s="751"/>
      <c r="L15" s="750"/>
      <c r="M15" s="748"/>
      <c r="N15" s="750"/>
      <c r="O15" s="667"/>
      <c r="P15" s="750"/>
      <c r="Q15" s="667"/>
      <c r="R15" s="725"/>
      <c r="S15" s="750"/>
      <c r="T15" s="748"/>
      <c r="U15" s="750"/>
      <c r="V15" s="750"/>
      <c r="W15" s="750"/>
      <c r="X15" s="750"/>
      <c r="Y15" s="751"/>
      <c r="Z15" s="750"/>
      <c r="AA15" s="748"/>
      <c r="AB15" s="667"/>
      <c r="AC15" s="1018">
        <v>730</v>
      </c>
      <c r="AD15" s="750"/>
      <c r="AE15" s="750"/>
      <c r="AF15" s="751"/>
      <c r="AG15" s="750"/>
      <c r="AH15" s="1028">
        <v>762</v>
      </c>
      <c r="AI15" s="991">
        <v>1942</v>
      </c>
      <c r="AJ15" s="758"/>
      <c r="AK15" s="517"/>
      <c r="AM15" s="517"/>
    </row>
    <row r="16" spans="1:43" s="500" customFormat="1">
      <c r="A16" s="718" t="s">
        <v>2014</v>
      </c>
      <c r="B16" s="752" t="s">
        <v>2175</v>
      </c>
      <c r="C16" s="747" t="s">
        <v>2133</v>
      </c>
      <c r="D16" s="749"/>
      <c r="E16" s="748"/>
      <c r="F16" s="748"/>
      <c r="G16" s="748"/>
      <c r="H16" s="748"/>
      <c r="I16" s="750"/>
      <c r="J16" s="750"/>
      <c r="K16" s="751"/>
      <c r="L16" s="750"/>
      <c r="M16" s="748"/>
      <c r="N16" s="750"/>
      <c r="O16" s="985"/>
      <c r="P16" s="750"/>
      <c r="Q16" s="667"/>
      <c r="R16" s="725"/>
      <c r="S16" s="750"/>
      <c r="T16" s="748"/>
      <c r="U16" s="750"/>
      <c r="V16" s="750"/>
      <c r="W16" s="750"/>
      <c r="X16" s="750"/>
      <c r="Y16" s="751"/>
      <c r="Z16" s="750"/>
      <c r="AA16" s="748"/>
      <c r="AB16" s="667"/>
      <c r="AC16" s="1019">
        <v>150</v>
      </c>
      <c r="AD16" s="750"/>
      <c r="AE16" s="750"/>
      <c r="AF16" s="751"/>
      <c r="AG16" s="750"/>
      <c r="AH16" s="734"/>
      <c r="AI16" s="991">
        <v>150</v>
      </c>
      <c r="AJ16" s="758"/>
      <c r="AK16" s="517"/>
      <c r="AM16" s="517"/>
    </row>
    <row r="17" spans="1:39" s="500" customFormat="1">
      <c r="A17" s="718" t="s">
        <v>2016</v>
      </c>
      <c r="B17" s="752" t="s">
        <v>2176</v>
      </c>
      <c r="C17" s="747" t="s">
        <v>2174</v>
      </c>
      <c r="D17" s="749"/>
      <c r="E17" s="748"/>
      <c r="F17" s="748"/>
      <c r="G17" s="748"/>
      <c r="H17" s="748"/>
      <c r="I17" s="750"/>
      <c r="J17" s="750"/>
      <c r="K17" s="751"/>
      <c r="L17" s="750"/>
      <c r="M17" s="748"/>
      <c r="N17" s="750"/>
      <c r="O17" s="985"/>
      <c r="P17" s="750"/>
      <c r="Q17" s="667"/>
      <c r="R17" s="725"/>
      <c r="S17" s="750"/>
      <c r="T17" s="748"/>
      <c r="U17" s="750"/>
      <c r="V17" s="750"/>
      <c r="W17" s="750"/>
      <c r="X17" s="750"/>
      <c r="Y17" s="751"/>
      <c r="Z17" s="750"/>
      <c r="AA17" s="748"/>
      <c r="AB17" s="667"/>
      <c r="AC17" s="1019">
        <v>75</v>
      </c>
      <c r="AD17" s="750"/>
      <c r="AE17" s="750"/>
      <c r="AF17" s="751"/>
      <c r="AG17" s="750"/>
      <c r="AH17" s="734"/>
      <c r="AI17" s="991">
        <v>75</v>
      </c>
      <c r="AJ17" s="758"/>
      <c r="AK17" s="517"/>
      <c r="AM17" s="517"/>
    </row>
    <row r="18" spans="1:39" s="500" customFormat="1">
      <c r="A18" s="987" t="s">
        <v>2104</v>
      </c>
      <c r="B18" s="988" t="s">
        <v>1217</v>
      </c>
      <c r="C18" s="548"/>
      <c r="D18" s="749"/>
      <c r="E18" s="748"/>
      <c r="F18" s="748"/>
      <c r="G18" s="748"/>
      <c r="H18" s="748"/>
      <c r="I18" s="750"/>
      <c r="J18" s="750"/>
      <c r="K18" s="751"/>
      <c r="L18" s="750"/>
      <c r="M18" s="748"/>
      <c r="N18" s="750"/>
      <c r="O18" s="667"/>
      <c r="P18" s="750"/>
      <c r="Q18" s="667"/>
      <c r="R18" s="725"/>
      <c r="S18" s="750"/>
      <c r="T18" s="748"/>
      <c r="U18" s="750"/>
      <c r="V18" s="750"/>
      <c r="W18" s="750"/>
      <c r="X18" s="750"/>
      <c r="Y18" s="751"/>
      <c r="Z18" s="750"/>
      <c r="AA18" s="748"/>
      <c r="AB18" s="750"/>
      <c r="AC18" s="750"/>
      <c r="AD18" s="750"/>
      <c r="AE18" s="750"/>
      <c r="AF18" s="751"/>
      <c r="AG18" s="750"/>
      <c r="AH18" s="734"/>
      <c r="AI18" s="515">
        <v>0</v>
      </c>
      <c r="AJ18" s="758"/>
      <c r="AK18" s="517"/>
      <c r="AM18" s="517"/>
    </row>
    <row r="19" spans="1:39" s="500" customFormat="1">
      <c r="A19" s="879" t="s">
        <v>2106</v>
      </c>
      <c r="B19" s="752" t="s">
        <v>1949</v>
      </c>
      <c r="C19" s="548"/>
      <c r="D19" s="749"/>
      <c r="E19" s="748"/>
      <c r="F19" s="748"/>
      <c r="G19" s="748"/>
      <c r="H19" s="748"/>
      <c r="I19" s="750"/>
      <c r="K19" s="751"/>
      <c r="L19" s="750"/>
      <c r="M19" s="748"/>
      <c r="N19" s="750"/>
      <c r="O19" s="667"/>
      <c r="P19" s="750"/>
      <c r="Q19" s="667"/>
      <c r="R19" s="725"/>
      <c r="S19" s="750"/>
      <c r="T19" s="748"/>
      <c r="U19" s="750"/>
      <c r="V19" s="750"/>
      <c r="W19" s="750"/>
      <c r="X19" s="750"/>
      <c r="Y19" s="751"/>
      <c r="Z19" s="750"/>
      <c r="AA19" s="748"/>
      <c r="AB19" s="750"/>
      <c r="AC19" s="750"/>
      <c r="AD19" s="750"/>
      <c r="AE19" s="750"/>
      <c r="AF19" s="751"/>
      <c r="AG19" s="750"/>
      <c r="AH19" s="734"/>
      <c r="AI19" s="515">
        <v>0</v>
      </c>
      <c r="AJ19" s="758"/>
      <c r="AK19" s="517"/>
      <c r="AM19" s="517"/>
    </row>
    <row r="20" spans="1:39" s="500" customFormat="1">
      <c r="A20" s="879" t="s">
        <v>2107</v>
      </c>
      <c r="B20" s="539" t="s">
        <v>1203</v>
      </c>
      <c r="C20" s="548" t="s">
        <v>37</v>
      </c>
      <c r="D20" s="749"/>
      <c r="E20" s="958"/>
      <c r="F20" s="748"/>
      <c r="G20" s="748"/>
      <c r="H20" s="748"/>
      <c r="I20" s="986">
        <v>9.3000000000000007</v>
      </c>
      <c r="J20" s="750"/>
      <c r="K20" s="751"/>
      <c r="L20" s="750"/>
      <c r="M20" s="748"/>
      <c r="N20" s="750"/>
      <c r="O20" s="667"/>
      <c r="P20" s="750"/>
      <c r="Q20" s="1008">
        <v>12.6</v>
      </c>
      <c r="R20" s="725"/>
      <c r="S20" s="959"/>
      <c r="T20" s="748"/>
      <c r="U20" s="750"/>
      <c r="V20" s="750"/>
      <c r="W20" s="750"/>
      <c r="X20" s="750"/>
      <c r="Y20" s="751"/>
      <c r="Z20" s="970">
        <v>5.8500000000000005</v>
      </c>
      <c r="AA20" s="748"/>
      <c r="AB20" s="750"/>
      <c r="AC20" s="750"/>
      <c r="AD20" s="750"/>
      <c r="AE20" s="750"/>
      <c r="AF20" s="751"/>
      <c r="AG20" s="750"/>
      <c r="AH20" s="734"/>
      <c r="AI20" s="991">
        <v>27.75</v>
      </c>
      <c r="AJ20" s="758"/>
      <c r="AK20" s="517"/>
      <c r="AM20" s="517"/>
    </row>
    <row r="21" spans="1:39" s="500" customFormat="1">
      <c r="A21" s="879" t="s">
        <v>2167</v>
      </c>
      <c r="B21" s="752" t="s">
        <v>1950</v>
      </c>
      <c r="C21" s="548" t="s">
        <v>40</v>
      </c>
      <c r="D21" s="749"/>
      <c r="E21" s="958"/>
      <c r="F21" s="748"/>
      <c r="G21" s="748"/>
      <c r="H21" s="748"/>
      <c r="I21" s="750"/>
      <c r="J21" s="970">
        <v>4.5</v>
      </c>
      <c r="K21" s="751"/>
      <c r="L21" s="750"/>
      <c r="M21" s="748"/>
      <c r="N21" s="750"/>
      <c r="O21" s="667"/>
      <c r="P21" s="750"/>
      <c r="Q21" s="667"/>
      <c r="R21" s="725"/>
      <c r="S21" s="959"/>
      <c r="T21" s="748"/>
      <c r="U21" s="750"/>
      <c r="V21" s="750"/>
      <c r="W21" s="750"/>
      <c r="X21" s="750"/>
      <c r="Y21" s="751"/>
      <c r="Z21" s="750"/>
      <c r="AA21" s="748"/>
      <c r="AB21" s="750"/>
      <c r="AC21" s="750"/>
      <c r="AD21" s="750"/>
      <c r="AE21" s="750"/>
      <c r="AF21" s="751"/>
      <c r="AG21" s="750"/>
      <c r="AH21" s="734"/>
      <c r="AI21" s="991">
        <v>10.85</v>
      </c>
      <c r="AJ21" s="758"/>
      <c r="AK21" s="517"/>
      <c r="AM21" s="517"/>
    </row>
    <row r="22" spans="1:39" s="500" customFormat="1">
      <c r="A22" s="879" t="s">
        <v>2136</v>
      </c>
      <c r="B22" s="752" t="s">
        <v>1994</v>
      </c>
      <c r="C22" s="548"/>
      <c r="D22" s="749"/>
      <c r="E22" s="958"/>
      <c r="F22" s="748"/>
      <c r="G22" s="748"/>
      <c r="H22" s="748"/>
      <c r="I22" s="750"/>
      <c r="J22" s="750"/>
      <c r="K22" s="751"/>
      <c r="L22" s="750"/>
      <c r="M22" s="748"/>
      <c r="N22" s="750"/>
      <c r="O22" s="667"/>
      <c r="P22" s="750"/>
      <c r="Q22" s="667"/>
      <c r="R22" s="725"/>
      <c r="S22" s="959"/>
      <c r="T22" s="748"/>
      <c r="U22" s="750"/>
      <c r="V22" s="750"/>
      <c r="W22" s="750"/>
      <c r="X22" s="750"/>
      <c r="Y22" s="751"/>
      <c r="Z22" s="750"/>
      <c r="AA22" s="748"/>
      <c r="AB22" s="750"/>
      <c r="AC22" s="750"/>
      <c r="AD22" s="750"/>
      <c r="AE22" s="750"/>
      <c r="AF22" s="751"/>
      <c r="AG22" s="750"/>
      <c r="AH22" s="734"/>
      <c r="AI22" s="515">
        <v>0</v>
      </c>
      <c r="AJ22" s="758"/>
      <c r="AK22" s="517"/>
      <c r="AM22" s="517"/>
    </row>
    <row r="23" spans="1:39" s="500" customFormat="1">
      <c r="A23" s="879" t="s">
        <v>2149</v>
      </c>
      <c r="B23" s="539" t="s">
        <v>2137</v>
      </c>
      <c r="C23" s="548" t="s">
        <v>40</v>
      </c>
      <c r="D23" s="749"/>
      <c r="E23" s="1012">
        <v>2.0445000000000002</v>
      </c>
      <c r="F23" s="748"/>
      <c r="G23" s="748"/>
      <c r="H23" s="748"/>
      <c r="I23" s="750"/>
      <c r="J23" s="750"/>
      <c r="K23" s="751"/>
      <c r="L23" s="750"/>
      <c r="M23" s="748"/>
      <c r="N23" s="750"/>
      <c r="O23" s="667"/>
      <c r="P23" s="750"/>
      <c r="Q23" s="667"/>
      <c r="R23" s="725"/>
      <c r="S23" s="959"/>
      <c r="T23" s="1010">
        <v>3.8759999999999999</v>
      </c>
      <c r="U23" s="970">
        <v>6.3479999999999999</v>
      </c>
      <c r="V23" s="970">
        <v>2.9069999999999996</v>
      </c>
      <c r="W23" s="667"/>
      <c r="X23" s="750"/>
      <c r="Y23" s="751"/>
      <c r="Z23" s="750"/>
      <c r="AA23" s="748"/>
      <c r="AB23" s="750"/>
      <c r="AC23" s="1019">
        <v>2.964</v>
      </c>
      <c r="AD23" s="750"/>
      <c r="AE23" s="521"/>
      <c r="AF23" s="725"/>
      <c r="AG23" s="1022">
        <v>2.5649999999999995</v>
      </c>
      <c r="AH23" s="734"/>
      <c r="AI23" s="991">
        <v>14.36</v>
      </c>
      <c r="AJ23" s="758"/>
      <c r="AK23" s="517"/>
      <c r="AM23" s="517"/>
    </row>
    <row r="24" spans="1:39" s="500" customFormat="1">
      <c r="A24" s="879" t="s">
        <v>2150</v>
      </c>
      <c r="B24" s="539" t="s">
        <v>2138</v>
      </c>
      <c r="C24" s="548" t="s">
        <v>37</v>
      </c>
      <c r="D24" s="749"/>
      <c r="E24" s="958"/>
      <c r="F24" s="748"/>
      <c r="G24" s="748"/>
      <c r="H24" s="748"/>
      <c r="I24" s="750"/>
      <c r="J24" s="750"/>
      <c r="K24" s="751"/>
      <c r="L24" s="750"/>
      <c r="M24" s="748"/>
      <c r="N24" s="750"/>
      <c r="O24" s="667"/>
      <c r="P24" s="750"/>
      <c r="Q24" s="667"/>
      <c r="R24" s="725"/>
      <c r="S24" s="959"/>
      <c r="T24" s="748"/>
      <c r="U24" s="970">
        <v>10.58</v>
      </c>
      <c r="V24" s="970">
        <v>38.76</v>
      </c>
      <c r="W24" s="667"/>
      <c r="X24" s="750"/>
      <c r="Y24" s="751"/>
      <c r="Z24" s="750"/>
      <c r="AA24" s="748"/>
      <c r="AB24" s="750"/>
      <c r="AC24" s="750"/>
      <c r="AD24" s="750"/>
      <c r="AE24" s="667"/>
      <c r="AF24" s="725"/>
      <c r="AG24" s="1018">
        <v>34.199999999999996</v>
      </c>
      <c r="AH24" s="734"/>
      <c r="AI24" s="991">
        <v>83.539999999999992</v>
      </c>
      <c r="AJ24" s="758"/>
      <c r="AK24" s="517"/>
      <c r="AM24" s="517"/>
    </row>
    <row r="25" spans="1:39" s="500" customFormat="1">
      <c r="A25" s="879" t="s">
        <v>2151</v>
      </c>
      <c r="B25" s="539" t="s">
        <v>2139</v>
      </c>
      <c r="C25" s="548" t="s">
        <v>1938</v>
      </c>
      <c r="D25" s="749"/>
      <c r="E25" s="958"/>
      <c r="F25" s="748"/>
      <c r="G25" s="748"/>
      <c r="H25" s="748"/>
      <c r="I25" s="750"/>
      <c r="J25" s="750"/>
      <c r="K25" s="751"/>
      <c r="L25" s="750"/>
      <c r="M25" s="748"/>
      <c r="N25" s="750"/>
      <c r="O25" s="667"/>
      <c r="P25" s="750"/>
      <c r="Q25" s="1008">
        <v>228.78</v>
      </c>
      <c r="R25" s="725"/>
      <c r="S25" s="1009">
        <v>893.16</v>
      </c>
      <c r="T25" s="1010">
        <v>274.72500000000002</v>
      </c>
      <c r="U25" s="970">
        <v>240.57</v>
      </c>
      <c r="V25" s="750"/>
      <c r="W25" s="750"/>
      <c r="X25" s="750"/>
      <c r="Y25" s="751"/>
      <c r="Z25" s="750"/>
      <c r="AA25" s="966">
        <v>356.4</v>
      </c>
      <c r="AB25" s="1019">
        <v>162.85499999999999</v>
      </c>
      <c r="AC25" s="750"/>
      <c r="AD25" s="1019">
        <v>142.56</v>
      </c>
      <c r="AE25" s="521"/>
      <c r="AF25" s="725"/>
      <c r="AG25" s="521"/>
      <c r="AH25" s="734"/>
      <c r="AI25" s="991">
        <v>2299.0499999999997</v>
      </c>
      <c r="AJ25" s="758"/>
      <c r="AK25" s="517"/>
      <c r="AM25" s="517"/>
    </row>
    <row r="26" spans="1:39" s="500" customFormat="1">
      <c r="A26" s="987" t="s">
        <v>2105</v>
      </c>
      <c r="B26" s="988" t="s">
        <v>2097</v>
      </c>
      <c r="C26" s="548"/>
      <c r="D26" s="749"/>
      <c r="E26" s="748"/>
      <c r="F26" s="748"/>
      <c r="G26" s="748"/>
      <c r="H26" s="748"/>
      <c r="I26" s="750"/>
      <c r="J26" s="750"/>
      <c r="K26" s="751"/>
      <c r="L26" s="750"/>
      <c r="M26" s="748"/>
      <c r="N26" s="750"/>
      <c r="O26" s="667"/>
      <c r="P26" s="750"/>
      <c r="Q26" s="667"/>
      <c r="R26" s="725"/>
      <c r="S26" s="750"/>
      <c r="T26" s="748"/>
      <c r="U26" s="750"/>
      <c r="V26" s="750"/>
      <c r="W26" s="750"/>
      <c r="X26" s="750"/>
      <c r="Y26" s="751"/>
      <c r="Z26" s="750"/>
      <c r="AA26" s="748"/>
      <c r="AB26" s="750"/>
      <c r="AC26" s="750"/>
      <c r="AD26" s="750"/>
      <c r="AE26" s="750"/>
      <c r="AF26" s="751"/>
      <c r="AG26" s="750"/>
      <c r="AH26" s="734"/>
      <c r="AI26" s="515">
        <v>0</v>
      </c>
      <c r="AJ26" s="758"/>
      <c r="AK26" s="517"/>
      <c r="AM26" s="517"/>
    </row>
    <row r="27" spans="1:39" s="500" customFormat="1">
      <c r="A27" s="879" t="s">
        <v>2108</v>
      </c>
      <c r="B27" s="752" t="s">
        <v>2101</v>
      </c>
      <c r="C27" s="548" t="s">
        <v>58</v>
      </c>
      <c r="D27" s="749"/>
      <c r="E27" s="748"/>
      <c r="F27" s="748"/>
      <c r="G27" s="748"/>
      <c r="H27" s="748"/>
      <c r="I27" s="750"/>
      <c r="J27" s="750"/>
      <c r="K27" s="751"/>
      <c r="L27" s="750"/>
      <c r="M27" s="748"/>
      <c r="N27" s="750"/>
      <c r="O27" s="667"/>
      <c r="P27" s="750"/>
      <c r="Q27" s="667"/>
      <c r="R27" s="725"/>
      <c r="S27" s="750"/>
      <c r="T27" s="1010">
        <v>12.25</v>
      </c>
      <c r="V27" s="750"/>
      <c r="W27" s="750"/>
      <c r="X27" s="750"/>
      <c r="Y27" s="751"/>
      <c r="Z27" s="750"/>
      <c r="AA27" s="748"/>
      <c r="AB27" s="750"/>
      <c r="AC27" s="750"/>
      <c r="AD27" s="750"/>
      <c r="AE27" s="750"/>
      <c r="AF27" s="751"/>
      <c r="AG27" s="750"/>
      <c r="AH27" s="750"/>
      <c r="AI27" s="991">
        <v>12.25</v>
      </c>
      <c r="AJ27" s="758"/>
      <c r="AK27" s="517"/>
      <c r="AM27" s="517"/>
    </row>
    <row r="28" spans="1:39" s="500" customFormat="1">
      <c r="A28" s="1029" t="s">
        <v>2164</v>
      </c>
      <c r="B28" s="752" t="s">
        <v>2165</v>
      </c>
      <c r="C28" s="548" t="s">
        <v>58</v>
      </c>
      <c r="D28" s="749"/>
      <c r="E28" s="748"/>
      <c r="F28" s="966">
        <v>9.2999999999999989</v>
      </c>
      <c r="G28" s="966">
        <v>18.899999999999999</v>
      </c>
      <c r="H28" s="748"/>
      <c r="I28" s="750"/>
      <c r="J28" s="750"/>
      <c r="K28" s="751"/>
      <c r="L28" s="750"/>
      <c r="M28" s="748"/>
      <c r="N28" s="750"/>
      <c r="O28" s="667"/>
      <c r="P28" s="750"/>
      <c r="Q28" s="667"/>
      <c r="R28" s="725"/>
      <c r="S28" s="750"/>
      <c r="T28" s="748"/>
      <c r="U28" s="750"/>
      <c r="V28" s="750"/>
      <c r="W28" s="750"/>
      <c r="X28" s="750"/>
      <c r="Y28" s="751"/>
      <c r="Z28" s="750"/>
      <c r="AA28" s="748"/>
      <c r="AB28" s="750"/>
      <c r="AC28" s="750"/>
      <c r="AD28" s="750"/>
      <c r="AE28" s="750"/>
      <c r="AF28" s="751"/>
      <c r="AG28" s="750"/>
      <c r="AH28" s="750"/>
      <c r="AI28" s="991">
        <v>28.199999999999996</v>
      </c>
      <c r="AJ28" s="758"/>
      <c r="AK28" s="517"/>
      <c r="AM28" s="517"/>
    </row>
    <row r="29" spans="1:39" s="500" customFormat="1">
      <c r="A29" s="1029" t="s">
        <v>2166</v>
      </c>
      <c r="B29" s="752" t="s">
        <v>2168</v>
      </c>
      <c r="C29" s="548" t="s">
        <v>58</v>
      </c>
      <c r="D29" s="749"/>
      <c r="E29" s="748"/>
      <c r="F29" s="748"/>
      <c r="G29" s="1013">
        <v>21.763612000000002</v>
      </c>
      <c r="H29" s="966">
        <v>1.1154000000000002</v>
      </c>
      <c r="I29" s="750"/>
      <c r="J29" s="750"/>
      <c r="K29" s="751"/>
      <c r="L29" s="750"/>
      <c r="M29" s="748"/>
      <c r="N29" s="750"/>
      <c r="O29" s="667"/>
      <c r="P29" s="750"/>
      <c r="Q29" s="667"/>
      <c r="R29" s="725"/>
      <c r="S29" s="1005">
        <v>6.0047337000000001</v>
      </c>
      <c r="T29" s="748"/>
      <c r="U29" s="750"/>
      <c r="V29" s="750"/>
      <c r="W29" s="750"/>
      <c r="X29" s="750"/>
      <c r="Y29" s="751"/>
      <c r="Z29" s="970">
        <v>5.3580000000000005</v>
      </c>
      <c r="AA29" s="748"/>
      <c r="AB29" s="750"/>
      <c r="AC29" s="750"/>
      <c r="AD29" s="750"/>
      <c r="AE29" s="750"/>
      <c r="AF29" s="751"/>
      <c r="AG29" s="750"/>
      <c r="AH29" s="750"/>
      <c r="AI29" s="991">
        <v>34.241745700000003</v>
      </c>
      <c r="AJ29" s="758"/>
      <c r="AK29" s="517"/>
      <c r="AM29" s="517"/>
    </row>
    <row r="30" spans="1:39" s="500" customFormat="1">
      <c r="A30" s="1029" t="s">
        <v>2177</v>
      </c>
      <c r="B30" s="752" t="s">
        <v>2178</v>
      </c>
      <c r="C30" s="548" t="s">
        <v>58</v>
      </c>
      <c r="D30" s="749"/>
      <c r="E30" s="748"/>
      <c r="F30" s="748"/>
      <c r="G30" s="1013">
        <v>21.763612000000002</v>
      </c>
      <c r="H30" s="966">
        <v>1.1154000000000002</v>
      </c>
      <c r="I30" s="750"/>
      <c r="J30" s="750"/>
      <c r="K30" s="751"/>
      <c r="L30" s="750"/>
      <c r="M30" s="748"/>
      <c r="N30" s="750"/>
      <c r="O30" s="667"/>
      <c r="P30" s="750"/>
      <c r="Q30" s="667"/>
      <c r="R30" s="725"/>
      <c r="S30" s="1005">
        <v>6.0047337000000001</v>
      </c>
      <c r="T30" s="748"/>
      <c r="U30" s="750"/>
      <c r="V30" s="750"/>
      <c r="W30" s="750"/>
      <c r="X30" s="750"/>
      <c r="Y30" s="751"/>
      <c r="Z30" s="970">
        <v>5.3580000000000005</v>
      </c>
      <c r="AA30" s="748"/>
      <c r="AB30" s="750"/>
      <c r="AC30" s="750"/>
      <c r="AD30" s="1019">
        <v>4.2</v>
      </c>
      <c r="AE30" s="750"/>
      <c r="AF30" s="751"/>
      <c r="AG30" s="750"/>
      <c r="AH30" s="750"/>
      <c r="AI30" s="991">
        <v>38.441745700000006</v>
      </c>
      <c r="AJ30" s="758"/>
      <c r="AK30" s="517"/>
      <c r="AM30" s="517"/>
    </row>
  </sheetData>
  <mergeCells count="10">
    <mergeCell ref="AJ8:AM8"/>
    <mergeCell ref="AN8:AQ8"/>
    <mergeCell ref="A9:A10"/>
    <mergeCell ref="B9:B10"/>
    <mergeCell ref="A1:X1"/>
    <mergeCell ref="A2:X2"/>
    <mergeCell ref="B4:L4"/>
    <mergeCell ref="B5:AA5"/>
    <mergeCell ref="Q7:V7"/>
    <mergeCell ref="W7:Z7"/>
  </mergeCells>
  <pageMargins left="0.7" right="0.7" top="0.75" bottom="0.75" header="0.3" footer="0.3"/>
  <pageSetup paperSize="9" scale="69" orientation="portrait"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002060"/>
  </sheetPr>
  <dimension ref="A1:AS873"/>
  <sheetViews>
    <sheetView workbookViewId="0">
      <selection sqref="A1:K1"/>
    </sheetView>
  </sheetViews>
  <sheetFormatPr baseColWidth="10" defaultColWidth="11.42578125" defaultRowHeight="12.75"/>
  <cols>
    <col min="1" max="1" width="14.42578125" style="552" customWidth="1"/>
    <col min="2" max="2" width="99.42578125" style="550" customWidth="1"/>
    <col min="3" max="4" width="7" style="498" customWidth="1"/>
    <col min="5" max="5" width="9.42578125" style="919" customWidth="1"/>
    <col min="6" max="11" width="7" style="498" customWidth="1"/>
    <col min="12" max="12" width="7" style="893" customWidth="1"/>
    <col min="13" max="18" width="7" style="499" customWidth="1"/>
    <col min="19" max="19" width="7" style="893" customWidth="1"/>
    <col min="20" max="22" width="7" style="499" customWidth="1"/>
    <col min="23" max="23" width="10.5703125" style="499" customWidth="1"/>
    <col min="24" max="24" width="9.42578125" style="499" customWidth="1"/>
    <col min="25" max="25" width="7" style="499" customWidth="1"/>
    <col min="26" max="26" width="10.42578125" style="893" customWidth="1"/>
    <col min="27" max="27" width="8.5703125" style="499" customWidth="1"/>
    <col min="28" max="28" width="7" style="499" customWidth="1"/>
    <col min="29" max="29" width="9.42578125" style="499" customWidth="1"/>
    <col min="30" max="30" width="7" style="499" customWidth="1"/>
    <col min="31" max="31" width="9.5703125" style="800" customWidth="1"/>
    <col min="32" max="32" width="7" style="499" customWidth="1"/>
    <col min="33" max="33" width="9.42578125" style="893" customWidth="1"/>
    <col min="34" max="34" width="9.42578125" style="499" customWidth="1"/>
    <col min="35" max="36" width="9.42578125" style="498" customWidth="1"/>
    <col min="37" max="37" width="11.42578125" style="498"/>
    <col min="38" max="38" width="14.42578125" style="498" customWidth="1"/>
    <col min="39" max="256" width="11.42578125" style="498"/>
    <col min="257" max="257" width="6.42578125" style="498" customWidth="1"/>
    <col min="258" max="258" width="47.5703125" style="498" customWidth="1"/>
    <col min="259" max="260" width="5" style="498" customWidth="1"/>
    <col min="261" max="261" width="5.42578125" style="498" customWidth="1"/>
    <col min="262" max="262" width="4.5703125" style="498" customWidth="1"/>
    <col min="263" max="264" width="4.42578125" style="498" customWidth="1"/>
    <col min="265" max="265" width="3.5703125" style="498" customWidth="1"/>
    <col min="266" max="266" width="5" style="498" customWidth="1"/>
    <col min="267" max="267" width="4" style="498" customWidth="1"/>
    <col min="268" max="269" width="4.5703125" style="498" customWidth="1"/>
    <col min="270" max="270" width="4.42578125" style="498" customWidth="1"/>
    <col min="271" max="271" width="4" style="498" customWidth="1"/>
    <col min="272" max="272" width="3.5703125" style="498" customWidth="1"/>
    <col min="273" max="274" width="4.5703125" style="498" customWidth="1"/>
    <col min="275" max="275" width="4" style="498" customWidth="1"/>
    <col min="276" max="277" width="4.42578125" style="498" customWidth="1"/>
    <col min="278" max="278" width="3.5703125" style="498" customWidth="1"/>
    <col min="279" max="279" width="4.42578125" style="498" customWidth="1"/>
    <col min="280" max="280" width="5.5703125" style="498" customWidth="1"/>
    <col min="281" max="281" width="3.5703125" style="498" customWidth="1"/>
    <col min="282" max="282" width="4" style="498" customWidth="1"/>
    <col min="283" max="283" width="4.5703125" style="498" customWidth="1"/>
    <col min="284" max="286" width="4.42578125" style="498" customWidth="1"/>
    <col min="287" max="288" width="4.5703125" style="498" customWidth="1"/>
    <col min="289" max="289" width="4" style="498" customWidth="1"/>
    <col min="290" max="290" width="4.5703125" style="498" customWidth="1"/>
    <col min="291" max="291" width="6" style="498" customWidth="1"/>
    <col min="292" max="292" width="8.5703125" style="498" customWidth="1"/>
    <col min="293" max="512" width="11.42578125" style="498"/>
    <col min="513" max="513" width="6.42578125" style="498" customWidth="1"/>
    <col min="514" max="514" width="47.5703125" style="498" customWidth="1"/>
    <col min="515" max="516" width="5" style="498" customWidth="1"/>
    <col min="517" max="517" width="5.42578125" style="498" customWidth="1"/>
    <col min="518" max="518" width="4.5703125" style="498" customWidth="1"/>
    <col min="519" max="520" width="4.42578125" style="498" customWidth="1"/>
    <col min="521" max="521" width="3.5703125" style="498" customWidth="1"/>
    <col min="522" max="522" width="5" style="498" customWidth="1"/>
    <col min="523" max="523" width="4" style="498" customWidth="1"/>
    <col min="524" max="525" width="4.5703125" style="498" customWidth="1"/>
    <col min="526" max="526" width="4.42578125" style="498" customWidth="1"/>
    <col min="527" max="527" width="4" style="498" customWidth="1"/>
    <col min="528" max="528" width="3.5703125" style="498" customWidth="1"/>
    <col min="529" max="530" width="4.5703125" style="498" customWidth="1"/>
    <col min="531" max="531" width="4" style="498" customWidth="1"/>
    <col min="532" max="533" width="4.42578125" style="498" customWidth="1"/>
    <col min="534" max="534" width="3.5703125" style="498" customWidth="1"/>
    <col min="535" max="535" width="4.42578125" style="498" customWidth="1"/>
    <col min="536" max="536" width="5.5703125" style="498" customWidth="1"/>
    <col min="537" max="537" width="3.5703125" style="498" customWidth="1"/>
    <col min="538" max="538" width="4" style="498" customWidth="1"/>
    <col min="539" max="539" width="4.5703125" style="498" customWidth="1"/>
    <col min="540" max="542" width="4.42578125" style="498" customWidth="1"/>
    <col min="543" max="544" width="4.5703125" style="498" customWidth="1"/>
    <col min="545" max="545" width="4" style="498" customWidth="1"/>
    <col min="546" max="546" width="4.5703125" style="498" customWidth="1"/>
    <col min="547" max="547" width="6" style="498" customWidth="1"/>
    <col min="548" max="548" width="8.5703125" style="498" customWidth="1"/>
    <col min="549" max="768" width="11.42578125" style="498"/>
    <col min="769" max="769" width="6.42578125" style="498" customWidth="1"/>
    <col min="770" max="770" width="47.5703125" style="498" customWidth="1"/>
    <col min="771" max="772" width="5" style="498" customWidth="1"/>
    <col min="773" max="773" width="5.42578125" style="498" customWidth="1"/>
    <col min="774" max="774" width="4.5703125" style="498" customWidth="1"/>
    <col min="775" max="776" width="4.42578125" style="498" customWidth="1"/>
    <col min="777" max="777" width="3.5703125" style="498" customWidth="1"/>
    <col min="778" max="778" width="5" style="498" customWidth="1"/>
    <col min="779" max="779" width="4" style="498" customWidth="1"/>
    <col min="780" max="781" width="4.5703125" style="498" customWidth="1"/>
    <col min="782" max="782" width="4.42578125" style="498" customWidth="1"/>
    <col min="783" max="783" width="4" style="498" customWidth="1"/>
    <col min="784" max="784" width="3.5703125" style="498" customWidth="1"/>
    <col min="785" max="786" width="4.5703125" style="498" customWidth="1"/>
    <col min="787" max="787" width="4" style="498" customWidth="1"/>
    <col min="788" max="789" width="4.42578125" style="498" customWidth="1"/>
    <col min="790" max="790" width="3.5703125" style="498" customWidth="1"/>
    <col min="791" max="791" width="4.42578125" style="498" customWidth="1"/>
    <col min="792" max="792" width="5.5703125" style="498" customWidth="1"/>
    <col min="793" max="793" width="3.5703125" style="498" customWidth="1"/>
    <col min="794" max="794" width="4" style="498" customWidth="1"/>
    <col min="795" max="795" width="4.5703125" style="498" customWidth="1"/>
    <col min="796" max="798" width="4.42578125" style="498" customWidth="1"/>
    <col min="799" max="800" width="4.5703125" style="498" customWidth="1"/>
    <col min="801" max="801" width="4" style="498" customWidth="1"/>
    <col min="802" max="802" width="4.5703125" style="498" customWidth="1"/>
    <col min="803" max="803" width="6" style="498" customWidth="1"/>
    <col min="804" max="804" width="8.5703125" style="498" customWidth="1"/>
    <col min="805" max="1024" width="11.42578125" style="498"/>
    <col min="1025" max="1025" width="6.42578125" style="498" customWidth="1"/>
    <col min="1026" max="1026" width="47.5703125" style="498" customWidth="1"/>
    <col min="1027" max="1028" width="5" style="498" customWidth="1"/>
    <col min="1029" max="1029" width="5.42578125" style="498" customWidth="1"/>
    <col min="1030" max="1030" width="4.5703125" style="498" customWidth="1"/>
    <col min="1031" max="1032" width="4.42578125" style="498" customWidth="1"/>
    <col min="1033" max="1033" width="3.5703125" style="498" customWidth="1"/>
    <col min="1034" max="1034" width="5" style="498" customWidth="1"/>
    <col min="1035" max="1035" width="4" style="498" customWidth="1"/>
    <col min="1036" max="1037" width="4.5703125" style="498" customWidth="1"/>
    <col min="1038" max="1038" width="4.42578125" style="498" customWidth="1"/>
    <col min="1039" max="1039" width="4" style="498" customWidth="1"/>
    <col min="1040" max="1040" width="3.5703125" style="498" customWidth="1"/>
    <col min="1041" max="1042" width="4.5703125" style="498" customWidth="1"/>
    <col min="1043" max="1043" width="4" style="498" customWidth="1"/>
    <col min="1044" max="1045" width="4.42578125" style="498" customWidth="1"/>
    <col min="1046" max="1046" width="3.5703125" style="498" customWidth="1"/>
    <col min="1047" max="1047" width="4.42578125" style="498" customWidth="1"/>
    <col min="1048" max="1048" width="5.5703125" style="498" customWidth="1"/>
    <col min="1049" max="1049" width="3.5703125" style="498" customWidth="1"/>
    <col min="1050" max="1050" width="4" style="498" customWidth="1"/>
    <col min="1051" max="1051" width="4.5703125" style="498" customWidth="1"/>
    <col min="1052" max="1054" width="4.42578125" style="498" customWidth="1"/>
    <col min="1055" max="1056" width="4.5703125" style="498" customWidth="1"/>
    <col min="1057" max="1057" width="4" style="498" customWidth="1"/>
    <col min="1058" max="1058" width="4.5703125" style="498" customWidth="1"/>
    <col min="1059" max="1059" width="6" style="498" customWidth="1"/>
    <col min="1060" max="1060" width="8.5703125" style="498" customWidth="1"/>
    <col min="1061" max="1280" width="11.42578125" style="498"/>
    <col min="1281" max="1281" width="6.42578125" style="498" customWidth="1"/>
    <col min="1282" max="1282" width="47.5703125" style="498" customWidth="1"/>
    <col min="1283" max="1284" width="5" style="498" customWidth="1"/>
    <col min="1285" max="1285" width="5.42578125" style="498" customWidth="1"/>
    <col min="1286" max="1286" width="4.5703125" style="498" customWidth="1"/>
    <col min="1287" max="1288" width="4.42578125" style="498" customWidth="1"/>
    <col min="1289" max="1289" width="3.5703125" style="498" customWidth="1"/>
    <col min="1290" max="1290" width="5" style="498" customWidth="1"/>
    <col min="1291" max="1291" width="4" style="498" customWidth="1"/>
    <col min="1292" max="1293" width="4.5703125" style="498" customWidth="1"/>
    <col min="1294" max="1294" width="4.42578125" style="498" customWidth="1"/>
    <col min="1295" max="1295" width="4" style="498" customWidth="1"/>
    <col min="1296" max="1296" width="3.5703125" style="498" customWidth="1"/>
    <col min="1297" max="1298" width="4.5703125" style="498" customWidth="1"/>
    <col min="1299" max="1299" width="4" style="498" customWidth="1"/>
    <col min="1300" max="1301" width="4.42578125" style="498" customWidth="1"/>
    <col min="1302" max="1302" width="3.5703125" style="498" customWidth="1"/>
    <col min="1303" max="1303" width="4.42578125" style="498" customWidth="1"/>
    <col min="1304" max="1304" width="5.5703125" style="498" customWidth="1"/>
    <col min="1305" max="1305" width="3.5703125" style="498" customWidth="1"/>
    <col min="1306" max="1306" width="4" style="498" customWidth="1"/>
    <col min="1307" max="1307" width="4.5703125" style="498" customWidth="1"/>
    <col min="1308" max="1310" width="4.42578125" style="498" customWidth="1"/>
    <col min="1311" max="1312" width="4.5703125" style="498" customWidth="1"/>
    <col min="1313" max="1313" width="4" style="498" customWidth="1"/>
    <col min="1314" max="1314" width="4.5703125" style="498" customWidth="1"/>
    <col min="1315" max="1315" width="6" style="498" customWidth="1"/>
    <col min="1316" max="1316" width="8.5703125" style="498" customWidth="1"/>
    <col min="1317" max="1536" width="11.42578125" style="498"/>
    <col min="1537" max="1537" width="6.42578125" style="498" customWidth="1"/>
    <col min="1538" max="1538" width="47.5703125" style="498" customWidth="1"/>
    <col min="1539" max="1540" width="5" style="498" customWidth="1"/>
    <col min="1541" max="1541" width="5.42578125" style="498" customWidth="1"/>
    <col min="1542" max="1542" width="4.5703125" style="498" customWidth="1"/>
    <col min="1543" max="1544" width="4.42578125" style="498" customWidth="1"/>
    <col min="1545" max="1545" width="3.5703125" style="498" customWidth="1"/>
    <col min="1546" max="1546" width="5" style="498" customWidth="1"/>
    <col min="1547" max="1547" width="4" style="498" customWidth="1"/>
    <col min="1548" max="1549" width="4.5703125" style="498" customWidth="1"/>
    <col min="1550" max="1550" width="4.42578125" style="498" customWidth="1"/>
    <col min="1551" max="1551" width="4" style="498" customWidth="1"/>
    <col min="1552" max="1552" width="3.5703125" style="498" customWidth="1"/>
    <col min="1553" max="1554" width="4.5703125" style="498" customWidth="1"/>
    <col min="1555" max="1555" width="4" style="498" customWidth="1"/>
    <col min="1556" max="1557" width="4.42578125" style="498" customWidth="1"/>
    <col min="1558" max="1558" width="3.5703125" style="498" customWidth="1"/>
    <col min="1559" max="1559" width="4.42578125" style="498" customWidth="1"/>
    <col min="1560" max="1560" width="5.5703125" style="498" customWidth="1"/>
    <col min="1561" max="1561" width="3.5703125" style="498" customWidth="1"/>
    <col min="1562" max="1562" width="4" style="498" customWidth="1"/>
    <col min="1563" max="1563" width="4.5703125" style="498" customWidth="1"/>
    <col min="1564" max="1566" width="4.42578125" style="498" customWidth="1"/>
    <col min="1567" max="1568" width="4.5703125" style="498" customWidth="1"/>
    <col min="1569" max="1569" width="4" style="498" customWidth="1"/>
    <col min="1570" max="1570" width="4.5703125" style="498" customWidth="1"/>
    <col min="1571" max="1571" width="6" style="498" customWidth="1"/>
    <col min="1572" max="1572" width="8.5703125" style="498" customWidth="1"/>
    <col min="1573" max="1792" width="11.42578125" style="498"/>
    <col min="1793" max="1793" width="6.42578125" style="498" customWidth="1"/>
    <col min="1794" max="1794" width="47.5703125" style="498" customWidth="1"/>
    <col min="1795" max="1796" width="5" style="498" customWidth="1"/>
    <col min="1797" max="1797" width="5.42578125" style="498" customWidth="1"/>
    <col min="1798" max="1798" width="4.5703125" style="498" customWidth="1"/>
    <col min="1799" max="1800" width="4.42578125" style="498" customWidth="1"/>
    <col min="1801" max="1801" width="3.5703125" style="498" customWidth="1"/>
    <col min="1802" max="1802" width="5" style="498" customWidth="1"/>
    <col min="1803" max="1803" width="4" style="498" customWidth="1"/>
    <col min="1804" max="1805" width="4.5703125" style="498" customWidth="1"/>
    <col min="1806" max="1806" width="4.42578125" style="498" customWidth="1"/>
    <col min="1807" max="1807" width="4" style="498" customWidth="1"/>
    <col min="1808" max="1808" width="3.5703125" style="498" customWidth="1"/>
    <col min="1809" max="1810" width="4.5703125" style="498" customWidth="1"/>
    <col min="1811" max="1811" width="4" style="498" customWidth="1"/>
    <col min="1812" max="1813" width="4.42578125" style="498" customWidth="1"/>
    <col min="1814" max="1814" width="3.5703125" style="498" customWidth="1"/>
    <col min="1815" max="1815" width="4.42578125" style="498" customWidth="1"/>
    <col min="1816" max="1816" width="5.5703125" style="498" customWidth="1"/>
    <col min="1817" max="1817" width="3.5703125" style="498" customWidth="1"/>
    <col min="1818" max="1818" width="4" style="498" customWidth="1"/>
    <col min="1819" max="1819" width="4.5703125" style="498" customWidth="1"/>
    <col min="1820" max="1822" width="4.42578125" style="498" customWidth="1"/>
    <col min="1823" max="1824" width="4.5703125" style="498" customWidth="1"/>
    <col min="1825" max="1825" width="4" style="498" customWidth="1"/>
    <col min="1826" max="1826" width="4.5703125" style="498" customWidth="1"/>
    <col min="1827" max="1827" width="6" style="498" customWidth="1"/>
    <col min="1828" max="1828" width="8.5703125" style="498" customWidth="1"/>
    <col min="1829" max="2048" width="11.42578125" style="498"/>
    <col min="2049" max="2049" width="6.42578125" style="498" customWidth="1"/>
    <col min="2050" max="2050" width="47.5703125" style="498" customWidth="1"/>
    <col min="2051" max="2052" width="5" style="498" customWidth="1"/>
    <col min="2053" max="2053" width="5.42578125" style="498" customWidth="1"/>
    <col min="2054" max="2054" width="4.5703125" style="498" customWidth="1"/>
    <col min="2055" max="2056" width="4.42578125" style="498" customWidth="1"/>
    <col min="2057" max="2057" width="3.5703125" style="498" customWidth="1"/>
    <col min="2058" max="2058" width="5" style="498" customWidth="1"/>
    <col min="2059" max="2059" width="4" style="498" customWidth="1"/>
    <col min="2060" max="2061" width="4.5703125" style="498" customWidth="1"/>
    <col min="2062" max="2062" width="4.42578125" style="498" customWidth="1"/>
    <col min="2063" max="2063" width="4" style="498" customWidth="1"/>
    <col min="2064" max="2064" width="3.5703125" style="498" customWidth="1"/>
    <col min="2065" max="2066" width="4.5703125" style="498" customWidth="1"/>
    <col min="2067" max="2067" width="4" style="498" customWidth="1"/>
    <col min="2068" max="2069" width="4.42578125" style="498" customWidth="1"/>
    <col min="2070" max="2070" width="3.5703125" style="498" customWidth="1"/>
    <col min="2071" max="2071" width="4.42578125" style="498" customWidth="1"/>
    <col min="2072" max="2072" width="5.5703125" style="498" customWidth="1"/>
    <col min="2073" max="2073" width="3.5703125" style="498" customWidth="1"/>
    <col min="2074" max="2074" width="4" style="498" customWidth="1"/>
    <col min="2075" max="2075" width="4.5703125" style="498" customWidth="1"/>
    <col min="2076" max="2078" width="4.42578125" style="498" customWidth="1"/>
    <col min="2079" max="2080" width="4.5703125" style="498" customWidth="1"/>
    <col min="2081" max="2081" width="4" style="498" customWidth="1"/>
    <col min="2082" max="2082" width="4.5703125" style="498" customWidth="1"/>
    <col min="2083" max="2083" width="6" style="498" customWidth="1"/>
    <col min="2084" max="2084" width="8.5703125" style="498" customWidth="1"/>
    <col min="2085" max="2304" width="11.42578125" style="498"/>
    <col min="2305" max="2305" width="6.42578125" style="498" customWidth="1"/>
    <col min="2306" max="2306" width="47.5703125" style="498" customWidth="1"/>
    <col min="2307" max="2308" width="5" style="498" customWidth="1"/>
    <col min="2309" max="2309" width="5.42578125" style="498" customWidth="1"/>
    <col min="2310" max="2310" width="4.5703125" style="498" customWidth="1"/>
    <col min="2311" max="2312" width="4.42578125" style="498" customWidth="1"/>
    <col min="2313" max="2313" width="3.5703125" style="498" customWidth="1"/>
    <col min="2314" max="2314" width="5" style="498" customWidth="1"/>
    <col min="2315" max="2315" width="4" style="498" customWidth="1"/>
    <col min="2316" max="2317" width="4.5703125" style="498" customWidth="1"/>
    <col min="2318" max="2318" width="4.42578125" style="498" customWidth="1"/>
    <col min="2319" max="2319" width="4" style="498" customWidth="1"/>
    <col min="2320" max="2320" width="3.5703125" style="498" customWidth="1"/>
    <col min="2321" max="2322" width="4.5703125" style="498" customWidth="1"/>
    <col min="2323" max="2323" width="4" style="498" customWidth="1"/>
    <col min="2324" max="2325" width="4.42578125" style="498" customWidth="1"/>
    <col min="2326" max="2326" width="3.5703125" style="498" customWidth="1"/>
    <col min="2327" max="2327" width="4.42578125" style="498" customWidth="1"/>
    <col min="2328" max="2328" width="5.5703125" style="498" customWidth="1"/>
    <col min="2329" max="2329" width="3.5703125" style="498" customWidth="1"/>
    <col min="2330" max="2330" width="4" style="498" customWidth="1"/>
    <col min="2331" max="2331" width="4.5703125" style="498" customWidth="1"/>
    <col min="2332" max="2334" width="4.42578125" style="498" customWidth="1"/>
    <col min="2335" max="2336" width="4.5703125" style="498" customWidth="1"/>
    <col min="2337" max="2337" width="4" style="498" customWidth="1"/>
    <col min="2338" max="2338" width="4.5703125" style="498" customWidth="1"/>
    <col min="2339" max="2339" width="6" style="498" customWidth="1"/>
    <col min="2340" max="2340" width="8.5703125" style="498" customWidth="1"/>
    <col min="2341" max="2560" width="11.42578125" style="498"/>
    <col min="2561" max="2561" width="6.42578125" style="498" customWidth="1"/>
    <col min="2562" max="2562" width="47.5703125" style="498" customWidth="1"/>
    <col min="2563" max="2564" width="5" style="498" customWidth="1"/>
    <col min="2565" max="2565" width="5.42578125" style="498" customWidth="1"/>
    <col min="2566" max="2566" width="4.5703125" style="498" customWidth="1"/>
    <col min="2567" max="2568" width="4.42578125" style="498" customWidth="1"/>
    <col min="2569" max="2569" width="3.5703125" style="498" customWidth="1"/>
    <col min="2570" max="2570" width="5" style="498" customWidth="1"/>
    <col min="2571" max="2571" width="4" style="498" customWidth="1"/>
    <col min="2572" max="2573" width="4.5703125" style="498" customWidth="1"/>
    <col min="2574" max="2574" width="4.42578125" style="498" customWidth="1"/>
    <col min="2575" max="2575" width="4" style="498" customWidth="1"/>
    <col min="2576" max="2576" width="3.5703125" style="498" customWidth="1"/>
    <col min="2577" max="2578" width="4.5703125" style="498" customWidth="1"/>
    <col min="2579" max="2579" width="4" style="498" customWidth="1"/>
    <col min="2580" max="2581" width="4.42578125" style="498" customWidth="1"/>
    <col min="2582" max="2582" width="3.5703125" style="498" customWidth="1"/>
    <col min="2583" max="2583" width="4.42578125" style="498" customWidth="1"/>
    <col min="2584" max="2584" width="5.5703125" style="498" customWidth="1"/>
    <col min="2585" max="2585" width="3.5703125" style="498" customWidth="1"/>
    <col min="2586" max="2586" width="4" style="498" customWidth="1"/>
    <col min="2587" max="2587" width="4.5703125" style="498" customWidth="1"/>
    <col min="2588" max="2590" width="4.42578125" style="498" customWidth="1"/>
    <col min="2591" max="2592" width="4.5703125" style="498" customWidth="1"/>
    <col min="2593" max="2593" width="4" style="498" customWidth="1"/>
    <col min="2594" max="2594" width="4.5703125" style="498" customWidth="1"/>
    <col min="2595" max="2595" width="6" style="498" customWidth="1"/>
    <col min="2596" max="2596" width="8.5703125" style="498" customWidth="1"/>
    <col min="2597" max="2816" width="11.42578125" style="498"/>
    <col min="2817" max="2817" width="6.42578125" style="498" customWidth="1"/>
    <col min="2818" max="2818" width="47.5703125" style="498" customWidth="1"/>
    <col min="2819" max="2820" width="5" style="498" customWidth="1"/>
    <col min="2821" max="2821" width="5.42578125" style="498" customWidth="1"/>
    <col min="2822" max="2822" width="4.5703125" style="498" customWidth="1"/>
    <col min="2823" max="2824" width="4.42578125" style="498" customWidth="1"/>
    <col min="2825" max="2825" width="3.5703125" style="498" customWidth="1"/>
    <col min="2826" max="2826" width="5" style="498" customWidth="1"/>
    <col min="2827" max="2827" width="4" style="498" customWidth="1"/>
    <col min="2828" max="2829" width="4.5703125" style="498" customWidth="1"/>
    <col min="2830" max="2830" width="4.42578125" style="498" customWidth="1"/>
    <col min="2831" max="2831" width="4" style="498" customWidth="1"/>
    <col min="2832" max="2832" width="3.5703125" style="498" customWidth="1"/>
    <col min="2833" max="2834" width="4.5703125" style="498" customWidth="1"/>
    <col min="2835" max="2835" width="4" style="498" customWidth="1"/>
    <col min="2836" max="2837" width="4.42578125" style="498" customWidth="1"/>
    <col min="2838" max="2838" width="3.5703125" style="498" customWidth="1"/>
    <col min="2839" max="2839" width="4.42578125" style="498" customWidth="1"/>
    <col min="2840" max="2840" width="5.5703125" style="498" customWidth="1"/>
    <col min="2841" max="2841" width="3.5703125" style="498" customWidth="1"/>
    <col min="2842" max="2842" width="4" style="498" customWidth="1"/>
    <col min="2843" max="2843" width="4.5703125" style="498" customWidth="1"/>
    <col min="2844" max="2846" width="4.42578125" style="498" customWidth="1"/>
    <col min="2847" max="2848" width="4.5703125" style="498" customWidth="1"/>
    <col min="2849" max="2849" width="4" style="498" customWidth="1"/>
    <col min="2850" max="2850" width="4.5703125" style="498" customWidth="1"/>
    <col min="2851" max="2851" width="6" style="498" customWidth="1"/>
    <col min="2852" max="2852" width="8.5703125" style="498" customWidth="1"/>
    <col min="2853" max="3072" width="11.42578125" style="498"/>
    <col min="3073" max="3073" width="6.42578125" style="498" customWidth="1"/>
    <col min="3074" max="3074" width="47.5703125" style="498" customWidth="1"/>
    <col min="3075" max="3076" width="5" style="498" customWidth="1"/>
    <col min="3077" max="3077" width="5.42578125" style="498" customWidth="1"/>
    <col min="3078" max="3078" width="4.5703125" style="498" customWidth="1"/>
    <col min="3079" max="3080" width="4.42578125" style="498" customWidth="1"/>
    <col min="3081" max="3081" width="3.5703125" style="498" customWidth="1"/>
    <col min="3082" max="3082" width="5" style="498" customWidth="1"/>
    <col min="3083" max="3083" width="4" style="498" customWidth="1"/>
    <col min="3084" max="3085" width="4.5703125" style="498" customWidth="1"/>
    <col min="3086" max="3086" width="4.42578125" style="498" customWidth="1"/>
    <col min="3087" max="3087" width="4" style="498" customWidth="1"/>
    <col min="3088" max="3088" width="3.5703125" style="498" customWidth="1"/>
    <col min="3089" max="3090" width="4.5703125" style="498" customWidth="1"/>
    <col min="3091" max="3091" width="4" style="498" customWidth="1"/>
    <col min="3092" max="3093" width="4.42578125" style="498" customWidth="1"/>
    <col min="3094" max="3094" width="3.5703125" style="498" customWidth="1"/>
    <col min="3095" max="3095" width="4.42578125" style="498" customWidth="1"/>
    <col min="3096" max="3096" width="5.5703125" style="498" customWidth="1"/>
    <col min="3097" max="3097" width="3.5703125" style="498" customWidth="1"/>
    <col min="3098" max="3098" width="4" style="498" customWidth="1"/>
    <col min="3099" max="3099" width="4.5703125" style="498" customWidth="1"/>
    <col min="3100" max="3102" width="4.42578125" style="498" customWidth="1"/>
    <col min="3103" max="3104" width="4.5703125" style="498" customWidth="1"/>
    <col min="3105" max="3105" width="4" style="498" customWidth="1"/>
    <col min="3106" max="3106" width="4.5703125" style="498" customWidth="1"/>
    <col min="3107" max="3107" width="6" style="498" customWidth="1"/>
    <col min="3108" max="3108" width="8.5703125" style="498" customWidth="1"/>
    <col min="3109" max="3328" width="11.42578125" style="498"/>
    <col min="3329" max="3329" width="6.42578125" style="498" customWidth="1"/>
    <col min="3330" max="3330" width="47.5703125" style="498" customWidth="1"/>
    <col min="3331" max="3332" width="5" style="498" customWidth="1"/>
    <col min="3333" max="3333" width="5.42578125" style="498" customWidth="1"/>
    <col min="3334" max="3334" width="4.5703125" style="498" customWidth="1"/>
    <col min="3335" max="3336" width="4.42578125" style="498" customWidth="1"/>
    <col min="3337" max="3337" width="3.5703125" style="498" customWidth="1"/>
    <col min="3338" max="3338" width="5" style="498" customWidth="1"/>
    <col min="3339" max="3339" width="4" style="498" customWidth="1"/>
    <col min="3340" max="3341" width="4.5703125" style="498" customWidth="1"/>
    <col min="3342" max="3342" width="4.42578125" style="498" customWidth="1"/>
    <col min="3343" max="3343" width="4" style="498" customWidth="1"/>
    <col min="3344" max="3344" width="3.5703125" style="498" customWidth="1"/>
    <col min="3345" max="3346" width="4.5703125" style="498" customWidth="1"/>
    <col min="3347" max="3347" width="4" style="498" customWidth="1"/>
    <col min="3348" max="3349" width="4.42578125" style="498" customWidth="1"/>
    <col min="3350" max="3350" width="3.5703125" style="498" customWidth="1"/>
    <col min="3351" max="3351" width="4.42578125" style="498" customWidth="1"/>
    <col min="3352" max="3352" width="5.5703125" style="498" customWidth="1"/>
    <col min="3353" max="3353" width="3.5703125" style="498" customWidth="1"/>
    <col min="3354" max="3354" width="4" style="498" customWidth="1"/>
    <col min="3355" max="3355" width="4.5703125" style="498" customWidth="1"/>
    <col min="3356" max="3358" width="4.42578125" style="498" customWidth="1"/>
    <col min="3359" max="3360" width="4.5703125" style="498" customWidth="1"/>
    <col min="3361" max="3361" width="4" style="498" customWidth="1"/>
    <col min="3362" max="3362" width="4.5703125" style="498" customWidth="1"/>
    <col min="3363" max="3363" width="6" style="498" customWidth="1"/>
    <col min="3364" max="3364" width="8.5703125" style="498" customWidth="1"/>
    <col min="3365" max="3584" width="11.42578125" style="498"/>
    <col min="3585" max="3585" width="6.42578125" style="498" customWidth="1"/>
    <col min="3586" max="3586" width="47.5703125" style="498" customWidth="1"/>
    <col min="3587" max="3588" width="5" style="498" customWidth="1"/>
    <col min="3589" max="3589" width="5.42578125" style="498" customWidth="1"/>
    <col min="3590" max="3590" width="4.5703125" style="498" customWidth="1"/>
    <col min="3591" max="3592" width="4.42578125" style="498" customWidth="1"/>
    <col min="3593" max="3593" width="3.5703125" style="498" customWidth="1"/>
    <col min="3594" max="3594" width="5" style="498" customWidth="1"/>
    <col min="3595" max="3595" width="4" style="498" customWidth="1"/>
    <col min="3596" max="3597" width="4.5703125" style="498" customWidth="1"/>
    <col min="3598" max="3598" width="4.42578125" style="498" customWidth="1"/>
    <col min="3599" max="3599" width="4" style="498" customWidth="1"/>
    <col min="3600" max="3600" width="3.5703125" style="498" customWidth="1"/>
    <col min="3601" max="3602" width="4.5703125" style="498" customWidth="1"/>
    <col min="3603" max="3603" width="4" style="498" customWidth="1"/>
    <col min="3604" max="3605" width="4.42578125" style="498" customWidth="1"/>
    <col min="3606" max="3606" width="3.5703125" style="498" customWidth="1"/>
    <col min="3607" max="3607" width="4.42578125" style="498" customWidth="1"/>
    <col min="3608" max="3608" width="5.5703125" style="498" customWidth="1"/>
    <col min="3609" max="3609" width="3.5703125" style="498" customWidth="1"/>
    <col min="3610" max="3610" width="4" style="498" customWidth="1"/>
    <col min="3611" max="3611" width="4.5703125" style="498" customWidth="1"/>
    <col min="3612" max="3614" width="4.42578125" style="498" customWidth="1"/>
    <col min="3615" max="3616" width="4.5703125" style="498" customWidth="1"/>
    <col min="3617" max="3617" width="4" style="498" customWidth="1"/>
    <col min="3618" max="3618" width="4.5703125" style="498" customWidth="1"/>
    <col min="3619" max="3619" width="6" style="498" customWidth="1"/>
    <col min="3620" max="3620" width="8.5703125" style="498" customWidth="1"/>
    <col min="3621" max="3840" width="11.42578125" style="498"/>
    <col min="3841" max="3841" width="6.42578125" style="498" customWidth="1"/>
    <col min="3842" max="3842" width="47.5703125" style="498" customWidth="1"/>
    <col min="3843" max="3844" width="5" style="498" customWidth="1"/>
    <col min="3845" max="3845" width="5.42578125" style="498" customWidth="1"/>
    <col min="3846" max="3846" width="4.5703125" style="498" customWidth="1"/>
    <col min="3847" max="3848" width="4.42578125" style="498" customWidth="1"/>
    <col min="3849" max="3849" width="3.5703125" style="498" customWidth="1"/>
    <col min="3850" max="3850" width="5" style="498" customWidth="1"/>
    <col min="3851" max="3851" width="4" style="498" customWidth="1"/>
    <col min="3852" max="3853" width="4.5703125" style="498" customWidth="1"/>
    <col min="3854" max="3854" width="4.42578125" style="498" customWidth="1"/>
    <col min="3855" max="3855" width="4" style="498" customWidth="1"/>
    <col min="3856" max="3856" width="3.5703125" style="498" customWidth="1"/>
    <col min="3857" max="3858" width="4.5703125" style="498" customWidth="1"/>
    <col min="3859" max="3859" width="4" style="498" customWidth="1"/>
    <col min="3860" max="3861" width="4.42578125" style="498" customWidth="1"/>
    <col min="3862" max="3862" width="3.5703125" style="498" customWidth="1"/>
    <col min="3863" max="3863" width="4.42578125" style="498" customWidth="1"/>
    <col min="3864" max="3864" width="5.5703125" style="498" customWidth="1"/>
    <col min="3865" max="3865" width="3.5703125" style="498" customWidth="1"/>
    <col min="3866" max="3866" width="4" style="498" customWidth="1"/>
    <col min="3867" max="3867" width="4.5703125" style="498" customWidth="1"/>
    <col min="3868" max="3870" width="4.42578125" style="498" customWidth="1"/>
    <col min="3871" max="3872" width="4.5703125" style="498" customWidth="1"/>
    <col min="3873" max="3873" width="4" style="498" customWidth="1"/>
    <col min="3874" max="3874" width="4.5703125" style="498" customWidth="1"/>
    <col min="3875" max="3875" width="6" style="498" customWidth="1"/>
    <col min="3876" max="3876" width="8.5703125" style="498" customWidth="1"/>
    <col min="3877" max="4096" width="11.42578125" style="498"/>
    <col min="4097" max="4097" width="6.42578125" style="498" customWidth="1"/>
    <col min="4098" max="4098" width="47.5703125" style="498" customWidth="1"/>
    <col min="4099" max="4100" width="5" style="498" customWidth="1"/>
    <col min="4101" max="4101" width="5.42578125" style="498" customWidth="1"/>
    <col min="4102" max="4102" width="4.5703125" style="498" customWidth="1"/>
    <col min="4103" max="4104" width="4.42578125" style="498" customWidth="1"/>
    <col min="4105" max="4105" width="3.5703125" style="498" customWidth="1"/>
    <col min="4106" max="4106" width="5" style="498" customWidth="1"/>
    <col min="4107" max="4107" width="4" style="498" customWidth="1"/>
    <col min="4108" max="4109" width="4.5703125" style="498" customWidth="1"/>
    <col min="4110" max="4110" width="4.42578125" style="498" customWidth="1"/>
    <col min="4111" max="4111" width="4" style="498" customWidth="1"/>
    <col min="4112" max="4112" width="3.5703125" style="498" customWidth="1"/>
    <col min="4113" max="4114" width="4.5703125" style="498" customWidth="1"/>
    <col min="4115" max="4115" width="4" style="498" customWidth="1"/>
    <col min="4116" max="4117" width="4.42578125" style="498" customWidth="1"/>
    <col min="4118" max="4118" width="3.5703125" style="498" customWidth="1"/>
    <col min="4119" max="4119" width="4.42578125" style="498" customWidth="1"/>
    <col min="4120" max="4120" width="5.5703125" style="498" customWidth="1"/>
    <col min="4121" max="4121" width="3.5703125" style="498" customWidth="1"/>
    <col min="4122" max="4122" width="4" style="498" customWidth="1"/>
    <col min="4123" max="4123" width="4.5703125" style="498" customWidth="1"/>
    <col min="4124" max="4126" width="4.42578125" style="498" customWidth="1"/>
    <col min="4127" max="4128" width="4.5703125" style="498" customWidth="1"/>
    <col min="4129" max="4129" width="4" style="498" customWidth="1"/>
    <col min="4130" max="4130" width="4.5703125" style="498" customWidth="1"/>
    <col min="4131" max="4131" width="6" style="498" customWidth="1"/>
    <col min="4132" max="4132" width="8.5703125" style="498" customWidth="1"/>
    <col min="4133" max="4352" width="11.42578125" style="498"/>
    <col min="4353" max="4353" width="6.42578125" style="498" customWidth="1"/>
    <col min="4354" max="4354" width="47.5703125" style="498" customWidth="1"/>
    <col min="4355" max="4356" width="5" style="498" customWidth="1"/>
    <col min="4357" max="4357" width="5.42578125" style="498" customWidth="1"/>
    <col min="4358" max="4358" width="4.5703125" style="498" customWidth="1"/>
    <col min="4359" max="4360" width="4.42578125" style="498" customWidth="1"/>
    <col min="4361" max="4361" width="3.5703125" style="498" customWidth="1"/>
    <col min="4362" max="4362" width="5" style="498" customWidth="1"/>
    <col min="4363" max="4363" width="4" style="498" customWidth="1"/>
    <col min="4364" max="4365" width="4.5703125" style="498" customWidth="1"/>
    <col min="4366" max="4366" width="4.42578125" style="498" customWidth="1"/>
    <col min="4367" max="4367" width="4" style="498" customWidth="1"/>
    <col min="4368" max="4368" width="3.5703125" style="498" customWidth="1"/>
    <col min="4369" max="4370" width="4.5703125" style="498" customWidth="1"/>
    <col min="4371" max="4371" width="4" style="498" customWidth="1"/>
    <col min="4372" max="4373" width="4.42578125" style="498" customWidth="1"/>
    <col min="4374" max="4374" width="3.5703125" style="498" customWidth="1"/>
    <col min="4375" max="4375" width="4.42578125" style="498" customWidth="1"/>
    <col min="4376" max="4376" width="5.5703125" style="498" customWidth="1"/>
    <col min="4377" max="4377" width="3.5703125" style="498" customWidth="1"/>
    <col min="4378" max="4378" width="4" style="498" customWidth="1"/>
    <col min="4379" max="4379" width="4.5703125" style="498" customWidth="1"/>
    <col min="4380" max="4382" width="4.42578125" style="498" customWidth="1"/>
    <col min="4383" max="4384" width="4.5703125" style="498" customWidth="1"/>
    <col min="4385" max="4385" width="4" style="498" customWidth="1"/>
    <col min="4386" max="4386" width="4.5703125" style="498" customWidth="1"/>
    <col min="4387" max="4387" width="6" style="498" customWidth="1"/>
    <col min="4388" max="4388" width="8.5703125" style="498" customWidth="1"/>
    <col min="4389" max="4608" width="11.42578125" style="498"/>
    <col min="4609" max="4609" width="6.42578125" style="498" customWidth="1"/>
    <col min="4610" max="4610" width="47.5703125" style="498" customWidth="1"/>
    <col min="4611" max="4612" width="5" style="498" customWidth="1"/>
    <col min="4613" max="4613" width="5.42578125" style="498" customWidth="1"/>
    <col min="4614" max="4614" width="4.5703125" style="498" customWidth="1"/>
    <col min="4615" max="4616" width="4.42578125" style="498" customWidth="1"/>
    <col min="4617" max="4617" width="3.5703125" style="498" customWidth="1"/>
    <col min="4618" max="4618" width="5" style="498" customWidth="1"/>
    <col min="4619" max="4619" width="4" style="498" customWidth="1"/>
    <col min="4620" max="4621" width="4.5703125" style="498" customWidth="1"/>
    <col min="4622" max="4622" width="4.42578125" style="498" customWidth="1"/>
    <col min="4623" max="4623" width="4" style="498" customWidth="1"/>
    <col min="4624" max="4624" width="3.5703125" style="498" customWidth="1"/>
    <col min="4625" max="4626" width="4.5703125" style="498" customWidth="1"/>
    <col min="4627" max="4627" width="4" style="498" customWidth="1"/>
    <col min="4628" max="4629" width="4.42578125" style="498" customWidth="1"/>
    <col min="4630" max="4630" width="3.5703125" style="498" customWidth="1"/>
    <col min="4631" max="4631" width="4.42578125" style="498" customWidth="1"/>
    <col min="4632" max="4632" width="5.5703125" style="498" customWidth="1"/>
    <col min="4633" max="4633" width="3.5703125" style="498" customWidth="1"/>
    <col min="4634" max="4634" width="4" style="498" customWidth="1"/>
    <col min="4635" max="4635" width="4.5703125" style="498" customWidth="1"/>
    <col min="4636" max="4638" width="4.42578125" style="498" customWidth="1"/>
    <col min="4639" max="4640" width="4.5703125" style="498" customWidth="1"/>
    <col min="4641" max="4641" width="4" style="498" customWidth="1"/>
    <col min="4642" max="4642" width="4.5703125" style="498" customWidth="1"/>
    <col min="4643" max="4643" width="6" style="498" customWidth="1"/>
    <col min="4644" max="4644" width="8.5703125" style="498" customWidth="1"/>
    <col min="4645" max="4864" width="11.42578125" style="498"/>
    <col min="4865" max="4865" width="6.42578125" style="498" customWidth="1"/>
    <col min="4866" max="4866" width="47.5703125" style="498" customWidth="1"/>
    <col min="4867" max="4868" width="5" style="498" customWidth="1"/>
    <col min="4869" max="4869" width="5.42578125" style="498" customWidth="1"/>
    <col min="4870" max="4870" width="4.5703125" style="498" customWidth="1"/>
    <col min="4871" max="4872" width="4.42578125" style="498" customWidth="1"/>
    <col min="4873" max="4873" width="3.5703125" style="498" customWidth="1"/>
    <col min="4874" max="4874" width="5" style="498" customWidth="1"/>
    <col min="4875" max="4875" width="4" style="498" customWidth="1"/>
    <col min="4876" max="4877" width="4.5703125" style="498" customWidth="1"/>
    <col min="4878" max="4878" width="4.42578125" style="498" customWidth="1"/>
    <col min="4879" max="4879" width="4" style="498" customWidth="1"/>
    <col min="4880" max="4880" width="3.5703125" style="498" customWidth="1"/>
    <col min="4881" max="4882" width="4.5703125" style="498" customWidth="1"/>
    <col min="4883" max="4883" width="4" style="498" customWidth="1"/>
    <col min="4884" max="4885" width="4.42578125" style="498" customWidth="1"/>
    <col min="4886" max="4886" width="3.5703125" style="498" customWidth="1"/>
    <col min="4887" max="4887" width="4.42578125" style="498" customWidth="1"/>
    <col min="4888" max="4888" width="5.5703125" style="498" customWidth="1"/>
    <col min="4889" max="4889" width="3.5703125" style="498" customWidth="1"/>
    <col min="4890" max="4890" width="4" style="498" customWidth="1"/>
    <col min="4891" max="4891" width="4.5703125" style="498" customWidth="1"/>
    <col min="4892" max="4894" width="4.42578125" style="498" customWidth="1"/>
    <col min="4895" max="4896" width="4.5703125" style="498" customWidth="1"/>
    <col min="4897" max="4897" width="4" style="498" customWidth="1"/>
    <col min="4898" max="4898" width="4.5703125" style="498" customWidth="1"/>
    <col min="4899" max="4899" width="6" style="498" customWidth="1"/>
    <col min="4900" max="4900" width="8.5703125" style="498" customWidth="1"/>
    <col min="4901" max="5120" width="11.42578125" style="498"/>
    <col min="5121" max="5121" width="6.42578125" style="498" customWidth="1"/>
    <col min="5122" max="5122" width="47.5703125" style="498" customWidth="1"/>
    <col min="5123" max="5124" width="5" style="498" customWidth="1"/>
    <col min="5125" max="5125" width="5.42578125" style="498" customWidth="1"/>
    <col min="5126" max="5126" width="4.5703125" style="498" customWidth="1"/>
    <col min="5127" max="5128" width="4.42578125" style="498" customWidth="1"/>
    <col min="5129" max="5129" width="3.5703125" style="498" customWidth="1"/>
    <col min="5130" max="5130" width="5" style="498" customWidth="1"/>
    <col min="5131" max="5131" width="4" style="498" customWidth="1"/>
    <col min="5132" max="5133" width="4.5703125" style="498" customWidth="1"/>
    <col min="5134" max="5134" width="4.42578125" style="498" customWidth="1"/>
    <col min="5135" max="5135" width="4" style="498" customWidth="1"/>
    <col min="5136" max="5136" width="3.5703125" style="498" customWidth="1"/>
    <col min="5137" max="5138" width="4.5703125" style="498" customWidth="1"/>
    <col min="5139" max="5139" width="4" style="498" customWidth="1"/>
    <col min="5140" max="5141" width="4.42578125" style="498" customWidth="1"/>
    <col min="5142" max="5142" width="3.5703125" style="498" customWidth="1"/>
    <col min="5143" max="5143" width="4.42578125" style="498" customWidth="1"/>
    <col min="5144" max="5144" width="5.5703125" style="498" customWidth="1"/>
    <col min="5145" max="5145" width="3.5703125" style="498" customWidth="1"/>
    <col min="5146" max="5146" width="4" style="498" customWidth="1"/>
    <col min="5147" max="5147" width="4.5703125" style="498" customWidth="1"/>
    <col min="5148" max="5150" width="4.42578125" style="498" customWidth="1"/>
    <col min="5151" max="5152" width="4.5703125" style="498" customWidth="1"/>
    <col min="5153" max="5153" width="4" style="498" customWidth="1"/>
    <col min="5154" max="5154" width="4.5703125" style="498" customWidth="1"/>
    <col min="5155" max="5155" width="6" style="498" customWidth="1"/>
    <col min="5156" max="5156" width="8.5703125" style="498" customWidth="1"/>
    <col min="5157" max="5376" width="11.42578125" style="498"/>
    <col min="5377" max="5377" width="6.42578125" style="498" customWidth="1"/>
    <col min="5378" max="5378" width="47.5703125" style="498" customWidth="1"/>
    <col min="5379" max="5380" width="5" style="498" customWidth="1"/>
    <col min="5381" max="5381" width="5.42578125" style="498" customWidth="1"/>
    <col min="5382" max="5382" width="4.5703125" style="498" customWidth="1"/>
    <col min="5383" max="5384" width="4.42578125" style="498" customWidth="1"/>
    <col min="5385" max="5385" width="3.5703125" style="498" customWidth="1"/>
    <col min="5386" max="5386" width="5" style="498" customWidth="1"/>
    <col min="5387" max="5387" width="4" style="498" customWidth="1"/>
    <col min="5388" max="5389" width="4.5703125" style="498" customWidth="1"/>
    <col min="5390" max="5390" width="4.42578125" style="498" customWidth="1"/>
    <col min="5391" max="5391" width="4" style="498" customWidth="1"/>
    <col min="5392" max="5392" width="3.5703125" style="498" customWidth="1"/>
    <col min="5393" max="5394" width="4.5703125" style="498" customWidth="1"/>
    <col min="5395" max="5395" width="4" style="498" customWidth="1"/>
    <col min="5396" max="5397" width="4.42578125" style="498" customWidth="1"/>
    <col min="5398" max="5398" width="3.5703125" style="498" customWidth="1"/>
    <col min="5399" max="5399" width="4.42578125" style="498" customWidth="1"/>
    <col min="5400" max="5400" width="5.5703125" style="498" customWidth="1"/>
    <col min="5401" max="5401" width="3.5703125" style="498" customWidth="1"/>
    <col min="5402" max="5402" width="4" style="498" customWidth="1"/>
    <col min="5403" max="5403" width="4.5703125" style="498" customWidth="1"/>
    <col min="5404" max="5406" width="4.42578125" style="498" customWidth="1"/>
    <col min="5407" max="5408" width="4.5703125" style="498" customWidth="1"/>
    <col min="5409" max="5409" width="4" style="498" customWidth="1"/>
    <col min="5410" max="5410" width="4.5703125" style="498" customWidth="1"/>
    <col min="5411" max="5411" width="6" style="498" customWidth="1"/>
    <col min="5412" max="5412" width="8.5703125" style="498" customWidth="1"/>
    <col min="5413" max="5632" width="11.42578125" style="498"/>
    <col min="5633" max="5633" width="6.42578125" style="498" customWidth="1"/>
    <col min="5634" max="5634" width="47.5703125" style="498" customWidth="1"/>
    <col min="5635" max="5636" width="5" style="498" customWidth="1"/>
    <col min="5637" max="5637" width="5.42578125" style="498" customWidth="1"/>
    <col min="5638" max="5638" width="4.5703125" style="498" customWidth="1"/>
    <col min="5639" max="5640" width="4.42578125" style="498" customWidth="1"/>
    <col min="5641" max="5641" width="3.5703125" style="498" customWidth="1"/>
    <col min="5642" max="5642" width="5" style="498" customWidth="1"/>
    <col min="5643" max="5643" width="4" style="498" customWidth="1"/>
    <col min="5644" max="5645" width="4.5703125" style="498" customWidth="1"/>
    <col min="5646" max="5646" width="4.42578125" style="498" customWidth="1"/>
    <col min="5647" max="5647" width="4" style="498" customWidth="1"/>
    <col min="5648" max="5648" width="3.5703125" style="498" customWidth="1"/>
    <col min="5649" max="5650" width="4.5703125" style="498" customWidth="1"/>
    <col min="5651" max="5651" width="4" style="498" customWidth="1"/>
    <col min="5652" max="5653" width="4.42578125" style="498" customWidth="1"/>
    <col min="5654" max="5654" width="3.5703125" style="498" customWidth="1"/>
    <col min="5655" max="5655" width="4.42578125" style="498" customWidth="1"/>
    <col min="5656" max="5656" width="5.5703125" style="498" customWidth="1"/>
    <col min="5657" max="5657" width="3.5703125" style="498" customWidth="1"/>
    <col min="5658" max="5658" width="4" style="498" customWidth="1"/>
    <col min="5659" max="5659" width="4.5703125" style="498" customWidth="1"/>
    <col min="5660" max="5662" width="4.42578125" style="498" customWidth="1"/>
    <col min="5663" max="5664" width="4.5703125" style="498" customWidth="1"/>
    <col min="5665" max="5665" width="4" style="498" customWidth="1"/>
    <col min="5666" max="5666" width="4.5703125" style="498" customWidth="1"/>
    <col min="5667" max="5667" width="6" style="498" customWidth="1"/>
    <col min="5668" max="5668" width="8.5703125" style="498" customWidth="1"/>
    <col min="5669" max="5888" width="11.42578125" style="498"/>
    <col min="5889" max="5889" width="6.42578125" style="498" customWidth="1"/>
    <col min="5890" max="5890" width="47.5703125" style="498" customWidth="1"/>
    <col min="5891" max="5892" width="5" style="498" customWidth="1"/>
    <col min="5893" max="5893" width="5.42578125" style="498" customWidth="1"/>
    <col min="5894" max="5894" width="4.5703125" style="498" customWidth="1"/>
    <col min="5895" max="5896" width="4.42578125" style="498" customWidth="1"/>
    <col min="5897" max="5897" width="3.5703125" style="498" customWidth="1"/>
    <col min="5898" max="5898" width="5" style="498" customWidth="1"/>
    <col min="5899" max="5899" width="4" style="498" customWidth="1"/>
    <col min="5900" max="5901" width="4.5703125" style="498" customWidth="1"/>
    <col min="5902" max="5902" width="4.42578125" style="498" customWidth="1"/>
    <col min="5903" max="5903" width="4" style="498" customWidth="1"/>
    <col min="5904" max="5904" width="3.5703125" style="498" customWidth="1"/>
    <col min="5905" max="5906" width="4.5703125" style="498" customWidth="1"/>
    <col min="5907" max="5907" width="4" style="498" customWidth="1"/>
    <col min="5908" max="5909" width="4.42578125" style="498" customWidth="1"/>
    <col min="5910" max="5910" width="3.5703125" style="498" customWidth="1"/>
    <col min="5911" max="5911" width="4.42578125" style="498" customWidth="1"/>
    <col min="5912" max="5912" width="5.5703125" style="498" customWidth="1"/>
    <col min="5913" max="5913" width="3.5703125" style="498" customWidth="1"/>
    <col min="5914" max="5914" width="4" style="498" customWidth="1"/>
    <col min="5915" max="5915" width="4.5703125" style="498" customWidth="1"/>
    <col min="5916" max="5918" width="4.42578125" style="498" customWidth="1"/>
    <col min="5919" max="5920" width="4.5703125" style="498" customWidth="1"/>
    <col min="5921" max="5921" width="4" style="498" customWidth="1"/>
    <col min="5922" max="5922" width="4.5703125" style="498" customWidth="1"/>
    <col min="5923" max="5923" width="6" style="498" customWidth="1"/>
    <col min="5924" max="5924" width="8.5703125" style="498" customWidth="1"/>
    <col min="5925" max="6144" width="11.42578125" style="498"/>
    <col min="6145" max="6145" width="6.42578125" style="498" customWidth="1"/>
    <col min="6146" max="6146" width="47.5703125" style="498" customWidth="1"/>
    <col min="6147" max="6148" width="5" style="498" customWidth="1"/>
    <col min="6149" max="6149" width="5.42578125" style="498" customWidth="1"/>
    <col min="6150" max="6150" width="4.5703125" style="498" customWidth="1"/>
    <col min="6151" max="6152" width="4.42578125" style="498" customWidth="1"/>
    <col min="6153" max="6153" width="3.5703125" style="498" customWidth="1"/>
    <col min="6154" max="6154" width="5" style="498" customWidth="1"/>
    <col min="6155" max="6155" width="4" style="498" customWidth="1"/>
    <col min="6156" max="6157" width="4.5703125" style="498" customWidth="1"/>
    <col min="6158" max="6158" width="4.42578125" style="498" customWidth="1"/>
    <col min="6159" max="6159" width="4" style="498" customWidth="1"/>
    <col min="6160" max="6160" width="3.5703125" style="498" customWidth="1"/>
    <col min="6161" max="6162" width="4.5703125" style="498" customWidth="1"/>
    <col min="6163" max="6163" width="4" style="498" customWidth="1"/>
    <col min="6164" max="6165" width="4.42578125" style="498" customWidth="1"/>
    <col min="6166" max="6166" width="3.5703125" style="498" customWidth="1"/>
    <col min="6167" max="6167" width="4.42578125" style="498" customWidth="1"/>
    <col min="6168" max="6168" width="5.5703125" style="498" customWidth="1"/>
    <col min="6169" max="6169" width="3.5703125" style="498" customWidth="1"/>
    <col min="6170" max="6170" width="4" style="498" customWidth="1"/>
    <col min="6171" max="6171" width="4.5703125" style="498" customWidth="1"/>
    <col min="6172" max="6174" width="4.42578125" style="498" customWidth="1"/>
    <col min="6175" max="6176" width="4.5703125" style="498" customWidth="1"/>
    <col min="6177" max="6177" width="4" style="498" customWidth="1"/>
    <col min="6178" max="6178" width="4.5703125" style="498" customWidth="1"/>
    <col min="6179" max="6179" width="6" style="498" customWidth="1"/>
    <col min="6180" max="6180" width="8.5703125" style="498" customWidth="1"/>
    <col min="6181" max="6400" width="11.42578125" style="498"/>
    <col min="6401" max="6401" width="6.42578125" style="498" customWidth="1"/>
    <col min="6402" max="6402" width="47.5703125" style="498" customWidth="1"/>
    <col min="6403" max="6404" width="5" style="498" customWidth="1"/>
    <col min="6405" max="6405" width="5.42578125" style="498" customWidth="1"/>
    <col min="6406" max="6406" width="4.5703125" style="498" customWidth="1"/>
    <col min="6407" max="6408" width="4.42578125" style="498" customWidth="1"/>
    <col min="6409" max="6409" width="3.5703125" style="498" customWidth="1"/>
    <col min="6410" max="6410" width="5" style="498" customWidth="1"/>
    <col min="6411" max="6411" width="4" style="498" customWidth="1"/>
    <col min="6412" max="6413" width="4.5703125" style="498" customWidth="1"/>
    <col min="6414" max="6414" width="4.42578125" style="498" customWidth="1"/>
    <col min="6415" max="6415" width="4" style="498" customWidth="1"/>
    <col min="6416" max="6416" width="3.5703125" style="498" customWidth="1"/>
    <col min="6417" max="6418" width="4.5703125" style="498" customWidth="1"/>
    <col min="6419" max="6419" width="4" style="498" customWidth="1"/>
    <col min="6420" max="6421" width="4.42578125" style="498" customWidth="1"/>
    <col min="6422" max="6422" width="3.5703125" style="498" customWidth="1"/>
    <col min="6423" max="6423" width="4.42578125" style="498" customWidth="1"/>
    <col min="6424" max="6424" width="5.5703125" style="498" customWidth="1"/>
    <col min="6425" max="6425" width="3.5703125" style="498" customWidth="1"/>
    <col min="6426" max="6426" width="4" style="498" customWidth="1"/>
    <col min="6427" max="6427" width="4.5703125" style="498" customWidth="1"/>
    <col min="6428" max="6430" width="4.42578125" style="498" customWidth="1"/>
    <col min="6431" max="6432" width="4.5703125" style="498" customWidth="1"/>
    <col min="6433" max="6433" width="4" style="498" customWidth="1"/>
    <col min="6434" max="6434" width="4.5703125" style="498" customWidth="1"/>
    <col min="6435" max="6435" width="6" style="498" customWidth="1"/>
    <col min="6436" max="6436" width="8.5703125" style="498" customWidth="1"/>
    <col min="6437" max="6656" width="11.42578125" style="498"/>
    <col min="6657" max="6657" width="6.42578125" style="498" customWidth="1"/>
    <col min="6658" max="6658" width="47.5703125" style="498" customWidth="1"/>
    <col min="6659" max="6660" width="5" style="498" customWidth="1"/>
    <col min="6661" max="6661" width="5.42578125" style="498" customWidth="1"/>
    <col min="6662" max="6662" width="4.5703125" style="498" customWidth="1"/>
    <col min="6663" max="6664" width="4.42578125" style="498" customWidth="1"/>
    <col min="6665" max="6665" width="3.5703125" style="498" customWidth="1"/>
    <col min="6666" max="6666" width="5" style="498" customWidth="1"/>
    <col min="6667" max="6667" width="4" style="498" customWidth="1"/>
    <col min="6668" max="6669" width="4.5703125" style="498" customWidth="1"/>
    <col min="6670" max="6670" width="4.42578125" style="498" customWidth="1"/>
    <col min="6671" max="6671" width="4" style="498" customWidth="1"/>
    <col min="6672" max="6672" width="3.5703125" style="498" customWidth="1"/>
    <col min="6673" max="6674" width="4.5703125" style="498" customWidth="1"/>
    <col min="6675" max="6675" width="4" style="498" customWidth="1"/>
    <col min="6676" max="6677" width="4.42578125" style="498" customWidth="1"/>
    <col min="6678" max="6678" width="3.5703125" style="498" customWidth="1"/>
    <col min="6679" max="6679" width="4.42578125" style="498" customWidth="1"/>
    <col min="6680" max="6680" width="5.5703125" style="498" customWidth="1"/>
    <col min="6681" max="6681" width="3.5703125" style="498" customWidth="1"/>
    <col min="6682" max="6682" width="4" style="498" customWidth="1"/>
    <col min="6683" max="6683" width="4.5703125" style="498" customWidth="1"/>
    <col min="6684" max="6686" width="4.42578125" style="498" customWidth="1"/>
    <col min="6687" max="6688" width="4.5703125" style="498" customWidth="1"/>
    <col min="6689" max="6689" width="4" style="498" customWidth="1"/>
    <col min="6690" max="6690" width="4.5703125" style="498" customWidth="1"/>
    <col min="6691" max="6691" width="6" style="498" customWidth="1"/>
    <col min="6692" max="6692" width="8.5703125" style="498" customWidth="1"/>
    <col min="6693" max="6912" width="11.42578125" style="498"/>
    <col min="6913" max="6913" width="6.42578125" style="498" customWidth="1"/>
    <col min="6914" max="6914" width="47.5703125" style="498" customWidth="1"/>
    <col min="6915" max="6916" width="5" style="498" customWidth="1"/>
    <col min="6917" max="6917" width="5.42578125" style="498" customWidth="1"/>
    <col min="6918" max="6918" width="4.5703125" style="498" customWidth="1"/>
    <col min="6919" max="6920" width="4.42578125" style="498" customWidth="1"/>
    <col min="6921" max="6921" width="3.5703125" style="498" customWidth="1"/>
    <col min="6922" max="6922" width="5" style="498" customWidth="1"/>
    <col min="6923" max="6923" width="4" style="498" customWidth="1"/>
    <col min="6924" max="6925" width="4.5703125" style="498" customWidth="1"/>
    <col min="6926" max="6926" width="4.42578125" style="498" customWidth="1"/>
    <col min="6927" max="6927" width="4" style="498" customWidth="1"/>
    <col min="6928" max="6928" width="3.5703125" style="498" customWidth="1"/>
    <col min="6929" max="6930" width="4.5703125" style="498" customWidth="1"/>
    <col min="6931" max="6931" width="4" style="498" customWidth="1"/>
    <col min="6932" max="6933" width="4.42578125" style="498" customWidth="1"/>
    <col min="6934" max="6934" width="3.5703125" style="498" customWidth="1"/>
    <col min="6935" max="6935" width="4.42578125" style="498" customWidth="1"/>
    <col min="6936" max="6936" width="5.5703125" style="498" customWidth="1"/>
    <col min="6937" max="6937" width="3.5703125" style="498" customWidth="1"/>
    <col min="6938" max="6938" width="4" style="498" customWidth="1"/>
    <col min="6939" max="6939" width="4.5703125" style="498" customWidth="1"/>
    <col min="6940" max="6942" width="4.42578125" style="498" customWidth="1"/>
    <col min="6943" max="6944" width="4.5703125" style="498" customWidth="1"/>
    <col min="6945" max="6945" width="4" style="498" customWidth="1"/>
    <col min="6946" max="6946" width="4.5703125" style="498" customWidth="1"/>
    <col min="6947" max="6947" width="6" style="498" customWidth="1"/>
    <col min="6948" max="6948" width="8.5703125" style="498" customWidth="1"/>
    <col min="6949" max="7168" width="11.42578125" style="498"/>
    <col min="7169" max="7169" width="6.42578125" style="498" customWidth="1"/>
    <col min="7170" max="7170" width="47.5703125" style="498" customWidth="1"/>
    <col min="7171" max="7172" width="5" style="498" customWidth="1"/>
    <col min="7173" max="7173" width="5.42578125" style="498" customWidth="1"/>
    <col min="7174" max="7174" width="4.5703125" style="498" customWidth="1"/>
    <col min="7175" max="7176" width="4.42578125" style="498" customWidth="1"/>
    <col min="7177" max="7177" width="3.5703125" style="498" customWidth="1"/>
    <col min="7178" max="7178" width="5" style="498" customWidth="1"/>
    <col min="7179" max="7179" width="4" style="498" customWidth="1"/>
    <col min="7180" max="7181" width="4.5703125" style="498" customWidth="1"/>
    <col min="7182" max="7182" width="4.42578125" style="498" customWidth="1"/>
    <col min="7183" max="7183" width="4" style="498" customWidth="1"/>
    <col min="7184" max="7184" width="3.5703125" style="498" customWidth="1"/>
    <col min="7185" max="7186" width="4.5703125" style="498" customWidth="1"/>
    <col min="7187" max="7187" width="4" style="498" customWidth="1"/>
    <col min="7188" max="7189" width="4.42578125" style="498" customWidth="1"/>
    <col min="7190" max="7190" width="3.5703125" style="498" customWidth="1"/>
    <col min="7191" max="7191" width="4.42578125" style="498" customWidth="1"/>
    <col min="7192" max="7192" width="5.5703125" style="498" customWidth="1"/>
    <col min="7193" max="7193" width="3.5703125" style="498" customWidth="1"/>
    <col min="7194" max="7194" width="4" style="498" customWidth="1"/>
    <col min="7195" max="7195" width="4.5703125" style="498" customWidth="1"/>
    <col min="7196" max="7198" width="4.42578125" style="498" customWidth="1"/>
    <col min="7199" max="7200" width="4.5703125" style="498" customWidth="1"/>
    <col min="7201" max="7201" width="4" style="498" customWidth="1"/>
    <col min="7202" max="7202" width="4.5703125" style="498" customWidth="1"/>
    <col min="7203" max="7203" width="6" style="498" customWidth="1"/>
    <col min="7204" max="7204" width="8.5703125" style="498" customWidth="1"/>
    <col min="7205" max="7424" width="11.42578125" style="498"/>
    <col min="7425" max="7425" width="6.42578125" style="498" customWidth="1"/>
    <col min="7426" max="7426" width="47.5703125" style="498" customWidth="1"/>
    <col min="7427" max="7428" width="5" style="498" customWidth="1"/>
    <col min="7429" max="7429" width="5.42578125" style="498" customWidth="1"/>
    <col min="7430" max="7430" width="4.5703125" style="498" customWidth="1"/>
    <col min="7431" max="7432" width="4.42578125" style="498" customWidth="1"/>
    <col min="7433" max="7433" width="3.5703125" style="498" customWidth="1"/>
    <col min="7434" max="7434" width="5" style="498" customWidth="1"/>
    <col min="7435" max="7435" width="4" style="498" customWidth="1"/>
    <col min="7436" max="7437" width="4.5703125" style="498" customWidth="1"/>
    <col min="7438" max="7438" width="4.42578125" style="498" customWidth="1"/>
    <col min="7439" max="7439" width="4" style="498" customWidth="1"/>
    <col min="7440" max="7440" width="3.5703125" style="498" customWidth="1"/>
    <col min="7441" max="7442" width="4.5703125" style="498" customWidth="1"/>
    <col min="7443" max="7443" width="4" style="498" customWidth="1"/>
    <col min="7444" max="7445" width="4.42578125" style="498" customWidth="1"/>
    <col min="7446" max="7446" width="3.5703125" style="498" customWidth="1"/>
    <col min="7447" max="7447" width="4.42578125" style="498" customWidth="1"/>
    <col min="7448" max="7448" width="5.5703125" style="498" customWidth="1"/>
    <col min="7449" max="7449" width="3.5703125" style="498" customWidth="1"/>
    <col min="7450" max="7450" width="4" style="498" customWidth="1"/>
    <col min="7451" max="7451" width="4.5703125" style="498" customWidth="1"/>
    <col min="7452" max="7454" width="4.42578125" style="498" customWidth="1"/>
    <col min="7455" max="7456" width="4.5703125" style="498" customWidth="1"/>
    <col min="7457" max="7457" width="4" style="498" customWidth="1"/>
    <col min="7458" max="7458" width="4.5703125" style="498" customWidth="1"/>
    <col min="7459" max="7459" width="6" style="498" customWidth="1"/>
    <col min="7460" max="7460" width="8.5703125" style="498" customWidth="1"/>
    <col min="7461" max="7680" width="11.42578125" style="498"/>
    <col min="7681" max="7681" width="6.42578125" style="498" customWidth="1"/>
    <col min="7682" max="7682" width="47.5703125" style="498" customWidth="1"/>
    <col min="7683" max="7684" width="5" style="498" customWidth="1"/>
    <col min="7685" max="7685" width="5.42578125" style="498" customWidth="1"/>
    <col min="7686" max="7686" width="4.5703125" style="498" customWidth="1"/>
    <col min="7687" max="7688" width="4.42578125" style="498" customWidth="1"/>
    <col min="7689" max="7689" width="3.5703125" style="498" customWidth="1"/>
    <col min="7690" max="7690" width="5" style="498" customWidth="1"/>
    <col min="7691" max="7691" width="4" style="498" customWidth="1"/>
    <col min="7692" max="7693" width="4.5703125" style="498" customWidth="1"/>
    <col min="7694" max="7694" width="4.42578125" style="498" customWidth="1"/>
    <col min="7695" max="7695" width="4" style="498" customWidth="1"/>
    <col min="7696" max="7696" width="3.5703125" style="498" customWidth="1"/>
    <col min="7697" max="7698" width="4.5703125" style="498" customWidth="1"/>
    <col min="7699" max="7699" width="4" style="498" customWidth="1"/>
    <col min="7700" max="7701" width="4.42578125" style="498" customWidth="1"/>
    <col min="7702" max="7702" width="3.5703125" style="498" customWidth="1"/>
    <col min="7703" max="7703" width="4.42578125" style="498" customWidth="1"/>
    <col min="7704" max="7704" width="5.5703125" style="498" customWidth="1"/>
    <col min="7705" max="7705" width="3.5703125" style="498" customWidth="1"/>
    <col min="7706" max="7706" width="4" style="498" customWidth="1"/>
    <col min="7707" max="7707" width="4.5703125" style="498" customWidth="1"/>
    <col min="7708" max="7710" width="4.42578125" style="498" customWidth="1"/>
    <col min="7711" max="7712" width="4.5703125" style="498" customWidth="1"/>
    <col min="7713" max="7713" width="4" style="498" customWidth="1"/>
    <col min="7714" max="7714" width="4.5703125" style="498" customWidth="1"/>
    <col min="7715" max="7715" width="6" style="498" customWidth="1"/>
    <col min="7716" max="7716" width="8.5703125" style="498" customWidth="1"/>
    <col min="7717" max="7936" width="11.42578125" style="498"/>
    <col min="7937" max="7937" width="6.42578125" style="498" customWidth="1"/>
    <col min="7938" max="7938" width="47.5703125" style="498" customWidth="1"/>
    <col min="7939" max="7940" width="5" style="498" customWidth="1"/>
    <col min="7941" max="7941" width="5.42578125" style="498" customWidth="1"/>
    <col min="7942" max="7942" width="4.5703125" style="498" customWidth="1"/>
    <col min="7943" max="7944" width="4.42578125" style="498" customWidth="1"/>
    <col min="7945" max="7945" width="3.5703125" style="498" customWidth="1"/>
    <col min="7946" max="7946" width="5" style="498" customWidth="1"/>
    <col min="7947" max="7947" width="4" style="498" customWidth="1"/>
    <col min="7948" max="7949" width="4.5703125" style="498" customWidth="1"/>
    <col min="7950" max="7950" width="4.42578125" style="498" customWidth="1"/>
    <col min="7951" max="7951" width="4" style="498" customWidth="1"/>
    <col min="7952" max="7952" width="3.5703125" style="498" customWidth="1"/>
    <col min="7953" max="7954" width="4.5703125" style="498" customWidth="1"/>
    <col min="7955" max="7955" width="4" style="498" customWidth="1"/>
    <col min="7956" max="7957" width="4.42578125" style="498" customWidth="1"/>
    <col min="7958" max="7958" width="3.5703125" style="498" customWidth="1"/>
    <col min="7959" max="7959" width="4.42578125" style="498" customWidth="1"/>
    <col min="7960" max="7960" width="5.5703125" style="498" customWidth="1"/>
    <col min="7961" max="7961" width="3.5703125" style="498" customWidth="1"/>
    <col min="7962" max="7962" width="4" style="498" customWidth="1"/>
    <col min="7963" max="7963" width="4.5703125" style="498" customWidth="1"/>
    <col min="7964" max="7966" width="4.42578125" style="498" customWidth="1"/>
    <col min="7967" max="7968" width="4.5703125" style="498" customWidth="1"/>
    <col min="7969" max="7969" width="4" style="498" customWidth="1"/>
    <col min="7970" max="7970" width="4.5703125" style="498" customWidth="1"/>
    <col min="7971" max="7971" width="6" style="498" customWidth="1"/>
    <col min="7972" max="7972" width="8.5703125" style="498" customWidth="1"/>
    <col min="7973" max="8192" width="11.42578125" style="498"/>
    <col min="8193" max="8193" width="6.42578125" style="498" customWidth="1"/>
    <col min="8194" max="8194" width="47.5703125" style="498" customWidth="1"/>
    <col min="8195" max="8196" width="5" style="498" customWidth="1"/>
    <col min="8197" max="8197" width="5.42578125" style="498" customWidth="1"/>
    <col min="8198" max="8198" width="4.5703125" style="498" customWidth="1"/>
    <col min="8199" max="8200" width="4.42578125" style="498" customWidth="1"/>
    <col min="8201" max="8201" width="3.5703125" style="498" customWidth="1"/>
    <col min="8202" max="8202" width="5" style="498" customWidth="1"/>
    <col min="8203" max="8203" width="4" style="498" customWidth="1"/>
    <col min="8204" max="8205" width="4.5703125" style="498" customWidth="1"/>
    <col min="8206" max="8206" width="4.42578125" style="498" customWidth="1"/>
    <col min="8207" max="8207" width="4" style="498" customWidth="1"/>
    <col min="8208" max="8208" width="3.5703125" style="498" customWidth="1"/>
    <col min="8209" max="8210" width="4.5703125" style="498" customWidth="1"/>
    <col min="8211" max="8211" width="4" style="498" customWidth="1"/>
    <col min="8212" max="8213" width="4.42578125" style="498" customWidth="1"/>
    <col min="8214" max="8214" width="3.5703125" style="498" customWidth="1"/>
    <col min="8215" max="8215" width="4.42578125" style="498" customWidth="1"/>
    <col min="8216" max="8216" width="5.5703125" style="498" customWidth="1"/>
    <col min="8217" max="8217" width="3.5703125" style="498" customWidth="1"/>
    <col min="8218" max="8218" width="4" style="498" customWidth="1"/>
    <col min="8219" max="8219" width="4.5703125" style="498" customWidth="1"/>
    <col min="8220" max="8222" width="4.42578125" style="498" customWidth="1"/>
    <col min="8223" max="8224" width="4.5703125" style="498" customWidth="1"/>
    <col min="8225" max="8225" width="4" style="498" customWidth="1"/>
    <col min="8226" max="8226" width="4.5703125" style="498" customWidth="1"/>
    <col min="8227" max="8227" width="6" style="498" customWidth="1"/>
    <col min="8228" max="8228" width="8.5703125" style="498" customWidth="1"/>
    <col min="8229" max="8448" width="11.42578125" style="498"/>
    <col min="8449" max="8449" width="6.42578125" style="498" customWidth="1"/>
    <col min="8450" max="8450" width="47.5703125" style="498" customWidth="1"/>
    <col min="8451" max="8452" width="5" style="498" customWidth="1"/>
    <col min="8453" max="8453" width="5.42578125" style="498" customWidth="1"/>
    <col min="8454" max="8454" width="4.5703125" style="498" customWidth="1"/>
    <col min="8455" max="8456" width="4.42578125" style="498" customWidth="1"/>
    <col min="8457" max="8457" width="3.5703125" style="498" customWidth="1"/>
    <col min="8458" max="8458" width="5" style="498" customWidth="1"/>
    <col min="8459" max="8459" width="4" style="498" customWidth="1"/>
    <col min="8460" max="8461" width="4.5703125" style="498" customWidth="1"/>
    <col min="8462" max="8462" width="4.42578125" style="498" customWidth="1"/>
    <col min="8463" max="8463" width="4" style="498" customWidth="1"/>
    <col min="8464" max="8464" width="3.5703125" style="498" customWidth="1"/>
    <col min="8465" max="8466" width="4.5703125" style="498" customWidth="1"/>
    <col min="8467" max="8467" width="4" style="498" customWidth="1"/>
    <col min="8468" max="8469" width="4.42578125" style="498" customWidth="1"/>
    <col min="8470" max="8470" width="3.5703125" style="498" customWidth="1"/>
    <col min="8471" max="8471" width="4.42578125" style="498" customWidth="1"/>
    <col min="8472" max="8472" width="5.5703125" style="498" customWidth="1"/>
    <col min="8473" max="8473" width="3.5703125" style="498" customWidth="1"/>
    <col min="8474" max="8474" width="4" style="498" customWidth="1"/>
    <col min="8475" max="8475" width="4.5703125" style="498" customWidth="1"/>
    <col min="8476" max="8478" width="4.42578125" style="498" customWidth="1"/>
    <col min="8479" max="8480" width="4.5703125" style="498" customWidth="1"/>
    <col min="8481" max="8481" width="4" style="498" customWidth="1"/>
    <col min="8482" max="8482" width="4.5703125" style="498" customWidth="1"/>
    <col min="8483" max="8483" width="6" style="498" customWidth="1"/>
    <col min="8484" max="8484" width="8.5703125" style="498" customWidth="1"/>
    <col min="8485" max="8704" width="11.42578125" style="498"/>
    <col min="8705" max="8705" width="6.42578125" style="498" customWidth="1"/>
    <col min="8706" max="8706" width="47.5703125" style="498" customWidth="1"/>
    <col min="8707" max="8708" width="5" style="498" customWidth="1"/>
    <col min="8709" max="8709" width="5.42578125" style="498" customWidth="1"/>
    <col min="8710" max="8710" width="4.5703125" style="498" customWidth="1"/>
    <col min="8711" max="8712" width="4.42578125" style="498" customWidth="1"/>
    <col min="8713" max="8713" width="3.5703125" style="498" customWidth="1"/>
    <col min="8714" max="8714" width="5" style="498" customWidth="1"/>
    <col min="8715" max="8715" width="4" style="498" customWidth="1"/>
    <col min="8716" max="8717" width="4.5703125" style="498" customWidth="1"/>
    <col min="8718" max="8718" width="4.42578125" style="498" customWidth="1"/>
    <col min="8719" max="8719" width="4" style="498" customWidth="1"/>
    <col min="8720" max="8720" width="3.5703125" style="498" customWidth="1"/>
    <col min="8721" max="8722" width="4.5703125" style="498" customWidth="1"/>
    <col min="8723" max="8723" width="4" style="498" customWidth="1"/>
    <col min="8724" max="8725" width="4.42578125" style="498" customWidth="1"/>
    <col min="8726" max="8726" width="3.5703125" style="498" customWidth="1"/>
    <col min="8727" max="8727" width="4.42578125" style="498" customWidth="1"/>
    <col min="8728" max="8728" width="5.5703125" style="498" customWidth="1"/>
    <col min="8729" max="8729" width="3.5703125" style="498" customWidth="1"/>
    <col min="8730" max="8730" width="4" style="498" customWidth="1"/>
    <col min="8731" max="8731" width="4.5703125" style="498" customWidth="1"/>
    <col min="8732" max="8734" width="4.42578125" style="498" customWidth="1"/>
    <col min="8735" max="8736" width="4.5703125" style="498" customWidth="1"/>
    <col min="8737" max="8737" width="4" style="498" customWidth="1"/>
    <col min="8738" max="8738" width="4.5703125" style="498" customWidth="1"/>
    <col min="8739" max="8739" width="6" style="498" customWidth="1"/>
    <col min="8740" max="8740" width="8.5703125" style="498" customWidth="1"/>
    <col min="8741" max="8960" width="11.42578125" style="498"/>
    <col min="8961" max="8961" width="6.42578125" style="498" customWidth="1"/>
    <col min="8962" max="8962" width="47.5703125" style="498" customWidth="1"/>
    <col min="8963" max="8964" width="5" style="498" customWidth="1"/>
    <col min="8965" max="8965" width="5.42578125" style="498" customWidth="1"/>
    <col min="8966" max="8966" width="4.5703125" style="498" customWidth="1"/>
    <col min="8967" max="8968" width="4.42578125" style="498" customWidth="1"/>
    <col min="8969" max="8969" width="3.5703125" style="498" customWidth="1"/>
    <col min="8970" max="8970" width="5" style="498" customWidth="1"/>
    <col min="8971" max="8971" width="4" style="498" customWidth="1"/>
    <col min="8972" max="8973" width="4.5703125" style="498" customWidth="1"/>
    <col min="8974" max="8974" width="4.42578125" style="498" customWidth="1"/>
    <col min="8975" max="8975" width="4" style="498" customWidth="1"/>
    <col min="8976" max="8976" width="3.5703125" style="498" customWidth="1"/>
    <col min="8977" max="8978" width="4.5703125" style="498" customWidth="1"/>
    <col min="8979" max="8979" width="4" style="498" customWidth="1"/>
    <col min="8980" max="8981" width="4.42578125" style="498" customWidth="1"/>
    <col min="8982" max="8982" width="3.5703125" style="498" customWidth="1"/>
    <col min="8983" max="8983" width="4.42578125" style="498" customWidth="1"/>
    <col min="8984" max="8984" width="5.5703125" style="498" customWidth="1"/>
    <col min="8985" max="8985" width="3.5703125" style="498" customWidth="1"/>
    <col min="8986" max="8986" width="4" style="498" customWidth="1"/>
    <col min="8987" max="8987" width="4.5703125" style="498" customWidth="1"/>
    <col min="8988" max="8990" width="4.42578125" style="498" customWidth="1"/>
    <col min="8991" max="8992" width="4.5703125" style="498" customWidth="1"/>
    <col min="8993" max="8993" width="4" style="498" customWidth="1"/>
    <col min="8994" max="8994" width="4.5703125" style="498" customWidth="1"/>
    <col min="8995" max="8995" width="6" style="498" customWidth="1"/>
    <col min="8996" max="8996" width="8.5703125" style="498" customWidth="1"/>
    <col min="8997" max="9216" width="11.42578125" style="498"/>
    <col min="9217" max="9217" width="6.42578125" style="498" customWidth="1"/>
    <col min="9218" max="9218" width="47.5703125" style="498" customWidth="1"/>
    <col min="9219" max="9220" width="5" style="498" customWidth="1"/>
    <col min="9221" max="9221" width="5.42578125" style="498" customWidth="1"/>
    <col min="9222" max="9222" width="4.5703125" style="498" customWidth="1"/>
    <col min="9223" max="9224" width="4.42578125" style="498" customWidth="1"/>
    <col min="9225" max="9225" width="3.5703125" style="498" customWidth="1"/>
    <col min="9226" max="9226" width="5" style="498" customWidth="1"/>
    <col min="9227" max="9227" width="4" style="498" customWidth="1"/>
    <col min="9228" max="9229" width="4.5703125" style="498" customWidth="1"/>
    <col min="9230" max="9230" width="4.42578125" style="498" customWidth="1"/>
    <col min="9231" max="9231" width="4" style="498" customWidth="1"/>
    <col min="9232" max="9232" width="3.5703125" style="498" customWidth="1"/>
    <col min="9233" max="9234" width="4.5703125" style="498" customWidth="1"/>
    <col min="9235" max="9235" width="4" style="498" customWidth="1"/>
    <col min="9236" max="9237" width="4.42578125" style="498" customWidth="1"/>
    <col min="9238" max="9238" width="3.5703125" style="498" customWidth="1"/>
    <col min="9239" max="9239" width="4.42578125" style="498" customWidth="1"/>
    <col min="9240" max="9240" width="5.5703125" style="498" customWidth="1"/>
    <col min="9241" max="9241" width="3.5703125" style="498" customWidth="1"/>
    <col min="9242" max="9242" width="4" style="498" customWidth="1"/>
    <col min="9243" max="9243" width="4.5703125" style="498" customWidth="1"/>
    <col min="9244" max="9246" width="4.42578125" style="498" customWidth="1"/>
    <col min="9247" max="9248" width="4.5703125" style="498" customWidth="1"/>
    <col min="9249" max="9249" width="4" style="498" customWidth="1"/>
    <col min="9250" max="9250" width="4.5703125" style="498" customWidth="1"/>
    <col min="9251" max="9251" width="6" style="498" customWidth="1"/>
    <col min="9252" max="9252" width="8.5703125" style="498" customWidth="1"/>
    <col min="9253" max="9472" width="11.42578125" style="498"/>
    <col min="9473" max="9473" width="6.42578125" style="498" customWidth="1"/>
    <col min="9474" max="9474" width="47.5703125" style="498" customWidth="1"/>
    <col min="9475" max="9476" width="5" style="498" customWidth="1"/>
    <col min="9477" max="9477" width="5.42578125" style="498" customWidth="1"/>
    <col min="9478" max="9478" width="4.5703125" style="498" customWidth="1"/>
    <col min="9479" max="9480" width="4.42578125" style="498" customWidth="1"/>
    <col min="9481" max="9481" width="3.5703125" style="498" customWidth="1"/>
    <col min="9482" max="9482" width="5" style="498" customWidth="1"/>
    <col min="9483" max="9483" width="4" style="498" customWidth="1"/>
    <col min="9484" max="9485" width="4.5703125" style="498" customWidth="1"/>
    <col min="9486" max="9486" width="4.42578125" style="498" customWidth="1"/>
    <col min="9487" max="9487" width="4" style="498" customWidth="1"/>
    <col min="9488" max="9488" width="3.5703125" style="498" customWidth="1"/>
    <col min="9489" max="9490" width="4.5703125" style="498" customWidth="1"/>
    <col min="9491" max="9491" width="4" style="498" customWidth="1"/>
    <col min="9492" max="9493" width="4.42578125" style="498" customWidth="1"/>
    <col min="9494" max="9494" width="3.5703125" style="498" customWidth="1"/>
    <col min="9495" max="9495" width="4.42578125" style="498" customWidth="1"/>
    <col min="9496" max="9496" width="5.5703125" style="498" customWidth="1"/>
    <col min="9497" max="9497" width="3.5703125" style="498" customWidth="1"/>
    <col min="9498" max="9498" width="4" style="498" customWidth="1"/>
    <col min="9499" max="9499" width="4.5703125" style="498" customWidth="1"/>
    <col min="9500" max="9502" width="4.42578125" style="498" customWidth="1"/>
    <col min="9503" max="9504" width="4.5703125" style="498" customWidth="1"/>
    <col min="9505" max="9505" width="4" style="498" customWidth="1"/>
    <col min="9506" max="9506" width="4.5703125" style="498" customWidth="1"/>
    <col min="9507" max="9507" width="6" style="498" customWidth="1"/>
    <col min="9508" max="9508" width="8.5703125" style="498" customWidth="1"/>
    <col min="9509" max="9728" width="11.42578125" style="498"/>
    <col min="9729" max="9729" width="6.42578125" style="498" customWidth="1"/>
    <col min="9730" max="9730" width="47.5703125" style="498" customWidth="1"/>
    <col min="9731" max="9732" width="5" style="498" customWidth="1"/>
    <col min="9733" max="9733" width="5.42578125" style="498" customWidth="1"/>
    <col min="9734" max="9734" width="4.5703125" style="498" customWidth="1"/>
    <col min="9735" max="9736" width="4.42578125" style="498" customWidth="1"/>
    <col min="9737" max="9737" width="3.5703125" style="498" customWidth="1"/>
    <col min="9738" max="9738" width="5" style="498" customWidth="1"/>
    <col min="9739" max="9739" width="4" style="498" customWidth="1"/>
    <col min="9740" max="9741" width="4.5703125" style="498" customWidth="1"/>
    <col min="9742" max="9742" width="4.42578125" style="498" customWidth="1"/>
    <col min="9743" max="9743" width="4" style="498" customWidth="1"/>
    <col min="9744" max="9744" width="3.5703125" style="498" customWidth="1"/>
    <col min="9745" max="9746" width="4.5703125" style="498" customWidth="1"/>
    <col min="9747" max="9747" width="4" style="498" customWidth="1"/>
    <col min="9748" max="9749" width="4.42578125" style="498" customWidth="1"/>
    <col min="9750" max="9750" width="3.5703125" style="498" customWidth="1"/>
    <col min="9751" max="9751" width="4.42578125" style="498" customWidth="1"/>
    <col min="9752" max="9752" width="5.5703125" style="498" customWidth="1"/>
    <col min="9753" max="9753" width="3.5703125" style="498" customWidth="1"/>
    <col min="9754" max="9754" width="4" style="498" customWidth="1"/>
    <col min="9755" max="9755" width="4.5703125" style="498" customWidth="1"/>
    <col min="9756" max="9758" width="4.42578125" style="498" customWidth="1"/>
    <col min="9759" max="9760" width="4.5703125" style="498" customWidth="1"/>
    <col min="9761" max="9761" width="4" style="498" customWidth="1"/>
    <col min="9762" max="9762" width="4.5703125" style="498" customWidth="1"/>
    <col min="9763" max="9763" width="6" style="498" customWidth="1"/>
    <col min="9764" max="9764" width="8.5703125" style="498" customWidth="1"/>
    <col min="9765" max="9984" width="11.42578125" style="498"/>
    <col min="9985" max="9985" width="6.42578125" style="498" customWidth="1"/>
    <col min="9986" max="9986" width="47.5703125" style="498" customWidth="1"/>
    <col min="9987" max="9988" width="5" style="498" customWidth="1"/>
    <col min="9989" max="9989" width="5.42578125" style="498" customWidth="1"/>
    <col min="9990" max="9990" width="4.5703125" style="498" customWidth="1"/>
    <col min="9991" max="9992" width="4.42578125" style="498" customWidth="1"/>
    <col min="9993" max="9993" width="3.5703125" style="498" customWidth="1"/>
    <col min="9994" max="9994" width="5" style="498" customWidth="1"/>
    <col min="9995" max="9995" width="4" style="498" customWidth="1"/>
    <col min="9996" max="9997" width="4.5703125" style="498" customWidth="1"/>
    <col min="9998" max="9998" width="4.42578125" style="498" customWidth="1"/>
    <col min="9999" max="9999" width="4" style="498" customWidth="1"/>
    <col min="10000" max="10000" width="3.5703125" style="498" customWidth="1"/>
    <col min="10001" max="10002" width="4.5703125" style="498" customWidth="1"/>
    <col min="10003" max="10003" width="4" style="498" customWidth="1"/>
    <col min="10004" max="10005" width="4.42578125" style="498" customWidth="1"/>
    <col min="10006" max="10006" width="3.5703125" style="498" customWidth="1"/>
    <col min="10007" max="10007" width="4.42578125" style="498" customWidth="1"/>
    <col min="10008" max="10008" width="5.5703125" style="498" customWidth="1"/>
    <col min="10009" max="10009" width="3.5703125" style="498" customWidth="1"/>
    <col min="10010" max="10010" width="4" style="498" customWidth="1"/>
    <col min="10011" max="10011" width="4.5703125" style="498" customWidth="1"/>
    <col min="10012" max="10014" width="4.42578125" style="498" customWidth="1"/>
    <col min="10015" max="10016" width="4.5703125" style="498" customWidth="1"/>
    <col min="10017" max="10017" width="4" style="498" customWidth="1"/>
    <col min="10018" max="10018" width="4.5703125" style="498" customWidth="1"/>
    <col min="10019" max="10019" width="6" style="498" customWidth="1"/>
    <col min="10020" max="10020" width="8.5703125" style="498" customWidth="1"/>
    <col min="10021" max="10240" width="11.42578125" style="498"/>
    <col min="10241" max="10241" width="6.42578125" style="498" customWidth="1"/>
    <col min="10242" max="10242" width="47.5703125" style="498" customWidth="1"/>
    <col min="10243" max="10244" width="5" style="498" customWidth="1"/>
    <col min="10245" max="10245" width="5.42578125" style="498" customWidth="1"/>
    <col min="10246" max="10246" width="4.5703125" style="498" customWidth="1"/>
    <col min="10247" max="10248" width="4.42578125" style="498" customWidth="1"/>
    <col min="10249" max="10249" width="3.5703125" style="498" customWidth="1"/>
    <col min="10250" max="10250" width="5" style="498" customWidth="1"/>
    <col min="10251" max="10251" width="4" style="498" customWidth="1"/>
    <col min="10252" max="10253" width="4.5703125" style="498" customWidth="1"/>
    <col min="10254" max="10254" width="4.42578125" style="498" customWidth="1"/>
    <col min="10255" max="10255" width="4" style="498" customWidth="1"/>
    <col min="10256" max="10256" width="3.5703125" style="498" customWidth="1"/>
    <col min="10257" max="10258" width="4.5703125" style="498" customWidth="1"/>
    <col min="10259" max="10259" width="4" style="498" customWidth="1"/>
    <col min="10260" max="10261" width="4.42578125" style="498" customWidth="1"/>
    <col min="10262" max="10262" width="3.5703125" style="498" customWidth="1"/>
    <col min="10263" max="10263" width="4.42578125" style="498" customWidth="1"/>
    <col min="10264" max="10264" width="5.5703125" style="498" customWidth="1"/>
    <col min="10265" max="10265" width="3.5703125" style="498" customWidth="1"/>
    <col min="10266" max="10266" width="4" style="498" customWidth="1"/>
    <col min="10267" max="10267" width="4.5703125" style="498" customWidth="1"/>
    <col min="10268" max="10270" width="4.42578125" style="498" customWidth="1"/>
    <col min="10271" max="10272" width="4.5703125" style="498" customWidth="1"/>
    <col min="10273" max="10273" width="4" style="498" customWidth="1"/>
    <col min="10274" max="10274" width="4.5703125" style="498" customWidth="1"/>
    <col min="10275" max="10275" width="6" style="498" customWidth="1"/>
    <col min="10276" max="10276" width="8.5703125" style="498" customWidth="1"/>
    <col min="10277" max="10496" width="11.42578125" style="498"/>
    <col min="10497" max="10497" width="6.42578125" style="498" customWidth="1"/>
    <col min="10498" max="10498" width="47.5703125" style="498" customWidth="1"/>
    <col min="10499" max="10500" width="5" style="498" customWidth="1"/>
    <col min="10501" max="10501" width="5.42578125" style="498" customWidth="1"/>
    <col min="10502" max="10502" width="4.5703125" style="498" customWidth="1"/>
    <col min="10503" max="10504" width="4.42578125" style="498" customWidth="1"/>
    <col min="10505" max="10505" width="3.5703125" style="498" customWidth="1"/>
    <col min="10506" max="10506" width="5" style="498" customWidth="1"/>
    <col min="10507" max="10507" width="4" style="498" customWidth="1"/>
    <col min="10508" max="10509" width="4.5703125" style="498" customWidth="1"/>
    <col min="10510" max="10510" width="4.42578125" style="498" customWidth="1"/>
    <col min="10511" max="10511" width="4" style="498" customWidth="1"/>
    <col min="10512" max="10512" width="3.5703125" style="498" customWidth="1"/>
    <col min="10513" max="10514" width="4.5703125" style="498" customWidth="1"/>
    <col min="10515" max="10515" width="4" style="498" customWidth="1"/>
    <col min="10516" max="10517" width="4.42578125" style="498" customWidth="1"/>
    <col min="10518" max="10518" width="3.5703125" style="498" customWidth="1"/>
    <col min="10519" max="10519" width="4.42578125" style="498" customWidth="1"/>
    <col min="10520" max="10520" width="5.5703125" style="498" customWidth="1"/>
    <col min="10521" max="10521" width="3.5703125" style="498" customWidth="1"/>
    <col min="10522" max="10522" width="4" style="498" customWidth="1"/>
    <col min="10523" max="10523" width="4.5703125" style="498" customWidth="1"/>
    <col min="10524" max="10526" width="4.42578125" style="498" customWidth="1"/>
    <col min="10527" max="10528" width="4.5703125" style="498" customWidth="1"/>
    <col min="10529" max="10529" width="4" style="498" customWidth="1"/>
    <col min="10530" max="10530" width="4.5703125" style="498" customWidth="1"/>
    <col min="10531" max="10531" width="6" style="498" customWidth="1"/>
    <col min="10532" max="10532" width="8.5703125" style="498" customWidth="1"/>
    <col min="10533" max="10752" width="11.42578125" style="498"/>
    <col min="10753" max="10753" width="6.42578125" style="498" customWidth="1"/>
    <col min="10754" max="10754" width="47.5703125" style="498" customWidth="1"/>
    <col min="10755" max="10756" width="5" style="498" customWidth="1"/>
    <col min="10757" max="10757" width="5.42578125" style="498" customWidth="1"/>
    <col min="10758" max="10758" width="4.5703125" style="498" customWidth="1"/>
    <col min="10759" max="10760" width="4.42578125" style="498" customWidth="1"/>
    <col min="10761" max="10761" width="3.5703125" style="498" customWidth="1"/>
    <col min="10762" max="10762" width="5" style="498" customWidth="1"/>
    <col min="10763" max="10763" width="4" style="498" customWidth="1"/>
    <col min="10764" max="10765" width="4.5703125" style="498" customWidth="1"/>
    <col min="10766" max="10766" width="4.42578125" style="498" customWidth="1"/>
    <col min="10767" max="10767" width="4" style="498" customWidth="1"/>
    <col min="10768" max="10768" width="3.5703125" style="498" customWidth="1"/>
    <col min="10769" max="10770" width="4.5703125" style="498" customWidth="1"/>
    <col min="10771" max="10771" width="4" style="498" customWidth="1"/>
    <col min="10772" max="10773" width="4.42578125" style="498" customWidth="1"/>
    <col min="10774" max="10774" width="3.5703125" style="498" customWidth="1"/>
    <col min="10775" max="10775" width="4.42578125" style="498" customWidth="1"/>
    <col min="10776" max="10776" width="5.5703125" style="498" customWidth="1"/>
    <col min="10777" max="10777" width="3.5703125" style="498" customWidth="1"/>
    <col min="10778" max="10778" width="4" style="498" customWidth="1"/>
    <col min="10779" max="10779" width="4.5703125" style="498" customWidth="1"/>
    <col min="10780" max="10782" width="4.42578125" style="498" customWidth="1"/>
    <col min="10783" max="10784" width="4.5703125" style="498" customWidth="1"/>
    <col min="10785" max="10785" width="4" style="498" customWidth="1"/>
    <col min="10786" max="10786" width="4.5703125" style="498" customWidth="1"/>
    <col min="10787" max="10787" width="6" style="498" customWidth="1"/>
    <col min="10788" max="10788" width="8.5703125" style="498" customWidth="1"/>
    <col min="10789" max="11008" width="11.42578125" style="498"/>
    <col min="11009" max="11009" width="6.42578125" style="498" customWidth="1"/>
    <col min="11010" max="11010" width="47.5703125" style="498" customWidth="1"/>
    <col min="11011" max="11012" width="5" style="498" customWidth="1"/>
    <col min="11013" max="11013" width="5.42578125" style="498" customWidth="1"/>
    <col min="11014" max="11014" width="4.5703125" style="498" customWidth="1"/>
    <col min="11015" max="11016" width="4.42578125" style="498" customWidth="1"/>
    <col min="11017" max="11017" width="3.5703125" style="498" customWidth="1"/>
    <col min="11018" max="11018" width="5" style="498" customWidth="1"/>
    <col min="11019" max="11019" width="4" style="498" customWidth="1"/>
    <col min="11020" max="11021" width="4.5703125" style="498" customWidth="1"/>
    <col min="11022" max="11022" width="4.42578125" style="498" customWidth="1"/>
    <col min="11023" max="11023" width="4" style="498" customWidth="1"/>
    <col min="11024" max="11024" width="3.5703125" style="498" customWidth="1"/>
    <col min="11025" max="11026" width="4.5703125" style="498" customWidth="1"/>
    <col min="11027" max="11027" width="4" style="498" customWidth="1"/>
    <col min="11028" max="11029" width="4.42578125" style="498" customWidth="1"/>
    <col min="11030" max="11030" width="3.5703125" style="498" customWidth="1"/>
    <col min="11031" max="11031" width="4.42578125" style="498" customWidth="1"/>
    <col min="11032" max="11032" width="5.5703125" style="498" customWidth="1"/>
    <col min="11033" max="11033" width="3.5703125" style="498" customWidth="1"/>
    <col min="11034" max="11034" width="4" style="498" customWidth="1"/>
    <col min="11035" max="11035" width="4.5703125" style="498" customWidth="1"/>
    <col min="11036" max="11038" width="4.42578125" style="498" customWidth="1"/>
    <col min="11039" max="11040" width="4.5703125" style="498" customWidth="1"/>
    <col min="11041" max="11041" width="4" style="498" customWidth="1"/>
    <col min="11042" max="11042" width="4.5703125" style="498" customWidth="1"/>
    <col min="11043" max="11043" width="6" style="498" customWidth="1"/>
    <col min="11044" max="11044" width="8.5703125" style="498" customWidth="1"/>
    <col min="11045" max="11264" width="11.42578125" style="498"/>
    <col min="11265" max="11265" width="6.42578125" style="498" customWidth="1"/>
    <col min="11266" max="11266" width="47.5703125" style="498" customWidth="1"/>
    <col min="11267" max="11268" width="5" style="498" customWidth="1"/>
    <col min="11269" max="11269" width="5.42578125" style="498" customWidth="1"/>
    <col min="11270" max="11270" width="4.5703125" style="498" customWidth="1"/>
    <col min="11271" max="11272" width="4.42578125" style="498" customWidth="1"/>
    <col min="11273" max="11273" width="3.5703125" style="498" customWidth="1"/>
    <col min="11274" max="11274" width="5" style="498" customWidth="1"/>
    <col min="11275" max="11275" width="4" style="498" customWidth="1"/>
    <col min="11276" max="11277" width="4.5703125" style="498" customWidth="1"/>
    <col min="11278" max="11278" width="4.42578125" style="498" customWidth="1"/>
    <col min="11279" max="11279" width="4" style="498" customWidth="1"/>
    <col min="11280" max="11280" width="3.5703125" style="498" customWidth="1"/>
    <col min="11281" max="11282" width="4.5703125" style="498" customWidth="1"/>
    <col min="11283" max="11283" width="4" style="498" customWidth="1"/>
    <col min="11284" max="11285" width="4.42578125" style="498" customWidth="1"/>
    <col min="11286" max="11286" width="3.5703125" style="498" customWidth="1"/>
    <col min="11287" max="11287" width="4.42578125" style="498" customWidth="1"/>
    <col min="11288" max="11288" width="5.5703125" style="498" customWidth="1"/>
    <col min="11289" max="11289" width="3.5703125" style="498" customWidth="1"/>
    <col min="11290" max="11290" width="4" style="498" customWidth="1"/>
    <col min="11291" max="11291" width="4.5703125" style="498" customWidth="1"/>
    <col min="11292" max="11294" width="4.42578125" style="498" customWidth="1"/>
    <col min="11295" max="11296" width="4.5703125" style="498" customWidth="1"/>
    <col min="11297" max="11297" width="4" style="498" customWidth="1"/>
    <col min="11298" max="11298" width="4.5703125" style="498" customWidth="1"/>
    <col min="11299" max="11299" width="6" style="498" customWidth="1"/>
    <col min="11300" max="11300" width="8.5703125" style="498" customWidth="1"/>
    <col min="11301" max="11520" width="11.42578125" style="498"/>
    <col min="11521" max="11521" width="6.42578125" style="498" customWidth="1"/>
    <col min="11522" max="11522" width="47.5703125" style="498" customWidth="1"/>
    <col min="11523" max="11524" width="5" style="498" customWidth="1"/>
    <col min="11525" max="11525" width="5.42578125" style="498" customWidth="1"/>
    <col min="11526" max="11526" width="4.5703125" style="498" customWidth="1"/>
    <col min="11527" max="11528" width="4.42578125" style="498" customWidth="1"/>
    <col min="11529" max="11529" width="3.5703125" style="498" customWidth="1"/>
    <col min="11530" max="11530" width="5" style="498" customWidth="1"/>
    <col min="11531" max="11531" width="4" style="498" customWidth="1"/>
    <col min="11532" max="11533" width="4.5703125" style="498" customWidth="1"/>
    <col min="11534" max="11534" width="4.42578125" style="498" customWidth="1"/>
    <col min="11535" max="11535" width="4" style="498" customWidth="1"/>
    <col min="11536" max="11536" width="3.5703125" style="498" customWidth="1"/>
    <col min="11537" max="11538" width="4.5703125" style="498" customWidth="1"/>
    <col min="11539" max="11539" width="4" style="498" customWidth="1"/>
    <col min="11540" max="11541" width="4.42578125" style="498" customWidth="1"/>
    <col min="11542" max="11542" width="3.5703125" style="498" customWidth="1"/>
    <col min="11543" max="11543" width="4.42578125" style="498" customWidth="1"/>
    <col min="11544" max="11544" width="5.5703125" style="498" customWidth="1"/>
    <col min="11545" max="11545" width="3.5703125" style="498" customWidth="1"/>
    <col min="11546" max="11546" width="4" style="498" customWidth="1"/>
    <col min="11547" max="11547" width="4.5703125" style="498" customWidth="1"/>
    <col min="11548" max="11550" width="4.42578125" style="498" customWidth="1"/>
    <col min="11551" max="11552" width="4.5703125" style="498" customWidth="1"/>
    <col min="11553" max="11553" width="4" style="498" customWidth="1"/>
    <col min="11554" max="11554" width="4.5703125" style="498" customWidth="1"/>
    <col min="11555" max="11555" width="6" style="498" customWidth="1"/>
    <col min="11556" max="11556" width="8.5703125" style="498" customWidth="1"/>
    <col min="11557" max="11776" width="11.42578125" style="498"/>
    <col min="11777" max="11777" width="6.42578125" style="498" customWidth="1"/>
    <col min="11778" max="11778" width="47.5703125" style="498" customWidth="1"/>
    <col min="11779" max="11780" width="5" style="498" customWidth="1"/>
    <col min="11781" max="11781" width="5.42578125" style="498" customWidth="1"/>
    <col min="11782" max="11782" width="4.5703125" style="498" customWidth="1"/>
    <col min="11783" max="11784" width="4.42578125" style="498" customWidth="1"/>
    <col min="11785" max="11785" width="3.5703125" style="498" customWidth="1"/>
    <col min="11786" max="11786" width="5" style="498" customWidth="1"/>
    <col min="11787" max="11787" width="4" style="498" customWidth="1"/>
    <col min="11788" max="11789" width="4.5703125" style="498" customWidth="1"/>
    <col min="11790" max="11790" width="4.42578125" style="498" customWidth="1"/>
    <col min="11791" max="11791" width="4" style="498" customWidth="1"/>
    <col min="11792" max="11792" width="3.5703125" style="498" customWidth="1"/>
    <col min="11793" max="11794" width="4.5703125" style="498" customWidth="1"/>
    <col min="11795" max="11795" width="4" style="498" customWidth="1"/>
    <col min="11796" max="11797" width="4.42578125" style="498" customWidth="1"/>
    <col min="11798" max="11798" width="3.5703125" style="498" customWidth="1"/>
    <col min="11799" max="11799" width="4.42578125" style="498" customWidth="1"/>
    <col min="11800" max="11800" width="5.5703125" style="498" customWidth="1"/>
    <col min="11801" max="11801" width="3.5703125" style="498" customWidth="1"/>
    <col min="11802" max="11802" width="4" style="498" customWidth="1"/>
    <col min="11803" max="11803" width="4.5703125" style="498" customWidth="1"/>
    <col min="11804" max="11806" width="4.42578125" style="498" customWidth="1"/>
    <col min="11807" max="11808" width="4.5703125" style="498" customWidth="1"/>
    <col min="11809" max="11809" width="4" style="498" customWidth="1"/>
    <col min="11810" max="11810" width="4.5703125" style="498" customWidth="1"/>
    <col min="11811" max="11811" width="6" style="498" customWidth="1"/>
    <col min="11812" max="11812" width="8.5703125" style="498" customWidth="1"/>
    <col min="11813" max="12032" width="11.42578125" style="498"/>
    <col min="12033" max="12033" width="6.42578125" style="498" customWidth="1"/>
    <col min="12034" max="12034" width="47.5703125" style="498" customWidth="1"/>
    <col min="12035" max="12036" width="5" style="498" customWidth="1"/>
    <col min="12037" max="12037" width="5.42578125" style="498" customWidth="1"/>
    <col min="12038" max="12038" width="4.5703125" style="498" customWidth="1"/>
    <col min="12039" max="12040" width="4.42578125" style="498" customWidth="1"/>
    <col min="12041" max="12041" width="3.5703125" style="498" customWidth="1"/>
    <col min="12042" max="12042" width="5" style="498" customWidth="1"/>
    <col min="12043" max="12043" width="4" style="498" customWidth="1"/>
    <col min="12044" max="12045" width="4.5703125" style="498" customWidth="1"/>
    <col min="12046" max="12046" width="4.42578125" style="498" customWidth="1"/>
    <col min="12047" max="12047" width="4" style="498" customWidth="1"/>
    <col min="12048" max="12048" width="3.5703125" style="498" customWidth="1"/>
    <col min="12049" max="12050" width="4.5703125" style="498" customWidth="1"/>
    <col min="12051" max="12051" width="4" style="498" customWidth="1"/>
    <col min="12052" max="12053" width="4.42578125" style="498" customWidth="1"/>
    <col min="12054" max="12054" width="3.5703125" style="498" customWidth="1"/>
    <col min="12055" max="12055" width="4.42578125" style="498" customWidth="1"/>
    <col min="12056" max="12056" width="5.5703125" style="498" customWidth="1"/>
    <col min="12057" max="12057" width="3.5703125" style="498" customWidth="1"/>
    <col min="12058" max="12058" width="4" style="498" customWidth="1"/>
    <col min="12059" max="12059" width="4.5703125" style="498" customWidth="1"/>
    <col min="12060" max="12062" width="4.42578125" style="498" customWidth="1"/>
    <col min="12063" max="12064" width="4.5703125" style="498" customWidth="1"/>
    <col min="12065" max="12065" width="4" style="498" customWidth="1"/>
    <col min="12066" max="12066" width="4.5703125" style="498" customWidth="1"/>
    <col min="12067" max="12067" width="6" style="498" customWidth="1"/>
    <col min="12068" max="12068" width="8.5703125" style="498" customWidth="1"/>
    <col min="12069" max="12288" width="11.42578125" style="498"/>
    <col min="12289" max="12289" width="6.42578125" style="498" customWidth="1"/>
    <col min="12290" max="12290" width="47.5703125" style="498" customWidth="1"/>
    <col min="12291" max="12292" width="5" style="498" customWidth="1"/>
    <col min="12293" max="12293" width="5.42578125" style="498" customWidth="1"/>
    <col min="12294" max="12294" width="4.5703125" style="498" customWidth="1"/>
    <col min="12295" max="12296" width="4.42578125" style="498" customWidth="1"/>
    <col min="12297" max="12297" width="3.5703125" style="498" customWidth="1"/>
    <col min="12298" max="12298" width="5" style="498" customWidth="1"/>
    <col min="12299" max="12299" width="4" style="498" customWidth="1"/>
    <col min="12300" max="12301" width="4.5703125" style="498" customWidth="1"/>
    <col min="12302" max="12302" width="4.42578125" style="498" customWidth="1"/>
    <col min="12303" max="12303" width="4" style="498" customWidth="1"/>
    <col min="12304" max="12304" width="3.5703125" style="498" customWidth="1"/>
    <col min="12305" max="12306" width="4.5703125" style="498" customWidth="1"/>
    <col min="12307" max="12307" width="4" style="498" customWidth="1"/>
    <col min="12308" max="12309" width="4.42578125" style="498" customWidth="1"/>
    <col min="12310" max="12310" width="3.5703125" style="498" customWidth="1"/>
    <col min="12311" max="12311" width="4.42578125" style="498" customWidth="1"/>
    <col min="12312" max="12312" width="5.5703125" style="498" customWidth="1"/>
    <col min="12313" max="12313" width="3.5703125" style="498" customWidth="1"/>
    <col min="12314" max="12314" width="4" style="498" customWidth="1"/>
    <col min="12315" max="12315" width="4.5703125" style="498" customWidth="1"/>
    <col min="12316" max="12318" width="4.42578125" style="498" customWidth="1"/>
    <col min="12319" max="12320" width="4.5703125" style="498" customWidth="1"/>
    <col min="12321" max="12321" width="4" style="498" customWidth="1"/>
    <col min="12322" max="12322" width="4.5703125" style="498" customWidth="1"/>
    <col min="12323" max="12323" width="6" style="498" customWidth="1"/>
    <col min="12324" max="12324" width="8.5703125" style="498" customWidth="1"/>
    <col min="12325" max="12544" width="11.42578125" style="498"/>
    <col min="12545" max="12545" width="6.42578125" style="498" customWidth="1"/>
    <col min="12546" max="12546" width="47.5703125" style="498" customWidth="1"/>
    <col min="12547" max="12548" width="5" style="498" customWidth="1"/>
    <col min="12549" max="12549" width="5.42578125" style="498" customWidth="1"/>
    <col min="12550" max="12550" width="4.5703125" style="498" customWidth="1"/>
    <col min="12551" max="12552" width="4.42578125" style="498" customWidth="1"/>
    <col min="12553" max="12553" width="3.5703125" style="498" customWidth="1"/>
    <col min="12554" max="12554" width="5" style="498" customWidth="1"/>
    <col min="12555" max="12555" width="4" style="498" customWidth="1"/>
    <col min="12556" max="12557" width="4.5703125" style="498" customWidth="1"/>
    <col min="12558" max="12558" width="4.42578125" style="498" customWidth="1"/>
    <col min="12559" max="12559" width="4" style="498" customWidth="1"/>
    <col min="12560" max="12560" width="3.5703125" style="498" customWidth="1"/>
    <col min="12561" max="12562" width="4.5703125" style="498" customWidth="1"/>
    <col min="12563" max="12563" width="4" style="498" customWidth="1"/>
    <col min="12564" max="12565" width="4.42578125" style="498" customWidth="1"/>
    <col min="12566" max="12566" width="3.5703125" style="498" customWidth="1"/>
    <col min="12567" max="12567" width="4.42578125" style="498" customWidth="1"/>
    <col min="12568" max="12568" width="5.5703125" style="498" customWidth="1"/>
    <col min="12569" max="12569" width="3.5703125" style="498" customWidth="1"/>
    <col min="12570" max="12570" width="4" style="498" customWidth="1"/>
    <col min="12571" max="12571" width="4.5703125" style="498" customWidth="1"/>
    <col min="12572" max="12574" width="4.42578125" style="498" customWidth="1"/>
    <col min="12575" max="12576" width="4.5703125" style="498" customWidth="1"/>
    <col min="12577" max="12577" width="4" style="498" customWidth="1"/>
    <col min="12578" max="12578" width="4.5703125" style="498" customWidth="1"/>
    <col min="12579" max="12579" width="6" style="498" customWidth="1"/>
    <col min="12580" max="12580" width="8.5703125" style="498" customWidth="1"/>
    <col min="12581" max="12800" width="11.42578125" style="498"/>
    <col min="12801" max="12801" width="6.42578125" style="498" customWidth="1"/>
    <col min="12802" max="12802" width="47.5703125" style="498" customWidth="1"/>
    <col min="12803" max="12804" width="5" style="498" customWidth="1"/>
    <col min="12805" max="12805" width="5.42578125" style="498" customWidth="1"/>
    <col min="12806" max="12806" width="4.5703125" style="498" customWidth="1"/>
    <col min="12807" max="12808" width="4.42578125" style="498" customWidth="1"/>
    <col min="12809" max="12809" width="3.5703125" style="498" customWidth="1"/>
    <col min="12810" max="12810" width="5" style="498" customWidth="1"/>
    <col min="12811" max="12811" width="4" style="498" customWidth="1"/>
    <col min="12812" max="12813" width="4.5703125" style="498" customWidth="1"/>
    <col min="12814" max="12814" width="4.42578125" style="498" customWidth="1"/>
    <col min="12815" max="12815" width="4" style="498" customWidth="1"/>
    <col min="12816" max="12816" width="3.5703125" style="498" customWidth="1"/>
    <col min="12817" max="12818" width="4.5703125" style="498" customWidth="1"/>
    <col min="12819" max="12819" width="4" style="498" customWidth="1"/>
    <col min="12820" max="12821" width="4.42578125" style="498" customWidth="1"/>
    <col min="12822" max="12822" width="3.5703125" style="498" customWidth="1"/>
    <col min="12823" max="12823" width="4.42578125" style="498" customWidth="1"/>
    <col min="12824" max="12824" width="5.5703125" style="498" customWidth="1"/>
    <col min="12825" max="12825" width="3.5703125" style="498" customWidth="1"/>
    <col min="12826" max="12826" width="4" style="498" customWidth="1"/>
    <col min="12827" max="12827" width="4.5703125" style="498" customWidth="1"/>
    <col min="12828" max="12830" width="4.42578125" style="498" customWidth="1"/>
    <col min="12831" max="12832" width="4.5703125" style="498" customWidth="1"/>
    <col min="12833" max="12833" width="4" style="498" customWidth="1"/>
    <col min="12834" max="12834" width="4.5703125" style="498" customWidth="1"/>
    <col min="12835" max="12835" width="6" style="498" customWidth="1"/>
    <col min="12836" max="12836" width="8.5703125" style="498" customWidth="1"/>
    <col min="12837" max="13056" width="11.42578125" style="498"/>
    <col min="13057" max="13057" width="6.42578125" style="498" customWidth="1"/>
    <col min="13058" max="13058" width="47.5703125" style="498" customWidth="1"/>
    <col min="13059" max="13060" width="5" style="498" customWidth="1"/>
    <col min="13061" max="13061" width="5.42578125" style="498" customWidth="1"/>
    <col min="13062" max="13062" width="4.5703125" style="498" customWidth="1"/>
    <col min="13063" max="13064" width="4.42578125" style="498" customWidth="1"/>
    <col min="13065" max="13065" width="3.5703125" style="498" customWidth="1"/>
    <col min="13066" max="13066" width="5" style="498" customWidth="1"/>
    <col min="13067" max="13067" width="4" style="498" customWidth="1"/>
    <col min="13068" max="13069" width="4.5703125" style="498" customWidth="1"/>
    <col min="13070" max="13070" width="4.42578125" style="498" customWidth="1"/>
    <col min="13071" max="13071" width="4" style="498" customWidth="1"/>
    <col min="13072" max="13072" width="3.5703125" style="498" customWidth="1"/>
    <col min="13073" max="13074" width="4.5703125" style="498" customWidth="1"/>
    <col min="13075" max="13075" width="4" style="498" customWidth="1"/>
    <col min="13076" max="13077" width="4.42578125" style="498" customWidth="1"/>
    <col min="13078" max="13078" width="3.5703125" style="498" customWidth="1"/>
    <col min="13079" max="13079" width="4.42578125" style="498" customWidth="1"/>
    <col min="13080" max="13080" width="5.5703125" style="498" customWidth="1"/>
    <col min="13081" max="13081" width="3.5703125" style="498" customWidth="1"/>
    <col min="13082" max="13082" width="4" style="498" customWidth="1"/>
    <col min="13083" max="13083" width="4.5703125" style="498" customWidth="1"/>
    <col min="13084" max="13086" width="4.42578125" style="498" customWidth="1"/>
    <col min="13087" max="13088" width="4.5703125" style="498" customWidth="1"/>
    <col min="13089" max="13089" width="4" style="498" customWidth="1"/>
    <col min="13090" max="13090" width="4.5703125" style="498" customWidth="1"/>
    <col min="13091" max="13091" width="6" style="498" customWidth="1"/>
    <col min="13092" max="13092" width="8.5703125" style="498" customWidth="1"/>
    <col min="13093" max="13312" width="11.42578125" style="498"/>
    <col min="13313" max="13313" width="6.42578125" style="498" customWidth="1"/>
    <col min="13314" max="13314" width="47.5703125" style="498" customWidth="1"/>
    <col min="13315" max="13316" width="5" style="498" customWidth="1"/>
    <col min="13317" max="13317" width="5.42578125" style="498" customWidth="1"/>
    <col min="13318" max="13318" width="4.5703125" style="498" customWidth="1"/>
    <col min="13319" max="13320" width="4.42578125" style="498" customWidth="1"/>
    <col min="13321" max="13321" width="3.5703125" style="498" customWidth="1"/>
    <col min="13322" max="13322" width="5" style="498" customWidth="1"/>
    <col min="13323" max="13323" width="4" style="498" customWidth="1"/>
    <col min="13324" max="13325" width="4.5703125" style="498" customWidth="1"/>
    <col min="13326" max="13326" width="4.42578125" style="498" customWidth="1"/>
    <col min="13327" max="13327" width="4" style="498" customWidth="1"/>
    <col min="13328" max="13328" width="3.5703125" style="498" customWidth="1"/>
    <col min="13329" max="13330" width="4.5703125" style="498" customWidth="1"/>
    <col min="13331" max="13331" width="4" style="498" customWidth="1"/>
    <col min="13332" max="13333" width="4.42578125" style="498" customWidth="1"/>
    <col min="13334" max="13334" width="3.5703125" style="498" customWidth="1"/>
    <col min="13335" max="13335" width="4.42578125" style="498" customWidth="1"/>
    <col min="13336" max="13336" width="5.5703125" style="498" customWidth="1"/>
    <col min="13337" max="13337" width="3.5703125" style="498" customWidth="1"/>
    <col min="13338" max="13338" width="4" style="498" customWidth="1"/>
    <col min="13339" max="13339" width="4.5703125" style="498" customWidth="1"/>
    <col min="13340" max="13342" width="4.42578125" style="498" customWidth="1"/>
    <col min="13343" max="13344" width="4.5703125" style="498" customWidth="1"/>
    <col min="13345" max="13345" width="4" style="498" customWidth="1"/>
    <col min="13346" max="13346" width="4.5703125" style="498" customWidth="1"/>
    <col min="13347" max="13347" width="6" style="498" customWidth="1"/>
    <col min="13348" max="13348" width="8.5703125" style="498" customWidth="1"/>
    <col min="13349" max="13568" width="11.42578125" style="498"/>
    <col min="13569" max="13569" width="6.42578125" style="498" customWidth="1"/>
    <col min="13570" max="13570" width="47.5703125" style="498" customWidth="1"/>
    <col min="13571" max="13572" width="5" style="498" customWidth="1"/>
    <col min="13573" max="13573" width="5.42578125" style="498" customWidth="1"/>
    <col min="13574" max="13574" width="4.5703125" style="498" customWidth="1"/>
    <col min="13575" max="13576" width="4.42578125" style="498" customWidth="1"/>
    <col min="13577" max="13577" width="3.5703125" style="498" customWidth="1"/>
    <col min="13578" max="13578" width="5" style="498" customWidth="1"/>
    <col min="13579" max="13579" width="4" style="498" customWidth="1"/>
    <col min="13580" max="13581" width="4.5703125" style="498" customWidth="1"/>
    <col min="13582" max="13582" width="4.42578125" style="498" customWidth="1"/>
    <col min="13583" max="13583" width="4" style="498" customWidth="1"/>
    <col min="13584" max="13584" width="3.5703125" style="498" customWidth="1"/>
    <col min="13585" max="13586" width="4.5703125" style="498" customWidth="1"/>
    <col min="13587" max="13587" width="4" style="498" customWidth="1"/>
    <col min="13588" max="13589" width="4.42578125" style="498" customWidth="1"/>
    <col min="13590" max="13590" width="3.5703125" style="498" customWidth="1"/>
    <col min="13591" max="13591" width="4.42578125" style="498" customWidth="1"/>
    <col min="13592" max="13592" width="5.5703125" style="498" customWidth="1"/>
    <col min="13593" max="13593" width="3.5703125" style="498" customWidth="1"/>
    <col min="13594" max="13594" width="4" style="498" customWidth="1"/>
    <col min="13595" max="13595" width="4.5703125" style="498" customWidth="1"/>
    <col min="13596" max="13598" width="4.42578125" style="498" customWidth="1"/>
    <col min="13599" max="13600" width="4.5703125" style="498" customWidth="1"/>
    <col min="13601" max="13601" width="4" style="498" customWidth="1"/>
    <col min="13602" max="13602" width="4.5703125" style="498" customWidth="1"/>
    <col min="13603" max="13603" width="6" style="498" customWidth="1"/>
    <col min="13604" max="13604" width="8.5703125" style="498" customWidth="1"/>
    <col min="13605" max="13824" width="11.42578125" style="498"/>
    <col min="13825" max="13825" width="6.42578125" style="498" customWidth="1"/>
    <col min="13826" max="13826" width="47.5703125" style="498" customWidth="1"/>
    <col min="13827" max="13828" width="5" style="498" customWidth="1"/>
    <col min="13829" max="13829" width="5.42578125" style="498" customWidth="1"/>
    <col min="13830" max="13830" width="4.5703125" style="498" customWidth="1"/>
    <col min="13831" max="13832" width="4.42578125" style="498" customWidth="1"/>
    <col min="13833" max="13833" width="3.5703125" style="498" customWidth="1"/>
    <col min="13834" max="13834" width="5" style="498" customWidth="1"/>
    <col min="13835" max="13835" width="4" style="498" customWidth="1"/>
    <col min="13836" max="13837" width="4.5703125" style="498" customWidth="1"/>
    <col min="13838" max="13838" width="4.42578125" style="498" customWidth="1"/>
    <col min="13839" max="13839" width="4" style="498" customWidth="1"/>
    <col min="13840" max="13840" width="3.5703125" style="498" customWidth="1"/>
    <col min="13841" max="13842" width="4.5703125" style="498" customWidth="1"/>
    <col min="13843" max="13843" width="4" style="498" customWidth="1"/>
    <col min="13844" max="13845" width="4.42578125" style="498" customWidth="1"/>
    <col min="13846" max="13846" width="3.5703125" style="498" customWidth="1"/>
    <col min="13847" max="13847" width="4.42578125" style="498" customWidth="1"/>
    <col min="13848" max="13848" width="5.5703125" style="498" customWidth="1"/>
    <col min="13849" max="13849" width="3.5703125" style="498" customWidth="1"/>
    <col min="13850" max="13850" width="4" style="498" customWidth="1"/>
    <col min="13851" max="13851" width="4.5703125" style="498" customWidth="1"/>
    <col min="13852" max="13854" width="4.42578125" style="498" customWidth="1"/>
    <col min="13855" max="13856" width="4.5703125" style="498" customWidth="1"/>
    <col min="13857" max="13857" width="4" style="498" customWidth="1"/>
    <col min="13858" max="13858" width="4.5703125" style="498" customWidth="1"/>
    <col min="13859" max="13859" width="6" style="498" customWidth="1"/>
    <col min="13860" max="13860" width="8.5703125" style="498" customWidth="1"/>
    <col min="13861" max="14080" width="11.42578125" style="498"/>
    <col min="14081" max="14081" width="6.42578125" style="498" customWidth="1"/>
    <col min="14082" max="14082" width="47.5703125" style="498" customWidth="1"/>
    <col min="14083" max="14084" width="5" style="498" customWidth="1"/>
    <col min="14085" max="14085" width="5.42578125" style="498" customWidth="1"/>
    <col min="14086" max="14086" width="4.5703125" style="498" customWidth="1"/>
    <col min="14087" max="14088" width="4.42578125" style="498" customWidth="1"/>
    <col min="14089" max="14089" width="3.5703125" style="498" customWidth="1"/>
    <col min="14090" max="14090" width="5" style="498" customWidth="1"/>
    <col min="14091" max="14091" width="4" style="498" customWidth="1"/>
    <col min="14092" max="14093" width="4.5703125" style="498" customWidth="1"/>
    <col min="14094" max="14094" width="4.42578125" style="498" customWidth="1"/>
    <col min="14095" max="14095" width="4" style="498" customWidth="1"/>
    <col min="14096" max="14096" width="3.5703125" style="498" customWidth="1"/>
    <col min="14097" max="14098" width="4.5703125" style="498" customWidth="1"/>
    <col min="14099" max="14099" width="4" style="498" customWidth="1"/>
    <col min="14100" max="14101" width="4.42578125" style="498" customWidth="1"/>
    <col min="14102" max="14102" width="3.5703125" style="498" customWidth="1"/>
    <col min="14103" max="14103" width="4.42578125" style="498" customWidth="1"/>
    <col min="14104" max="14104" width="5.5703125" style="498" customWidth="1"/>
    <col min="14105" max="14105" width="3.5703125" style="498" customWidth="1"/>
    <col min="14106" max="14106" width="4" style="498" customWidth="1"/>
    <col min="14107" max="14107" width="4.5703125" style="498" customWidth="1"/>
    <col min="14108" max="14110" width="4.42578125" style="498" customWidth="1"/>
    <col min="14111" max="14112" width="4.5703125" style="498" customWidth="1"/>
    <col min="14113" max="14113" width="4" style="498" customWidth="1"/>
    <col min="14114" max="14114" width="4.5703125" style="498" customWidth="1"/>
    <col min="14115" max="14115" width="6" style="498" customWidth="1"/>
    <col min="14116" max="14116" width="8.5703125" style="498" customWidth="1"/>
    <col min="14117" max="14336" width="11.42578125" style="498"/>
    <col min="14337" max="14337" width="6.42578125" style="498" customWidth="1"/>
    <col min="14338" max="14338" width="47.5703125" style="498" customWidth="1"/>
    <col min="14339" max="14340" width="5" style="498" customWidth="1"/>
    <col min="14341" max="14341" width="5.42578125" style="498" customWidth="1"/>
    <col min="14342" max="14342" width="4.5703125" style="498" customWidth="1"/>
    <col min="14343" max="14344" width="4.42578125" style="498" customWidth="1"/>
    <col min="14345" max="14345" width="3.5703125" style="498" customWidth="1"/>
    <col min="14346" max="14346" width="5" style="498" customWidth="1"/>
    <col min="14347" max="14347" width="4" style="498" customWidth="1"/>
    <col min="14348" max="14349" width="4.5703125" style="498" customWidth="1"/>
    <col min="14350" max="14350" width="4.42578125" style="498" customWidth="1"/>
    <col min="14351" max="14351" width="4" style="498" customWidth="1"/>
    <col min="14352" max="14352" width="3.5703125" style="498" customWidth="1"/>
    <col min="14353" max="14354" width="4.5703125" style="498" customWidth="1"/>
    <col min="14355" max="14355" width="4" style="498" customWidth="1"/>
    <col min="14356" max="14357" width="4.42578125" style="498" customWidth="1"/>
    <col min="14358" max="14358" width="3.5703125" style="498" customWidth="1"/>
    <col min="14359" max="14359" width="4.42578125" style="498" customWidth="1"/>
    <col min="14360" max="14360" width="5.5703125" style="498" customWidth="1"/>
    <col min="14361" max="14361" width="3.5703125" style="498" customWidth="1"/>
    <col min="14362" max="14362" width="4" style="498" customWidth="1"/>
    <col min="14363" max="14363" width="4.5703125" style="498" customWidth="1"/>
    <col min="14364" max="14366" width="4.42578125" style="498" customWidth="1"/>
    <col min="14367" max="14368" width="4.5703125" style="498" customWidth="1"/>
    <col min="14369" max="14369" width="4" style="498" customWidth="1"/>
    <col min="14370" max="14370" width="4.5703125" style="498" customWidth="1"/>
    <col min="14371" max="14371" width="6" style="498" customWidth="1"/>
    <col min="14372" max="14372" width="8.5703125" style="498" customWidth="1"/>
    <col min="14373" max="14592" width="11.42578125" style="498"/>
    <col min="14593" max="14593" width="6.42578125" style="498" customWidth="1"/>
    <col min="14594" max="14594" width="47.5703125" style="498" customWidth="1"/>
    <col min="14595" max="14596" width="5" style="498" customWidth="1"/>
    <col min="14597" max="14597" width="5.42578125" style="498" customWidth="1"/>
    <col min="14598" max="14598" width="4.5703125" style="498" customWidth="1"/>
    <col min="14599" max="14600" width="4.42578125" style="498" customWidth="1"/>
    <col min="14601" max="14601" width="3.5703125" style="498" customWidth="1"/>
    <col min="14602" max="14602" width="5" style="498" customWidth="1"/>
    <col min="14603" max="14603" width="4" style="498" customWidth="1"/>
    <col min="14604" max="14605" width="4.5703125" style="498" customWidth="1"/>
    <col min="14606" max="14606" width="4.42578125" style="498" customWidth="1"/>
    <col min="14607" max="14607" width="4" style="498" customWidth="1"/>
    <col min="14608" max="14608" width="3.5703125" style="498" customWidth="1"/>
    <col min="14609" max="14610" width="4.5703125" style="498" customWidth="1"/>
    <col min="14611" max="14611" width="4" style="498" customWidth="1"/>
    <col min="14612" max="14613" width="4.42578125" style="498" customWidth="1"/>
    <col min="14614" max="14614" width="3.5703125" style="498" customWidth="1"/>
    <col min="14615" max="14615" width="4.42578125" style="498" customWidth="1"/>
    <col min="14616" max="14616" width="5.5703125" style="498" customWidth="1"/>
    <col min="14617" max="14617" width="3.5703125" style="498" customWidth="1"/>
    <col min="14618" max="14618" width="4" style="498" customWidth="1"/>
    <col min="14619" max="14619" width="4.5703125" style="498" customWidth="1"/>
    <col min="14620" max="14622" width="4.42578125" style="498" customWidth="1"/>
    <col min="14623" max="14624" width="4.5703125" style="498" customWidth="1"/>
    <col min="14625" max="14625" width="4" style="498" customWidth="1"/>
    <col min="14626" max="14626" width="4.5703125" style="498" customWidth="1"/>
    <col min="14627" max="14627" width="6" style="498" customWidth="1"/>
    <col min="14628" max="14628" width="8.5703125" style="498" customWidth="1"/>
    <col min="14629" max="14848" width="11.42578125" style="498"/>
    <col min="14849" max="14849" width="6.42578125" style="498" customWidth="1"/>
    <col min="14850" max="14850" width="47.5703125" style="498" customWidth="1"/>
    <col min="14851" max="14852" width="5" style="498" customWidth="1"/>
    <col min="14853" max="14853" width="5.42578125" style="498" customWidth="1"/>
    <col min="14854" max="14854" width="4.5703125" style="498" customWidth="1"/>
    <col min="14855" max="14856" width="4.42578125" style="498" customWidth="1"/>
    <col min="14857" max="14857" width="3.5703125" style="498" customWidth="1"/>
    <col min="14858" max="14858" width="5" style="498" customWidth="1"/>
    <col min="14859" max="14859" width="4" style="498" customWidth="1"/>
    <col min="14860" max="14861" width="4.5703125" style="498" customWidth="1"/>
    <col min="14862" max="14862" width="4.42578125" style="498" customWidth="1"/>
    <col min="14863" max="14863" width="4" style="498" customWidth="1"/>
    <col min="14864" max="14864" width="3.5703125" style="498" customWidth="1"/>
    <col min="14865" max="14866" width="4.5703125" style="498" customWidth="1"/>
    <col min="14867" max="14867" width="4" style="498" customWidth="1"/>
    <col min="14868" max="14869" width="4.42578125" style="498" customWidth="1"/>
    <col min="14870" max="14870" width="3.5703125" style="498" customWidth="1"/>
    <col min="14871" max="14871" width="4.42578125" style="498" customWidth="1"/>
    <col min="14872" max="14872" width="5.5703125" style="498" customWidth="1"/>
    <col min="14873" max="14873" width="3.5703125" style="498" customWidth="1"/>
    <col min="14874" max="14874" width="4" style="498" customWidth="1"/>
    <col min="14875" max="14875" width="4.5703125" style="498" customWidth="1"/>
    <col min="14876" max="14878" width="4.42578125" style="498" customWidth="1"/>
    <col min="14879" max="14880" width="4.5703125" style="498" customWidth="1"/>
    <col min="14881" max="14881" width="4" style="498" customWidth="1"/>
    <col min="14882" max="14882" width="4.5703125" style="498" customWidth="1"/>
    <col min="14883" max="14883" width="6" style="498" customWidth="1"/>
    <col min="14884" max="14884" width="8.5703125" style="498" customWidth="1"/>
    <col min="14885" max="15104" width="11.42578125" style="498"/>
    <col min="15105" max="15105" width="6.42578125" style="498" customWidth="1"/>
    <col min="15106" max="15106" width="47.5703125" style="498" customWidth="1"/>
    <col min="15107" max="15108" width="5" style="498" customWidth="1"/>
    <col min="15109" max="15109" width="5.42578125" style="498" customWidth="1"/>
    <col min="15110" max="15110" width="4.5703125" style="498" customWidth="1"/>
    <col min="15111" max="15112" width="4.42578125" style="498" customWidth="1"/>
    <col min="15113" max="15113" width="3.5703125" style="498" customWidth="1"/>
    <col min="15114" max="15114" width="5" style="498" customWidth="1"/>
    <col min="15115" max="15115" width="4" style="498" customWidth="1"/>
    <col min="15116" max="15117" width="4.5703125" style="498" customWidth="1"/>
    <col min="15118" max="15118" width="4.42578125" style="498" customWidth="1"/>
    <col min="15119" max="15119" width="4" style="498" customWidth="1"/>
    <col min="15120" max="15120" width="3.5703125" style="498" customWidth="1"/>
    <col min="15121" max="15122" width="4.5703125" style="498" customWidth="1"/>
    <col min="15123" max="15123" width="4" style="498" customWidth="1"/>
    <col min="15124" max="15125" width="4.42578125" style="498" customWidth="1"/>
    <col min="15126" max="15126" width="3.5703125" style="498" customWidth="1"/>
    <col min="15127" max="15127" width="4.42578125" style="498" customWidth="1"/>
    <col min="15128" max="15128" width="5.5703125" style="498" customWidth="1"/>
    <col min="15129" max="15129" width="3.5703125" style="498" customWidth="1"/>
    <col min="15130" max="15130" width="4" style="498" customWidth="1"/>
    <col min="15131" max="15131" width="4.5703125" style="498" customWidth="1"/>
    <col min="15132" max="15134" width="4.42578125" style="498" customWidth="1"/>
    <col min="15135" max="15136" width="4.5703125" style="498" customWidth="1"/>
    <col min="15137" max="15137" width="4" style="498" customWidth="1"/>
    <col min="15138" max="15138" width="4.5703125" style="498" customWidth="1"/>
    <col min="15139" max="15139" width="6" style="498" customWidth="1"/>
    <col min="15140" max="15140" width="8.5703125" style="498" customWidth="1"/>
    <col min="15141" max="15360" width="11.42578125" style="498"/>
    <col min="15361" max="15361" width="6.42578125" style="498" customWidth="1"/>
    <col min="15362" max="15362" width="47.5703125" style="498" customWidth="1"/>
    <col min="15363" max="15364" width="5" style="498" customWidth="1"/>
    <col min="15365" max="15365" width="5.42578125" style="498" customWidth="1"/>
    <col min="15366" max="15366" width="4.5703125" style="498" customWidth="1"/>
    <col min="15367" max="15368" width="4.42578125" style="498" customWidth="1"/>
    <col min="15369" max="15369" width="3.5703125" style="498" customWidth="1"/>
    <col min="15370" max="15370" width="5" style="498" customWidth="1"/>
    <col min="15371" max="15371" width="4" style="498" customWidth="1"/>
    <col min="15372" max="15373" width="4.5703125" style="498" customWidth="1"/>
    <col min="15374" max="15374" width="4.42578125" style="498" customWidth="1"/>
    <col min="15375" max="15375" width="4" style="498" customWidth="1"/>
    <col min="15376" max="15376" width="3.5703125" style="498" customWidth="1"/>
    <col min="15377" max="15378" width="4.5703125" style="498" customWidth="1"/>
    <col min="15379" max="15379" width="4" style="498" customWidth="1"/>
    <col min="15380" max="15381" width="4.42578125" style="498" customWidth="1"/>
    <col min="15382" max="15382" width="3.5703125" style="498" customWidth="1"/>
    <col min="15383" max="15383" width="4.42578125" style="498" customWidth="1"/>
    <col min="15384" max="15384" width="5.5703125" style="498" customWidth="1"/>
    <col min="15385" max="15385" width="3.5703125" style="498" customWidth="1"/>
    <col min="15386" max="15386" width="4" style="498" customWidth="1"/>
    <col min="15387" max="15387" width="4.5703125" style="498" customWidth="1"/>
    <col min="15388" max="15390" width="4.42578125" style="498" customWidth="1"/>
    <col min="15391" max="15392" width="4.5703125" style="498" customWidth="1"/>
    <col min="15393" max="15393" width="4" style="498" customWidth="1"/>
    <col min="15394" max="15394" width="4.5703125" style="498" customWidth="1"/>
    <col min="15395" max="15395" width="6" style="498" customWidth="1"/>
    <col min="15396" max="15396" width="8.5703125" style="498" customWidth="1"/>
    <col min="15397" max="15616" width="11.42578125" style="498"/>
    <col min="15617" max="15617" width="6.42578125" style="498" customWidth="1"/>
    <col min="15618" max="15618" width="47.5703125" style="498" customWidth="1"/>
    <col min="15619" max="15620" width="5" style="498" customWidth="1"/>
    <col min="15621" max="15621" width="5.42578125" style="498" customWidth="1"/>
    <col min="15622" max="15622" width="4.5703125" style="498" customWidth="1"/>
    <col min="15623" max="15624" width="4.42578125" style="498" customWidth="1"/>
    <col min="15625" max="15625" width="3.5703125" style="498" customWidth="1"/>
    <col min="15626" max="15626" width="5" style="498" customWidth="1"/>
    <col min="15627" max="15627" width="4" style="498" customWidth="1"/>
    <col min="15628" max="15629" width="4.5703125" style="498" customWidth="1"/>
    <col min="15630" max="15630" width="4.42578125" style="498" customWidth="1"/>
    <col min="15631" max="15631" width="4" style="498" customWidth="1"/>
    <col min="15632" max="15632" width="3.5703125" style="498" customWidth="1"/>
    <col min="15633" max="15634" width="4.5703125" style="498" customWidth="1"/>
    <col min="15635" max="15635" width="4" style="498" customWidth="1"/>
    <col min="15636" max="15637" width="4.42578125" style="498" customWidth="1"/>
    <col min="15638" max="15638" width="3.5703125" style="498" customWidth="1"/>
    <col min="15639" max="15639" width="4.42578125" style="498" customWidth="1"/>
    <col min="15640" max="15640" width="5.5703125" style="498" customWidth="1"/>
    <col min="15641" max="15641" width="3.5703125" style="498" customWidth="1"/>
    <col min="15642" max="15642" width="4" style="498" customWidth="1"/>
    <col min="15643" max="15643" width="4.5703125" style="498" customWidth="1"/>
    <col min="15644" max="15646" width="4.42578125" style="498" customWidth="1"/>
    <col min="15647" max="15648" width="4.5703125" style="498" customWidth="1"/>
    <col min="15649" max="15649" width="4" style="498" customWidth="1"/>
    <col min="15650" max="15650" width="4.5703125" style="498" customWidth="1"/>
    <col min="15651" max="15651" width="6" style="498" customWidth="1"/>
    <col min="15652" max="15652" width="8.5703125" style="498" customWidth="1"/>
    <col min="15653" max="15872" width="11.42578125" style="498"/>
    <col min="15873" max="15873" width="6.42578125" style="498" customWidth="1"/>
    <col min="15874" max="15874" width="47.5703125" style="498" customWidth="1"/>
    <col min="15875" max="15876" width="5" style="498" customWidth="1"/>
    <col min="15877" max="15877" width="5.42578125" style="498" customWidth="1"/>
    <col min="15878" max="15878" width="4.5703125" style="498" customWidth="1"/>
    <col min="15879" max="15880" width="4.42578125" style="498" customWidth="1"/>
    <col min="15881" max="15881" width="3.5703125" style="498" customWidth="1"/>
    <col min="15882" max="15882" width="5" style="498" customWidth="1"/>
    <col min="15883" max="15883" width="4" style="498" customWidth="1"/>
    <col min="15884" max="15885" width="4.5703125" style="498" customWidth="1"/>
    <col min="15886" max="15886" width="4.42578125" style="498" customWidth="1"/>
    <col min="15887" max="15887" width="4" style="498" customWidth="1"/>
    <col min="15888" max="15888" width="3.5703125" style="498" customWidth="1"/>
    <col min="15889" max="15890" width="4.5703125" style="498" customWidth="1"/>
    <col min="15891" max="15891" width="4" style="498" customWidth="1"/>
    <col min="15892" max="15893" width="4.42578125" style="498" customWidth="1"/>
    <col min="15894" max="15894" width="3.5703125" style="498" customWidth="1"/>
    <col min="15895" max="15895" width="4.42578125" style="498" customWidth="1"/>
    <col min="15896" max="15896" width="5.5703125" style="498" customWidth="1"/>
    <col min="15897" max="15897" width="3.5703125" style="498" customWidth="1"/>
    <col min="15898" max="15898" width="4" style="498" customWidth="1"/>
    <col min="15899" max="15899" width="4.5703125" style="498" customWidth="1"/>
    <col min="15900" max="15902" width="4.42578125" style="498" customWidth="1"/>
    <col min="15903" max="15904" width="4.5703125" style="498" customWidth="1"/>
    <col min="15905" max="15905" width="4" style="498" customWidth="1"/>
    <col min="15906" max="15906" width="4.5703125" style="498" customWidth="1"/>
    <col min="15907" max="15907" width="6" style="498" customWidth="1"/>
    <col min="15908" max="15908" width="8.5703125" style="498" customWidth="1"/>
    <col min="15909" max="16128" width="11.42578125" style="498"/>
    <col min="16129" max="16129" width="6.42578125" style="498" customWidth="1"/>
    <col min="16130" max="16130" width="47.5703125" style="498" customWidth="1"/>
    <col min="16131" max="16132" width="5" style="498" customWidth="1"/>
    <col min="16133" max="16133" width="5.42578125" style="498" customWidth="1"/>
    <col min="16134" max="16134" width="4.5703125" style="498" customWidth="1"/>
    <col min="16135" max="16136" width="4.42578125" style="498" customWidth="1"/>
    <col min="16137" max="16137" width="3.5703125" style="498" customWidth="1"/>
    <col min="16138" max="16138" width="5" style="498" customWidth="1"/>
    <col min="16139" max="16139" width="4" style="498" customWidth="1"/>
    <col min="16140" max="16141" width="4.5703125" style="498" customWidth="1"/>
    <col min="16142" max="16142" width="4.42578125" style="498" customWidth="1"/>
    <col min="16143" max="16143" width="4" style="498" customWidth="1"/>
    <col min="16144" max="16144" width="3.5703125" style="498" customWidth="1"/>
    <col min="16145" max="16146" width="4.5703125" style="498" customWidth="1"/>
    <col min="16147" max="16147" width="4" style="498" customWidth="1"/>
    <col min="16148" max="16149" width="4.42578125" style="498" customWidth="1"/>
    <col min="16150" max="16150" width="3.5703125" style="498" customWidth="1"/>
    <col min="16151" max="16151" width="4.42578125" style="498" customWidth="1"/>
    <col min="16152" max="16152" width="5.5703125" style="498" customWidth="1"/>
    <col min="16153" max="16153" width="3.5703125" style="498" customWidth="1"/>
    <col min="16154" max="16154" width="4" style="498" customWidth="1"/>
    <col min="16155" max="16155" width="4.5703125" style="498" customWidth="1"/>
    <col min="16156" max="16158" width="4.42578125" style="498" customWidth="1"/>
    <col min="16159" max="16160" width="4.5703125" style="498" customWidth="1"/>
    <col min="16161" max="16161" width="4" style="498" customWidth="1"/>
    <col min="16162" max="16162" width="4.5703125" style="498" customWidth="1"/>
    <col min="16163" max="16163" width="6" style="498" customWidth="1"/>
    <col min="16164" max="16164" width="8.5703125" style="498" customWidth="1"/>
    <col min="16165" max="16384" width="11.42578125" style="498"/>
  </cols>
  <sheetData>
    <row r="1" spans="1:39">
      <c r="A1" s="2213" t="s">
        <v>283</v>
      </c>
      <c r="B1" s="2213"/>
      <c r="C1" s="2213"/>
      <c r="D1" s="2213"/>
      <c r="E1" s="2213"/>
      <c r="F1" s="2213"/>
      <c r="G1" s="2213"/>
      <c r="H1" s="2213"/>
      <c r="I1" s="2213"/>
      <c r="J1" s="2213"/>
      <c r="K1" s="2213"/>
    </row>
    <row r="2" spans="1:39">
      <c r="A2" s="2214" t="s">
        <v>1802</v>
      </c>
      <c r="B2" s="2214"/>
      <c r="C2" s="2214"/>
      <c r="D2" s="2214"/>
      <c r="E2" s="2214"/>
      <c r="F2" s="2214"/>
      <c r="G2" s="2214"/>
      <c r="H2" s="2214"/>
      <c r="I2" s="2214"/>
      <c r="J2" s="2214"/>
      <c r="K2" s="2214"/>
    </row>
    <row r="3" spans="1:39">
      <c r="A3" s="549"/>
      <c r="G3" s="498">
        <v>7</v>
      </c>
    </row>
    <row r="4" spans="1:39">
      <c r="A4" s="551"/>
      <c r="B4" s="2215" t="s">
        <v>1800</v>
      </c>
      <c r="C4" s="2215"/>
      <c r="D4" s="2215"/>
      <c r="E4" s="2215"/>
      <c r="F4" s="2215"/>
      <c r="G4" s="2215"/>
      <c r="H4" s="2215"/>
      <c r="I4" s="2215"/>
      <c r="J4" s="2215"/>
      <c r="K4" s="2215"/>
    </row>
    <row r="5" spans="1:39" ht="12.75" customHeight="1">
      <c r="A5" s="551"/>
      <c r="B5" s="2216" t="e">
        <f>#REF!</f>
        <v>#REF!</v>
      </c>
      <c r="C5" s="2217"/>
      <c r="D5" s="2217"/>
      <c r="E5" s="2217"/>
      <c r="F5" s="2217"/>
      <c r="G5" s="2217"/>
      <c r="H5" s="2217"/>
      <c r="I5" s="2217"/>
      <c r="J5" s="2217"/>
      <c r="K5" s="2217"/>
    </row>
    <row r="6" spans="1:39" ht="13.5" customHeight="1">
      <c r="B6" s="553"/>
      <c r="C6" s="500"/>
    </row>
    <row r="7" spans="1:39" ht="13.5" customHeight="1">
      <c r="B7" s="553"/>
      <c r="C7" s="500"/>
    </row>
    <row r="8" spans="1:39" ht="13.5" customHeight="1" thickBot="1">
      <c r="B8" s="553"/>
      <c r="C8" s="500"/>
      <c r="D8" s="871" t="s">
        <v>1991</v>
      </c>
      <c r="E8" s="894" t="s">
        <v>1992</v>
      </c>
      <c r="F8" s="871" t="s">
        <v>1984</v>
      </c>
      <c r="G8" s="871" t="s">
        <v>1985</v>
      </c>
      <c r="H8" s="871" t="s">
        <v>1986</v>
      </c>
      <c r="I8" s="871" t="s">
        <v>1987</v>
      </c>
      <c r="J8" s="871" t="s">
        <v>1988</v>
      </c>
      <c r="K8" s="871" t="s">
        <v>1989</v>
      </c>
      <c r="L8" s="894" t="s">
        <v>1990</v>
      </c>
      <c r="M8" s="871" t="s">
        <v>1984</v>
      </c>
      <c r="N8" s="871" t="s">
        <v>1985</v>
      </c>
      <c r="O8" s="871" t="s">
        <v>1986</v>
      </c>
      <c r="P8" s="871" t="s">
        <v>1987</v>
      </c>
      <c r="Q8" s="871" t="s">
        <v>1988</v>
      </c>
      <c r="R8" s="871" t="s">
        <v>1989</v>
      </c>
      <c r="S8" s="894" t="s">
        <v>1990</v>
      </c>
      <c r="T8" s="871" t="s">
        <v>1984</v>
      </c>
      <c r="U8" s="871" t="s">
        <v>1985</v>
      </c>
      <c r="V8" s="871" t="s">
        <v>1986</v>
      </c>
      <c r="W8" s="871" t="s">
        <v>1987</v>
      </c>
      <c r="X8" s="871" t="s">
        <v>1988</v>
      </c>
      <c r="Y8" s="871" t="s">
        <v>1989</v>
      </c>
      <c r="Z8" s="894" t="s">
        <v>1990</v>
      </c>
      <c r="AA8" s="871" t="s">
        <v>1984</v>
      </c>
      <c r="AB8" s="871" t="s">
        <v>1985</v>
      </c>
      <c r="AC8" s="871" t="s">
        <v>1986</v>
      </c>
      <c r="AD8" s="871" t="s">
        <v>1987</v>
      </c>
      <c r="AE8" s="891" t="s">
        <v>1988</v>
      </c>
      <c r="AF8" s="871" t="s">
        <v>1989</v>
      </c>
      <c r="AG8" s="894" t="s">
        <v>1990</v>
      </c>
      <c r="AH8" s="871" t="s">
        <v>1984</v>
      </c>
      <c r="AI8" s="871"/>
    </row>
    <row r="9" spans="1:39" ht="13.5" thickBot="1">
      <c r="A9" s="2218" t="s">
        <v>285</v>
      </c>
      <c r="B9" s="2218" t="s">
        <v>20</v>
      </c>
      <c r="C9" s="501"/>
      <c r="D9" s="502">
        <v>1</v>
      </c>
      <c r="E9" s="895">
        <f>+D9+1</f>
        <v>2</v>
      </c>
      <c r="F9" s="502">
        <f t="shared" ref="F9:AH9" si="0">+E9+1</f>
        <v>3</v>
      </c>
      <c r="G9" s="502">
        <f t="shared" si="0"/>
        <v>4</v>
      </c>
      <c r="H9" s="502">
        <f t="shared" si="0"/>
        <v>5</v>
      </c>
      <c r="I9" s="502">
        <f t="shared" si="0"/>
        <v>6</v>
      </c>
      <c r="J9" s="502">
        <f t="shared" si="0"/>
        <v>7</v>
      </c>
      <c r="K9" s="502">
        <f t="shared" si="0"/>
        <v>8</v>
      </c>
      <c r="L9" s="895">
        <f t="shared" si="0"/>
        <v>9</v>
      </c>
      <c r="M9" s="502">
        <f t="shared" si="0"/>
        <v>10</v>
      </c>
      <c r="N9" s="502">
        <f t="shared" si="0"/>
        <v>11</v>
      </c>
      <c r="O9" s="502">
        <f t="shared" si="0"/>
        <v>12</v>
      </c>
      <c r="P9" s="502">
        <f t="shared" si="0"/>
        <v>13</v>
      </c>
      <c r="Q9" s="502">
        <f t="shared" si="0"/>
        <v>14</v>
      </c>
      <c r="R9" s="502">
        <f t="shared" si="0"/>
        <v>15</v>
      </c>
      <c r="S9" s="895">
        <f t="shared" si="0"/>
        <v>16</v>
      </c>
      <c r="T9" s="502">
        <f t="shared" si="0"/>
        <v>17</v>
      </c>
      <c r="U9" s="502">
        <f t="shared" si="0"/>
        <v>18</v>
      </c>
      <c r="V9" s="502">
        <f t="shared" si="0"/>
        <v>19</v>
      </c>
      <c r="W9" s="502">
        <f t="shared" si="0"/>
        <v>20</v>
      </c>
      <c r="X9" s="502">
        <f t="shared" si="0"/>
        <v>21</v>
      </c>
      <c r="Y9" s="502">
        <f t="shared" si="0"/>
        <v>22</v>
      </c>
      <c r="Z9" s="895">
        <f t="shared" si="0"/>
        <v>23</v>
      </c>
      <c r="AA9" s="502">
        <f t="shared" si="0"/>
        <v>24</v>
      </c>
      <c r="AB9" s="502">
        <f t="shared" si="0"/>
        <v>25</v>
      </c>
      <c r="AC9" s="502">
        <f t="shared" si="0"/>
        <v>26</v>
      </c>
      <c r="AD9" s="502">
        <f t="shared" si="0"/>
        <v>27</v>
      </c>
      <c r="AE9" s="769">
        <f t="shared" si="0"/>
        <v>28</v>
      </c>
      <c r="AF9" s="502">
        <f t="shared" si="0"/>
        <v>29</v>
      </c>
      <c r="AG9" s="895">
        <f t="shared" si="0"/>
        <v>30</v>
      </c>
      <c r="AH9" s="502">
        <f t="shared" si="0"/>
        <v>31</v>
      </c>
      <c r="AI9" s="504" t="s">
        <v>359</v>
      </c>
      <c r="AJ9" s="672" t="s">
        <v>26</v>
      </c>
      <c r="AK9" s="671" t="s">
        <v>1822</v>
      </c>
      <c r="AL9" s="671" t="s">
        <v>1821</v>
      </c>
      <c r="AM9" s="505" t="s">
        <v>25</v>
      </c>
    </row>
    <row r="10" spans="1:39" ht="13.5" thickBot="1">
      <c r="A10" s="2219"/>
      <c r="B10" s="2219"/>
      <c r="C10" s="888" t="s">
        <v>286</v>
      </c>
      <c r="D10" s="507" t="s">
        <v>305</v>
      </c>
      <c r="E10" s="927" t="s">
        <v>305</v>
      </c>
      <c r="F10" s="507" t="s">
        <v>305</v>
      </c>
      <c r="G10" s="507" t="s">
        <v>305</v>
      </c>
      <c r="H10" s="507" t="s">
        <v>305</v>
      </c>
      <c r="I10" s="507" t="s">
        <v>305</v>
      </c>
      <c r="J10" s="507" t="s">
        <v>305</v>
      </c>
      <c r="K10" s="507" t="s">
        <v>305</v>
      </c>
      <c r="L10" s="927" t="s">
        <v>305</v>
      </c>
      <c r="M10" s="507" t="s">
        <v>305</v>
      </c>
      <c r="N10" s="507" t="s">
        <v>305</v>
      </c>
      <c r="O10" s="507" t="s">
        <v>305</v>
      </c>
      <c r="P10" s="507" t="s">
        <v>305</v>
      </c>
      <c r="Q10" s="507" t="s">
        <v>305</v>
      </c>
      <c r="R10" s="507" t="s">
        <v>305</v>
      </c>
      <c r="S10" s="927" t="s">
        <v>305</v>
      </c>
      <c r="T10" s="507" t="s">
        <v>305</v>
      </c>
      <c r="U10" s="507" t="s">
        <v>305</v>
      </c>
      <c r="V10" s="507" t="s">
        <v>305</v>
      </c>
      <c r="W10" s="507" t="s">
        <v>305</v>
      </c>
      <c r="X10" s="507" t="s">
        <v>305</v>
      </c>
      <c r="Y10" s="507" t="s">
        <v>305</v>
      </c>
      <c r="Z10" s="927" t="s">
        <v>305</v>
      </c>
      <c r="AA10" s="507" t="s">
        <v>305</v>
      </c>
      <c r="AB10" s="507" t="s">
        <v>305</v>
      </c>
      <c r="AC10" s="507" t="s">
        <v>305</v>
      </c>
      <c r="AD10" s="507" t="s">
        <v>305</v>
      </c>
      <c r="AE10" s="770" t="s">
        <v>305</v>
      </c>
      <c r="AF10" s="507" t="s">
        <v>305</v>
      </c>
      <c r="AG10" s="896" t="s">
        <v>305</v>
      </c>
      <c r="AH10" s="507" t="s">
        <v>305</v>
      </c>
      <c r="AI10" s="509" t="s">
        <v>287</v>
      </c>
      <c r="AJ10" s="668" t="s">
        <v>287</v>
      </c>
      <c r="AK10" s="671"/>
      <c r="AL10" s="671"/>
      <c r="AM10" s="505"/>
    </row>
    <row r="11" spans="1:39" s="733" customFormat="1">
      <c r="A11" s="816" t="s">
        <v>33</v>
      </c>
      <c r="B11" s="816" t="s">
        <v>1132</v>
      </c>
      <c r="C11" s="817"/>
      <c r="D11" s="818"/>
      <c r="E11" s="914"/>
      <c r="F11" s="818"/>
      <c r="G11" s="818"/>
      <c r="H11" s="818"/>
      <c r="I11" s="818"/>
      <c r="J11" s="740"/>
      <c r="K11" s="740"/>
      <c r="L11" s="923"/>
      <c r="M11" s="756"/>
      <c r="N11" s="756"/>
      <c r="O11" s="756"/>
      <c r="P11" s="756"/>
      <c r="Q11" s="756"/>
      <c r="R11" s="756"/>
      <c r="S11" s="923"/>
      <c r="T11" s="756"/>
      <c r="U11" s="756"/>
      <c r="V11" s="756"/>
      <c r="W11" s="756"/>
      <c r="X11" s="756"/>
      <c r="Y11" s="756"/>
      <c r="Z11" s="923"/>
      <c r="AA11" s="756"/>
      <c r="AB11" s="756"/>
      <c r="AC11" s="756"/>
      <c r="AD11" s="756"/>
      <c r="AE11" s="774"/>
      <c r="AF11" s="756"/>
      <c r="AG11" s="897"/>
      <c r="AH11" s="819"/>
      <c r="AI11" s="786">
        <f t="shared" ref="AI11:AI13" si="1">ROUND((SUM(D11:AH11)),2)</f>
        <v>0</v>
      </c>
      <c r="AJ11" s="725"/>
      <c r="AK11" s="726"/>
      <c r="AL11" s="732"/>
      <c r="AM11" s="820"/>
    </row>
    <row r="12" spans="1:39" s="730" customFormat="1">
      <c r="A12" s="814" t="s">
        <v>35</v>
      </c>
      <c r="B12" s="815" t="s">
        <v>1133</v>
      </c>
      <c r="C12" s="821"/>
      <c r="D12" s="743"/>
      <c r="E12" s="915"/>
      <c r="F12" s="726"/>
      <c r="G12" s="726"/>
      <c r="H12" s="726"/>
      <c r="I12" s="725"/>
      <c r="J12" s="725"/>
      <c r="K12" s="725"/>
      <c r="L12" s="923"/>
      <c r="M12" s="756"/>
      <c r="N12" s="756"/>
      <c r="O12" s="756"/>
      <c r="P12" s="756"/>
      <c r="Q12" s="756"/>
      <c r="R12" s="756"/>
      <c r="S12" s="923"/>
      <c r="T12" s="756"/>
      <c r="U12" s="756"/>
      <c r="V12" s="756"/>
      <c r="W12" s="756"/>
      <c r="X12" s="756"/>
      <c r="Y12" s="756"/>
      <c r="Z12" s="923"/>
      <c r="AA12" s="756"/>
      <c r="AB12" s="756"/>
      <c r="AC12" s="756"/>
      <c r="AD12" s="756"/>
      <c r="AE12" s="774"/>
      <c r="AF12" s="756"/>
      <c r="AG12" s="897"/>
      <c r="AH12" s="819"/>
      <c r="AI12" s="786">
        <f t="shared" si="1"/>
        <v>0</v>
      </c>
      <c r="AJ12" s="725"/>
      <c r="AK12" s="726"/>
      <c r="AL12" s="728"/>
      <c r="AM12" s="775"/>
    </row>
    <row r="13" spans="1:39" s="730" customFormat="1" hidden="1">
      <c r="A13" s="720" t="s">
        <v>537</v>
      </c>
      <c r="B13" s="813" t="s">
        <v>1134</v>
      </c>
      <c r="C13" s="822" t="s">
        <v>64</v>
      </c>
      <c r="D13" s="743"/>
      <c r="E13" s="915"/>
      <c r="F13" s="726"/>
      <c r="G13" s="726"/>
      <c r="H13" s="726"/>
      <c r="I13" s="726"/>
      <c r="J13" s="726"/>
      <c r="K13" s="726"/>
      <c r="L13" s="929"/>
      <c r="M13" s="797"/>
      <c r="N13" s="756"/>
      <c r="O13" s="797"/>
      <c r="P13" s="797"/>
      <c r="Q13" s="797"/>
      <c r="R13" s="797"/>
      <c r="S13" s="929"/>
      <c r="T13" s="797"/>
      <c r="U13" s="756"/>
      <c r="V13" s="756"/>
      <c r="W13" s="756"/>
      <c r="X13" s="756"/>
      <c r="Y13" s="756"/>
      <c r="Z13" s="923"/>
      <c r="AA13" s="756"/>
      <c r="AB13" s="756"/>
      <c r="AC13" s="756"/>
      <c r="AD13" s="756"/>
      <c r="AE13" s="774"/>
      <c r="AF13" s="756"/>
      <c r="AG13" s="897"/>
      <c r="AH13" s="819"/>
      <c r="AI13" s="786">
        <f t="shared" si="1"/>
        <v>0</v>
      </c>
      <c r="AJ13" s="725">
        <v>0</v>
      </c>
      <c r="AK13" s="726">
        <f>AI13+AJ13</f>
        <v>0</v>
      </c>
      <c r="AL13" s="728" t="s">
        <v>1455</v>
      </c>
      <c r="AM13" s="729">
        <f>AL13-AK13</f>
        <v>1</v>
      </c>
    </row>
    <row r="14" spans="1:39" s="730" customFormat="1">
      <c r="A14" s="720" t="s">
        <v>538</v>
      </c>
      <c r="B14" s="720" t="s">
        <v>1135</v>
      </c>
      <c r="C14" s="822" t="s">
        <v>64</v>
      </c>
      <c r="D14" s="743"/>
      <c r="E14" s="915"/>
      <c r="F14" s="726"/>
      <c r="G14" s="726"/>
      <c r="H14" s="775"/>
      <c r="I14" s="775"/>
      <c r="J14" s="725"/>
      <c r="K14" s="725"/>
      <c r="L14" s="923"/>
      <c r="M14" s="756"/>
      <c r="N14" s="756"/>
      <c r="O14" s="756"/>
      <c r="P14" s="756"/>
      <c r="Q14" s="756"/>
      <c r="R14" s="756"/>
      <c r="S14" s="923"/>
      <c r="T14" s="884">
        <v>0.5</v>
      </c>
      <c r="U14" s="756"/>
      <c r="V14" s="756"/>
      <c r="W14" s="756"/>
      <c r="X14" s="756"/>
      <c r="Y14" s="756"/>
      <c r="Z14" s="923"/>
      <c r="AA14" s="756"/>
      <c r="AB14" s="756"/>
      <c r="AC14" s="756"/>
      <c r="AD14" s="756"/>
      <c r="AE14" s="774"/>
      <c r="AF14" s="756"/>
      <c r="AG14" s="897"/>
      <c r="AH14" s="819"/>
      <c r="AI14" s="786">
        <f>ROUND((SUM(D14:AH14)),2)</f>
        <v>0.5</v>
      </c>
      <c r="AJ14" s="725">
        <v>0</v>
      </c>
      <c r="AK14" s="726">
        <f t="shared" ref="AK14:AK77" si="2">AI14+AJ14</f>
        <v>0.5</v>
      </c>
      <c r="AL14" s="728" t="s">
        <v>1455</v>
      </c>
      <c r="AM14" s="729">
        <f t="shared" ref="AM14:AM77" si="3">AL14-AK14</f>
        <v>0.5</v>
      </c>
    </row>
    <row r="15" spans="1:39" s="730" customFormat="1">
      <c r="A15" s="720" t="s">
        <v>539</v>
      </c>
      <c r="B15" s="720" t="s">
        <v>1921</v>
      </c>
      <c r="C15" s="823" t="s">
        <v>64</v>
      </c>
      <c r="D15" s="743"/>
      <c r="E15" s="915"/>
      <c r="F15" s="726"/>
      <c r="G15" s="726"/>
      <c r="H15" s="864">
        <v>0.5</v>
      </c>
      <c r="I15" s="725"/>
      <c r="J15" s="725"/>
      <c r="K15" s="725"/>
      <c r="L15" s="923"/>
      <c r="M15" s="756"/>
      <c r="N15" s="756"/>
      <c r="O15" s="756"/>
      <c r="P15" s="756"/>
      <c r="Q15" s="756"/>
      <c r="R15" s="756"/>
      <c r="S15" s="923"/>
      <c r="T15" s="756"/>
      <c r="U15" s="756"/>
      <c r="V15" s="756"/>
      <c r="W15" s="756"/>
      <c r="X15" s="756"/>
      <c r="Y15" s="756"/>
      <c r="Z15" s="923"/>
      <c r="AA15" s="756"/>
      <c r="AB15" s="756"/>
      <c r="AC15" s="756"/>
      <c r="AD15" s="756"/>
      <c r="AE15" s="774"/>
      <c r="AF15" s="756"/>
      <c r="AG15" s="897"/>
      <c r="AH15" s="819"/>
      <c r="AI15" s="786">
        <f t="shared" ref="AI15:AI78" si="4">ROUND((SUM(D15:AH15)),2)</f>
        <v>0.5</v>
      </c>
      <c r="AJ15" s="725">
        <v>0</v>
      </c>
      <c r="AK15" s="726">
        <f t="shared" si="2"/>
        <v>0.5</v>
      </c>
      <c r="AL15" s="728" t="s">
        <v>1455</v>
      </c>
      <c r="AM15" s="729">
        <f t="shared" si="3"/>
        <v>0.5</v>
      </c>
    </row>
    <row r="16" spans="1:39" s="730" customFormat="1">
      <c r="A16" s="720" t="s">
        <v>540</v>
      </c>
      <c r="B16" s="720" t="s">
        <v>1137</v>
      </c>
      <c r="C16" s="822" t="s">
        <v>64</v>
      </c>
      <c r="D16" s="743"/>
      <c r="E16" s="915"/>
      <c r="F16" s="864">
        <v>1</v>
      </c>
      <c r="G16" s="726"/>
      <c r="H16" s="726"/>
      <c r="I16" s="725"/>
      <c r="J16" s="725"/>
      <c r="K16" s="725"/>
      <c r="L16" s="923"/>
      <c r="M16" s="756"/>
      <c r="N16" s="756"/>
      <c r="O16" s="756"/>
      <c r="P16" s="756"/>
      <c r="Q16" s="756"/>
      <c r="R16" s="756"/>
      <c r="S16" s="923"/>
      <c r="T16" s="756"/>
      <c r="U16" s="756"/>
      <c r="V16" s="756"/>
      <c r="W16" s="756"/>
      <c r="X16" s="756"/>
      <c r="Y16" s="756"/>
      <c r="Z16" s="923"/>
      <c r="AA16" s="756"/>
      <c r="AB16" s="756"/>
      <c r="AC16" s="756"/>
      <c r="AD16" s="756"/>
      <c r="AE16" s="774"/>
      <c r="AF16" s="756"/>
      <c r="AG16" s="897"/>
      <c r="AH16" s="819"/>
      <c r="AI16" s="786">
        <f t="shared" si="4"/>
        <v>1</v>
      </c>
      <c r="AJ16" s="725">
        <v>0</v>
      </c>
      <c r="AK16" s="726">
        <f t="shared" si="2"/>
        <v>1</v>
      </c>
      <c r="AL16" s="728" t="s">
        <v>1455</v>
      </c>
      <c r="AM16" s="729">
        <f t="shared" si="3"/>
        <v>0</v>
      </c>
    </row>
    <row r="17" spans="1:45" s="730" customFormat="1" hidden="1">
      <c r="A17" s="720" t="s">
        <v>541</v>
      </c>
      <c r="B17" s="720" t="s">
        <v>1138</v>
      </c>
      <c r="C17" s="822" t="s">
        <v>1450</v>
      </c>
      <c r="D17" s="743"/>
      <c r="E17" s="915"/>
      <c r="F17" s="726"/>
      <c r="G17" s="726"/>
      <c r="H17" s="726"/>
      <c r="I17" s="725"/>
      <c r="J17" s="725"/>
      <c r="K17" s="725"/>
      <c r="L17" s="898"/>
      <c r="M17" s="741"/>
      <c r="N17" s="741"/>
      <c r="O17" s="741"/>
      <c r="P17" s="741"/>
      <c r="Q17" s="741"/>
      <c r="R17" s="741"/>
      <c r="S17" s="898"/>
      <c r="T17" s="741"/>
      <c r="U17" s="741"/>
      <c r="V17" s="741"/>
      <c r="W17" s="741"/>
      <c r="X17" s="741"/>
      <c r="Y17" s="741"/>
      <c r="Z17" s="898"/>
      <c r="AA17" s="741"/>
      <c r="AB17" s="741"/>
      <c r="AC17" s="741"/>
      <c r="AD17" s="741"/>
      <c r="AE17" s="892"/>
      <c r="AF17" s="741"/>
      <c r="AG17" s="898"/>
      <c r="AH17" s="824"/>
      <c r="AI17" s="786">
        <f t="shared" si="4"/>
        <v>0</v>
      </c>
      <c r="AJ17" s="725">
        <v>1</v>
      </c>
      <c r="AK17" s="726">
        <f t="shared" si="2"/>
        <v>1</v>
      </c>
      <c r="AL17" s="741" t="s">
        <v>1455</v>
      </c>
      <c r="AM17" s="729">
        <f t="shared" si="3"/>
        <v>0</v>
      </c>
      <c r="AN17" s="825"/>
      <c r="AO17" s="741"/>
      <c r="AP17" s="741"/>
      <c r="AQ17" s="741"/>
      <c r="AR17" s="741"/>
      <c r="AS17" s="741"/>
    </row>
    <row r="18" spans="1:45" s="730" customFormat="1" hidden="1">
      <c r="A18" s="814" t="s">
        <v>39</v>
      </c>
      <c r="B18" s="815" t="s">
        <v>34</v>
      </c>
      <c r="C18" s="826"/>
      <c r="D18" s="743"/>
      <c r="E18" s="915"/>
      <c r="F18" s="726"/>
      <c r="G18" s="726"/>
      <c r="H18" s="726"/>
      <c r="I18" s="726"/>
      <c r="J18" s="726"/>
      <c r="K18" s="726"/>
      <c r="L18" s="898"/>
      <c r="M18" s="741"/>
      <c r="N18" s="741"/>
      <c r="O18" s="741"/>
      <c r="P18" s="741"/>
      <c r="Q18" s="741"/>
      <c r="R18" s="741"/>
      <c r="S18" s="898"/>
      <c r="T18" s="741"/>
      <c r="U18" s="741"/>
      <c r="V18" s="741"/>
      <c r="W18" s="741"/>
      <c r="X18" s="741"/>
      <c r="Y18" s="741"/>
      <c r="Z18" s="898"/>
      <c r="AA18" s="741"/>
      <c r="AB18" s="741"/>
      <c r="AC18" s="741"/>
      <c r="AD18" s="741"/>
      <c r="AE18" s="892"/>
      <c r="AF18" s="741"/>
      <c r="AG18" s="898"/>
      <c r="AH18" s="824"/>
      <c r="AI18" s="786">
        <f t="shared" si="4"/>
        <v>0</v>
      </c>
      <c r="AJ18" s="725">
        <v>0</v>
      </c>
      <c r="AK18" s="726">
        <f t="shared" si="2"/>
        <v>0</v>
      </c>
      <c r="AL18" s="741"/>
      <c r="AM18" s="729">
        <f t="shared" si="3"/>
        <v>0</v>
      </c>
      <c r="AN18" s="825"/>
      <c r="AO18" s="741"/>
      <c r="AP18" s="741"/>
      <c r="AQ18" s="741"/>
      <c r="AR18" s="741"/>
      <c r="AS18" s="741"/>
    </row>
    <row r="19" spans="1:45" s="733" customFormat="1" hidden="1">
      <c r="A19" s="720" t="s">
        <v>542</v>
      </c>
      <c r="B19" s="720" t="s">
        <v>1139</v>
      </c>
      <c r="C19" s="822" t="s">
        <v>37</v>
      </c>
      <c r="D19" s="827"/>
      <c r="E19" s="916"/>
      <c r="F19" s="731"/>
      <c r="G19" s="731"/>
      <c r="H19" s="731"/>
      <c r="I19" s="726"/>
      <c r="J19" s="731"/>
      <c r="K19" s="731"/>
      <c r="L19" s="898"/>
      <c r="M19" s="741"/>
      <c r="N19" s="741"/>
      <c r="O19" s="741"/>
      <c r="P19" s="741"/>
      <c r="Q19" s="741"/>
      <c r="R19" s="741"/>
      <c r="S19" s="898"/>
      <c r="T19" s="741"/>
      <c r="U19" s="741"/>
      <c r="V19" s="741"/>
      <c r="W19" s="741"/>
      <c r="X19" s="741"/>
      <c r="Y19" s="741"/>
      <c r="Z19" s="898"/>
      <c r="AA19" s="741"/>
      <c r="AB19" s="741"/>
      <c r="AC19" s="741"/>
      <c r="AD19" s="741"/>
      <c r="AE19" s="892"/>
      <c r="AF19" s="741"/>
      <c r="AG19" s="898"/>
      <c r="AH19" s="824"/>
      <c r="AI19" s="786">
        <f t="shared" si="4"/>
        <v>0</v>
      </c>
      <c r="AJ19" s="725">
        <v>656.8</v>
      </c>
      <c r="AK19" s="726">
        <f t="shared" si="2"/>
        <v>656.8</v>
      </c>
      <c r="AL19" s="741" t="s">
        <v>1456</v>
      </c>
      <c r="AM19" s="729">
        <f t="shared" si="3"/>
        <v>0</v>
      </c>
      <c r="AN19" s="825"/>
      <c r="AO19" s="741"/>
      <c r="AP19" s="741"/>
      <c r="AQ19" s="741"/>
      <c r="AR19" s="741"/>
      <c r="AS19" s="741"/>
    </row>
    <row r="20" spans="1:45" s="730" customFormat="1" hidden="1">
      <c r="A20" s="720" t="s">
        <v>543</v>
      </c>
      <c r="B20" s="720" t="s">
        <v>1140</v>
      </c>
      <c r="C20" s="822" t="s">
        <v>40</v>
      </c>
      <c r="D20" s="743"/>
      <c r="E20" s="917"/>
      <c r="F20" s="739"/>
      <c r="G20" s="739"/>
      <c r="H20" s="739"/>
      <c r="I20" s="828"/>
      <c r="J20" s="739"/>
      <c r="K20" s="739"/>
      <c r="L20" s="898"/>
      <c r="M20" s="741"/>
      <c r="N20" s="741"/>
      <c r="O20" s="741"/>
      <c r="P20" s="741"/>
      <c r="Q20" s="741"/>
      <c r="R20" s="741"/>
      <c r="S20" s="898"/>
      <c r="T20" s="741"/>
      <c r="U20" s="741"/>
      <c r="V20" s="741"/>
      <c r="W20" s="741"/>
      <c r="X20" s="741"/>
      <c r="Y20" s="741"/>
      <c r="Z20" s="898"/>
      <c r="AA20" s="741"/>
      <c r="AB20" s="741"/>
      <c r="AC20" s="741"/>
      <c r="AD20" s="741"/>
      <c r="AE20" s="892"/>
      <c r="AF20" s="741"/>
      <c r="AG20" s="898"/>
      <c r="AH20" s="824"/>
      <c r="AI20" s="786">
        <f t="shared" si="4"/>
        <v>0</v>
      </c>
      <c r="AJ20" s="725">
        <v>81</v>
      </c>
      <c r="AK20" s="726">
        <f>AI20+AJ20</f>
        <v>81</v>
      </c>
      <c r="AL20" s="726" t="s">
        <v>1457</v>
      </c>
      <c r="AM20" s="729">
        <f>AL20-AK20</f>
        <v>526.6</v>
      </c>
      <c r="AN20" s="825"/>
      <c r="AO20" s="741"/>
      <c r="AP20" s="741"/>
      <c r="AQ20" s="741"/>
      <c r="AR20" s="741"/>
      <c r="AS20" s="741"/>
    </row>
    <row r="21" spans="1:45" s="730" customFormat="1" hidden="1">
      <c r="A21" s="720" t="s">
        <v>544</v>
      </c>
      <c r="B21" s="720" t="s">
        <v>1141</v>
      </c>
      <c r="C21" s="822" t="s">
        <v>40</v>
      </c>
      <c r="D21" s="743"/>
      <c r="E21" s="915"/>
      <c r="F21" s="726"/>
      <c r="G21" s="726"/>
      <c r="H21" s="726"/>
      <c r="I21" s="726"/>
      <c r="J21" s="726"/>
      <c r="K21" s="726"/>
      <c r="L21" s="923"/>
      <c r="M21" s="756"/>
      <c r="N21" s="756"/>
      <c r="O21" s="756"/>
      <c r="P21" s="756"/>
      <c r="Q21" s="756"/>
      <c r="R21" s="756"/>
      <c r="S21" s="923"/>
      <c r="T21" s="756"/>
      <c r="U21" s="756"/>
      <c r="V21" s="756"/>
      <c r="W21" s="756"/>
      <c r="X21" s="756"/>
      <c r="Y21" s="756"/>
      <c r="Z21" s="923"/>
      <c r="AA21" s="756"/>
      <c r="AB21" s="756"/>
      <c r="AC21" s="756"/>
      <c r="AD21" s="756"/>
      <c r="AE21" s="774"/>
      <c r="AF21" s="756"/>
      <c r="AG21" s="897"/>
      <c r="AH21" s="819"/>
      <c r="AI21" s="786">
        <f t="shared" si="4"/>
        <v>0</v>
      </c>
      <c r="AJ21" s="725">
        <v>0</v>
      </c>
      <c r="AK21" s="726">
        <f t="shared" si="2"/>
        <v>0</v>
      </c>
      <c r="AL21" s="728" t="s">
        <v>1458</v>
      </c>
      <c r="AM21" s="729">
        <f t="shared" si="3"/>
        <v>759.49</v>
      </c>
    </row>
    <row r="22" spans="1:45" s="730" customFormat="1" hidden="1">
      <c r="A22" s="814" t="s">
        <v>545</v>
      </c>
      <c r="B22" s="815" t="s">
        <v>1142</v>
      </c>
      <c r="C22" s="826"/>
      <c r="D22" s="743"/>
      <c r="E22" s="915"/>
      <c r="F22" s="726"/>
      <c r="G22" s="726"/>
      <c r="H22" s="726"/>
      <c r="I22" s="725"/>
      <c r="J22" s="725"/>
      <c r="K22" s="725"/>
      <c r="L22" s="923"/>
      <c r="M22" s="756"/>
      <c r="N22" s="756"/>
      <c r="O22" s="756"/>
      <c r="P22" s="756"/>
      <c r="Q22" s="756"/>
      <c r="R22" s="756"/>
      <c r="S22" s="923"/>
      <c r="T22" s="756"/>
      <c r="U22" s="756"/>
      <c r="V22" s="756"/>
      <c r="W22" s="756"/>
      <c r="X22" s="756"/>
      <c r="Y22" s="756"/>
      <c r="Z22" s="923"/>
      <c r="AA22" s="756"/>
      <c r="AB22" s="756"/>
      <c r="AC22" s="756"/>
      <c r="AD22" s="756"/>
      <c r="AE22" s="774"/>
      <c r="AF22" s="756"/>
      <c r="AG22" s="897"/>
      <c r="AH22" s="819"/>
      <c r="AI22" s="786">
        <f t="shared" si="4"/>
        <v>0</v>
      </c>
      <c r="AJ22" s="725">
        <v>0</v>
      </c>
      <c r="AK22" s="726">
        <f t="shared" si="2"/>
        <v>0</v>
      </c>
      <c r="AL22" s="728"/>
      <c r="AM22" s="729">
        <f t="shared" si="3"/>
        <v>0</v>
      </c>
    </row>
    <row r="23" spans="1:45" s="733" customFormat="1" hidden="1">
      <c r="A23" s="720" t="s">
        <v>546</v>
      </c>
      <c r="B23" s="720" t="s">
        <v>1142</v>
      </c>
      <c r="C23" s="822" t="s">
        <v>64</v>
      </c>
      <c r="D23" s="827"/>
      <c r="E23" s="916"/>
      <c r="F23" s="731"/>
      <c r="G23" s="731"/>
      <c r="H23" s="829"/>
      <c r="I23" s="727"/>
      <c r="J23" s="727"/>
      <c r="K23" s="727"/>
      <c r="L23" s="923"/>
      <c r="M23" s="756"/>
      <c r="N23" s="756"/>
      <c r="O23" s="756"/>
      <c r="P23" s="756"/>
      <c r="Q23" s="756"/>
      <c r="R23" s="756"/>
      <c r="S23" s="923"/>
      <c r="T23" s="756"/>
      <c r="U23" s="756"/>
      <c r="V23" s="756"/>
      <c r="W23" s="756"/>
      <c r="X23" s="756"/>
      <c r="Y23" s="756"/>
      <c r="Z23" s="923"/>
      <c r="AA23" s="756"/>
      <c r="AB23" s="756"/>
      <c r="AC23" s="756"/>
      <c r="AD23" s="756"/>
      <c r="AE23" s="774"/>
      <c r="AF23" s="756"/>
      <c r="AG23" s="897"/>
      <c r="AH23" s="819"/>
      <c r="AI23" s="786">
        <f t="shared" si="4"/>
        <v>0</v>
      </c>
      <c r="AJ23" s="725">
        <v>0</v>
      </c>
      <c r="AK23" s="726">
        <f t="shared" si="2"/>
        <v>0</v>
      </c>
      <c r="AL23" s="732" t="s">
        <v>1455</v>
      </c>
      <c r="AM23" s="729">
        <f t="shared" si="3"/>
        <v>1</v>
      </c>
    </row>
    <row r="24" spans="1:45" s="730" customFormat="1" hidden="1">
      <c r="A24" s="720" t="s">
        <v>547</v>
      </c>
      <c r="B24" s="720" t="s">
        <v>1144</v>
      </c>
      <c r="C24" s="822" t="s">
        <v>64</v>
      </c>
      <c r="D24" s="743"/>
      <c r="E24" s="915"/>
      <c r="F24" s="726"/>
      <c r="G24" s="726"/>
      <c r="H24" s="726"/>
      <c r="I24" s="725"/>
      <c r="J24" s="725"/>
      <c r="K24" s="725"/>
      <c r="L24" s="929"/>
      <c r="M24" s="756"/>
      <c r="N24" s="756"/>
      <c r="O24" s="756"/>
      <c r="P24" s="756"/>
      <c r="Q24" s="756"/>
      <c r="R24" s="756"/>
      <c r="S24" s="923"/>
      <c r="T24" s="756"/>
      <c r="U24" s="756"/>
      <c r="V24" s="756"/>
      <c r="W24" s="756"/>
      <c r="X24" s="756"/>
      <c r="Y24" s="756"/>
      <c r="Z24" s="923"/>
      <c r="AA24" s="756"/>
      <c r="AB24" s="756"/>
      <c r="AC24" s="756"/>
      <c r="AD24" s="756"/>
      <c r="AE24" s="774"/>
      <c r="AF24" s="756"/>
      <c r="AG24" s="897"/>
      <c r="AH24" s="819"/>
      <c r="AI24" s="786">
        <f t="shared" si="4"/>
        <v>0</v>
      </c>
      <c r="AJ24" s="725">
        <v>0</v>
      </c>
      <c r="AK24" s="726">
        <f t="shared" si="2"/>
        <v>0</v>
      </c>
      <c r="AL24" s="728" t="s">
        <v>1455</v>
      </c>
      <c r="AM24" s="729">
        <f t="shared" si="3"/>
        <v>1</v>
      </c>
    </row>
    <row r="25" spans="1:45" s="730" customFormat="1" hidden="1">
      <c r="A25" s="814" t="s">
        <v>548</v>
      </c>
      <c r="B25" s="815" t="s">
        <v>1145</v>
      </c>
      <c r="C25" s="826"/>
      <c r="D25" s="743"/>
      <c r="E25" s="915"/>
      <c r="F25" s="726"/>
      <c r="G25" s="726"/>
      <c r="H25" s="726"/>
      <c r="I25" s="725"/>
      <c r="J25" s="725"/>
      <c r="K25" s="725"/>
      <c r="L25" s="923"/>
      <c r="M25" s="756"/>
      <c r="N25" s="756"/>
      <c r="O25" s="756"/>
      <c r="P25" s="756"/>
      <c r="Q25" s="756"/>
      <c r="R25" s="756"/>
      <c r="S25" s="923"/>
      <c r="T25" s="756"/>
      <c r="U25" s="756"/>
      <c r="V25" s="756"/>
      <c r="W25" s="756"/>
      <c r="X25" s="756"/>
      <c r="Y25" s="756"/>
      <c r="Z25" s="923"/>
      <c r="AA25" s="756"/>
      <c r="AB25" s="756"/>
      <c r="AC25" s="756"/>
      <c r="AD25" s="756"/>
      <c r="AE25" s="774"/>
      <c r="AF25" s="756"/>
      <c r="AG25" s="897"/>
      <c r="AH25" s="819"/>
      <c r="AI25" s="786">
        <f t="shared" si="4"/>
        <v>0</v>
      </c>
      <c r="AJ25" s="725">
        <v>0</v>
      </c>
      <c r="AK25" s="726">
        <f t="shared" si="2"/>
        <v>0</v>
      </c>
      <c r="AL25" s="728"/>
      <c r="AM25" s="729">
        <f t="shared" si="3"/>
        <v>0</v>
      </c>
    </row>
    <row r="26" spans="1:45" s="730" customFormat="1" hidden="1">
      <c r="A26" s="720" t="s">
        <v>549</v>
      </c>
      <c r="B26" s="720" t="s">
        <v>1146</v>
      </c>
      <c r="C26" s="822" t="s">
        <v>37</v>
      </c>
      <c r="D26" s="743"/>
      <c r="E26" s="915"/>
      <c r="F26" s="726"/>
      <c r="G26" s="726"/>
      <c r="H26" s="726"/>
      <c r="I26" s="725"/>
      <c r="J26" s="725"/>
      <c r="K26" s="725"/>
      <c r="L26" s="923"/>
      <c r="M26" s="756"/>
      <c r="N26" s="756"/>
      <c r="O26" s="756"/>
      <c r="P26" s="756"/>
      <c r="Q26" s="756"/>
      <c r="R26" s="756"/>
      <c r="S26" s="923"/>
      <c r="T26" s="756"/>
      <c r="U26" s="756"/>
      <c r="V26" s="756"/>
      <c r="W26" s="756"/>
      <c r="X26" s="756"/>
      <c r="Y26" s="756"/>
      <c r="Z26" s="923"/>
      <c r="AA26" s="756"/>
      <c r="AB26" s="756"/>
      <c r="AC26" s="756"/>
      <c r="AD26" s="756"/>
      <c r="AE26" s="774"/>
      <c r="AF26" s="756"/>
      <c r="AG26" s="897"/>
      <c r="AH26" s="819"/>
      <c r="AI26" s="786">
        <f t="shared" si="4"/>
        <v>0</v>
      </c>
      <c r="AJ26" s="725">
        <v>656.8</v>
      </c>
      <c r="AK26" s="726">
        <f t="shared" si="2"/>
        <v>656.8</v>
      </c>
      <c r="AL26" s="728" t="s">
        <v>1456</v>
      </c>
      <c r="AM26" s="729">
        <f t="shared" si="3"/>
        <v>0</v>
      </c>
    </row>
    <row r="27" spans="1:45" s="730" customFormat="1" hidden="1">
      <c r="A27" s="720" t="s">
        <v>550</v>
      </c>
      <c r="B27" s="720" t="s">
        <v>1819</v>
      </c>
      <c r="C27" s="822" t="s">
        <v>37</v>
      </c>
      <c r="D27" s="743"/>
      <c r="E27" s="915"/>
      <c r="F27" s="726"/>
      <c r="G27" s="726"/>
      <c r="H27" s="726"/>
      <c r="I27" s="725"/>
      <c r="J27" s="725"/>
      <c r="K27" s="725"/>
      <c r="L27" s="923"/>
      <c r="M27" s="756"/>
      <c r="N27" s="756"/>
      <c r="O27" s="756"/>
      <c r="P27" s="756"/>
      <c r="Q27" s="756"/>
      <c r="R27" s="756"/>
      <c r="S27" s="923"/>
      <c r="T27" s="756"/>
      <c r="U27" s="756"/>
      <c r="V27" s="756"/>
      <c r="W27" s="756"/>
      <c r="X27" s="797"/>
      <c r="Y27" s="756"/>
      <c r="Z27" s="923"/>
      <c r="AA27" s="756"/>
      <c r="AB27" s="756"/>
      <c r="AC27" s="756"/>
      <c r="AD27" s="756"/>
      <c r="AE27" s="774"/>
      <c r="AF27" s="756"/>
      <c r="AG27" s="897"/>
      <c r="AH27" s="819"/>
      <c r="AI27" s="786">
        <f t="shared" si="4"/>
        <v>0</v>
      </c>
      <c r="AJ27" s="725">
        <v>154.35</v>
      </c>
      <c r="AK27" s="726">
        <f>AI27+AJ27</f>
        <v>154.35</v>
      </c>
      <c r="AL27" s="728" t="s">
        <v>1456</v>
      </c>
      <c r="AM27" s="729">
        <f>AL27-AK27</f>
        <v>502.44999999999993</v>
      </c>
    </row>
    <row r="28" spans="1:45" s="730" customFormat="1">
      <c r="A28" s="814" t="s">
        <v>551</v>
      </c>
      <c r="B28" s="815" t="s">
        <v>1147</v>
      </c>
      <c r="C28" s="826"/>
      <c r="D28" s="743"/>
      <c r="E28" s="915"/>
      <c r="F28" s="726"/>
      <c r="G28" s="726"/>
      <c r="H28" s="726"/>
      <c r="I28" s="775"/>
      <c r="J28" s="725"/>
      <c r="K28" s="725"/>
      <c r="L28" s="923"/>
      <c r="M28" s="775"/>
      <c r="N28" s="756"/>
      <c r="O28" s="756"/>
      <c r="P28" s="725"/>
      <c r="Q28" s="756"/>
      <c r="R28" s="756"/>
      <c r="S28" s="923"/>
      <c r="T28" s="756"/>
      <c r="U28" s="756"/>
      <c r="V28" s="756"/>
      <c r="W28" s="756"/>
      <c r="X28" s="756"/>
      <c r="Y28" s="756"/>
      <c r="Z28" s="923"/>
      <c r="AA28" s="756"/>
      <c r="AB28" s="756"/>
      <c r="AC28" s="756"/>
      <c r="AD28" s="756"/>
      <c r="AE28" s="774"/>
      <c r="AF28" s="756"/>
      <c r="AG28" s="897"/>
      <c r="AH28" s="819"/>
      <c r="AI28" s="786">
        <f t="shared" si="4"/>
        <v>0</v>
      </c>
      <c r="AJ28" s="725">
        <v>0</v>
      </c>
      <c r="AK28" s="726">
        <f t="shared" si="2"/>
        <v>0</v>
      </c>
      <c r="AL28" s="728"/>
      <c r="AM28" s="729">
        <f t="shared" si="3"/>
        <v>0</v>
      </c>
    </row>
    <row r="29" spans="1:45" s="730" customFormat="1">
      <c r="A29" s="720" t="s">
        <v>552</v>
      </c>
      <c r="B29" s="720" t="s">
        <v>1148</v>
      </c>
      <c r="C29" s="822" t="s">
        <v>64</v>
      </c>
      <c r="D29" s="830"/>
      <c r="E29" s="899"/>
      <c r="F29" s="725"/>
      <c r="G29" s="725"/>
      <c r="H29" s="726"/>
      <c r="I29" s="775"/>
      <c r="J29" s="725"/>
      <c r="K29" s="725"/>
      <c r="L29" s="923"/>
      <c r="M29" s="775"/>
      <c r="N29" s="756"/>
      <c r="O29" s="756"/>
      <c r="P29" s="772">
        <v>1</v>
      </c>
      <c r="Q29" s="756"/>
      <c r="R29" s="756"/>
      <c r="S29" s="923"/>
      <c r="T29" s="756"/>
      <c r="U29" s="756"/>
      <c r="V29" s="756"/>
      <c r="W29" s="756"/>
      <c r="X29" s="756"/>
      <c r="Y29" s="756"/>
      <c r="Z29" s="923"/>
      <c r="AA29" s="756"/>
      <c r="AB29" s="756"/>
      <c r="AC29" s="756"/>
      <c r="AD29" s="756"/>
      <c r="AE29" s="774"/>
      <c r="AF29" s="756"/>
      <c r="AG29" s="897"/>
      <c r="AH29" s="819"/>
      <c r="AI29" s="786">
        <f t="shared" si="4"/>
        <v>1</v>
      </c>
      <c r="AJ29" s="725">
        <v>0</v>
      </c>
      <c r="AK29" s="726">
        <f t="shared" si="2"/>
        <v>1</v>
      </c>
      <c r="AL29" s="728" t="s">
        <v>1455</v>
      </c>
      <c r="AM29" s="729">
        <f t="shared" si="3"/>
        <v>0</v>
      </c>
    </row>
    <row r="30" spans="1:45" s="730" customFormat="1">
      <c r="A30" s="720" t="s">
        <v>553</v>
      </c>
      <c r="B30" s="720" t="s">
        <v>1149</v>
      </c>
      <c r="C30" s="822" t="s">
        <v>36</v>
      </c>
      <c r="D30" s="830"/>
      <c r="E30" s="899"/>
      <c r="F30" s="725"/>
      <c r="G30" s="725"/>
      <c r="H30" s="726"/>
      <c r="I30" s="775"/>
      <c r="J30" s="725"/>
      <c r="K30" s="725"/>
      <c r="L30" s="923"/>
      <c r="M30" s="772">
        <v>15</v>
      </c>
      <c r="N30" s="756"/>
      <c r="O30" s="756"/>
      <c r="Q30" s="756"/>
      <c r="R30" s="756"/>
      <c r="S30" s="923"/>
      <c r="T30" s="756"/>
      <c r="U30" s="756"/>
      <c r="V30" s="756"/>
      <c r="W30" s="756"/>
      <c r="X30" s="756"/>
      <c r="Y30" s="756"/>
      <c r="Z30" s="923"/>
      <c r="AA30" s="756"/>
      <c r="AB30" s="756"/>
      <c r="AC30" s="756"/>
      <c r="AD30" s="756"/>
      <c r="AE30" s="774"/>
      <c r="AF30" s="756"/>
      <c r="AG30" s="897"/>
      <c r="AH30" s="819"/>
      <c r="AI30" s="786">
        <f t="shared" si="4"/>
        <v>15</v>
      </c>
      <c r="AJ30" s="725">
        <v>0</v>
      </c>
      <c r="AK30" s="726">
        <f t="shared" si="2"/>
        <v>15</v>
      </c>
      <c r="AL30" s="728" t="s">
        <v>1459</v>
      </c>
      <c r="AM30" s="729">
        <f t="shared" si="3"/>
        <v>15</v>
      </c>
    </row>
    <row r="31" spans="1:45" s="730" customFormat="1">
      <c r="A31" s="720" t="s">
        <v>554</v>
      </c>
      <c r="B31" s="720" t="s">
        <v>1150</v>
      </c>
      <c r="C31" s="822" t="s">
        <v>64</v>
      </c>
      <c r="D31" s="830"/>
      <c r="E31" s="899"/>
      <c r="F31" s="725"/>
      <c r="G31" s="725"/>
      <c r="H31" s="726"/>
      <c r="I31" s="775"/>
      <c r="J31" s="725"/>
      <c r="K31" s="725"/>
      <c r="L31" s="923"/>
      <c r="M31" s="775"/>
      <c r="N31" s="756"/>
      <c r="O31" s="756"/>
      <c r="P31" s="772">
        <v>0.5</v>
      </c>
      <c r="Q31" s="756"/>
      <c r="R31" s="756"/>
      <c r="S31" s="923"/>
      <c r="T31" s="756"/>
      <c r="U31" s="756"/>
      <c r="V31" s="756"/>
      <c r="W31" s="756"/>
      <c r="X31" s="756"/>
      <c r="Y31" s="756"/>
      <c r="Z31" s="923"/>
      <c r="AA31" s="756"/>
      <c r="AB31" s="756"/>
      <c r="AC31" s="756"/>
      <c r="AD31" s="756"/>
      <c r="AE31" s="774"/>
      <c r="AF31" s="756"/>
      <c r="AG31" s="897"/>
      <c r="AH31" s="819"/>
      <c r="AI31" s="786">
        <f t="shared" si="4"/>
        <v>0.5</v>
      </c>
      <c r="AJ31" s="725">
        <v>0</v>
      </c>
      <c r="AK31" s="726">
        <f t="shared" si="2"/>
        <v>0.5</v>
      </c>
      <c r="AL31" s="728" t="s">
        <v>1455</v>
      </c>
      <c r="AM31" s="729">
        <f t="shared" si="3"/>
        <v>0.5</v>
      </c>
    </row>
    <row r="32" spans="1:45" s="730" customFormat="1">
      <c r="A32" s="720" t="s">
        <v>555</v>
      </c>
      <c r="B32" s="720" t="s">
        <v>1151</v>
      </c>
      <c r="C32" s="822" t="s">
        <v>64</v>
      </c>
      <c r="D32" s="830"/>
      <c r="E32" s="899"/>
      <c r="F32" s="725"/>
      <c r="G32" s="725"/>
      <c r="H32" s="726"/>
      <c r="I32" s="775"/>
      <c r="J32" s="725"/>
      <c r="K32" s="725"/>
      <c r="L32" s="923"/>
      <c r="M32" s="775"/>
      <c r="N32" s="756"/>
      <c r="O32" s="756"/>
      <c r="P32" s="772">
        <v>0.5</v>
      </c>
      <c r="Q32" s="756"/>
      <c r="R32" s="756"/>
      <c r="S32" s="923"/>
      <c r="T32" s="756"/>
      <c r="U32" s="756"/>
      <c r="V32" s="756"/>
      <c r="W32" s="756"/>
      <c r="X32" s="756"/>
      <c r="Y32" s="756"/>
      <c r="Z32" s="923"/>
      <c r="AA32" s="756"/>
      <c r="AB32" s="756"/>
      <c r="AC32" s="756"/>
      <c r="AD32" s="797"/>
      <c r="AE32" s="774"/>
      <c r="AF32" s="756"/>
      <c r="AG32" s="897"/>
      <c r="AH32" s="819"/>
      <c r="AI32" s="786">
        <f t="shared" si="4"/>
        <v>0.5</v>
      </c>
      <c r="AJ32" s="725">
        <v>0</v>
      </c>
      <c r="AK32" s="726">
        <f t="shared" si="2"/>
        <v>0.5</v>
      </c>
      <c r="AL32" s="728" t="s">
        <v>1455</v>
      </c>
      <c r="AM32" s="729">
        <f t="shared" si="3"/>
        <v>0.5</v>
      </c>
    </row>
    <row r="33" spans="1:39" s="730" customFormat="1">
      <c r="A33" s="720" t="s">
        <v>556</v>
      </c>
      <c r="B33" s="720" t="s">
        <v>1152</v>
      </c>
      <c r="C33" s="822" t="s">
        <v>64</v>
      </c>
      <c r="D33" s="830"/>
      <c r="E33" s="899"/>
      <c r="F33" s="725"/>
      <c r="G33" s="725"/>
      <c r="H33" s="726"/>
      <c r="I33" s="775"/>
      <c r="J33" s="725"/>
      <c r="K33" s="725"/>
      <c r="L33" s="923"/>
      <c r="M33" s="775"/>
      <c r="N33" s="756"/>
      <c r="O33" s="756"/>
      <c r="P33" s="725"/>
      <c r="Q33" s="756"/>
      <c r="R33" s="756"/>
      <c r="S33" s="923"/>
      <c r="T33" s="884">
        <v>0.1</v>
      </c>
      <c r="U33" s="756"/>
      <c r="V33" s="756"/>
      <c r="W33" s="756"/>
      <c r="X33" s="756"/>
      <c r="Y33" s="756"/>
      <c r="Z33" s="923"/>
      <c r="AA33" s="884">
        <v>0.15</v>
      </c>
      <c r="AB33" s="756"/>
      <c r="AC33" s="756"/>
      <c r="AD33" s="756"/>
      <c r="AE33" s="774"/>
      <c r="AF33" s="756"/>
      <c r="AG33" s="897"/>
      <c r="AH33" s="819"/>
      <c r="AI33" s="786">
        <f t="shared" si="4"/>
        <v>0.25</v>
      </c>
      <c r="AJ33" s="725">
        <v>0</v>
      </c>
      <c r="AK33" s="726">
        <f t="shared" si="2"/>
        <v>0.25</v>
      </c>
      <c r="AL33" s="728" t="s">
        <v>1455</v>
      </c>
      <c r="AM33" s="729">
        <f t="shared" si="3"/>
        <v>0.75</v>
      </c>
    </row>
    <row r="34" spans="1:39" s="733" customFormat="1" ht="13.5" thickBot="1">
      <c r="A34" s="720" t="s">
        <v>557</v>
      </c>
      <c r="B34" s="720" t="s">
        <v>1153</v>
      </c>
      <c r="C34" s="822" t="s">
        <v>64</v>
      </c>
      <c r="D34" s="725"/>
      <c r="E34" s="897"/>
      <c r="F34" s="725"/>
      <c r="G34" s="727"/>
      <c r="H34" s="731"/>
      <c r="I34" s="820"/>
      <c r="J34" s="727"/>
      <c r="K34" s="727"/>
      <c r="L34" s="923"/>
      <c r="M34" s="820"/>
      <c r="N34" s="756"/>
      <c r="O34" s="756"/>
      <c r="P34" s="727"/>
      <c r="Q34" s="756"/>
      <c r="R34" s="756"/>
      <c r="S34" s="923"/>
      <c r="T34" s="884">
        <v>0.1</v>
      </c>
      <c r="U34" s="756"/>
      <c r="V34" s="756"/>
      <c r="W34" s="756"/>
      <c r="X34" s="756"/>
      <c r="Y34" s="756"/>
      <c r="Z34" s="923"/>
      <c r="AA34" s="884">
        <v>0.15</v>
      </c>
      <c r="AB34" s="756"/>
      <c r="AC34" s="756"/>
      <c r="AD34" s="756"/>
      <c r="AE34" s="774"/>
      <c r="AF34" s="756"/>
      <c r="AG34" s="897"/>
      <c r="AH34" s="819"/>
      <c r="AI34" s="786">
        <f t="shared" si="4"/>
        <v>0.25</v>
      </c>
      <c r="AJ34" s="725">
        <v>0</v>
      </c>
      <c r="AK34" s="726">
        <f t="shared" si="2"/>
        <v>0.25</v>
      </c>
      <c r="AL34" s="732" t="s">
        <v>1455</v>
      </c>
      <c r="AM34" s="729">
        <f t="shared" si="3"/>
        <v>0.75</v>
      </c>
    </row>
    <row r="35" spans="1:39" s="730" customFormat="1">
      <c r="A35" s="816" t="s">
        <v>42</v>
      </c>
      <c r="B35" s="816" t="s">
        <v>1154</v>
      </c>
      <c r="C35" s="826"/>
      <c r="D35" s="743"/>
      <c r="E35" s="915"/>
      <c r="F35" s="726"/>
      <c r="G35" s="726"/>
      <c r="H35" s="726"/>
      <c r="I35" s="725"/>
      <c r="J35" s="725"/>
      <c r="K35" s="725"/>
      <c r="L35" s="923"/>
      <c r="M35" s="756"/>
      <c r="N35" s="756"/>
      <c r="O35" s="756"/>
      <c r="P35" s="756"/>
      <c r="Q35" s="756"/>
      <c r="R35" s="756"/>
      <c r="S35" s="923"/>
      <c r="T35" s="756"/>
      <c r="U35" s="756"/>
      <c r="V35" s="756"/>
      <c r="W35" s="756"/>
      <c r="X35" s="756"/>
      <c r="Y35" s="756"/>
      <c r="Z35" s="923"/>
      <c r="AA35" s="756"/>
      <c r="AB35" s="756"/>
      <c r="AC35" s="756"/>
      <c r="AD35" s="756"/>
      <c r="AE35" s="774"/>
      <c r="AF35" s="756"/>
      <c r="AG35" s="897"/>
      <c r="AH35" s="819"/>
      <c r="AI35" s="786">
        <f t="shared" si="4"/>
        <v>0</v>
      </c>
      <c r="AJ35" s="725">
        <v>0</v>
      </c>
      <c r="AK35" s="726">
        <f t="shared" si="2"/>
        <v>0</v>
      </c>
      <c r="AL35" s="728"/>
      <c r="AM35" s="729">
        <f t="shared" si="3"/>
        <v>0</v>
      </c>
    </row>
    <row r="36" spans="1:39" s="500" customFormat="1" hidden="1">
      <c r="A36" s="440" t="s">
        <v>43</v>
      </c>
      <c r="B36" s="543" t="s">
        <v>1155</v>
      </c>
      <c r="C36" s="605"/>
      <c r="D36" s="519"/>
      <c r="E36" s="915"/>
      <c r="F36" s="520"/>
      <c r="G36" s="520"/>
      <c r="H36" s="520"/>
      <c r="I36" s="521"/>
      <c r="J36" s="521"/>
      <c r="K36" s="521"/>
      <c r="L36" s="923"/>
      <c r="M36" s="514"/>
      <c r="N36" s="514"/>
      <c r="O36" s="514"/>
      <c r="P36" s="514"/>
      <c r="Q36" s="514"/>
      <c r="R36" s="514"/>
      <c r="S36" s="923"/>
      <c r="T36" s="514"/>
      <c r="U36" s="514"/>
      <c r="V36" s="514"/>
      <c r="W36" s="514"/>
      <c r="X36" s="514"/>
      <c r="Y36" s="514"/>
      <c r="Z36" s="923"/>
      <c r="AA36" s="514"/>
      <c r="AB36" s="514"/>
      <c r="AC36" s="514"/>
      <c r="AD36" s="514"/>
      <c r="AE36" s="774"/>
      <c r="AF36" s="514"/>
      <c r="AG36" s="897"/>
      <c r="AH36" s="789"/>
      <c r="AI36" s="786">
        <f t="shared" si="4"/>
        <v>0</v>
      </c>
      <c r="AJ36" s="521">
        <v>0</v>
      </c>
      <c r="AK36" s="520">
        <f t="shared" si="2"/>
        <v>0</v>
      </c>
      <c r="AL36" s="672"/>
      <c r="AM36" s="669">
        <f t="shared" si="3"/>
        <v>0</v>
      </c>
    </row>
    <row r="37" spans="1:39" s="500" customFormat="1" hidden="1">
      <c r="A37" s="542" t="s">
        <v>53</v>
      </c>
      <c r="B37" s="542" t="s">
        <v>46</v>
      </c>
      <c r="C37" s="605"/>
      <c r="D37" s="519"/>
      <c r="E37" s="915"/>
      <c r="F37" s="520"/>
      <c r="G37" s="520"/>
      <c r="H37" s="520"/>
      <c r="I37" s="521"/>
      <c r="J37" s="521"/>
      <c r="K37" s="521"/>
      <c r="L37" s="923"/>
      <c r="M37" s="514"/>
      <c r="N37" s="514"/>
      <c r="O37" s="514"/>
      <c r="P37" s="514"/>
      <c r="Q37" s="514"/>
      <c r="R37" s="514"/>
      <c r="S37" s="923"/>
      <c r="T37" s="514"/>
      <c r="U37" s="514"/>
      <c r="V37" s="514"/>
      <c r="W37" s="514"/>
      <c r="X37" s="514"/>
      <c r="Y37" s="514"/>
      <c r="Z37" s="923"/>
      <c r="AA37" s="514"/>
      <c r="AB37" s="514"/>
      <c r="AC37" s="514"/>
      <c r="AD37" s="514"/>
      <c r="AE37" s="774"/>
      <c r="AF37" s="514"/>
      <c r="AG37" s="897"/>
      <c r="AH37" s="789"/>
      <c r="AI37" s="786">
        <f t="shared" si="4"/>
        <v>0</v>
      </c>
      <c r="AJ37" s="521">
        <v>0</v>
      </c>
      <c r="AK37" s="520">
        <f t="shared" si="2"/>
        <v>0</v>
      </c>
      <c r="AL37" s="672"/>
      <c r="AM37" s="669">
        <f t="shared" si="3"/>
        <v>0</v>
      </c>
    </row>
    <row r="38" spans="1:39" s="500" customFormat="1" hidden="1">
      <c r="A38" s="539" t="s">
        <v>558</v>
      </c>
      <c r="B38" s="539" t="s">
        <v>1156</v>
      </c>
      <c r="C38" s="472" t="s">
        <v>40</v>
      </c>
      <c r="D38" s="519"/>
      <c r="E38" s="915"/>
      <c r="F38" s="520"/>
      <c r="G38" s="520"/>
      <c r="H38" s="520"/>
      <c r="I38" s="521"/>
      <c r="J38" s="521"/>
      <c r="K38" s="521"/>
      <c r="L38" s="923"/>
      <c r="M38" s="514"/>
      <c r="N38" s="514"/>
      <c r="O38" s="514"/>
      <c r="P38" s="514"/>
      <c r="Q38" s="514"/>
      <c r="R38" s="514"/>
      <c r="S38" s="923"/>
      <c r="T38" s="514"/>
      <c r="U38" s="514"/>
      <c r="V38" s="514"/>
      <c r="W38" s="514"/>
      <c r="X38" s="514"/>
      <c r="Y38" s="514"/>
      <c r="Z38" s="923"/>
      <c r="AA38" s="514"/>
      <c r="AB38" s="514"/>
      <c r="AC38" s="514"/>
      <c r="AD38" s="514"/>
      <c r="AE38" s="774"/>
      <c r="AF38" s="514"/>
      <c r="AG38" s="897"/>
      <c r="AH38" s="789"/>
      <c r="AI38" s="786">
        <f t="shared" si="4"/>
        <v>0</v>
      </c>
      <c r="AJ38" s="521">
        <v>0</v>
      </c>
      <c r="AK38" s="520">
        <f t="shared" si="2"/>
        <v>0</v>
      </c>
      <c r="AL38" s="672" t="s">
        <v>1460</v>
      </c>
      <c r="AM38" s="669">
        <f t="shared" si="3"/>
        <v>27.29</v>
      </c>
    </row>
    <row r="39" spans="1:39" s="500" customFormat="1" hidden="1">
      <c r="A39" s="539" t="s">
        <v>559</v>
      </c>
      <c r="B39" s="539" t="s">
        <v>1157</v>
      </c>
      <c r="C39" s="472" t="s">
        <v>40</v>
      </c>
      <c r="D39" s="519"/>
      <c r="E39" s="915"/>
      <c r="F39" s="520"/>
      <c r="G39" s="520"/>
      <c r="H39" s="520"/>
      <c r="I39" s="521"/>
      <c r="J39" s="521"/>
      <c r="K39" s="521"/>
      <c r="L39" s="923"/>
      <c r="M39" s="514"/>
      <c r="N39" s="514"/>
      <c r="O39" s="514"/>
      <c r="P39" s="514"/>
      <c r="Q39" s="514"/>
      <c r="R39" s="514"/>
      <c r="S39" s="923"/>
      <c r="T39" s="514"/>
      <c r="U39" s="514"/>
      <c r="V39" s="514"/>
      <c r="W39" s="514"/>
      <c r="X39" s="514"/>
      <c r="Y39" s="514"/>
      <c r="Z39" s="923"/>
      <c r="AA39" s="514"/>
      <c r="AB39" s="514"/>
      <c r="AC39" s="514"/>
      <c r="AD39" s="514"/>
      <c r="AE39" s="774"/>
      <c r="AF39" s="514"/>
      <c r="AG39" s="897"/>
      <c r="AH39" s="789"/>
      <c r="AI39" s="786">
        <f t="shared" si="4"/>
        <v>0</v>
      </c>
      <c r="AJ39" s="521">
        <v>0</v>
      </c>
      <c r="AK39" s="520">
        <f t="shared" si="2"/>
        <v>0</v>
      </c>
      <c r="AL39" s="672" t="s">
        <v>1461</v>
      </c>
      <c r="AM39" s="669">
        <f t="shared" si="3"/>
        <v>8.75</v>
      </c>
    </row>
    <row r="40" spans="1:39" s="500" customFormat="1" hidden="1">
      <c r="A40" s="539" t="s">
        <v>560</v>
      </c>
      <c r="B40" s="539" t="s">
        <v>1158</v>
      </c>
      <c r="C40" s="472" t="s">
        <v>40</v>
      </c>
      <c r="D40" s="519"/>
      <c r="E40" s="915"/>
      <c r="F40" s="520"/>
      <c r="G40" s="520"/>
      <c r="H40" s="520"/>
      <c r="I40" s="521"/>
      <c r="J40" s="521"/>
      <c r="K40" s="521"/>
      <c r="L40" s="923"/>
      <c r="M40" s="514"/>
      <c r="N40" s="514"/>
      <c r="O40" s="514"/>
      <c r="P40" s="514"/>
      <c r="Q40" s="514"/>
      <c r="R40" s="514"/>
      <c r="S40" s="923"/>
      <c r="T40" s="514"/>
      <c r="U40" s="514"/>
      <c r="V40" s="514"/>
      <c r="W40" s="514"/>
      <c r="X40" s="514"/>
      <c r="Y40" s="514"/>
      <c r="Z40" s="923"/>
      <c r="AA40" s="514"/>
      <c r="AB40" s="514"/>
      <c r="AC40" s="514"/>
      <c r="AD40" s="514"/>
      <c r="AE40" s="774"/>
      <c r="AF40" s="514"/>
      <c r="AG40" s="897"/>
      <c r="AH40" s="789"/>
      <c r="AI40" s="786">
        <f t="shared" si="4"/>
        <v>0</v>
      </c>
      <c r="AJ40" s="521">
        <v>0</v>
      </c>
      <c r="AK40" s="520">
        <f t="shared" si="2"/>
        <v>0</v>
      </c>
      <c r="AL40" s="672" t="s">
        <v>1462</v>
      </c>
      <c r="AM40" s="669">
        <f t="shared" si="3"/>
        <v>13.99</v>
      </c>
    </row>
    <row r="41" spans="1:39" s="500" customFormat="1" hidden="1">
      <c r="A41" s="539" t="s">
        <v>561</v>
      </c>
      <c r="B41" s="539" t="s">
        <v>1159</v>
      </c>
      <c r="C41" s="472" t="s">
        <v>37</v>
      </c>
      <c r="D41" s="519"/>
      <c r="E41" s="915"/>
      <c r="F41" s="520"/>
      <c r="G41" s="520"/>
      <c r="H41" s="520"/>
      <c r="I41" s="521"/>
      <c r="J41" s="521"/>
      <c r="K41" s="521"/>
      <c r="L41" s="923"/>
      <c r="M41" s="514"/>
      <c r="N41" s="514"/>
      <c r="O41" s="514"/>
      <c r="P41" s="514"/>
      <c r="Q41" s="514"/>
      <c r="R41" s="514"/>
      <c r="S41" s="923"/>
      <c r="T41" s="514"/>
      <c r="U41" s="514"/>
      <c r="V41" s="514"/>
      <c r="W41" s="514"/>
      <c r="X41" s="514"/>
      <c r="Y41" s="514"/>
      <c r="Z41" s="923"/>
      <c r="AA41" s="514"/>
      <c r="AB41" s="514"/>
      <c r="AC41" s="514"/>
      <c r="AD41" s="514"/>
      <c r="AE41" s="774"/>
      <c r="AF41" s="514"/>
      <c r="AG41" s="897"/>
      <c r="AH41" s="789"/>
      <c r="AI41" s="786">
        <f t="shared" si="4"/>
        <v>0</v>
      </c>
      <c r="AJ41" s="521">
        <v>0</v>
      </c>
      <c r="AK41" s="520">
        <f t="shared" si="2"/>
        <v>0</v>
      </c>
      <c r="AL41" s="672" t="s">
        <v>1463</v>
      </c>
      <c r="AM41" s="669">
        <f t="shared" si="3"/>
        <v>26.03</v>
      </c>
    </row>
    <row r="42" spans="1:39" s="518" customFormat="1" ht="11.25" hidden="1" customHeight="1">
      <c r="A42" s="539" t="s">
        <v>562</v>
      </c>
      <c r="B42" s="539" t="s">
        <v>1160</v>
      </c>
      <c r="C42" s="472" t="s">
        <v>40</v>
      </c>
      <c r="D42" s="525"/>
      <c r="E42" s="916"/>
      <c r="F42" s="526"/>
      <c r="G42" s="526"/>
      <c r="H42" s="526"/>
      <c r="I42" s="527"/>
      <c r="J42" s="527"/>
      <c r="K42" s="527"/>
      <c r="L42" s="923"/>
      <c r="M42" s="514"/>
      <c r="N42" s="514"/>
      <c r="O42" s="514"/>
      <c r="P42" s="514"/>
      <c r="Q42" s="514"/>
      <c r="R42" s="514"/>
      <c r="S42" s="923"/>
      <c r="T42" s="514"/>
      <c r="U42" s="514"/>
      <c r="V42" s="514"/>
      <c r="W42" s="514"/>
      <c r="X42" s="514"/>
      <c r="Y42" s="514"/>
      <c r="Z42" s="923"/>
      <c r="AA42" s="514"/>
      <c r="AB42" s="514"/>
      <c r="AC42" s="514"/>
      <c r="AD42" s="514"/>
      <c r="AE42" s="774"/>
      <c r="AF42" s="514"/>
      <c r="AG42" s="897"/>
      <c r="AH42" s="789"/>
      <c r="AI42" s="786">
        <f t="shared" si="4"/>
        <v>0</v>
      </c>
      <c r="AJ42" s="521">
        <v>0</v>
      </c>
      <c r="AK42" s="520">
        <f t="shared" si="2"/>
        <v>0</v>
      </c>
      <c r="AL42" s="673" t="s">
        <v>1464</v>
      </c>
      <c r="AM42" s="669">
        <f t="shared" si="3"/>
        <v>27.56</v>
      </c>
    </row>
    <row r="43" spans="1:39" s="500" customFormat="1" ht="11.25" hidden="1" customHeight="1">
      <c r="A43" s="539" t="s">
        <v>563</v>
      </c>
      <c r="B43" s="539" t="s">
        <v>1161</v>
      </c>
      <c r="C43" s="548" t="s">
        <v>40</v>
      </c>
      <c r="D43" s="519"/>
      <c r="E43" s="915"/>
      <c r="F43" s="520"/>
      <c r="G43" s="520"/>
      <c r="H43" s="520"/>
      <c r="I43" s="521"/>
      <c r="J43" s="521"/>
      <c r="K43" s="521"/>
      <c r="L43" s="923"/>
      <c r="M43" s="514"/>
      <c r="N43" s="514"/>
      <c r="O43" s="514"/>
      <c r="P43" s="514"/>
      <c r="Q43" s="514"/>
      <c r="R43" s="514"/>
      <c r="S43" s="923"/>
      <c r="T43" s="514"/>
      <c r="U43" s="514"/>
      <c r="V43" s="514"/>
      <c r="W43" s="514"/>
      <c r="X43" s="514"/>
      <c r="Y43" s="514"/>
      <c r="Z43" s="923"/>
      <c r="AA43" s="514"/>
      <c r="AB43" s="514"/>
      <c r="AC43" s="514"/>
      <c r="AD43" s="514"/>
      <c r="AE43" s="774"/>
      <c r="AF43" s="514"/>
      <c r="AG43" s="897"/>
      <c r="AH43" s="789"/>
      <c r="AI43" s="786">
        <f t="shared" si="4"/>
        <v>0</v>
      </c>
      <c r="AJ43" s="521">
        <v>0</v>
      </c>
      <c r="AK43" s="520">
        <f t="shared" si="2"/>
        <v>0</v>
      </c>
      <c r="AL43" s="672" t="s">
        <v>1464</v>
      </c>
      <c r="AM43" s="669">
        <f t="shared" si="3"/>
        <v>27.56</v>
      </c>
    </row>
    <row r="44" spans="1:39" s="500" customFormat="1" ht="11.25" hidden="1" customHeight="1">
      <c r="A44" s="542" t="s">
        <v>564</v>
      </c>
      <c r="B44" s="542" t="s">
        <v>1162</v>
      </c>
      <c r="C44" s="605"/>
      <c r="D44" s="519"/>
      <c r="E44" s="915"/>
      <c r="F44" s="520"/>
      <c r="G44" s="520"/>
      <c r="H44" s="520"/>
      <c r="I44" s="521"/>
      <c r="J44" s="521"/>
      <c r="K44" s="521"/>
      <c r="L44" s="923"/>
      <c r="M44" s="514"/>
      <c r="N44" s="514"/>
      <c r="O44" s="514"/>
      <c r="P44" s="514"/>
      <c r="Q44" s="514"/>
      <c r="R44" s="514"/>
      <c r="S44" s="923"/>
      <c r="T44" s="514"/>
      <c r="U44" s="514"/>
      <c r="V44" s="514"/>
      <c r="W44" s="514"/>
      <c r="X44" s="514"/>
      <c r="Y44" s="514"/>
      <c r="Z44" s="923"/>
      <c r="AA44" s="514"/>
      <c r="AB44" s="514"/>
      <c r="AC44" s="514"/>
      <c r="AD44" s="514"/>
      <c r="AE44" s="774"/>
      <c r="AF44" s="514"/>
      <c r="AG44" s="897"/>
      <c r="AH44" s="789"/>
      <c r="AI44" s="786">
        <f t="shared" si="4"/>
        <v>0</v>
      </c>
      <c r="AJ44" s="521">
        <v>0</v>
      </c>
      <c r="AK44" s="520">
        <f t="shared" si="2"/>
        <v>0</v>
      </c>
      <c r="AL44" s="672"/>
      <c r="AM44" s="669">
        <f t="shared" si="3"/>
        <v>0</v>
      </c>
    </row>
    <row r="45" spans="1:39" s="500" customFormat="1" ht="11.25" hidden="1" customHeight="1">
      <c r="A45" s="539" t="s">
        <v>565</v>
      </c>
      <c r="B45" s="539" t="s">
        <v>1163</v>
      </c>
      <c r="C45" s="472" t="s">
        <v>40</v>
      </c>
      <c r="D45" s="519"/>
      <c r="E45" s="915"/>
      <c r="F45" s="520"/>
      <c r="G45" s="520"/>
      <c r="H45" s="520"/>
      <c r="I45" s="521"/>
      <c r="J45" s="521"/>
      <c r="K45" s="521"/>
      <c r="L45" s="923"/>
      <c r="M45" s="514"/>
      <c r="N45" s="514"/>
      <c r="O45" s="514"/>
      <c r="P45" s="514"/>
      <c r="Q45" s="514"/>
      <c r="R45" s="514"/>
      <c r="S45" s="923"/>
      <c r="T45" s="514"/>
      <c r="U45" s="514"/>
      <c r="V45" s="514"/>
      <c r="W45" s="514"/>
      <c r="X45" s="514"/>
      <c r="Y45" s="514"/>
      <c r="Z45" s="923"/>
      <c r="AA45" s="514"/>
      <c r="AB45" s="514"/>
      <c r="AC45" s="514"/>
      <c r="AD45" s="514"/>
      <c r="AE45" s="774"/>
      <c r="AF45" s="514"/>
      <c r="AG45" s="897"/>
      <c r="AH45" s="789"/>
      <c r="AI45" s="786">
        <f t="shared" si="4"/>
        <v>0</v>
      </c>
      <c r="AJ45" s="521">
        <v>0</v>
      </c>
      <c r="AK45" s="520">
        <f t="shared" si="2"/>
        <v>0</v>
      </c>
      <c r="AL45" s="672" t="s">
        <v>1465</v>
      </c>
      <c r="AM45" s="669">
        <f t="shared" si="3"/>
        <v>7.7</v>
      </c>
    </row>
    <row r="46" spans="1:39" s="500" customFormat="1" hidden="1">
      <c r="A46" s="539" t="s">
        <v>566</v>
      </c>
      <c r="B46" s="539" t="s">
        <v>1164</v>
      </c>
      <c r="C46" s="472" t="s">
        <v>37</v>
      </c>
      <c r="D46" s="519"/>
      <c r="E46" s="915"/>
      <c r="F46" s="520"/>
      <c r="G46" s="520"/>
      <c r="H46" s="520"/>
      <c r="I46" s="521"/>
      <c r="J46" s="521"/>
      <c r="K46" s="521"/>
      <c r="L46" s="923"/>
      <c r="M46" s="514"/>
      <c r="N46" s="514"/>
      <c r="O46" s="514"/>
      <c r="P46" s="514"/>
      <c r="Q46" s="514"/>
      <c r="R46" s="514"/>
      <c r="S46" s="923"/>
      <c r="T46" s="514"/>
      <c r="U46" s="514"/>
      <c r="V46" s="514"/>
      <c r="W46" s="514"/>
      <c r="X46" s="514"/>
      <c r="Y46" s="514"/>
      <c r="Z46" s="923"/>
      <c r="AA46" s="514"/>
      <c r="AB46" s="514"/>
      <c r="AC46" s="514"/>
      <c r="AD46" s="514"/>
      <c r="AE46" s="774"/>
      <c r="AF46" s="514"/>
      <c r="AG46" s="897"/>
      <c r="AH46" s="789"/>
      <c r="AI46" s="786">
        <f t="shared" si="4"/>
        <v>0</v>
      </c>
      <c r="AJ46" s="521">
        <v>0</v>
      </c>
      <c r="AK46" s="520">
        <f t="shared" si="2"/>
        <v>0</v>
      </c>
      <c r="AL46" s="672" t="s">
        <v>1466</v>
      </c>
      <c r="AM46" s="669">
        <f t="shared" si="3"/>
        <v>13.46</v>
      </c>
    </row>
    <row r="47" spans="1:39" s="500" customFormat="1" hidden="1">
      <c r="A47" s="539" t="s">
        <v>567</v>
      </c>
      <c r="B47" s="539" t="s">
        <v>1165</v>
      </c>
      <c r="C47" s="472" t="s">
        <v>40</v>
      </c>
      <c r="D47" s="519"/>
      <c r="E47" s="915"/>
      <c r="F47" s="520"/>
      <c r="G47" s="520"/>
      <c r="H47" s="520"/>
      <c r="I47" s="521"/>
      <c r="J47" s="521"/>
      <c r="K47" s="521"/>
      <c r="L47" s="923"/>
      <c r="M47" s="514"/>
      <c r="N47" s="514"/>
      <c r="O47" s="514"/>
      <c r="P47" s="514"/>
      <c r="Q47" s="514"/>
      <c r="R47" s="514"/>
      <c r="S47" s="923"/>
      <c r="T47" s="514"/>
      <c r="U47" s="514"/>
      <c r="V47" s="514"/>
      <c r="W47" s="514"/>
      <c r="X47" s="514"/>
      <c r="Y47" s="514"/>
      <c r="Z47" s="923"/>
      <c r="AA47" s="514"/>
      <c r="AB47" s="514"/>
      <c r="AC47" s="514"/>
      <c r="AD47" s="514"/>
      <c r="AE47" s="774"/>
      <c r="AF47" s="514"/>
      <c r="AG47" s="897"/>
      <c r="AH47" s="789"/>
      <c r="AI47" s="786">
        <f t="shared" si="4"/>
        <v>0</v>
      </c>
      <c r="AJ47" s="521">
        <v>0</v>
      </c>
      <c r="AK47" s="520">
        <f t="shared" si="2"/>
        <v>0</v>
      </c>
      <c r="AL47" s="672" t="s">
        <v>1467</v>
      </c>
      <c r="AM47" s="669">
        <f t="shared" si="3"/>
        <v>2.97</v>
      </c>
    </row>
    <row r="48" spans="1:39" s="500" customFormat="1" hidden="1">
      <c r="A48" s="539" t="s">
        <v>568</v>
      </c>
      <c r="B48" s="539" t="s">
        <v>1166</v>
      </c>
      <c r="C48" s="472" t="s">
        <v>40</v>
      </c>
      <c r="D48" s="519"/>
      <c r="E48" s="915"/>
      <c r="F48" s="520"/>
      <c r="G48" s="520"/>
      <c r="H48" s="520"/>
      <c r="I48" s="521"/>
      <c r="J48" s="521"/>
      <c r="K48" s="521"/>
      <c r="L48" s="923"/>
      <c r="M48" s="514"/>
      <c r="N48" s="514"/>
      <c r="O48" s="514"/>
      <c r="P48" s="514"/>
      <c r="Q48" s="514"/>
      <c r="R48" s="514"/>
      <c r="S48" s="923"/>
      <c r="T48" s="514"/>
      <c r="U48" s="514"/>
      <c r="V48" s="514"/>
      <c r="W48" s="514"/>
      <c r="X48" s="514"/>
      <c r="Y48" s="514"/>
      <c r="Z48" s="923"/>
      <c r="AA48" s="514"/>
      <c r="AB48" s="514"/>
      <c r="AC48" s="514"/>
      <c r="AD48" s="514"/>
      <c r="AE48" s="774"/>
      <c r="AF48" s="514"/>
      <c r="AG48" s="897"/>
      <c r="AH48" s="789"/>
      <c r="AI48" s="786">
        <f t="shared" si="4"/>
        <v>0</v>
      </c>
      <c r="AJ48" s="521">
        <v>0</v>
      </c>
      <c r="AK48" s="520">
        <f t="shared" si="2"/>
        <v>0</v>
      </c>
      <c r="AL48" s="672" t="s">
        <v>1468</v>
      </c>
      <c r="AM48" s="669">
        <f t="shared" si="3"/>
        <v>0.84</v>
      </c>
    </row>
    <row r="49" spans="1:39" s="500" customFormat="1" hidden="1">
      <c r="A49" s="539" t="s">
        <v>569</v>
      </c>
      <c r="B49" s="539" t="s">
        <v>1167</v>
      </c>
      <c r="C49" s="472" t="s">
        <v>37</v>
      </c>
      <c r="D49" s="519"/>
      <c r="E49" s="915"/>
      <c r="F49" s="520"/>
      <c r="G49" s="520"/>
      <c r="H49" s="520"/>
      <c r="I49" s="521"/>
      <c r="J49" s="521"/>
      <c r="K49" s="521"/>
      <c r="L49" s="923"/>
      <c r="M49" s="514"/>
      <c r="N49" s="514"/>
      <c r="O49" s="514"/>
      <c r="P49" s="514"/>
      <c r="Q49" s="514"/>
      <c r="R49" s="514"/>
      <c r="S49" s="923"/>
      <c r="T49" s="514"/>
      <c r="U49" s="514"/>
      <c r="V49" s="514"/>
      <c r="W49" s="514"/>
      <c r="X49" s="514"/>
      <c r="Y49" s="514"/>
      <c r="Z49" s="923"/>
      <c r="AA49" s="514"/>
      <c r="AB49" s="514"/>
      <c r="AC49" s="514"/>
      <c r="AD49" s="514"/>
      <c r="AE49" s="774"/>
      <c r="AF49" s="514"/>
      <c r="AG49" s="897"/>
      <c r="AH49" s="789"/>
      <c r="AI49" s="786">
        <f t="shared" si="4"/>
        <v>0</v>
      </c>
      <c r="AJ49" s="521">
        <v>0</v>
      </c>
      <c r="AK49" s="520">
        <f t="shared" si="2"/>
        <v>0</v>
      </c>
      <c r="AL49" s="672" t="s">
        <v>1469</v>
      </c>
      <c r="AM49" s="669">
        <f t="shared" si="3"/>
        <v>23.65</v>
      </c>
    </row>
    <row r="50" spans="1:39" s="500" customFormat="1" hidden="1">
      <c r="A50" s="539" t="s">
        <v>570</v>
      </c>
      <c r="B50" s="539" t="s">
        <v>1168</v>
      </c>
      <c r="C50" s="472" t="s">
        <v>37</v>
      </c>
      <c r="D50" s="519"/>
      <c r="E50" s="915"/>
      <c r="F50" s="520"/>
      <c r="G50" s="520"/>
      <c r="H50" s="520"/>
      <c r="I50" s="521"/>
      <c r="J50" s="521"/>
      <c r="K50" s="521"/>
      <c r="L50" s="923"/>
      <c r="M50" s="514"/>
      <c r="N50" s="514"/>
      <c r="O50" s="514"/>
      <c r="P50" s="514"/>
      <c r="Q50" s="514"/>
      <c r="R50" s="514"/>
      <c r="S50" s="923"/>
      <c r="T50" s="514"/>
      <c r="U50" s="514"/>
      <c r="V50" s="514"/>
      <c r="W50" s="514"/>
      <c r="X50" s="514"/>
      <c r="Y50" s="514"/>
      <c r="Z50" s="923"/>
      <c r="AA50" s="514"/>
      <c r="AB50" s="514"/>
      <c r="AC50" s="514"/>
      <c r="AD50" s="514"/>
      <c r="AE50" s="774"/>
      <c r="AF50" s="514"/>
      <c r="AG50" s="897"/>
      <c r="AH50" s="789"/>
      <c r="AI50" s="786">
        <f t="shared" si="4"/>
        <v>0</v>
      </c>
      <c r="AJ50" s="521">
        <v>0</v>
      </c>
      <c r="AK50" s="520">
        <f t="shared" si="2"/>
        <v>0</v>
      </c>
      <c r="AL50" s="672" t="s">
        <v>1463</v>
      </c>
      <c r="AM50" s="669">
        <f t="shared" si="3"/>
        <v>26.03</v>
      </c>
    </row>
    <row r="51" spans="1:39" s="500" customFormat="1" hidden="1">
      <c r="A51" s="542" t="s">
        <v>571</v>
      </c>
      <c r="B51" s="542" t="s">
        <v>1169</v>
      </c>
      <c r="C51" s="605"/>
      <c r="D51" s="519"/>
      <c r="E51" s="915"/>
      <c r="F51" s="520"/>
      <c r="G51" s="520"/>
      <c r="H51" s="520"/>
      <c r="I51" s="521"/>
      <c r="J51" s="521"/>
      <c r="K51" s="521"/>
      <c r="L51" s="923"/>
      <c r="M51" s="514"/>
      <c r="N51" s="514"/>
      <c r="O51" s="514"/>
      <c r="P51" s="514"/>
      <c r="Q51" s="514"/>
      <c r="R51" s="514"/>
      <c r="S51" s="923"/>
      <c r="T51" s="514"/>
      <c r="U51" s="514"/>
      <c r="V51" s="514"/>
      <c r="W51" s="514"/>
      <c r="X51" s="514"/>
      <c r="Y51" s="514"/>
      <c r="Z51" s="923"/>
      <c r="AA51" s="514"/>
      <c r="AB51" s="514"/>
      <c r="AC51" s="514"/>
      <c r="AD51" s="514"/>
      <c r="AE51" s="774"/>
      <c r="AF51" s="514"/>
      <c r="AG51" s="897"/>
      <c r="AH51" s="789"/>
      <c r="AI51" s="786">
        <f t="shared" si="4"/>
        <v>0</v>
      </c>
      <c r="AJ51" s="521">
        <v>0</v>
      </c>
      <c r="AK51" s="520">
        <f t="shared" si="2"/>
        <v>0</v>
      </c>
      <c r="AL51" s="672"/>
      <c r="AM51" s="669">
        <f t="shared" si="3"/>
        <v>0</v>
      </c>
    </row>
    <row r="52" spans="1:39" s="500" customFormat="1" hidden="1">
      <c r="A52" s="539" t="s">
        <v>572</v>
      </c>
      <c r="B52" s="539" t="s">
        <v>1170</v>
      </c>
      <c r="C52" s="605"/>
      <c r="D52" s="519"/>
      <c r="E52" s="915"/>
      <c r="F52" s="520"/>
      <c r="G52" s="520"/>
      <c r="H52" s="520"/>
      <c r="I52" s="521"/>
      <c r="J52" s="521"/>
      <c r="K52" s="521"/>
      <c r="L52" s="923"/>
      <c r="M52" s="514"/>
      <c r="N52" s="514"/>
      <c r="O52" s="514"/>
      <c r="P52" s="514"/>
      <c r="Q52" s="514"/>
      <c r="R52" s="514"/>
      <c r="S52" s="923"/>
      <c r="T52" s="514"/>
      <c r="U52" s="514"/>
      <c r="V52" s="514"/>
      <c r="W52" s="514"/>
      <c r="X52" s="514"/>
      <c r="Y52" s="514"/>
      <c r="Z52" s="923"/>
      <c r="AA52" s="514"/>
      <c r="AB52" s="514"/>
      <c r="AC52" s="514"/>
      <c r="AD52" s="514"/>
      <c r="AE52" s="774"/>
      <c r="AF52" s="514"/>
      <c r="AG52" s="897"/>
      <c r="AH52" s="789"/>
      <c r="AI52" s="786">
        <f t="shared" si="4"/>
        <v>0</v>
      </c>
      <c r="AJ52" s="521">
        <v>0</v>
      </c>
      <c r="AK52" s="520">
        <f t="shared" si="2"/>
        <v>0</v>
      </c>
      <c r="AL52" s="672"/>
      <c r="AM52" s="669">
        <f t="shared" si="3"/>
        <v>0</v>
      </c>
    </row>
    <row r="53" spans="1:39" s="500" customFormat="1" hidden="1">
      <c r="A53" s="539" t="s">
        <v>573</v>
      </c>
      <c r="B53" s="539" t="s">
        <v>1171</v>
      </c>
      <c r="C53" s="472" t="s">
        <v>40</v>
      </c>
      <c r="D53" s="519"/>
      <c r="E53" s="915"/>
      <c r="F53" s="520"/>
      <c r="G53" s="520"/>
      <c r="H53" s="520"/>
      <c r="I53" s="521"/>
      <c r="J53" s="521"/>
      <c r="K53" s="521"/>
      <c r="L53" s="923"/>
      <c r="M53" s="514"/>
      <c r="N53" s="514"/>
      <c r="O53" s="514"/>
      <c r="P53" s="514"/>
      <c r="Q53" s="514"/>
      <c r="R53" s="514"/>
      <c r="S53" s="923"/>
      <c r="T53" s="514"/>
      <c r="U53" s="514"/>
      <c r="V53" s="514"/>
      <c r="W53" s="514"/>
      <c r="X53" s="514"/>
      <c r="Y53" s="514"/>
      <c r="Z53" s="923"/>
      <c r="AA53" s="514"/>
      <c r="AB53" s="514"/>
      <c r="AC53" s="514"/>
      <c r="AD53" s="514"/>
      <c r="AE53" s="774"/>
      <c r="AF53" s="514"/>
      <c r="AG53" s="897"/>
      <c r="AH53" s="789"/>
      <c r="AI53" s="786">
        <f t="shared" si="4"/>
        <v>0</v>
      </c>
      <c r="AJ53" s="521">
        <v>0</v>
      </c>
      <c r="AK53" s="520">
        <f t="shared" si="2"/>
        <v>0</v>
      </c>
      <c r="AL53" s="672" t="s">
        <v>1470</v>
      </c>
      <c r="AM53" s="669">
        <f t="shared" si="3"/>
        <v>4.6100000000000003</v>
      </c>
    </row>
    <row r="54" spans="1:39" s="500" customFormat="1" hidden="1">
      <c r="A54" s="539" t="s">
        <v>574</v>
      </c>
      <c r="B54" s="539" t="s">
        <v>1172</v>
      </c>
      <c r="C54" s="472" t="s">
        <v>48</v>
      </c>
      <c r="D54" s="519"/>
      <c r="E54" s="915"/>
      <c r="F54" s="520"/>
      <c r="G54" s="520"/>
      <c r="H54" s="520"/>
      <c r="I54" s="521"/>
      <c r="J54" s="521"/>
      <c r="K54" s="521"/>
      <c r="L54" s="923"/>
      <c r="M54" s="514"/>
      <c r="N54" s="514"/>
      <c r="O54" s="514"/>
      <c r="P54" s="514"/>
      <c r="Q54" s="514"/>
      <c r="R54" s="514"/>
      <c r="S54" s="923"/>
      <c r="T54" s="514"/>
      <c r="U54" s="514"/>
      <c r="V54" s="514"/>
      <c r="W54" s="514"/>
      <c r="X54" s="514"/>
      <c r="Y54" s="514"/>
      <c r="Z54" s="923"/>
      <c r="AA54" s="514"/>
      <c r="AB54" s="514"/>
      <c r="AC54" s="514"/>
      <c r="AD54" s="514"/>
      <c r="AE54" s="774"/>
      <c r="AF54" s="514"/>
      <c r="AG54" s="897"/>
      <c r="AH54" s="789"/>
      <c r="AI54" s="786">
        <f t="shared" si="4"/>
        <v>0</v>
      </c>
      <c r="AJ54" s="521">
        <v>0</v>
      </c>
      <c r="AK54" s="520">
        <f t="shared" si="2"/>
        <v>0</v>
      </c>
      <c r="AL54" s="672" t="s">
        <v>1471</v>
      </c>
      <c r="AM54" s="669">
        <f t="shared" si="3"/>
        <v>192.7</v>
      </c>
    </row>
    <row r="55" spans="1:39" s="500" customFormat="1" hidden="1">
      <c r="A55" s="539" t="s">
        <v>575</v>
      </c>
      <c r="B55" s="539" t="s">
        <v>1173</v>
      </c>
      <c r="C55" s="605"/>
      <c r="D55" s="519"/>
      <c r="E55" s="915"/>
      <c r="F55" s="520"/>
      <c r="G55" s="520"/>
      <c r="H55" s="520"/>
      <c r="I55" s="521"/>
      <c r="J55" s="521"/>
      <c r="K55" s="521"/>
      <c r="L55" s="923"/>
      <c r="M55" s="514"/>
      <c r="N55" s="514"/>
      <c r="O55" s="514"/>
      <c r="P55" s="514"/>
      <c r="Q55" s="514"/>
      <c r="R55" s="514"/>
      <c r="S55" s="923"/>
      <c r="T55" s="514"/>
      <c r="U55" s="514"/>
      <c r="V55" s="514"/>
      <c r="W55" s="514"/>
      <c r="X55" s="514"/>
      <c r="Y55" s="514"/>
      <c r="Z55" s="923"/>
      <c r="AA55" s="514"/>
      <c r="AB55" s="514"/>
      <c r="AC55" s="514"/>
      <c r="AD55" s="514"/>
      <c r="AE55" s="774"/>
      <c r="AF55" s="514"/>
      <c r="AG55" s="897"/>
      <c r="AH55" s="789"/>
      <c r="AI55" s="786">
        <f t="shared" si="4"/>
        <v>0</v>
      </c>
      <c r="AJ55" s="521">
        <v>0</v>
      </c>
      <c r="AK55" s="520">
        <f t="shared" si="2"/>
        <v>0</v>
      </c>
      <c r="AL55" s="672"/>
      <c r="AM55" s="669">
        <f t="shared" si="3"/>
        <v>0</v>
      </c>
    </row>
    <row r="56" spans="1:39" s="500" customFormat="1" hidden="1">
      <c r="A56" s="539" t="s">
        <v>576</v>
      </c>
      <c r="B56" s="539" t="s">
        <v>1174</v>
      </c>
      <c r="C56" s="472" t="s">
        <v>40</v>
      </c>
      <c r="D56" s="519"/>
      <c r="E56" s="915"/>
      <c r="F56" s="520"/>
      <c r="G56" s="520"/>
      <c r="H56" s="520"/>
      <c r="I56" s="521"/>
      <c r="J56" s="521"/>
      <c r="K56" s="521"/>
      <c r="L56" s="923"/>
      <c r="M56" s="514"/>
      <c r="N56" s="514"/>
      <c r="O56" s="514"/>
      <c r="P56" s="514"/>
      <c r="Q56" s="514"/>
      <c r="R56" s="514"/>
      <c r="S56" s="923"/>
      <c r="T56" s="514"/>
      <c r="U56" s="514"/>
      <c r="V56" s="514"/>
      <c r="W56" s="514"/>
      <c r="X56" s="514"/>
      <c r="Y56" s="514"/>
      <c r="Z56" s="923"/>
      <c r="AA56" s="514"/>
      <c r="AB56" s="514"/>
      <c r="AC56" s="514"/>
      <c r="AD56" s="514"/>
      <c r="AE56" s="774"/>
      <c r="AF56" s="514"/>
      <c r="AG56" s="897"/>
      <c r="AH56" s="789"/>
      <c r="AI56" s="786">
        <f t="shared" si="4"/>
        <v>0</v>
      </c>
      <c r="AJ56" s="521">
        <v>0</v>
      </c>
      <c r="AK56" s="520">
        <f t="shared" si="2"/>
        <v>0</v>
      </c>
      <c r="AL56" s="672" t="s">
        <v>1472</v>
      </c>
      <c r="AM56" s="669">
        <f t="shared" si="3"/>
        <v>1.93</v>
      </c>
    </row>
    <row r="57" spans="1:39" s="500" customFormat="1" hidden="1">
      <c r="A57" s="539" t="s">
        <v>577</v>
      </c>
      <c r="B57" s="539" t="s">
        <v>1175</v>
      </c>
      <c r="C57" s="472" t="s">
        <v>37</v>
      </c>
      <c r="D57" s="519"/>
      <c r="E57" s="915"/>
      <c r="F57" s="520"/>
      <c r="G57" s="520"/>
      <c r="H57" s="520"/>
      <c r="I57" s="521"/>
      <c r="J57" s="521"/>
      <c r="K57" s="521"/>
      <c r="L57" s="923"/>
      <c r="M57" s="514"/>
      <c r="N57" s="514"/>
      <c r="O57" s="514"/>
      <c r="P57" s="514"/>
      <c r="Q57" s="514"/>
      <c r="R57" s="514"/>
      <c r="S57" s="923"/>
      <c r="T57" s="514"/>
      <c r="U57" s="514"/>
      <c r="V57" s="514"/>
      <c r="W57" s="514"/>
      <c r="X57" s="514"/>
      <c r="Y57" s="514"/>
      <c r="Z57" s="923"/>
      <c r="AA57" s="514"/>
      <c r="AB57" s="514"/>
      <c r="AC57" s="514"/>
      <c r="AD57" s="514"/>
      <c r="AE57" s="774"/>
      <c r="AF57" s="514"/>
      <c r="AG57" s="897"/>
      <c r="AH57" s="789"/>
      <c r="AI57" s="786">
        <f t="shared" si="4"/>
        <v>0</v>
      </c>
      <c r="AJ57" s="521">
        <v>0</v>
      </c>
      <c r="AK57" s="520">
        <f t="shared" si="2"/>
        <v>0</v>
      </c>
      <c r="AL57" s="672" t="s">
        <v>1473</v>
      </c>
      <c r="AM57" s="669">
        <f t="shared" si="3"/>
        <v>15.42</v>
      </c>
    </row>
    <row r="58" spans="1:39" s="518" customFormat="1" hidden="1">
      <c r="A58" s="539" t="s">
        <v>578</v>
      </c>
      <c r="B58" s="539" t="s">
        <v>1176</v>
      </c>
      <c r="C58" s="472" t="s">
        <v>48</v>
      </c>
      <c r="D58" s="525"/>
      <c r="E58" s="916"/>
      <c r="F58" s="526"/>
      <c r="G58" s="526"/>
      <c r="H58" s="526"/>
      <c r="I58" s="527"/>
      <c r="J58" s="527"/>
      <c r="K58" s="527"/>
      <c r="L58" s="923"/>
      <c r="M58" s="514"/>
      <c r="N58" s="514"/>
      <c r="O58" s="514"/>
      <c r="P58" s="514"/>
      <c r="Q58" s="514"/>
      <c r="R58" s="514"/>
      <c r="S58" s="923"/>
      <c r="T58" s="514"/>
      <c r="U58" s="514"/>
      <c r="V58" s="514"/>
      <c r="W58" s="514"/>
      <c r="X58" s="514"/>
      <c r="Y58" s="514"/>
      <c r="Z58" s="923"/>
      <c r="AA58" s="514"/>
      <c r="AB58" s="514"/>
      <c r="AC58" s="514"/>
      <c r="AD58" s="514"/>
      <c r="AE58" s="774"/>
      <c r="AF58" s="514"/>
      <c r="AG58" s="897"/>
      <c r="AH58" s="789"/>
      <c r="AI58" s="786">
        <f t="shared" si="4"/>
        <v>0</v>
      </c>
      <c r="AJ58" s="521">
        <v>0</v>
      </c>
      <c r="AK58" s="520">
        <f t="shared" si="2"/>
        <v>0</v>
      </c>
      <c r="AL58" s="673" t="s">
        <v>1474</v>
      </c>
      <c r="AM58" s="669">
        <f t="shared" si="3"/>
        <v>275.55</v>
      </c>
    </row>
    <row r="59" spans="1:39" s="518" customFormat="1" hidden="1">
      <c r="A59" s="539" t="s">
        <v>579</v>
      </c>
      <c r="B59" s="539" t="s">
        <v>1177</v>
      </c>
      <c r="C59" s="605"/>
      <c r="D59" s="525"/>
      <c r="E59" s="916"/>
      <c r="F59" s="526"/>
      <c r="G59" s="526"/>
      <c r="H59" s="526"/>
      <c r="I59" s="527"/>
      <c r="J59" s="527"/>
      <c r="K59" s="527"/>
      <c r="L59" s="923"/>
      <c r="M59" s="514"/>
      <c r="N59" s="514"/>
      <c r="O59" s="514"/>
      <c r="P59" s="514"/>
      <c r="Q59" s="514"/>
      <c r="R59" s="514"/>
      <c r="S59" s="923"/>
      <c r="T59" s="514"/>
      <c r="U59" s="514"/>
      <c r="V59" s="514"/>
      <c r="W59" s="514"/>
      <c r="X59" s="514"/>
      <c r="Y59" s="514"/>
      <c r="Z59" s="923"/>
      <c r="AA59" s="514"/>
      <c r="AB59" s="514"/>
      <c r="AC59" s="514"/>
      <c r="AD59" s="514"/>
      <c r="AE59" s="774"/>
      <c r="AF59" s="514"/>
      <c r="AG59" s="897"/>
      <c r="AH59" s="789"/>
      <c r="AI59" s="786">
        <f t="shared" si="4"/>
        <v>0</v>
      </c>
      <c r="AJ59" s="521">
        <v>0</v>
      </c>
      <c r="AK59" s="520">
        <f t="shared" si="2"/>
        <v>0</v>
      </c>
      <c r="AL59" s="673"/>
      <c r="AM59" s="669">
        <f t="shared" si="3"/>
        <v>0</v>
      </c>
    </row>
    <row r="60" spans="1:39" s="500" customFormat="1" hidden="1">
      <c r="A60" s="539" t="s">
        <v>580</v>
      </c>
      <c r="B60" s="539" t="s">
        <v>1178</v>
      </c>
      <c r="C60" s="472" t="s">
        <v>40</v>
      </c>
      <c r="D60" s="519"/>
      <c r="E60" s="915"/>
      <c r="F60" s="520"/>
      <c r="G60" s="520"/>
      <c r="H60" s="520"/>
      <c r="I60" s="521"/>
      <c r="J60" s="521"/>
      <c r="K60" s="521"/>
      <c r="L60" s="923"/>
      <c r="M60" s="514"/>
      <c r="N60" s="514"/>
      <c r="O60" s="514"/>
      <c r="P60" s="514"/>
      <c r="Q60" s="514"/>
      <c r="R60" s="514"/>
      <c r="S60" s="923"/>
      <c r="T60" s="514"/>
      <c r="U60" s="514"/>
      <c r="V60" s="514"/>
      <c r="W60" s="514"/>
      <c r="X60" s="514"/>
      <c r="Y60" s="514"/>
      <c r="Z60" s="923"/>
      <c r="AA60" s="514"/>
      <c r="AB60" s="514"/>
      <c r="AC60" s="514"/>
      <c r="AD60" s="514"/>
      <c r="AE60" s="774"/>
      <c r="AF60" s="514"/>
      <c r="AG60" s="897"/>
      <c r="AH60" s="789"/>
      <c r="AI60" s="786">
        <f t="shared" si="4"/>
        <v>0</v>
      </c>
      <c r="AJ60" s="521">
        <v>0</v>
      </c>
      <c r="AK60" s="520">
        <f t="shared" si="2"/>
        <v>0</v>
      </c>
      <c r="AL60" s="672" t="s">
        <v>1475</v>
      </c>
      <c r="AM60" s="669">
        <f t="shared" si="3"/>
        <v>2.83</v>
      </c>
    </row>
    <row r="61" spans="1:39" s="500" customFormat="1" hidden="1">
      <c r="A61" s="539" t="s">
        <v>581</v>
      </c>
      <c r="B61" s="539" t="s">
        <v>1179</v>
      </c>
      <c r="C61" s="472" t="s">
        <v>37</v>
      </c>
      <c r="D61" s="519"/>
      <c r="E61" s="915"/>
      <c r="F61" s="520"/>
      <c r="G61" s="520"/>
      <c r="H61" s="520"/>
      <c r="I61" s="521"/>
      <c r="J61" s="521"/>
      <c r="K61" s="521"/>
      <c r="L61" s="923"/>
      <c r="M61" s="514"/>
      <c r="N61" s="514"/>
      <c r="O61" s="514"/>
      <c r="P61" s="514"/>
      <c r="Q61" s="514"/>
      <c r="R61" s="514"/>
      <c r="S61" s="923"/>
      <c r="T61" s="514"/>
      <c r="U61" s="514"/>
      <c r="V61" s="514"/>
      <c r="W61" s="514"/>
      <c r="X61" s="514"/>
      <c r="Y61" s="514"/>
      <c r="Z61" s="923"/>
      <c r="AA61" s="514"/>
      <c r="AB61" s="514"/>
      <c r="AC61" s="514"/>
      <c r="AD61" s="514"/>
      <c r="AE61" s="774"/>
      <c r="AF61" s="514"/>
      <c r="AG61" s="897"/>
      <c r="AH61" s="789"/>
      <c r="AI61" s="786">
        <f t="shared" si="4"/>
        <v>0</v>
      </c>
      <c r="AJ61" s="521">
        <v>0</v>
      </c>
      <c r="AK61" s="520">
        <f t="shared" si="2"/>
        <v>0</v>
      </c>
      <c r="AL61" s="672" t="s">
        <v>1476</v>
      </c>
      <c r="AM61" s="669">
        <f t="shared" si="3"/>
        <v>40.020000000000003</v>
      </c>
    </row>
    <row r="62" spans="1:39" s="500" customFormat="1" hidden="1">
      <c r="A62" s="539" t="s">
        <v>582</v>
      </c>
      <c r="B62" s="539" t="s">
        <v>1180</v>
      </c>
      <c r="C62" s="472" t="s">
        <v>48</v>
      </c>
      <c r="D62" s="519"/>
      <c r="E62" s="915"/>
      <c r="F62" s="520"/>
      <c r="G62" s="520"/>
      <c r="H62" s="520"/>
      <c r="I62" s="521"/>
      <c r="J62" s="521"/>
      <c r="K62" s="521"/>
      <c r="L62" s="923"/>
      <c r="M62" s="514"/>
      <c r="N62" s="514"/>
      <c r="O62" s="514"/>
      <c r="P62" s="514"/>
      <c r="Q62" s="514"/>
      <c r="R62" s="514"/>
      <c r="S62" s="923"/>
      <c r="T62" s="514"/>
      <c r="U62" s="514"/>
      <c r="V62" s="514"/>
      <c r="W62" s="514"/>
      <c r="X62" s="514"/>
      <c r="Y62" s="514"/>
      <c r="Z62" s="923"/>
      <c r="AA62" s="514"/>
      <c r="AB62" s="514"/>
      <c r="AC62" s="514"/>
      <c r="AD62" s="514"/>
      <c r="AE62" s="774"/>
      <c r="AF62" s="514"/>
      <c r="AG62" s="897"/>
      <c r="AH62" s="789"/>
      <c r="AI62" s="786">
        <f t="shared" si="4"/>
        <v>0</v>
      </c>
      <c r="AJ62" s="521">
        <v>0</v>
      </c>
      <c r="AK62" s="520">
        <f t="shared" si="2"/>
        <v>0</v>
      </c>
      <c r="AL62" s="672" t="s">
        <v>1477</v>
      </c>
      <c r="AM62" s="669">
        <f t="shared" si="3"/>
        <v>444.48</v>
      </c>
    </row>
    <row r="63" spans="1:39" s="500" customFormat="1" hidden="1">
      <c r="A63" s="539" t="s">
        <v>583</v>
      </c>
      <c r="B63" s="539" t="s">
        <v>1181</v>
      </c>
      <c r="C63" s="605"/>
      <c r="D63" s="519"/>
      <c r="E63" s="915"/>
      <c r="F63" s="520"/>
      <c r="G63" s="520"/>
      <c r="H63" s="520"/>
      <c r="I63" s="521"/>
      <c r="J63" s="521"/>
      <c r="K63" s="521"/>
      <c r="L63" s="923"/>
      <c r="M63" s="514"/>
      <c r="N63" s="514"/>
      <c r="O63" s="514"/>
      <c r="P63" s="514"/>
      <c r="Q63" s="514"/>
      <c r="R63" s="514"/>
      <c r="S63" s="923"/>
      <c r="T63" s="514"/>
      <c r="U63" s="514"/>
      <c r="V63" s="514"/>
      <c r="W63" s="514"/>
      <c r="X63" s="514"/>
      <c r="Y63" s="514"/>
      <c r="Z63" s="923"/>
      <c r="AA63" s="514"/>
      <c r="AB63" s="514"/>
      <c r="AC63" s="514"/>
      <c r="AD63" s="514"/>
      <c r="AE63" s="774"/>
      <c r="AF63" s="514"/>
      <c r="AG63" s="897"/>
      <c r="AH63" s="789"/>
      <c r="AI63" s="786">
        <f t="shared" si="4"/>
        <v>0</v>
      </c>
      <c r="AJ63" s="521">
        <v>0</v>
      </c>
      <c r="AK63" s="520">
        <f t="shared" si="2"/>
        <v>0</v>
      </c>
      <c r="AL63" s="672"/>
      <c r="AM63" s="669">
        <f t="shared" si="3"/>
        <v>0</v>
      </c>
    </row>
    <row r="64" spans="1:39" s="500" customFormat="1" hidden="1">
      <c r="A64" s="539" t="s">
        <v>584</v>
      </c>
      <c r="B64" s="539" t="s">
        <v>1182</v>
      </c>
      <c r="C64" s="472" t="s">
        <v>40</v>
      </c>
      <c r="D64" s="519"/>
      <c r="E64" s="915"/>
      <c r="F64" s="520"/>
      <c r="G64" s="520"/>
      <c r="H64" s="520"/>
      <c r="I64" s="521"/>
      <c r="J64" s="521"/>
      <c r="K64" s="521"/>
      <c r="L64" s="923"/>
      <c r="M64" s="514"/>
      <c r="N64" s="514"/>
      <c r="O64" s="514"/>
      <c r="P64" s="514"/>
      <c r="Q64" s="514"/>
      <c r="R64" s="514"/>
      <c r="S64" s="923"/>
      <c r="T64" s="514"/>
      <c r="U64" s="514"/>
      <c r="V64" s="514"/>
      <c r="W64" s="514"/>
      <c r="X64" s="514"/>
      <c r="Y64" s="514"/>
      <c r="Z64" s="923"/>
      <c r="AA64" s="514"/>
      <c r="AB64" s="514"/>
      <c r="AC64" s="514"/>
      <c r="AD64" s="514"/>
      <c r="AE64" s="774"/>
      <c r="AF64" s="514"/>
      <c r="AG64" s="897"/>
      <c r="AH64" s="789"/>
      <c r="AI64" s="786">
        <f t="shared" si="4"/>
        <v>0</v>
      </c>
      <c r="AJ64" s="521">
        <v>0</v>
      </c>
      <c r="AK64" s="520">
        <f t="shared" si="2"/>
        <v>0</v>
      </c>
      <c r="AL64" s="672" t="s">
        <v>1478</v>
      </c>
      <c r="AM64" s="669">
        <f t="shared" si="3"/>
        <v>1.49</v>
      </c>
    </row>
    <row r="65" spans="1:39" s="500" customFormat="1" hidden="1">
      <c r="A65" s="539" t="s">
        <v>585</v>
      </c>
      <c r="B65" s="539" t="s">
        <v>1183</v>
      </c>
      <c r="C65" s="548" t="s">
        <v>37</v>
      </c>
      <c r="D65" s="519"/>
      <c r="E65" s="915"/>
      <c r="F65" s="520"/>
      <c r="G65" s="520"/>
      <c r="H65" s="520"/>
      <c r="I65" s="521"/>
      <c r="J65" s="521"/>
      <c r="K65" s="521"/>
      <c r="L65" s="923"/>
      <c r="M65" s="514"/>
      <c r="N65" s="514"/>
      <c r="O65" s="514"/>
      <c r="P65" s="514"/>
      <c r="Q65" s="514"/>
      <c r="R65" s="514"/>
      <c r="S65" s="923"/>
      <c r="T65" s="514"/>
      <c r="U65" s="514"/>
      <c r="V65" s="514"/>
      <c r="W65" s="514"/>
      <c r="X65" s="514"/>
      <c r="Y65" s="514"/>
      <c r="Z65" s="923"/>
      <c r="AA65" s="514"/>
      <c r="AB65" s="514"/>
      <c r="AC65" s="514"/>
      <c r="AD65" s="514"/>
      <c r="AE65" s="774"/>
      <c r="AF65" s="514"/>
      <c r="AG65" s="897"/>
      <c r="AH65" s="789"/>
      <c r="AI65" s="786">
        <f t="shared" si="4"/>
        <v>0</v>
      </c>
      <c r="AJ65" s="521">
        <v>0</v>
      </c>
      <c r="AK65" s="520">
        <f t="shared" si="2"/>
        <v>0</v>
      </c>
      <c r="AL65" s="672" t="s">
        <v>1479</v>
      </c>
      <c r="AM65" s="669">
        <f t="shared" si="3"/>
        <v>19.71</v>
      </c>
    </row>
    <row r="66" spans="1:39" s="500" customFormat="1" hidden="1">
      <c r="A66" s="539" t="s">
        <v>586</v>
      </c>
      <c r="B66" s="539" t="s">
        <v>1184</v>
      </c>
      <c r="C66" s="472" t="s">
        <v>48</v>
      </c>
      <c r="D66" s="519"/>
      <c r="E66" s="915"/>
      <c r="F66" s="520"/>
      <c r="G66" s="520"/>
      <c r="H66" s="520"/>
      <c r="I66" s="521"/>
      <c r="J66" s="521"/>
      <c r="K66" s="521"/>
      <c r="L66" s="923"/>
      <c r="M66" s="514"/>
      <c r="N66" s="514"/>
      <c r="O66" s="514"/>
      <c r="P66" s="514"/>
      <c r="Q66" s="514"/>
      <c r="R66" s="514"/>
      <c r="S66" s="923"/>
      <c r="T66" s="514"/>
      <c r="U66" s="514"/>
      <c r="V66" s="514"/>
      <c r="W66" s="514"/>
      <c r="X66" s="514"/>
      <c r="Y66" s="514"/>
      <c r="Z66" s="923"/>
      <c r="AA66" s="514"/>
      <c r="AB66" s="514"/>
      <c r="AC66" s="514"/>
      <c r="AD66" s="514"/>
      <c r="AE66" s="774"/>
      <c r="AF66" s="514"/>
      <c r="AG66" s="897"/>
      <c r="AH66" s="789"/>
      <c r="AI66" s="786">
        <f t="shared" si="4"/>
        <v>0</v>
      </c>
      <c r="AJ66" s="521">
        <v>0</v>
      </c>
      <c r="AK66" s="520">
        <f t="shared" si="2"/>
        <v>0</v>
      </c>
      <c r="AL66" s="672" t="s">
        <v>1480</v>
      </c>
      <c r="AM66" s="669">
        <f t="shared" si="3"/>
        <v>659.98</v>
      </c>
    </row>
    <row r="67" spans="1:39" s="500" customFormat="1" hidden="1">
      <c r="A67" s="539" t="s">
        <v>587</v>
      </c>
      <c r="B67" s="539" t="s">
        <v>1185</v>
      </c>
      <c r="C67" s="605"/>
      <c r="D67" s="519"/>
      <c r="E67" s="915"/>
      <c r="F67" s="520"/>
      <c r="G67" s="520"/>
      <c r="H67" s="520"/>
      <c r="I67" s="521"/>
      <c r="J67" s="521"/>
      <c r="K67" s="521"/>
      <c r="L67" s="923"/>
      <c r="M67" s="514"/>
      <c r="N67" s="514"/>
      <c r="O67" s="514"/>
      <c r="P67" s="514"/>
      <c r="Q67" s="514"/>
      <c r="R67" s="514"/>
      <c r="S67" s="923"/>
      <c r="T67" s="514"/>
      <c r="U67" s="514"/>
      <c r="V67" s="514"/>
      <c r="W67" s="514"/>
      <c r="X67" s="514"/>
      <c r="Y67" s="514"/>
      <c r="Z67" s="923"/>
      <c r="AA67" s="514"/>
      <c r="AB67" s="514"/>
      <c r="AC67" s="514"/>
      <c r="AD67" s="514"/>
      <c r="AE67" s="774"/>
      <c r="AF67" s="514"/>
      <c r="AG67" s="897"/>
      <c r="AH67" s="789"/>
      <c r="AI67" s="786">
        <f t="shared" si="4"/>
        <v>0</v>
      </c>
      <c r="AJ67" s="521">
        <v>0</v>
      </c>
      <c r="AK67" s="520">
        <f t="shared" si="2"/>
        <v>0</v>
      </c>
      <c r="AL67" s="672"/>
      <c r="AM67" s="669">
        <f t="shared" si="3"/>
        <v>0</v>
      </c>
    </row>
    <row r="68" spans="1:39" s="500" customFormat="1" hidden="1">
      <c r="A68" s="539" t="s">
        <v>588</v>
      </c>
      <c r="B68" s="539" t="s">
        <v>1186</v>
      </c>
      <c r="C68" s="472" t="s">
        <v>40</v>
      </c>
      <c r="D68" s="519"/>
      <c r="E68" s="915"/>
      <c r="F68" s="520"/>
      <c r="G68" s="520"/>
      <c r="H68" s="520"/>
      <c r="I68" s="521"/>
      <c r="J68" s="521"/>
      <c r="K68" s="521"/>
      <c r="L68" s="923"/>
      <c r="M68" s="514"/>
      <c r="N68" s="514"/>
      <c r="O68" s="514"/>
      <c r="P68" s="514"/>
      <c r="Q68" s="514"/>
      <c r="R68" s="514"/>
      <c r="S68" s="923"/>
      <c r="T68" s="514"/>
      <c r="U68" s="514"/>
      <c r="V68" s="514"/>
      <c r="W68" s="514"/>
      <c r="X68" s="514"/>
      <c r="Y68" s="514"/>
      <c r="Z68" s="923"/>
      <c r="AA68" s="514"/>
      <c r="AB68" s="514"/>
      <c r="AC68" s="514"/>
      <c r="AD68" s="514"/>
      <c r="AE68" s="774"/>
      <c r="AF68" s="514"/>
      <c r="AG68" s="897"/>
      <c r="AH68" s="789"/>
      <c r="AI68" s="786">
        <f t="shared" si="4"/>
        <v>0</v>
      </c>
      <c r="AJ68" s="521">
        <v>0</v>
      </c>
      <c r="AK68" s="520">
        <f t="shared" si="2"/>
        <v>0</v>
      </c>
      <c r="AL68" s="672" t="s">
        <v>1481</v>
      </c>
      <c r="AM68" s="669">
        <f t="shared" si="3"/>
        <v>4.54</v>
      </c>
    </row>
    <row r="69" spans="1:39" s="500" customFormat="1" hidden="1">
      <c r="A69" s="539" t="s">
        <v>589</v>
      </c>
      <c r="B69" s="539" t="s">
        <v>1187</v>
      </c>
      <c r="C69" s="472" t="s">
        <v>37</v>
      </c>
      <c r="D69" s="519"/>
      <c r="E69" s="915"/>
      <c r="F69" s="520"/>
      <c r="G69" s="520"/>
      <c r="H69" s="520"/>
      <c r="I69" s="521"/>
      <c r="J69" s="521"/>
      <c r="K69" s="521"/>
      <c r="L69" s="923"/>
      <c r="M69" s="514"/>
      <c r="N69" s="514"/>
      <c r="O69" s="514"/>
      <c r="P69" s="514"/>
      <c r="Q69" s="514"/>
      <c r="R69" s="514"/>
      <c r="S69" s="923"/>
      <c r="T69" s="514"/>
      <c r="U69" s="514"/>
      <c r="V69" s="514"/>
      <c r="W69" s="514"/>
      <c r="X69" s="514"/>
      <c r="Y69" s="514"/>
      <c r="Z69" s="923"/>
      <c r="AA69" s="514"/>
      <c r="AB69" s="514"/>
      <c r="AC69" s="514"/>
      <c r="AD69" s="514"/>
      <c r="AE69" s="774"/>
      <c r="AF69" s="514"/>
      <c r="AG69" s="897"/>
      <c r="AH69" s="789"/>
      <c r="AI69" s="786">
        <f t="shared" si="4"/>
        <v>0</v>
      </c>
      <c r="AJ69" s="521">
        <v>0</v>
      </c>
      <c r="AK69" s="520">
        <f t="shared" si="2"/>
        <v>0</v>
      </c>
      <c r="AL69" s="672" t="s">
        <v>1482</v>
      </c>
      <c r="AM69" s="669">
        <f t="shared" si="3"/>
        <v>38.93</v>
      </c>
    </row>
    <row r="70" spans="1:39" s="500" customFormat="1" hidden="1">
      <c r="A70" s="539" t="s">
        <v>590</v>
      </c>
      <c r="B70" s="539" t="s">
        <v>1188</v>
      </c>
      <c r="C70" s="472" t="s">
        <v>48</v>
      </c>
      <c r="D70" s="519"/>
      <c r="E70" s="915"/>
      <c r="F70" s="520"/>
      <c r="G70" s="520"/>
      <c r="H70" s="520"/>
      <c r="I70" s="521"/>
      <c r="J70" s="521"/>
      <c r="K70" s="521"/>
      <c r="L70" s="923"/>
      <c r="M70" s="514"/>
      <c r="N70" s="514"/>
      <c r="O70" s="514"/>
      <c r="P70" s="514"/>
      <c r="Q70" s="514"/>
      <c r="R70" s="514"/>
      <c r="S70" s="923"/>
      <c r="T70" s="514"/>
      <c r="U70" s="514"/>
      <c r="V70" s="514"/>
      <c r="W70" s="514"/>
      <c r="X70" s="514"/>
      <c r="Y70" s="514"/>
      <c r="Z70" s="923"/>
      <c r="AA70" s="514"/>
      <c r="AB70" s="514"/>
      <c r="AC70" s="514"/>
      <c r="AD70" s="514"/>
      <c r="AE70" s="774"/>
      <c r="AF70" s="514"/>
      <c r="AG70" s="897"/>
      <c r="AH70" s="789"/>
      <c r="AI70" s="786">
        <f t="shared" si="4"/>
        <v>0</v>
      </c>
      <c r="AJ70" s="521">
        <v>0</v>
      </c>
      <c r="AK70" s="520">
        <f t="shared" si="2"/>
        <v>0</v>
      </c>
      <c r="AL70" s="672" t="s">
        <v>1483</v>
      </c>
      <c r="AM70" s="669">
        <f t="shared" si="3"/>
        <v>563.80999999999995</v>
      </c>
    </row>
    <row r="71" spans="1:39" s="518" customFormat="1" hidden="1">
      <c r="A71" s="539" t="s">
        <v>591</v>
      </c>
      <c r="B71" s="539" t="s">
        <v>1189</v>
      </c>
      <c r="C71" s="605"/>
      <c r="D71" s="525"/>
      <c r="E71" s="916"/>
      <c r="F71" s="526"/>
      <c r="G71" s="526"/>
      <c r="H71" s="526"/>
      <c r="I71" s="527"/>
      <c r="J71" s="527"/>
      <c r="K71" s="527"/>
      <c r="L71" s="923"/>
      <c r="M71" s="514"/>
      <c r="N71" s="514"/>
      <c r="O71" s="514"/>
      <c r="P71" s="514"/>
      <c r="Q71" s="514"/>
      <c r="R71" s="514"/>
      <c r="S71" s="923"/>
      <c r="T71" s="514"/>
      <c r="U71" s="514"/>
      <c r="V71" s="514"/>
      <c r="W71" s="514"/>
      <c r="X71" s="514"/>
      <c r="Y71" s="514"/>
      <c r="Z71" s="923"/>
      <c r="AA71" s="514"/>
      <c r="AB71" s="514"/>
      <c r="AC71" s="514"/>
      <c r="AD71" s="514"/>
      <c r="AE71" s="774"/>
      <c r="AF71" s="514"/>
      <c r="AG71" s="897"/>
      <c r="AH71" s="789"/>
      <c r="AI71" s="786">
        <f t="shared" si="4"/>
        <v>0</v>
      </c>
      <c r="AJ71" s="521">
        <v>0</v>
      </c>
      <c r="AK71" s="520">
        <f t="shared" si="2"/>
        <v>0</v>
      </c>
      <c r="AL71" s="673"/>
      <c r="AM71" s="669">
        <f t="shared" si="3"/>
        <v>0</v>
      </c>
    </row>
    <row r="72" spans="1:39" s="500" customFormat="1" hidden="1">
      <c r="A72" s="539" t="s">
        <v>592</v>
      </c>
      <c r="B72" s="539" t="s">
        <v>1190</v>
      </c>
      <c r="C72" s="472" t="s">
        <v>40</v>
      </c>
      <c r="D72" s="519"/>
      <c r="E72" s="915"/>
      <c r="F72" s="520"/>
      <c r="G72" s="520"/>
      <c r="H72" s="520"/>
      <c r="I72" s="521"/>
      <c r="J72" s="521"/>
      <c r="K72" s="521"/>
      <c r="L72" s="923"/>
      <c r="M72" s="514"/>
      <c r="N72" s="514"/>
      <c r="O72" s="514"/>
      <c r="P72" s="514"/>
      <c r="Q72" s="514"/>
      <c r="R72" s="514"/>
      <c r="S72" s="923"/>
      <c r="T72" s="514"/>
      <c r="U72" s="514"/>
      <c r="V72" s="514"/>
      <c r="W72" s="514"/>
      <c r="X72" s="514"/>
      <c r="Y72" s="514"/>
      <c r="Z72" s="923"/>
      <c r="AA72" s="514"/>
      <c r="AB72" s="514"/>
      <c r="AC72" s="514"/>
      <c r="AD72" s="514"/>
      <c r="AE72" s="774"/>
      <c r="AF72" s="514"/>
      <c r="AG72" s="897"/>
      <c r="AH72" s="789"/>
      <c r="AI72" s="786">
        <f t="shared" si="4"/>
        <v>0</v>
      </c>
      <c r="AJ72" s="521">
        <v>0</v>
      </c>
      <c r="AK72" s="520">
        <f t="shared" si="2"/>
        <v>0</v>
      </c>
      <c r="AL72" s="672" t="s">
        <v>1484</v>
      </c>
      <c r="AM72" s="669">
        <f t="shared" si="3"/>
        <v>3.65</v>
      </c>
    </row>
    <row r="73" spans="1:39" s="500" customFormat="1" hidden="1">
      <c r="A73" s="539" t="s">
        <v>593</v>
      </c>
      <c r="B73" s="539" t="s">
        <v>1191</v>
      </c>
      <c r="C73" s="472" t="s">
        <v>37</v>
      </c>
      <c r="D73" s="519"/>
      <c r="E73" s="915"/>
      <c r="F73" s="520"/>
      <c r="G73" s="520"/>
      <c r="H73" s="520"/>
      <c r="I73" s="521"/>
      <c r="J73" s="521"/>
      <c r="K73" s="521"/>
      <c r="L73" s="923"/>
      <c r="M73" s="514"/>
      <c r="N73" s="514"/>
      <c r="O73" s="514"/>
      <c r="P73" s="514"/>
      <c r="Q73" s="514"/>
      <c r="R73" s="514"/>
      <c r="S73" s="923"/>
      <c r="T73" s="514"/>
      <c r="U73" s="514"/>
      <c r="V73" s="514"/>
      <c r="W73" s="514"/>
      <c r="X73" s="514"/>
      <c r="Y73" s="514"/>
      <c r="Z73" s="923"/>
      <c r="AA73" s="514"/>
      <c r="AB73" s="514"/>
      <c r="AC73" s="514"/>
      <c r="AD73" s="514"/>
      <c r="AE73" s="774"/>
      <c r="AF73" s="514"/>
      <c r="AG73" s="897"/>
      <c r="AH73" s="789"/>
      <c r="AI73" s="786">
        <f t="shared" si="4"/>
        <v>0</v>
      </c>
      <c r="AJ73" s="521">
        <v>0</v>
      </c>
      <c r="AK73" s="520">
        <f t="shared" si="2"/>
        <v>0</v>
      </c>
      <c r="AL73" s="672" t="s">
        <v>1485</v>
      </c>
      <c r="AM73" s="669">
        <f t="shared" si="3"/>
        <v>41.77</v>
      </c>
    </row>
    <row r="74" spans="1:39" s="500" customFormat="1" hidden="1">
      <c r="A74" s="539" t="s">
        <v>594</v>
      </c>
      <c r="B74" s="539" t="s">
        <v>1192</v>
      </c>
      <c r="C74" s="472" t="s">
        <v>48</v>
      </c>
      <c r="D74" s="519"/>
      <c r="E74" s="915"/>
      <c r="F74" s="520"/>
      <c r="G74" s="520"/>
      <c r="H74" s="520"/>
      <c r="I74" s="521"/>
      <c r="J74" s="521"/>
      <c r="K74" s="521"/>
      <c r="L74" s="923"/>
      <c r="M74" s="514"/>
      <c r="N74" s="514"/>
      <c r="O74" s="514"/>
      <c r="P74" s="514"/>
      <c r="Q74" s="514"/>
      <c r="R74" s="514"/>
      <c r="S74" s="923"/>
      <c r="T74" s="514"/>
      <c r="U74" s="514"/>
      <c r="V74" s="514"/>
      <c r="W74" s="514"/>
      <c r="X74" s="514"/>
      <c r="Y74" s="514"/>
      <c r="Z74" s="923"/>
      <c r="AA74" s="514"/>
      <c r="AB74" s="514"/>
      <c r="AC74" s="514"/>
      <c r="AD74" s="514"/>
      <c r="AE74" s="774"/>
      <c r="AF74" s="514"/>
      <c r="AG74" s="897"/>
      <c r="AH74" s="789"/>
      <c r="AI74" s="786">
        <f t="shared" si="4"/>
        <v>0</v>
      </c>
      <c r="AJ74" s="521">
        <v>0</v>
      </c>
      <c r="AK74" s="520">
        <f t="shared" si="2"/>
        <v>0</v>
      </c>
      <c r="AL74" s="672" t="s">
        <v>1486</v>
      </c>
      <c r="AM74" s="669">
        <f t="shared" si="3"/>
        <v>298.24</v>
      </c>
    </row>
    <row r="75" spans="1:39" s="500" customFormat="1" hidden="1">
      <c r="A75" s="539" t="s">
        <v>595</v>
      </c>
      <c r="B75" s="539" t="s">
        <v>1193</v>
      </c>
      <c r="C75" s="548" t="s">
        <v>1450</v>
      </c>
      <c r="D75" s="519"/>
      <c r="E75" s="915"/>
      <c r="F75" s="520"/>
      <c r="G75" s="520"/>
      <c r="H75" s="520"/>
      <c r="I75" s="521"/>
      <c r="J75" s="521"/>
      <c r="K75" s="521"/>
      <c r="L75" s="923"/>
      <c r="M75" s="514"/>
      <c r="N75" s="514"/>
      <c r="O75" s="514"/>
      <c r="P75" s="514"/>
      <c r="Q75" s="514"/>
      <c r="R75" s="514"/>
      <c r="S75" s="923"/>
      <c r="T75" s="514"/>
      <c r="U75" s="514"/>
      <c r="V75" s="514"/>
      <c r="W75" s="514"/>
      <c r="X75" s="514"/>
      <c r="Y75" s="514"/>
      <c r="Z75" s="923"/>
      <c r="AA75" s="514"/>
      <c r="AB75" s="514"/>
      <c r="AC75" s="514"/>
      <c r="AD75" s="514"/>
      <c r="AE75" s="774"/>
      <c r="AF75" s="514"/>
      <c r="AG75" s="897"/>
      <c r="AH75" s="789"/>
      <c r="AI75" s="786">
        <f t="shared" si="4"/>
        <v>0</v>
      </c>
      <c r="AJ75" s="521">
        <v>0</v>
      </c>
      <c r="AK75" s="520">
        <f t="shared" si="2"/>
        <v>0</v>
      </c>
      <c r="AL75" s="672" t="s">
        <v>1487</v>
      </c>
      <c r="AM75" s="669">
        <f t="shared" si="3"/>
        <v>347.95</v>
      </c>
    </row>
    <row r="76" spans="1:39" s="500" customFormat="1" hidden="1">
      <c r="A76" s="539" t="s">
        <v>596</v>
      </c>
      <c r="B76" s="539" t="s">
        <v>1194</v>
      </c>
      <c r="C76" s="605"/>
      <c r="D76" s="519"/>
      <c r="E76" s="915"/>
      <c r="F76" s="520"/>
      <c r="G76" s="520"/>
      <c r="H76" s="520"/>
      <c r="I76" s="521"/>
      <c r="J76" s="521"/>
      <c r="K76" s="521"/>
      <c r="L76" s="923"/>
      <c r="M76" s="514"/>
      <c r="N76" s="514"/>
      <c r="O76" s="514"/>
      <c r="P76" s="514"/>
      <c r="Q76" s="514"/>
      <c r="R76" s="514"/>
      <c r="S76" s="923"/>
      <c r="T76" s="514"/>
      <c r="U76" s="514"/>
      <c r="V76" s="514"/>
      <c r="W76" s="514"/>
      <c r="X76" s="514"/>
      <c r="Y76" s="514"/>
      <c r="Z76" s="923"/>
      <c r="AA76" s="514"/>
      <c r="AB76" s="514"/>
      <c r="AC76" s="514"/>
      <c r="AD76" s="514"/>
      <c r="AE76" s="774"/>
      <c r="AF76" s="514"/>
      <c r="AG76" s="897"/>
      <c r="AH76" s="789"/>
      <c r="AI76" s="786">
        <f t="shared" si="4"/>
        <v>0</v>
      </c>
      <c r="AJ76" s="521">
        <v>0</v>
      </c>
      <c r="AK76" s="520">
        <f t="shared" si="2"/>
        <v>0</v>
      </c>
      <c r="AL76" s="672"/>
      <c r="AM76" s="669">
        <f t="shared" si="3"/>
        <v>0</v>
      </c>
    </row>
    <row r="77" spans="1:39" s="500" customFormat="1" hidden="1">
      <c r="A77" s="539" t="s">
        <v>597</v>
      </c>
      <c r="B77" s="539" t="s">
        <v>1195</v>
      </c>
      <c r="C77" s="472" t="s">
        <v>40</v>
      </c>
      <c r="D77" s="519"/>
      <c r="E77" s="915"/>
      <c r="F77" s="520"/>
      <c r="G77" s="520"/>
      <c r="H77" s="520"/>
      <c r="I77" s="521"/>
      <c r="J77" s="521"/>
      <c r="K77" s="521"/>
      <c r="L77" s="923"/>
      <c r="M77" s="514"/>
      <c r="N77" s="514"/>
      <c r="O77" s="514"/>
      <c r="P77" s="514"/>
      <c r="Q77" s="514"/>
      <c r="R77" s="514"/>
      <c r="S77" s="923"/>
      <c r="T77" s="514"/>
      <c r="U77" s="514"/>
      <c r="V77" s="514"/>
      <c r="W77" s="514"/>
      <c r="X77" s="514"/>
      <c r="Y77" s="514"/>
      <c r="Z77" s="923"/>
      <c r="AA77" s="514"/>
      <c r="AB77" s="514"/>
      <c r="AC77" s="514"/>
      <c r="AD77" s="514"/>
      <c r="AE77" s="774"/>
      <c r="AF77" s="514"/>
      <c r="AG77" s="897"/>
      <c r="AH77" s="789"/>
      <c r="AI77" s="786">
        <f t="shared" si="4"/>
        <v>0</v>
      </c>
      <c r="AJ77" s="521">
        <v>0</v>
      </c>
      <c r="AK77" s="520">
        <f t="shared" si="2"/>
        <v>0</v>
      </c>
      <c r="AL77" s="672" t="s">
        <v>1488</v>
      </c>
      <c r="AM77" s="669">
        <f t="shared" si="3"/>
        <v>1.2</v>
      </c>
    </row>
    <row r="78" spans="1:39" s="500" customFormat="1" hidden="1">
      <c r="A78" s="539" t="s">
        <v>598</v>
      </c>
      <c r="B78" s="539" t="s">
        <v>1196</v>
      </c>
      <c r="C78" s="472" t="s">
        <v>37</v>
      </c>
      <c r="D78" s="519"/>
      <c r="E78" s="915"/>
      <c r="F78" s="520"/>
      <c r="G78" s="520"/>
      <c r="H78" s="520"/>
      <c r="I78" s="521"/>
      <c r="J78" s="521"/>
      <c r="K78" s="521"/>
      <c r="L78" s="923"/>
      <c r="M78" s="514"/>
      <c r="N78" s="514"/>
      <c r="O78" s="514"/>
      <c r="P78" s="514"/>
      <c r="Q78" s="514"/>
      <c r="R78" s="514"/>
      <c r="S78" s="923"/>
      <c r="T78" s="514"/>
      <c r="U78" s="514"/>
      <c r="V78" s="514"/>
      <c r="W78" s="514"/>
      <c r="X78" s="514"/>
      <c r="Y78" s="514"/>
      <c r="Z78" s="923"/>
      <c r="AA78" s="514"/>
      <c r="AB78" s="514"/>
      <c r="AC78" s="514"/>
      <c r="AD78" s="514"/>
      <c r="AE78" s="774"/>
      <c r="AF78" s="514"/>
      <c r="AG78" s="897"/>
      <c r="AH78" s="789"/>
      <c r="AI78" s="786">
        <f t="shared" si="4"/>
        <v>0</v>
      </c>
      <c r="AJ78" s="521">
        <v>0</v>
      </c>
      <c r="AK78" s="520">
        <f t="shared" ref="AK78:AK141" si="5">AI78+AJ78</f>
        <v>0</v>
      </c>
      <c r="AL78" s="672" t="s">
        <v>1489</v>
      </c>
      <c r="AM78" s="669">
        <f t="shared" ref="AM78:AM141" si="6">AL78-AK78</f>
        <v>16</v>
      </c>
    </row>
    <row r="79" spans="1:39" s="500" customFormat="1" hidden="1">
      <c r="A79" s="539" t="s">
        <v>599</v>
      </c>
      <c r="B79" s="539" t="s">
        <v>1197</v>
      </c>
      <c r="C79" s="472" t="s">
        <v>48</v>
      </c>
      <c r="D79" s="519"/>
      <c r="E79" s="915"/>
      <c r="F79" s="520"/>
      <c r="G79" s="520"/>
      <c r="H79" s="520"/>
      <c r="I79" s="521"/>
      <c r="J79" s="521"/>
      <c r="K79" s="521"/>
      <c r="L79" s="923"/>
      <c r="M79" s="514"/>
      <c r="N79" s="514"/>
      <c r="O79" s="514"/>
      <c r="P79" s="514"/>
      <c r="Q79" s="514"/>
      <c r="R79" s="514"/>
      <c r="S79" s="923"/>
      <c r="T79" s="514"/>
      <c r="U79" s="514"/>
      <c r="V79" s="514"/>
      <c r="W79" s="514"/>
      <c r="X79" s="514"/>
      <c r="Y79" s="514"/>
      <c r="Z79" s="923"/>
      <c r="AA79" s="514"/>
      <c r="AB79" s="514"/>
      <c r="AC79" s="514"/>
      <c r="AD79" s="514"/>
      <c r="AE79" s="774"/>
      <c r="AF79" s="514"/>
      <c r="AG79" s="897"/>
      <c r="AH79" s="789"/>
      <c r="AI79" s="786">
        <f t="shared" ref="AI79:AI142" si="7">ROUND((SUM(D79:AH79)),2)</f>
        <v>0</v>
      </c>
      <c r="AJ79" s="521">
        <v>0</v>
      </c>
      <c r="AK79" s="520">
        <f t="shared" si="5"/>
        <v>0</v>
      </c>
      <c r="AL79" s="672" t="s">
        <v>1490</v>
      </c>
      <c r="AM79" s="669">
        <f t="shared" si="6"/>
        <v>124.05</v>
      </c>
    </row>
    <row r="80" spans="1:39" s="500" customFormat="1" hidden="1">
      <c r="A80" s="542" t="s">
        <v>600</v>
      </c>
      <c r="B80" s="542" t="s">
        <v>1198</v>
      </c>
      <c r="C80" s="605"/>
      <c r="D80" s="519"/>
      <c r="E80" s="915"/>
      <c r="F80" s="520"/>
      <c r="G80" s="520"/>
      <c r="H80" s="520"/>
      <c r="I80" s="521"/>
      <c r="J80" s="521"/>
      <c r="K80" s="521"/>
      <c r="L80" s="923"/>
      <c r="M80" s="514"/>
      <c r="N80" s="514"/>
      <c r="O80" s="514"/>
      <c r="P80" s="514"/>
      <c r="Q80" s="514"/>
      <c r="R80" s="514"/>
      <c r="S80" s="923"/>
      <c r="T80" s="514"/>
      <c r="U80" s="514"/>
      <c r="V80" s="514"/>
      <c r="W80" s="514"/>
      <c r="X80" s="514"/>
      <c r="Y80" s="514"/>
      <c r="Z80" s="923"/>
      <c r="AA80" s="514"/>
      <c r="AB80" s="514"/>
      <c r="AC80" s="514"/>
      <c r="AD80" s="514"/>
      <c r="AE80" s="774"/>
      <c r="AF80" s="514"/>
      <c r="AG80" s="897"/>
      <c r="AH80" s="789"/>
      <c r="AI80" s="786">
        <f t="shared" si="7"/>
        <v>0</v>
      </c>
      <c r="AJ80" s="521">
        <v>0</v>
      </c>
      <c r="AK80" s="520">
        <f t="shared" si="5"/>
        <v>0</v>
      </c>
      <c r="AL80" s="672"/>
      <c r="AM80" s="669">
        <f t="shared" si="6"/>
        <v>0</v>
      </c>
    </row>
    <row r="81" spans="1:39" s="500" customFormat="1" hidden="1">
      <c r="A81" s="539" t="s">
        <v>601</v>
      </c>
      <c r="B81" s="539" t="s">
        <v>1199</v>
      </c>
      <c r="C81" s="472" t="s">
        <v>38</v>
      </c>
      <c r="D81" s="519"/>
      <c r="E81" s="915"/>
      <c r="F81" s="520"/>
      <c r="G81" s="520"/>
      <c r="H81" s="520"/>
      <c r="I81" s="521"/>
      <c r="J81" s="521"/>
      <c r="K81" s="521"/>
      <c r="L81" s="923"/>
      <c r="M81" s="514"/>
      <c r="N81" s="514"/>
      <c r="O81" s="514"/>
      <c r="P81" s="514"/>
      <c r="Q81" s="514"/>
      <c r="R81" s="514"/>
      <c r="S81" s="923"/>
      <c r="T81" s="514"/>
      <c r="U81" s="514"/>
      <c r="V81" s="514"/>
      <c r="W81" s="514"/>
      <c r="X81" s="514"/>
      <c r="Y81" s="514"/>
      <c r="Z81" s="923"/>
      <c r="AA81" s="514"/>
      <c r="AB81" s="514"/>
      <c r="AC81" s="514"/>
      <c r="AD81" s="514"/>
      <c r="AE81" s="774"/>
      <c r="AF81" s="514"/>
      <c r="AG81" s="897"/>
      <c r="AH81" s="789"/>
      <c r="AI81" s="786">
        <f t="shared" si="7"/>
        <v>0</v>
      </c>
      <c r="AJ81" s="521">
        <v>0</v>
      </c>
      <c r="AK81" s="520">
        <f t="shared" si="5"/>
        <v>0</v>
      </c>
      <c r="AL81" s="672" t="s">
        <v>1491</v>
      </c>
      <c r="AM81" s="669">
        <f t="shared" si="6"/>
        <v>59.04</v>
      </c>
    </row>
    <row r="82" spans="1:39" s="500" customFormat="1" hidden="1">
      <c r="A82" s="542" t="s">
        <v>602</v>
      </c>
      <c r="B82" s="542" t="s">
        <v>1200</v>
      </c>
      <c r="C82" s="616"/>
      <c r="D82" s="519"/>
      <c r="E82" s="915"/>
      <c r="F82" s="520"/>
      <c r="G82" s="520"/>
      <c r="H82" s="520"/>
      <c r="I82" s="521"/>
      <c r="J82" s="521"/>
      <c r="K82" s="521"/>
      <c r="L82" s="923"/>
      <c r="M82" s="514"/>
      <c r="N82" s="514"/>
      <c r="O82" s="514"/>
      <c r="P82" s="514"/>
      <c r="Q82" s="514"/>
      <c r="R82" s="514"/>
      <c r="S82" s="923"/>
      <c r="T82" s="514"/>
      <c r="U82" s="514"/>
      <c r="V82" s="514"/>
      <c r="W82" s="514"/>
      <c r="X82" s="514"/>
      <c r="Y82" s="514"/>
      <c r="Z82" s="923"/>
      <c r="AA82" s="514"/>
      <c r="AB82" s="514"/>
      <c r="AC82" s="514"/>
      <c r="AD82" s="514"/>
      <c r="AE82" s="774"/>
      <c r="AF82" s="514"/>
      <c r="AG82" s="897"/>
      <c r="AH82" s="789"/>
      <c r="AI82" s="786">
        <f t="shared" si="7"/>
        <v>0</v>
      </c>
      <c r="AJ82" s="521">
        <v>0</v>
      </c>
      <c r="AK82" s="520">
        <f t="shared" si="5"/>
        <v>0</v>
      </c>
      <c r="AL82" s="672"/>
      <c r="AM82" s="669">
        <f t="shared" si="6"/>
        <v>0</v>
      </c>
    </row>
    <row r="83" spans="1:39" s="500" customFormat="1" hidden="1">
      <c r="A83" s="539" t="s">
        <v>603</v>
      </c>
      <c r="B83" s="539" t="s">
        <v>1201</v>
      </c>
      <c r="C83" s="472" t="s">
        <v>38</v>
      </c>
      <c r="D83" s="519"/>
      <c r="E83" s="915"/>
      <c r="F83" s="520"/>
      <c r="G83" s="520"/>
      <c r="H83" s="520"/>
      <c r="I83" s="521"/>
      <c r="J83" s="521"/>
      <c r="K83" s="521"/>
      <c r="L83" s="923"/>
      <c r="M83" s="514"/>
      <c r="N83" s="514"/>
      <c r="O83" s="514"/>
      <c r="P83" s="514"/>
      <c r="Q83" s="514"/>
      <c r="R83" s="514"/>
      <c r="S83" s="923"/>
      <c r="T83" s="514"/>
      <c r="U83" s="514"/>
      <c r="V83" s="514"/>
      <c r="W83" s="514"/>
      <c r="X83" s="514"/>
      <c r="Y83" s="514"/>
      <c r="Z83" s="923"/>
      <c r="AA83" s="514"/>
      <c r="AB83" s="514"/>
      <c r="AC83" s="514"/>
      <c r="AD83" s="514"/>
      <c r="AE83" s="774"/>
      <c r="AF83" s="514"/>
      <c r="AG83" s="897"/>
      <c r="AH83" s="789"/>
      <c r="AI83" s="786">
        <f t="shared" si="7"/>
        <v>0</v>
      </c>
      <c r="AJ83" s="521">
        <v>0</v>
      </c>
      <c r="AK83" s="520">
        <f t="shared" si="5"/>
        <v>0</v>
      </c>
      <c r="AL83" s="672" t="s">
        <v>1492</v>
      </c>
      <c r="AM83" s="669">
        <f t="shared" si="6"/>
        <v>100.3</v>
      </c>
    </row>
    <row r="84" spans="1:39" s="518" customFormat="1" hidden="1">
      <c r="A84" s="539" t="s">
        <v>604</v>
      </c>
      <c r="B84" s="539" t="s">
        <v>225</v>
      </c>
      <c r="C84" s="472" t="s">
        <v>1450</v>
      </c>
      <c r="D84" s="525"/>
      <c r="E84" s="916"/>
      <c r="F84" s="526"/>
      <c r="G84" s="526"/>
      <c r="H84" s="526"/>
      <c r="I84" s="527"/>
      <c r="J84" s="527"/>
      <c r="K84" s="527"/>
      <c r="L84" s="923"/>
      <c r="M84" s="514"/>
      <c r="N84" s="514"/>
      <c r="O84" s="514"/>
      <c r="P84" s="514"/>
      <c r="Q84" s="514"/>
      <c r="R84" s="514"/>
      <c r="S84" s="923"/>
      <c r="T84" s="514"/>
      <c r="U84" s="514"/>
      <c r="V84" s="514"/>
      <c r="W84" s="514"/>
      <c r="X84" s="514"/>
      <c r="Y84" s="514"/>
      <c r="Z84" s="923"/>
      <c r="AA84" s="514"/>
      <c r="AB84" s="514"/>
      <c r="AC84" s="514"/>
      <c r="AD84" s="514"/>
      <c r="AE84" s="774"/>
      <c r="AF84" s="514"/>
      <c r="AG84" s="897"/>
      <c r="AH84" s="789"/>
      <c r="AI84" s="786">
        <f t="shared" si="7"/>
        <v>0</v>
      </c>
      <c r="AJ84" s="521">
        <v>0</v>
      </c>
      <c r="AK84" s="520">
        <f t="shared" si="5"/>
        <v>0</v>
      </c>
      <c r="AL84" s="673" t="s">
        <v>1493</v>
      </c>
      <c r="AM84" s="669">
        <f t="shared" si="6"/>
        <v>15</v>
      </c>
    </row>
    <row r="85" spans="1:39" s="730" customFormat="1">
      <c r="A85" s="814" t="s">
        <v>44</v>
      </c>
      <c r="B85" s="815" t="s">
        <v>1202</v>
      </c>
      <c r="C85" s="826"/>
      <c r="D85" s="743"/>
      <c r="E85" s="915"/>
      <c r="F85" s="726"/>
      <c r="G85" s="726"/>
      <c r="H85" s="726"/>
      <c r="I85" s="725"/>
      <c r="J85" s="725"/>
      <c r="K85" s="725"/>
      <c r="L85" s="923"/>
      <c r="M85" s="756"/>
      <c r="N85" s="756"/>
      <c r="O85" s="756"/>
      <c r="P85" s="756"/>
      <c r="Q85" s="756"/>
      <c r="R85" s="756"/>
      <c r="S85" s="923"/>
      <c r="T85" s="756"/>
      <c r="U85" s="756"/>
      <c r="V85" s="756"/>
      <c r="W85" s="756"/>
      <c r="X85" s="756"/>
      <c r="Y85" s="756"/>
      <c r="Z85" s="923"/>
      <c r="AA85" s="756"/>
      <c r="AB85" s="756"/>
      <c r="AC85" s="756"/>
      <c r="AD85" s="756"/>
      <c r="AE85" s="774"/>
      <c r="AF85" s="756"/>
      <c r="AG85" s="897"/>
      <c r="AH85" s="819"/>
      <c r="AI85" s="786">
        <f t="shared" si="7"/>
        <v>0</v>
      </c>
      <c r="AJ85" s="725">
        <v>0</v>
      </c>
      <c r="AK85" s="726">
        <f t="shared" si="5"/>
        <v>0</v>
      </c>
      <c r="AL85" s="728"/>
      <c r="AM85" s="729">
        <f t="shared" si="6"/>
        <v>0</v>
      </c>
    </row>
    <row r="86" spans="1:39" s="730" customFormat="1" hidden="1">
      <c r="A86" s="831" t="s">
        <v>54</v>
      </c>
      <c r="B86" s="831" t="s">
        <v>46</v>
      </c>
      <c r="C86" s="826"/>
      <c r="D86" s="743"/>
      <c r="E86" s="915"/>
      <c r="F86" s="726"/>
      <c r="G86" s="726"/>
      <c r="H86" s="726"/>
      <c r="I86" s="725"/>
      <c r="J86" s="725"/>
      <c r="K86" s="725"/>
      <c r="L86" s="923"/>
      <c r="M86" s="756"/>
      <c r="N86" s="756"/>
      <c r="O86" s="756"/>
      <c r="P86" s="756"/>
      <c r="Q86" s="756"/>
      <c r="R86" s="756"/>
      <c r="S86" s="923"/>
      <c r="T86" s="756"/>
      <c r="U86" s="756"/>
      <c r="V86" s="756"/>
      <c r="W86" s="756"/>
      <c r="X86" s="756"/>
      <c r="Y86" s="756"/>
      <c r="Z86" s="923"/>
      <c r="AA86" s="756"/>
      <c r="AB86" s="756"/>
      <c r="AC86" s="756"/>
      <c r="AD86" s="756"/>
      <c r="AE86" s="774"/>
      <c r="AF86" s="756"/>
      <c r="AG86" s="897"/>
      <c r="AH86" s="819"/>
      <c r="AI86" s="786">
        <f t="shared" si="7"/>
        <v>0</v>
      </c>
      <c r="AJ86" s="725">
        <v>0</v>
      </c>
      <c r="AK86" s="726">
        <f t="shared" si="5"/>
        <v>0</v>
      </c>
      <c r="AL86" s="728"/>
      <c r="AM86" s="729">
        <f t="shared" si="6"/>
        <v>0</v>
      </c>
    </row>
    <row r="87" spans="1:39" s="730" customFormat="1" hidden="1">
      <c r="A87" s="720" t="s">
        <v>605</v>
      </c>
      <c r="B87" s="720" t="s">
        <v>1156</v>
      </c>
      <c r="C87" s="822" t="s">
        <v>40</v>
      </c>
      <c r="D87" s="743"/>
      <c r="E87" s="915"/>
      <c r="F87" s="726"/>
      <c r="G87" s="726"/>
      <c r="H87" s="726"/>
      <c r="I87" s="725"/>
      <c r="J87" s="725"/>
      <c r="K87" s="725"/>
      <c r="L87" s="923"/>
      <c r="M87" s="756"/>
      <c r="N87" s="756"/>
      <c r="O87" s="756"/>
      <c r="P87" s="756"/>
      <c r="Q87" s="756"/>
      <c r="R87" s="756"/>
      <c r="S87" s="923"/>
      <c r="T87" s="756"/>
      <c r="U87" s="756"/>
      <c r="V87" s="756"/>
      <c r="W87" s="756"/>
      <c r="X87" s="756"/>
      <c r="Y87" s="756"/>
      <c r="Z87" s="923"/>
      <c r="AA87" s="756"/>
      <c r="AB87" s="756"/>
      <c r="AC87" s="756"/>
      <c r="AD87" s="756"/>
      <c r="AE87" s="774"/>
      <c r="AF87" s="756"/>
      <c r="AG87" s="897"/>
      <c r="AH87" s="819"/>
      <c r="AI87" s="786">
        <f t="shared" si="7"/>
        <v>0</v>
      </c>
      <c r="AJ87" s="725">
        <v>0</v>
      </c>
      <c r="AK87" s="726">
        <f t="shared" si="5"/>
        <v>0</v>
      </c>
      <c r="AL87" s="728" t="s">
        <v>1494</v>
      </c>
      <c r="AM87" s="729">
        <f t="shared" si="6"/>
        <v>34.270000000000003</v>
      </c>
    </row>
    <row r="88" spans="1:39" s="730" customFormat="1" hidden="1">
      <c r="A88" s="720" t="s">
        <v>606</v>
      </c>
      <c r="B88" s="720" t="s">
        <v>1157</v>
      </c>
      <c r="C88" s="822" t="s">
        <v>40</v>
      </c>
      <c r="D88" s="743"/>
      <c r="E88" s="915"/>
      <c r="F88" s="726"/>
      <c r="G88" s="726"/>
      <c r="H88" s="726"/>
      <c r="I88" s="725"/>
      <c r="J88" s="725"/>
      <c r="K88" s="725"/>
      <c r="L88" s="923"/>
      <c r="M88" s="756"/>
      <c r="N88" s="756"/>
      <c r="O88" s="756"/>
      <c r="P88" s="756"/>
      <c r="Q88" s="756"/>
      <c r="R88" s="756"/>
      <c r="S88" s="923"/>
      <c r="T88" s="756"/>
      <c r="U88" s="756"/>
      <c r="V88" s="756"/>
      <c r="W88" s="756"/>
      <c r="X88" s="756"/>
      <c r="Y88" s="756"/>
      <c r="Z88" s="923"/>
      <c r="AA88" s="756"/>
      <c r="AB88" s="756"/>
      <c r="AC88" s="756"/>
      <c r="AD88" s="756"/>
      <c r="AE88" s="774"/>
      <c r="AF88" s="756"/>
      <c r="AG88" s="897"/>
      <c r="AH88" s="819"/>
      <c r="AI88" s="786">
        <f t="shared" si="7"/>
        <v>0</v>
      </c>
      <c r="AJ88" s="725">
        <v>0</v>
      </c>
      <c r="AK88" s="726">
        <f t="shared" si="5"/>
        <v>0</v>
      </c>
      <c r="AL88" s="728" t="s">
        <v>1495</v>
      </c>
      <c r="AM88" s="729">
        <f t="shared" si="6"/>
        <v>16.989999999999998</v>
      </c>
    </row>
    <row r="89" spans="1:39" s="730" customFormat="1" hidden="1">
      <c r="A89" s="720" t="s">
        <v>607</v>
      </c>
      <c r="B89" s="720" t="s">
        <v>1158</v>
      </c>
      <c r="C89" s="823" t="s">
        <v>40</v>
      </c>
      <c r="D89" s="743"/>
      <c r="E89" s="915"/>
      <c r="F89" s="726"/>
      <c r="G89" s="726"/>
      <c r="H89" s="726"/>
      <c r="I89" s="725"/>
      <c r="J89" s="725"/>
      <c r="K89" s="725"/>
      <c r="L89" s="923"/>
      <c r="M89" s="756"/>
      <c r="N89" s="756"/>
      <c r="O89" s="756"/>
      <c r="P89" s="756"/>
      <c r="Q89" s="756"/>
      <c r="R89" s="756"/>
      <c r="S89" s="923"/>
      <c r="T89" s="756"/>
      <c r="U89" s="756"/>
      <c r="V89" s="756"/>
      <c r="W89" s="756"/>
      <c r="X89" s="756"/>
      <c r="Y89" s="756"/>
      <c r="Z89" s="923"/>
      <c r="AA89" s="756"/>
      <c r="AB89" s="756"/>
      <c r="AC89" s="756"/>
      <c r="AD89" s="756"/>
      <c r="AE89" s="774"/>
      <c r="AF89" s="756"/>
      <c r="AG89" s="897"/>
      <c r="AH89" s="819"/>
      <c r="AI89" s="786">
        <f t="shared" si="7"/>
        <v>0</v>
      </c>
      <c r="AJ89" s="725">
        <v>0</v>
      </c>
      <c r="AK89" s="726">
        <f t="shared" si="5"/>
        <v>0</v>
      </c>
      <c r="AL89" s="728" t="s">
        <v>1496</v>
      </c>
      <c r="AM89" s="729">
        <f t="shared" si="6"/>
        <v>28.37</v>
      </c>
    </row>
    <row r="90" spans="1:39" s="730" customFormat="1" hidden="1">
      <c r="A90" s="720" t="s">
        <v>608</v>
      </c>
      <c r="B90" s="720" t="s">
        <v>1159</v>
      </c>
      <c r="C90" s="822" t="s">
        <v>37</v>
      </c>
      <c r="D90" s="743"/>
      <c r="E90" s="915"/>
      <c r="F90" s="726"/>
      <c r="G90" s="726"/>
      <c r="H90" s="726"/>
      <c r="I90" s="725"/>
      <c r="J90" s="725"/>
      <c r="K90" s="725"/>
      <c r="L90" s="923"/>
      <c r="M90" s="756"/>
      <c r="N90" s="756"/>
      <c r="O90" s="756"/>
      <c r="P90" s="756"/>
      <c r="Q90" s="756"/>
      <c r="R90" s="756"/>
      <c r="S90" s="923"/>
      <c r="T90" s="756"/>
      <c r="U90" s="756"/>
      <c r="V90" s="756"/>
      <c r="W90" s="756"/>
      <c r="X90" s="756"/>
      <c r="Y90" s="756"/>
      <c r="Z90" s="923"/>
      <c r="AA90" s="756"/>
      <c r="AB90" s="756"/>
      <c r="AC90" s="756"/>
      <c r="AD90" s="756"/>
      <c r="AE90" s="774"/>
      <c r="AF90" s="756"/>
      <c r="AG90" s="897"/>
      <c r="AH90" s="819"/>
      <c r="AI90" s="786">
        <f t="shared" si="7"/>
        <v>0</v>
      </c>
      <c r="AJ90" s="725">
        <v>0</v>
      </c>
      <c r="AK90" s="726">
        <f t="shared" si="5"/>
        <v>0</v>
      </c>
      <c r="AL90" s="728" t="s">
        <v>1497</v>
      </c>
      <c r="AM90" s="729">
        <f t="shared" si="6"/>
        <v>57.19</v>
      </c>
    </row>
    <row r="91" spans="1:39" s="730" customFormat="1" hidden="1">
      <c r="A91" s="720" t="s">
        <v>609</v>
      </c>
      <c r="B91" s="720" t="s">
        <v>1160</v>
      </c>
      <c r="C91" s="822" t="s">
        <v>40</v>
      </c>
      <c r="D91" s="743"/>
      <c r="E91" s="915"/>
      <c r="F91" s="726"/>
      <c r="G91" s="726"/>
      <c r="H91" s="726"/>
      <c r="I91" s="725"/>
      <c r="J91" s="725"/>
      <c r="K91" s="725"/>
      <c r="L91" s="923"/>
      <c r="M91" s="756"/>
      <c r="N91" s="756"/>
      <c r="O91" s="756"/>
      <c r="P91" s="756"/>
      <c r="Q91" s="756"/>
      <c r="R91" s="756"/>
      <c r="S91" s="923"/>
      <c r="T91" s="756"/>
      <c r="U91" s="756"/>
      <c r="V91" s="756"/>
      <c r="W91" s="756"/>
      <c r="X91" s="756"/>
      <c r="Y91" s="756"/>
      <c r="Z91" s="923"/>
      <c r="AA91" s="756"/>
      <c r="AB91" s="756"/>
      <c r="AC91" s="756"/>
      <c r="AD91" s="756"/>
      <c r="AE91" s="774"/>
      <c r="AF91" s="756"/>
      <c r="AG91" s="897"/>
      <c r="AH91" s="819"/>
      <c r="AI91" s="786">
        <f t="shared" si="7"/>
        <v>0</v>
      </c>
      <c r="AJ91" s="725">
        <v>0</v>
      </c>
      <c r="AK91" s="726">
        <f t="shared" si="5"/>
        <v>0</v>
      </c>
      <c r="AL91" s="728" t="s">
        <v>1498</v>
      </c>
      <c r="AM91" s="729">
        <f t="shared" si="6"/>
        <v>28.61</v>
      </c>
    </row>
    <row r="92" spans="1:39" s="843" customFormat="1" hidden="1">
      <c r="A92" s="832" t="s">
        <v>610</v>
      </c>
      <c r="B92" s="832" t="s">
        <v>1161</v>
      </c>
      <c r="C92" s="833" t="s">
        <v>40</v>
      </c>
      <c r="D92" s="834"/>
      <c r="E92" s="915"/>
      <c r="F92" s="835"/>
      <c r="G92" s="835"/>
      <c r="H92" s="835"/>
      <c r="I92" s="836"/>
      <c r="J92" s="836"/>
      <c r="K92" s="836"/>
      <c r="L92" s="923"/>
      <c r="M92" s="837"/>
      <c r="N92" s="837"/>
      <c r="O92" s="837"/>
      <c r="P92" s="837"/>
      <c r="Q92" s="837"/>
      <c r="R92" s="837"/>
      <c r="S92" s="923"/>
      <c r="T92" s="837"/>
      <c r="U92" s="837"/>
      <c r="V92" s="837"/>
      <c r="W92" s="837"/>
      <c r="X92" s="837"/>
      <c r="Y92" s="837"/>
      <c r="Z92" s="923"/>
      <c r="AA92" s="837"/>
      <c r="AB92" s="837"/>
      <c r="AC92" s="837"/>
      <c r="AD92" s="837"/>
      <c r="AE92" s="774"/>
      <c r="AF92" s="837"/>
      <c r="AG92" s="897"/>
      <c r="AH92" s="839"/>
      <c r="AI92" s="786">
        <f t="shared" si="7"/>
        <v>0</v>
      </c>
      <c r="AJ92" s="836">
        <v>0</v>
      </c>
      <c r="AK92" s="835">
        <f t="shared" si="5"/>
        <v>0</v>
      </c>
      <c r="AL92" s="841" t="s">
        <v>1498</v>
      </c>
      <c r="AM92" s="842">
        <f t="shared" si="6"/>
        <v>28.61</v>
      </c>
    </row>
    <row r="93" spans="1:39" s="500" customFormat="1" hidden="1">
      <c r="A93" s="542" t="s">
        <v>55</v>
      </c>
      <c r="B93" s="542" t="s">
        <v>1162</v>
      </c>
      <c r="C93" s="605"/>
      <c r="D93" s="519"/>
      <c r="E93" s="915"/>
      <c r="F93" s="520"/>
      <c r="G93" s="520"/>
      <c r="H93" s="520"/>
      <c r="I93" s="521"/>
      <c r="J93" s="521"/>
      <c r="K93" s="521"/>
      <c r="L93" s="923"/>
      <c r="M93" s="514"/>
      <c r="N93" s="514"/>
      <c r="O93" s="514"/>
      <c r="P93" s="514"/>
      <c r="Q93" s="514"/>
      <c r="R93" s="514"/>
      <c r="S93" s="923"/>
      <c r="T93" s="514"/>
      <c r="U93" s="514"/>
      <c r="V93" s="514"/>
      <c r="W93" s="514"/>
      <c r="X93" s="514"/>
      <c r="Y93" s="514"/>
      <c r="Z93" s="923"/>
      <c r="AA93" s="514"/>
      <c r="AB93" s="514"/>
      <c r="AC93" s="514"/>
      <c r="AD93" s="514"/>
      <c r="AE93" s="774"/>
      <c r="AF93" s="514"/>
      <c r="AG93" s="897"/>
      <c r="AH93" s="789"/>
      <c r="AI93" s="786">
        <f t="shared" si="7"/>
        <v>0</v>
      </c>
      <c r="AJ93" s="521">
        <v>0</v>
      </c>
      <c r="AK93" s="520">
        <f t="shared" si="5"/>
        <v>0</v>
      </c>
      <c r="AL93" s="672"/>
      <c r="AM93" s="669">
        <f t="shared" si="6"/>
        <v>0</v>
      </c>
    </row>
    <row r="94" spans="1:39" s="500" customFormat="1" hidden="1">
      <c r="A94" s="539" t="s">
        <v>611</v>
      </c>
      <c r="B94" s="539" t="s">
        <v>1203</v>
      </c>
      <c r="C94" s="472" t="s">
        <v>37</v>
      </c>
      <c r="D94" s="519"/>
      <c r="E94" s="915"/>
      <c r="F94" s="520"/>
      <c r="G94" s="520"/>
      <c r="H94" s="520"/>
      <c r="I94" s="521"/>
      <c r="J94" s="521"/>
      <c r="K94" s="521"/>
      <c r="L94" s="923"/>
      <c r="M94" s="514"/>
      <c r="N94" s="514"/>
      <c r="O94" s="514"/>
      <c r="R94" s="514"/>
      <c r="S94" s="923"/>
      <c r="T94" s="514"/>
      <c r="U94" s="514"/>
      <c r="V94" s="667"/>
      <c r="W94" s="667"/>
      <c r="X94" s="667"/>
      <c r="Y94" s="667"/>
      <c r="Z94" s="928"/>
      <c r="AA94" s="667"/>
      <c r="AB94" s="667"/>
      <c r="AD94" s="667"/>
      <c r="AE94" s="774"/>
      <c r="AF94" s="514"/>
      <c r="AG94" s="897"/>
      <c r="AH94" s="789"/>
      <c r="AI94" s="786">
        <f t="shared" si="7"/>
        <v>0</v>
      </c>
      <c r="AJ94" s="521">
        <v>0</v>
      </c>
      <c r="AK94" s="520">
        <f t="shared" si="5"/>
        <v>0</v>
      </c>
      <c r="AL94" s="672" t="s">
        <v>1499</v>
      </c>
      <c r="AM94" s="669">
        <f t="shared" si="6"/>
        <v>26.55</v>
      </c>
    </row>
    <row r="95" spans="1:39" s="843" customFormat="1" hidden="1">
      <c r="A95" s="832" t="s">
        <v>612</v>
      </c>
      <c r="B95" s="832" t="s">
        <v>1204</v>
      </c>
      <c r="C95" s="833" t="s">
        <v>40</v>
      </c>
      <c r="D95" s="834"/>
      <c r="E95" s="915"/>
      <c r="F95" s="835"/>
      <c r="G95" s="835"/>
      <c r="H95" s="835"/>
      <c r="I95" s="836"/>
      <c r="J95" s="836"/>
      <c r="K95" s="836"/>
      <c r="L95" s="923"/>
      <c r="M95" s="837"/>
      <c r="N95" s="837"/>
      <c r="O95" s="837"/>
      <c r="P95" s="837"/>
      <c r="Q95" s="837"/>
      <c r="R95" s="837"/>
      <c r="S95" s="923"/>
      <c r="T95" s="837"/>
      <c r="U95" s="837"/>
      <c r="V95" s="837"/>
      <c r="W95" s="837"/>
      <c r="X95" s="837"/>
      <c r="Y95" s="837"/>
      <c r="Z95" s="923"/>
      <c r="AA95" s="837"/>
      <c r="AB95" s="837"/>
      <c r="AC95" s="837"/>
      <c r="AD95" s="837"/>
      <c r="AE95" s="774"/>
      <c r="AF95" s="837"/>
      <c r="AG95" s="897"/>
      <c r="AH95" s="839"/>
      <c r="AI95" s="786">
        <f t="shared" si="7"/>
        <v>0</v>
      </c>
      <c r="AJ95" s="836">
        <v>0</v>
      </c>
      <c r="AK95" s="835">
        <f t="shared" si="5"/>
        <v>0</v>
      </c>
      <c r="AL95" s="841" t="s">
        <v>1500</v>
      </c>
      <c r="AM95" s="842">
        <f t="shared" si="6"/>
        <v>12.87</v>
      </c>
    </row>
    <row r="96" spans="1:39" s="843" customFormat="1" hidden="1">
      <c r="A96" s="832" t="s">
        <v>613</v>
      </c>
      <c r="B96" s="832" t="s">
        <v>1205</v>
      </c>
      <c r="C96" s="833" t="s">
        <v>40</v>
      </c>
      <c r="D96" s="834"/>
      <c r="E96" s="915"/>
      <c r="F96" s="835"/>
      <c r="G96" s="835"/>
      <c r="H96" s="835"/>
      <c r="I96" s="836"/>
      <c r="J96" s="836"/>
      <c r="K96" s="836"/>
      <c r="L96" s="923"/>
      <c r="M96" s="837"/>
      <c r="N96" s="837"/>
      <c r="O96" s="837"/>
      <c r="P96" s="837"/>
      <c r="Q96" s="837"/>
      <c r="R96" s="837"/>
      <c r="S96" s="923"/>
      <c r="T96" s="837"/>
      <c r="U96" s="837"/>
      <c r="V96" s="837"/>
      <c r="W96" s="837"/>
      <c r="X96" s="837"/>
      <c r="Y96" s="837"/>
      <c r="Z96" s="923"/>
      <c r="AA96" s="837"/>
      <c r="AB96" s="837"/>
      <c r="AC96" s="837"/>
      <c r="AD96" s="837"/>
      <c r="AE96" s="774"/>
      <c r="AF96" s="837"/>
      <c r="AG96" s="897"/>
      <c r="AH96" s="839"/>
      <c r="AI96" s="786">
        <f t="shared" si="7"/>
        <v>0</v>
      </c>
      <c r="AJ96" s="836">
        <v>0</v>
      </c>
      <c r="AK96" s="835">
        <f t="shared" si="5"/>
        <v>0</v>
      </c>
      <c r="AL96" s="841" t="s">
        <v>1501</v>
      </c>
      <c r="AM96" s="842">
        <f t="shared" si="6"/>
        <v>2.68</v>
      </c>
    </row>
    <row r="97" spans="1:39" s="730" customFormat="1" hidden="1">
      <c r="A97" s="720" t="s">
        <v>614</v>
      </c>
      <c r="B97" s="720" t="s">
        <v>1167</v>
      </c>
      <c r="C97" s="823" t="s">
        <v>37</v>
      </c>
      <c r="D97" s="743"/>
      <c r="E97" s="915"/>
      <c r="F97" s="726"/>
      <c r="G97" s="726"/>
      <c r="H97" s="726"/>
      <c r="I97" s="725"/>
      <c r="J97" s="725"/>
      <c r="K97" s="725"/>
      <c r="L97" s="923"/>
      <c r="M97" s="756"/>
      <c r="N97" s="756"/>
      <c r="O97" s="756"/>
      <c r="P97" s="756"/>
      <c r="Q97" s="756"/>
      <c r="R97" s="756"/>
      <c r="S97" s="923"/>
      <c r="T97" s="756"/>
      <c r="U97" s="756"/>
      <c r="V97" s="756"/>
      <c r="W97" s="756"/>
      <c r="X97" s="756"/>
      <c r="Y97" s="756"/>
      <c r="Z97" s="923"/>
      <c r="AA97" s="756"/>
      <c r="AB97" s="756"/>
      <c r="AC97" s="756"/>
      <c r="AD97" s="756"/>
      <c r="AE97" s="774"/>
      <c r="AF97" s="756"/>
      <c r="AG97" s="897"/>
      <c r="AH97" s="819"/>
      <c r="AI97" s="786">
        <f t="shared" si="7"/>
        <v>0</v>
      </c>
      <c r="AJ97" s="725">
        <v>0</v>
      </c>
      <c r="AK97" s="726">
        <f t="shared" si="5"/>
        <v>0</v>
      </c>
      <c r="AL97" s="728" t="s">
        <v>1502</v>
      </c>
      <c r="AM97" s="729">
        <f t="shared" si="6"/>
        <v>96.66</v>
      </c>
    </row>
    <row r="98" spans="1:39" s="730" customFormat="1" hidden="1">
      <c r="A98" s="720" t="s">
        <v>615</v>
      </c>
      <c r="B98" s="720" t="s">
        <v>1168</v>
      </c>
      <c r="C98" s="822" t="s">
        <v>37</v>
      </c>
      <c r="D98" s="743"/>
      <c r="E98" s="915"/>
      <c r="F98" s="726"/>
      <c r="G98" s="726"/>
      <c r="H98" s="726"/>
      <c r="I98" s="725"/>
      <c r="J98" s="725"/>
      <c r="K98" s="725"/>
      <c r="L98" s="923"/>
      <c r="M98" s="756"/>
      <c r="N98" s="756"/>
      <c r="O98" s="756"/>
      <c r="P98" s="756"/>
      <c r="Q98" s="756"/>
      <c r="R98" s="756"/>
      <c r="S98" s="923"/>
      <c r="T98" s="756"/>
      <c r="U98" s="756"/>
      <c r="V98" s="756"/>
      <c r="W98" s="756"/>
      <c r="X98" s="756"/>
      <c r="Y98" s="756"/>
      <c r="Z98" s="923"/>
      <c r="AA98" s="756"/>
      <c r="AB98" s="756"/>
      <c r="AC98" s="756"/>
      <c r="AD98" s="756"/>
      <c r="AE98" s="774"/>
      <c r="AF98" s="756"/>
      <c r="AG98" s="897"/>
      <c r="AH98" s="819"/>
      <c r="AI98" s="786">
        <f t="shared" si="7"/>
        <v>0</v>
      </c>
      <c r="AJ98" s="725">
        <v>0</v>
      </c>
      <c r="AK98" s="726">
        <f t="shared" si="5"/>
        <v>0</v>
      </c>
      <c r="AL98" s="728" t="s">
        <v>1497</v>
      </c>
      <c r="AM98" s="729">
        <f t="shared" si="6"/>
        <v>57.19</v>
      </c>
    </row>
    <row r="99" spans="1:39" s="730" customFormat="1">
      <c r="A99" s="831" t="s">
        <v>616</v>
      </c>
      <c r="B99" s="831" t="s">
        <v>1169</v>
      </c>
      <c r="C99" s="826"/>
      <c r="D99" s="743"/>
      <c r="E99" s="915"/>
      <c r="F99" s="726"/>
      <c r="G99" s="726"/>
      <c r="H99" s="726"/>
      <c r="I99" s="725"/>
      <c r="J99" s="725"/>
      <c r="K99" s="725"/>
      <c r="L99" s="923"/>
      <c r="M99" s="756"/>
      <c r="N99" s="756"/>
      <c r="O99" s="756"/>
      <c r="P99" s="756"/>
      <c r="Q99" s="756"/>
      <c r="R99" s="756"/>
      <c r="S99" s="923"/>
      <c r="T99" s="756"/>
      <c r="U99" s="756"/>
      <c r="V99" s="756"/>
      <c r="W99" s="756"/>
      <c r="X99" s="756"/>
      <c r="Y99" s="756"/>
      <c r="Z99" s="923"/>
      <c r="AA99" s="756"/>
      <c r="AB99" s="756"/>
      <c r="AC99" s="756"/>
      <c r="AD99" s="756"/>
      <c r="AE99" s="774"/>
      <c r="AF99" s="756"/>
      <c r="AG99" s="897"/>
      <c r="AH99" s="819"/>
      <c r="AI99" s="786">
        <f t="shared" si="7"/>
        <v>0</v>
      </c>
      <c r="AJ99" s="725">
        <v>0</v>
      </c>
      <c r="AK99" s="726">
        <f t="shared" si="5"/>
        <v>0</v>
      </c>
      <c r="AL99" s="728"/>
      <c r="AM99" s="729">
        <f t="shared" si="6"/>
        <v>0</v>
      </c>
    </row>
    <row r="100" spans="1:39" s="730" customFormat="1" hidden="1">
      <c r="A100" s="720" t="s">
        <v>617</v>
      </c>
      <c r="B100" s="720" t="s">
        <v>1170</v>
      </c>
      <c r="C100" s="826"/>
      <c r="D100" s="743"/>
      <c r="E100" s="915"/>
      <c r="F100" s="726"/>
      <c r="G100" s="726"/>
      <c r="H100" s="726"/>
      <c r="I100" s="725"/>
      <c r="J100" s="725"/>
      <c r="K100" s="725"/>
      <c r="L100" s="923"/>
      <c r="M100" s="756"/>
      <c r="N100" s="756"/>
      <c r="O100" s="756"/>
      <c r="P100" s="756"/>
      <c r="Q100" s="756"/>
      <c r="R100" s="756"/>
      <c r="S100" s="923"/>
      <c r="T100" s="756"/>
      <c r="U100" s="756"/>
      <c r="V100" s="756"/>
      <c r="W100" s="756"/>
      <c r="X100" s="756"/>
      <c r="Y100" s="756"/>
      <c r="Z100" s="923"/>
      <c r="AA100" s="756"/>
      <c r="AB100" s="756"/>
      <c r="AC100" s="756"/>
      <c r="AD100" s="756"/>
      <c r="AE100" s="774"/>
      <c r="AF100" s="756"/>
      <c r="AG100" s="897"/>
      <c r="AH100" s="819"/>
      <c r="AI100" s="786">
        <f t="shared" si="7"/>
        <v>0</v>
      </c>
      <c r="AJ100" s="725">
        <v>0</v>
      </c>
      <c r="AK100" s="726">
        <f t="shared" si="5"/>
        <v>0</v>
      </c>
      <c r="AL100" s="728"/>
      <c r="AM100" s="729">
        <f t="shared" si="6"/>
        <v>0</v>
      </c>
    </row>
    <row r="101" spans="1:39" s="500" customFormat="1" hidden="1">
      <c r="A101" s="539" t="s">
        <v>618</v>
      </c>
      <c r="B101" s="539" t="s">
        <v>1206</v>
      </c>
      <c r="C101" s="472" t="s">
        <v>40</v>
      </c>
      <c r="D101" s="519"/>
      <c r="E101" s="915"/>
      <c r="F101" s="520"/>
      <c r="G101" s="520"/>
      <c r="H101" s="520"/>
      <c r="I101" s="521"/>
      <c r="J101" s="521"/>
      <c r="K101" s="521"/>
      <c r="L101" s="923"/>
      <c r="M101" s="514"/>
      <c r="N101" s="514"/>
      <c r="O101" s="514"/>
      <c r="P101" s="514"/>
      <c r="Q101" s="514"/>
      <c r="R101" s="514"/>
      <c r="S101" s="923"/>
      <c r="T101" s="514"/>
      <c r="U101" s="514"/>
      <c r="V101" s="514"/>
      <c r="W101" s="514"/>
      <c r="X101" s="514"/>
      <c r="Y101" s="514"/>
      <c r="Z101" s="923"/>
      <c r="AA101" s="514"/>
      <c r="AB101" s="514"/>
      <c r="AC101" s="514"/>
      <c r="AD101" s="521"/>
      <c r="AE101" s="801"/>
      <c r="AF101" s="514"/>
      <c r="AG101" s="897"/>
      <c r="AH101" s="789"/>
      <c r="AI101" s="786">
        <f t="shared" si="7"/>
        <v>0</v>
      </c>
      <c r="AJ101" s="521">
        <v>0</v>
      </c>
      <c r="AK101" s="520">
        <f t="shared" si="5"/>
        <v>0</v>
      </c>
      <c r="AL101" s="672" t="s">
        <v>1503</v>
      </c>
      <c r="AM101" s="669">
        <f t="shared" si="6"/>
        <v>8.06</v>
      </c>
    </row>
    <row r="102" spans="1:39" s="500" customFormat="1" hidden="1">
      <c r="A102" s="539" t="s">
        <v>619</v>
      </c>
      <c r="B102" s="539" t="s">
        <v>1172</v>
      </c>
      <c r="C102" s="472" t="s">
        <v>48</v>
      </c>
      <c r="D102" s="519"/>
      <c r="E102" s="915"/>
      <c r="F102" s="520"/>
      <c r="G102" s="520"/>
      <c r="H102" s="520"/>
      <c r="I102" s="521"/>
      <c r="J102" s="521"/>
      <c r="K102" s="521"/>
      <c r="L102" s="923"/>
      <c r="M102" s="514"/>
      <c r="N102" s="514"/>
      <c r="O102" s="514"/>
      <c r="P102" s="514"/>
      <c r="Q102" s="514"/>
      <c r="R102" s="514"/>
      <c r="S102" s="923"/>
      <c r="T102" s="514"/>
      <c r="U102" s="514"/>
      <c r="V102" s="514"/>
      <c r="W102" s="514"/>
      <c r="X102" s="514"/>
      <c r="Y102" s="514"/>
      <c r="Z102" s="923"/>
      <c r="AA102" s="514"/>
      <c r="AB102" s="514"/>
      <c r="AC102" s="760"/>
      <c r="AD102" s="667"/>
      <c r="AE102" s="774"/>
      <c r="AF102" s="514"/>
      <c r="AG102" s="897"/>
      <c r="AH102" s="789"/>
      <c r="AI102" s="786">
        <f t="shared" si="7"/>
        <v>0</v>
      </c>
      <c r="AJ102" s="521">
        <v>0</v>
      </c>
      <c r="AK102" s="520">
        <f t="shared" si="5"/>
        <v>0</v>
      </c>
      <c r="AL102" s="672" t="s">
        <v>1504</v>
      </c>
      <c r="AM102" s="669">
        <f t="shared" si="6"/>
        <v>337.22</v>
      </c>
    </row>
    <row r="103" spans="1:39" s="730" customFormat="1">
      <c r="A103" s="720" t="s">
        <v>620</v>
      </c>
      <c r="B103" s="720" t="s">
        <v>1173</v>
      </c>
      <c r="C103" s="826"/>
      <c r="D103" s="743"/>
      <c r="E103" s="915"/>
      <c r="F103" s="726"/>
      <c r="G103" s="726"/>
      <c r="H103" s="726"/>
      <c r="I103" s="725"/>
      <c r="J103" s="725"/>
      <c r="K103" s="725"/>
      <c r="L103" s="923"/>
      <c r="M103" s="756"/>
      <c r="N103" s="756"/>
      <c r="O103" s="756"/>
      <c r="P103" s="756"/>
      <c r="Q103" s="756"/>
      <c r="R103" s="756"/>
      <c r="S103" s="923"/>
      <c r="T103" s="756"/>
      <c r="U103" s="756"/>
      <c r="V103" s="756"/>
      <c r="W103" s="756"/>
      <c r="X103" s="756"/>
      <c r="Y103" s="756"/>
      <c r="Z103" s="923"/>
      <c r="AA103" s="756"/>
      <c r="AB103" s="756"/>
      <c r="AC103" s="756"/>
      <c r="AD103" s="756"/>
      <c r="AE103" s="774"/>
      <c r="AF103" s="756"/>
      <c r="AG103" s="897"/>
      <c r="AH103" s="819"/>
      <c r="AI103" s="786">
        <f t="shared" si="7"/>
        <v>0</v>
      </c>
      <c r="AJ103" s="725">
        <v>0</v>
      </c>
      <c r="AK103" s="726">
        <f t="shared" si="5"/>
        <v>0</v>
      </c>
      <c r="AL103" s="728"/>
      <c r="AM103" s="729">
        <f t="shared" si="6"/>
        <v>0</v>
      </c>
    </row>
    <row r="104" spans="1:39" s="730" customFormat="1">
      <c r="A104" s="720" t="s">
        <v>621</v>
      </c>
      <c r="B104" s="720" t="s">
        <v>1207</v>
      </c>
      <c r="C104" s="822" t="s">
        <v>40</v>
      </c>
      <c r="D104" s="743"/>
      <c r="E104" s="915"/>
      <c r="F104" s="726"/>
      <c r="G104" s="726"/>
      <c r="H104" s="726"/>
      <c r="I104" s="772">
        <f>40.91*0.25*0.3722</f>
        <v>3.8066754999999994</v>
      </c>
      <c r="J104" s="725"/>
      <c r="K104" s="725"/>
      <c r="L104" s="923"/>
      <c r="M104" s="756"/>
      <c r="N104" s="756"/>
      <c r="O104" s="756"/>
      <c r="P104" s="756"/>
      <c r="Q104" s="756"/>
      <c r="R104" s="756"/>
      <c r="S104" s="923"/>
      <c r="T104" s="756"/>
      <c r="U104" s="756"/>
      <c r="V104" s="756"/>
      <c r="W104" s="756"/>
      <c r="X104" s="756"/>
      <c r="Y104" s="756"/>
      <c r="Z104" s="923"/>
      <c r="AA104" s="756"/>
      <c r="AB104" s="756"/>
      <c r="AC104" s="756"/>
      <c r="AD104" s="756"/>
      <c r="AE104" s="774"/>
      <c r="AF104" s="756"/>
      <c r="AG104" s="897"/>
      <c r="AH104" s="819"/>
      <c r="AI104" s="786">
        <f t="shared" si="7"/>
        <v>3.81</v>
      </c>
      <c r="AJ104" s="725">
        <v>0</v>
      </c>
      <c r="AK104" s="726">
        <f t="shared" si="5"/>
        <v>3.81</v>
      </c>
      <c r="AL104" s="728" t="s">
        <v>1505</v>
      </c>
      <c r="AM104" s="729">
        <f t="shared" si="6"/>
        <v>0</v>
      </c>
    </row>
    <row r="105" spans="1:39" s="730" customFormat="1">
      <c r="A105" s="720" t="s">
        <v>622</v>
      </c>
      <c r="B105" s="720" t="s">
        <v>1175</v>
      </c>
      <c r="C105" s="823" t="s">
        <v>37</v>
      </c>
      <c r="D105" s="743"/>
      <c r="E105" s="915"/>
      <c r="F105" s="726"/>
      <c r="G105" s="726"/>
      <c r="H105" s="864">
        <f>40.91*2*0.3722</f>
        <v>30.453403999999995</v>
      </c>
      <c r="I105" s="725"/>
      <c r="J105" s="725"/>
      <c r="K105" s="725"/>
      <c r="L105" s="923"/>
      <c r="M105" s="756"/>
      <c r="N105" s="756"/>
      <c r="O105" s="756"/>
      <c r="P105" s="756"/>
      <c r="Q105" s="756"/>
      <c r="R105" s="756"/>
      <c r="S105" s="923"/>
      <c r="T105" s="756"/>
      <c r="U105" s="756"/>
      <c r="V105" s="756"/>
      <c r="W105" s="756"/>
      <c r="X105" s="756"/>
      <c r="Y105" s="756"/>
      <c r="Z105" s="923"/>
      <c r="AA105" s="756"/>
      <c r="AB105" s="756"/>
      <c r="AC105" s="756"/>
      <c r="AD105" s="756"/>
      <c r="AE105" s="774"/>
      <c r="AF105" s="756"/>
      <c r="AG105" s="897"/>
      <c r="AH105" s="819"/>
      <c r="AI105" s="786">
        <f t="shared" si="7"/>
        <v>30.45</v>
      </c>
      <c r="AJ105" s="725">
        <v>0</v>
      </c>
      <c r="AK105" s="726">
        <f t="shared" si="5"/>
        <v>30.45</v>
      </c>
      <c r="AL105" s="728" t="s">
        <v>1506</v>
      </c>
      <c r="AM105" s="729">
        <f t="shared" si="6"/>
        <v>0</v>
      </c>
    </row>
    <row r="106" spans="1:39" s="500" customFormat="1" hidden="1">
      <c r="A106" s="539" t="s">
        <v>623</v>
      </c>
      <c r="B106" s="539" t="s">
        <v>1176</v>
      </c>
      <c r="C106" s="472" t="s">
        <v>48</v>
      </c>
      <c r="D106" s="519"/>
      <c r="E106" s="915"/>
      <c r="F106" s="520"/>
      <c r="G106" s="520"/>
      <c r="H106" s="520"/>
      <c r="I106" s="521"/>
      <c r="J106" s="521"/>
      <c r="K106" s="521"/>
      <c r="L106" s="923"/>
      <c r="M106" s="514"/>
      <c r="N106" s="514"/>
      <c r="O106" s="514"/>
      <c r="P106" s="514"/>
      <c r="Q106" s="514"/>
      <c r="R106" s="514"/>
      <c r="S106" s="923"/>
      <c r="T106" s="514"/>
      <c r="U106" s="514"/>
      <c r="V106" s="514"/>
      <c r="W106" s="514"/>
      <c r="X106" s="514"/>
      <c r="Y106" s="514"/>
      <c r="Z106" s="923"/>
      <c r="AA106" s="514"/>
      <c r="AB106" s="514"/>
      <c r="AC106" s="514"/>
      <c r="AD106" s="514"/>
      <c r="AE106" s="774"/>
      <c r="AF106" s="514"/>
      <c r="AG106" s="899"/>
      <c r="AH106" s="790"/>
      <c r="AI106" s="786">
        <f t="shared" si="7"/>
        <v>0</v>
      </c>
      <c r="AJ106" s="521">
        <v>0</v>
      </c>
      <c r="AK106" s="520">
        <f t="shared" si="5"/>
        <v>0</v>
      </c>
      <c r="AL106" s="672" t="s">
        <v>1507</v>
      </c>
      <c r="AM106" s="669">
        <f t="shared" si="6"/>
        <v>322.07</v>
      </c>
    </row>
    <row r="107" spans="1:39" s="730" customFormat="1">
      <c r="A107" s="720" t="s">
        <v>624</v>
      </c>
      <c r="B107" s="720" t="s">
        <v>1177</v>
      </c>
      <c r="C107" s="826"/>
      <c r="D107" s="743"/>
      <c r="E107" s="915"/>
      <c r="F107" s="726"/>
      <c r="G107" s="726"/>
      <c r="H107" s="726"/>
      <c r="I107" s="725"/>
      <c r="J107" s="725"/>
      <c r="K107" s="725"/>
      <c r="L107" s="923"/>
      <c r="M107" s="756"/>
      <c r="N107" s="756"/>
      <c r="O107" s="756"/>
      <c r="P107" s="756"/>
      <c r="Q107" s="756"/>
      <c r="R107" s="756"/>
      <c r="S107" s="923"/>
      <c r="T107" s="756"/>
      <c r="U107" s="756"/>
      <c r="V107" s="756"/>
      <c r="W107" s="756"/>
      <c r="X107" s="756"/>
      <c r="Y107" s="756"/>
      <c r="Z107" s="923"/>
      <c r="AA107" s="756"/>
      <c r="AB107" s="756"/>
      <c r="AC107" s="756"/>
      <c r="AD107" s="756"/>
      <c r="AE107" s="774"/>
      <c r="AF107" s="756"/>
      <c r="AG107" s="897"/>
      <c r="AH107" s="819"/>
      <c r="AI107" s="786">
        <f t="shared" si="7"/>
        <v>0</v>
      </c>
      <c r="AJ107" s="725">
        <v>0</v>
      </c>
      <c r="AK107" s="726">
        <f t="shared" si="5"/>
        <v>0</v>
      </c>
      <c r="AL107" s="728"/>
      <c r="AM107" s="729">
        <f t="shared" si="6"/>
        <v>0</v>
      </c>
    </row>
    <row r="108" spans="1:39" s="730" customFormat="1">
      <c r="A108" s="720" t="s">
        <v>625</v>
      </c>
      <c r="B108" s="720" t="s">
        <v>1208</v>
      </c>
      <c r="C108" s="822" t="s">
        <v>40</v>
      </c>
      <c r="D108" s="743"/>
      <c r="E108" s="915"/>
      <c r="F108" s="726"/>
      <c r="G108" s="726"/>
      <c r="H108" s="726"/>
      <c r="I108" s="725"/>
      <c r="J108" s="725"/>
      <c r="K108" s="725"/>
      <c r="L108" s="923"/>
      <c r="M108" s="756"/>
      <c r="N108" s="756"/>
      <c r="O108" s="756"/>
      <c r="Q108" s="884">
        <f>8*0.25*0.4*4.25</f>
        <v>3.4000000000000004</v>
      </c>
      <c r="R108" s="745"/>
      <c r="S108" s="923"/>
      <c r="T108" s="884">
        <f>6*0.25*0.4*4.25</f>
        <v>2.5500000000000003</v>
      </c>
      <c r="U108" s="756"/>
      <c r="V108" s="756"/>
      <c r="W108" s="756"/>
      <c r="X108" s="756"/>
      <c r="Y108" s="756"/>
      <c r="Z108" s="923"/>
      <c r="AA108" s="756"/>
      <c r="AB108" s="756"/>
      <c r="AC108" s="756"/>
      <c r="AD108" s="756"/>
      <c r="AE108" s="774"/>
      <c r="AF108" s="756"/>
      <c r="AG108" s="897"/>
      <c r="AH108" s="819"/>
      <c r="AI108" s="786">
        <f t="shared" si="7"/>
        <v>5.95</v>
      </c>
      <c r="AJ108" s="725">
        <v>0</v>
      </c>
      <c r="AK108" s="726">
        <f t="shared" si="5"/>
        <v>5.95</v>
      </c>
      <c r="AL108" s="728" t="s">
        <v>1508</v>
      </c>
      <c r="AM108" s="908">
        <f t="shared" si="6"/>
        <v>0</v>
      </c>
    </row>
    <row r="109" spans="1:39" s="733" customFormat="1">
      <c r="A109" s="720" t="s">
        <v>626</v>
      </c>
      <c r="B109" s="720" t="s">
        <v>1179</v>
      </c>
      <c r="C109" s="822" t="s">
        <v>37</v>
      </c>
      <c r="D109" s="827"/>
      <c r="E109" s="916"/>
      <c r="F109" s="731"/>
      <c r="G109" s="731"/>
      <c r="H109" s="731"/>
      <c r="I109" s="727"/>
      <c r="J109" s="727"/>
      <c r="K109" s="727"/>
      <c r="L109" s="923"/>
      <c r="M109" s="756"/>
      <c r="N109" s="756"/>
      <c r="O109" s="756"/>
      <c r="Q109" s="884">
        <f>6*(0.25+0.25+0.4+0.4)*4.25+2*(0.25+0.25+0.15+0.15+0.25+0.25)*4.25</f>
        <v>44.2</v>
      </c>
      <c r="R109" s="884">
        <f>6*(0.25+0.25+0.15+0.15+0.25+0.25)*4.25</f>
        <v>33.150000000000006</v>
      </c>
      <c r="S109" s="923"/>
      <c r="T109" s="756"/>
      <c r="U109" s="756"/>
      <c r="V109" s="756"/>
      <c r="W109" s="756"/>
      <c r="X109" s="756"/>
      <c r="Y109" s="756"/>
      <c r="Z109" s="923"/>
      <c r="AA109" s="756"/>
      <c r="AB109" s="756"/>
      <c r="AC109" s="756"/>
      <c r="AD109" s="756"/>
      <c r="AE109" s="774"/>
      <c r="AF109" s="797"/>
      <c r="AG109" s="897"/>
      <c r="AH109" s="819"/>
      <c r="AI109" s="786">
        <f t="shared" si="7"/>
        <v>77.349999999999994</v>
      </c>
      <c r="AJ109" s="725">
        <v>0</v>
      </c>
      <c r="AK109" s="726">
        <f t="shared" si="5"/>
        <v>77.349999999999994</v>
      </c>
      <c r="AL109" s="732" t="s">
        <v>1509</v>
      </c>
      <c r="AM109" s="908">
        <f t="shared" si="6"/>
        <v>0.56000000000000227</v>
      </c>
    </row>
    <row r="110" spans="1:39" s="500" customFormat="1" hidden="1">
      <c r="A110" s="539" t="s">
        <v>627</v>
      </c>
      <c r="B110" s="539" t="s">
        <v>1180</v>
      </c>
      <c r="C110" s="472" t="s">
        <v>48</v>
      </c>
      <c r="D110" s="519"/>
      <c r="E110" s="915"/>
      <c r="F110" s="520"/>
      <c r="G110" s="520"/>
      <c r="H110" s="520"/>
      <c r="I110" s="521"/>
      <c r="J110" s="521"/>
      <c r="K110" s="521"/>
      <c r="L110" s="923"/>
      <c r="M110" s="514"/>
      <c r="N110" s="514"/>
      <c r="O110" s="514"/>
      <c r="P110" s="514"/>
      <c r="Q110" s="514"/>
      <c r="R110" s="514"/>
      <c r="S110" s="923"/>
      <c r="T110" s="514"/>
      <c r="U110" s="514"/>
      <c r="V110" s="514"/>
      <c r="W110" s="514"/>
      <c r="X110" s="514"/>
      <c r="Y110" s="514"/>
      <c r="Z110" s="923"/>
      <c r="AA110" s="514"/>
      <c r="AB110" s="514"/>
      <c r="AC110" s="514"/>
      <c r="AE110" s="802"/>
      <c r="AF110" s="757"/>
      <c r="AG110" s="897"/>
      <c r="AH110" s="789"/>
      <c r="AI110" s="786">
        <f t="shared" si="7"/>
        <v>0</v>
      </c>
      <c r="AJ110" s="521">
        <v>0</v>
      </c>
      <c r="AK110" s="520">
        <f t="shared" si="5"/>
        <v>0</v>
      </c>
      <c r="AL110" s="672" t="s">
        <v>1510</v>
      </c>
      <c r="AM110" s="669">
        <f t="shared" si="6"/>
        <v>2582.91</v>
      </c>
    </row>
    <row r="111" spans="1:39" s="730" customFormat="1" hidden="1">
      <c r="A111" s="720" t="s">
        <v>628</v>
      </c>
      <c r="B111" s="720" t="s">
        <v>1181</v>
      </c>
      <c r="C111" s="826"/>
      <c r="D111" s="743"/>
      <c r="E111" s="915"/>
      <c r="F111" s="726"/>
      <c r="G111" s="726"/>
      <c r="H111" s="726"/>
      <c r="I111" s="725"/>
      <c r="J111" s="725"/>
      <c r="K111" s="725"/>
      <c r="L111" s="923"/>
      <c r="M111" s="756"/>
      <c r="N111" s="756"/>
      <c r="O111" s="756"/>
      <c r="P111" s="756"/>
      <c r="Q111" s="756"/>
      <c r="R111" s="756"/>
      <c r="S111" s="923"/>
      <c r="T111" s="756"/>
      <c r="U111" s="756"/>
      <c r="V111" s="756"/>
      <c r="W111" s="756"/>
      <c r="X111" s="756"/>
      <c r="Y111" s="756"/>
      <c r="Z111" s="923"/>
      <c r="AA111" s="756"/>
      <c r="AB111" s="756"/>
      <c r="AC111" s="756"/>
      <c r="AD111" s="756"/>
      <c r="AE111" s="774"/>
      <c r="AF111" s="756"/>
      <c r="AG111" s="897"/>
      <c r="AH111" s="819"/>
      <c r="AI111" s="786">
        <f t="shared" si="7"/>
        <v>0</v>
      </c>
      <c r="AJ111" s="725">
        <v>0</v>
      </c>
      <c r="AK111" s="726">
        <f t="shared" si="5"/>
        <v>0</v>
      </c>
      <c r="AL111" s="728"/>
      <c r="AM111" s="729">
        <f t="shared" si="6"/>
        <v>0</v>
      </c>
    </row>
    <row r="112" spans="1:39" s="730" customFormat="1" hidden="1">
      <c r="A112" s="720" t="s">
        <v>629</v>
      </c>
      <c r="B112" s="720" t="s">
        <v>1182</v>
      </c>
      <c r="C112" s="822" t="s">
        <v>40</v>
      </c>
      <c r="D112" s="743"/>
      <c r="E112" s="915"/>
      <c r="F112" s="726"/>
      <c r="G112" s="726"/>
      <c r="H112" s="726"/>
      <c r="I112" s="725"/>
      <c r="J112" s="725"/>
      <c r="K112" s="725"/>
      <c r="L112" s="923"/>
      <c r="M112" s="756"/>
      <c r="N112" s="756"/>
      <c r="O112" s="756"/>
      <c r="P112" s="756"/>
      <c r="Q112" s="756"/>
      <c r="R112" s="756"/>
      <c r="S112" s="923"/>
      <c r="T112" s="756"/>
      <c r="U112" s="756"/>
      <c r="V112" s="756"/>
      <c r="W112" s="756"/>
      <c r="X112" s="756"/>
      <c r="Y112" s="756"/>
      <c r="Z112" s="923"/>
      <c r="AA112" s="756"/>
      <c r="AB112" s="756"/>
      <c r="AC112" s="756"/>
      <c r="AD112" s="756"/>
      <c r="AE112" s="774"/>
      <c r="AF112" s="756"/>
      <c r="AG112" s="897"/>
      <c r="AH112" s="819"/>
      <c r="AI112" s="786">
        <f t="shared" si="7"/>
        <v>0</v>
      </c>
      <c r="AJ112" s="725">
        <v>0</v>
      </c>
      <c r="AK112" s="726">
        <f t="shared" si="5"/>
        <v>0</v>
      </c>
      <c r="AL112" s="728" t="s">
        <v>1511</v>
      </c>
      <c r="AM112" s="729">
        <f t="shared" si="6"/>
        <v>2.82</v>
      </c>
    </row>
    <row r="113" spans="1:39" s="730" customFormat="1" hidden="1">
      <c r="A113" s="720" t="s">
        <v>630</v>
      </c>
      <c r="B113" s="720" t="s">
        <v>1183</v>
      </c>
      <c r="C113" s="823" t="s">
        <v>37</v>
      </c>
      <c r="D113" s="743"/>
      <c r="E113" s="915"/>
      <c r="F113" s="726"/>
      <c r="G113" s="726"/>
      <c r="H113" s="726"/>
      <c r="I113" s="725"/>
      <c r="J113" s="725"/>
      <c r="K113" s="725"/>
      <c r="L113" s="923"/>
      <c r="M113" s="756"/>
      <c r="N113" s="756"/>
      <c r="O113" s="756"/>
      <c r="P113" s="756"/>
      <c r="Q113" s="756"/>
      <c r="R113" s="756"/>
      <c r="S113" s="923"/>
      <c r="T113" s="756"/>
      <c r="U113" s="756"/>
      <c r="V113" s="756"/>
      <c r="W113" s="756"/>
      <c r="X113" s="756"/>
      <c r="Y113" s="756"/>
      <c r="Z113" s="923"/>
      <c r="AA113" s="756"/>
      <c r="AB113" s="756"/>
      <c r="AC113" s="756"/>
      <c r="AD113" s="756"/>
      <c r="AE113" s="774"/>
      <c r="AF113" s="756"/>
      <c r="AG113" s="897"/>
      <c r="AH113" s="819"/>
      <c r="AI113" s="786">
        <f t="shared" si="7"/>
        <v>0</v>
      </c>
      <c r="AJ113" s="725">
        <v>0</v>
      </c>
      <c r="AK113" s="726">
        <f t="shared" si="5"/>
        <v>0</v>
      </c>
      <c r="AL113" s="728" t="s">
        <v>1512</v>
      </c>
      <c r="AM113" s="729">
        <f t="shared" si="6"/>
        <v>35.44</v>
      </c>
    </row>
    <row r="114" spans="1:39" s="730" customFormat="1" hidden="1">
      <c r="A114" s="720" t="s">
        <v>631</v>
      </c>
      <c r="B114" s="720" t="s">
        <v>1184</v>
      </c>
      <c r="C114" s="822" t="s">
        <v>48</v>
      </c>
      <c r="D114" s="743"/>
      <c r="E114" s="915"/>
      <c r="F114" s="726"/>
      <c r="G114" s="726"/>
      <c r="H114" s="726"/>
      <c r="I114" s="725"/>
      <c r="J114" s="725"/>
      <c r="K114" s="725"/>
      <c r="L114" s="923"/>
      <c r="M114" s="756"/>
      <c r="N114" s="756"/>
      <c r="O114" s="756"/>
      <c r="P114" s="756"/>
      <c r="Q114" s="756"/>
      <c r="R114" s="756"/>
      <c r="S114" s="923"/>
      <c r="T114" s="756"/>
      <c r="U114" s="756"/>
      <c r="V114" s="756"/>
      <c r="W114" s="756"/>
      <c r="X114" s="756"/>
      <c r="Y114" s="756"/>
      <c r="Z114" s="923"/>
      <c r="AA114" s="756"/>
      <c r="AB114" s="756"/>
      <c r="AC114" s="756"/>
      <c r="AD114" s="756"/>
      <c r="AE114" s="774"/>
      <c r="AF114" s="756"/>
      <c r="AG114" s="897"/>
      <c r="AH114" s="819"/>
      <c r="AI114" s="786">
        <f t="shared" si="7"/>
        <v>0</v>
      </c>
      <c r="AJ114" s="725">
        <v>0</v>
      </c>
      <c r="AK114" s="726">
        <f t="shared" si="5"/>
        <v>0</v>
      </c>
      <c r="AL114" s="728" t="s">
        <v>1513</v>
      </c>
      <c r="AM114" s="729">
        <f t="shared" si="6"/>
        <v>536.94000000000005</v>
      </c>
    </row>
    <row r="115" spans="1:39" s="730" customFormat="1">
      <c r="A115" s="720" t="s">
        <v>632</v>
      </c>
      <c r="B115" s="720" t="s">
        <v>1185</v>
      </c>
      <c r="C115" s="826"/>
      <c r="D115" s="743"/>
      <c r="E115" s="915"/>
      <c r="F115" s="726"/>
      <c r="G115" s="726"/>
      <c r="H115" s="726"/>
      <c r="I115" s="725"/>
      <c r="J115" s="725"/>
      <c r="K115" s="725"/>
      <c r="L115" s="923"/>
      <c r="M115" s="756"/>
      <c r="N115" s="756"/>
      <c r="O115" s="756"/>
      <c r="P115" s="756"/>
      <c r="Q115" s="756"/>
      <c r="R115" s="756"/>
      <c r="S115" s="923"/>
      <c r="T115" s="756"/>
      <c r="U115" s="756"/>
      <c r="V115" s="756"/>
      <c r="W115" s="756"/>
      <c r="X115" s="756"/>
      <c r="Y115" s="756"/>
      <c r="Z115" s="923"/>
      <c r="AA115" s="756"/>
      <c r="AB115" s="756"/>
      <c r="AC115" s="756"/>
      <c r="AD115" s="756"/>
      <c r="AE115" s="774"/>
      <c r="AF115" s="756"/>
      <c r="AG115" s="897"/>
      <c r="AH115" s="819"/>
      <c r="AI115" s="786">
        <f t="shared" si="7"/>
        <v>0</v>
      </c>
      <c r="AJ115" s="725">
        <v>0</v>
      </c>
      <c r="AK115" s="726">
        <f t="shared" si="5"/>
        <v>0</v>
      </c>
      <c r="AL115" s="728"/>
      <c r="AM115" s="729">
        <f t="shared" si="6"/>
        <v>0</v>
      </c>
    </row>
    <row r="116" spans="1:39" s="730" customFormat="1">
      <c r="A116" s="720" t="s">
        <v>633</v>
      </c>
      <c r="B116" s="720" t="s">
        <v>1186</v>
      </c>
      <c r="C116" s="822" t="s">
        <v>40</v>
      </c>
      <c r="D116" s="743"/>
      <c r="E116" s="915"/>
      <c r="F116" s="726"/>
      <c r="G116" s="726"/>
      <c r="H116" s="726"/>
      <c r="I116" s="725"/>
      <c r="J116" s="725"/>
      <c r="K116" s="725"/>
      <c r="L116" s="923"/>
      <c r="M116" s="756"/>
      <c r="N116" s="756"/>
      <c r="O116" s="756"/>
      <c r="P116" s="756"/>
      <c r="Q116" s="756"/>
      <c r="R116" s="756"/>
      <c r="S116" s="923"/>
      <c r="T116" s="756"/>
      <c r="U116" s="756"/>
      <c r="V116" s="756"/>
      <c r="W116" s="756"/>
      <c r="X116" s="756"/>
      <c r="Y116" s="756"/>
      <c r="Z116" s="923"/>
      <c r="AA116" s="756"/>
      <c r="AB116" s="756"/>
      <c r="AC116" s="756"/>
      <c r="AD116" s="756"/>
      <c r="AE116" s="774"/>
      <c r="AF116" s="756"/>
      <c r="AG116" s="897"/>
      <c r="AH116" s="819"/>
      <c r="AI116" s="786">
        <f t="shared" si="7"/>
        <v>0</v>
      </c>
      <c r="AJ116" s="725">
        <v>0</v>
      </c>
      <c r="AK116" s="726">
        <f t="shared" si="5"/>
        <v>0</v>
      </c>
      <c r="AL116" s="728" t="s">
        <v>1514</v>
      </c>
      <c r="AM116" s="729">
        <f t="shared" si="6"/>
        <v>10.33</v>
      </c>
    </row>
    <row r="117" spans="1:39" s="730" customFormat="1">
      <c r="A117" s="720" t="s">
        <v>634</v>
      </c>
      <c r="B117" s="720" t="s">
        <v>1187</v>
      </c>
      <c r="C117" s="822" t="s">
        <v>37</v>
      </c>
      <c r="D117" s="743"/>
      <c r="E117" s="915"/>
      <c r="F117" s="726"/>
      <c r="G117" s="726"/>
      <c r="H117" s="726"/>
      <c r="I117" s="725"/>
      <c r="J117" s="725"/>
      <c r="K117" s="725"/>
      <c r="L117" s="923"/>
      <c r="M117" s="756"/>
      <c r="N117" s="756"/>
      <c r="O117" s="756"/>
      <c r="P117" s="756"/>
      <c r="Q117" s="756"/>
      <c r="R117" s="756"/>
      <c r="S117" s="923"/>
      <c r="T117" s="756"/>
      <c r="U117" s="756"/>
      <c r="V117" s="756"/>
      <c r="W117" s="884">
        <f>(2.43+2.24+2.24+2.48+2.48+2.19+2.44+2.19+2.48+2.48+2.48+2.48+2.24+2.24)*0.25+2.48*2*0.25+2.28*0.25</f>
        <v>10.082500000000001</v>
      </c>
      <c r="X117" s="884">
        <f>7*2*0.4+8*2.48*0.4</f>
        <v>13.536000000000001</v>
      </c>
      <c r="Y117" s="884">
        <f>7.54*0.4*4+18*0.4*0.2*3</f>
        <v>16.384</v>
      </c>
      <c r="Z117" s="923"/>
      <c r="AA117" s="756"/>
      <c r="AB117" s="756"/>
      <c r="AC117" s="756"/>
      <c r="AD117" s="756"/>
      <c r="AE117" s="774"/>
      <c r="AF117" s="756"/>
      <c r="AG117" s="897"/>
      <c r="AH117" s="819"/>
      <c r="AI117" s="786">
        <f t="shared" si="7"/>
        <v>40</v>
      </c>
      <c r="AJ117" s="725">
        <v>0</v>
      </c>
      <c r="AK117" s="726">
        <f t="shared" si="5"/>
        <v>40</v>
      </c>
      <c r="AL117" s="728" t="s">
        <v>1515</v>
      </c>
      <c r="AM117" s="729">
        <f t="shared" si="6"/>
        <v>76.459999999999994</v>
      </c>
    </row>
    <row r="118" spans="1:39" s="730" customFormat="1">
      <c r="A118" s="720" t="s">
        <v>635</v>
      </c>
      <c r="B118" s="720" t="s">
        <v>1188</v>
      </c>
      <c r="C118" s="822" t="s">
        <v>48</v>
      </c>
      <c r="D118" s="743"/>
      <c r="E118" s="915"/>
      <c r="F118" s="726"/>
      <c r="G118" s="726"/>
      <c r="H118" s="726"/>
      <c r="I118" s="725"/>
      <c r="J118" s="725"/>
      <c r="K118" s="725"/>
      <c r="L118" s="923"/>
      <c r="M118" s="756"/>
      <c r="N118" s="756"/>
      <c r="O118" s="756"/>
      <c r="P118" s="756"/>
      <c r="Q118" s="756"/>
      <c r="R118" s="756"/>
      <c r="S118" s="923"/>
      <c r="T118" s="756"/>
      <c r="U118" s="756"/>
      <c r="V118" s="884">
        <v>1452.85</v>
      </c>
      <c r="W118" s="756"/>
      <c r="X118" s="756"/>
      <c r="Y118" s="756"/>
      <c r="Z118" s="923"/>
      <c r="AA118" s="756"/>
      <c r="AB118" s="756"/>
      <c r="AC118" s="756"/>
      <c r="AD118" s="756"/>
      <c r="AE118" s="774"/>
      <c r="AF118" s="756"/>
      <c r="AG118" s="897"/>
      <c r="AH118" s="819"/>
      <c r="AI118" s="786">
        <f t="shared" si="7"/>
        <v>1452.85</v>
      </c>
      <c r="AJ118" s="725">
        <v>0</v>
      </c>
      <c r="AK118" s="726">
        <f t="shared" si="5"/>
        <v>1452.85</v>
      </c>
      <c r="AL118" s="728" t="s">
        <v>1516</v>
      </c>
      <c r="AM118" s="729">
        <f t="shared" si="6"/>
        <v>0</v>
      </c>
    </row>
    <row r="119" spans="1:39" s="730" customFormat="1">
      <c r="A119" s="720" t="s">
        <v>636</v>
      </c>
      <c r="B119" s="720" t="s">
        <v>1189</v>
      </c>
      <c r="C119" s="822"/>
      <c r="D119" s="743"/>
      <c r="E119" s="915"/>
      <c r="F119" s="726"/>
      <c r="G119" s="726"/>
      <c r="H119" s="726"/>
      <c r="I119" s="725"/>
      <c r="J119" s="725"/>
      <c r="K119" s="725"/>
      <c r="L119" s="923"/>
      <c r="M119" s="756"/>
      <c r="N119" s="756"/>
      <c r="O119" s="756"/>
      <c r="P119" s="756"/>
      <c r="Q119" s="756"/>
      <c r="R119" s="756"/>
      <c r="S119" s="923"/>
      <c r="T119" s="756"/>
      <c r="U119" s="756"/>
      <c r="V119" s="756"/>
      <c r="W119" s="756"/>
      <c r="X119" s="756"/>
      <c r="Y119" s="756"/>
      <c r="Z119" s="923"/>
      <c r="AA119" s="756"/>
      <c r="AB119" s="756"/>
      <c r="AC119" s="756"/>
      <c r="AD119" s="756"/>
      <c r="AE119" s="774"/>
      <c r="AF119" s="756"/>
      <c r="AG119" s="897"/>
      <c r="AH119" s="819"/>
      <c r="AI119" s="786">
        <f t="shared" si="7"/>
        <v>0</v>
      </c>
      <c r="AJ119" s="725">
        <v>0</v>
      </c>
      <c r="AK119" s="726">
        <f t="shared" si="5"/>
        <v>0</v>
      </c>
      <c r="AL119" s="728"/>
      <c r="AM119" s="729">
        <f t="shared" si="6"/>
        <v>0</v>
      </c>
    </row>
    <row r="120" spans="1:39" s="730" customFormat="1" hidden="1">
      <c r="A120" s="720" t="s">
        <v>637</v>
      </c>
      <c r="B120" s="720" t="s">
        <v>1190</v>
      </c>
      <c r="C120" s="822" t="s">
        <v>40</v>
      </c>
      <c r="D120" s="743"/>
      <c r="E120" s="915"/>
      <c r="F120" s="726"/>
      <c r="G120" s="726"/>
      <c r="H120" s="726"/>
      <c r="I120" s="725"/>
      <c r="J120" s="725"/>
      <c r="K120" s="725"/>
      <c r="L120" s="923"/>
      <c r="M120" s="756"/>
      <c r="N120" s="756"/>
      <c r="O120" s="756"/>
      <c r="P120" s="756"/>
      <c r="Q120" s="756"/>
      <c r="R120" s="756"/>
      <c r="S120" s="923"/>
      <c r="T120" s="756"/>
      <c r="U120" s="756"/>
      <c r="V120" s="756"/>
      <c r="W120" s="756"/>
      <c r="X120" s="756"/>
      <c r="Y120" s="756"/>
      <c r="Z120" s="923"/>
      <c r="AA120" s="756"/>
      <c r="AB120" s="756"/>
      <c r="AC120" s="756"/>
      <c r="AD120" s="756"/>
      <c r="AE120" s="774"/>
      <c r="AF120" s="756"/>
      <c r="AG120" s="897"/>
      <c r="AH120" s="819"/>
      <c r="AI120" s="786">
        <f t="shared" si="7"/>
        <v>0</v>
      </c>
      <c r="AJ120" s="725">
        <v>0</v>
      </c>
      <c r="AK120" s="726">
        <f t="shared" si="5"/>
        <v>0</v>
      </c>
      <c r="AL120" s="728" t="s">
        <v>1517</v>
      </c>
      <c r="AM120" s="729">
        <f t="shared" si="6"/>
        <v>8.94</v>
      </c>
    </row>
    <row r="121" spans="1:39" s="730" customFormat="1">
      <c r="A121" s="720" t="s">
        <v>638</v>
      </c>
      <c r="B121" s="720" t="s">
        <v>1191</v>
      </c>
      <c r="C121" s="822" t="s">
        <v>37</v>
      </c>
      <c r="D121" s="743"/>
      <c r="E121" s="915"/>
      <c r="F121" s="726"/>
      <c r="G121" s="726"/>
      <c r="H121" s="726"/>
      <c r="I121" s="725"/>
      <c r="J121" s="725"/>
      <c r="K121" s="725"/>
      <c r="L121" s="923"/>
      <c r="M121" s="756"/>
      <c r="N121" s="756"/>
      <c r="O121" s="756"/>
      <c r="P121" s="756"/>
      <c r="Q121" s="756"/>
      <c r="R121" s="756"/>
      <c r="S121" s="923"/>
      <c r="T121" s="756"/>
      <c r="U121" s="756"/>
      <c r="V121" s="756"/>
      <c r="W121" s="756"/>
      <c r="X121" s="756"/>
      <c r="Y121" s="756"/>
      <c r="Z121" s="923"/>
      <c r="AA121" s="756"/>
      <c r="AB121" s="884">
        <f>(2.55+2.37+2.04+1.85+1.71+1.38+1.06+0.73+0.4)*0.25*3</f>
        <v>10.567499999999999</v>
      </c>
      <c r="AC121" s="884">
        <f>(2.55+2.37+2.04+1.85+1.71+1.38+1.06+0.73+0.4)*0.25*3</f>
        <v>10.567499999999999</v>
      </c>
      <c r="AD121" s="884">
        <f>(2.55+2.37+2.04+1.85+1.71+1.38+1.06+0.73+0.4)*0.25*2</f>
        <v>7.0449999999999999</v>
      </c>
      <c r="AE121" s="884"/>
      <c r="AF121" s="884">
        <f>2.23*0.25*12</f>
        <v>6.6899999999999995</v>
      </c>
      <c r="AG121" s="899"/>
      <c r="AH121" s="884">
        <f>7*0.25*2.19</f>
        <v>3.8325</v>
      </c>
      <c r="AI121" s="786">
        <f t="shared" si="7"/>
        <v>38.700000000000003</v>
      </c>
      <c r="AJ121" s="725">
        <v>0</v>
      </c>
      <c r="AK121" s="726">
        <f t="shared" si="5"/>
        <v>38.700000000000003</v>
      </c>
      <c r="AL121" s="728" t="s">
        <v>1518</v>
      </c>
      <c r="AM121" s="729">
        <f t="shared" si="6"/>
        <v>63.47</v>
      </c>
    </row>
    <row r="122" spans="1:39" s="730" customFormat="1" hidden="1">
      <c r="A122" s="720" t="s">
        <v>639</v>
      </c>
      <c r="B122" s="720" t="s">
        <v>1192</v>
      </c>
      <c r="C122" s="822" t="s">
        <v>48</v>
      </c>
      <c r="D122" s="743"/>
      <c r="E122" s="915"/>
      <c r="F122" s="726"/>
      <c r="G122" s="726"/>
      <c r="H122" s="726"/>
      <c r="I122" s="725"/>
      <c r="J122" s="725"/>
      <c r="K122" s="725"/>
      <c r="L122" s="923"/>
      <c r="M122" s="756"/>
      <c r="N122" s="756"/>
      <c r="O122" s="756"/>
      <c r="P122" s="756"/>
      <c r="Q122" s="756"/>
      <c r="R122" s="756"/>
      <c r="S122" s="923"/>
      <c r="T122" s="756"/>
      <c r="U122" s="756"/>
      <c r="V122" s="756"/>
      <c r="W122" s="756"/>
      <c r="X122" s="756"/>
      <c r="Y122" s="756"/>
      <c r="Z122" s="923"/>
      <c r="AA122" s="756"/>
      <c r="AB122" s="756"/>
      <c r="AC122" s="756"/>
      <c r="AD122" s="756"/>
      <c r="AE122" s="774"/>
      <c r="AF122" s="756"/>
      <c r="AG122" s="897"/>
      <c r="AH122" s="819"/>
      <c r="AI122" s="786">
        <f t="shared" si="7"/>
        <v>0</v>
      </c>
      <c r="AJ122" s="725">
        <v>0</v>
      </c>
      <c r="AK122" s="726">
        <f t="shared" si="5"/>
        <v>0</v>
      </c>
      <c r="AL122" s="728" t="s">
        <v>1519</v>
      </c>
      <c r="AM122" s="729">
        <f t="shared" si="6"/>
        <v>1062.45</v>
      </c>
    </row>
    <row r="123" spans="1:39" s="730" customFormat="1" hidden="1">
      <c r="A123" s="720" t="s">
        <v>640</v>
      </c>
      <c r="B123" s="720" t="s">
        <v>1193</v>
      </c>
      <c r="C123" s="822" t="s">
        <v>1450</v>
      </c>
      <c r="D123" s="743"/>
      <c r="E123" s="915"/>
      <c r="F123" s="726"/>
      <c r="G123" s="726"/>
      <c r="H123" s="726"/>
      <c r="I123" s="725"/>
      <c r="J123" s="725"/>
      <c r="K123" s="725"/>
      <c r="L123" s="923"/>
      <c r="M123" s="756"/>
      <c r="N123" s="756"/>
      <c r="O123" s="756"/>
      <c r="P123" s="756"/>
      <c r="Q123" s="756"/>
      <c r="R123" s="756"/>
      <c r="S123" s="923"/>
      <c r="T123" s="756"/>
      <c r="U123" s="756"/>
      <c r="V123" s="756"/>
      <c r="W123" s="756"/>
      <c r="X123" s="756"/>
      <c r="Y123" s="756"/>
      <c r="Z123" s="923"/>
      <c r="AA123" s="756"/>
      <c r="AB123" s="756"/>
      <c r="AC123" s="756"/>
      <c r="AD123" s="756"/>
      <c r="AE123" s="774"/>
      <c r="AF123" s="756"/>
      <c r="AG123" s="897"/>
      <c r="AH123" s="819"/>
      <c r="AI123" s="786">
        <f t="shared" si="7"/>
        <v>0</v>
      </c>
      <c r="AJ123" s="725">
        <v>0</v>
      </c>
      <c r="AK123" s="726">
        <f t="shared" si="5"/>
        <v>0</v>
      </c>
      <c r="AL123" s="728" t="s">
        <v>1520</v>
      </c>
      <c r="AM123" s="729">
        <f t="shared" si="6"/>
        <v>851.11</v>
      </c>
    </row>
    <row r="124" spans="1:39" s="730" customFormat="1" hidden="1">
      <c r="A124" s="720" t="s">
        <v>641</v>
      </c>
      <c r="B124" s="720" t="s">
        <v>1194</v>
      </c>
      <c r="C124" s="826"/>
      <c r="D124" s="743"/>
      <c r="E124" s="915"/>
      <c r="F124" s="726"/>
      <c r="G124" s="726"/>
      <c r="H124" s="726"/>
      <c r="I124" s="725"/>
      <c r="J124" s="725"/>
      <c r="K124" s="725"/>
      <c r="L124" s="923"/>
      <c r="M124" s="756"/>
      <c r="N124" s="756"/>
      <c r="O124" s="756"/>
      <c r="P124" s="756"/>
      <c r="Q124" s="756"/>
      <c r="R124" s="756"/>
      <c r="S124" s="923"/>
      <c r="T124" s="756"/>
      <c r="U124" s="756"/>
      <c r="V124" s="756"/>
      <c r="W124" s="756"/>
      <c r="X124" s="756"/>
      <c r="Y124" s="756"/>
      <c r="Z124" s="923"/>
      <c r="AA124" s="756"/>
      <c r="AB124" s="756"/>
      <c r="AC124" s="756"/>
      <c r="AD124" s="756"/>
      <c r="AE124" s="774"/>
      <c r="AF124" s="756"/>
      <c r="AG124" s="897"/>
      <c r="AH124" s="819"/>
      <c r="AI124" s="786">
        <f t="shared" si="7"/>
        <v>0</v>
      </c>
      <c r="AJ124" s="725">
        <v>0</v>
      </c>
      <c r="AK124" s="726">
        <f t="shared" si="5"/>
        <v>0</v>
      </c>
      <c r="AL124" s="728"/>
      <c r="AM124" s="729">
        <f t="shared" si="6"/>
        <v>0</v>
      </c>
    </row>
    <row r="125" spans="1:39" s="730" customFormat="1" hidden="1">
      <c r="A125" s="720" t="s">
        <v>642</v>
      </c>
      <c r="B125" s="720" t="s">
        <v>1195</v>
      </c>
      <c r="C125" s="822" t="s">
        <v>40</v>
      </c>
      <c r="D125" s="743"/>
      <c r="E125" s="915"/>
      <c r="F125" s="726"/>
      <c r="G125" s="726"/>
      <c r="H125" s="726"/>
      <c r="I125" s="725"/>
      <c r="J125" s="725"/>
      <c r="K125" s="725"/>
      <c r="L125" s="923"/>
      <c r="M125" s="756"/>
      <c r="N125" s="756"/>
      <c r="O125" s="756"/>
      <c r="P125" s="756"/>
      <c r="Q125" s="756"/>
      <c r="R125" s="756"/>
      <c r="S125" s="923"/>
      <c r="T125" s="756"/>
      <c r="U125" s="756"/>
      <c r="V125" s="756"/>
      <c r="W125" s="756"/>
      <c r="X125" s="756"/>
      <c r="Y125" s="756"/>
      <c r="Z125" s="923"/>
      <c r="AA125" s="756"/>
      <c r="AB125" s="756"/>
      <c r="AC125" s="756"/>
      <c r="AD125" s="756"/>
      <c r="AE125" s="774"/>
      <c r="AF125" s="756"/>
      <c r="AG125" s="897"/>
      <c r="AH125" s="819"/>
      <c r="AI125" s="786">
        <f t="shared" si="7"/>
        <v>0</v>
      </c>
      <c r="AJ125" s="725">
        <v>0</v>
      </c>
      <c r="AK125" s="726">
        <f t="shared" si="5"/>
        <v>0</v>
      </c>
      <c r="AL125" s="728" t="s">
        <v>1521</v>
      </c>
      <c r="AM125" s="729">
        <f t="shared" si="6"/>
        <v>2.66</v>
      </c>
    </row>
    <row r="126" spans="1:39" s="730" customFormat="1" hidden="1">
      <c r="A126" s="720" t="s">
        <v>643</v>
      </c>
      <c r="B126" s="720" t="s">
        <v>1196</v>
      </c>
      <c r="C126" s="822" t="s">
        <v>37</v>
      </c>
      <c r="D126" s="743"/>
      <c r="E126" s="915"/>
      <c r="F126" s="726"/>
      <c r="G126" s="726"/>
      <c r="H126" s="726"/>
      <c r="I126" s="725"/>
      <c r="J126" s="725"/>
      <c r="K126" s="725"/>
      <c r="L126" s="923"/>
      <c r="M126" s="756"/>
      <c r="N126" s="756"/>
      <c r="O126" s="756"/>
      <c r="P126" s="756"/>
      <c r="Q126" s="756"/>
      <c r="R126" s="756"/>
      <c r="S126" s="923"/>
      <c r="T126" s="756"/>
      <c r="U126" s="756"/>
      <c r="V126" s="756"/>
      <c r="W126" s="756"/>
      <c r="X126" s="756"/>
      <c r="Y126" s="756"/>
      <c r="Z126" s="923"/>
      <c r="AA126" s="756"/>
      <c r="AB126" s="756"/>
      <c r="AC126" s="756"/>
      <c r="AD126" s="756"/>
      <c r="AE126" s="774"/>
      <c r="AF126" s="756"/>
      <c r="AG126" s="897"/>
      <c r="AH126" s="819"/>
      <c r="AI126" s="786">
        <f t="shared" si="7"/>
        <v>0</v>
      </c>
      <c r="AJ126" s="725">
        <v>0</v>
      </c>
      <c r="AK126" s="726">
        <f t="shared" si="5"/>
        <v>0</v>
      </c>
      <c r="AL126" s="728" t="s">
        <v>1512</v>
      </c>
      <c r="AM126" s="729">
        <f t="shared" si="6"/>
        <v>35.44</v>
      </c>
    </row>
    <row r="127" spans="1:39" s="730" customFormat="1" hidden="1">
      <c r="A127" s="720" t="s">
        <v>644</v>
      </c>
      <c r="B127" s="720" t="s">
        <v>1197</v>
      </c>
      <c r="C127" s="822" t="s">
        <v>48</v>
      </c>
      <c r="D127" s="743"/>
      <c r="E127" s="915"/>
      <c r="F127" s="726"/>
      <c r="G127" s="726"/>
      <c r="H127" s="726"/>
      <c r="I127" s="725"/>
      <c r="J127" s="725"/>
      <c r="K127" s="725"/>
      <c r="L127" s="923"/>
      <c r="M127" s="756"/>
      <c r="N127" s="756"/>
      <c r="O127" s="756"/>
      <c r="P127" s="756"/>
      <c r="Q127" s="756"/>
      <c r="R127" s="756"/>
      <c r="S127" s="923"/>
      <c r="T127" s="756"/>
      <c r="U127" s="756"/>
      <c r="V127" s="756"/>
      <c r="W127" s="756"/>
      <c r="X127" s="756"/>
      <c r="Y127" s="756"/>
      <c r="Z127" s="923"/>
      <c r="AA127" s="756"/>
      <c r="AB127" s="756"/>
      <c r="AC127" s="756"/>
      <c r="AD127" s="756"/>
      <c r="AE127" s="774"/>
      <c r="AF127" s="756"/>
      <c r="AG127" s="897"/>
      <c r="AH127" s="819"/>
      <c r="AI127" s="786">
        <f t="shared" si="7"/>
        <v>0</v>
      </c>
      <c r="AJ127" s="725">
        <v>0</v>
      </c>
      <c r="AK127" s="726">
        <f t="shared" si="5"/>
        <v>0</v>
      </c>
      <c r="AL127" s="728" t="s">
        <v>1522</v>
      </c>
      <c r="AM127" s="729">
        <f t="shared" si="6"/>
        <v>179.59</v>
      </c>
    </row>
    <row r="128" spans="1:39" s="730" customFormat="1" hidden="1">
      <c r="A128" s="831" t="s">
        <v>645</v>
      </c>
      <c r="B128" s="831" t="s">
        <v>1198</v>
      </c>
      <c r="C128" s="826"/>
      <c r="D128" s="743"/>
      <c r="E128" s="915"/>
      <c r="F128" s="726"/>
      <c r="G128" s="726"/>
      <c r="H128" s="726"/>
      <c r="I128" s="725"/>
      <c r="J128" s="725"/>
      <c r="K128" s="725"/>
      <c r="L128" s="923"/>
      <c r="M128" s="756"/>
      <c r="N128" s="756"/>
      <c r="O128" s="756"/>
      <c r="P128" s="756"/>
      <c r="Q128" s="756"/>
      <c r="R128" s="756"/>
      <c r="S128" s="923"/>
      <c r="T128" s="756"/>
      <c r="U128" s="756"/>
      <c r="V128" s="756"/>
      <c r="W128" s="756"/>
      <c r="X128" s="756"/>
      <c r="Y128" s="756"/>
      <c r="Z128" s="923"/>
      <c r="AA128" s="756"/>
      <c r="AB128" s="756"/>
      <c r="AC128" s="756"/>
      <c r="AD128" s="756"/>
      <c r="AE128" s="774"/>
      <c r="AF128" s="756"/>
      <c r="AG128" s="897"/>
      <c r="AH128" s="819"/>
      <c r="AI128" s="786">
        <f t="shared" si="7"/>
        <v>0</v>
      </c>
      <c r="AJ128" s="725">
        <v>0</v>
      </c>
      <c r="AK128" s="726">
        <f t="shared" si="5"/>
        <v>0</v>
      </c>
      <c r="AL128" s="728"/>
      <c r="AM128" s="729">
        <f t="shared" si="6"/>
        <v>0</v>
      </c>
    </row>
    <row r="129" spans="1:39" s="730" customFormat="1" hidden="1">
      <c r="A129" s="720" t="s">
        <v>646</v>
      </c>
      <c r="B129" s="720" t="s">
        <v>1199</v>
      </c>
      <c r="C129" s="822" t="s">
        <v>38</v>
      </c>
      <c r="D129" s="743"/>
      <c r="E129" s="915"/>
      <c r="F129" s="726"/>
      <c r="G129" s="726"/>
      <c r="H129" s="726"/>
      <c r="I129" s="725"/>
      <c r="J129" s="725"/>
      <c r="K129" s="725"/>
      <c r="L129" s="923"/>
      <c r="M129" s="756"/>
      <c r="N129" s="756"/>
      <c r="O129" s="756"/>
      <c r="P129" s="756"/>
      <c r="Q129" s="756"/>
      <c r="R129" s="756"/>
      <c r="S129" s="923"/>
      <c r="T129" s="756"/>
      <c r="U129" s="756"/>
      <c r="V129" s="756"/>
      <c r="W129" s="756"/>
      <c r="X129" s="756"/>
      <c r="Y129" s="756"/>
      <c r="Z129" s="923"/>
      <c r="AA129" s="756"/>
      <c r="AB129" s="756"/>
      <c r="AC129" s="756"/>
      <c r="AD129" s="756"/>
      <c r="AE129" s="774"/>
      <c r="AF129" s="756"/>
      <c r="AG129" s="897"/>
      <c r="AH129" s="819"/>
      <c r="AI129" s="786">
        <f t="shared" si="7"/>
        <v>0</v>
      </c>
      <c r="AJ129" s="725">
        <v>0</v>
      </c>
      <c r="AK129" s="726">
        <f t="shared" si="5"/>
        <v>0</v>
      </c>
      <c r="AL129" s="728" t="s">
        <v>1523</v>
      </c>
      <c r="AM129" s="729">
        <f t="shared" si="6"/>
        <v>158.4</v>
      </c>
    </row>
    <row r="130" spans="1:39" s="733" customFormat="1">
      <c r="A130" s="831" t="s">
        <v>647</v>
      </c>
      <c r="B130" s="831" t="s">
        <v>1200</v>
      </c>
      <c r="C130" s="844"/>
      <c r="D130" s="827"/>
      <c r="E130" s="916"/>
      <c r="F130" s="731"/>
      <c r="G130" s="731"/>
      <c r="H130" s="731"/>
      <c r="I130" s="727"/>
      <c r="J130" s="727"/>
      <c r="K130" s="727"/>
      <c r="L130" s="923"/>
      <c r="M130" s="756"/>
      <c r="N130" s="756"/>
      <c r="O130" s="756"/>
      <c r="P130" s="756"/>
      <c r="Q130" s="756"/>
      <c r="R130" s="756"/>
      <c r="S130" s="923"/>
      <c r="T130" s="756"/>
      <c r="U130" s="756"/>
      <c r="V130" s="756"/>
      <c r="W130" s="756"/>
      <c r="X130" s="756"/>
      <c r="Y130" s="756"/>
      <c r="Z130" s="923"/>
      <c r="AA130" s="756"/>
      <c r="AB130" s="756"/>
      <c r="AC130" s="756"/>
      <c r="AD130" s="756"/>
      <c r="AE130" s="774"/>
      <c r="AF130" s="756"/>
      <c r="AG130" s="897"/>
      <c r="AH130" s="819"/>
      <c r="AI130" s="786">
        <f t="shared" si="7"/>
        <v>0</v>
      </c>
      <c r="AJ130" s="725">
        <v>0</v>
      </c>
      <c r="AK130" s="726">
        <f t="shared" si="5"/>
        <v>0</v>
      </c>
      <c r="AL130" s="732"/>
      <c r="AM130" s="729">
        <f t="shared" si="6"/>
        <v>0</v>
      </c>
    </row>
    <row r="131" spans="1:39" s="733" customFormat="1" hidden="1">
      <c r="A131" s="720" t="s">
        <v>648</v>
      </c>
      <c r="B131" s="720" t="s">
        <v>1201</v>
      </c>
      <c r="C131" s="822" t="s">
        <v>38</v>
      </c>
      <c r="D131" s="827"/>
      <c r="E131" s="916"/>
      <c r="F131" s="731"/>
      <c r="G131" s="731"/>
      <c r="H131" s="731"/>
      <c r="I131" s="727"/>
      <c r="J131" s="727"/>
      <c r="K131" s="727"/>
      <c r="L131" s="923"/>
      <c r="M131" s="756"/>
      <c r="N131" s="756"/>
      <c r="O131" s="756"/>
      <c r="P131" s="756"/>
      <c r="Q131" s="756"/>
      <c r="R131" s="756"/>
      <c r="S131" s="923"/>
      <c r="T131" s="756"/>
      <c r="U131" s="756"/>
      <c r="V131" s="756"/>
      <c r="W131" s="756"/>
      <c r="X131" s="756"/>
      <c r="Y131" s="756"/>
      <c r="Z131" s="923"/>
      <c r="AA131" s="756"/>
      <c r="AB131" s="756"/>
      <c r="AC131" s="756"/>
      <c r="AD131" s="756"/>
      <c r="AE131" s="774"/>
      <c r="AF131" s="756"/>
      <c r="AG131" s="897"/>
      <c r="AH131" s="819"/>
      <c r="AI131" s="786">
        <f t="shared" si="7"/>
        <v>0</v>
      </c>
      <c r="AJ131" s="725">
        <v>0</v>
      </c>
      <c r="AK131" s="726">
        <f t="shared" si="5"/>
        <v>0</v>
      </c>
      <c r="AL131" s="732" t="s">
        <v>1524</v>
      </c>
      <c r="AM131" s="729">
        <f t="shared" si="6"/>
        <v>83.2</v>
      </c>
    </row>
    <row r="132" spans="1:39" s="730" customFormat="1">
      <c r="A132" s="720" t="s">
        <v>649</v>
      </c>
      <c r="B132" s="720" t="s">
        <v>225</v>
      </c>
      <c r="C132" s="822" t="s">
        <v>1450</v>
      </c>
      <c r="D132" s="743"/>
      <c r="E132" s="915"/>
      <c r="F132" s="726"/>
      <c r="G132" s="726"/>
      <c r="H132" s="726"/>
      <c r="I132" s="725"/>
      <c r="J132" s="725"/>
      <c r="K132" s="725"/>
      <c r="L132" s="923"/>
      <c r="M132" s="756"/>
      <c r="N132" s="756"/>
      <c r="O132" s="756"/>
      <c r="P132" s="756"/>
      <c r="Q132" s="756"/>
      <c r="R132" s="756"/>
      <c r="S132" s="923"/>
      <c r="T132" s="756"/>
      <c r="U132" s="756"/>
      <c r="V132" s="756"/>
      <c r="W132" s="756"/>
      <c r="X132" s="756"/>
      <c r="Y132" s="756"/>
      <c r="Z132" s="923"/>
      <c r="AA132" s="756"/>
      <c r="AB132" s="756"/>
      <c r="AC132" s="756"/>
      <c r="AD132" s="756"/>
      <c r="AE132" s="774"/>
      <c r="AF132" s="756"/>
      <c r="AG132" s="897"/>
      <c r="AH132" s="909">
        <v>5</v>
      </c>
      <c r="AI132" s="786">
        <f t="shared" si="7"/>
        <v>5</v>
      </c>
      <c r="AJ132" s="725">
        <v>0</v>
      </c>
      <c r="AK132" s="726">
        <f t="shared" si="5"/>
        <v>5</v>
      </c>
      <c r="AL132" s="728" t="s">
        <v>1493</v>
      </c>
      <c r="AM132" s="729">
        <f t="shared" si="6"/>
        <v>10</v>
      </c>
    </row>
    <row r="133" spans="1:39" s="730" customFormat="1">
      <c r="A133" s="814" t="s">
        <v>52</v>
      </c>
      <c r="B133" s="815" t="s">
        <v>1209</v>
      </c>
      <c r="C133" s="826"/>
      <c r="D133" s="743"/>
      <c r="E133" s="915"/>
      <c r="F133" s="726"/>
      <c r="G133" s="726"/>
      <c r="H133" s="726"/>
      <c r="I133" s="725"/>
      <c r="J133" s="725"/>
      <c r="K133" s="725"/>
      <c r="L133" s="923"/>
      <c r="M133" s="756"/>
      <c r="N133" s="756"/>
      <c r="O133" s="756"/>
      <c r="P133" s="756"/>
      <c r="Q133" s="756"/>
      <c r="R133" s="756"/>
      <c r="S133" s="923"/>
      <c r="T133" s="756"/>
      <c r="U133" s="756"/>
      <c r="V133" s="756"/>
      <c r="W133" s="756"/>
      <c r="X133" s="756"/>
      <c r="Y133" s="756"/>
      <c r="Z133" s="923"/>
      <c r="AA133" s="756"/>
      <c r="AB133" s="756"/>
      <c r="AC133" s="756"/>
      <c r="AD133" s="756"/>
      <c r="AE133" s="774"/>
      <c r="AF133" s="756"/>
      <c r="AG133" s="897"/>
      <c r="AH133" s="819"/>
      <c r="AI133" s="786">
        <f t="shared" si="7"/>
        <v>0</v>
      </c>
      <c r="AJ133" s="725">
        <v>0</v>
      </c>
      <c r="AK133" s="726">
        <f t="shared" si="5"/>
        <v>0</v>
      </c>
      <c r="AL133" s="728"/>
      <c r="AM133" s="729">
        <f t="shared" si="6"/>
        <v>0</v>
      </c>
    </row>
    <row r="134" spans="1:39" s="730" customFormat="1">
      <c r="A134" s="831" t="s">
        <v>56</v>
      </c>
      <c r="B134" s="831" t="s">
        <v>46</v>
      </c>
      <c r="C134" s="844"/>
      <c r="D134" s="743"/>
      <c r="E134" s="915"/>
      <c r="F134" s="726"/>
      <c r="G134" s="726"/>
      <c r="H134" s="726"/>
      <c r="I134" s="725"/>
      <c r="J134" s="725"/>
      <c r="K134" s="725"/>
      <c r="L134" s="925"/>
      <c r="M134" s="745"/>
      <c r="N134" s="745"/>
      <c r="O134" s="745"/>
      <c r="P134" s="745"/>
      <c r="Q134" s="745"/>
      <c r="R134" s="745"/>
      <c r="S134" s="925"/>
      <c r="T134" s="745"/>
      <c r="U134" s="745"/>
      <c r="V134" s="745"/>
      <c r="W134" s="745"/>
      <c r="X134" s="745"/>
      <c r="Y134" s="745"/>
      <c r="Z134" s="925"/>
      <c r="AA134" s="745"/>
      <c r="AB134" s="745"/>
      <c r="AC134" s="745"/>
      <c r="AD134" s="745"/>
      <c r="AE134" s="774"/>
      <c r="AF134" s="745"/>
      <c r="AG134" s="899"/>
      <c r="AH134" s="845"/>
      <c r="AI134" s="786">
        <f t="shared" si="7"/>
        <v>0</v>
      </c>
      <c r="AJ134" s="725">
        <v>0</v>
      </c>
      <c r="AK134" s="726">
        <f t="shared" si="5"/>
        <v>0</v>
      </c>
      <c r="AL134" s="728"/>
      <c r="AM134" s="729">
        <f t="shared" si="6"/>
        <v>0</v>
      </c>
    </row>
    <row r="135" spans="1:39" s="500" customFormat="1" hidden="1">
      <c r="A135" s="539" t="s">
        <v>650</v>
      </c>
      <c r="B135" s="539" t="s">
        <v>1156</v>
      </c>
      <c r="C135" s="548" t="s">
        <v>40</v>
      </c>
      <c r="D135" s="519"/>
      <c r="E135" s="915"/>
      <c r="F135" s="520"/>
      <c r="G135" s="520"/>
      <c r="H135" s="520"/>
      <c r="I135" s="521"/>
      <c r="J135" s="521"/>
      <c r="K135" s="521"/>
      <c r="L135" s="925"/>
      <c r="M135" s="522"/>
      <c r="N135" s="522"/>
      <c r="O135" s="522"/>
      <c r="P135" s="522"/>
      <c r="Q135" s="522"/>
      <c r="R135" s="522"/>
      <c r="S135" s="925"/>
      <c r="T135" s="522"/>
      <c r="U135" s="522"/>
      <c r="V135" s="522"/>
      <c r="W135" s="522"/>
      <c r="X135" s="522"/>
      <c r="Y135" s="522"/>
      <c r="Z135" s="925"/>
      <c r="AA135" s="522"/>
      <c r="AB135" s="522"/>
      <c r="AC135" s="522"/>
      <c r="AD135" s="522"/>
      <c r="AE135" s="774"/>
      <c r="AF135" s="522"/>
      <c r="AG135" s="899"/>
      <c r="AH135" s="790"/>
      <c r="AI135" s="786">
        <f t="shared" si="7"/>
        <v>0</v>
      </c>
      <c r="AJ135" s="521">
        <v>0</v>
      </c>
      <c r="AK135" s="520">
        <f t="shared" si="5"/>
        <v>0</v>
      </c>
      <c r="AL135" s="672" t="s">
        <v>1525</v>
      </c>
      <c r="AM135" s="669">
        <f t="shared" si="6"/>
        <v>28.51</v>
      </c>
    </row>
    <row r="136" spans="1:39" s="518" customFormat="1" hidden="1">
      <c r="A136" s="539" t="s">
        <v>651</v>
      </c>
      <c r="B136" s="539" t="s">
        <v>1157</v>
      </c>
      <c r="C136" s="548" t="s">
        <v>40</v>
      </c>
      <c r="D136" s="525"/>
      <c r="E136" s="916"/>
      <c r="F136" s="526"/>
      <c r="G136" s="526"/>
      <c r="H136" s="526"/>
      <c r="I136" s="527"/>
      <c r="J136" s="527"/>
      <c r="K136" s="527"/>
      <c r="L136" s="925"/>
      <c r="M136" s="522"/>
      <c r="N136" s="522"/>
      <c r="O136" s="522"/>
      <c r="P136" s="522"/>
      <c r="Q136" s="522"/>
      <c r="R136" s="522"/>
      <c r="S136" s="925"/>
      <c r="T136" s="522"/>
      <c r="U136" s="522"/>
      <c r="V136" s="522"/>
      <c r="W136" s="522"/>
      <c r="X136" s="522"/>
      <c r="Y136" s="522"/>
      <c r="Z136" s="925"/>
      <c r="AA136" s="522"/>
      <c r="AB136" s="522"/>
      <c r="AC136" s="522"/>
      <c r="AD136" s="522"/>
      <c r="AE136" s="774"/>
      <c r="AF136" s="522"/>
      <c r="AG136" s="899"/>
      <c r="AH136" s="790"/>
      <c r="AI136" s="786">
        <f t="shared" si="7"/>
        <v>0</v>
      </c>
      <c r="AJ136" s="521">
        <v>0</v>
      </c>
      <c r="AK136" s="520">
        <f t="shared" si="5"/>
        <v>0</v>
      </c>
      <c r="AL136" s="673" t="s">
        <v>1526</v>
      </c>
      <c r="AM136" s="669">
        <f t="shared" si="6"/>
        <v>19.8</v>
      </c>
    </row>
    <row r="137" spans="1:39" s="730" customFormat="1">
      <c r="A137" s="720" t="s">
        <v>652</v>
      </c>
      <c r="B137" s="720" t="s">
        <v>1158</v>
      </c>
      <c r="C137" s="823" t="s">
        <v>40</v>
      </c>
      <c r="D137" s="743"/>
      <c r="E137" s="915"/>
      <c r="F137" s="726"/>
      <c r="G137" s="726"/>
      <c r="H137" s="864">
        <f>(6.78*8.285+2.485*1.4995+1.5403*2.4848+2.485*3.3402)*0.5</f>
        <v>36.013145970000004</v>
      </c>
      <c r="I137" s="725"/>
      <c r="J137" s="725"/>
      <c r="K137" s="725"/>
      <c r="L137" s="925"/>
      <c r="M137" s="745"/>
      <c r="N137" s="745"/>
      <c r="O137" s="745"/>
      <c r="P137" s="745"/>
      <c r="Q137" s="745"/>
      <c r="R137" s="745"/>
      <c r="S137" s="925"/>
      <c r="T137" s="745"/>
      <c r="U137" s="745"/>
      <c r="V137" s="745"/>
      <c r="W137" s="745"/>
      <c r="X137" s="745"/>
      <c r="Y137" s="745"/>
      <c r="Z137" s="925"/>
      <c r="AA137" s="745"/>
      <c r="AB137" s="745"/>
      <c r="AC137" s="745"/>
      <c r="AD137" s="745"/>
      <c r="AE137" s="774"/>
      <c r="AF137" s="745"/>
      <c r="AG137" s="899"/>
      <c r="AH137" s="845"/>
      <c r="AI137" s="786">
        <f t="shared" si="7"/>
        <v>36.01</v>
      </c>
      <c r="AJ137" s="725">
        <v>0</v>
      </c>
      <c r="AK137" s="726">
        <f t="shared" si="5"/>
        <v>36.01</v>
      </c>
      <c r="AL137" s="728" t="s">
        <v>1527</v>
      </c>
      <c r="AM137" s="729">
        <f t="shared" si="6"/>
        <v>-1.4499999999999957</v>
      </c>
    </row>
    <row r="138" spans="1:39" s="730" customFormat="1">
      <c r="A138" s="720" t="s">
        <v>653</v>
      </c>
      <c r="B138" s="720" t="s">
        <v>1159</v>
      </c>
      <c r="C138" s="823" t="s">
        <v>37</v>
      </c>
      <c r="D138" s="743"/>
      <c r="E138" s="915"/>
      <c r="F138" s="726"/>
      <c r="G138" s="726"/>
      <c r="H138" s="864">
        <f>(6.78*8.285+2.485*1.4995+1.5403*2.4848+2.485*3.3402)</f>
        <v>72.026291940000007</v>
      </c>
      <c r="I138" s="725"/>
      <c r="J138" s="725"/>
      <c r="K138" s="725"/>
      <c r="L138" s="925"/>
      <c r="M138" s="745"/>
      <c r="N138" s="745"/>
      <c r="O138" s="745"/>
      <c r="P138" s="745"/>
      <c r="Q138" s="745"/>
      <c r="R138" s="745"/>
      <c r="S138" s="925"/>
      <c r="T138" s="745"/>
      <c r="U138" s="745"/>
      <c r="V138" s="745"/>
      <c r="W138" s="745"/>
      <c r="X138" s="745"/>
      <c r="Y138" s="745"/>
      <c r="Z138" s="925"/>
      <c r="AA138" s="745"/>
      <c r="AB138" s="745"/>
      <c r="AC138" s="745"/>
      <c r="AD138" s="745"/>
      <c r="AE138" s="774"/>
      <c r="AF138" s="745"/>
      <c r="AG138" s="899"/>
      <c r="AH138" s="845"/>
      <c r="AI138" s="786">
        <f t="shared" si="7"/>
        <v>72.03</v>
      </c>
      <c r="AJ138" s="725">
        <v>0</v>
      </c>
      <c r="AK138" s="726">
        <f t="shared" si="5"/>
        <v>72.03</v>
      </c>
      <c r="AL138" s="728" t="s">
        <v>1528</v>
      </c>
      <c r="AM138" s="729">
        <f t="shared" si="6"/>
        <v>0.29999999999999716</v>
      </c>
    </row>
    <row r="139" spans="1:39" s="730" customFormat="1">
      <c r="A139" s="720" t="s">
        <v>654</v>
      </c>
      <c r="B139" s="720" t="s">
        <v>1160</v>
      </c>
      <c r="C139" s="823" t="s">
        <v>40</v>
      </c>
      <c r="D139" s="743"/>
      <c r="E139" s="915"/>
      <c r="F139" s="726"/>
      <c r="G139" s="726"/>
      <c r="H139" s="864">
        <f>(7.28*11.52*1.3)-(36.01*1.3)</f>
        <v>62.212280000000007</v>
      </c>
      <c r="I139" s="725"/>
      <c r="J139" s="725"/>
      <c r="K139" s="725"/>
      <c r="L139" s="923"/>
      <c r="M139" s="756"/>
      <c r="N139" s="756"/>
      <c r="O139" s="756"/>
      <c r="P139" s="756"/>
      <c r="Q139" s="756"/>
      <c r="R139" s="756"/>
      <c r="S139" s="923"/>
      <c r="T139" s="756"/>
      <c r="U139" s="756"/>
      <c r="V139" s="756"/>
      <c r="W139" s="756"/>
      <c r="X139" s="756"/>
      <c r="Y139" s="756"/>
      <c r="Z139" s="923"/>
      <c r="AA139" s="756"/>
      <c r="AB139" s="756"/>
      <c r="AC139" s="756"/>
      <c r="AD139" s="756"/>
      <c r="AE139" s="774"/>
      <c r="AF139" s="756"/>
      <c r="AG139" s="897"/>
      <c r="AH139" s="819"/>
      <c r="AI139" s="786">
        <f t="shared" si="7"/>
        <v>62.21</v>
      </c>
      <c r="AJ139" s="725">
        <v>0</v>
      </c>
      <c r="AK139" s="726">
        <f t="shared" si="5"/>
        <v>62.21</v>
      </c>
      <c r="AL139" s="728" t="s">
        <v>1529</v>
      </c>
      <c r="AM139" s="729">
        <f t="shared" si="6"/>
        <v>-45.019999999999996</v>
      </c>
    </row>
    <row r="140" spans="1:39" s="843" customFormat="1" hidden="1">
      <c r="A140" s="832" t="s">
        <v>655</v>
      </c>
      <c r="B140" s="832" t="s">
        <v>1161</v>
      </c>
      <c r="C140" s="846" t="s">
        <v>40</v>
      </c>
      <c r="D140" s="834"/>
      <c r="E140" s="915"/>
      <c r="F140" s="835"/>
      <c r="G140" s="835"/>
      <c r="H140" s="835"/>
      <c r="I140" s="836"/>
      <c r="J140" s="836"/>
      <c r="K140" s="836"/>
      <c r="L140" s="923"/>
      <c r="M140" s="837"/>
      <c r="N140" s="837"/>
      <c r="O140" s="837"/>
      <c r="P140" s="837"/>
      <c r="Q140" s="837"/>
      <c r="R140" s="837"/>
      <c r="S140" s="923"/>
      <c r="T140" s="837"/>
      <c r="U140" s="837"/>
      <c r="V140" s="837"/>
      <c r="W140" s="837"/>
      <c r="X140" s="837"/>
      <c r="Y140" s="837"/>
      <c r="Z140" s="923"/>
      <c r="AA140" s="837"/>
      <c r="AB140" s="837"/>
      <c r="AC140" s="837"/>
      <c r="AD140" s="837"/>
      <c r="AE140" s="774"/>
      <c r="AF140" s="837"/>
      <c r="AG140" s="897"/>
      <c r="AH140" s="839"/>
      <c r="AI140" s="786">
        <f t="shared" si="7"/>
        <v>0</v>
      </c>
      <c r="AJ140" s="836">
        <v>0</v>
      </c>
      <c r="AK140" s="835">
        <f t="shared" si="5"/>
        <v>0</v>
      </c>
      <c r="AL140" s="841" t="s">
        <v>1529</v>
      </c>
      <c r="AM140" s="842">
        <f t="shared" si="6"/>
        <v>17.190000000000001</v>
      </c>
    </row>
    <row r="141" spans="1:39" s="733" customFormat="1" hidden="1">
      <c r="A141" s="831" t="s">
        <v>57</v>
      </c>
      <c r="B141" s="831" t="s">
        <v>1162</v>
      </c>
      <c r="C141" s="844"/>
      <c r="D141" s="827"/>
      <c r="E141" s="916"/>
      <c r="F141" s="731"/>
      <c r="G141" s="731"/>
      <c r="H141" s="731"/>
      <c r="I141" s="727"/>
      <c r="J141" s="727"/>
      <c r="K141" s="727"/>
      <c r="L141" s="923"/>
      <c r="M141" s="756"/>
      <c r="N141" s="756"/>
      <c r="O141" s="756"/>
      <c r="P141" s="756"/>
      <c r="Q141" s="756"/>
      <c r="R141" s="756"/>
      <c r="S141" s="923"/>
      <c r="T141" s="756"/>
      <c r="U141" s="756"/>
      <c r="V141" s="756"/>
      <c r="W141" s="756"/>
      <c r="X141" s="756"/>
      <c r="Y141" s="756"/>
      <c r="Z141" s="923"/>
      <c r="AA141" s="756"/>
      <c r="AB141" s="756"/>
      <c r="AC141" s="756"/>
      <c r="AD141" s="797"/>
      <c r="AE141" s="774"/>
      <c r="AF141" s="756"/>
      <c r="AG141" s="897"/>
      <c r="AH141" s="819"/>
      <c r="AI141" s="786">
        <f t="shared" si="7"/>
        <v>0</v>
      </c>
      <c r="AJ141" s="725">
        <v>0</v>
      </c>
      <c r="AK141" s="726">
        <f t="shared" si="5"/>
        <v>0</v>
      </c>
      <c r="AL141" s="732"/>
      <c r="AM141" s="729">
        <f t="shared" si="6"/>
        <v>0</v>
      </c>
    </row>
    <row r="142" spans="1:39" s="500" customFormat="1" hidden="1">
      <c r="A142" s="539" t="s">
        <v>656</v>
      </c>
      <c r="B142" s="539" t="s">
        <v>1203</v>
      </c>
      <c r="C142" s="548" t="s">
        <v>37</v>
      </c>
      <c r="D142" s="519"/>
      <c r="E142" s="915"/>
      <c r="F142" s="520"/>
      <c r="G142" s="520"/>
      <c r="H142" s="520"/>
      <c r="I142" s="521"/>
      <c r="J142" s="521"/>
      <c r="K142" s="521"/>
      <c r="L142" s="923"/>
      <c r="M142" s="514"/>
      <c r="N142" s="514"/>
      <c r="O142" s="514"/>
      <c r="P142" s="514"/>
      <c r="Q142" s="514"/>
      <c r="R142" s="514"/>
      <c r="S142" s="923"/>
      <c r="T142" s="514"/>
      <c r="U142" s="514"/>
      <c r="V142" s="514"/>
      <c r="W142" s="514"/>
      <c r="X142" s="514"/>
      <c r="Y142" s="514"/>
      <c r="Z142" s="923"/>
      <c r="AA142" s="514"/>
      <c r="AB142" s="514"/>
      <c r="AC142" s="514"/>
      <c r="AD142" s="514"/>
      <c r="AE142" s="774"/>
      <c r="AF142" s="514"/>
      <c r="AG142" s="897"/>
      <c r="AH142" s="789"/>
      <c r="AI142" s="786">
        <f t="shared" si="7"/>
        <v>0</v>
      </c>
      <c r="AJ142" s="521">
        <v>0</v>
      </c>
      <c r="AK142" s="520">
        <f t="shared" ref="AK142:AK205" si="8">AI142+AJ142</f>
        <v>0</v>
      </c>
      <c r="AL142" s="672" t="s">
        <v>1530</v>
      </c>
      <c r="AM142" s="669">
        <f t="shared" ref="AM142:AM205" si="9">AL142-AK142</f>
        <v>23.07</v>
      </c>
    </row>
    <row r="143" spans="1:39" s="843" customFormat="1" hidden="1">
      <c r="A143" s="832" t="s">
        <v>657</v>
      </c>
      <c r="B143" s="832" t="s">
        <v>1204</v>
      </c>
      <c r="C143" s="846" t="s">
        <v>40</v>
      </c>
      <c r="D143" s="834"/>
      <c r="E143" s="915"/>
      <c r="F143" s="835"/>
      <c r="G143" s="835"/>
      <c r="H143" s="835"/>
      <c r="I143" s="836"/>
      <c r="J143" s="836"/>
      <c r="K143" s="836"/>
      <c r="L143" s="923"/>
      <c r="M143" s="837"/>
      <c r="N143" s="837"/>
      <c r="O143" s="837"/>
      <c r="P143" s="837"/>
      <c r="Q143" s="837"/>
      <c r="R143" s="837"/>
      <c r="S143" s="923"/>
      <c r="T143" s="837"/>
      <c r="U143" s="837"/>
      <c r="V143" s="837"/>
      <c r="W143" s="837"/>
      <c r="X143" s="837"/>
      <c r="Y143" s="837"/>
      <c r="Z143" s="923"/>
      <c r="AA143" s="837"/>
      <c r="AB143" s="837"/>
      <c r="AC143" s="837"/>
      <c r="AD143" s="837"/>
      <c r="AE143" s="774"/>
      <c r="AF143" s="837"/>
      <c r="AG143" s="897"/>
      <c r="AH143" s="839"/>
      <c r="AI143" s="786">
        <f t="shared" ref="AI143:AI206" si="10">ROUND((SUM(D143:AH143)),2)</f>
        <v>0</v>
      </c>
      <c r="AJ143" s="836">
        <v>0</v>
      </c>
      <c r="AK143" s="835">
        <f t="shared" si="8"/>
        <v>0</v>
      </c>
      <c r="AL143" s="841" t="s">
        <v>1531</v>
      </c>
      <c r="AM143" s="842">
        <f t="shared" si="9"/>
        <v>10.4</v>
      </c>
    </row>
    <row r="144" spans="1:39" s="843" customFormat="1" hidden="1">
      <c r="A144" s="832" t="s">
        <v>658</v>
      </c>
      <c r="B144" s="832" t="s">
        <v>1205</v>
      </c>
      <c r="C144" s="846" t="s">
        <v>40</v>
      </c>
      <c r="D144" s="834"/>
      <c r="E144" s="915"/>
      <c r="F144" s="835"/>
      <c r="G144" s="835"/>
      <c r="H144" s="835"/>
      <c r="I144" s="836"/>
      <c r="J144" s="836"/>
      <c r="K144" s="836"/>
      <c r="L144" s="923"/>
      <c r="M144" s="837"/>
      <c r="N144" s="837"/>
      <c r="O144" s="837"/>
      <c r="P144" s="837"/>
      <c r="Q144" s="837"/>
      <c r="R144" s="837"/>
      <c r="S144" s="923"/>
      <c r="T144" s="837"/>
      <c r="U144" s="837"/>
      <c r="V144" s="837"/>
      <c r="W144" s="837"/>
      <c r="X144" s="837"/>
      <c r="Y144" s="837"/>
      <c r="Z144" s="923"/>
      <c r="AA144" s="837"/>
      <c r="AB144" s="837"/>
      <c r="AC144" s="837"/>
      <c r="AD144" s="837"/>
      <c r="AE144" s="774"/>
      <c r="AF144" s="837"/>
      <c r="AG144" s="897"/>
      <c r="AH144" s="839"/>
      <c r="AI144" s="786">
        <f t="shared" si="10"/>
        <v>0</v>
      </c>
      <c r="AJ144" s="836">
        <v>0</v>
      </c>
      <c r="AK144" s="835">
        <f t="shared" si="8"/>
        <v>0</v>
      </c>
      <c r="AL144" s="841" t="s">
        <v>1532</v>
      </c>
      <c r="AM144" s="842">
        <f t="shared" si="9"/>
        <v>2.1800000000000002</v>
      </c>
    </row>
    <row r="145" spans="1:39" s="730" customFormat="1" hidden="1">
      <c r="A145" s="720" t="s">
        <v>659</v>
      </c>
      <c r="B145" s="720" t="s">
        <v>1167</v>
      </c>
      <c r="C145" s="823" t="s">
        <v>37</v>
      </c>
      <c r="D145" s="743"/>
      <c r="E145" s="915"/>
      <c r="F145" s="726"/>
      <c r="G145" s="726"/>
      <c r="H145" s="726"/>
      <c r="I145" s="725"/>
      <c r="J145" s="725"/>
      <c r="K145" s="725"/>
      <c r="L145" s="923"/>
      <c r="M145" s="756"/>
      <c r="N145" s="756"/>
      <c r="O145" s="756"/>
      <c r="P145" s="756"/>
      <c r="Q145" s="756"/>
      <c r="R145" s="756"/>
      <c r="S145" s="923"/>
      <c r="T145" s="756"/>
      <c r="U145" s="756"/>
      <c r="V145" s="756"/>
      <c r="W145" s="756"/>
      <c r="X145" s="756"/>
      <c r="Y145" s="756"/>
      <c r="Z145" s="923"/>
      <c r="AA145" s="756"/>
      <c r="AB145" s="756"/>
      <c r="AC145" s="756"/>
      <c r="AD145" s="756"/>
      <c r="AE145" s="774"/>
      <c r="AF145" s="756"/>
      <c r="AG145" s="897"/>
      <c r="AH145" s="819"/>
      <c r="AI145" s="786">
        <f t="shared" si="10"/>
        <v>0</v>
      </c>
      <c r="AJ145" s="725">
        <v>0</v>
      </c>
      <c r="AK145" s="726">
        <f t="shared" si="8"/>
        <v>0</v>
      </c>
      <c r="AL145" s="728" t="s">
        <v>1533</v>
      </c>
      <c r="AM145" s="729">
        <f t="shared" si="9"/>
        <v>29.03</v>
      </c>
    </row>
    <row r="146" spans="1:39" s="730" customFormat="1" hidden="1">
      <c r="A146" s="720" t="s">
        <v>660</v>
      </c>
      <c r="B146" s="720" t="s">
        <v>1168</v>
      </c>
      <c r="C146" s="823" t="s">
        <v>37</v>
      </c>
      <c r="D146" s="743"/>
      <c r="E146" s="915"/>
      <c r="F146" s="726"/>
      <c r="G146" s="726"/>
      <c r="H146" s="726"/>
      <c r="I146" s="725"/>
      <c r="J146" s="725"/>
      <c r="K146" s="725"/>
      <c r="L146" s="923"/>
      <c r="M146" s="756"/>
      <c r="N146" s="756"/>
      <c r="O146" s="756"/>
      <c r="P146" s="756"/>
      <c r="Q146" s="756"/>
      <c r="R146" s="756"/>
      <c r="S146" s="923"/>
      <c r="T146" s="756"/>
      <c r="U146" s="756"/>
      <c r="V146" s="756"/>
      <c r="W146" s="756"/>
      <c r="X146" s="756"/>
      <c r="Y146" s="756"/>
      <c r="Z146" s="923"/>
      <c r="AA146" s="756"/>
      <c r="AB146" s="756"/>
      <c r="AC146" s="756"/>
      <c r="AD146" s="756"/>
      <c r="AE146" s="774"/>
      <c r="AF146" s="756"/>
      <c r="AG146" s="897"/>
      <c r="AH146" s="819"/>
      <c r="AI146" s="786">
        <f t="shared" si="10"/>
        <v>0</v>
      </c>
      <c r="AJ146" s="725">
        <v>0</v>
      </c>
      <c r="AK146" s="726">
        <f t="shared" si="8"/>
        <v>0</v>
      </c>
      <c r="AL146" s="728" t="s">
        <v>1528</v>
      </c>
      <c r="AM146" s="729">
        <f t="shared" si="9"/>
        <v>72.33</v>
      </c>
    </row>
    <row r="147" spans="1:39" s="730" customFormat="1">
      <c r="A147" s="831" t="s">
        <v>661</v>
      </c>
      <c r="B147" s="831" t="s">
        <v>1169</v>
      </c>
      <c r="C147" s="844"/>
      <c r="D147" s="743"/>
      <c r="E147" s="915"/>
      <c r="F147" s="726"/>
      <c r="G147" s="726"/>
      <c r="H147" s="726"/>
      <c r="I147" s="725"/>
      <c r="J147" s="725"/>
      <c r="K147" s="725"/>
      <c r="L147" s="923"/>
      <c r="M147" s="756"/>
      <c r="N147" s="756"/>
      <c r="O147" s="756"/>
      <c r="P147" s="756"/>
      <c r="Q147" s="756"/>
      <c r="R147" s="756"/>
      <c r="S147" s="923"/>
      <c r="T147" s="756"/>
      <c r="U147" s="756"/>
      <c r="V147" s="756"/>
      <c r="W147" s="756"/>
      <c r="X147" s="756"/>
      <c r="Y147" s="756"/>
      <c r="Z147" s="923"/>
      <c r="AA147" s="756"/>
      <c r="AB147" s="756"/>
      <c r="AC147" s="756"/>
      <c r="AD147" s="756"/>
      <c r="AE147" s="774"/>
      <c r="AF147" s="756"/>
      <c r="AG147" s="897"/>
      <c r="AH147" s="819"/>
      <c r="AI147" s="786">
        <f t="shared" si="10"/>
        <v>0</v>
      </c>
      <c r="AJ147" s="725">
        <v>0</v>
      </c>
      <c r="AK147" s="726">
        <f t="shared" si="8"/>
        <v>0</v>
      </c>
      <c r="AL147" s="728"/>
      <c r="AM147" s="729">
        <f t="shared" si="9"/>
        <v>0</v>
      </c>
    </row>
    <row r="148" spans="1:39" s="730" customFormat="1" hidden="1">
      <c r="A148" s="720" t="s">
        <v>662</v>
      </c>
      <c r="B148" s="720" t="s">
        <v>1170</v>
      </c>
      <c r="C148" s="844"/>
      <c r="D148" s="743"/>
      <c r="E148" s="915"/>
      <c r="F148" s="726"/>
      <c r="G148" s="726"/>
      <c r="H148" s="726"/>
      <c r="I148" s="725"/>
      <c r="J148" s="725"/>
      <c r="K148" s="725"/>
      <c r="L148" s="923"/>
      <c r="M148" s="756"/>
      <c r="N148" s="756"/>
      <c r="O148" s="756"/>
      <c r="P148" s="756"/>
      <c r="Q148" s="756"/>
      <c r="R148" s="756"/>
      <c r="S148" s="923"/>
      <c r="T148" s="756"/>
      <c r="U148" s="756"/>
      <c r="V148" s="756"/>
      <c r="W148" s="756"/>
      <c r="X148" s="756"/>
      <c r="Y148" s="756"/>
      <c r="Z148" s="923"/>
      <c r="AA148" s="756"/>
      <c r="AB148" s="756"/>
      <c r="AC148" s="745"/>
      <c r="AD148" s="756"/>
      <c r="AE148" s="774"/>
      <c r="AF148" s="756"/>
      <c r="AG148" s="897"/>
      <c r="AH148" s="819"/>
      <c r="AI148" s="786">
        <f t="shared" si="10"/>
        <v>0</v>
      </c>
      <c r="AJ148" s="725">
        <v>0</v>
      </c>
      <c r="AK148" s="726">
        <f t="shared" si="8"/>
        <v>0</v>
      </c>
      <c r="AL148" s="728"/>
      <c r="AM148" s="729">
        <f t="shared" si="9"/>
        <v>0</v>
      </c>
    </row>
    <row r="149" spans="1:39" s="500" customFormat="1" hidden="1">
      <c r="A149" s="539" t="s">
        <v>663</v>
      </c>
      <c r="B149" s="539" t="s">
        <v>1206</v>
      </c>
      <c r="C149" s="548" t="s">
        <v>40</v>
      </c>
      <c r="D149" s="519"/>
      <c r="E149" s="915"/>
      <c r="F149" s="520"/>
      <c r="G149" s="520"/>
      <c r="H149" s="520"/>
      <c r="I149" s="521"/>
      <c r="J149" s="521"/>
      <c r="K149" s="521"/>
      <c r="L149" s="923"/>
      <c r="M149" s="514"/>
      <c r="N149" s="514"/>
      <c r="O149" s="514"/>
      <c r="P149" s="514"/>
      <c r="Q149" s="514"/>
      <c r="R149" s="514"/>
      <c r="S149" s="923"/>
      <c r="T149" s="514"/>
      <c r="U149" s="514"/>
      <c r="V149" s="514"/>
      <c r="W149" s="514"/>
      <c r="X149" s="514"/>
      <c r="Y149" s="514"/>
      <c r="Z149" s="929"/>
      <c r="AA149" s="514"/>
      <c r="AB149" s="514"/>
      <c r="AC149" s="514"/>
      <c r="AD149" s="514"/>
      <c r="AE149" s="774"/>
      <c r="AF149" s="514"/>
      <c r="AG149" s="897"/>
      <c r="AH149" s="789"/>
      <c r="AI149" s="786">
        <f t="shared" si="10"/>
        <v>0</v>
      </c>
      <c r="AJ149" s="521">
        <v>0</v>
      </c>
      <c r="AK149" s="520">
        <f t="shared" si="8"/>
        <v>0</v>
      </c>
      <c r="AL149" s="672" t="s">
        <v>1534</v>
      </c>
      <c r="AM149" s="669">
        <f t="shared" si="9"/>
        <v>6.34</v>
      </c>
    </row>
    <row r="150" spans="1:39" s="500" customFormat="1" hidden="1">
      <c r="A150" s="539" t="s">
        <v>664</v>
      </c>
      <c r="B150" s="539" t="s">
        <v>1172</v>
      </c>
      <c r="C150" s="548" t="s">
        <v>48</v>
      </c>
      <c r="D150" s="519"/>
      <c r="E150" s="915"/>
      <c r="F150" s="520"/>
      <c r="G150" s="520"/>
      <c r="H150" s="520"/>
      <c r="I150" s="521"/>
      <c r="J150" s="521"/>
      <c r="K150" s="521"/>
      <c r="L150" s="923"/>
      <c r="M150" s="514"/>
      <c r="N150" s="514"/>
      <c r="O150" s="514"/>
      <c r="P150" s="514"/>
      <c r="Q150" s="514"/>
      <c r="R150" s="514"/>
      <c r="S150" s="923"/>
      <c r="T150" s="514"/>
      <c r="U150" s="514"/>
      <c r="V150" s="514"/>
      <c r="W150" s="514"/>
      <c r="X150" s="514"/>
      <c r="Y150" s="514"/>
      <c r="Z150" s="923"/>
      <c r="AA150" s="514"/>
      <c r="AB150" s="514"/>
      <c r="AC150" s="514"/>
      <c r="AD150" s="514"/>
      <c r="AE150" s="774"/>
      <c r="AF150" s="514"/>
      <c r="AG150" s="897"/>
      <c r="AH150" s="789"/>
      <c r="AI150" s="786">
        <f t="shared" si="10"/>
        <v>0</v>
      </c>
      <c r="AJ150" s="521">
        <v>0</v>
      </c>
      <c r="AK150" s="520">
        <f t="shared" si="8"/>
        <v>0</v>
      </c>
      <c r="AL150" s="672" t="s">
        <v>1535</v>
      </c>
      <c r="AM150" s="669">
        <f t="shared" si="9"/>
        <v>264.95999999999998</v>
      </c>
    </row>
    <row r="151" spans="1:39" s="730" customFormat="1">
      <c r="A151" s="720" t="s">
        <v>665</v>
      </c>
      <c r="B151" s="720" t="s">
        <v>1173</v>
      </c>
      <c r="C151" s="844"/>
      <c r="D151" s="743"/>
      <c r="E151" s="915"/>
      <c r="F151" s="726"/>
      <c r="G151" s="726"/>
      <c r="H151" s="726"/>
      <c r="I151" s="725"/>
      <c r="J151" s="725"/>
      <c r="K151" s="725"/>
      <c r="L151" s="923"/>
      <c r="M151" s="756"/>
      <c r="N151" s="756"/>
      <c r="O151" s="756"/>
      <c r="P151" s="756"/>
      <c r="Q151" s="756"/>
      <c r="R151" s="756"/>
      <c r="S151" s="923"/>
      <c r="T151" s="756"/>
      <c r="U151" s="756"/>
      <c r="V151" s="756"/>
      <c r="W151" s="756"/>
      <c r="X151" s="756"/>
      <c r="Y151" s="756"/>
      <c r="Z151" s="923"/>
      <c r="AA151" s="756"/>
      <c r="AB151" s="756"/>
      <c r="AC151" s="756"/>
      <c r="AD151" s="756"/>
      <c r="AE151" s="774"/>
      <c r="AF151" s="756"/>
      <c r="AG151" s="897"/>
      <c r="AH151" s="819"/>
      <c r="AI151" s="786">
        <f t="shared" si="10"/>
        <v>0</v>
      </c>
      <c r="AJ151" s="725">
        <v>0</v>
      </c>
      <c r="AK151" s="726">
        <f t="shared" si="8"/>
        <v>0</v>
      </c>
      <c r="AL151" s="728"/>
      <c r="AM151" s="729">
        <f t="shared" si="9"/>
        <v>0</v>
      </c>
    </row>
    <row r="152" spans="1:39" s="730" customFormat="1">
      <c r="A152" s="720" t="s">
        <v>666</v>
      </c>
      <c r="B152" s="720" t="s">
        <v>1207</v>
      </c>
      <c r="C152" s="823" t="s">
        <v>40</v>
      </c>
      <c r="D152" s="743"/>
      <c r="E152" s="915"/>
      <c r="G152" s="864">
        <f>40.27*0.3747*0.25</f>
        <v>3.77229225</v>
      </c>
      <c r="H152" s="726"/>
      <c r="I152" s="725"/>
      <c r="J152" s="725"/>
      <c r="K152" s="725"/>
      <c r="L152" s="923"/>
      <c r="M152" s="756"/>
      <c r="N152" s="756"/>
      <c r="O152" s="756"/>
      <c r="P152" s="756"/>
      <c r="Q152" s="756"/>
      <c r="R152" s="756"/>
      <c r="S152" s="923"/>
      <c r="T152" s="756"/>
      <c r="U152" s="756"/>
      <c r="V152" s="756"/>
      <c r="W152" s="756"/>
      <c r="X152" s="756"/>
      <c r="Y152" s="756"/>
      <c r="Z152" s="923"/>
      <c r="AA152" s="756"/>
      <c r="AB152" s="756"/>
      <c r="AC152" s="756"/>
      <c r="AD152" s="756"/>
      <c r="AE152" s="774"/>
      <c r="AF152" s="756"/>
      <c r="AG152" s="897"/>
      <c r="AH152" s="819"/>
      <c r="AI152" s="786">
        <f t="shared" si="10"/>
        <v>3.77</v>
      </c>
      <c r="AJ152" s="725">
        <v>0</v>
      </c>
      <c r="AK152" s="726">
        <f t="shared" si="8"/>
        <v>3.77</v>
      </c>
      <c r="AL152" s="728" t="s">
        <v>1536</v>
      </c>
      <c r="AM152" s="729">
        <f t="shared" si="9"/>
        <v>0</v>
      </c>
    </row>
    <row r="153" spans="1:39" s="730" customFormat="1">
      <c r="A153" s="720" t="s">
        <v>667</v>
      </c>
      <c r="B153" s="720" t="s">
        <v>1175</v>
      </c>
      <c r="C153" s="823" t="s">
        <v>37</v>
      </c>
      <c r="D153" s="743"/>
      <c r="E153" s="915"/>
      <c r="F153" s="864">
        <f>40.27*0.3747*2</f>
        <v>30.178338</v>
      </c>
      <c r="G153" s="726"/>
      <c r="H153" s="726"/>
      <c r="I153" s="725"/>
      <c r="J153" s="725"/>
      <c r="K153" s="725"/>
      <c r="L153" s="923"/>
      <c r="M153" s="756"/>
      <c r="N153" s="756"/>
      <c r="O153" s="756"/>
      <c r="P153" s="756"/>
      <c r="Q153" s="756"/>
      <c r="R153" s="756"/>
      <c r="S153" s="923"/>
      <c r="T153" s="756"/>
      <c r="U153" s="756"/>
      <c r="V153" s="756"/>
      <c r="W153" s="756"/>
      <c r="X153" s="756"/>
      <c r="Y153" s="756"/>
      <c r="Z153" s="923"/>
      <c r="AA153" s="756"/>
      <c r="AB153" s="756"/>
      <c r="AC153" s="727"/>
      <c r="AD153" s="775"/>
      <c r="AE153" s="774"/>
      <c r="AF153" s="756"/>
      <c r="AG153" s="897"/>
      <c r="AH153" s="819"/>
      <c r="AI153" s="786">
        <f t="shared" si="10"/>
        <v>30.18</v>
      </c>
      <c r="AJ153" s="725">
        <v>0</v>
      </c>
      <c r="AK153" s="726">
        <f t="shared" si="8"/>
        <v>30.18</v>
      </c>
      <c r="AL153" s="728" t="s">
        <v>1537</v>
      </c>
      <c r="AM153" s="729">
        <f t="shared" si="9"/>
        <v>0</v>
      </c>
    </row>
    <row r="154" spans="1:39" s="500" customFormat="1" hidden="1">
      <c r="A154" s="539" t="s">
        <v>668</v>
      </c>
      <c r="B154" s="539" t="s">
        <v>1176</v>
      </c>
      <c r="C154" s="548" t="s">
        <v>48</v>
      </c>
      <c r="D154" s="519"/>
      <c r="E154" s="915"/>
      <c r="F154" s="520"/>
      <c r="G154" s="520"/>
      <c r="H154" s="520"/>
      <c r="I154" s="521"/>
      <c r="J154" s="521"/>
      <c r="K154" s="521"/>
      <c r="L154" s="923"/>
      <c r="M154" s="514"/>
      <c r="N154" s="514"/>
      <c r="O154" s="514"/>
      <c r="P154" s="514"/>
      <c r="Q154" s="514"/>
      <c r="R154" s="514"/>
      <c r="S154" s="923"/>
      <c r="T154" s="514"/>
      <c r="U154" s="514"/>
      <c r="V154" s="514"/>
      <c r="W154" s="514"/>
      <c r="X154" s="514"/>
      <c r="Y154" s="514"/>
      <c r="Z154" s="923"/>
      <c r="AA154" s="514"/>
      <c r="AB154" s="514"/>
      <c r="AC154" s="514"/>
      <c r="AD154" s="514"/>
      <c r="AE154" s="774"/>
      <c r="AF154" s="514"/>
      <c r="AG154" s="897"/>
      <c r="AH154" s="789"/>
      <c r="AI154" s="786">
        <f t="shared" si="10"/>
        <v>0</v>
      </c>
      <c r="AJ154" s="521">
        <v>0</v>
      </c>
      <c r="AK154" s="520">
        <f t="shared" si="8"/>
        <v>0</v>
      </c>
      <c r="AL154" s="672" t="s">
        <v>1538</v>
      </c>
      <c r="AM154" s="669">
        <f t="shared" si="9"/>
        <v>365.33</v>
      </c>
    </row>
    <row r="155" spans="1:39" s="730" customFormat="1">
      <c r="A155" s="720" t="s">
        <v>669</v>
      </c>
      <c r="B155" s="720" t="s">
        <v>1177</v>
      </c>
      <c r="C155" s="823"/>
      <c r="D155" s="743"/>
      <c r="E155" s="915"/>
      <c r="F155" s="726"/>
      <c r="G155" s="726"/>
      <c r="H155" s="726"/>
      <c r="I155" s="725"/>
      <c r="J155" s="725"/>
      <c r="K155" s="725"/>
      <c r="L155" s="923"/>
      <c r="M155" s="756"/>
      <c r="N155" s="756"/>
      <c r="O155" s="756"/>
      <c r="P155" s="756"/>
      <c r="Q155" s="756"/>
      <c r="R155" s="756"/>
      <c r="S155" s="923"/>
      <c r="T155" s="756"/>
      <c r="U155" s="756"/>
      <c r="V155" s="756"/>
      <c r="W155" s="756"/>
      <c r="X155" s="756"/>
      <c r="Y155" s="756"/>
      <c r="Z155" s="923"/>
      <c r="AA155" s="756"/>
      <c r="AB155" s="756"/>
      <c r="AC155" s="756"/>
      <c r="AD155" s="756"/>
      <c r="AE155" s="774"/>
      <c r="AF155" s="756"/>
      <c r="AG155" s="897"/>
      <c r="AH155" s="819"/>
      <c r="AI155" s="786">
        <f t="shared" si="10"/>
        <v>0</v>
      </c>
      <c r="AJ155" s="725">
        <v>0</v>
      </c>
      <c r="AK155" s="726">
        <f t="shared" si="8"/>
        <v>0</v>
      </c>
      <c r="AL155" s="728"/>
      <c r="AM155" s="729">
        <f t="shared" si="9"/>
        <v>0</v>
      </c>
    </row>
    <row r="156" spans="1:39" s="730" customFormat="1">
      <c r="A156" s="720" t="s">
        <v>670</v>
      </c>
      <c r="B156" s="720" t="s">
        <v>1208</v>
      </c>
      <c r="C156" s="823" t="s">
        <v>40</v>
      </c>
      <c r="D156" s="743"/>
      <c r="E156" s="915"/>
      <c r="F156" s="726"/>
      <c r="G156" s="726"/>
      <c r="H156" s="726"/>
      <c r="I156" s="725"/>
      <c r="J156" s="725"/>
      <c r="K156" s="725"/>
      <c r="L156" s="923"/>
      <c r="M156" s="756"/>
      <c r="N156" s="756"/>
      <c r="O156" s="745"/>
      <c r="P156" s="884">
        <f>3*0.25*0.4*4.35+0.25*0.4*4.35+3*0.25*0.5*4.35</f>
        <v>3.3712499999999999</v>
      </c>
      <c r="Q156" s="884">
        <f>3*0.25*0.4*4.35</f>
        <v>1.3050000000000002</v>
      </c>
      <c r="R156" s="745"/>
      <c r="S156" s="923"/>
      <c r="T156" s="756"/>
      <c r="U156" s="756"/>
      <c r="V156" s="756"/>
      <c r="W156" s="756"/>
      <c r="X156" s="884">
        <f>1.04*0.25*0.4</f>
        <v>0.10400000000000001</v>
      </c>
      <c r="Y156" s="756"/>
      <c r="Z156" s="923"/>
      <c r="AA156" s="745"/>
      <c r="AB156" s="756"/>
      <c r="AC156" s="756"/>
      <c r="AD156" s="756"/>
      <c r="AE156" s="774"/>
      <c r="AF156" s="756"/>
      <c r="AG156" s="897"/>
      <c r="AH156" s="819"/>
      <c r="AI156" s="786">
        <f t="shared" si="10"/>
        <v>4.78</v>
      </c>
      <c r="AJ156" s="725">
        <v>0</v>
      </c>
      <c r="AK156" s="726">
        <f t="shared" si="8"/>
        <v>4.78</v>
      </c>
      <c r="AL156" s="728" t="s">
        <v>1539</v>
      </c>
      <c r="AM156" s="729">
        <f t="shared" si="9"/>
        <v>1.62</v>
      </c>
    </row>
    <row r="157" spans="1:39" s="730" customFormat="1">
      <c r="A157" s="720" t="s">
        <v>671</v>
      </c>
      <c r="B157" s="720" t="s">
        <v>1179</v>
      </c>
      <c r="C157" s="823" t="s">
        <v>37</v>
      </c>
      <c r="D157" s="743"/>
      <c r="E157" s="915"/>
      <c r="F157" s="726"/>
      <c r="G157" s="726"/>
      <c r="H157" s="726"/>
      <c r="I157" s="725"/>
      <c r="J157" s="725"/>
      <c r="K157" s="725"/>
      <c r="L157" s="923"/>
      <c r="M157" s="756"/>
      <c r="N157" s="756"/>
      <c r="O157" s="884">
        <f>3*2*(0.25+0.4)*4.35+2*(0.25+0.4)*5.39</f>
        <v>23.972000000000001</v>
      </c>
      <c r="P157" s="884">
        <f>4*2*(0.25+0.5)*4.35</f>
        <v>26.099999999999998</v>
      </c>
      <c r="Q157" s="884">
        <f>3*2*(0.25+0.4)*4.35</f>
        <v>16.965</v>
      </c>
      <c r="R157" s="745"/>
      <c r="S157" s="923"/>
      <c r="T157" s="756"/>
      <c r="U157" s="756"/>
      <c r="V157" s="756"/>
      <c r="W157" s="756"/>
      <c r="X157" s="884">
        <f>(0.4+0.25)*2*1.04</f>
        <v>1.3520000000000001</v>
      </c>
      <c r="Y157" s="756"/>
      <c r="Z157" s="925"/>
      <c r="AA157" s="745"/>
      <c r="AB157" s="756"/>
      <c r="AC157" s="756"/>
      <c r="AD157" s="756"/>
      <c r="AE157" s="774"/>
      <c r="AF157" s="756"/>
      <c r="AG157" s="897"/>
      <c r="AH157" s="819"/>
      <c r="AI157" s="786">
        <f t="shared" si="10"/>
        <v>68.39</v>
      </c>
      <c r="AJ157" s="725">
        <v>0</v>
      </c>
      <c r="AK157" s="726">
        <f t="shared" si="8"/>
        <v>68.39</v>
      </c>
      <c r="AL157" s="728" t="s">
        <v>1540</v>
      </c>
      <c r="AM157" s="729">
        <f t="shared" si="9"/>
        <v>8.3100000000000023</v>
      </c>
    </row>
    <row r="158" spans="1:39" s="500" customFormat="1" hidden="1">
      <c r="A158" s="539" t="s">
        <v>672</v>
      </c>
      <c r="B158" s="539" t="s">
        <v>1180</v>
      </c>
      <c r="C158" s="548" t="s">
        <v>48</v>
      </c>
      <c r="D158" s="519"/>
      <c r="E158" s="915"/>
      <c r="F158" s="520"/>
      <c r="G158" s="520"/>
      <c r="H158" s="520"/>
      <c r="I158" s="521"/>
      <c r="J158" s="521"/>
      <c r="K158" s="521"/>
      <c r="L158" s="923"/>
      <c r="M158" s="514"/>
      <c r="N158" s="514"/>
      <c r="O158" s="514"/>
      <c r="P158" s="514"/>
      <c r="Q158" s="514"/>
      <c r="R158" s="514"/>
      <c r="S158" s="923"/>
      <c r="T158" s="514"/>
      <c r="U158" s="514"/>
      <c r="V158" s="514"/>
      <c r="W158" s="514"/>
      <c r="X158" s="514"/>
      <c r="Y158" s="514"/>
      <c r="Z158" s="923"/>
      <c r="AA158" s="514"/>
      <c r="AB158" s="514"/>
      <c r="AC158" s="514"/>
      <c r="AD158" s="514"/>
      <c r="AE158" s="774"/>
      <c r="AF158" s="514"/>
      <c r="AG158" s="897"/>
      <c r="AH158" s="789"/>
      <c r="AI158" s="786">
        <f t="shared" si="10"/>
        <v>0</v>
      </c>
      <c r="AJ158" s="521">
        <v>0</v>
      </c>
      <c r="AK158" s="520">
        <f t="shared" si="8"/>
        <v>0</v>
      </c>
      <c r="AL158" s="672" t="s">
        <v>1541</v>
      </c>
      <c r="AM158" s="669">
        <f t="shared" si="9"/>
        <v>1929.18</v>
      </c>
    </row>
    <row r="159" spans="1:39" s="730" customFormat="1" hidden="1">
      <c r="A159" s="720" t="s">
        <v>673</v>
      </c>
      <c r="B159" s="720" t="s">
        <v>1181</v>
      </c>
      <c r="C159" s="844"/>
      <c r="D159" s="743"/>
      <c r="E159" s="915"/>
      <c r="F159" s="726"/>
      <c r="G159" s="726"/>
      <c r="H159" s="726"/>
      <c r="I159" s="725"/>
      <c r="J159" s="725"/>
      <c r="K159" s="725"/>
      <c r="L159" s="923"/>
      <c r="M159" s="756"/>
      <c r="N159" s="756"/>
      <c r="P159" s="756"/>
      <c r="Q159" s="756"/>
      <c r="R159" s="756"/>
      <c r="S159" s="923"/>
      <c r="T159" s="756"/>
      <c r="U159" s="756"/>
      <c r="V159" s="756"/>
      <c r="W159" s="756"/>
      <c r="X159" s="756"/>
      <c r="Y159" s="756"/>
      <c r="Z159" s="923"/>
      <c r="AA159" s="756"/>
      <c r="AB159" s="756"/>
      <c r="AC159" s="756"/>
      <c r="AD159" s="756"/>
      <c r="AE159" s="774"/>
      <c r="AF159" s="756"/>
      <c r="AG159" s="897"/>
      <c r="AH159" s="819"/>
      <c r="AI159" s="786">
        <f t="shared" si="10"/>
        <v>0</v>
      </c>
      <c r="AJ159" s="725">
        <v>0</v>
      </c>
      <c r="AK159" s="726">
        <f t="shared" si="8"/>
        <v>0</v>
      </c>
      <c r="AL159" s="728"/>
      <c r="AM159" s="729">
        <f t="shared" si="9"/>
        <v>0</v>
      </c>
    </row>
    <row r="160" spans="1:39" s="730" customFormat="1" hidden="1">
      <c r="A160" s="720" t="s">
        <v>674</v>
      </c>
      <c r="B160" s="720" t="s">
        <v>1182</v>
      </c>
      <c r="C160" s="823" t="s">
        <v>40</v>
      </c>
      <c r="D160" s="743"/>
      <c r="E160" s="915"/>
      <c r="F160" s="726"/>
      <c r="G160" s="726"/>
      <c r="H160" s="726"/>
      <c r="I160" s="725"/>
      <c r="J160" s="725"/>
      <c r="K160" s="725"/>
      <c r="L160" s="923"/>
      <c r="M160" s="756"/>
      <c r="N160" s="756"/>
      <c r="O160" s="756"/>
      <c r="P160" s="756"/>
      <c r="Q160" s="756"/>
      <c r="R160" s="756"/>
      <c r="S160" s="923"/>
      <c r="T160" s="756"/>
      <c r="U160" s="756"/>
      <c r="V160" s="756"/>
      <c r="W160" s="756"/>
      <c r="X160" s="756"/>
      <c r="Y160" s="756"/>
      <c r="Z160" s="923"/>
      <c r="AA160" s="756"/>
      <c r="AB160" s="756"/>
      <c r="AC160" s="756"/>
      <c r="AD160" s="756"/>
      <c r="AE160" s="774"/>
      <c r="AF160" s="756"/>
      <c r="AG160" s="897"/>
      <c r="AH160" s="819"/>
      <c r="AI160" s="786">
        <f t="shared" si="10"/>
        <v>0</v>
      </c>
      <c r="AJ160" s="725">
        <v>0</v>
      </c>
      <c r="AK160" s="726">
        <f t="shared" si="8"/>
        <v>0</v>
      </c>
      <c r="AL160" s="728" t="s">
        <v>1542</v>
      </c>
      <c r="AM160" s="729">
        <f t="shared" si="9"/>
        <v>3.44</v>
      </c>
    </row>
    <row r="161" spans="1:39" s="730" customFormat="1" hidden="1">
      <c r="A161" s="720" t="s">
        <v>675</v>
      </c>
      <c r="B161" s="720" t="s">
        <v>1183</v>
      </c>
      <c r="C161" s="823" t="s">
        <v>37</v>
      </c>
      <c r="D161" s="743"/>
      <c r="E161" s="915"/>
      <c r="F161" s="726"/>
      <c r="G161" s="726"/>
      <c r="H161" s="726"/>
      <c r="I161" s="725"/>
      <c r="J161" s="725"/>
      <c r="K161" s="725"/>
      <c r="L161" s="923"/>
      <c r="M161" s="756"/>
      <c r="N161" s="756"/>
      <c r="O161" s="756"/>
      <c r="P161" s="756"/>
      <c r="Q161" s="756"/>
      <c r="R161" s="756"/>
      <c r="S161" s="923"/>
      <c r="T161" s="756"/>
      <c r="U161" s="756"/>
      <c r="V161" s="756"/>
      <c r="W161" s="756"/>
      <c r="X161" s="756"/>
      <c r="Y161" s="756"/>
      <c r="Z161" s="923"/>
      <c r="AA161" s="756"/>
      <c r="AB161" s="756"/>
      <c r="AC161" s="756"/>
      <c r="AD161" s="756"/>
      <c r="AE161" s="774"/>
      <c r="AF161" s="756"/>
      <c r="AG161" s="897"/>
      <c r="AH161" s="819"/>
      <c r="AI161" s="786">
        <f t="shared" si="10"/>
        <v>0</v>
      </c>
      <c r="AJ161" s="725">
        <v>0</v>
      </c>
      <c r="AK161" s="726">
        <f t="shared" si="8"/>
        <v>0</v>
      </c>
      <c r="AL161" s="728" t="s">
        <v>1543</v>
      </c>
      <c r="AM161" s="729">
        <f t="shared" si="9"/>
        <v>21.46</v>
      </c>
    </row>
    <row r="162" spans="1:39" s="730" customFormat="1" hidden="1">
      <c r="A162" s="720" t="s">
        <v>676</v>
      </c>
      <c r="B162" s="720" t="s">
        <v>1184</v>
      </c>
      <c r="C162" s="823" t="s">
        <v>48</v>
      </c>
      <c r="D162" s="743"/>
      <c r="E162" s="915"/>
      <c r="F162" s="726"/>
      <c r="G162" s="726"/>
      <c r="H162" s="726"/>
      <c r="I162" s="725"/>
      <c r="J162" s="725"/>
      <c r="K162" s="725"/>
      <c r="L162" s="923"/>
      <c r="M162" s="756"/>
      <c r="N162" s="756"/>
      <c r="O162" s="756"/>
      <c r="P162" s="756"/>
      <c r="Q162" s="756"/>
      <c r="R162" s="756"/>
      <c r="S162" s="923"/>
      <c r="T162" s="756"/>
      <c r="U162" s="756"/>
      <c r="V162" s="756"/>
      <c r="W162" s="756"/>
      <c r="X162" s="756"/>
      <c r="Y162" s="756"/>
      <c r="Z162" s="923"/>
      <c r="AA162" s="756"/>
      <c r="AB162" s="756"/>
      <c r="AC162" s="756"/>
      <c r="AD162" s="756"/>
      <c r="AE162" s="774"/>
      <c r="AF162" s="756"/>
      <c r="AG162" s="897"/>
      <c r="AH162" s="819"/>
      <c r="AI162" s="786">
        <f t="shared" si="10"/>
        <v>0</v>
      </c>
      <c r="AJ162" s="725">
        <v>0</v>
      </c>
      <c r="AK162" s="726">
        <f t="shared" si="8"/>
        <v>0</v>
      </c>
      <c r="AL162" s="728" t="s">
        <v>1544</v>
      </c>
      <c r="AM162" s="729">
        <f t="shared" si="9"/>
        <v>302.89999999999998</v>
      </c>
    </row>
    <row r="163" spans="1:39" s="730" customFormat="1">
      <c r="A163" s="720" t="s">
        <v>677</v>
      </c>
      <c r="B163" s="720" t="s">
        <v>1185</v>
      </c>
      <c r="C163" s="844"/>
      <c r="D163" s="743"/>
      <c r="E163" s="915"/>
      <c r="F163" s="726"/>
      <c r="G163" s="726"/>
      <c r="H163" s="726"/>
      <c r="I163" s="725"/>
      <c r="J163" s="725"/>
      <c r="K163" s="725"/>
      <c r="L163" s="923"/>
      <c r="M163" s="756"/>
      <c r="N163" s="756"/>
      <c r="O163" s="756"/>
      <c r="P163" s="756"/>
      <c r="Q163" s="756"/>
      <c r="R163" s="756"/>
      <c r="S163" s="923"/>
      <c r="T163" s="756"/>
      <c r="U163" s="756"/>
      <c r="V163" s="756"/>
      <c r="W163" s="756"/>
      <c r="X163" s="756"/>
      <c r="Y163" s="756"/>
      <c r="Z163" s="923"/>
      <c r="AA163" s="756"/>
      <c r="AB163" s="756"/>
      <c r="AC163" s="756"/>
      <c r="AD163" s="756"/>
      <c r="AE163" s="774"/>
      <c r="AF163" s="756"/>
      <c r="AG163" s="897"/>
      <c r="AH163" s="819"/>
      <c r="AI163" s="786">
        <f t="shared" si="10"/>
        <v>0</v>
      </c>
      <c r="AJ163" s="725">
        <v>0</v>
      </c>
      <c r="AK163" s="726">
        <f t="shared" si="8"/>
        <v>0</v>
      </c>
      <c r="AL163" s="728"/>
      <c r="AM163" s="729">
        <f t="shared" si="9"/>
        <v>0</v>
      </c>
    </row>
    <row r="164" spans="1:39" s="730" customFormat="1">
      <c r="A164" s="720" t="s">
        <v>678</v>
      </c>
      <c r="B164" s="720" t="s">
        <v>1186</v>
      </c>
      <c r="C164" s="823" t="s">
        <v>40</v>
      </c>
      <c r="D164" s="743"/>
      <c r="E164" s="915"/>
      <c r="F164" s="726"/>
      <c r="G164" s="726"/>
      <c r="H164" s="726"/>
      <c r="I164" s="725"/>
      <c r="J164" s="725"/>
      <c r="K164" s="725"/>
      <c r="L164" s="923"/>
      <c r="M164" s="756"/>
      <c r="N164" s="756"/>
      <c r="O164" s="756"/>
      <c r="P164" s="756"/>
      <c r="Q164" s="756"/>
      <c r="R164" s="756"/>
      <c r="S164" s="923"/>
      <c r="T164" s="756"/>
      <c r="U164" s="756"/>
      <c r="V164" s="756"/>
      <c r="W164" s="884">
        <f>5.24*0.25*0.5</f>
        <v>0.65500000000000003</v>
      </c>
      <c r="X164" s="756"/>
      <c r="Y164" s="756"/>
      <c r="Z164" s="923"/>
      <c r="AA164" s="756"/>
      <c r="AB164" s="756"/>
      <c r="AC164" s="756"/>
      <c r="AD164" s="756"/>
      <c r="AE164" s="774"/>
      <c r="AF164" s="756"/>
      <c r="AG164" s="897"/>
      <c r="AH164" s="819"/>
      <c r="AI164" s="786">
        <f t="shared" si="10"/>
        <v>0.66</v>
      </c>
      <c r="AJ164" s="725">
        <v>0</v>
      </c>
      <c r="AK164" s="726">
        <f t="shared" si="8"/>
        <v>0.66</v>
      </c>
      <c r="AL164" s="728" t="s">
        <v>1545</v>
      </c>
      <c r="AM164" s="729">
        <f t="shared" si="9"/>
        <v>10.9</v>
      </c>
    </row>
    <row r="165" spans="1:39" s="730" customFormat="1">
      <c r="A165" s="720" t="s">
        <v>679</v>
      </c>
      <c r="B165" s="720" t="s">
        <v>1187</v>
      </c>
      <c r="C165" s="823" t="s">
        <v>37</v>
      </c>
      <c r="D165" s="743"/>
      <c r="E165" s="915"/>
      <c r="F165" s="726"/>
      <c r="G165" s="726"/>
      <c r="H165" s="726"/>
      <c r="I165" s="725"/>
      <c r="J165" s="725"/>
      <c r="K165" s="725"/>
      <c r="L165" s="923"/>
      <c r="M165" s="756"/>
      <c r="N165" s="756"/>
      <c r="O165" s="756"/>
      <c r="P165" s="756"/>
      <c r="Q165" s="756"/>
      <c r="R165" s="756"/>
      <c r="S165" s="923"/>
      <c r="T165" s="756"/>
      <c r="U165" s="884">
        <f>3.12*2*0.25+3.12*2*0.25</f>
        <v>3.12</v>
      </c>
      <c r="V165" s="756"/>
      <c r="W165" s="884">
        <f>(2.365*2+5.2)*2*0.25+7.36*0.25*2+((2.365*2+5.2)*2*0.4+7.36*0.4*2)*2</f>
        <v>36.308999999999997</v>
      </c>
      <c r="X165" s="884">
        <f>9.44*2*0.5</f>
        <v>9.44</v>
      </c>
      <c r="Y165" s="884">
        <f>+(12.33+8.09)*0.2*2+(12.33+8.09)*0.2*2+12*0.4*0.2*3</f>
        <v>19.216000000000001</v>
      </c>
      <c r="Z165" s="923"/>
      <c r="AA165" s="756"/>
      <c r="AB165" s="756"/>
      <c r="AC165" s="756"/>
      <c r="AD165" s="756"/>
      <c r="AE165" s="774"/>
      <c r="AF165" s="756"/>
      <c r="AG165" s="897"/>
      <c r="AH165" s="819"/>
      <c r="AI165" s="786">
        <f t="shared" si="10"/>
        <v>68.09</v>
      </c>
      <c r="AJ165" s="725">
        <v>0</v>
      </c>
      <c r="AK165" s="726">
        <f t="shared" si="8"/>
        <v>68.09</v>
      </c>
      <c r="AL165" s="728" t="s">
        <v>1546</v>
      </c>
      <c r="AM165" s="729">
        <f t="shared" si="9"/>
        <v>33.75</v>
      </c>
    </row>
    <row r="166" spans="1:39" s="730" customFormat="1">
      <c r="A166" s="720" t="s">
        <v>680</v>
      </c>
      <c r="B166" s="720" t="s">
        <v>1188</v>
      </c>
      <c r="C166" s="823" t="s">
        <v>48</v>
      </c>
      <c r="D166" s="743"/>
      <c r="E166" s="915"/>
      <c r="F166" s="726"/>
      <c r="G166" s="726"/>
      <c r="H166" s="726"/>
      <c r="I166" s="725"/>
      <c r="J166" s="725"/>
      <c r="K166" s="725"/>
      <c r="L166" s="923"/>
      <c r="M166" s="756"/>
      <c r="N166" s="756"/>
      <c r="O166" s="756"/>
      <c r="P166" s="756"/>
      <c r="Q166" s="756"/>
      <c r="R166" s="756"/>
      <c r="S166" s="923"/>
      <c r="T166" s="902" t="s">
        <v>1547</v>
      </c>
      <c r="U166" s="756"/>
      <c r="V166" s="756"/>
      <c r="W166" s="756"/>
      <c r="X166" s="756"/>
      <c r="Y166" s="756"/>
      <c r="Z166" s="923"/>
      <c r="AA166" s="756"/>
      <c r="AB166" s="756"/>
      <c r="AC166" s="756"/>
      <c r="AD166" s="756"/>
      <c r="AE166" s="774"/>
      <c r="AF166" s="756"/>
      <c r="AG166" s="897"/>
      <c r="AH166" s="819"/>
      <c r="AI166" s="786">
        <f t="shared" si="10"/>
        <v>0</v>
      </c>
      <c r="AJ166" s="725">
        <v>0</v>
      </c>
      <c r="AK166" s="726">
        <f t="shared" si="8"/>
        <v>0</v>
      </c>
      <c r="AL166" s="728" t="s">
        <v>1547</v>
      </c>
      <c r="AM166" s="729">
        <f t="shared" si="9"/>
        <v>1333.5</v>
      </c>
    </row>
    <row r="167" spans="1:39" s="730" customFormat="1">
      <c r="A167" s="720" t="s">
        <v>681</v>
      </c>
      <c r="B167" s="720" t="s">
        <v>1189</v>
      </c>
      <c r="C167" s="844"/>
      <c r="D167" s="743"/>
      <c r="E167" s="915"/>
      <c r="F167" s="726"/>
      <c r="G167" s="726"/>
      <c r="H167" s="726"/>
      <c r="I167" s="725"/>
      <c r="J167" s="725"/>
      <c r="K167" s="725"/>
      <c r="L167" s="923"/>
      <c r="M167" s="756"/>
      <c r="N167" s="756"/>
      <c r="O167" s="756"/>
      <c r="P167" s="756"/>
      <c r="Q167" s="756"/>
      <c r="R167" s="756"/>
      <c r="S167" s="923"/>
      <c r="T167" s="756"/>
      <c r="U167" s="756"/>
      <c r="V167" s="756"/>
      <c r="W167" s="756"/>
      <c r="X167" s="756"/>
      <c r="Y167" s="756"/>
      <c r="Z167" s="923"/>
      <c r="AA167" s="756"/>
      <c r="AB167" s="756"/>
      <c r="AC167" s="756"/>
      <c r="AD167" s="756"/>
      <c r="AE167" s="774"/>
      <c r="AF167" s="756"/>
      <c r="AG167" s="897"/>
      <c r="AH167" s="819"/>
      <c r="AI167" s="786">
        <f t="shared" si="10"/>
        <v>0</v>
      </c>
      <c r="AJ167" s="725">
        <v>0</v>
      </c>
      <c r="AK167" s="726">
        <f t="shared" si="8"/>
        <v>0</v>
      </c>
      <c r="AL167" s="728"/>
      <c r="AM167" s="729">
        <f t="shared" si="9"/>
        <v>0</v>
      </c>
    </row>
    <row r="168" spans="1:39" s="730" customFormat="1" hidden="1">
      <c r="A168" s="720" t="s">
        <v>682</v>
      </c>
      <c r="B168" s="720" t="s">
        <v>1190</v>
      </c>
      <c r="C168" s="823" t="s">
        <v>40</v>
      </c>
      <c r="D168" s="743"/>
      <c r="E168" s="915"/>
      <c r="F168" s="726"/>
      <c r="G168" s="726"/>
      <c r="H168" s="726"/>
      <c r="I168" s="725"/>
      <c r="J168" s="725"/>
      <c r="K168" s="725"/>
      <c r="L168" s="923"/>
      <c r="M168" s="756"/>
      <c r="N168" s="756"/>
      <c r="O168" s="756"/>
      <c r="P168" s="756"/>
      <c r="Q168" s="756"/>
      <c r="R168" s="756"/>
      <c r="S168" s="923"/>
      <c r="T168" s="756"/>
      <c r="U168" s="756"/>
      <c r="V168" s="756"/>
      <c r="W168" s="756"/>
      <c r="X168" s="756"/>
      <c r="Y168" s="756"/>
      <c r="Z168" s="923"/>
      <c r="AA168" s="756"/>
      <c r="AB168" s="756"/>
      <c r="AC168" s="756"/>
      <c r="AD168" s="756"/>
      <c r="AE168" s="774"/>
      <c r="AF168" s="756"/>
      <c r="AG168" s="897"/>
      <c r="AH168" s="819"/>
      <c r="AI168" s="786">
        <f t="shared" si="10"/>
        <v>0</v>
      </c>
      <c r="AJ168" s="725">
        <v>0</v>
      </c>
      <c r="AK168" s="726">
        <f t="shared" si="8"/>
        <v>0</v>
      </c>
      <c r="AL168" s="728" t="s">
        <v>1548</v>
      </c>
      <c r="AM168" s="729">
        <f t="shared" si="9"/>
        <v>13.47</v>
      </c>
    </row>
    <row r="169" spans="1:39" s="730" customFormat="1">
      <c r="A169" s="720" t="s">
        <v>683</v>
      </c>
      <c r="B169" s="720" t="s">
        <v>1191</v>
      </c>
      <c r="C169" s="823" t="s">
        <v>37</v>
      </c>
      <c r="D169" s="743"/>
      <c r="E169" s="915"/>
      <c r="F169" s="726"/>
      <c r="G169" s="726"/>
      <c r="H169" s="726"/>
      <c r="I169" s="725"/>
      <c r="J169" s="725"/>
      <c r="K169" s="725"/>
      <c r="L169" s="923"/>
      <c r="M169" s="756"/>
      <c r="N169" s="756"/>
      <c r="O169" s="756"/>
      <c r="P169" s="756"/>
      <c r="Q169" s="756"/>
      <c r="R169" s="756"/>
      <c r="S169" s="923"/>
      <c r="T169" s="756"/>
      <c r="U169" s="756"/>
      <c r="V169" s="756"/>
      <c r="W169" s="756"/>
      <c r="X169" s="756"/>
      <c r="Y169" s="756"/>
      <c r="Z169" s="923"/>
      <c r="AA169" s="756"/>
      <c r="AB169" s="884">
        <f>2*3*0.25*3.53+(2.05+2.54+2.54+2.05)*2</f>
        <v>23.655000000000001</v>
      </c>
      <c r="AC169" s="884">
        <f>2*3*0.25*3.53+(1.76+2.02+2.02+1.76)*2</f>
        <v>20.414999999999999</v>
      </c>
      <c r="AD169" s="884">
        <f>2*3*0.25*3.53+(1.44+1.5+1.5+1.44)*2</f>
        <v>17.055</v>
      </c>
      <c r="AE169" s="884"/>
      <c r="AF169" s="884">
        <f>2*3*0.25*3.53+(1.14+0.99+0.99+1.14)*2</f>
        <v>13.815</v>
      </c>
      <c r="AG169" s="899"/>
      <c r="AH169" s="884">
        <f>2*2*0.25*3.53+(0.83+0.46+0.46+0.83)*2+(0.52+0.14+0.14+0.52)*2</f>
        <v>11.33</v>
      </c>
      <c r="AI169" s="786">
        <f t="shared" si="10"/>
        <v>86.27</v>
      </c>
      <c r="AJ169" s="725">
        <v>0</v>
      </c>
      <c r="AK169" s="726">
        <f t="shared" si="8"/>
        <v>86.27</v>
      </c>
      <c r="AL169" s="728" t="s">
        <v>1549</v>
      </c>
      <c r="AM169" s="729">
        <f t="shared" si="9"/>
        <v>67.660000000000011</v>
      </c>
    </row>
    <row r="170" spans="1:39" s="730" customFormat="1" hidden="1">
      <c r="A170" s="720" t="s">
        <v>684</v>
      </c>
      <c r="B170" s="720" t="s">
        <v>1192</v>
      </c>
      <c r="C170" s="823" t="s">
        <v>48</v>
      </c>
      <c r="D170" s="743"/>
      <c r="E170" s="915"/>
      <c r="F170" s="726"/>
      <c r="G170" s="726"/>
      <c r="H170" s="726"/>
      <c r="I170" s="725"/>
      <c r="J170" s="725"/>
      <c r="K170" s="725"/>
      <c r="L170" s="923"/>
      <c r="M170" s="756"/>
      <c r="N170" s="756"/>
      <c r="O170" s="756"/>
      <c r="P170" s="756"/>
      <c r="Q170" s="756"/>
      <c r="R170" s="756"/>
      <c r="S170" s="923"/>
      <c r="T170" s="756"/>
      <c r="U170" s="756"/>
      <c r="V170" s="756"/>
      <c r="W170" s="756"/>
      <c r="X170" s="756"/>
      <c r="Y170" s="756"/>
      <c r="Z170" s="923"/>
      <c r="AA170" s="756"/>
      <c r="AB170" s="756"/>
      <c r="AC170" s="756"/>
      <c r="AD170" s="756"/>
      <c r="AE170" s="774"/>
      <c r="AF170" s="756"/>
      <c r="AG170" s="897"/>
      <c r="AH170" s="819"/>
      <c r="AI170" s="786">
        <f t="shared" si="10"/>
        <v>0</v>
      </c>
      <c r="AJ170" s="725">
        <v>0</v>
      </c>
      <c r="AK170" s="726">
        <f t="shared" si="8"/>
        <v>0</v>
      </c>
      <c r="AL170" s="728" t="s">
        <v>1550</v>
      </c>
      <c r="AM170" s="729">
        <f t="shared" si="9"/>
        <v>1781.46</v>
      </c>
    </row>
    <row r="171" spans="1:39" s="730" customFormat="1" hidden="1">
      <c r="A171" s="720" t="s">
        <v>685</v>
      </c>
      <c r="B171" s="720" t="s">
        <v>1193</v>
      </c>
      <c r="C171" s="823" t="s">
        <v>1450</v>
      </c>
      <c r="D171" s="743"/>
      <c r="E171" s="915"/>
      <c r="F171" s="726"/>
      <c r="G171" s="726"/>
      <c r="H171" s="726"/>
      <c r="I171" s="725"/>
      <c r="J171" s="725"/>
      <c r="K171" s="725"/>
      <c r="L171" s="923"/>
      <c r="M171" s="756"/>
      <c r="N171" s="756"/>
      <c r="O171" s="756"/>
      <c r="P171" s="756"/>
      <c r="Q171" s="756"/>
      <c r="R171" s="756"/>
      <c r="S171" s="923"/>
      <c r="T171" s="756"/>
      <c r="U171" s="756"/>
      <c r="V171" s="756"/>
      <c r="W171" s="756"/>
      <c r="X171" s="756"/>
      <c r="Y171" s="756"/>
      <c r="Z171" s="923"/>
      <c r="AA171" s="756"/>
      <c r="AB171" s="756"/>
      <c r="AC171" s="756"/>
      <c r="AD171" s="756"/>
      <c r="AE171" s="774"/>
      <c r="AF171" s="756"/>
      <c r="AG171" s="897"/>
      <c r="AH171" s="819"/>
      <c r="AI171" s="786">
        <f t="shared" si="10"/>
        <v>0</v>
      </c>
      <c r="AJ171" s="725">
        <v>0</v>
      </c>
      <c r="AK171" s="726">
        <f t="shared" si="8"/>
        <v>0</v>
      </c>
      <c r="AL171" s="728" t="s">
        <v>1551</v>
      </c>
      <c r="AM171" s="729">
        <f t="shared" si="9"/>
        <v>1146.1400000000001</v>
      </c>
    </row>
    <row r="172" spans="1:39" s="730" customFormat="1" hidden="1">
      <c r="A172" s="720" t="s">
        <v>686</v>
      </c>
      <c r="B172" s="720" t="s">
        <v>1194</v>
      </c>
      <c r="C172" s="844"/>
      <c r="D172" s="743"/>
      <c r="E172" s="915"/>
      <c r="F172" s="726"/>
      <c r="G172" s="726"/>
      <c r="H172" s="726"/>
      <c r="I172" s="725"/>
      <c r="J172" s="725"/>
      <c r="K172" s="725"/>
      <c r="L172" s="923"/>
      <c r="M172" s="756"/>
      <c r="N172" s="756"/>
      <c r="O172" s="756"/>
      <c r="P172" s="756"/>
      <c r="Q172" s="756"/>
      <c r="R172" s="756"/>
      <c r="S172" s="923"/>
      <c r="T172" s="756"/>
      <c r="U172" s="756"/>
      <c r="V172" s="756"/>
      <c r="W172" s="756"/>
      <c r="X172" s="756"/>
      <c r="Y172" s="756"/>
      <c r="Z172" s="923"/>
      <c r="AA172" s="756"/>
      <c r="AB172" s="756"/>
      <c r="AC172" s="756"/>
      <c r="AD172" s="756"/>
      <c r="AE172" s="774"/>
      <c r="AF172" s="756"/>
      <c r="AG172" s="897"/>
      <c r="AH172" s="819"/>
      <c r="AI172" s="786">
        <f t="shared" si="10"/>
        <v>0</v>
      </c>
      <c r="AJ172" s="725">
        <v>0</v>
      </c>
      <c r="AK172" s="726">
        <f t="shared" si="8"/>
        <v>0</v>
      </c>
      <c r="AL172" s="728"/>
      <c r="AM172" s="729">
        <f t="shared" si="9"/>
        <v>0</v>
      </c>
    </row>
    <row r="173" spans="1:39" s="730" customFormat="1" hidden="1">
      <c r="A173" s="720" t="s">
        <v>687</v>
      </c>
      <c r="B173" s="720" t="s">
        <v>1195</v>
      </c>
      <c r="C173" s="823" t="s">
        <v>40</v>
      </c>
      <c r="D173" s="743"/>
      <c r="E173" s="915"/>
      <c r="F173" s="726"/>
      <c r="G173" s="726"/>
      <c r="H173" s="726"/>
      <c r="I173" s="725"/>
      <c r="J173" s="725"/>
      <c r="K173" s="725"/>
      <c r="L173" s="923"/>
      <c r="M173" s="756"/>
      <c r="N173" s="756"/>
      <c r="O173" s="756"/>
      <c r="P173" s="756"/>
      <c r="Q173" s="756"/>
      <c r="R173" s="756"/>
      <c r="S173" s="923"/>
      <c r="T173" s="756"/>
      <c r="U173" s="756"/>
      <c r="V173" s="756"/>
      <c r="W173" s="756"/>
      <c r="X173" s="756"/>
      <c r="Y173" s="756"/>
      <c r="Z173" s="923"/>
      <c r="AA173" s="756"/>
      <c r="AB173" s="756"/>
      <c r="AC173" s="756"/>
      <c r="AD173" s="756"/>
      <c r="AE173" s="774"/>
      <c r="AF173" s="756"/>
      <c r="AG173" s="897"/>
      <c r="AH173" s="819"/>
      <c r="AI173" s="786">
        <f t="shared" si="10"/>
        <v>0</v>
      </c>
      <c r="AJ173" s="725">
        <v>0</v>
      </c>
      <c r="AK173" s="726">
        <f t="shared" si="8"/>
        <v>0</v>
      </c>
      <c r="AL173" s="728" t="s">
        <v>1552</v>
      </c>
      <c r="AM173" s="729">
        <f t="shared" si="9"/>
        <v>2.57</v>
      </c>
    </row>
    <row r="174" spans="1:39" s="730" customFormat="1" hidden="1">
      <c r="A174" s="720" t="s">
        <v>688</v>
      </c>
      <c r="B174" s="720" t="s">
        <v>1196</v>
      </c>
      <c r="C174" s="823" t="s">
        <v>37</v>
      </c>
      <c r="D174" s="743"/>
      <c r="E174" s="915"/>
      <c r="F174" s="726"/>
      <c r="G174" s="726"/>
      <c r="H174" s="726"/>
      <c r="I174" s="725"/>
      <c r="J174" s="725"/>
      <c r="K174" s="725"/>
      <c r="L174" s="923"/>
      <c r="M174" s="756"/>
      <c r="N174" s="756"/>
      <c r="O174" s="756"/>
      <c r="P174" s="756"/>
      <c r="Q174" s="756"/>
      <c r="R174" s="756"/>
      <c r="S174" s="923"/>
      <c r="T174" s="756"/>
      <c r="U174" s="756"/>
      <c r="V174" s="756"/>
      <c r="W174" s="756"/>
      <c r="X174" s="756"/>
      <c r="Y174" s="756"/>
      <c r="Z174" s="923"/>
      <c r="AA174" s="756"/>
      <c r="AB174" s="756"/>
      <c r="AC174" s="756"/>
      <c r="AD174" s="756"/>
      <c r="AE174" s="774"/>
      <c r="AF174" s="756"/>
      <c r="AG174" s="897"/>
      <c r="AH174" s="819"/>
      <c r="AI174" s="786">
        <f t="shared" si="10"/>
        <v>0</v>
      </c>
      <c r="AJ174" s="725">
        <v>0</v>
      </c>
      <c r="AK174" s="726">
        <f t="shared" si="8"/>
        <v>0</v>
      </c>
      <c r="AL174" s="728" t="s">
        <v>1494</v>
      </c>
      <c r="AM174" s="729">
        <f t="shared" si="9"/>
        <v>34.270000000000003</v>
      </c>
    </row>
    <row r="175" spans="1:39" s="730" customFormat="1" hidden="1">
      <c r="A175" s="720" t="s">
        <v>689</v>
      </c>
      <c r="B175" s="720" t="s">
        <v>1197</v>
      </c>
      <c r="C175" s="823" t="s">
        <v>48</v>
      </c>
      <c r="D175" s="743"/>
      <c r="E175" s="915"/>
      <c r="F175" s="726"/>
      <c r="G175" s="726"/>
      <c r="H175" s="726"/>
      <c r="I175" s="725"/>
      <c r="J175" s="725"/>
      <c r="K175" s="725"/>
      <c r="L175" s="923"/>
      <c r="M175" s="756"/>
      <c r="N175" s="756"/>
      <c r="O175" s="756"/>
      <c r="P175" s="756"/>
      <c r="Q175" s="756"/>
      <c r="R175" s="756"/>
      <c r="S175" s="923"/>
      <c r="T175" s="756"/>
      <c r="U175" s="756"/>
      <c r="V175" s="756"/>
      <c r="W175" s="756"/>
      <c r="X175" s="756"/>
      <c r="Y175" s="756"/>
      <c r="Z175" s="923"/>
      <c r="AA175" s="756"/>
      <c r="AB175" s="756"/>
      <c r="AC175" s="756"/>
      <c r="AD175" s="756"/>
      <c r="AE175" s="774"/>
      <c r="AF175" s="756"/>
      <c r="AG175" s="897"/>
      <c r="AH175" s="819"/>
      <c r="AI175" s="786">
        <f t="shared" si="10"/>
        <v>0</v>
      </c>
      <c r="AJ175" s="725">
        <v>0</v>
      </c>
      <c r="AK175" s="726">
        <f t="shared" si="8"/>
        <v>0</v>
      </c>
      <c r="AL175" s="728" t="s">
        <v>1553</v>
      </c>
      <c r="AM175" s="729">
        <f t="shared" si="9"/>
        <v>178.66</v>
      </c>
    </row>
    <row r="176" spans="1:39" s="730" customFormat="1" hidden="1">
      <c r="A176" s="831" t="s">
        <v>690</v>
      </c>
      <c r="B176" s="831" t="s">
        <v>1198</v>
      </c>
      <c r="C176" s="844"/>
      <c r="D176" s="743"/>
      <c r="E176" s="915"/>
      <c r="F176" s="726"/>
      <c r="G176" s="726"/>
      <c r="H176" s="726"/>
      <c r="I176" s="725"/>
      <c r="J176" s="725"/>
      <c r="K176" s="725"/>
      <c r="L176" s="923"/>
      <c r="M176" s="756"/>
      <c r="N176" s="756"/>
      <c r="O176" s="756"/>
      <c r="P176" s="756"/>
      <c r="Q176" s="756"/>
      <c r="R176" s="756"/>
      <c r="S176" s="923"/>
      <c r="T176" s="756"/>
      <c r="U176" s="756"/>
      <c r="V176" s="756"/>
      <c r="W176" s="756"/>
      <c r="X176" s="756"/>
      <c r="Y176" s="756"/>
      <c r="Z176" s="923"/>
      <c r="AA176" s="756"/>
      <c r="AB176" s="756"/>
      <c r="AC176" s="756"/>
      <c r="AD176" s="756"/>
      <c r="AE176" s="774"/>
      <c r="AF176" s="756"/>
      <c r="AG176" s="897"/>
      <c r="AH176" s="819"/>
      <c r="AI176" s="786">
        <f t="shared" si="10"/>
        <v>0</v>
      </c>
      <c r="AJ176" s="725">
        <v>0</v>
      </c>
      <c r="AK176" s="726">
        <f t="shared" si="8"/>
        <v>0</v>
      </c>
      <c r="AL176" s="728"/>
      <c r="AM176" s="729">
        <f t="shared" si="9"/>
        <v>0</v>
      </c>
    </row>
    <row r="177" spans="1:39" s="730" customFormat="1" hidden="1">
      <c r="A177" s="720" t="s">
        <v>691</v>
      </c>
      <c r="B177" s="720" t="s">
        <v>1199</v>
      </c>
      <c r="C177" s="823" t="s">
        <v>38</v>
      </c>
      <c r="D177" s="743"/>
      <c r="E177" s="915"/>
      <c r="F177" s="726"/>
      <c r="G177" s="726"/>
      <c r="H177" s="726"/>
      <c r="I177" s="725"/>
      <c r="J177" s="725"/>
      <c r="K177" s="725"/>
      <c r="L177" s="923"/>
      <c r="M177" s="756"/>
      <c r="N177" s="756"/>
      <c r="O177" s="756"/>
      <c r="P177" s="756"/>
      <c r="Q177" s="756"/>
      <c r="R177" s="756"/>
      <c r="S177" s="923"/>
      <c r="T177" s="756"/>
      <c r="U177" s="756"/>
      <c r="V177" s="756"/>
      <c r="W177" s="756"/>
      <c r="X177" s="756"/>
      <c r="Y177" s="756"/>
      <c r="Z177" s="923"/>
      <c r="AA177" s="756"/>
      <c r="AB177" s="756"/>
      <c r="AC177" s="756"/>
      <c r="AD177" s="756"/>
      <c r="AE177" s="774"/>
      <c r="AF177" s="756"/>
      <c r="AG177" s="897"/>
      <c r="AH177" s="819"/>
      <c r="AI177" s="786">
        <f t="shared" si="10"/>
        <v>0</v>
      </c>
      <c r="AJ177" s="725">
        <v>0</v>
      </c>
      <c r="AK177" s="726">
        <f t="shared" si="8"/>
        <v>0</v>
      </c>
      <c r="AL177" s="728" t="s">
        <v>1554</v>
      </c>
      <c r="AM177" s="729">
        <f t="shared" si="9"/>
        <v>377.52</v>
      </c>
    </row>
    <row r="178" spans="1:39" s="730" customFormat="1">
      <c r="A178" s="831" t="s">
        <v>692</v>
      </c>
      <c r="B178" s="831" t="s">
        <v>1200</v>
      </c>
      <c r="C178" s="823"/>
      <c r="D178" s="743"/>
      <c r="E178" s="915"/>
      <c r="F178" s="726"/>
      <c r="G178" s="726"/>
      <c r="H178" s="726"/>
      <c r="I178" s="725"/>
      <c r="J178" s="725"/>
      <c r="K178" s="725"/>
      <c r="L178" s="923"/>
      <c r="M178" s="756"/>
      <c r="N178" s="756"/>
      <c r="O178" s="756"/>
      <c r="P178" s="756"/>
      <c r="Q178" s="756"/>
      <c r="R178" s="756"/>
      <c r="S178" s="923"/>
      <c r="T178" s="756"/>
      <c r="U178" s="756"/>
      <c r="V178" s="756"/>
      <c r="W178" s="756"/>
      <c r="X178" s="756"/>
      <c r="Y178" s="756"/>
      <c r="Z178" s="923"/>
      <c r="AA178" s="756"/>
      <c r="AB178" s="756"/>
      <c r="AC178" s="756"/>
      <c r="AD178" s="756"/>
      <c r="AE178" s="774"/>
      <c r="AF178" s="756"/>
      <c r="AG178" s="897"/>
      <c r="AH178" s="819"/>
      <c r="AI178" s="786">
        <f t="shared" si="10"/>
        <v>0</v>
      </c>
      <c r="AJ178" s="725">
        <v>0</v>
      </c>
      <c r="AK178" s="726">
        <f t="shared" si="8"/>
        <v>0</v>
      </c>
      <c r="AL178" s="728"/>
      <c r="AM178" s="729">
        <f t="shared" si="9"/>
        <v>0</v>
      </c>
    </row>
    <row r="179" spans="1:39" s="730" customFormat="1" hidden="1">
      <c r="A179" s="720" t="s">
        <v>693</v>
      </c>
      <c r="B179" s="720" t="s">
        <v>1201</v>
      </c>
      <c r="C179" s="823" t="s">
        <v>38</v>
      </c>
      <c r="D179" s="743"/>
      <c r="E179" s="915"/>
      <c r="F179" s="726"/>
      <c r="G179" s="726"/>
      <c r="H179" s="726"/>
      <c r="I179" s="725"/>
      <c r="J179" s="725"/>
      <c r="K179" s="725"/>
      <c r="L179" s="923"/>
      <c r="M179" s="756"/>
      <c r="N179" s="756"/>
      <c r="O179" s="756"/>
      <c r="P179" s="756"/>
      <c r="Q179" s="756"/>
      <c r="R179" s="756"/>
      <c r="S179" s="923"/>
      <c r="T179" s="756"/>
      <c r="U179" s="756"/>
      <c r="V179" s="756"/>
      <c r="W179" s="756"/>
      <c r="X179" s="756"/>
      <c r="Y179" s="756"/>
      <c r="Z179" s="923"/>
      <c r="AA179" s="756"/>
      <c r="AB179" s="756"/>
      <c r="AC179" s="756"/>
      <c r="AD179" s="756"/>
      <c r="AE179" s="774"/>
      <c r="AF179" s="756"/>
      <c r="AG179" s="897"/>
      <c r="AH179" s="819"/>
      <c r="AI179" s="786">
        <f t="shared" si="10"/>
        <v>0</v>
      </c>
      <c r="AJ179" s="725">
        <v>0</v>
      </c>
      <c r="AK179" s="726">
        <f t="shared" si="8"/>
        <v>0</v>
      </c>
      <c r="AL179" s="728" t="s">
        <v>1555</v>
      </c>
      <c r="AM179" s="729">
        <f t="shared" si="9"/>
        <v>75.400000000000006</v>
      </c>
    </row>
    <row r="180" spans="1:39" s="730" customFormat="1">
      <c r="A180" s="720" t="s">
        <v>694</v>
      </c>
      <c r="B180" s="720" t="s">
        <v>225</v>
      </c>
      <c r="C180" s="823" t="s">
        <v>1450</v>
      </c>
      <c r="D180" s="743"/>
      <c r="E180" s="915"/>
      <c r="F180" s="726"/>
      <c r="G180" s="726"/>
      <c r="H180" s="726"/>
      <c r="I180" s="725"/>
      <c r="J180" s="725"/>
      <c r="K180" s="725"/>
      <c r="L180" s="923"/>
      <c r="M180" s="756"/>
      <c r="N180" s="756"/>
      <c r="O180" s="756"/>
      <c r="P180" s="756"/>
      <c r="Q180" s="756"/>
      <c r="R180" s="756"/>
      <c r="S180" s="923"/>
      <c r="T180" s="756"/>
      <c r="U180" s="756"/>
      <c r="V180" s="756"/>
      <c r="W180" s="756"/>
      <c r="X180" s="756"/>
      <c r="Y180" s="756"/>
      <c r="Z180" s="923"/>
      <c r="AA180" s="756"/>
      <c r="AB180" s="756"/>
      <c r="AC180" s="756"/>
      <c r="AD180" s="756"/>
      <c r="AE180" s="774"/>
      <c r="AF180" s="756"/>
      <c r="AG180" s="897"/>
      <c r="AH180" s="909">
        <v>3</v>
      </c>
      <c r="AI180" s="786">
        <f t="shared" si="10"/>
        <v>3</v>
      </c>
      <c r="AJ180" s="725">
        <v>0</v>
      </c>
      <c r="AK180" s="726">
        <f t="shared" si="8"/>
        <v>3</v>
      </c>
      <c r="AL180" s="728" t="s">
        <v>1493</v>
      </c>
      <c r="AM180" s="729">
        <f t="shared" si="9"/>
        <v>12</v>
      </c>
    </row>
    <row r="181" spans="1:39" s="500" customFormat="1" hidden="1">
      <c r="A181" s="440" t="s">
        <v>516</v>
      </c>
      <c r="B181" s="543" t="s">
        <v>1210</v>
      </c>
      <c r="C181" s="616"/>
      <c r="D181" s="519"/>
      <c r="E181" s="915"/>
      <c r="F181" s="520"/>
      <c r="G181" s="520"/>
      <c r="H181" s="520"/>
      <c r="I181" s="521"/>
      <c r="J181" s="521"/>
      <c r="K181" s="521"/>
      <c r="L181" s="923"/>
      <c r="M181" s="514"/>
      <c r="N181" s="514"/>
      <c r="O181" s="514"/>
      <c r="P181" s="514"/>
      <c r="Q181" s="514"/>
      <c r="R181" s="514"/>
      <c r="S181" s="923"/>
      <c r="T181" s="514"/>
      <c r="U181" s="514"/>
      <c r="V181" s="514"/>
      <c r="W181" s="514"/>
      <c r="X181" s="514"/>
      <c r="Y181" s="514"/>
      <c r="Z181" s="923"/>
      <c r="AA181" s="514"/>
      <c r="AB181" s="514"/>
      <c r="AC181" s="514"/>
      <c r="AD181" s="514"/>
      <c r="AE181" s="774"/>
      <c r="AF181" s="514"/>
      <c r="AG181" s="897"/>
      <c r="AH181" s="789"/>
      <c r="AI181" s="786">
        <f t="shared" si="10"/>
        <v>0</v>
      </c>
      <c r="AJ181" s="521">
        <v>0</v>
      </c>
      <c r="AK181" s="520">
        <f t="shared" si="8"/>
        <v>0</v>
      </c>
      <c r="AL181" s="672"/>
      <c r="AM181" s="669">
        <f t="shared" si="9"/>
        <v>0</v>
      </c>
    </row>
    <row r="182" spans="1:39" s="500" customFormat="1" hidden="1">
      <c r="A182" s="542" t="s">
        <v>517</v>
      </c>
      <c r="B182" s="542" t="s">
        <v>46</v>
      </c>
      <c r="C182" s="616"/>
      <c r="D182" s="519"/>
      <c r="E182" s="915"/>
      <c r="F182" s="520"/>
      <c r="G182" s="520"/>
      <c r="H182" s="520"/>
      <c r="I182" s="521"/>
      <c r="J182" s="521"/>
      <c r="K182" s="521"/>
      <c r="L182" s="923"/>
      <c r="M182" s="514"/>
      <c r="N182" s="514"/>
      <c r="O182" s="514"/>
      <c r="P182" s="514"/>
      <c r="Q182" s="514"/>
      <c r="R182" s="514"/>
      <c r="S182" s="923"/>
      <c r="T182" s="514"/>
      <c r="U182" s="514"/>
      <c r="V182" s="514"/>
      <c r="W182" s="514"/>
      <c r="X182" s="514"/>
      <c r="Y182" s="514"/>
      <c r="Z182" s="923"/>
      <c r="AA182" s="514"/>
      <c r="AB182" s="514"/>
      <c r="AC182" s="514"/>
      <c r="AD182" s="514"/>
      <c r="AE182" s="774"/>
      <c r="AF182" s="514"/>
      <c r="AG182" s="897"/>
      <c r="AH182" s="789"/>
      <c r="AI182" s="786">
        <f t="shared" si="10"/>
        <v>0</v>
      </c>
      <c r="AJ182" s="521">
        <v>0</v>
      </c>
      <c r="AK182" s="520">
        <f t="shared" si="8"/>
        <v>0</v>
      </c>
      <c r="AL182" s="672"/>
      <c r="AM182" s="669">
        <f t="shared" si="9"/>
        <v>0</v>
      </c>
    </row>
    <row r="183" spans="1:39" s="500" customFormat="1" hidden="1">
      <c r="A183" s="539" t="s">
        <v>695</v>
      </c>
      <c r="B183" s="539" t="s">
        <v>1156</v>
      </c>
      <c r="C183" s="548" t="s">
        <v>40</v>
      </c>
      <c r="D183" s="519"/>
      <c r="E183" s="915"/>
      <c r="F183" s="520"/>
      <c r="G183" s="520"/>
      <c r="H183" s="520"/>
      <c r="I183" s="521"/>
      <c r="J183" s="521"/>
      <c r="K183" s="521"/>
      <c r="L183" s="923"/>
      <c r="M183" s="514"/>
      <c r="N183" s="514"/>
      <c r="O183" s="514"/>
      <c r="P183" s="514"/>
      <c r="Q183" s="514"/>
      <c r="R183" s="514"/>
      <c r="S183" s="923"/>
      <c r="T183" s="514"/>
      <c r="U183" s="514"/>
      <c r="V183" s="514"/>
      <c r="W183" s="514"/>
      <c r="X183" s="514"/>
      <c r="Y183" s="514"/>
      <c r="Z183" s="923"/>
      <c r="AA183" s="514"/>
      <c r="AB183" s="514"/>
      <c r="AC183" s="514"/>
      <c r="AD183" s="514"/>
      <c r="AE183" s="774"/>
      <c r="AF183" s="514"/>
      <c r="AG183" s="897"/>
      <c r="AH183" s="789"/>
      <c r="AI183" s="786">
        <f t="shared" si="10"/>
        <v>0</v>
      </c>
      <c r="AJ183" s="521">
        <v>0</v>
      </c>
      <c r="AK183" s="520">
        <f t="shared" si="8"/>
        <v>0</v>
      </c>
      <c r="AL183" s="672" t="s">
        <v>1556</v>
      </c>
      <c r="AM183" s="669">
        <f t="shared" si="9"/>
        <v>39.86</v>
      </c>
    </row>
    <row r="184" spans="1:39" s="500" customFormat="1" hidden="1">
      <c r="A184" s="539" t="s">
        <v>696</v>
      </c>
      <c r="B184" s="539" t="s">
        <v>1157</v>
      </c>
      <c r="C184" s="548" t="s">
        <v>40</v>
      </c>
      <c r="D184" s="519"/>
      <c r="E184" s="915"/>
      <c r="F184" s="520"/>
      <c r="G184" s="520"/>
      <c r="H184" s="520"/>
      <c r="I184" s="521"/>
      <c r="J184" s="521"/>
      <c r="K184" s="521"/>
      <c r="L184" s="923"/>
      <c r="M184" s="514"/>
      <c r="N184" s="514"/>
      <c r="O184" s="514"/>
      <c r="P184" s="514"/>
      <c r="Q184" s="514"/>
      <c r="R184" s="514"/>
      <c r="S184" s="923"/>
      <c r="T184" s="514"/>
      <c r="U184" s="514"/>
      <c r="V184" s="514"/>
      <c r="W184" s="514"/>
      <c r="X184" s="514"/>
      <c r="Y184" s="514"/>
      <c r="Z184" s="923"/>
      <c r="AA184" s="514"/>
      <c r="AB184" s="514"/>
      <c r="AC184" s="514"/>
      <c r="AD184" s="514"/>
      <c r="AE184" s="774"/>
      <c r="AF184" s="514"/>
      <c r="AG184" s="897"/>
      <c r="AH184" s="789"/>
      <c r="AI184" s="786">
        <f t="shared" si="10"/>
        <v>0</v>
      </c>
      <c r="AJ184" s="521">
        <v>0</v>
      </c>
      <c r="AK184" s="520">
        <f t="shared" si="8"/>
        <v>0</v>
      </c>
      <c r="AL184" s="672" t="s">
        <v>1557</v>
      </c>
      <c r="AM184" s="669">
        <f t="shared" si="9"/>
        <v>9.1</v>
      </c>
    </row>
    <row r="185" spans="1:39" s="500" customFormat="1" hidden="1">
      <c r="A185" s="539" t="s">
        <v>697</v>
      </c>
      <c r="B185" s="539" t="s">
        <v>1158</v>
      </c>
      <c r="C185" s="548" t="s">
        <v>40</v>
      </c>
      <c r="D185" s="519"/>
      <c r="E185" s="915"/>
      <c r="F185" s="520"/>
      <c r="G185" s="520"/>
      <c r="H185" s="520"/>
      <c r="I185" s="521"/>
      <c r="J185" s="521"/>
      <c r="K185" s="521"/>
      <c r="L185" s="923"/>
      <c r="M185" s="514"/>
      <c r="N185" s="514"/>
      <c r="O185" s="514"/>
      <c r="P185" s="514"/>
      <c r="Q185" s="514"/>
      <c r="R185" s="514"/>
      <c r="S185" s="923"/>
      <c r="T185" s="514"/>
      <c r="U185" s="514"/>
      <c r="V185" s="514"/>
      <c r="W185" s="514"/>
      <c r="X185" s="514"/>
      <c r="Y185" s="514"/>
      <c r="Z185" s="923"/>
      <c r="AA185" s="514"/>
      <c r="AB185" s="514"/>
      <c r="AC185" s="514"/>
      <c r="AD185" s="514"/>
      <c r="AE185" s="774"/>
      <c r="AF185" s="514"/>
      <c r="AG185" s="897"/>
      <c r="AH185" s="789"/>
      <c r="AI185" s="786">
        <f t="shared" si="10"/>
        <v>0</v>
      </c>
      <c r="AJ185" s="521">
        <v>0</v>
      </c>
      <c r="AK185" s="520">
        <f t="shared" si="8"/>
        <v>0</v>
      </c>
      <c r="AL185" s="672" t="s">
        <v>1558</v>
      </c>
      <c r="AM185" s="669">
        <f t="shared" si="9"/>
        <v>15.72</v>
      </c>
    </row>
    <row r="186" spans="1:39" s="500" customFormat="1" hidden="1">
      <c r="A186" s="539" t="s">
        <v>698</v>
      </c>
      <c r="B186" s="539" t="s">
        <v>1159</v>
      </c>
      <c r="C186" s="548" t="s">
        <v>37</v>
      </c>
      <c r="D186" s="519"/>
      <c r="E186" s="915"/>
      <c r="F186" s="520"/>
      <c r="G186" s="520"/>
      <c r="H186" s="520"/>
      <c r="I186" s="521"/>
      <c r="J186" s="521"/>
      <c r="K186" s="521"/>
      <c r="L186" s="923"/>
      <c r="M186" s="514"/>
      <c r="N186" s="514"/>
      <c r="O186" s="514"/>
      <c r="P186" s="514"/>
      <c r="Q186" s="514"/>
      <c r="R186" s="514"/>
      <c r="S186" s="923"/>
      <c r="T186" s="514"/>
      <c r="U186" s="514"/>
      <c r="V186" s="514"/>
      <c r="W186" s="514"/>
      <c r="X186" s="514"/>
      <c r="Y186" s="514"/>
      <c r="Z186" s="923"/>
      <c r="AA186" s="514"/>
      <c r="AB186" s="514"/>
      <c r="AC186" s="514"/>
      <c r="AD186" s="514"/>
      <c r="AE186" s="774"/>
      <c r="AF186" s="514"/>
      <c r="AG186" s="897"/>
      <c r="AH186" s="789"/>
      <c r="AI186" s="786">
        <f t="shared" si="10"/>
        <v>0</v>
      </c>
      <c r="AJ186" s="521">
        <v>0</v>
      </c>
      <c r="AK186" s="520">
        <f t="shared" si="8"/>
        <v>0</v>
      </c>
      <c r="AL186" s="672" t="s">
        <v>1559</v>
      </c>
      <c r="AM186" s="669">
        <f t="shared" si="9"/>
        <v>22.03</v>
      </c>
    </row>
    <row r="187" spans="1:39" s="500" customFormat="1" hidden="1">
      <c r="A187" s="539" t="s">
        <v>699</v>
      </c>
      <c r="B187" s="539" t="s">
        <v>1160</v>
      </c>
      <c r="C187" s="548" t="s">
        <v>40</v>
      </c>
      <c r="D187" s="519"/>
      <c r="E187" s="915"/>
      <c r="F187" s="520"/>
      <c r="G187" s="520"/>
      <c r="H187" s="520"/>
      <c r="I187" s="521"/>
      <c r="J187" s="521"/>
      <c r="K187" s="521"/>
      <c r="L187" s="923"/>
      <c r="M187" s="514"/>
      <c r="N187" s="514"/>
      <c r="O187" s="514"/>
      <c r="P187" s="514"/>
      <c r="Q187" s="514"/>
      <c r="R187" s="514"/>
      <c r="S187" s="923"/>
      <c r="T187" s="514"/>
      <c r="U187" s="514"/>
      <c r="V187" s="514"/>
      <c r="W187" s="514"/>
      <c r="X187" s="514"/>
      <c r="Y187" s="514"/>
      <c r="Z187" s="923"/>
      <c r="AA187" s="514"/>
      <c r="AB187" s="514"/>
      <c r="AC187" s="514"/>
      <c r="AD187" s="514"/>
      <c r="AE187" s="774"/>
      <c r="AF187" s="514"/>
      <c r="AG187" s="897"/>
      <c r="AH187" s="789"/>
      <c r="AI187" s="786">
        <f t="shared" si="10"/>
        <v>0</v>
      </c>
      <c r="AJ187" s="521">
        <v>0</v>
      </c>
      <c r="AK187" s="520">
        <f t="shared" si="8"/>
        <v>0</v>
      </c>
      <c r="AL187" s="672" t="s">
        <v>1560</v>
      </c>
      <c r="AM187" s="669">
        <f t="shared" si="9"/>
        <v>41.56</v>
      </c>
    </row>
    <row r="188" spans="1:39" s="500" customFormat="1" hidden="1">
      <c r="A188" s="539" t="s">
        <v>700</v>
      </c>
      <c r="B188" s="539" t="s">
        <v>1161</v>
      </c>
      <c r="C188" s="548" t="s">
        <v>40</v>
      </c>
      <c r="D188" s="519"/>
      <c r="E188" s="915"/>
      <c r="F188" s="520"/>
      <c r="G188" s="520"/>
      <c r="H188" s="520"/>
      <c r="I188" s="521"/>
      <c r="J188" s="521"/>
      <c r="K188" s="521"/>
      <c r="L188" s="923"/>
      <c r="M188" s="514"/>
      <c r="N188" s="514"/>
      <c r="O188" s="514"/>
      <c r="P188" s="514"/>
      <c r="Q188" s="514"/>
      <c r="R188" s="514"/>
      <c r="S188" s="923"/>
      <c r="T188" s="514"/>
      <c r="U188" s="514"/>
      <c r="V188" s="514"/>
      <c r="W188" s="514"/>
      <c r="X188" s="514"/>
      <c r="Y188" s="514"/>
      <c r="Z188" s="923"/>
      <c r="AA188" s="514"/>
      <c r="AB188" s="514"/>
      <c r="AC188" s="514"/>
      <c r="AD188" s="514"/>
      <c r="AE188" s="774"/>
      <c r="AF188" s="514"/>
      <c r="AG188" s="897"/>
      <c r="AH188" s="789"/>
      <c r="AI188" s="786">
        <f t="shared" si="10"/>
        <v>0</v>
      </c>
      <c r="AJ188" s="521">
        <v>0</v>
      </c>
      <c r="AK188" s="520">
        <f t="shared" si="8"/>
        <v>0</v>
      </c>
      <c r="AL188" s="672" t="s">
        <v>1560</v>
      </c>
      <c r="AM188" s="669">
        <f t="shared" si="9"/>
        <v>41.56</v>
      </c>
    </row>
    <row r="189" spans="1:39" s="500" customFormat="1" hidden="1">
      <c r="A189" s="542" t="s">
        <v>701</v>
      </c>
      <c r="B189" s="542" t="s">
        <v>1162</v>
      </c>
      <c r="C189" s="616"/>
      <c r="D189" s="519"/>
      <c r="E189" s="915"/>
      <c r="F189" s="520"/>
      <c r="G189" s="520"/>
      <c r="H189" s="520"/>
      <c r="I189" s="521"/>
      <c r="J189" s="521"/>
      <c r="K189" s="521"/>
      <c r="L189" s="923"/>
      <c r="M189" s="514"/>
      <c r="N189" s="514"/>
      <c r="O189" s="514"/>
      <c r="P189" s="514"/>
      <c r="Q189" s="514"/>
      <c r="R189" s="514"/>
      <c r="S189" s="923"/>
      <c r="T189" s="514"/>
      <c r="U189" s="514"/>
      <c r="V189" s="514"/>
      <c r="W189" s="514"/>
      <c r="X189" s="514"/>
      <c r="Y189" s="514"/>
      <c r="Z189" s="923"/>
      <c r="AA189" s="514"/>
      <c r="AB189" s="514"/>
      <c r="AC189" s="514"/>
      <c r="AD189" s="514"/>
      <c r="AE189" s="774"/>
      <c r="AF189" s="514"/>
      <c r="AG189" s="897"/>
      <c r="AH189" s="789"/>
      <c r="AI189" s="786">
        <f t="shared" si="10"/>
        <v>0</v>
      </c>
      <c r="AJ189" s="521">
        <v>0</v>
      </c>
      <c r="AK189" s="520">
        <f t="shared" si="8"/>
        <v>0</v>
      </c>
      <c r="AL189" s="672"/>
      <c r="AM189" s="669">
        <f t="shared" si="9"/>
        <v>0</v>
      </c>
    </row>
    <row r="190" spans="1:39" s="500" customFormat="1" hidden="1">
      <c r="A190" s="539" t="s">
        <v>702</v>
      </c>
      <c r="B190" s="539" t="s">
        <v>1163</v>
      </c>
      <c r="C190" s="548" t="s">
        <v>40</v>
      </c>
      <c r="D190" s="519"/>
      <c r="E190" s="915"/>
      <c r="F190" s="520"/>
      <c r="G190" s="520"/>
      <c r="H190" s="520"/>
      <c r="I190" s="521"/>
      <c r="J190" s="521"/>
      <c r="K190" s="521"/>
      <c r="L190" s="923"/>
      <c r="M190" s="514"/>
      <c r="N190" s="514"/>
      <c r="O190" s="514"/>
      <c r="P190" s="514"/>
      <c r="Q190" s="514"/>
      <c r="R190" s="514"/>
      <c r="S190" s="923"/>
      <c r="T190" s="514"/>
      <c r="U190" s="514"/>
      <c r="V190" s="514"/>
      <c r="W190" s="514"/>
      <c r="X190" s="514"/>
      <c r="Y190" s="514"/>
      <c r="Z190" s="923"/>
      <c r="AA190" s="514"/>
      <c r="AB190" s="514"/>
      <c r="AC190" s="514"/>
      <c r="AD190" s="514"/>
      <c r="AE190" s="774"/>
      <c r="AF190" s="514"/>
      <c r="AG190" s="897"/>
      <c r="AH190" s="789"/>
      <c r="AI190" s="786">
        <f t="shared" si="10"/>
        <v>0</v>
      </c>
      <c r="AJ190" s="521">
        <v>0</v>
      </c>
      <c r="AK190" s="520">
        <f t="shared" si="8"/>
        <v>0</v>
      </c>
      <c r="AL190" s="672" t="s">
        <v>1561</v>
      </c>
      <c r="AM190" s="669">
        <f t="shared" si="9"/>
        <v>20.28</v>
      </c>
    </row>
    <row r="191" spans="1:39" s="500" customFormat="1" hidden="1">
      <c r="A191" s="539" t="s">
        <v>703</v>
      </c>
      <c r="B191" s="539" t="s">
        <v>1203</v>
      </c>
      <c r="C191" s="548" t="s">
        <v>37</v>
      </c>
      <c r="D191" s="519"/>
      <c r="E191" s="915"/>
      <c r="F191" s="520"/>
      <c r="G191" s="520"/>
      <c r="H191" s="520"/>
      <c r="I191" s="521"/>
      <c r="J191" s="521"/>
      <c r="K191" s="521"/>
      <c r="L191" s="923"/>
      <c r="M191" s="514"/>
      <c r="N191" s="514"/>
      <c r="O191" s="514"/>
      <c r="P191" s="514"/>
      <c r="Q191" s="514"/>
      <c r="R191" s="514"/>
      <c r="S191" s="923"/>
      <c r="T191" s="514"/>
      <c r="U191" s="514"/>
      <c r="V191" s="514"/>
      <c r="W191" s="514"/>
      <c r="X191" s="514"/>
      <c r="Y191" s="514"/>
      <c r="Z191" s="923"/>
      <c r="AA191" s="514"/>
      <c r="AB191" s="514"/>
      <c r="AC191" s="514"/>
      <c r="AD191" s="514"/>
      <c r="AE191" s="774"/>
      <c r="AF191" s="514"/>
      <c r="AG191" s="897"/>
      <c r="AH191" s="789"/>
      <c r="AI191" s="786">
        <f t="shared" si="10"/>
        <v>0</v>
      </c>
      <c r="AJ191" s="521">
        <v>0</v>
      </c>
      <c r="AK191" s="520">
        <f t="shared" si="8"/>
        <v>0</v>
      </c>
      <c r="AL191" s="672" t="s">
        <v>1562</v>
      </c>
      <c r="AM191" s="669">
        <f t="shared" si="9"/>
        <v>14.79</v>
      </c>
    </row>
    <row r="192" spans="1:39" s="500" customFormat="1" hidden="1">
      <c r="A192" s="539" t="s">
        <v>704</v>
      </c>
      <c r="B192" s="539" t="s">
        <v>1204</v>
      </c>
      <c r="C192" s="548" t="s">
        <v>40</v>
      </c>
      <c r="D192" s="519"/>
      <c r="E192" s="915"/>
      <c r="F192" s="520"/>
      <c r="G192" s="520"/>
      <c r="H192" s="520"/>
      <c r="I192" s="521"/>
      <c r="J192" s="521"/>
      <c r="K192" s="521"/>
      <c r="L192" s="923"/>
      <c r="M192" s="514"/>
      <c r="N192" s="514"/>
      <c r="O192" s="514"/>
      <c r="P192" s="514"/>
      <c r="Q192" s="514"/>
      <c r="R192" s="514"/>
      <c r="S192" s="923"/>
      <c r="T192" s="514"/>
      <c r="U192" s="514"/>
      <c r="V192" s="514"/>
      <c r="W192" s="514"/>
      <c r="X192" s="514"/>
      <c r="Y192" s="514"/>
      <c r="Z192" s="923"/>
      <c r="AA192" s="514"/>
      <c r="AB192" s="514"/>
      <c r="AC192" s="514"/>
      <c r="AD192" s="514"/>
      <c r="AE192" s="774"/>
      <c r="AF192" s="514"/>
      <c r="AG192" s="897"/>
      <c r="AH192" s="789"/>
      <c r="AI192" s="786">
        <f t="shared" si="10"/>
        <v>0</v>
      </c>
      <c r="AJ192" s="521">
        <v>0</v>
      </c>
      <c r="AK192" s="520">
        <f t="shared" si="8"/>
        <v>0</v>
      </c>
      <c r="AL192" s="672" t="s">
        <v>1563</v>
      </c>
      <c r="AM192" s="669">
        <f t="shared" si="9"/>
        <v>3.22</v>
      </c>
    </row>
    <row r="193" spans="1:39" s="500" customFormat="1" hidden="1">
      <c r="A193" s="539" t="s">
        <v>705</v>
      </c>
      <c r="B193" s="539" t="s">
        <v>1205</v>
      </c>
      <c r="C193" s="548" t="s">
        <v>40</v>
      </c>
      <c r="D193" s="519"/>
      <c r="E193" s="915"/>
      <c r="F193" s="520"/>
      <c r="G193" s="520"/>
      <c r="H193" s="520"/>
      <c r="I193" s="521"/>
      <c r="J193" s="521"/>
      <c r="K193" s="521"/>
      <c r="L193" s="923"/>
      <c r="M193" s="514"/>
      <c r="N193" s="514"/>
      <c r="O193" s="514"/>
      <c r="P193" s="514"/>
      <c r="Q193" s="514"/>
      <c r="R193" s="514"/>
      <c r="S193" s="923"/>
      <c r="T193" s="514"/>
      <c r="U193" s="514"/>
      <c r="V193" s="514"/>
      <c r="W193" s="514"/>
      <c r="X193" s="514"/>
      <c r="Y193" s="514"/>
      <c r="Z193" s="923"/>
      <c r="AA193" s="514"/>
      <c r="AB193" s="514"/>
      <c r="AC193" s="514"/>
      <c r="AD193" s="514"/>
      <c r="AE193" s="774"/>
      <c r="AF193" s="514"/>
      <c r="AG193" s="897"/>
      <c r="AH193" s="789"/>
      <c r="AI193" s="786">
        <f t="shared" si="10"/>
        <v>0</v>
      </c>
      <c r="AJ193" s="521">
        <v>0</v>
      </c>
      <c r="AK193" s="520">
        <f t="shared" si="8"/>
        <v>0</v>
      </c>
      <c r="AL193" s="672" t="s">
        <v>1564</v>
      </c>
      <c r="AM193" s="669">
        <f t="shared" si="9"/>
        <v>1.61</v>
      </c>
    </row>
    <row r="194" spans="1:39" s="500" customFormat="1" hidden="1">
      <c r="A194" s="539" t="s">
        <v>706</v>
      </c>
      <c r="B194" s="539" t="s">
        <v>1167</v>
      </c>
      <c r="C194" s="548" t="s">
        <v>37</v>
      </c>
      <c r="D194" s="519"/>
      <c r="E194" s="915"/>
      <c r="F194" s="520"/>
      <c r="G194" s="520"/>
      <c r="H194" s="520"/>
      <c r="I194" s="521"/>
      <c r="J194" s="521"/>
      <c r="K194" s="521"/>
      <c r="L194" s="923"/>
      <c r="M194" s="514"/>
      <c r="N194" s="514"/>
      <c r="O194" s="514"/>
      <c r="P194" s="514"/>
      <c r="Q194" s="514"/>
      <c r="R194" s="514"/>
      <c r="S194" s="923"/>
      <c r="T194" s="514"/>
      <c r="U194" s="514"/>
      <c r="V194" s="514"/>
      <c r="W194" s="514"/>
      <c r="X194" s="514"/>
      <c r="Y194" s="514"/>
      <c r="Z194" s="923"/>
      <c r="AA194" s="514"/>
      <c r="AB194" s="514"/>
      <c r="AC194" s="514"/>
      <c r="AD194" s="514"/>
      <c r="AE194" s="774"/>
      <c r="AF194" s="514"/>
      <c r="AG194" s="897"/>
      <c r="AH194" s="789"/>
      <c r="AI194" s="786">
        <f t="shared" si="10"/>
        <v>0</v>
      </c>
      <c r="AJ194" s="521">
        <v>0</v>
      </c>
      <c r="AK194" s="520">
        <f t="shared" si="8"/>
        <v>0</v>
      </c>
      <c r="AL194" s="672" t="s">
        <v>1565</v>
      </c>
      <c r="AM194" s="669">
        <f t="shared" si="9"/>
        <v>42.4</v>
      </c>
    </row>
    <row r="195" spans="1:39" s="500" customFormat="1" hidden="1">
      <c r="A195" s="539" t="s">
        <v>707</v>
      </c>
      <c r="B195" s="539" t="s">
        <v>1168</v>
      </c>
      <c r="C195" s="548" t="s">
        <v>37</v>
      </c>
      <c r="D195" s="519"/>
      <c r="E195" s="915"/>
      <c r="F195" s="520"/>
      <c r="G195" s="520"/>
      <c r="H195" s="520"/>
      <c r="I195" s="521"/>
      <c r="J195" s="521"/>
      <c r="K195" s="521"/>
      <c r="L195" s="923"/>
      <c r="M195" s="514"/>
      <c r="N195" s="514"/>
      <c r="O195" s="514"/>
      <c r="P195" s="514"/>
      <c r="Q195" s="514"/>
      <c r="R195" s="514"/>
      <c r="S195" s="923"/>
      <c r="T195" s="514"/>
      <c r="U195" s="514"/>
      <c r="V195" s="514"/>
      <c r="W195" s="514"/>
      <c r="X195" s="514"/>
      <c r="Y195" s="514"/>
      <c r="Z195" s="923"/>
      <c r="AA195" s="514"/>
      <c r="AB195" s="514"/>
      <c r="AC195" s="514"/>
      <c r="AD195" s="514"/>
      <c r="AE195" s="774"/>
      <c r="AF195" s="514"/>
      <c r="AG195" s="897"/>
      <c r="AH195" s="789"/>
      <c r="AI195" s="786">
        <f t="shared" si="10"/>
        <v>0</v>
      </c>
      <c r="AJ195" s="521">
        <v>0</v>
      </c>
      <c r="AK195" s="520">
        <f t="shared" si="8"/>
        <v>0</v>
      </c>
      <c r="AL195" s="672" t="s">
        <v>1559</v>
      </c>
      <c r="AM195" s="669">
        <f t="shared" si="9"/>
        <v>22.03</v>
      </c>
    </row>
    <row r="196" spans="1:39" s="500" customFormat="1" hidden="1">
      <c r="A196" s="542" t="s">
        <v>708</v>
      </c>
      <c r="B196" s="542" t="s">
        <v>1169</v>
      </c>
      <c r="C196" s="616"/>
      <c r="D196" s="519"/>
      <c r="E196" s="915"/>
      <c r="F196" s="520"/>
      <c r="G196" s="520"/>
      <c r="H196" s="520"/>
      <c r="I196" s="521"/>
      <c r="J196" s="521"/>
      <c r="K196" s="521"/>
      <c r="L196" s="923"/>
      <c r="M196" s="514"/>
      <c r="N196" s="514"/>
      <c r="O196" s="514"/>
      <c r="P196" s="514"/>
      <c r="Q196" s="514"/>
      <c r="R196" s="514"/>
      <c r="S196" s="923"/>
      <c r="T196" s="514"/>
      <c r="U196" s="514"/>
      <c r="V196" s="514"/>
      <c r="W196" s="514"/>
      <c r="X196" s="514"/>
      <c r="Y196" s="514"/>
      <c r="Z196" s="923"/>
      <c r="AA196" s="514"/>
      <c r="AB196" s="514"/>
      <c r="AC196" s="514"/>
      <c r="AD196" s="514"/>
      <c r="AE196" s="774"/>
      <c r="AF196" s="514"/>
      <c r="AG196" s="897"/>
      <c r="AH196" s="789"/>
      <c r="AI196" s="786">
        <f t="shared" si="10"/>
        <v>0</v>
      </c>
      <c r="AJ196" s="521">
        <v>0</v>
      </c>
      <c r="AK196" s="520">
        <f t="shared" si="8"/>
        <v>0</v>
      </c>
      <c r="AL196" s="672"/>
      <c r="AM196" s="669">
        <f t="shared" si="9"/>
        <v>0</v>
      </c>
    </row>
    <row r="197" spans="1:39" s="500" customFormat="1" hidden="1">
      <c r="A197" s="539" t="s">
        <v>709</v>
      </c>
      <c r="B197" s="539" t="s">
        <v>1170</v>
      </c>
      <c r="C197" s="616"/>
      <c r="D197" s="519"/>
      <c r="E197" s="915"/>
      <c r="F197" s="520"/>
      <c r="G197" s="520"/>
      <c r="H197" s="520"/>
      <c r="I197" s="521"/>
      <c r="J197" s="521"/>
      <c r="K197" s="521"/>
      <c r="L197" s="923"/>
      <c r="M197" s="514"/>
      <c r="N197" s="514"/>
      <c r="O197" s="514"/>
      <c r="P197" s="514"/>
      <c r="Q197" s="514"/>
      <c r="R197" s="514"/>
      <c r="S197" s="923"/>
      <c r="T197" s="514"/>
      <c r="U197" s="514"/>
      <c r="V197" s="514"/>
      <c r="W197" s="514"/>
      <c r="X197" s="514"/>
      <c r="Y197" s="514"/>
      <c r="Z197" s="923"/>
      <c r="AA197" s="514"/>
      <c r="AB197" s="514"/>
      <c r="AC197" s="514"/>
      <c r="AD197" s="514"/>
      <c r="AE197" s="774"/>
      <c r="AF197" s="514"/>
      <c r="AG197" s="897"/>
      <c r="AH197" s="789"/>
      <c r="AI197" s="786">
        <f t="shared" si="10"/>
        <v>0</v>
      </c>
      <c r="AJ197" s="521">
        <v>0</v>
      </c>
      <c r="AK197" s="520">
        <f t="shared" si="8"/>
        <v>0</v>
      </c>
      <c r="AL197" s="672"/>
      <c r="AM197" s="669">
        <f t="shared" si="9"/>
        <v>0</v>
      </c>
    </row>
    <row r="198" spans="1:39" s="500" customFormat="1" hidden="1">
      <c r="A198" s="539" t="s">
        <v>710</v>
      </c>
      <c r="B198" s="539" t="s">
        <v>1206</v>
      </c>
      <c r="C198" s="548" t="s">
        <v>40</v>
      </c>
      <c r="D198" s="519"/>
      <c r="E198" s="915"/>
      <c r="F198" s="520"/>
      <c r="G198" s="520"/>
      <c r="H198" s="520"/>
      <c r="I198" s="521"/>
      <c r="J198" s="521"/>
      <c r="K198" s="521"/>
      <c r="L198" s="923"/>
      <c r="M198" s="514"/>
      <c r="N198" s="514"/>
      <c r="O198" s="514"/>
      <c r="P198" s="514"/>
      <c r="Q198" s="514"/>
      <c r="R198" s="514"/>
      <c r="S198" s="923"/>
      <c r="T198" s="514"/>
      <c r="U198" s="514"/>
      <c r="V198" s="514"/>
      <c r="W198" s="514"/>
      <c r="X198" s="514"/>
      <c r="Y198" s="514"/>
      <c r="Z198" s="923"/>
      <c r="AA198" s="514"/>
      <c r="AB198" s="514"/>
      <c r="AC198" s="514"/>
      <c r="AD198" s="514"/>
      <c r="AE198" s="774"/>
      <c r="AF198" s="514"/>
      <c r="AG198" s="897"/>
      <c r="AH198" s="789"/>
      <c r="AI198" s="786">
        <f t="shared" si="10"/>
        <v>0</v>
      </c>
      <c r="AJ198" s="521">
        <v>0</v>
      </c>
      <c r="AK198" s="520">
        <f t="shared" si="8"/>
        <v>0</v>
      </c>
      <c r="AL198" s="672" t="s">
        <v>1470</v>
      </c>
      <c r="AM198" s="669">
        <f t="shared" si="9"/>
        <v>4.6100000000000003</v>
      </c>
    </row>
    <row r="199" spans="1:39" s="500" customFormat="1" hidden="1">
      <c r="A199" s="539" t="s">
        <v>711</v>
      </c>
      <c r="B199" s="539" t="s">
        <v>1172</v>
      </c>
      <c r="C199" s="548" t="s">
        <v>48</v>
      </c>
      <c r="D199" s="519"/>
      <c r="E199" s="915"/>
      <c r="F199" s="520"/>
      <c r="G199" s="520"/>
      <c r="H199" s="520"/>
      <c r="I199" s="521"/>
      <c r="J199" s="521"/>
      <c r="K199" s="521"/>
      <c r="L199" s="923"/>
      <c r="M199" s="514"/>
      <c r="N199" s="514"/>
      <c r="O199" s="514"/>
      <c r="P199" s="514"/>
      <c r="Q199" s="514"/>
      <c r="R199" s="514"/>
      <c r="S199" s="923"/>
      <c r="T199" s="514"/>
      <c r="U199" s="514"/>
      <c r="V199" s="514"/>
      <c r="W199" s="514"/>
      <c r="X199" s="514"/>
      <c r="Y199" s="514"/>
      <c r="Z199" s="923"/>
      <c r="AA199" s="514"/>
      <c r="AB199" s="514"/>
      <c r="AC199" s="514"/>
      <c r="AD199" s="514"/>
      <c r="AE199" s="774"/>
      <c r="AF199" s="514"/>
      <c r="AG199" s="897"/>
      <c r="AH199" s="789"/>
      <c r="AI199" s="786">
        <f t="shared" si="10"/>
        <v>0</v>
      </c>
      <c r="AJ199" s="521">
        <v>0</v>
      </c>
      <c r="AK199" s="520">
        <f t="shared" si="8"/>
        <v>0</v>
      </c>
      <c r="AL199" s="672" t="s">
        <v>1471</v>
      </c>
      <c r="AM199" s="669">
        <f t="shared" si="9"/>
        <v>192.7</v>
      </c>
    </row>
    <row r="200" spans="1:39" s="500" customFormat="1" hidden="1">
      <c r="A200" s="539" t="s">
        <v>712</v>
      </c>
      <c r="B200" s="539" t="s">
        <v>1173</v>
      </c>
      <c r="C200" s="616"/>
      <c r="D200" s="519"/>
      <c r="E200" s="915"/>
      <c r="F200" s="520"/>
      <c r="G200" s="520"/>
      <c r="H200" s="520"/>
      <c r="I200" s="521"/>
      <c r="J200" s="521"/>
      <c r="K200" s="521"/>
      <c r="L200" s="923"/>
      <c r="M200" s="514"/>
      <c r="N200" s="514"/>
      <c r="O200" s="514"/>
      <c r="P200" s="514"/>
      <c r="Q200" s="514"/>
      <c r="R200" s="514"/>
      <c r="S200" s="923"/>
      <c r="T200" s="514"/>
      <c r="U200" s="514"/>
      <c r="V200" s="514"/>
      <c r="W200" s="514"/>
      <c r="X200" s="514"/>
      <c r="Y200" s="514"/>
      <c r="Z200" s="923"/>
      <c r="AA200" s="514"/>
      <c r="AB200" s="514"/>
      <c r="AC200" s="514"/>
      <c r="AD200" s="514"/>
      <c r="AE200" s="774"/>
      <c r="AF200" s="514"/>
      <c r="AG200" s="897"/>
      <c r="AH200" s="789"/>
      <c r="AI200" s="786">
        <f t="shared" si="10"/>
        <v>0</v>
      </c>
      <c r="AJ200" s="521">
        <v>0</v>
      </c>
      <c r="AK200" s="520">
        <f t="shared" si="8"/>
        <v>0</v>
      </c>
      <c r="AL200" s="672"/>
      <c r="AM200" s="669">
        <f t="shared" si="9"/>
        <v>0</v>
      </c>
    </row>
    <row r="201" spans="1:39" s="500" customFormat="1" hidden="1">
      <c r="A201" s="539" t="s">
        <v>713</v>
      </c>
      <c r="B201" s="539" t="s">
        <v>1207</v>
      </c>
      <c r="C201" s="548" t="s">
        <v>40</v>
      </c>
      <c r="D201" s="519"/>
      <c r="E201" s="915"/>
      <c r="F201" s="520"/>
      <c r="G201" s="520"/>
      <c r="H201" s="520"/>
      <c r="I201" s="521"/>
      <c r="J201" s="521"/>
      <c r="K201" s="521"/>
      <c r="L201" s="923"/>
      <c r="M201" s="514"/>
      <c r="N201" s="514"/>
      <c r="O201" s="514"/>
      <c r="P201" s="514"/>
      <c r="Q201" s="514"/>
      <c r="R201" s="514"/>
      <c r="S201" s="923"/>
      <c r="T201" s="514"/>
      <c r="U201" s="514"/>
      <c r="V201" s="514"/>
      <c r="W201" s="514"/>
      <c r="X201" s="514"/>
      <c r="Y201" s="514"/>
      <c r="Z201" s="923"/>
      <c r="AA201" s="514"/>
      <c r="AB201" s="514"/>
      <c r="AC201" s="514"/>
      <c r="AD201" s="514"/>
      <c r="AE201" s="774"/>
      <c r="AF201" s="514"/>
      <c r="AG201" s="897"/>
      <c r="AH201" s="789"/>
      <c r="AI201" s="786">
        <f t="shared" si="10"/>
        <v>0</v>
      </c>
      <c r="AJ201" s="521">
        <v>0</v>
      </c>
      <c r="AK201" s="520">
        <f t="shared" si="8"/>
        <v>0</v>
      </c>
      <c r="AL201" s="672" t="s">
        <v>1566</v>
      </c>
      <c r="AM201" s="669">
        <f t="shared" si="9"/>
        <v>2.19</v>
      </c>
    </row>
    <row r="202" spans="1:39" s="500" customFormat="1" hidden="1">
      <c r="A202" s="539" t="s">
        <v>714</v>
      </c>
      <c r="B202" s="539" t="s">
        <v>1175</v>
      </c>
      <c r="C202" s="548" t="s">
        <v>37</v>
      </c>
      <c r="D202" s="519"/>
      <c r="E202" s="915"/>
      <c r="F202" s="520"/>
      <c r="G202" s="520"/>
      <c r="H202" s="520"/>
      <c r="I202" s="521"/>
      <c r="J202" s="521"/>
      <c r="K202" s="521"/>
      <c r="L202" s="923"/>
      <c r="M202" s="514"/>
      <c r="N202" s="514"/>
      <c r="O202" s="514"/>
      <c r="P202" s="514"/>
      <c r="Q202" s="514"/>
      <c r="R202" s="514"/>
      <c r="S202" s="923"/>
      <c r="T202" s="514"/>
      <c r="U202" s="514"/>
      <c r="V202" s="514"/>
      <c r="W202" s="514"/>
      <c r="X202" s="514"/>
      <c r="Y202" s="514"/>
      <c r="Z202" s="923"/>
      <c r="AA202" s="514"/>
      <c r="AB202" s="514"/>
      <c r="AC202" s="514"/>
      <c r="AD202" s="514"/>
      <c r="AE202" s="774"/>
      <c r="AF202" s="514"/>
      <c r="AG202" s="897"/>
      <c r="AH202" s="789"/>
      <c r="AI202" s="786">
        <f t="shared" si="10"/>
        <v>0</v>
      </c>
      <c r="AJ202" s="521">
        <v>0</v>
      </c>
      <c r="AK202" s="520">
        <f t="shared" si="8"/>
        <v>0</v>
      </c>
      <c r="AL202" s="672" t="s">
        <v>1567</v>
      </c>
      <c r="AM202" s="669">
        <f t="shared" si="9"/>
        <v>17.489999999999998</v>
      </c>
    </row>
    <row r="203" spans="1:39" s="500" customFormat="1" hidden="1">
      <c r="A203" s="539" t="s">
        <v>715</v>
      </c>
      <c r="B203" s="539" t="s">
        <v>1176</v>
      </c>
      <c r="C203" s="548" t="s">
        <v>48</v>
      </c>
      <c r="D203" s="519"/>
      <c r="E203" s="915"/>
      <c r="F203" s="520"/>
      <c r="G203" s="520"/>
      <c r="H203" s="520"/>
      <c r="I203" s="521"/>
      <c r="J203" s="521"/>
      <c r="K203" s="521"/>
      <c r="L203" s="923"/>
      <c r="M203" s="514"/>
      <c r="N203" s="514"/>
      <c r="O203" s="514"/>
      <c r="P203" s="514"/>
      <c r="Q203" s="514"/>
      <c r="R203" s="514"/>
      <c r="S203" s="923"/>
      <c r="T203" s="514"/>
      <c r="U203" s="514"/>
      <c r="V203" s="514"/>
      <c r="W203" s="514"/>
      <c r="X203" s="514"/>
      <c r="Y203" s="514"/>
      <c r="Z203" s="923"/>
      <c r="AA203" s="514"/>
      <c r="AB203" s="514"/>
      <c r="AC203" s="514"/>
      <c r="AD203" s="514"/>
      <c r="AE203" s="774"/>
      <c r="AF203" s="514"/>
      <c r="AG203" s="897"/>
      <c r="AH203" s="789"/>
      <c r="AI203" s="786">
        <f t="shared" si="10"/>
        <v>0</v>
      </c>
      <c r="AJ203" s="521">
        <v>0</v>
      </c>
      <c r="AK203" s="520">
        <f t="shared" si="8"/>
        <v>0</v>
      </c>
      <c r="AL203" s="672" t="s">
        <v>1568</v>
      </c>
      <c r="AM203" s="669">
        <f t="shared" si="9"/>
        <v>179.25</v>
      </c>
    </row>
    <row r="204" spans="1:39" s="500" customFormat="1" hidden="1">
      <c r="A204" s="539" t="s">
        <v>716</v>
      </c>
      <c r="B204" s="539" t="s">
        <v>1177</v>
      </c>
      <c r="C204" s="616"/>
      <c r="D204" s="519"/>
      <c r="E204" s="915"/>
      <c r="F204" s="520"/>
      <c r="G204" s="520"/>
      <c r="H204" s="520"/>
      <c r="I204" s="521"/>
      <c r="J204" s="521"/>
      <c r="K204" s="521"/>
      <c r="L204" s="923"/>
      <c r="M204" s="514"/>
      <c r="N204" s="514"/>
      <c r="O204" s="514"/>
      <c r="P204" s="514"/>
      <c r="Q204" s="514"/>
      <c r="R204" s="514"/>
      <c r="S204" s="923"/>
      <c r="T204" s="514"/>
      <c r="U204" s="514"/>
      <c r="V204" s="514"/>
      <c r="W204" s="514"/>
      <c r="X204" s="514"/>
      <c r="Y204" s="514"/>
      <c r="Z204" s="923"/>
      <c r="AA204" s="514"/>
      <c r="AB204" s="514"/>
      <c r="AC204" s="514"/>
      <c r="AD204" s="514"/>
      <c r="AE204" s="774"/>
      <c r="AF204" s="514"/>
      <c r="AG204" s="897"/>
      <c r="AH204" s="789"/>
      <c r="AI204" s="786">
        <f t="shared" si="10"/>
        <v>0</v>
      </c>
      <c r="AJ204" s="521">
        <v>0</v>
      </c>
      <c r="AK204" s="520">
        <f t="shared" si="8"/>
        <v>0</v>
      </c>
      <c r="AL204" s="672"/>
      <c r="AM204" s="669">
        <f t="shared" si="9"/>
        <v>0</v>
      </c>
    </row>
    <row r="205" spans="1:39" s="500" customFormat="1" hidden="1">
      <c r="A205" s="539" t="s">
        <v>717</v>
      </c>
      <c r="B205" s="539" t="s">
        <v>1208</v>
      </c>
      <c r="C205" s="548" t="s">
        <v>40</v>
      </c>
      <c r="D205" s="519"/>
      <c r="E205" s="915"/>
      <c r="F205" s="520"/>
      <c r="G205" s="520"/>
      <c r="H205" s="520"/>
      <c r="I205" s="521"/>
      <c r="J205" s="521"/>
      <c r="K205" s="521"/>
      <c r="L205" s="923"/>
      <c r="M205" s="514"/>
      <c r="N205" s="514"/>
      <c r="O205" s="514"/>
      <c r="P205" s="514"/>
      <c r="Q205" s="514"/>
      <c r="R205" s="514"/>
      <c r="S205" s="923"/>
      <c r="T205" s="514"/>
      <c r="U205" s="514"/>
      <c r="V205" s="514"/>
      <c r="W205" s="514"/>
      <c r="X205" s="514"/>
      <c r="Y205" s="514"/>
      <c r="Z205" s="923"/>
      <c r="AA205" s="514"/>
      <c r="AB205" s="514"/>
      <c r="AC205" s="514"/>
      <c r="AD205" s="514"/>
      <c r="AE205" s="774"/>
      <c r="AF205" s="514"/>
      <c r="AG205" s="897"/>
      <c r="AH205" s="789"/>
      <c r="AI205" s="786">
        <f t="shared" si="10"/>
        <v>0</v>
      </c>
      <c r="AJ205" s="521">
        <v>0</v>
      </c>
      <c r="AK205" s="520">
        <f t="shared" si="8"/>
        <v>0</v>
      </c>
      <c r="AL205" s="672" t="s">
        <v>1532</v>
      </c>
      <c r="AM205" s="669">
        <f t="shared" si="9"/>
        <v>2.1800000000000002</v>
      </c>
    </row>
    <row r="206" spans="1:39" s="500" customFormat="1" hidden="1">
      <c r="A206" s="539" t="s">
        <v>718</v>
      </c>
      <c r="B206" s="539" t="s">
        <v>1179</v>
      </c>
      <c r="C206" s="548" t="s">
        <v>37</v>
      </c>
      <c r="D206" s="519"/>
      <c r="E206" s="915"/>
      <c r="F206" s="520"/>
      <c r="G206" s="520"/>
      <c r="H206" s="520"/>
      <c r="I206" s="521"/>
      <c r="J206" s="521"/>
      <c r="K206" s="521"/>
      <c r="L206" s="923"/>
      <c r="M206" s="514"/>
      <c r="N206" s="514"/>
      <c r="O206" s="514"/>
      <c r="P206" s="514"/>
      <c r="Q206" s="514"/>
      <c r="R206" s="514"/>
      <c r="S206" s="923"/>
      <c r="T206" s="514"/>
      <c r="U206" s="514"/>
      <c r="V206" s="514"/>
      <c r="W206" s="514"/>
      <c r="X206" s="514"/>
      <c r="Y206" s="514"/>
      <c r="Z206" s="923"/>
      <c r="AA206" s="514"/>
      <c r="AB206" s="514"/>
      <c r="AC206" s="514"/>
      <c r="AD206" s="514"/>
      <c r="AE206" s="774"/>
      <c r="AF206" s="514"/>
      <c r="AG206" s="897"/>
      <c r="AH206" s="789"/>
      <c r="AI206" s="786">
        <f t="shared" si="10"/>
        <v>0</v>
      </c>
      <c r="AJ206" s="521">
        <v>0</v>
      </c>
      <c r="AK206" s="520">
        <f t="shared" ref="AK206:AK269" si="11">AI206+AJ206</f>
        <v>0</v>
      </c>
      <c r="AL206" s="672" t="s">
        <v>1569</v>
      </c>
      <c r="AM206" s="669">
        <f t="shared" ref="AM206:AM269" si="12">AL206-AK206</f>
        <v>34.799999999999997</v>
      </c>
    </row>
    <row r="207" spans="1:39" s="500" customFormat="1" hidden="1">
      <c r="A207" s="539" t="s">
        <v>719</v>
      </c>
      <c r="B207" s="539" t="s">
        <v>1180</v>
      </c>
      <c r="C207" s="548" t="s">
        <v>48</v>
      </c>
      <c r="D207" s="519"/>
      <c r="E207" s="915"/>
      <c r="F207" s="520"/>
      <c r="G207" s="520"/>
      <c r="H207" s="520"/>
      <c r="I207" s="521"/>
      <c r="J207" s="521"/>
      <c r="K207" s="521"/>
      <c r="L207" s="923"/>
      <c r="M207" s="514"/>
      <c r="N207" s="514"/>
      <c r="O207" s="514"/>
      <c r="P207" s="514"/>
      <c r="Q207" s="514"/>
      <c r="R207" s="514"/>
      <c r="S207" s="923"/>
      <c r="T207" s="514"/>
      <c r="U207" s="514"/>
      <c r="V207" s="514"/>
      <c r="W207" s="514"/>
      <c r="X207" s="514"/>
      <c r="Y207" s="514"/>
      <c r="Z207" s="923"/>
      <c r="AA207" s="514"/>
      <c r="AB207" s="514"/>
      <c r="AC207" s="514"/>
      <c r="AD207" s="514"/>
      <c r="AE207" s="774"/>
      <c r="AF207" s="514"/>
      <c r="AG207" s="897"/>
      <c r="AH207" s="789"/>
      <c r="AI207" s="786">
        <f t="shared" ref="AI207:AI270" si="13">ROUND((SUM(D207:AH207)),2)</f>
        <v>0</v>
      </c>
      <c r="AJ207" s="521">
        <v>0</v>
      </c>
      <c r="AK207" s="520">
        <f t="shared" si="11"/>
        <v>0</v>
      </c>
      <c r="AL207" s="672" t="s">
        <v>1570</v>
      </c>
      <c r="AM207" s="669">
        <f t="shared" si="12"/>
        <v>314.66000000000003</v>
      </c>
    </row>
    <row r="208" spans="1:39" s="500" customFormat="1" hidden="1">
      <c r="A208" s="539" t="s">
        <v>720</v>
      </c>
      <c r="B208" s="539" t="s">
        <v>1181</v>
      </c>
      <c r="C208" s="616"/>
      <c r="D208" s="519"/>
      <c r="E208" s="915"/>
      <c r="F208" s="520"/>
      <c r="G208" s="520"/>
      <c r="H208" s="520"/>
      <c r="I208" s="521"/>
      <c r="J208" s="521"/>
      <c r="K208" s="521"/>
      <c r="L208" s="923"/>
      <c r="M208" s="514"/>
      <c r="N208" s="514"/>
      <c r="O208" s="514"/>
      <c r="P208" s="514"/>
      <c r="Q208" s="514"/>
      <c r="R208" s="514"/>
      <c r="S208" s="923"/>
      <c r="T208" s="514"/>
      <c r="U208" s="514"/>
      <c r="V208" s="514"/>
      <c r="W208" s="514"/>
      <c r="X208" s="514"/>
      <c r="Y208" s="514"/>
      <c r="Z208" s="923"/>
      <c r="AA208" s="514"/>
      <c r="AB208" s="514"/>
      <c r="AC208" s="514"/>
      <c r="AD208" s="514"/>
      <c r="AE208" s="774"/>
      <c r="AF208" s="514"/>
      <c r="AG208" s="897"/>
      <c r="AH208" s="789"/>
      <c r="AI208" s="786">
        <f t="shared" si="13"/>
        <v>0</v>
      </c>
      <c r="AJ208" s="521">
        <v>0</v>
      </c>
      <c r="AK208" s="520">
        <f t="shared" si="11"/>
        <v>0</v>
      </c>
      <c r="AL208" s="672"/>
      <c r="AM208" s="669">
        <f t="shared" si="12"/>
        <v>0</v>
      </c>
    </row>
    <row r="209" spans="1:39" s="500" customFormat="1" hidden="1">
      <c r="A209" s="539" t="s">
        <v>721</v>
      </c>
      <c r="B209" s="539" t="s">
        <v>1182</v>
      </c>
      <c r="C209" s="548" t="s">
        <v>40</v>
      </c>
      <c r="D209" s="519"/>
      <c r="E209" s="915"/>
      <c r="F209" s="520"/>
      <c r="G209" s="520"/>
      <c r="H209" s="520"/>
      <c r="I209" s="521"/>
      <c r="J209" s="521"/>
      <c r="K209" s="521"/>
      <c r="L209" s="923"/>
      <c r="M209" s="514"/>
      <c r="N209" s="514"/>
      <c r="O209" s="514"/>
      <c r="P209" s="514"/>
      <c r="Q209" s="514"/>
      <c r="R209" s="514"/>
      <c r="S209" s="923"/>
      <c r="T209" s="514"/>
      <c r="U209" s="514"/>
      <c r="V209" s="514"/>
      <c r="W209" s="514"/>
      <c r="X209" s="514"/>
      <c r="Y209" s="514"/>
      <c r="Z209" s="923"/>
      <c r="AA209" s="514"/>
      <c r="AB209" s="514"/>
      <c r="AC209" s="514"/>
      <c r="AD209" s="514"/>
      <c r="AE209" s="774"/>
      <c r="AF209" s="514"/>
      <c r="AG209" s="897"/>
      <c r="AH209" s="789"/>
      <c r="AI209" s="786">
        <f t="shared" si="13"/>
        <v>0</v>
      </c>
      <c r="AJ209" s="521">
        <v>0</v>
      </c>
      <c r="AK209" s="520">
        <f t="shared" si="11"/>
        <v>0</v>
      </c>
      <c r="AL209" s="672" t="s">
        <v>1478</v>
      </c>
      <c r="AM209" s="669">
        <f t="shared" si="12"/>
        <v>1.49</v>
      </c>
    </row>
    <row r="210" spans="1:39" s="500" customFormat="1" hidden="1">
      <c r="A210" s="539" t="s">
        <v>722</v>
      </c>
      <c r="B210" s="539" t="s">
        <v>1183</v>
      </c>
      <c r="C210" s="548" t="s">
        <v>37</v>
      </c>
      <c r="D210" s="519"/>
      <c r="E210" s="915"/>
      <c r="F210" s="520"/>
      <c r="G210" s="520"/>
      <c r="H210" s="520"/>
      <c r="I210" s="521"/>
      <c r="J210" s="521"/>
      <c r="K210" s="521"/>
      <c r="L210" s="923"/>
      <c r="M210" s="514"/>
      <c r="N210" s="514"/>
      <c r="O210" s="514"/>
      <c r="P210" s="514"/>
      <c r="Q210" s="514"/>
      <c r="R210" s="514"/>
      <c r="S210" s="923"/>
      <c r="T210" s="514"/>
      <c r="U210" s="514"/>
      <c r="V210" s="514"/>
      <c r="W210" s="514"/>
      <c r="X210" s="514"/>
      <c r="Y210" s="514"/>
      <c r="Z210" s="923"/>
      <c r="AA210" s="514"/>
      <c r="AB210" s="514"/>
      <c r="AC210" s="514"/>
      <c r="AD210" s="514"/>
      <c r="AE210" s="774"/>
      <c r="AF210" s="514"/>
      <c r="AG210" s="897"/>
      <c r="AH210" s="789"/>
      <c r="AI210" s="786">
        <f t="shared" si="13"/>
        <v>0</v>
      </c>
      <c r="AJ210" s="521">
        <v>0</v>
      </c>
      <c r="AK210" s="520">
        <f t="shared" si="11"/>
        <v>0</v>
      </c>
      <c r="AL210" s="672" t="s">
        <v>1479</v>
      </c>
      <c r="AM210" s="669">
        <f t="shared" si="12"/>
        <v>19.71</v>
      </c>
    </row>
    <row r="211" spans="1:39" s="500" customFormat="1" hidden="1">
      <c r="A211" s="539" t="s">
        <v>723</v>
      </c>
      <c r="B211" s="539" t="s">
        <v>1184</v>
      </c>
      <c r="C211" s="548" t="s">
        <v>48</v>
      </c>
      <c r="D211" s="519"/>
      <c r="E211" s="915"/>
      <c r="F211" s="520"/>
      <c r="G211" s="520"/>
      <c r="H211" s="520"/>
      <c r="I211" s="521"/>
      <c r="J211" s="521"/>
      <c r="K211" s="521"/>
      <c r="L211" s="923"/>
      <c r="M211" s="514"/>
      <c r="N211" s="514"/>
      <c r="O211" s="514"/>
      <c r="P211" s="514"/>
      <c r="Q211" s="514"/>
      <c r="R211" s="514"/>
      <c r="S211" s="923"/>
      <c r="T211" s="514"/>
      <c r="U211" s="514"/>
      <c r="V211" s="514"/>
      <c r="W211" s="514"/>
      <c r="X211" s="514"/>
      <c r="Y211" s="514"/>
      <c r="Z211" s="923"/>
      <c r="AA211" s="514"/>
      <c r="AB211" s="514"/>
      <c r="AC211" s="514"/>
      <c r="AD211" s="514"/>
      <c r="AE211" s="774"/>
      <c r="AF211" s="514"/>
      <c r="AG211" s="897"/>
      <c r="AH211" s="789"/>
      <c r="AI211" s="786">
        <f t="shared" si="13"/>
        <v>0</v>
      </c>
      <c r="AJ211" s="521">
        <v>0</v>
      </c>
      <c r="AK211" s="520">
        <f t="shared" si="11"/>
        <v>0</v>
      </c>
      <c r="AL211" s="672" t="s">
        <v>1480</v>
      </c>
      <c r="AM211" s="669">
        <f t="shared" si="12"/>
        <v>659.98</v>
      </c>
    </row>
    <row r="212" spans="1:39" s="500" customFormat="1" hidden="1">
      <c r="A212" s="539" t="s">
        <v>724</v>
      </c>
      <c r="B212" s="539" t="s">
        <v>1185</v>
      </c>
      <c r="C212" s="616"/>
      <c r="D212" s="519"/>
      <c r="E212" s="915"/>
      <c r="F212" s="520"/>
      <c r="G212" s="520"/>
      <c r="H212" s="520"/>
      <c r="I212" s="521"/>
      <c r="J212" s="521"/>
      <c r="K212" s="521"/>
      <c r="L212" s="923"/>
      <c r="M212" s="514"/>
      <c r="N212" s="514"/>
      <c r="O212" s="514"/>
      <c r="P212" s="514"/>
      <c r="Q212" s="514"/>
      <c r="R212" s="514"/>
      <c r="S212" s="923"/>
      <c r="T212" s="514"/>
      <c r="U212" s="514"/>
      <c r="V212" s="514"/>
      <c r="W212" s="514"/>
      <c r="X212" s="514"/>
      <c r="Y212" s="514"/>
      <c r="Z212" s="923"/>
      <c r="AA212" s="514"/>
      <c r="AB212" s="514"/>
      <c r="AC212" s="514"/>
      <c r="AD212" s="514"/>
      <c r="AE212" s="774"/>
      <c r="AF212" s="514"/>
      <c r="AG212" s="897"/>
      <c r="AH212" s="789"/>
      <c r="AI212" s="786">
        <f t="shared" si="13"/>
        <v>0</v>
      </c>
      <c r="AJ212" s="521">
        <v>0</v>
      </c>
      <c r="AK212" s="520">
        <f t="shared" si="11"/>
        <v>0</v>
      </c>
      <c r="AL212" s="672"/>
      <c r="AM212" s="669">
        <f t="shared" si="12"/>
        <v>0</v>
      </c>
    </row>
    <row r="213" spans="1:39" s="500" customFormat="1" hidden="1">
      <c r="A213" s="539" t="s">
        <v>725</v>
      </c>
      <c r="B213" s="539" t="s">
        <v>1186</v>
      </c>
      <c r="C213" s="548" t="s">
        <v>40</v>
      </c>
      <c r="D213" s="519"/>
      <c r="E213" s="915"/>
      <c r="F213" s="520"/>
      <c r="G213" s="520"/>
      <c r="H213" s="520"/>
      <c r="I213" s="521"/>
      <c r="J213" s="521"/>
      <c r="K213" s="521"/>
      <c r="L213" s="923"/>
      <c r="M213" s="514"/>
      <c r="N213" s="514"/>
      <c r="O213" s="514"/>
      <c r="P213" s="514"/>
      <c r="Q213" s="514"/>
      <c r="R213" s="514"/>
      <c r="S213" s="923"/>
      <c r="T213" s="514"/>
      <c r="U213" s="514"/>
      <c r="V213" s="514"/>
      <c r="W213" s="514"/>
      <c r="X213" s="514"/>
      <c r="Y213" s="514"/>
      <c r="Z213" s="923"/>
      <c r="AA213" s="514"/>
      <c r="AB213" s="514"/>
      <c r="AC213" s="514"/>
      <c r="AD213" s="514"/>
      <c r="AE213" s="774"/>
      <c r="AF213" s="514"/>
      <c r="AG213" s="897"/>
      <c r="AH213" s="789"/>
      <c r="AI213" s="786">
        <f t="shared" si="13"/>
        <v>0</v>
      </c>
      <c r="AJ213" s="521">
        <v>0</v>
      </c>
      <c r="AK213" s="520">
        <f t="shared" si="11"/>
        <v>0</v>
      </c>
      <c r="AL213" s="672" t="s">
        <v>1571</v>
      </c>
      <c r="AM213" s="669">
        <f t="shared" si="12"/>
        <v>5.6</v>
      </c>
    </row>
    <row r="214" spans="1:39" s="500" customFormat="1" hidden="1">
      <c r="A214" s="539" t="s">
        <v>726</v>
      </c>
      <c r="B214" s="539" t="s">
        <v>1187</v>
      </c>
      <c r="C214" s="548" t="s">
        <v>37</v>
      </c>
      <c r="D214" s="519"/>
      <c r="E214" s="915"/>
      <c r="F214" s="520"/>
      <c r="G214" s="520"/>
      <c r="H214" s="520"/>
      <c r="I214" s="521"/>
      <c r="J214" s="521"/>
      <c r="K214" s="521"/>
      <c r="L214" s="923"/>
      <c r="M214" s="514"/>
      <c r="N214" s="514"/>
      <c r="O214" s="514"/>
      <c r="P214" s="514"/>
      <c r="Q214" s="514"/>
      <c r="R214" s="514"/>
      <c r="S214" s="923"/>
      <c r="T214" s="514"/>
      <c r="U214" s="514"/>
      <c r="V214" s="514"/>
      <c r="W214" s="514"/>
      <c r="X214" s="514"/>
      <c r="Y214" s="514"/>
      <c r="Z214" s="923"/>
      <c r="AA214" s="514"/>
      <c r="AB214" s="514"/>
      <c r="AC214" s="514"/>
      <c r="AD214" s="514"/>
      <c r="AE214" s="774"/>
      <c r="AF214" s="514"/>
      <c r="AG214" s="897"/>
      <c r="AH214" s="789"/>
      <c r="AI214" s="786">
        <f t="shared" si="13"/>
        <v>0</v>
      </c>
      <c r="AJ214" s="521">
        <v>0</v>
      </c>
      <c r="AK214" s="520">
        <f t="shared" si="11"/>
        <v>0</v>
      </c>
      <c r="AL214" s="672" t="s">
        <v>1572</v>
      </c>
      <c r="AM214" s="669">
        <f t="shared" si="12"/>
        <v>48.75</v>
      </c>
    </row>
    <row r="215" spans="1:39" s="500" customFormat="1" hidden="1">
      <c r="A215" s="539" t="s">
        <v>727</v>
      </c>
      <c r="B215" s="539" t="s">
        <v>1188</v>
      </c>
      <c r="C215" s="548" t="s">
        <v>48</v>
      </c>
      <c r="D215" s="519"/>
      <c r="E215" s="915"/>
      <c r="F215" s="520"/>
      <c r="G215" s="520"/>
      <c r="H215" s="520"/>
      <c r="I215" s="521"/>
      <c r="J215" s="521"/>
      <c r="K215" s="521"/>
      <c r="L215" s="923"/>
      <c r="M215" s="514"/>
      <c r="N215" s="514"/>
      <c r="O215" s="514"/>
      <c r="P215" s="514"/>
      <c r="Q215" s="514"/>
      <c r="R215" s="514"/>
      <c r="S215" s="923"/>
      <c r="T215" s="514"/>
      <c r="U215" s="514"/>
      <c r="V215" s="514"/>
      <c r="W215" s="514"/>
      <c r="X215" s="514"/>
      <c r="Y215" s="514"/>
      <c r="Z215" s="923"/>
      <c r="AA215" s="514"/>
      <c r="AB215" s="514"/>
      <c r="AC215" s="514"/>
      <c r="AD215" s="514"/>
      <c r="AE215" s="774"/>
      <c r="AF215" s="514"/>
      <c r="AG215" s="897"/>
      <c r="AH215" s="789"/>
      <c r="AI215" s="786">
        <f t="shared" si="13"/>
        <v>0</v>
      </c>
      <c r="AJ215" s="521">
        <v>0</v>
      </c>
      <c r="AK215" s="520">
        <f t="shared" si="11"/>
        <v>0</v>
      </c>
      <c r="AL215" s="672" t="s">
        <v>1573</v>
      </c>
      <c r="AM215" s="669">
        <f t="shared" si="12"/>
        <v>642.09</v>
      </c>
    </row>
    <row r="216" spans="1:39" s="500" customFormat="1" hidden="1">
      <c r="A216" s="539" t="s">
        <v>728</v>
      </c>
      <c r="B216" s="539" t="s">
        <v>1189</v>
      </c>
      <c r="C216" s="616"/>
      <c r="D216" s="519"/>
      <c r="E216" s="915"/>
      <c r="F216" s="520"/>
      <c r="G216" s="520"/>
      <c r="H216" s="520"/>
      <c r="I216" s="521"/>
      <c r="J216" s="521"/>
      <c r="K216" s="521"/>
      <c r="L216" s="923"/>
      <c r="M216" s="514"/>
      <c r="N216" s="514"/>
      <c r="O216" s="514"/>
      <c r="P216" s="514"/>
      <c r="Q216" s="514"/>
      <c r="R216" s="514"/>
      <c r="S216" s="923"/>
      <c r="T216" s="514"/>
      <c r="U216" s="514"/>
      <c r="V216" s="514"/>
      <c r="W216" s="514"/>
      <c r="X216" s="514"/>
      <c r="Y216" s="514"/>
      <c r="Z216" s="923"/>
      <c r="AA216" s="514"/>
      <c r="AB216" s="514"/>
      <c r="AC216" s="514"/>
      <c r="AD216" s="514"/>
      <c r="AE216" s="774"/>
      <c r="AF216" s="514"/>
      <c r="AG216" s="897"/>
      <c r="AH216" s="789"/>
      <c r="AI216" s="786">
        <f t="shared" si="13"/>
        <v>0</v>
      </c>
      <c r="AJ216" s="521">
        <v>0</v>
      </c>
      <c r="AK216" s="520">
        <f t="shared" si="11"/>
        <v>0</v>
      </c>
      <c r="AL216" s="672"/>
      <c r="AM216" s="669">
        <f t="shared" si="12"/>
        <v>0</v>
      </c>
    </row>
    <row r="217" spans="1:39" s="500" customFormat="1" hidden="1">
      <c r="A217" s="539" t="s">
        <v>729</v>
      </c>
      <c r="B217" s="539" t="s">
        <v>1190</v>
      </c>
      <c r="C217" s="548" t="s">
        <v>40</v>
      </c>
      <c r="D217" s="519"/>
      <c r="E217" s="915"/>
      <c r="F217" s="520"/>
      <c r="G217" s="520"/>
      <c r="H217" s="520"/>
      <c r="I217" s="521"/>
      <c r="J217" s="521"/>
      <c r="K217" s="521"/>
      <c r="L217" s="923"/>
      <c r="M217" s="514"/>
      <c r="N217" s="514"/>
      <c r="O217" s="514"/>
      <c r="P217" s="514"/>
      <c r="Q217" s="514"/>
      <c r="R217" s="514"/>
      <c r="S217" s="923"/>
      <c r="T217" s="514"/>
      <c r="U217" s="514"/>
      <c r="V217" s="514"/>
      <c r="W217" s="514"/>
      <c r="X217" s="514"/>
      <c r="Y217" s="514"/>
      <c r="Z217" s="923"/>
      <c r="AA217" s="514"/>
      <c r="AB217" s="514"/>
      <c r="AC217" s="514"/>
      <c r="AD217" s="514"/>
      <c r="AE217" s="774"/>
      <c r="AF217" s="514"/>
      <c r="AG217" s="897"/>
      <c r="AH217" s="789"/>
      <c r="AI217" s="786">
        <f t="shared" si="13"/>
        <v>0</v>
      </c>
      <c r="AJ217" s="521">
        <v>0</v>
      </c>
      <c r="AK217" s="520">
        <f t="shared" si="11"/>
        <v>0</v>
      </c>
      <c r="AL217" s="672" t="s">
        <v>1574</v>
      </c>
      <c r="AM217" s="669">
        <f t="shared" si="12"/>
        <v>3.36</v>
      </c>
    </row>
    <row r="218" spans="1:39" s="500" customFormat="1" hidden="1">
      <c r="A218" s="539" t="s">
        <v>730</v>
      </c>
      <c r="B218" s="539" t="s">
        <v>1191</v>
      </c>
      <c r="C218" s="548" t="s">
        <v>37</v>
      </c>
      <c r="D218" s="519"/>
      <c r="E218" s="915"/>
      <c r="F218" s="520"/>
      <c r="G218" s="520"/>
      <c r="H218" s="520"/>
      <c r="I218" s="521"/>
      <c r="J218" s="521"/>
      <c r="K218" s="521"/>
      <c r="L218" s="923"/>
      <c r="M218" s="514"/>
      <c r="N218" s="514"/>
      <c r="O218" s="514"/>
      <c r="P218" s="514"/>
      <c r="Q218" s="514"/>
      <c r="R218" s="514"/>
      <c r="S218" s="923"/>
      <c r="T218" s="514"/>
      <c r="U218" s="514"/>
      <c r="V218" s="514"/>
      <c r="W218" s="514"/>
      <c r="X218" s="514"/>
      <c r="Y218" s="514"/>
      <c r="Z218" s="923"/>
      <c r="AA218" s="514"/>
      <c r="AB218" s="514"/>
      <c r="AC218" s="514"/>
      <c r="AD218" s="514"/>
      <c r="AE218" s="774"/>
      <c r="AF218" s="514"/>
      <c r="AG218" s="897"/>
      <c r="AH218" s="789"/>
      <c r="AI218" s="786">
        <f t="shared" si="13"/>
        <v>0</v>
      </c>
      <c r="AJ218" s="521">
        <v>0</v>
      </c>
      <c r="AK218" s="520">
        <f t="shared" si="11"/>
        <v>0</v>
      </c>
      <c r="AL218" s="672" t="s">
        <v>1575</v>
      </c>
      <c r="AM218" s="669">
        <f t="shared" si="12"/>
        <v>38.35</v>
      </c>
    </row>
    <row r="219" spans="1:39" s="500" customFormat="1" hidden="1">
      <c r="A219" s="539" t="s">
        <v>731</v>
      </c>
      <c r="B219" s="539" t="s">
        <v>1192</v>
      </c>
      <c r="C219" s="548" t="s">
        <v>48</v>
      </c>
      <c r="D219" s="519"/>
      <c r="E219" s="915"/>
      <c r="F219" s="520"/>
      <c r="G219" s="520"/>
      <c r="H219" s="520"/>
      <c r="I219" s="521"/>
      <c r="J219" s="521"/>
      <c r="K219" s="521"/>
      <c r="L219" s="923"/>
      <c r="M219" s="514"/>
      <c r="N219" s="514"/>
      <c r="O219" s="514"/>
      <c r="P219" s="514"/>
      <c r="Q219" s="514"/>
      <c r="R219" s="514"/>
      <c r="S219" s="923"/>
      <c r="T219" s="514"/>
      <c r="U219" s="514"/>
      <c r="V219" s="514"/>
      <c r="W219" s="514"/>
      <c r="X219" s="514"/>
      <c r="Y219" s="514"/>
      <c r="Z219" s="923"/>
      <c r="AA219" s="514"/>
      <c r="AB219" s="514"/>
      <c r="AC219" s="514"/>
      <c r="AD219" s="514"/>
      <c r="AE219" s="774"/>
      <c r="AF219" s="514"/>
      <c r="AG219" s="897"/>
      <c r="AH219" s="789"/>
      <c r="AI219" s="786">
        <f t="shared" si="13"/>
        <v>0</v>
      </c>
      <c r="AJ219" s="521">
        <v>0</v>
      </c>
      <c r="AK219" s="520">
        <f t="shared" si="11"/>
        <v>0</v>
      </c>
      <c r="AL219" s="672" t="s">
        <v>1576</v>
      </c>
      <c r="AM219" s="669">
        <f t="shared" si="12"/>
        <v>276.95999999999998</v>
      </c>
    </row>
    <row r="220" spans="1:39" s="500" customFormat="1" hidden="1">
      <c r="A220" s="539" t="s">
        <v>732</v>
      </c>
      <c r="B220" s="539" t="s">
        <v>1193</v>
      </c>
      <c r="C220" s="548" t="s">
        <v>1450</v>
      </c>
      <c r="D220" s="519"/>
      <c r="E220" s="915"/>
      <c r="F220" s="520"/>
      <c r="G220" s="520"/>
      <c r="H220" s="520"/>
      <c r="I220" s="521"/>
      <c r="J220" s="521"/>
      <c r="K220" s="521"/>
      <c r="L220" s="923"/>
      <c r="M220" s="514"/>
      <c r="N220" s="514"/>
      <c r="O220" s="514"/>
      <c r="P220" s="514"/>
      <c r="Q220" s="514"/>
      <c r="R220" s="514"/>
      <c r="S220" s="923"/>
      <c r="T220" s="514"/>
      <c r="U220" s="514"/>
      <c r="V220" s="514"/>
      <c r="W220" s="514"/>
      <c r="X220" s="514"/>
      <c r="Y220" s="514"/>
      <c r="Z220" s="923"/>
      <c r="AA220" s="514"/>
      <c r="AB220" s="514"/>
      <c r="AC220" s="514"/>
      <c r="AD220" s="514"/>
      <c r="AE220" s="774"/>
      <c r="AF220" s="514"/>
      <c r="AG220" s="897"/>
      <c r="AH220" s="789"/>
      <c r="AI220" s="786">
        <f t="shared" si="13"/>
        <v>0</v>
      </c>
      <c r="AJ220" s="521">
        <v>0</v>
      </c>
      <c r="AK220" s="520">
        <f t="shared" si="11"/>
        <v>0</v>
      </c>
      <c r="AL220" s="672" t="s">
        <v>1577</v>
      </c>
      <c r="AM220" s="669">
        <f t="shared" si="12"/>
        <v>319.48</v>
      </c>
    </row>
    <row r="221" spans="1:39" s="500" customFormat="1" hidden="1">
      <c r="A221" s="539" t="s">
        <v>733</v>
      </c>
      <c r="B221" s="539" t="s">
        <v>1194</v>
      </c>
      <c r="C221" s="616"/>
      <c r="D221" s="519"/>
      <c r="E221" s="915"/>
      <c r="F221" s="520"/>
      <c r="G221" s="520"/>
      <c r="H221" s="520"/>
      <c r="I221" s="521"/>
      <c r="J221" s="521"/>
      <c r="K221" s="521"/>
      <c r="L221" s="923"/>
      <c r="M221" s="514"/>
      <c r="N221" s="514"/>
      <c r="O221" s="514"/>
      <c r="P221" s="514"/>
      <c r="Q221" s="514"/>
      <c r="R221" s="514"/>
      <c r="S221" s="923"/>
      <c r="T221" s="514"/>
      <c r="U221" s="514"/>
      <c r="V221" s="514"/>
      <c r="W221" s="514"/>
      <c r="X221" s="514"/>
      <c r="Y221" s="514"/>
      <c r="Z221" s="923"/>
      <c r="AA221" s="514"/>
      <c r="AB221" s="514"/>
      <c r="AC221" s="514"/>
      <c r="AD221" s="514"/>
      <c r="AE221" s="774"/>
      <c r="AF221" s="514"/>
      <c r="AG221" s="897"/>
      <c r="AH221" s="789"/>
      <c r="AI221" s="786">
        <f t="shared" si="13"/>
        <v>0</v>
      </c>
      <c r="AJ221" s="521">
        <v>0</v>
      </c>
      <c r="AK221" s="520">
        <f t="shared" si="11"/>
        <v>0</v>
      </c>
      <c r="AL221" s="672"/>
      <c r="AM221" s="669">
        <f t="shared" si="12"/>
        <v>0</v>
      </c>
    </row>
    <row r="222" spans="1:39" s="500" customFormat="1" hidden="1">
      <c r="A222" s="539" t="s">
        <v>734</v>
      </c>
      <c r="B222" s="539" t="s">
        <v>1195</v>
      </c>
      <c r="C222" s="548" t="s">
        <v>40</v>
      </c>
      <c r="D222" s="519"/>
      <c r="E222" s="915"/>
      <c r="F222" s="520"/>
      <c r="G222" s="520"/>
      <c r="H222" s="520"/>
      <c r="I222" s="521"/>
      <c r="J222" s="521"/>
      <c r="K222" s="521"/>
      <c r="L222" s="923"/>
      <c r="M222" s="514"/>
      <c r="N222" s="514"/>
      <c r="O222" s="514"/>
      <c r="P222" s="514"/>
      <c r="Q222" s="514"/>
      <c r="R222" s="514"/>
      <c r="S222" s="923"/>
      <c r="T222" s="514"/>
      <c r="U222" s="514"/>
      <c r="V222" s="514"/>
      <c r="W222" s="514"/>
      <c r="X222" s="514"/>
      <c r="Y222" s="514"/>
      <c r="Z222" s="923"/>
      <c r="AA222" s="514"/>
      <c r="AB222" s="514"/>
      <c r="AC222" s="514"/>
      <c r="AD222" s="514"/>
      <c r="AE222" s="774"/>
      <c r="AF222" s="514"/>
      <c r="AG222" s="897"/>
      <c r="AH222" s="789"/>
      <c r="AI222" s="786">
        <f t="shared" si="13"/>
        <v>0</v>
      </c>
      <c r="AJ222" s="521">
        <v>0</v>
      </c>
      <c r="AK222" s="520">
        <f t="shared" si="11"/>
        <v>0</v>
      </c>
      <c r="AL222" s="672" t="s">
        <v>1578</v>
      </c>
      <c r="AM222" s="669">
        <f t="shared" si="12"/>
        <v>1.03</v>
      </c>
    </row>
    <row r="223" spans="1:39" s="500" customFormat="1" hidden="1">
      <c r="A223" s="539" t="s">
        <v>735</v>
      </c>
      <c r="B223" s="539" t="s">
        <v>1196</v>
      </c>
      <c r="C223" s="548" t="s">
        <v>37</v>
      </c>
      <c r="D223" s="519"/>
      <c r="E223" s="915"/>
      <c r="F223" s="520"/>
      <c r="G223" s="520"/>
      <c r="H223" s="520"/>
      <c r="I223" s="521"/>
      <c r="J223" s="521"/>
      <c r="K223" s="521"/>
      <c r="L223" s="923"/>
      <c r="M223" s="514"/>
      <c r="N223" s="514"/>
      <c r="O223" s="514"/>
      <c r="P223" s="514"/>
      <c r="Q223" s="514"/>
      <c r="R223" s="514"/>
      <c r="S223" s="923"/>
      <c r="T223" s="514"/>
      <c r="U223" s="514"/>
      <c r="V223" s="514"/>
      <c r="W223" s="514"/>
      <c r="X223" s="514"/>
      <c r="Y223" s="514"/>
      <c r="Z223" s="923"/>
      <c r="AA223" s="514"/>
      <c r="AB223" s="514"/>
      <c r="AC223" s="514"/>
      <c r="AD223" s="514"/>
      <c r="AE223" s="774"/>
      <c r="AF223" s="514"/>
      <c r="AG223" s="897"/>
      <c r="AH223" s="789"/>
      <c r="AI223" s="786">
        <f t="shared" si="13"/>
        <v>0</v>
      </c>
      <c r="AJ223" s="521">
        <v>0</v>
      </c>
      <c r="AK223" s="520">
        <f t="shared" si="11"/>
        <v>0</v>
      </c>
      <c r="AL223" s="672" t="s">
        <v>1579</v>
      </c>
      <c r="AM223" s="669">
        <f t="shared" si="12"/>
        <v>13.74</v>
      </c>
    </row>
    <row r="224" spans="1:39" s="500" customFormat="1" hidden="1">
      <c r="A224" s="539" t="s">
        <v>736</v>
      </c>
      <c r="B224" s="539" t="s">
        <v>1197</v>
      </c>
      <c r="C224" s="548" t="s">
        <v>48</v>
      </c>
      <c r="D224" s="519"/>
      <c r="E224" s="915"/>
      <c r="F224" s="520"/>
      <c r="G224" s="520"/>
      <c r="H224" s="520"/>
      <c r="I224" s="521"/>
      <c r="J224" s="521"/>
      <c r="K224" s="521"/>
      <c r="L224" s="923"/>
      <c r="M224" s="514"/>
      <c r="N224" s="514"/>
      <c r="O224" s="514"/>
      <c r="P224" s="514"/>
      <c r="Q224" s="514"/>
      <c r="R224" s="514"/>
      <c r="S224" s="923"/>
      <c r="T224" s="514"/>
      <c r="U224" s="514"/>
      <c r="V224" s="514"/>
      <c r="W224" s="514"/>
      <c r="X224" s="514"/>
      <c r="Y224" s="514"/>
      <c r="Z224" s="923"/>
      <c r="AA224" s="514"/>
      <c r="AB224" s="514"/>
      <c r="AC224" s="514"/>
      <c r="AD224" s="514"/>
      <c r="AE224" s="774"/>
      <c r="AF224" s="514"/>
      <c r="AG224" s="897"/>
      <c r="AH224" s="789"/>
      <c r="AI224" s="786">
        <f t="shared" si="13"/>
        <v>0</v>
      </c>
      <c r="AJ224" s="521">
        <v>0</v>
      </c>
      <c r="AK224" s="520">
        <f t="shared" si="11"/>
        <v>0</v>
      </c>
      <c r="AL224" s="672" t="s">
        <v>1580</v>
      </c>
      <c r="AM224" s="669">
        <f t="shared" si="12"/>
        <v>65.349999999999994</v>
      </c>
    </row>
    <row r="225" spans="1:39" s="500" customFormat="1" hidden="1">
      <c r="A225" s="542" t="s">
        <v>737</v>
      </c>
      <c r="B225" s="542" t="s">
        <v>1198</v>
      </c>
      <c r="C225" s="616"/>
      <c r="D225" s="519"/>
      <c r="E225" s="915"/>
      <c r="F225" s="520"/>
      <c r="G225" s="520"/>
      <c r="H225" s="520"/>
      <c r="I225" s="521"/>
      <c r="J225" s="521"/>
      <c r="K225" s="521"/>
      <c r="L225" s="923"/>
      <c r="M225" s="514"/>
      <c r="N225" s="514"/>
      <c r="O225" s="514"/>
      <c r="P225" s="514"/>
      <c r="Q225" s="514"/>
      <c r="R225" s="514"/>
      <c r="S225" s="923"/>
      <c r="T225" s="514"/>
      <c r="U225" s="514"/>
      <c r="V225" s="514"/>
      <c r="W225" s="514"/>
      <c r="X225" s="514"/>
      <c r="Y225" s="514"/>
      <c r="Z225" s="923"/>
      <c r="AA225" s="514"/>
      <c r="AB225" s="514"/>
      <c r="AC225" s="514"/>
      <c r="AD225" s="514"/>
      <c r="AE225" s="774"/>
      <c r="AF225" s="514"/>
      <c r="AG225" s="897"/>
      <c r="AH225" s="789"/>
      <c r="AI225" s="786">
        <f t="shared" si="13"/>
        <v>0</v>
      </c>
      <c r="AJ225" s="521">
        <v>0</v>
      </c>
      <c r="AK225" s="520">
        <f t="shared" si="11"/>
        <v>0</v>
      </c>
      <c r="AL225" s="672"/>
      <c r="AM225" s="669">
        <f t="shared" si="12"/>
        <v>0</v>
      </c>
    </row>
    <row r="226" spans="1:39" s="500" customFormat="1" hidden="1">
      <c r="A226" s="539" t="s">
        <v>738</v>
      </c>
      <c r="B226" s="539" t="s">
        <v>1199</v>
      </c>
      <c r="C226" s="548" t="s">
        <v>38</v>
      </c>
      <c r="D226" s="519"/>
      <c r="E226" s="915"/>
      <c r="F226" s="520"/>
      <c r="G226" s="520"/>
      <c r="H226" s="520"/>
      <c r="I226" s="521"/>
      <c r="J226" s="521"/>
      <c r="K226" s="521"/>
      <c r="L226" s="923"/>
      <c r="M226" s="514"/>
      <c r="N226" s="514"/>
      <c r="O226" s="514"/>
      <c r="P226" s="514"/>
      <c r="Q226" s="514"/>
      <c r="R226" s="514"/>
      <c r="S226" s="923"/>
      <c r="T226" s="514"/>
      <c r="U226" s="514"/>
      <c r="V226" s="514"/>
      <c r="W226" s="514"/>
      <c r="X226" s="514"/>
      <c r="Y226" s="514"/>
      <c r="Z226" s="923"/>
      <c r="AA226" s="514"/>
      <c r="AB226" s="514"/>
      <c r="AC226" s="514"/>
      <c r="AD226" s="514"/>
      <c r="AE226" s="774"/>
      <c r="AF226" s="514"/>
      <c r="AG226" s="897"/>
      <c r="AH226" s="789"/>
      <c r="AI226" s="786">
        <f t="shared" si="13"/>
        <v>0</v>
      </c>
      <c r="AJ226" s="521">
        <v>0</v>
      </c>
      <c r="AK226" s="520">
        <f t="shared" si="11"/>
        <v>0</v>
      </c>
      <c r="AL226" s="672" t="s">
        <v>1581</v>
      </c>
      <c r="AM226" s="669">
        <f t="shared" si="12"/>
        <v>110.7</v>
      </c>
    </row>
    <row r="227" spans="1:39" s="500" customFormat="1" hidden="1">
      <c r="A227" s="542" t="s">
        <v>739</v>
      </c>
      <c r="B227" s="542" t="s">
        <v>1200</v>
      </c>
      <c r="C227" s="548"/>
      <c r="D227" s="519"/>
      <c r="E227" s="915"/>
      <c r="F227" s="520"/>
      <c r="G227" s="520"/>
      <c r="H227" s="520"/>
      <c r="I227" s="521"/>
      <c r="J227" s="521"/>
      <c r="K227" s="521"/>
      <c r="L227" s="923"/>
      <c r="M227" s="514"/>
      <c r="N227" s="514"/>
      <c r="O227" s="514"/>
      <c r="P227" s="514"/>
      <c r="Q227" s="514"/>
      <c r="R227" s="514"/>
      <c r="S227" s="923"/>
      <c r="T227" s="514"/>
      <c r="U227" s="514"/>
      <c r="V227" s="514"/>
      <c r="W227" s="514"/>
      <c r="X227" s="514"/>
      <c r="Y227" s="514"/>
      <c r="Z227" s="923"/>
      <c r="AA227" s="514"/>
      <c r="AB227" s="514"/>
      <c r="AC227" s="514"/>
      <c r="AD227" s="514"/>
      <c r="AE227" s="774"/>
      <c r="AF227" s="514"/>
      <c r="AG227" s="897"/>
      <c r="AH227" s="789"/>
      <c r="AI227" s="786">
        <f t="shared" si="13"/>
        <v>0</v>
      </c>
      <c r="AJ227" s="521">
        <v>0</v>
      </c>
      <c r="AK227" s="520">
        <f t="shared" si="11"/>
        <v>0</v>
      </c>
      <c r="AL227" s="672"/>
      <c r="AM227" s="669">
        <f t="shared" si="12"/>
        <v>0</v>
      </c>
    </row>
    <row r="228" spans="1:39" s="500" customFormat="1" hidden="1">
      <c r="A228" s="539" t="s">
        <v>740</v>
      </c>
      <c r="B228" s="539" t="s">
        <v>1201</v>
      </c>
      <c r="C228" s="548" t="s">
        <v>38</v>
      </c>
      <c r="D228" s="519"/>
      <c r="E228" s="915"/>
      <c r="F228" s="520"/>
      <c r="G228" s="520"/>
      <c r="H228" s="520"/>
      <c r="I228" s="521"/>
      <c r="J228" s="521"/>
      <c r="K228" s="521"/>
      <c r="L228" s="923"/>
      <c r="M228" s="514"/>
      <c r="N228" s="514"/>
      <c r="O228" s="514"/>
      <c r="P228" s="514"/>
      <c r="Q228" s="514"/>
      <c r="R228" s="514"/>
      <c r="S228" s="923"/>
      <c r="T228" s="514"/>
      <c r="U228" s="514"/>
      <c r="V228" s="514"/>
      <c r="W228" s="514"/>
      <c r="X228" s="514"/>
      <c r="Y228" s="514"/>
      <c r="Z228" s="923"/>
      <c r="AA228" s="514"/>
      <c r="AB228" s="514"/>
      <c r="AC228" s="514"/>
      <c r="AD228" s="514"/>
      <c r="AE228" s="774"/>
      <c r="AF228" s="514"/>
      <c r="AG228" s="897"/>
      <c r="AH228" s="789"/>
      <c r="AI228" s="786">
        <f t="shared" si="13"/>
        <v>0</v>
      </c>
      <c r="AJ228" s="521">
        <v>0</v>
      </c>
      <c r="AK228" s="520">
        <f t="shared" si="11"/>
        <v>0</v>
      </c>
      <c r="AL228" s="672" t="s">
        <v>1582</v>
      </c>
      <c r="AM228" s="669">
        <f t="shared" si="12"/>
        <v>46</v>
      </c>
    </row>
    <row r="229" spans="1:39" s="500" customFormat="1" hidden="1">
      <c r="A229" s="539" t="s">
        <v>741</v>
      </c>
      <c r="B229" s="539" t="s">
        <v>225</v>
      </c>
      <c r="C229" s="548" t="s">
        <v>1450</v>
      </c>
      <c r="D229" s="519"/>
      <c r="E229" s="915"/>
      <c r="F229" s="520"/>
      <c r="G229" s="520"/>
      <c r="H229" s="520"/>
      <c r="I229" s="521"/>
      <c r="J229" s="521"/>
      <c r="K229" s="521"/>
      <c r="L229" s="923"/>
      <c r="M229" s="514"/>
      <c r="N229" s="514"/>
      <c r="O229" s="514"/>
      <c r="P229" s="514"/>
      <c r="Q229" s="514"/>
      <c r="R229" s="514"/>
      <c r="S229" s="923"/>
      <c r="T229" s="514"/>
      <c r="U229" s="514"/>
      <c r="V229" s="514"/>
      <c r="W229" s="514"/>
      <c r="X229" s="514"/>
      <c r="Y229" s="514"/>
      <c r="Z229" s="923"/>
      <c r="AA229" s="514"/>
      <c r="AB229" s="514"/>
      <c r="AC229" s="514"/>
      <c r="AD229" s="514"/>
      <c r="AE229" s="774"/>
      <c r="AF229" s="514"/>
      <c r="AG229" s="897"/>
      <c r="AH229" s="789"/>
      <c r="AI229" s="786">
        <f t="shared" si="13"/>
        <v>0</v>
      </c>
      <c r="AJ229" s="521">
        <v>0</v>
      </c>
      <c r="AK229" s="520">
        <f t="shared" si="11"/>
        <v>0</v>
      </c>
      <c r="AL229" s="672" t="s">
        <v>1493</v>
      </c>
      <c r="AM229" s="669">
        <f t="shared" si="12"/>
        <v>15</v>
      </c>
    </row>
    <row r="230" spans="1:39" s="730" customFormat="1">
      <c r="A230" s="814" t="s">
        <v>742</v>
      </c>
      <c r="B230" s="815" t="s">
        <v>1211</v>
      </c>
      <c r="C230" s="844"/>
      <c r="D230" s="743"/>
      <c r="E230" s="915"/>
      <c r="F230" s="726"/>
      <c r="G230" s="726"/>
      <c r="H230" s="726"/>
      <c r="I230" s="725"/>
      <c r="J230" s="725"/>
      <c r="K230" s="725"/>
      <c r="L230" s="923"/>
      <c r="M230" s="756"/>
      <c r="N230" s="756"/>
      <c r="O230" s="756"/>
      <c r="P230" s="756"/>
      <c r="Q230" s="756"/>
      <c r="R230" s="756"/>
      <c r="S230" s="923"/>
      <c r="T230" s="756"/>
      <c r="U230" s="756"/>
      <c r="V230" s="756"/>
      <c r="W230" s="756"/>
      <c r="X230" s="756"/>
      <c r="Y230" s="756"/>
      <c r="Z230" s="923"/>
      <c r="AA230" s="756"/>
      <c r="AB230" s="756"/>
      <c r="AC230" s="756"/>
      <c r="AD230" s="756"/>
      <c r="AE230" s="774"/>
      <c r="AF230" s="756"/>
      <c r="AG230" s="897"/>
      <c r="AH230" s="819"/>
      <c r="AI230" s="786">
        <f t="shared" si="13"/>
        <v>0</v>
      </c>
      <c r="AJ230" s="725">
        <v>0</v>
      </c>
      <c r="AK230" s="726">
        <f t="shared" si="11"/>
        <v>0</v>
      </c>
      <c r="AL230" s="728"/>
      <c r="AM230" s="729">
        <f t="shared" si="12"/>
        <v>0</v>
      </c>
    </row>
    <row r="231" spans="1:39" s="730" customFormat="1">
      <c r="A231" s="831" t="s">
        <v>743</v>
      </c>
      <c r="B231" s="831" t="s">
        <v>46</v>
      </c>
      <c r="C231" s="844"/>
      <c r="D231" s="743"/>
      <c r="E231" s="915"/>
      <c r="F231" s="726"/>
      <c r="G231" s="726"/>
      <c r="H231" s="726"/>
      <c r="I231" s="725"/>
      <c r="J231" s="725"/>
      <c r="K231" s="725"/>
      <c r="L231" s="923"/>
      <c r="M231" s="756"/>
      <c r="N231" s="756"/>
      <c r="O231" s="756"/>
      <c r="P231" s="756"/>
      <c r="Q231" s="756"/>
      <c r="R231" s="756"/>
      <c r="S231" s="923"/>
      <c r="T231" s="756"/>
      <c r="U231" s="756"/>
      <c r="V231" s="756"/>
      <c r="W231" s="756"/>
      <c r="X231" s="756"/>
      <c r="Y231" s="756"/>
      <c r="Z231" s="923"/>
      <c r="AA231" s="756"/>
      <c r="AB231" s="756"/>
      <c r="AC231" s="756"/>
      <c r="AD231" s="756"/>
      <c r="AE231" s="774"/>
      <c r="AF231" s="756"/>
      <c r="AG231" s="897"/>
      <c r="AH231" s="819"/>
      <c r="AI231" s="786">
        <f t="shared" si="13"/>
        <v>0</v>
      </c>
      <c r="AJ231" s="725">
        <v>0</v>
      </c>
      <c r="AK231" s="726">
        <f t="shared" si="11"/>
        <v>0</v>
      </c>
      <c r="AL231" s="728"/>
      <c r="AM231" s="729">
        <f t="shared" si="12"/>
        <v>0</v>
      </c>
    </row>
    <row r="232" spans="1:39" s="730" customFormat="1">
      <c r="A232" s="720" t="s">
        <v>744</v>
      </c>
      <c r="B232" s="720" t="s">
        <v>1212</v>
      </c>
      <c r="C232" s="823" t="s">
        <v>40</v>
      </c>
      <c r="D232" s="743"/>
      <c r="E232" s="915"/>
      <c r="F232" s="726"/>
      <c r="G232" s="726"/>
      <c r="H232" s="726"/>
      <c r="I232" s="725"/>
      <c r="J232" s="725"/>
      <c r="K232" s="725"/>
      <c r="L232" s="923"/>
      <c r="M232" s="756"/>
      <c r="N232" s="756"/>
      <c r="O232" s="756"/>
      <c r="P232" s="756"/>
      <c r="Q232" s="884">
        <f>3.52*1.1*9.2</f>
        <v>35.622399999999999</v>
      </c>
      <c r="R232" s="756"/>
      <c r="S232" s="923"/>
      <c r="T232" s="756"/>
      <c r="U232" s="756"/>
      <c r="V232" s="884">
        <f>5.95*1.5*0.6</f>
        <v>5.3550000000000004</v>
      </c>
      <c r="W232" s="756"/>
      <c r="X232" s="756"/>
      <c r="Y232" s="756"/>
      <c r="Z232" s="923"/>
      <c r="AA232" s="756"/>
      <c r="AB232" s="884">
        <f>2.75*0.6*1</f>
        <v>1.65</v>
      </c>
      <c r="AC232" s="756"/>
      <c r="AD232" s="756"/>
      <c r="AE232" s="774"/>
      <c r="AF232" s="756"/>
      <c r="AG232" s="897"/>
      <c r="AH232" s="819"/>
      <c r="AI232" s="786">
        <f t="shared" si="13"/>
        <v>42.63</v>
      </c>
      <c r="AJ232" s="725">
        <v>0</v>
      </c>
      <c r="AK232" s="726">
        <f t="shared" si="11"/>
        <v>42.63</v>
      </c>
      <c r="AL232" s="847" t="s">
        <v>1583</v>
      </c>
      <c r="AM232" s="729">
        <f t="shared" si="12"/>
        <v>424.76</v>
      </c>
    </row>
    <row r="233" spans="1:39" s="843" customFormat="1" hidden="1">
      <c r="A233" s="832" t="s">
        <v>745</v>
      </c>
      <c r="B233" s="832" t="s">
        <v>1161</v>
      </c>
      <c r="C233" s="846" t="s">
        <v>40</v>
      </c>
      <c r="D233" s="834"/>
      <c r="E233" s="915"/>
      <c r="F233" s="835"/>
      <c r="G233" s="835"/>
      <c r="H233" s="835"/>
      <c r="I233" s="836"/>
      <c r="J233" s="836"/>
      <c r="K233" s="836"/>
      <c r="L233" s="923"/>
      <c r="M233" s="837"/>
      <c r="N233" s="837"/>
      <c r="O233" s="837"/>
      <c r="P233" s="837"/>
      <c r="Q233" s="837"/>
      <c r="R233" s="837"/>
      <c r="S233" s="923"/>
      <c r="T233" s="837"/>
      <c r="U233" s="837"/>
      <c r="V233" s="837"/>
      <c r="W233" s="837"/>
      <c r="X233" s="837"/>
      <c r="Y233" s="837"/>
      <c r="Z233" s="923"/>
      <c r="AA233" s="837"/>
      <c r="AB233" s="837"/>
      <c r="AC233" s="837"/>
      <c r="AD233" s="837"/>
      <c r="AE233" s="774"/>
      <c r="AF233" s="837"/>
      <c r="AG233" s="897"/>
      <c r="AH233" s="839"/>
      <c r="AI233" s="786">
        <f t="shared" si="13"/>
        <v>0</v>
      </c>
      <c r="AJ233" s="836">
        <v>0</v>
      </c>
      <c r="AK233" s="835">
        <f t="shared" si="11"/>
        <v>0</v>
      </c>
      <c r="AL233" s="848" t="s">
        <v>1584</v>
      </c>
      <c r="AM233" s="842">
        <f t="shared" si="12"/>
        <v>560.87</v>
      </c>
    </row>
    <row r="234" spans="1:39" s="730" customFormat="1">
      <c r="A234" s="831" t="s">
        <v>746</v>
      </c>
      <c r="B234" s="831" t="s">
        <v>1162</v>
      </c>
      <c r="C234" s="823"/>
      <c r="D234" s="743"/>
      <c r="E234" s="915"/>
      <c r="F234" s="726"/>
      <c r="G234" s="726"/>
      <c r="H234" s="726"/>
      <c r="I234" s="725"/>
      <c r="J234" s="725"/>
      <c r="K234" s="725"/>
      <c r="L234" s="923"/>
      <c r="M234" s="756"/>
      <c r="N234" s="756"/>
      <c r="O234" s="756"/>
      <c r="P234" s="756"/>
      <c r="Q234" s="756"/>
      <c r="R234" s="756"/>
      <c r="S234" s="923"/>
      <c r="T234" s="756"/>
      <c r="U234" s="756"/>
      <c r="V234" s="756"/>
      <c r="W234" s="756"/>
      <c r="X234" s="756"/>
      <c r="Y234" s="756"/>
      <c r="Z234" s="923"/>
      <c r="AA234" s="756"/>
      <c r="AB234" s="756"/>
      <c r="AC234" s="756"/>
      <c r="AD234" s="756"/>
      <c r="AE234" s="774"/>
      <c r="AF234" s="756"/>
      <c r="AG234" s="897"/>
      <c r="AH234" s="819"/>
      <c r="AI234" s="786">
        <f t="shared" si="13"/>
        <v>0</v>
      </c>
      <c r="AJ234" s="725">
        <v>0</v>
      </c>
      <c r="AK234" s="726">
        <f t="shared" si="11"/>
        <v>0</v>
      </c>
      <c r="AL234" s="847"/>
      <c r="AM234" s="729">
        <f t="shared" si="12"/>
        <v>0</v>
      </c>
    </row>
    <row r="235" spans="1:39" s="730" customFormat="1">
      <c r="A235" s="720" t="s">
        <v>747</v>
      </c>
      <c r="B235" s="720" t="s">
        <v>1204</v>
      </c>
      <c r="C235" s="823" t="s">
        <v>40</v>
      </c>
      <c r="D235" s="743"/>
      <c r="E235" s="915"/>
      <c r="F235" s="726"/>
      <c r="G235" s="726"/>
      <c r="H235" s="726"/>
      <c r="I235" s="725"/>
      <c r="J235" s="725"/>
      <c r="K235" s="725"/>
      <c r="L235" s="923"/>
      <c r="M235" s="756"/>
      <c r="N235" s="756"/>
      <c r="O235" s="756"/>
      <c r="P235" s="756"/>
      <c r="Q235" s="756"/>
      <c r="R235" s="756"/>
      <c r="S235" s="923"/>
      <c r="T235" s="756"/>
      <c r="U235" s="756"/>
      <c r="V235" s="756"/>
      <c r="W235" s="884">
        <f>4.38*0.6*0.6</f>
        <v>1.5767999999999998</v>
      </c>
      <c r="X235" s="756"/>
      <c r="Y235" s="745"/>
      <c r="Z235" s="923"/>
      <c r="AA235" s="884">
        <f>0.8*0.6*5.95</f>
        <v>2.8559999999999999</v>
      </c>
      <c r="AB235" s="756"/>
      <c r="AC235" s="756"/>
      <c r="AD235" s="884">
        <f>6.13*0.6*0.6</f>
        <v>2.2067999999999999</v>
      </c>
      <c r="AE235" s="774"/>
      <c r="AF235" s="756"/>
      <c r="AG235" s="897"/>
      <c r="AH235" s="819"/>
      <c r="AI235" s="786">
        <f t="shared" si="13"/>
        <v>6.64</v>
      </c>
      <c r="AJ235" s="725">
        <v>0</v>
      </c>
      <c r="AK235" s="726">
        <f t="shared" si="11"/>
        <v>6.64</v>
      </c>
      <c r="AL235" s="847" t="s">
        <v>1585</v>
      </c>
      <c r="AM235" s="729">
        <f t="shared" si="12"/>
        <v>7.19</v>
      </c>
    </row>
    <row r="236" spans="1:39" s="730" customFormat="1">
      <c r="A236" s="831" t="s">
        <v>748</v>
      </c>
      <c r="B236" s="831" t="s">
        <v>1169</v>
      </c>
      <c r="C236" s="844"/>
      <c r="D236" s="743"/>
      <c r="E236" s="915"/>
      <c r="F236" s="726"/>
      <c r="G236" s="726"/>
      <c r="H236" s="726"/>
      <c r="I236" s="725"/>
      <c r="J236" s="725"/>
      <c r="K236" s="725"/>
      <c r="L236" s="923"/>
      <c r="M236" s="756"/>
      <c r="N236" s="756"/>
      <c r="O236" s="756"/>
      <c r="P236" s="756"/>
      <c r="Q236" s="756"/>
      <c r="R236" s="756"/>
      <c r="S236" s="923"/>
      <c r="T236" s="756"/>
      <c r="U236" s="756"/>
      <c r="V236" s="756"/>
      <c r="W236" s="756"/>
      <c r="X236" s="756"/>
      <c r="Y236" s="756"/>
      <c r="Z236" s="923"/>
      <c r="AA236" s="756"/>
      <c r="AB236" s="756"/>
      <c r="AC236" s="756"/>
      <c r="AD236" s="756"/>
      <c r="AE236" s="774"/>
      <c r="AF236" s="756"/>
      <c r="AG236" s="897"/>
      <c r="AH236" s="819"/>
      <c r="AI236" s="786">
        <f t="shared" si="13"/>
        <v>0</v>
      </c>
      <c r="AJ236" s="725">
        <v>0</v>
      </c>
      <c r="AK236" s="726">
        <f t="shared" si="11"/>
        <v>0</v>
      </c>
      <c r="AL236" s="847"/>
      <c r="AM236" s="729">
        <f t="shared" si="12"/>
        <v>0</v>
      </c>
    </row>
    <row r="237" spans="1:39" s="730" customFormat="1">
      <c r="A237" s="720" t="s">
        <v>749</v>
      </c>
      <c r="B237" s="720" t="s">
        <v>1177</v>
      </c>
      <c r="C237" s="844"/>
      <c r="D237" s="743"/>
      <c r="E237" s="915"/>
      <c r="F237" s="726"/>
      <c r="G237" s="726"/>
      <c r="H237" s="726"/>
      <c r="I237" s="725"/>
      <c r="J237" s="725"/>
      <c r="K237" s="725"/>
      <c r="L237" s="923"/>
      <c r="M237" s="756"/>
      <c r="N237" s="756"/>
      <c r="O237" s="756"/>
      <c r="P237" s="756"/>
      <c r="Q237" s="756"/>
      <c r="R237" s="756"/>
      <c r="S237" s="923"/>
      <c r="T237" s="756"/>
      <c r="U237" s="756"/>
      <c r="V237" s="756"/>
      <c r="W237" s="756"/>
      <c r="X237" s="756"/>
      <c r="Y237" s="756"/>
      <c r="Z237" s="923"/>
      <c r="AA237" s="756"/>
      <c r="AB237" s="756"/>
      <c r="AC237" s="756"/>
      <c r="AD237" s="756"/>
      <c r="AE237" s="774"/>
      <c r="AF237" s="756"/>
      <c r="AG237" s="897"/>
      <c r="AH237" s="819"/>
      <c r="AI237" s="786">
        <f t="shared" si="13"/>
        <v>0</v>
      </c>
      <c r="AJ237" s="725">
        <v>0</v>
      </c>
      <c r="AK237" s="726">
        <f t="shared" si="11"/>
        <v>0</v>
      </c>
      <c r="AL237" s="847"/>
      <c r="AM237" s="729">
        <f t="shared" si="12"/>
        <v>0</v>
      </c>
    </row>
    <row r="238" spans="1:39" s="730" customFormat="1">
      <c r="A238" s="720" t="s">
        <v>750</v>
      </c>
      <c r="B238" s="720" t="s">
        <v>1208</v>
      </c>
      <c r="C238" s="823" t="s">
        <v>40</v>
      </c>
      <c r="D238" s="743"/>
      <c r="E238" s="915"/>
      <c r="F238" s="726"/>
      <c r="G238" s="726"/>
      <c r="H238" s="726"/>
      <c r="I238" s="725"/>
      <c r="J238" s="725"/>
      <c r="K238" s="725"/>
      <c r="L238" s="925"/>
      <c r="M238" s="745"/>
      <c r="N238" s="745"/>
      <c r="O238" s="725"/>
      <c r="P238" s="775"/>
      <c r="Q238" s="775"/>
      <c r="R238" s="775"/>
      <c r="S238" s="928"/>
      <c r="T238" s="775"/>
      <c r="U238" s="775"/>
      <c r="V238" s="775"/>
      <c r="W238" s="775"/>
      <c r="X238" s="775"/>
      <c r="Y238" s="775"/>
      <c r="Z238" s="928"/>
      <c r="AA238" s="775"/>
      <c r="AB238" s="775"/>
      <c r="AC238" s="775"/>
      <c r="AD238" s="775"/>
      <c r="AE238" s="772"/>
      <c r="AF238" s="725"/>
      <c r="AG238" s="899"/>
      <c r="AH238" s="845"/>
      <c r="AI238" s="786">
        <f t="shared" si="13"/>
        <v>0</v>
      </c>
      <c r="AJ238" s="725">
        <v>0</v>
      </c>
      <c r="AK238" s="726">
        <f t="shared" si="11"/>
        <v>0</v>
      </c>
      <c r="AL238" s="847" t="s">
        <v>1586</v>
      </c>
      <c r="AM238" s="729">
        <f t="shared" si="12"/>
        <v>4.8899999999999997</v>
      </c>
    </row>
    <row r="239" spans="1:39" s="730" customFormat="1">
      <c r="A239" s="720" t="s">
        <v>751</v>
      </c>
      <c r="B239" s="720" t="s">
        <v>1179</v>
      </c>
      <c r="C239" s="823" t="s">
        <v>37</v>
      </c>
      <c r="D239" s="743"/>
      <c r="E239" s="915"/>
      <c r="F239" s="726"/>
      <c r="G239" s="726"/>
      <c r="H239" s="726"/>
      <c r="I239" s="725"/>
      <c r="J239" s="725"/>
      <c r="K239" s="725"/>
      <c r="L239" s="923"/>
      <c r="M239" s="756"/>
      <c r="N239" s="756"/>
      <c r="O239" s="727"/>
      <c r="P239" s="727"/>
      <c r="Q239" s="727"/>
      <c r="R239" s="727"/>
      <c r="S239" s="897"/>
      <c r="T239" s="727"/>
      <c r="U239" s="727"/>
      <c r="V239" s="727"/>
      <c r="W239" s="727"/>
      <c r="X239" s="727"/>
      <c r="Y239" s="727"/>
      <c r="Z239" s="897"/>
      <c r="AA239" s="725"/>
      <c r="AB239" s="727"/>
      <c r="AC239" s="725"/>
      <c r="AD239" s="727"/>
      <c r="AE239" s="803"/>
      <c r="AF239" s="727"/>
      <c r="AG239" s="897"/>
      <c r="AH239" s="819"/>
      <c r="AI239" s="786">
        <f t="shared" si="13"/>
        <v>0</v>
      </c>
      <c r="AJ239" s="725">
        <v>0</v>
      </c>
      <c r="AK239" s="726">
        <f t="shared" si="11"/>
        <v>0</v>
      </c>
      <c r="AL239" s="847" t="s">
        <v>1587</v>
      </c>
      <c r="AM239" s="729">
        <f t="shared" si="12"/>
        <v>76.69</v>
      </c>
    </row>
    <row r="240" spans="1:39" s="730" customFormat="1">
      <c r="A240" s="720" t="s">
        <v>752</v>
      </c>
      <c r="B240" s="720" t="s">
        <v>1180</v>
      </c>
      <c r="C240" s="823" t="s">
        <v>48</v>
      </c>
      <c r="D240" s="743"/>
      <c r="E240" s="915"/>
      <c r="F240" s="726"/>
      <c r="G240" s="726"/>
      <c r="H240" s="726"/>
      <c r="I240" s="725"/>
      <c r="J240" s="725"/>
      <c r="K240" s="725"/>
      <c r="L240" s="923"/>
      <c r="M240" s="756"/>
      <c r="N240" s="756"/>
      <c r="O240" s="756"/>
      <c r="P240" s="884">
        <f>4*26</f>
        <v>104</v>
      </c>
      <c r="Q240" s="745"/>
      <c r="R240" s="884">
        <f>4*26</f>
        <v>104</v>
      </c>
      <c r="S240" s="925"/>
      <c r="T240" s="745"/>
      <c r="U240" s="884">
        <f>3*26</f>
        <v>78</v>
      </c>
      <c r="V240" s="745"/>
      <c r="W240" s="884">
        <f>3*26</f>
        <v>78</v>
      </c>
      <c r="X240" s="884">
        <f>3*26</f>
        <v>78</v>
      </c>
      <c r="Y240" s="745"/>
      <c r="Z240" s="925"/>
      <c r="AA240" s="884">
        <f>3*26</f>
        <v>78</v>
      </c>
      <c r="AB240" s="745"/>
      <c r="AC240" s="745"/>
      <c r="AD240" s="884">
        <f>4*26</f>
        <v>104</v>
      </c>
      <c r="AE240" s="774"/>
      <c r="AF240" s="756"/>
      <c r="AG240" s="897"/>
      <c r="AH240" s="819"/>
      <c r="AI240" s="786">
        <f t="shared" si="13"/>
        <v>624</v>
      </c>
      <c r="AJ240" s="725">
        <v>0</v>
      </c>
      <c r="AK240" s="726">
        <f t="shared" si="11"/>
        <v>624</v>
      </c>
      <c r="AL240" s="847" t="s">
        <v>1588</v>
      </c>
      <c r="AM240" s="729">
        <f t="shared" si="12"/>
        <v>323.79999999999995</v>
      </c>
    </row>
    <row r="241" spans="1:39" s="730" customFormat="1" hidden="1">
      <c r="A241" s="720" t="s">
        <v>753</v>
      </c>
      <c r="B241" s="720" t="s">
        <v>1185</v>
      </c>
      <c r="C241" s="844"/>
      <c r="D241" s="743"/>
      <c r="E241" s="915"/>
      <c r="F241" s="726"/>
      <c r="G241" s="726"/>
      <c r="H241" s="726"/>
      <c r="I241" s="725"/>
      <c r="J241" s="725"/>
      <c r="K241" s="725"/>
      <c r="L241" s="923"/>
      <c r="M241" s="756"/>
      <c r="N241" s="756"/>
      <c r="O241" s="756"/>
      <c r="P241" s="756"/>
      <c r="Q241" s="756"/>
      <c r="R241" s="756"/>
      <c r="S241" s="923"/>
      <c r="T241" s="756"/>
      <c r="U241" s="756"/>
      <c r="V241" s="756"/>
      <c r="W241" s="756"/>
      <c r="X241" s="756"/>
      <c r="Y241" s="756"/>
      <c r="Z241" s="923"/>
      <c r="AA241" s="756"/>
      <c r="AB241" s="756"/>
      <c r="AC241" s="756"/>
      <c r="AD241" s="756"/>
      <c r="AE241" s="774"/>
      <c r="AF241" s="756"/>
      <c r="AG241" s="897"/>
      <c r="AH241" s="819"/>
      <c r="AI241" s="786">
        <f t="shared" si="13"/>
        <v>0</v>
      </c>
      <c r="AJ241" s="725">
        <v>0</v>
      </c>
      <c r="AK241" s="726">
        <f t="shared" si="11"/>
        <v>0</v>
      </c>
      <c r="AL241" s="847"/>
      <c r="AM241" s="729">
        <f t="shared" si="12"/>
        <v>0</v>
      </c>
    </row>
    <row r="242" spans="1:39" s="730" customFormat="1" hidden="1">
      <c r="A242" s="720" t="s">
        <v>754</v>
      </c>
      <c r="B242" s="720" t="s">
        <v>1186</v>
      </c>
      <c r="C242" s="823" t="s">
        <v>40</v>
      </c>
      <c r="D242" s="743"/>
      <c r="E242" s="915"/>
      <c r="F242" s="726"/>
      <c r="G242" s="726"/>
      <c r="H242" s="726"/>
      <c r="I242" s="725"/>
      <c r="J242" s="725"/>
      <c r="K242" s="725"/>
      <c r="L242" s="923"/>
      <c r="M242" s="756"/>
      <c r="N242" s="756"/>
      <c r="O242" s="756"/>
      <c r="P242" s="756"/>
      <c r="Q242" s="756"/>
      <c r="R242" s="756"/>
      <c r="S242" s="923"/>
      <c r="T242" s="756"/>
      <c r="U242" s="756"/>
      <c r="V242" s="756"/>
      <c r="W242" s="756"/>
      <c r="X242" s="756"/>
      <c r="Y242" s="756"/>
      <c r="Z242" s="923"/>
      <c r="AA242" s="756"/>
      <c r="AB242" s="756"/>
      <c r="AC242" s="756"/>
      <c r="AD242" s="756"/>
      <c r="AE242" s="774"/>
      <c r="AF242" s="756"/>
      <c r="AG242" s="897"/>
      <c r="AH242" s="819"/>
      <c r="AI242" s="786">
        <f t="shared" si="13"/>
        <v>0</v>
      </c>
      <c r="AJ242" s="725">
        <v>0</v>
      </c>
      <c r="AK242" s="726">
        <f t="shared" si="11"/>
        <v>0</v>
      </c>
      <c r="AL242" s="847" t="s">
        <v>1589</v>
      </c>
      <c r="AM242" s="729">
        <f t="shared" si="12"/>
        <v>4.2300000000000004</v>
      </c>
    </row>
    <row r="243" spans="1:39" s="730" customFormat="1" hidden="1">
      <c r="A243" s="720" t="s">
        <v>755</v>
      </c>
      <c r="B243" s="720" t="s">
        <v>1187</v>
      </c>
      <c r="C243" s="823" t="s">
        <v>37</v>
      </c>
      <c r="D243" s="743"/>
      <c r="E243" s="915"/>
      <c r="F243" s="726"/>
      <c r="G243" s="726"/>
      <c r="H243" s="726"/>
      <c r="I243" s="725"/>
      <c r="J243" s="725"/>
      <c r="K243" s="725"/>
      <c r="L243" s="923"/>
      <c r="M243" s="756"/>
      <c r="N243" s="756"/>
      <c r="O243" s="756"/>
      <c r="P243" s="756"/>
      <c r="Q243" s="756"/>
      <c r="R243" s="756"/>
      <c r="S243" s="923"/>
      <c r="T243" s="756"/>
      <c r="U243" s="756"/>
      <c r="V243" s="756"/>
      <c r="W243" s="756"/>
      <c r="X243" s="756"/>
      <c r="Y243" s="756"/>
      <c r="Z243" s="923"/>
      <c r="AA243" s="756"/>
      <c r="AB243" s="756"/>
      <c r="AC243" s="756"/>
      <c r="AD243" s="756"/>
      <c r="AE243" s="774"/>
      <c r="AF243" s="756"/>
      <c r="AG243" s="897"/>
      <c r="AH243" s="819"/>
      <c r="AI243" s="786">
        <f t="shared" si="13"/>
        <v>0</v>
      </c>
      <c r="AJ243" s="725">
        <v>0</v>
      </c>
      <c r="AK243" s="726">
        <f t="shared" si="11"/>
        <v>0</v>
      </c>
      <c r="AL243" s="847" t="s">
        <v>1590</v>
      </c>
      <c r="AM243" s="729">
        <f t="shared" si="12"/>
        <v>49.66</v>
      </c>
    </row>
    <row r="244" spans="1:39" s="730" customFormat="1" hidden="1">
      <c r="A244" s="720" t="s">
        <v>756</v>
      </c>
      <c r="B244" s="720" t="s">
        <v>1188</v>
      </c>
      <c r="C244" s="823" t="s">
        <v>48</v>
      </c>
      <c r="D244" s="743"/>
      <c r="E244" s="915"/>
      <c r="F244" s="726"/>
      <c r="G244" s="726"/>
      <c r="H244" s="726"/>
      <c r="I244" s="725"/>
      <c r="J244" s="725"/>
      <c r="K244" s="725"/>
      <c r="L244" s="923"/>
      <c r="M244" s="756"/>
      <c r="N244" s="756"/>
      <c r="O244" s="756"/>
      <c r="P244" s="756"/>
      <c r="Q244" s="756"/>
      <c r="R244" s="756"/>
      <c r="S244" s="923"/>
      <c r="T244" s="756"/>
      <c r="U244" s="756"/>
      <c r="V244" s="756"/>
      <c r="W244" s="756"/>
      <c r="X244" s="756"/>
      <c r="Y244" s="756"/>
      <c r="Z244" s="923"/>
      <c r="AA244" s="756"/>
      <c r="AB244" s="756"/>
      <c r="AC244" s="756"/>
      <c r="AD244" s="756"/>
      <c r="AE244" s="774"/>
      <c r="AF244" s="756"/>
      <c r="AG244" s="897"/>
      <c r="AH244" s="819"/>
      <c r="AI244" s="786">
        <f t="shared" si="13"/>
        <v>0</v>
      </c>
      <c r="AJ244" s="725">
        <v>0</v>
      </c>
      <c r="AK244" s="726">
        <f t="shared" si="11"/>
        <v>0</v>
      </c>
      <c r="AL244" s="847" t="s">
        <v>1591</v>
      </c>
      <c r="AM244" s="729">
        <f t="shared" si="12"/>
        <v>483.02</v>
      </c>
    </row>
    <row r="245" spans="1:39" s="730" customFormat="1">
      <c r="A245" s="720" t="s">
        <v>757</v>
      </c>
      <c r="B245" s="720" t="s">
        <v>1213</v>
      </c>
      <c r="C245" s="844"/>
      <c r="D245" s="743"/>
      <c r="E245" s="915"/>
      <c r="F245" s="726"/>
      <c r="G245" s="726"/>
      <c r="H245" s="726"/>
      <c r="I245" s="725"/>
      <c r="J245" s="725"/>
      <c r="K245" s="725"/>
      <c r="L245" s="923"/>
      <c r="M245" s="756"/>
      <c r="N245" s="756"/>
      <c r="O245" s="756"/>
      <c r="P245" s="756"/>
      <c r="Q245" s="756"/>
      <c r="R245" s="756"/>
      <c r="S245" s="923"/>
      <c r="T245" s="756"/>
      <c r="U245" s="756"/>
      <c r="V245" s="756"/>
      <c r="W245" s="756"/>
      <c r="X245" s="756"/>
      <c r="Y245" s="756"/>
      <c r="Z245" s="923"/>
      <c r="AA245" s="756"/>
      <c r="AB245" s="756"/>
      <c r="AC245" s="756"/>
      <c r="AD245" s="756"/>
      <c r="AE245" s="774"/>
      <c r="AF245" s="756"/>
      <c r="AG245" s="897"/>
      <c r="AH245" s="819"/>
      <c r="AI245" s="786">
        <f t="shared" si="13"/>
        <v>0</v>
      </c>
      <c r="AJ245" s="725">
        <v>0</v>
      </c>
      <c r="AK245" s="726">
        <f t="shared" si="11"/>
        <v>0</v>
      </c>
      <c r="AL245" s="847"/>
      <c r="AM245" s="729">
        <f t="shared" si="12"/>
        <v>0</v>
      </c>
    </row>
    <row r="246" spans="1:39" s="730" customFormat="1">
      <c r="A246" s="720" t="s">
        <v>758</v>
      </c>
      <c r="B246" s="720" t="s">
        <v>1205</v>
      </c>
      <c r="C246" s="823" t="s">
        <v>40</v>
      </c>
      <c r="D246" s="743"/>
      <c r="E246" s="915"/>
      <c r="F246" s="726"/>
      <c r="G246" s="726"/>
      <c r="H246" s="726"/>
      <c r="I246" s="725"/>
      <c r="J246" s="725"/>
      <c r="K246" s="725"/>
      <c r="L246" s="923"/>
      <c r="M246" s="756"/>
      <c r="N246" s="756"/>
      <c r="O246" s="756"/>
      <c r="P246" s="756"/>
      <c r="Q246" s="756"/>
      <c r="R246" s="756"/>
      <c r="S246" s="923"/>
      <c r="T246" s="756"/>
      <c r="U246" s="756"/>
      <c r="V246" s="756"/>
      <c r="W246" s="756"/>
      <c r="X246" s="756"/>
      <c r="Y246" s="756"/>
      <c r="Z246" s="923"/>
      <c r="AA246" s="756"/>
      <c r="AB246" s="884">
        <f>9.25*0.15*0.3+9.25*0.15*0.3+6.17*0.15*0.3+7.51*0.15*0.3</f>
        <v>1.4480999999999999</v>
      </c>
      <c r="AC246" s="756"/>
      <c r="AD246" s="756"/>
      <c r="AE246" s="774"/>
      <c r="AF246" s="756"/>
      <c r="AG246" s="897"/>
      <c r="AH246" s="819"/>
      <c r="AI246" s="786">
        <f t="shared" si="13"/>
        <v>1.45</v>
      </c>
      <c r="AJ246" s="725">
        <v>0</v>
      </c>
      <c r="AK246" s="726">
        <f t="shared" si="11"/>
        <v>1.45</v>
      </c>
      <c r="AL246" s="847" t="s">
        <v>1592</v>
      </c>
      <c r="AM246" s="729">
        <f t="shared" si="12"/>
        <v>2.79</v>
      </c>
    </row>
    <row r="247" spans="1:39" s="730" customFormat="1">
      <c r="A247" s="720" t="s">
        <v>759</v>
      </c>
      <c r="B247" s="720" t="s">
        <v>1214</v>
      </c>
      <c r="C247" s="823" t="s">
        <v>37</v>
      </c>
      <c r="D247" s="743"/>
      <c r="E247" s="915"/>
      <c r="F247" s="726"/>
      <c r="G247" s="726"/>
      <c r="H247" s="726"/>
      <c r="I247" s="725"/>
      <c r="J247" s="725"/>
      <c r="K247" s="725"/>
      <c r="L247" s="923"/>
      <c r="M247" s="756"/>
      <c r="N247" s="756"/>
      <c r="O247" s="756"/>
      <c r="P247" s="756"/>
      <c r="Q247" s="756"/>
      <c r="R247" s="756"/>
      <c r="S247" s="923"/>
      <c r="T247" s="756"/>
      <c r="U247" s="756"/>
      <c r="V247" s="756"/>
      <c r="W247" s="756"/>
      <c r="X247" s="756"/>
      <c r="Y247" s="756"/>
      <c r="Z247" s="923"/>
      <c r="AA247" s="756"/>
      <c r="AB247" s="884">
        <f>32.28*0.3*2</f>
        <v>19.367999999999999</v>
      </c>
      <c r="AC247" s="756"/>
      <c r="AD247" s="756"/>
      <c r="AE247" s="774"/>
      <c r="AF247" s="756"/>
      <c r="AG247" s="897"/>
      <c r="AH247" s="819"/>
      <c r="AI247" s="786">
        <f t="shared" si="13"/>
        <v>19.37</v>
      </c>
      <c r="AJ247" s="725">
        <v>0</v>
      </c>
      <c r="AK247" s="726">
        <f t="shared" si="11"/>
        <v>19.37</v>
      </c>
      <c r="AL247" s="847" t="s">
        <v>1593</v>
      </c>
      <c r="AM247" s="729">
        <f t="shared" si="12"/>
        <v>37.200000000000003</v>
      </c>
    </row>
    <row r="248" spans="1:39" s="730" customFormat="1">
      <c r="A248" s="720" t="s">
        <v>760</v>
      </c>
      <c r="B248" s="720" t="s">
        <v>1215</v>
      </c>
      <c r="C248" s="823" t="s">
        <v>48</v>
      </c>
      <c r="D248" s="743"/>
      <c r="E248" s="915"/>
      <c r="F248" s="726"/>
      <c r="G248" s="726"/>
      <c r="H248" s="726"/>
      <c r="I248" s="725"/>
      <c r="J248" s="725"/>
      <c r="K248" s="725"/>
      <c r="L248" s="923"/>
      <c r="M248" s="756"/>
      <c r="N248" s="756"/>
      <c r="O248" s="756"/>
      <c r="P248" s="756"/>
      <c r="Q248" s="756"/>
      <c r="R248" s="756"/>
      <c r="S248" s="923"/>
      <c r="T248" s="756"/>
      <c r="U248" s="756"/>
      <c r="V248" s="756"/>
      <c r="W248" s="756"/>
      <c r="X248" s="756"/>
      <c r="Y248" s="756"/>
      <c r="Z248" s="923"/>
      <c r="AA248" s="884">
        <v>255.19</v>
      </c>
      <c r="AB248" s="756"/>
      <c r="AC248" s="756"/>
      <c r="AD248" s="756"/>
      <c r="AE248" s="774"/>
      <c r="AF248" s="756"/>
      <c r="AG248" s="897"/>
      <c r="AH248" s="819"/>
      <c r="AI248" s="786">
        <f t="shared" si="13"/>
        <v>255.19</v>
      </c>
      <c r="AJ248" s="725">
        <v>0</v>
      </c>
      <c r="AK248" s="726">
        <f t="shared" si="11"/>
        <v>255.19</v>
      </c>
      <c r="AL248" s="847" t="s">
        <v>1594</v>
      </c>
      <c r="AM248" s="729">
        <f t="shared" si="12"/>
        <v>183.54000000000002</v>
      </c>
    </row>
    <row r="249" spans="1:39" s="730" customFormat="1" hidden="1">
      <c r="A249" s="831" t="s">
        <v>761</v>
      </c>
      <c r="B249" s="831" t="s">
        <v>1200</v>
      </c>
      <c r="C249" s="844"/>
      <c r="D249" s="743"/>
      <c r="E249" s="915"/>
      <c r="F249" s="726"/>
      <c r="G249" s="726"/>
      <c r="H249" s="726"/>
      <c r="I249" s="725"/>
      <c r="J249" s="725"/>
      <c r="K249" s="725"/>
      <c r="L249" s="923"/>
      <c r="M249" s="756"/>
      <c r="N249" s="756"/>
      <c r="O249" s="756"/>
      <c r="P249" s="756"/>
      <c r="Q249" s="756"/>
      <c r="R249" s="756"/>
      <c r="S249" s="923"/>
      <c r="T249" s="756"/>
      <c r="U249" s="756"/>
      <c r="V249" s="756"/>
      <c r="W249" s="756"/>
      <c r="X249" s="756"/>
      <c r="Y249" s="756"/>
      <c r="Z249" s="923"/>
      <c r="AA249" s="756"/>
      <c r="AB249" s="756"/>
      <c r="AC249" s="756"/>
      <c r="AD249" s="756"/>
      <c r="AE249" s="774"/>
      <c r="AF249" s="756"/>
      <c r="AG249" s="897"/>
      <c r="AH249" s="819"/>
      <c r="AI249" s="786">
        <f t="shared" si="13"/>
        <v>0</v>
      </c>
      <c r="AJ249" s="725">
        <v>0</v>
      </c>
      <c r="AK249" s="726">
        <f t="shared" si="11"/>
        <v>0</v>
      </c>
      <c r="AL249" s="847"/>
      <c r="AM249" s="729">
        <f t="shared" si="12"/>
        <v>0</v>
      </c>
    </row>
    <row r="250" spans="1:39" s="730" customFormat="1" hidden="1">
      <c r="A250" s="720" t="s">
        <v>762</v>
      </c>
      <c r="B250" s="720" t="s">
        <v>1216</v>
      </c>
      <c r="C250" s="823" t="s">
        <v>38</v>
      </c>
      <c r="D250" s="743"/>
      <c r="E250" s="915"/>
      <c r="F250" s="726"/>
      <c r="G250" s="726"/>
      <c r="H250" s="726"/>
      <c r="I250" s="725"/>
      <c r="J250" s="725"/>
      <c r="K250" s="725"/>
      <c r="L250" s="923"/>
      <c r="M250" s="756"/>
      <c r="N250" s="756"/>
      <c r="O250" s="756"/>
      <c r="P250" s="756"/>
      <c r="Q250" s="756"/>
      <c r="R250" s="756"/>
      <c r="S250" s="923"/>
      <c r="T250" s="756"/>
      <c r="U250" s="756"/>
      <c r="V250" s="756"/>
      <c r="W250" s="756"/>
      <c r="X250" s="756"/>
      <c r="Y250" s="756"/>
      <c r="Z250" s="923"/>
      <c r="AA250" s="756"/>
      <c r="AB250" s="756"/>
      <c r="AC250" s="756"/>
      <c r="AD250" s="756"/>
      <c r="AE250" s="774"/>
      <c r="AF250" s="756"/>
      <c r="AG250" s="897"/>
      <c r="AH250" s="819"/>
      <c r="AI250" s="786">
        <f t="shared" si="13"/>
        <v>0</v>
      </c>
      <c r="AJ250" s="725">
        <v>0</v>
      </c>
      <c r="AK250" s="726">
        <f t="shared" si="11"/>
        <v>0</v>
      </c>
      <c r="AL250" s="847" t="s">
        <v>1595</v>
      </c>
      <c r="AM250" s="729">
        <f t="shared" si="12"/>
        <v>36</v>
      </c>
    </row>
    <row r="251" spans="1:39" s="730" customFormat="1">
      <c r="A251" s="814" t="s">
        <v>763</v>
      </c>
      <c r="B251" s="815" t="s">
        <v>1217</v>
      </c>
      <c r="C251" s="844"/>
      <c r="D251" s="743"/>
      <c r="E251" s="915"/>
      <c r="F251" s="726"/>
      <c r="G251" s="726"/>
      <c r="H251" s="726"/>
      <c r="I251" s="725"/>
      <c r="J251" s="725"/>
      <c r="K251" s="725"/>
      <c r="L251" s="923"/>
      <c r="M251" s="756"/>
      <c r="N251" s="756"/>
      <c r="O251" s="756"/>
      <c r="P251" s="756"/>
      <c r="Q251" s="756"/>
      <c r="R251" s="756"/>
      <c r="S251" s="923"/>
      <c r="T251" s="756"/>
      <c r="U251" s="756"/>
      <c r="V251" s="756"/>
      <c r="W251" s="756"/>
      <c r="X251" s="756"/>
      <c r="Y251" s="756"/>
      <c r="Z251" s="923"/>
      <c r="AA251" s="756"/>
      <c r="AB251" s="756"/>
      <c r="AC251" s="756"/>
      <c r="AD251" s="756"/>
      <c r="AE251" s="774"/>
      <c r="AF251" s="756"/>
      <c r="AG251" s="897"/>
      <c r="AH251" s="819"/>
      <c r="AI251" s="786">
        <f t="shared" si="13"/>
        <v>0</v>
      </c>
      <c r="AJ251" s="725">
        <v>0</v>
      </c>
      <c r="AK251" s="726">
        <f t="shared" si="11"/>
        <v>0</v>
      </c>
      <c r="AL251" s="847"/>
      <c r="AM251" s="729">
        <f t="shared" si="12"/>
        <v>0</v>
      </c>
    </row>
    <row r="252" spans="1:39" s="730" customFormat="1" hidden="1">
      <c r="A252" s="831" t="s">
        <v>764</v>
      </c>
      <c r="B252" s="831" t="s">
        <v>46</v>
      </c>
      <c r="C252" s="844"/>
      <c r="D252" s="743"/>
      <c r="E252" s="915"/>
      <c r="F252" s="726"/>
      <c r="G252" s="726"/>
      <c r="H252" s="726"/>
      <c r="I252" s="725"/>
      <c r="J252" s="725"/>
      <c r="K252" s="725"/>
      <c r="L252" s="923"/>
      <c r="M252" s="756"/>
      <c r="N252" s="756"/>
      <c r="O252" s="756"/>
      <c r="P252" s="756"/>
      <c r="Q252" s="756"/>
      <c r="R252" s="756"/>
      <c r="S252" s="923"/>
      <c r="T252" s="756"/>
      <c r="U252" s="756"/>
      <c r="V252" s="756"/>
      <c r="W252" s="756"/>
      <c r="X252" s="756"/>
      <c r="Y252" s="756"/>
      <c r="Z252" s="923"/>
      <c r="AA252" s="756"/>
      <c r="AB252" s="756"/>
      <c r="AC252" s="756"/>
      <c r="AD252" s="756"/>
      <c r="AE252" s="774"/>
      <c r="AF252" s="756"/>
      <c r="AG252" s="897"/>
      <c r="AH252" s="819"/>
      <c r="AI252" s="786">
        <f t="shared" si="13"/>
        <v>0</v>
      </c>
      <c r="AJ252" s="725">
        <v>0</v>
      </c>
      <c r="AK252" s="726">
        <f t="shared" si="11"/>
        <v>0</v>
      </c>
      <c r="AL252" s="847"/>
      <c r="AM252" s="729">
        <f t="shared" si="12"/>
        <v>0</v>
      </c>
    </row>
    <row r="253" spans="1:39" s="730" customFormat="1" hidden="1">
      <c r="A253" s="720" t="s">
        <v>765</v>
      </c>
      <c r="B253" s="720" t="s">
        <v>1212</v>
      </c>
      <c r="C253" s="823" t="s">
        <v>40</v>
      </c>
      <c r="D253" s="743"/>
      <c r="E253" s="915"/>
      <c r="F253" s="726"/>
      <c r="G253" s="726"/>
      <c r="H253" s="726"/>
      <c r="I253" s="725"/>
      <c r="J253" s="725"/>
      <c r="K253" s="725"/>
      <c r="L253" s="923"/>
      <c r="M253" s="756"/>
      <c r="N253" s="756"/>
      <c r="O253" s="756"/>
      <c r="P253" s="756"/>
      <c r="Q253" s="756"/>
      <c r="R253" s="756"/>
      <c r="S253" s="923"/>
      <c r="T253" s="756"/>
      <c r="U253" s="756"/>
      <c r="V253" s="756"/>
      <c r="W253" s="756"/>
      <c r="X253" s="756"/>
      <c r="Y253" s="756"/>
      <c r="Z253" s="923"/>
      <c r="AA253" s="756"/>
      <c r="AB253" s="756"/>
      <c r="AC253" s="756"/>
      <c r="AD253" s="756"/>
      <c r="AE253" s="774"/>
      <c r="AF253" s="756"/>
      <c r="AG253" s="897"/>
      <c r="AH253" s="819"/>
      <c r="AI253" s="786">
        <f t="shared" si="13"/>
        <v>0</v>
      </c>
      <c r="AJ253" s="725">
        <v>0</v>
      </c>
      <c r="AK253" s="726">
        <f t="shared" si="11"/>
        <v>0</v>
      </c>
      <c r="AL253" s="847" t="s">
        <v>1596</v>
      </c>
      <c r="AM253" s="729">
        <f t="shared" si="12"/>
        <v>441.64</v>
      </c>
    </row>
    <row r="254" spans="1:39" s="730" customFormat="1" hidden="1">
      <c r="A254" s="720" t="s">
        <v>766</v>
      </c>
      <c r="B254" s="720" t="s">
        <v>1161</v>
      </c>
      <c r="C254" s="823" t="s">
        <v>40</v>
      </c>
      <c r="D254" s="743"/>
      <c r="E254" s="915"/>
      <c r="F254" s="726"/>
      <c r="G254" s="726"/>
      <c r="H254" s="726"/>
      <c r="I254" s="725"/>
      <c r="J254" s="725"/>
      <c r="K254" s="725"/>
      <c r="L254" s="923"/>
      <c r="M254" s="756"/>
      <c r="N254" s="756"/>
      <c r="O254" s="756"/>
      <c r="P254" s="756"/>
      <c r="Q254" s="756"/>
      <c r="R254" s="756"/>
      <c r="S254" s="923"/>
      <c r="T254" s="756"/>
      <c r="U254" s="756"/>
      <c r="V254" s="756"/>
      <c r="W254" s="756"/>
      <c r="X254" s="756"/>
      <c r="Y254" s="756"/>
      <c r="Z254" s="923"/>
      <c r="AA254" s="756"/>
      <c r="AB254" s="756"/>
      <c r="AC254" s="756"/>
      <c r="AD254" s="756"/>
      <c r="AE254" s="774"/>
      <c r="AF254" s="756"/>
      <c r="AG254" s="897"/>
      <c r="AH254" s="819"/>
      <c r="AI254" s="786">
        <f t="shared" si="13"/>
        <v>0</v>
      </c>
      <c r="AJ254" s="725">
        <v>0</v>
      </c>
      <c r="AK254" s="726">
        <f t="shared" si="11"/>
        <v>0</v>
      </c>
      <c r="AL254" s="847" t="s">
        <v>1597</v>
      </c>
      <c r="AM254" s="729">
        <f t="shared" si="12"/>
        <v>574.13</v>
      </c>
    </row>
    <row r="255" spans="1:39" s="730" customFormat="1">
      <c r="A255" s="831" t="s">
        <v>767</v>
      </c>
      <c r="B255" s="831" t="s">
        <v>1218</v>
      </c>
      <c r="C255" s="844"/>
      <c r="D255" s="743"/>
      <c r="E255" s="915"/>
      <c r="F255" s="726"/>
      <c r="G255" s="726"/>
      <c r="H255" s="726"/>
      <c r="I255" s="725"/>
      <c r="J255" s="725"/>
      <c r="K255" s="725"/>
      <c r="L255" s="923"/>
      <c r="M255" s="756"/>
      <c r="N255" s="756"/>
      <c r="O255" s="756"/>
      <c r="P255" s="756"/>
      <c r="Q255" s="756"/>
      <c r="R255" s="756"/>
      <c r="S255" s="923"/>
      <c r="T255" s="756"/>
      <c r="U255" s="756"/>
      <c r="V255" s="756"/>
      <c r="W255" s="756"/>
      <c r="X255" s="756"/>
      <c r="Y255" s="756"/>
      <c r="Z255" s="923"/>
      <c r="AA255" s="756"/>
      <c r="AB255" s="756"/>
      <c r="AC255" s="756"/>
      <c r="AD255" s="756"/>
      <c r="AE255" s="774"/>
      <c r="AF255" s="756"/>
      <c r="AG255" s="897"/>
      <c r="AH255" s="819"/>
      <c r="AI255" s="786">
        <f t="shared" si="13"/>
        <v>0</v>
      </c>
      <c r="AJ255" s="725">
        <v>0</v>
      </c>
      <c r="AK255" s="726">
        <f t="shared" si="11"/>
        <v>0</v>
      </c>
      <c r="AL255" s="847"/>
      <c r="AM255" s="729">
        <f t="shared" si="12"/>
        <v>0</v>
      </c>
    </row>
    <row r="256" spans="1:39" s="730" customFormat="1">
      <c r="A256" s="720" t="s">
        <v>768</v>
      </c>
      <c r="B256" s="720" t="s">
        <v>1219</v>
      </c>
      <c r="C256" s="823" t="s">
        <v>40</v>
      </c>
      <c r="D256" s="743"/>
      <c r="E256" s="915"/>
      <c r="F256" s="726"/>
      <c r="G256" s="726"/>
      <c r="H256" s="726"/>
      <c r="I256" s="725"/>
      <c r="J256" s="725"/>
      <c r="K256" s="725"/>
      <c r="L256" s="923"/>
      <c r="M256" s="756"/>
      <c r="N256" s="756"/>
      <c r="O256" s="756"/>
      <c r="P256" s="756"/>
      <c r="Q256" s="756"/>
      <c r="R256" s="756"/>
      <c r="S256" s="923"/>
      <c r="T256" s="756"/>
      <c r="U256" s="756"/>
      <c r="V256" s="756"/>
      <c r="W256" s="756"/>
      <c r="X256" s="756"/>
      <c r="Y256" s="756"/>
      <c r="Z256" s="923"/>
      <c r="AA256" s="756"/>
      <c r="AB256" s="884">
        <f>5.95*1.1*0.5+1.1*0.5*3.25</f>
        <v>5.0600000000000005</v>
      </c>
      <c r="AC256" s="756"/>
      <c r="AD256" s="884">
        <f>5.95*3.3*0.2+3.25*2.5*0.2</f>
        <v>5.5519999999999996</v>
      </c>
      <c r="AE256" s="774"/>
      <c r="AF256" s="756"/>
      <c r="AG256" s="897"/>
      <c r="AH256" s="819"/>
      <c r="AI256" s="786">
        <f t="shared" si="13"/>
        <v>10.61</v>
      </c>
      <c r="AJ256" s="725">
        <v>0</v>
      </c>
      <c r="AK256" s="726">
        <f t="shared" si="11"/>
        <v>10.61</v>
      </c>
      <c r="AL256" s="847" t="s">
        <v>1598</v>
      </c>
      <c r="AM256" s="729">
        <f t="shared" si="12"/>
        <v>193.39999999999998</v>
      </c>
    </row>
    <row r="257" spans="1:39" s="730" customFormat="1">
      <c r="A257" s="720" t="s">
        <v>769</v>
      </c>
      <c r="B257" s="720" t="s">
        <v>1220</v>
      </c>
      <c r="C257" s="823" t="s">
        <v>37</v>
      </c>
      <c r="D257" s="743"/>
      <c r="E257" s="915"/>
      <c r="F257" s="726"/>
      <c r="G257" s="726"/>
      <c r="H257" s="726"/>
      <c r="I257" s="725"/>
      <c r="J257" s="725"/>
      <c r="K257" s="725"/>
      <c r="L257" s="923"/>
      <c r="M257" s="756"/>
      <c r="N257" s="756"/>
      <c r="O257" s="756"/>
      <c r="P257" s="756"/>
      <c r="Q257" s="756"/>
      <c r="R257" s="756"/>
      <c r="S257" s="923"/>
      <c r="T257" s="756"/>
      <c r="U257" s="756"/>
      <c r="V257" s="756"/>
      <c r="W257" s="756"/>
      <c r="X257" s="756"/>
      <c r="Y257" s="756"/>
      <c r="Z257" s="923"/>
      <c r="AA257" s="884">
        <f>9.2*2*0.5</f>
        <v>9.1999999999999993</v>
      </c>
      <c r="AB257" s="756"/>
      <c r="AC257" s="884">
        <f>3.25*2*1.9+2.68*2*2.5+3.27*2*3.3</f>
        <v>47.331999999999994</v>
      </c>
      <c r="AD257" s="756"/>
      <c r="AE257" s="774"/>
      <c r="AF257" s="756"/>
      <c r="AG257" s="897"/>
      <c r="AH257" s="819"/>
      <c r="AI257" s="786">
        <f t="shared" si="13"/>
        <v>56.53</v>
      </c>
      <c r="AJ257" s="725">
        <v>0</v>
      </c>
      <c r="AK257" s="726">
        <f t="shared" si="11"/>
        <v>56.53</v>
      </c>
      <c r="AL257" s="847" t="s">
        <v>1599</v>
      </c>
      <c r="AM257" s="729">
        <f t="shared" si="12"/>
        <v>493.91000000000008</v>
      </c>
    </row>
    <row r="258" spans="1:39" s="730" customFormat="1">
      <c r="A258" s="720" t="s">
        <v>770</v>
      </c>
      <c r="B258" s="720" t="s">
        <v>1221</v>
      </c>
      <c r="C258" s="823" t="s">
        <v>48</v>
      </c>
      <c r="D258" s="743"/>
      <c r="E258" s="915"/>
      <c r="F258" s="726"/>
      <c r="G258" s="726"/>
      <c r="H258" s="726"/>
      <c r="I258" s="725"/>
      <c r="J258" s="725"/>
      <c r="K258" s="725"/>
      <c r="L258" s="925"/>
      <c r="M258" s="745"/>
      <c r="N258" s="745"/>
      <c r="O258" s="745"/>
      <c r="P258" s="745"/>
      <c r="Q258" s="745"/>
      <c r="R258" s="745"/>
      <c r="S258" s="925"/>
      <c r="T258" s="745"/>
      <c r="U258" s="745"/>
      <c r="V258" s="745"/>
      <c r="W258" s="745"/>
      <c r="X258" s="745"/>
      <c r="Y258" s="745"/>
      <c r="Z258" s="925">
        <f>101+101</f>
        <v>202</v>
      </c>
      <c r="AA258" s="745"/>
      <c r="AB258" s="884">
        <v>388</v>
      </c>
      <c r="AC258" s="745"/>
      <c r="AD258" s="745"/>
      <c r="AE258" s="884"/>
      <c r="AF258" s="745"/>
      <c r="AG258" s="899"/>
      <c r="AH258" s="845"/>
      <c r="AI258" s="786">
        <f t="shared" si="13"/>
        <v>590</v>
      </c>
      <c r="AJ258" s="725">
        <v>0</v>
      </c>
      <c r="AK258" s="726">
        <f t="shared" si="11"/>
        <v>590</v>
      </c>
      <c r="AL258" s="847" t="s">
        <v>1600</v>
      </c>
      <c r="AM258" s="729">
        <f t="shared" si="12"/>
        <v>14858.74</v>
      </c>
    </row>
    <row r="259" spans="1:39" s="730" customFormat="1" hidden="1">
      <c r="A259" s="831" t="s">
        <v>771</v>
      </c>
      <c r="B259" s="831" t="s">
        <v>1200</v>
      </c>
      <c r="C259" s="844"/>
      <c r="D259" s="743"/>
      <c r="E259" s="915"/>
      <c r="F259" s="726"/>
      <c r="G259" s="726"/>
      <c r="H259" s="726"/>
      <c r="I259" s="725"/>
      <c r="J259" s="725"/>
      <c r="K259" s="725"/>
      <c r="L259" s="923"/>
      <c r="M259" s="756"/>
      <c r="N259" s="756"/>
      <c r="O259" s="756"/>
      <c r="P259" s="756"/>
      <c r="Q259" s="756"/>
      <c r="R259" s="756"/>
      <c r="S259" s="923"/>
      <c r="T259" s="756"/>
      <c r="U259" s="756"/>
      <c r="V259" s="756"/>
      <c r="W259" s="756"/>
      <c r="X259" s="756"/>
      <c r="Y259" s="756"/>
      <c r="Z259" s="923"/>
      <c r="AA259" s="756"/>
      <c r="AB259" s="756"/>
      <c r="AC259" s="756"/>
      <c r="AD259" s="756"/>
      <c r="AE259" s="774"/>
      <c r="AF259" s="756"/>
      <c r="AG259" s="897"/>
      <c r="AH259" s="819"/>
      <c r="AI259" s="786">
        <f t="shared" si="13"/>
        <v>0</v>
      </c>
      <c r="AJ259" s="725">
        <v>0</v>
      </c>
      <c r="AK259" s="726">
        <f t="shared" si="11"/>
        <v>0</v>
      </c>
      <c r="AL259" s="847"/>
      <c r="AM259" s="729">
        <f t="shared" si="12"/>
        <v>0</v>
      </c>
    </row>
    <row r="260" spans="1:39" s="730" customFormat="1" hidden="1">
      <c r="A260" s="720" t="s">
        <v>772</v>
      </c>
      <c r="B260" s="720" t="s">
        <v>1222</v>
      </c>
      <c r="C260" s="823" t="s">
        <v>38</v>
      </c>
      <c r="D260" s="743"/>
      <c r="E260" s="915"/>
      <c r="F260" s="726"/>
      <c r="G260" s="726"/>
      <c r="H260" s="726"/>
      <c r="I260" s="725"/>
      <c r="J260" s="725"/>
      <c r="K260" s="725"/>
      <c r="L260" s="923"/>
      <c r="M260" s="756"/>
      <c r="N260" s="756"/>
      <c r="O260" s="756"/>
      <c r="P260" s="756"/>
      <c r="Q260" s="756"/>
      <c r="R260" s="756"/>
      <c r="S260" s="923"/>
      <c r="T260" s="756"/>
      <c r="U260" s="756"/>
      <c r="V260" s="756"/>
      <c r="W260" s="756"/>
      <c r="X260" s="756"/>
      <c r="Y260" s="756"/>
      <c r="Z260" s="923"/>
      <c r="AA260" s="756"/>
      <c r="AB260" s="756"/>
      <c r="AC260" s="756"/>
      <c r="AD260" s="756"/>
      <c r="AE260" s="774"/>
      <c r="AF260" s="756"/>
      <c r="AG260" s="897"/>
      <c r="AH260" s="819"/>
      <c r="AI260" s="786">
        <f t="shared" si="13"/>
        <v>0</v>
      </c>
      <c r="AJ260" s="725">
        <v>0</v>
      </c>
      <c r="AK260" s="726">
        <f t="shared" si="11"/>
        <v>0</v>
      </c>
      <c r="AL260" s="847" t="s">
        <v>1601</v>
      </c>
      <c r="AM260" s="729">
        <f t="shared" si="12"/>
        <v>111.93</v>
      </c>
    </row>
    <row r="261" spans="1:39" s="730" customFormat="1" hidden="1">
      <c r="A261" s="720" t="s">
        <v>773</v>
      </c>
      <c r="B261" s="720" t="s">
        <v>225</v>
      </c>
      <c r="C261" s="823" t="s">
        <v>1450</v>
      </c>
      <c r="D261" s="743"/>
      <c r="E261" s="915"/>
      <c r="F261" s="726"/>
      <c r="G261" s="726"/>
      <c r="H261" s="726"/>
      <c r="I261" s="725"/>
      <c r="J261" s="725"/>
      <c r="K261" s="725"/>
      <c r="L261" s="923"/>
      <c r="M261" s="756"/>
      <c r="N261" s="756"/>
      <c r="O261" s="756"/>
      <c r="P261" s="756"/>
      <c r="Q261" s="756"/>
      <c r="R261" s="756"/>
      <c r="S261" s="923"/>
      <c r="T261" s="756"/>
      <c r="U261" s="756"/>
      <c r="V261" s="756"/>
      <c r="W261" s="756"/>
      <c r="X261" s="756"/>
      <c r="Y261" s="756"/>
      <c r="Z261" s="923"/>
      <c r="AA261" s="756"/>
      <c r="AB261" s="756"/>
      <c r="AC261" s="756"/>
      <c r="AD261" s="756"/>
      <c r="AE261" s="774"/>
      <c r="AF261" s="756"/>
      <c r="AG261" s="897"/>
      <c r="AH261" s="819"/>
      <c r="AI261" s="786">
        <f t="shared" si="13"/>
        <v>0</v>
      </c>
      <c r="AJ261" s="725">
        <v>0</v>
      </c>
      <c r="AK261" s="726">
        <f t="shared" si="11"/>
        <v>0</v>
      </c>
      <c r="AL261" s="847" t="s">
        <v>1602</v>
      </c>
      <c r="AM261" s="729">
        <f t="shared" si="12"/>
        <v>24</v>
      </c>
    </row>
    <row r="262" spans="1:39" s="730" customFormat="1">
      <c r="A262" s="814" t="s">
        <v>774</v>
      </c>
      <c r="B262" s="815" t="s">
        <v>1223</v>
      </c>
      <c r="C262" s="844"/>
      <c r="D262" s="743"/>
      <c r="E262" s="915"/>
      <c r="F262" s="726"/>
      <c r="G262" s="726"/>
      <c r="H262" s="726"/>
      <c r="I262" s="725"/>
      <c r="J262" s="725"/>
      <c r="K262" s="725"/>
      <c r="L262" s="923"/>
      <c r="M262" s="756"/>
      <c r="N262" s="756"/>
      <c r="O262" s="756"/>
      <c r="P262" s="756"/>
      <c r="Q262" s="756"/>
      <c r="R262" s="756"/>
      <c r="S262" s="923"/>
      <c r="T262" s="756"/>
      <c r="U262" s="756"/>
      <c r="V262" s="756"/>
      <c r="W262" s="756"/>
      <c r="X262" s="756"/>
      <c r="Y262" s="756"/>
      <c r="Z262" s="923"/>
      <c r="AA262" s="756"/>
      <c r="AB262" s="756"/>
      <c r="AC262" s="756"/>
      <c r="AD262" s="756"/>
      <c r="AE262" s="774"/>
      <c r="AF262" s="756"/>
      <c r="AG262" s="897"/>
      <c r="AH262" s="819"/>
      <c r="AI262" s="786">
        <f t="shared" si="13"/>
        <v>0</v>
      </c>
      <c r="AJ262" s="725">
        <v>0</v>
      </c>
      <c r="AK262" s="726">
        <f t="shared" si="11"/>
        <v>0</v>
      </c>
      <c r="AL262" s="847"/>
      <c r="AM262" s="729">
        <f t="shared" si="12"/>
        <v>0</v>
      </c>
    </row>
    <row r="263" spans="1:39" s="730" customFormat="1" hidden="1">
      <c r="A263" s="831" t="s">
        <v>775</v>
      </c>
      <c r="B263" s="831" t="s">
        <v>46</v>
      </c>
      <c r="C263" s="844"/>
      <c r="D263" s="743"/>
      <c r="E263" s="915"/>
      <c r="F263" s="726"/>
      <c r="G263" s="726"/>
      <c r="H263" s="726"/>
      <c r="I263" s="725"/>
      <c r="J263" s="725"/>
      <c r="K263" s="725"/>
      <c r="L263" s="923"/>
      <c r="M263" s="756"/>
      <c r="N263" s="756"/>
      <c r="O263" s="756"/>
      <c r="P263" s="756"/>
      <c r="Q263" s="756"/>
      <c r="R263" s="756"/>
      <c r="S263" s="923"/>
      <c r="T263" s="756"/>
      <c r="U263" s="756"/>
      <c r="V263" s="756"/>
      <c r="W263" s="756"/>
      <c r="X263" s="756"/>
      <c r="Y263" s="756"/>
      <c r="Z263" s="923"/>
      <c r="AA263" s="756"/>
      <c r="AB263" s="756"/>
      <c r="AC263" s="756"/>
      <c r="AD263" s="756"/>
      <c r="AE263" s="774"/>
      <c r="AF263" s="756"/>
      <c r="AG263" s="897"/>
      <c r="AH263" s="819"/>
      <c r="AI263" s="786">
        <f t="shared" si="13"/>
        <v>0</v>
      </c>
      <c r="AJ263" s="725">
        <v>0</v>
      </c>
      <c r="AK263" s="726">
        <f t="shared" si="11"/>
        <v>0</v>
      </c>
      <c r="AL263" s="847"/>
      <c r="AM263" s="729">
        <f t="shared" si="12"/>
        <v>0</v>
      </c>
    </row>
    <row r="264" spans="1:39" s="730" customFormat="1" hidden="1">
      <c r="A264" s="720" t="s">
        <v>776</v>
      </c>
      <c r="B264" s="720" t="s">
        <v>1212</v>
      </c>
      <c r="C264" s="823" t="s">
        <v>40</v>
      </c>
      <c r="D264" s="743"/>
      <c r="E264" s="915"/>
      <c r="F264" s="726"/>
      <c r="G264" s="726"/>
      <c r="H264" s="726"/>
      <c r="I264" s="725"/>
      <c r="J264" s="725"/>
      <c r="K264" s="725"/>
      <c r="L264" s="923"/>
      <c r="M264" s="756"/>
      <c r="N264" s="756"/>
      <c r="O264" s="756"/>
      <c r="P264" s="756"/>
      <c r="Q264" s="756"/>
      <c r="R264" s="756"/>
      <c r="S264" s="923"/>
      <c r="T264" s="756"/>
      <c r="U264" s="756"/>
      <c r="V264" s="756"/>
      <c r="W264" s="756"/>
      <c r="X264" s="756"/>
      <c r="Y264" s="756"/>
      <c r="Z264" s="923"/>
      <c r="AA264" s="756"/>
      <c r="AB264" s="756"/>
      <c r="AC264" s="756"/>
      <c r="AD264" s="756"/>
      <c r="AE264" s="774"/>
      <c r="AF264" s="756"/>
      <c r="AG264" s="897"/>
      <c r="AH264" s="819"/>
      <c r="AI264" s="786">
        <f t="shared" si="13"/>
        <v>0</v>
      </c>
      <c r="AJ264" s="725">
        <v>0</v>
      </c>
      <c r="AK264" s="726">
        <f t="shared" si="11"/>
        <v>0</v>
      </c>
      <c r="AL264" s="847" t="s">
        <v>1603</v>
      </c>
      <c r="AM264" s="729">
        <f t="shared" si="12"/>
        <v>95.88</v>
      </c>
    </row>
    <row r="265" spans="1:39" s="730" customFormat="1" hidden="1">
      <c r="A265" s="720" t="s">
        <v>777</v>
      </c>
      <c r="B265" s="720" t="s">
        <v>1161</v>
      </c>
      <c r="C265" s="823" t="s">
        <v>40</v>
      </c>
      <c r="D265" s="743"/>
      <c r="E265" s="915"/>
      <c r="F265" s="726"/>
      <c r="G265" s="726"/>
      <c r="H265" s="726"/>
      <c r="I265" s="725"/>
      <c r="J265" s="725"/>
      <c r="K265" s="725"/>
      <c r="L265" s="923"/>
      <c r="M265" s="756"/>
      <c r="N265" s="756"/>
      <c r="O265" s="756"/>
      <c r="P265" s="756"/>
      <c r="Q265" s="756"/>
      <c r="R265" s="756"/>
      <c r="S265" s="923"/>
      <c r="T265" s="756"/>
      <c r="U265" s="756"/>
      <c r="V265" s="756"/>
      <c r="W265" s="756"/>
      <c r="X265" s="756"/>
      <c r="Y265" s="756"/>
      <c r="Z265" s="923"/>
      <c r="AA265" s="756"/>
      <c r="AB265" s="756"/>
      <c r="AC265" s="756"/>
      <c r="AD265" s="756"/>
      <c r="AE265" s="774"/>
      <c r="AF265" s="756"/>
      <c r="AG265" s="897"/>
      <c r="AH265" s="819"/>
      <c r="AI265" s="786">
        <f t="shared" si="13"/>
        <v>0</v>
      </c>
      <c r="AJ265" s="725">
        <v>0</v>
      </c>
      <c r="AK265" s="726">
        <f t="shared" si="11"/>
        <v>0</v>
      </c>
      <c r="AL265" s="847" t="s">
        <v>1604</v>
      </c>
      <c r="AM265" s="729">
        <f t="shared" si="12"/>
        <v>124.65</v>
      </c>
    </row>
    <row r="266" spans="1:39" s="730" customFormat="1">
      <c r="A266" s="831" t="s">
        <v>778</v>
      </c>
      <c r="B266" s="831" t="s">
        <v>1162</v>
      </c>
      <c r="C266" s="844"/>
      <c r="D266" s="743"/>
      <c r="E266" s="915"/>
      <c r="F266" s="726"/>
      <c r="G266" s="726"/>
      <c r="H266" s="726"/>
      <c r="I266" s="725"/>
      <c r="J266" s="725"/>
      <c r="K266" s="725"/>
      <c r="L266" s="923"/>
      <c r="M266" s="775"/>
      <c r="N266" s="775"/>
      <c r="O266" s="775"/>
      <c r="P266" s="775"/>
      <c r="Q266" s="775"/>
      <c r="R266" s="775"/>
      <c r="S266" s="928"/>
      <c r="T266" s="756"/>
      <c r="U266" s="756"/>
      <c r="V266" s="756"/>
      <c r="W266" s="756"/>
      <c r="X266" s="756"/>
      <c r="Y266" s="756"/>
      <c r="Z266" s="923"/>
      <c r="AA266" s="756"/>
      <c r="AB266" s="756"/>
      <c r="AC266" s="756"/>
      <c r="AD266" s="756"/>
      <c r="AE266" s="774"/>
      <c r="AF266" s="756"/>
      <c r="AG266" s="897"/>
      <c r="AH266" s="819"/>
      <c r="AI266" s="786">
        <f t="shared" si="13"/>
        <v>0</v>
      </c>
      <c r="AJ266" s="725">
        <v>0</v>
      </c>
      <c r="AK266" s="726">
        <f t="shared" si="11"/>
        <v>0</v>
      </c>
      <c r="AL266" s="847"/>
      <c r="AM266" s="729">
        <f t="shared" si="12"/>
        <v>0</v>
      </c>
    </row>
    <row r="267" spans="1:39" s="730" customFormat="1">
      <c r="A267" s="720" t="s">
        <v>779</v>
      </c>
      <c r="B267" s="720" t="s">
        <v>1204</v>
      </c>
      <c r="C267" s="823" t="s">
        <v>40</v>
      </c>
      <c r="D267" s="743"/>
      <c r="E267" s="915"/>
      <c r="F267" s="726"/>
      <c r="G267" s="726"/>
      <c r="H267" s="726"/>
      <c r="I267" s="725"/>
      <c r="J267" s="725"/>
      <c r="K267" s="725"/>
      <c r="L267" s="923"/>
      <c r="M267" s="884">
        <f>9.2*0.4*1.35</f>
        <v>4.968</v>
      </c>
      <c r="N267" s="756"/>
      <c r="O267" s="884">
        <f>9.3*0.4*1.35</f>
        <v>5.0220000000000011</v>
      </c>
      <c r="P267" s="884">
        <f>(((0.25+0.6)/2)*1.4)*9.25</f>
        <v>5.5037500000000001</v>
      </c>
      <c r="Q267" s="756"/>
      <c r="R267" s="884">
        <f>(((0.25+0.6)/2)*1.4)*9.25+6.22*0.2*1.35</f>
        <v>7.1831500000000004</v>
      </c>
      <c r="S267" s="923"/>
      <c r="T267" s="884">
        <f>6.22*0.2*1.35</f>
        <v>1.6794</v>
      </c>
      <c r="U267" s="884">
        <f>(((0.25+0.6)/2)*1.4)*6.22+7.51*0.4*1.35</f>
        <v>7.7563000000000004</v>
      </c>
      <c r="V267" s="756"/>
      <c r="X267" s="884">
        <f>7.51*(((0.25+0.6)/2)*1.4)</f>
        <v>4.4684499999999998</v>
      </c>
      <c r="Y267" s="756"/>
      <c r="Z267" s="923"/>
      <c r="AA267" s="756"/>
      <c r="AB267" s="756"/>
      <c r="AC267" s="756"/>
      <c r="AD267" s="756"/>
      <c r="AE267" s="774"/>
      <c r="AF267" s="756"/>
      <c r="AG267" s="897"/>
      <c r="AH267" s="819"/>
      <c r="AI267" s="786">
        <f t="shared" si="13"/>
        <v>36.58</v>
      </c>
      <c r="AJ267" s="725">
        <v>0</v>
      </c>
      <c r="AK267" s="726">
        <f t="shared" si="11"/>
        <v>36.58</v>
      </c>
      <c r="AL267" s="847" t="s">
        <v>1605</v>
      </c>
      <c r="AM267" s="729">
        <f t="shared" si="12"/>
        <v>45.09</v>
      </c>
    </row>
    <row r="268" spans="1:39" s="730" customFormat="1" ht="13.5" thickBot="1">
      <c r="A268" s="720" t="s">
        <v>780</v>
      </c>
      <c r="B268" s="720" t="s">
        <v>1224</v>
      </c>
      <c r="C268" s="823" t="s">
        <v>37</v>
      </c>
      <c r="D268" s="743"/>
      <c r="E268" s="915"/>
      <c r="F268" s="726"/>
      <c r="G268" s="726"/>
      <c r="H268" s="726"/>
      <c r="I268" s="725"/>
      <c r="J268" s="725"/>
      <c r="K268" s="725"/>
      <c r="L268" s="923"/>
      <c r="M268" s="773">
        <f>9.2*2*0.4</f>
        <v>7.3599999999999994</v>
      </c>
      <c r="O268" s="773">
        <f>1.4*9.3+1.43*9.3+9.3*2*0.4</f>
        <v>33.759</v>
      </c>
      <c r="P268" s="751"/>
      <c r="Q268" s="887">
        <f>9.3*(1.4325+1.4)+6.22*2*0.4</f>
        <v>31.318250000000003</v>
      </c>
      <c r="R268" s="725"/>
      <c r="S268" s="926"/>
      <c r="T268" s="751"/>
      <c r="U268" s="751"/>
      <c r="V268" s="751"/>
      <c r="W268" s="773">
        <f>7.51*1.43+1.4*7.51</f>
        <v>21.253299999999999</v>
      </c>
      <c r="X268" s="756"/>
      <c r="Y268" s="756"/>
      <c r="Z268" s="923"/>
      <c r="AA268" s="756"/>
      <c r="AB268" s="756"/>
      <c r="AC268" s="756"/>
      <c r="AD268" s="756"/>
      <c r="AE268" s="774"/>
      <c r="AF268" s="756"/>
      <c r="AG268" s="897"/>
      <c r="AH268" s="819"/>
      <c r="AI268" s="786">
        <f t="shared" si="13"/>
        <v>93.69</v>
      </c>
      <c r="AJ268" s="725">
        <v>0</v>
      </c>
      <c r="AK268" s="726">
        <f t="shared" si="11"/>
        <v>93.69</v>
      </c>
      <c r="AL268" s="847" t="s">
        <v>1606</v>
      </c>
      <c r="AM268" s="729">
        <f t="shared" si="12"/>
        <v>127.68</v>
      </c>
    </row>
    <row r="269" spans="1:39" s="500" customFormat="1" hidden="1">
      <c r="A269" s="440" t="s">
        <v>781</v>
      </c>
      <c r="B269" s="543" t="s">
        <v>1225</v>
      </c>
      <c r="C269" s="616"/>
      <c r="D269" s="519"/>
      <c r="E269" s="915"/>
      <c r="F269" s="520"/>
      <c r="G269" s="520"/>
      <c r="H269" s="520"/>
      <c r="I269" s="521"/>
      <c r="J269" s="521"/>
      <c r="K269" s="521"/>
      <c r="L269" s="923"/>
      <c r="M269" s="514"/>
      <c r="N269" s="514"/>
      <c r="O269" s="514"/>
      <c r="P269" s="514"/>
      <c r="Q269" s="514"/>
      <c r="R269" s="514"/>
      <c r="S269" s="923"/>
      <c r="T269" s="514"/>
      <c r="U269" s="514"/>
      <c r="V269" s="514"/>
      <c r="W269" s="514"/>
      <c r="X269" s="514"/>
      <c r="Y269" s="514"/>
      <c r="Z269" s="923"/>
      <c r="AA269" s="514"/>
      <c r="AB269" s="514"/>
      <c r="AC269" s="514"/>
      <c r="AD269" s="514"/>
      <c r="AE269" s="774"/>
      <c r="AF269" s="514"/>
      <c r="AG269" s="897"/>
      <c r="AH269" s="789"/>
      <c r="AI269" s="786">
        <f t="shared" si="13"/>
        <v>0</v>
      </c>
      <c r="AJ269" s="521">
        <v>0</v>
      </c>
      <c r="AK269" s="520">
        <f t="shared" si="11"/>
        <v>0</v>
      </c>
      <c r="AL269" s="695"/>
      <c r="AM269" s="669">
        <f t="shared" si="12"/>
        <v>0</v>
      </c>
    </row>
    <row r="270" spans="1:39" s="500" customFormat="1" hidden="1">
      <c r="A270" s="542" t="s">
        <v>782</v>
      </c>
      <c r="B270" s="542" t="s">
        <v>46</v>
      </c>
      <c r="C270" s="616"/>
      <c r="D270" s="519"/>
      <c r="E270" s="915"/>
      <c r="F270" s="520"/>
      <c r="G270" s="520"/>
      <c r="H270" s="520"/>
      <c r="I270" s="521"/>
      <c r="J270" s="521"/>
      <c r="K270" s="521"/>
      <c r="L270" s="923"/>
      <c r="M270" s="514"/>
      <c r="N270" s="514"/>
      <c r="O270" s="514"/>
      <c r="P270" s="514"/>
      <c r="Q270" s="514"/>
      <c r="R270" s="514"/>
      <c r="S270" s="923"/>
      <c r="T270" s="514"/>
      <c r="U270" s="514"/>
      <c r="V270" s="514"/>
      <c r="W270" s="514"/>
      <c r="X270" s="514"/>
      <c r="Y270" s="514"/>
      <c r="Z270" s="923"/>
      <c r="AA270" s="514"/>
      <c r="AB270" s="514"/>
      <c r="AC270" s="514"/>
      <c r="AD270" s="514"/>
      <c r="AE270" s="774"/>
      <c r="AF270" s="514"/>
      <c r="AG270" s="897"/>
      <c r="AH270" s="789"/>
      <c r="AI270" s="786">
        <f t="shared" si="13"/>
        <v>0</v>
      </c>
      <c r="AJ270" s="521">
        <v>0</v>
      </c>
      <c r="AK270" s="520">
        <f t="shared" ref="AK270:AK333" si="14">AI270+AJ270</f>
        <v>0</v>
      </c>
      <c r="AL270" s="695"/>
      <c r="AM270" s="669">
        <f t="shared" ref="AM270:AM333" si="15">AL270-AK270</f>
        <v>0</v>
      </c>
    </row>
    <row r="271" spans="1:39" s="500" customFormat="1" hidden="1">
      <c r="A271" s="539" t="s">
        <v>783</v>
      </c>
      <c r="B271" s="539" t="s">
        <v>1226</v>
      </c>
      <c r="C271" s="548" t="s">
        <v>40</v>
      </c>
      <c r="D271" s="519"/>
      <c r="E271" s="915"/>
      <c r="F271" s="520"/>
      <c r="G271" s="520"/>
      <c r="H271" s="520"/>
      <c r="I271" s="521"/>
      <c r="J271" s="521"/>
      <c r="K271" s="521"/>
      <c r="L271" s="923"/>
      <c r="M271" s="514"/>
      <c r="N271" s="514"/>
      <c r="O271" s="514"/>
      <c r="P271" s="514"/>
      <c r="Q271" s="514"/>
      <c r="R271" s="514"/>
      <c r="S271" s="923"/>
      <c r="T271" s="514"/>
      <c r="U271" s="514"/>
      <c r="V271" s="514"/>
      <c r="W271" s="514"/>
      <c r="X271" s="514"/>
      <c r="Y271" s="514"/>
      <c r="Z271" s="923"/>
      <c r="AA271" s="514"/>
      <c r="AB271" s="514"/>
      <c r="AC271" s="514"/>
      <c r="AD271" s="514"/>
      <c r="AE271" s="774"/>
      <c r="AF271" s="514"/>
      <c r="AG271" s="897"/>
      <c r="AH271" s="789"/>
      <c r="AI271" s="786">
        <f t="shared" ref="AI271:AI334" si="16">ROUND((SUM(D271:AH271)),2)</f>
        <v>0</v>
      </c>
      <c r="AJ271" s="521">
        <v>0</v>
      </c>
      <c r="AK271" s="520">
        <f t="shared" si="14"/>
        <v>0</v>
      </c>
      <c r="AL271" s="695" t="s">
        <v>1607</v>
      </c>
      <c r="AM271" s="669">
        <f t="shared" si="15"/>
        <v>2.81</v>
      </c>
    </row>
    <row r="272" spans="1:39" s="500" customFormat="1" hidden="1">
      <c r="A272" s="539" t="s">
        <v>784</v>
      </c>
      <c r="B272" s="539" t="s">
        <v>269</v>
      </c>
      <c r="C272" s="548" t="s">
        <v>37</v>
      </c>
      <c r="D272" s="519"/>
      <c r="E272" s="915"/>
      <c r="F272" s="520"/>
      <c r="G272" s="520"/>
      <c r="H272" s="520"/>
      <c r="I272" s="521"/>
      <c r="J272" s="521"/>
      <c r="K272" s="521"/>
      <c r="L272" s="923"/>
      <c r="M272" s="514"/>
      <c r="N272" s="514"/>
      <c r="O272" s="514"/>
      <c r="P272" s="514"/>
      <c r="Q272" s="514"/>
      <c r="R272" s="514"/>
      <c r="S272" s="923"/>
      <c r="T272" s="514"/>
      <c r="U272" s="514"/>
      <c r="V272" s="514"/>
      <c r="W272" s="514"/>
      <c r="X272" s="514"/>
      <c r="Y272" s="514"/>
      <c r="Z272" s="923"/>
      <c r="AA272" s="514"/>
      <c r="AB272" s="514"/>
      <c r="AC272" s="514"/>
      <c r="AD272" s="514"/>
      <c r="AE272" s="774"/>
      <c r="AF272" s="514"/>
      <c r="AG272" s="897"/>
      <c r="AH272" s="789"/>
      <c r="AI272" s="786">
        <f t="shared" si="16"/>
        <v>0</v>
      </c>
      <c r="AJ272" s="521">
        <v>0</v>
      </c>
      <c r="AK272" s="520">
        <f t="shared" si="14"/>
        <v>0</v>
      </c>
      <c r="AL272" s="695" t="s">
        <v>1608</v>
      </c>
      <c r="AM272" s="669">
        <f t="shared" si="15"/>
        <v>60</v>
      </c>
    </row>
    <row r="273" spans="1:39" s="500" customFormat="1" hidden="1">
      <c r="A273" s="539" t="s">
        <v>785</v>
      </c>
      <c r="B273" s="539" t="s">
        <v>1161</v>
      </c>
      <c r="C273" s="548" t="s">
        <v>40</v>
      </c>
      <c r="D273" s="519"/>
      <c r="E273" s="915"/>
      <c r="F273" s="520"/>
      <c r="G273" s="520"/>
      <c r="H273" s="520"/>
      <c r="I273" s="521"/>
      <c r="J273" s="521"/>
      <c r="K273" s="521"/>
      <c r="L273" s="923"/>
      <c r="M273" s="514"/>
      <c r="N273" s="514"/>
      <c r="O273" s="514"/>
      <c r="P273" s="514"/>
      <c r="Q273" s="514"/>
      <c r="R273" s="514"/>
      <c r="S273" s="923"/>
      <c r="T273" s="514"/>
      <c r="U273" s="514"/>
      <c r="V273" s="514"/>
      <c r="W273" s="514"/>
      <c r="X273" s="514"/>
      <c r="Y273" s="514"/>
      <c r="Z273" s="923"/>
      <c r="AA273" s="514"/>
      <c r="AB273" s="514"/>
      <c r="AC273" s="514"/>
      <c r="AD273" s="514"/>
      <c r="AE273" s="774"/>
      <c r="AF273" s="514"/>
      <c r="AG273" s="897"/>
      <c r="AH273" s="789"/>
      <c r="AI273" s="786">
        <f t="shared" si="16"/>
        <v>0</v>
      </c>
      <c r="AJ273" s="521">
        <v>0</v>
      </c>
      <c r="AK273" s="520">
        <f t="shared" si="14"/>
        <v>0</v>
      </c>
      <c r="AL273" s="695" t="s">
        <v>1609</v>
      </c>
      <c r="AM273" s="669">
        <f t="shared" si="15"/>
        <v>3.51</v>
      </c>
    </row>
    <row r="274" spans="1:39" s="500" customFormat="1" hidden="1">
      <c r="A274" s="542" t="s">
        <v>786</v>
      </c>
      <c r="B274" s="542" t="s">
        <v>1162</v>
      </c>
      <c r="C274" s="616"/>
      <c r="D274" s="519"/>
      <c r="E274" s="915"/>
      <c r="F274" s="520"/>
      <c r="G274" s="520"/>
      <c r="H274" s="520"/>
      <c r="I274" s="521"/>
      <c r="J274" s="521"/>
      <c r="K274" s="521"/>
      <c r="L274" s="923"/>
      <c r="M274" s="514"/>
      <c r="N274" s="514"/>
      <c r="O274" s="514"/>
      <c r="P274" s="514"/>
      <c r="Q274" s="514"/>
      <c r="R274" s="514"/>
      <c r="S274" s="923"/>
      <c r="T274" s="514"/>
      <c r="U274" s="514"/>
      <c r="V274" s="514"/>
      <c r="W274" s="514"/>
      <c r="X274" s="514"/>
      <c r="Y274" s="514"/>
      <c r="Z274" s="923"/>
      <c r="AA274" s="514"/>
      <c r="AB274" s="514"/>
      <c r="AC274" s="514"/>
      <c r="AD274" s="514"/>
      <c r="AE274" s="774"/>
      <c r="AF274" s="514"/>
      <c r="AG274" s="897"/>
      <c r="AH274" s="789"/>
      <c r="AI274" s="786">
        <f t="shared" si="16"/>
        <v>0</v>
      </c>
      <c r="AJ274" s="521">
        <v>0</v>
      </c>
      <c r="AK274" s="520">
        <f t="shared" si="14"/>
        <v>0</v>
      </c>
      <c r="AL274" s="695"/>
      <c r="AM274" s="669">
        <f t="shared" si="15"/>
        <v>0</v>
      </c>
    </row>
    <row r="275" spans="1:39" s="500" customFormat="1" hidden="1">
      <c r="A275" s="539" t="s">
        <v>787</v>
      </c>
      <c r="B275" s="539" t="s">
        <v>1203</v>
      </c>
      <c r="C275" s="548" t="s">
        <v>37</v>
      </c>
      <c r="D275" s="519"/>
      <c r="E275" s="915"/>
      <c r="F275" s="520"/>
      <c r="G275" s="520"/>
      <c r="H275" s="520"/>
      <c r="I275" s="521"/>
      <c r="J275" s="521"/>
      <c r="K275" s="521"/>
      <c r="L275" s="923"/>
      <c r="M275" s="514"/>
      <c r="N275" s="514"/>
      <c r="O275" s="514"/>
      <c r="P275" s="514"/>
      <c r="Q275" s="514"/>
      <c r="R275" s="514"/>
      <c r="S275" s="923"/>
      <c r="T275" s="514"/>
      <c r="U275" s="514"/>
      <c r="V275" s="514"/>
      <c r="W275" s="514"/>
      <c r="X275" s="514"/>
      <c r="Y275" s="514"/>
      <c r="Z275" s="923"/>
      <c r="AA275" s="514"/>
      <c r="AB275" s="514"/>
      <c r="AC275" s="514"/>
      <c r="AD275" s="514"/>
      <c r="AE275" s="774"/>
      <c r="AF275" s="514"/>
      <c r="AG275" s="897"/>
      <c r="AH275" s="789"/>
      <c r="AI275" s="786">
        <f t="shared" si="16"/>
        <v>0</v>
      </c>
      <c r="AJ275" s="521">
        <v>0</v>
      </c>
      <c r="AK275" s="520">
        <f t="shared" si="14"/>
        <v>0</v>
      </c>
      <c r="AL275" s="695" t="s">
        <v>1610</v>
      </c>
      <c r="AM275" s="669">
        <f t="shared" si="15"/>
        <v>2.16</v>
      </c>
    </row>
    <row r="276" spans="1:39" s="500" customFormat="1" hidden="1">
      <c r="A276" s="539" t="s">
        <v>788</v>
      </c>
      <c r="B276" s="539" t="s">
        <v>1227</v>
      </c>
      <c r="C276" s="548" t="s">
        <v>37</v>
      </c>
      <c r="D276" s="519"/>
      <c r="E276" s="915"/>
      <c r="F276" s="520"/>
      <c r="G276" s="520"/>
      <c r="H276" s="520"/>
      <c r="I276" s="521"/>
      <c r="J276" s="521"/>
      <c r="K276" s="521"/>
      <c r="L276" s="923"/>
      <c r="M276" s="514"/>
      <c r="N276" s="514"/>
      <c r="O276" s="514"/>
      <c r="P276" s="514"/>
      <c r="Q276" s="514"/>
      <c r="R276" s="514"/>
      <c r="S276" s="923"/>
      <c r="T276" s="514"/>
      <c r="U276" s="514"/>
      <c r="V276" s="514"/>
      <c r="W276" s="514"/>
      <c r="X276" s="514"/>
      <c r="Y276" s="514"/>
      <c r="Z276" s="923"/>
      <c r="AA276" s="514"/>
      <c r="AB276" s="514"/>
      <c r="AC276" s="514"/>
      <c r="AD276" s="514"/>
      <c r="AE276" s="774"/>
      <c r="AF276" s="514"/>
      <c r="AG276" s="897"/>
      <c r="AH276" s="789"/>
      <c r="AI276" s="786">
        <f t="shared" si="16"/>
        <v>0</v>
      </c>
      <c r="AJ276" s="521">
        <v>0</v>
      </c>
      <c r="AK276" s="520">
        <f t="shared" si="14"/>
        <v>0</v>
      </c>
      <c r="AL276" s="695" t="s">
        <v>1608</v>
      </c>
      <c r="AM276" s="669">
        <f t="shared" si="15"/>
        <v>60</v>
      </c>
    </row>
    <row r="277" spans="1:39" s="500" customFormat="1" hidden="1">
      <c r="A277" s="542" t="s">
        <v>789</v>
      </c>
      <c r="B277" s="542" t="s">
        <v>1169</v>
      </c>
      <c r="C277" s="616"/>
      <c r="D277" s="519"/>
      <c r="E277" s="915"/>
      <c r="F277" s="520"/>
      <c r="G277" s="520"/>
      <c r="H277" s="520"/>
      <c r="I277" s="521"/>
      <c r="J277" s="521"/>
      <c r="K277" s="521"/>
      <c r="L277" s="923"/>
      <c r="M277" s="514"/>
      <c r="N277" s="514"/>
      <c r="O277" s="514"/>
      <c r="P277" s="514"/>
      <c r="Q277" s="514"/>
      <c r="R277" s="514"/>
      <c r="S277" s="923"/>
      <c r="T277" s="514"/>
      <c r="U277" s="514"/>
      <c r="V277" s="514"/>
      <c r="W277" s="514"/>
      <c r="X277" s="514"/>
      <c r="Y277" s="514"/>
      <c r="Z277" s="923"/>
      <c r="AA277" s="514"/>
      <c r="AB277" s="514"/>
      <c r="AC277" s="514"/>
      <c r="AD277" s="514"/>
      <c r="AE277" s="774"/>
      <c r="AF277" s="514"/>
      <c r="AG277" s="897"/>
      <c r="AH277" s="789"/>
      <c r="AI277" s="786">
        <f t="shared" si="16"/>
        <v>0</v>
      </c>
      <c r="AJ277" s="521">
        <v>0</v>
      </c>
      <c r="AK277" s="520">
        <f t="shared" si="14"/>
        <v>0</v>
      </c>
      <c r="AL277" s="695"/>
      <c r="AM277" s="669">
        <f t="shared" si="15"/>
        <v>0</v>
      </c>
    </row>
    <row r="278" spans="1:39" s="500" customFormat="1" hidden="1">
      <c r="A278" s="539" t="s">
        <v>790</v>
      </c>
      <c r="B278" s="539" t="s">
        <v>1170</v>
      </c>
      <c r="C278" s="616"/>
      <c r="D278" s="519"/>
      <c r="E278" s="915"/>
      <c r="F278" s="520"/>
      <c r="G278" s="520"/>
      <c r="H278" s="520"/>
      <c r="I278" s="521"/>
      <c r="J278" s="521"/>
      <c r="K278" s="521"/>
      <c r="L278" s="923"/>
      <c r="M278" s="514"/>
      <c r="N278" s="514"/>
      <c r="O278" s="514"/>
      <c r="P278" s="514"/>
      <c r="Q278" s="514"/>
      <c r="R278" s="514"/>
      <c r="S278" s="923"/>
      <c r="T278" s="514"/>
      <c r="U278" s="514"/>
      <c r="V278" s="514"/>
      <c r="W278" s="514"/>
      <c r="X278" s="514"/>
      <c r="Y278" s="514"/>
      <c r="Z278" s="923"/>
      <c r="AA278" s="514"/>
      <c r="AB278" s="514"/>
      <c r="AC278" s="514"/>
      <c r="AD278" s="514"/>
      <c r="AE278" s="774"/>
      <c r="AF278" s="514"/>
      <c r="AG278" s="897"/>
      <c r="AH278" s="789"/>
      <c r="AI278" s="786">
        <f t="shared" si="16"/>
        <v>0</v>
      </c>
      <c r="AJ278" s="521">
        <v>0</v>
      </c>
      <c r="AK278" s="520">
        <f t="shared" si="14"/>
        <v>0</v>
      </c>
      <c r="AL278" s="695"/>
      <c r="AM278" s="669">
        <f t="shared" si="15"/>
        <v>0</v>
      </c>
    </row>
    <row r="279" spans="1:39" s="500" customFormat="1" hidden="1">
      <c r="A279" s="539" t="s">
        <v>791</v>
      </c>
      <c r="B279" s="539" t="s">
        <v>1206</v>
      </c>
      <c r="C279" s="548" t="s">
        <v>40</v>
      </c>
      <c r="D279" s="519"/>
      <c r="E279" s="915"/>
      <c r="F279" s="520"/>
      <c r="G279" s="520"/>
      <c r="H279" s="520"/>
      <c r="I279" s="521"/>
      <c r="J279" s="521"/>
      <c r="K279" s="521"/>
      <c r="L279" s="923"/>
      <c r="M279" s="514"/>
      <c r="N279" s="514"/>
      <c r="O279" s="514"/>
      <c r="P279" s="514"/>
      <c r="Q279" s="514"/>
      <c r="R279" s="514"/>
      <c r="S279" s="923"/>
      <c r="T279" s="514"/>
      <c r="U279" s="514"/>
      <c r="V279" s="514"/>
      <c r="W279" s="514"/>
      <c r="X279" s="514"/>
      <c r="Y279" s="514"/>
      <c r="Z279" s="923"/>
      <c r="AA279" s="514"/>
      <c r="AB279" s="514"/>
      <c r="AC279" s="514"/>
      <c r="AD279" s="514"/>
      <c r="AE279" s="774"/>
      <c r="AF279" s="514"/>
      <c r="AG279" s="897"/>
      <c r="AH279" s="789"/>
      <c r="AI279" s="786">
        <f t="shared" si="16"/>
        <v>0</v>
      </c>
      <c r="AJ279" s="521">
        <v>0</v>
      </c>
      <c r="AK279" s="520">
        <f t="shared" si="14"/>
        <v>0</v>
      </c>
      <c r="AL279" s="695" t="s">
        <v>1611</v>
      </c>
      <c r="AM279" s="669">
        <f t="shared" si="15"/>
        <v>2.52</v>
      </c>
    </row>
    <row r="280" spans="1:39" s="500" customFormat="1" hidden="1">
      <c r="A280" s="539" t="s">
        <v>792</v>
      </c>
      <c r="B280" s="539" t="s">
        <v>1172</v>
      </c>
      <c r="C280" s="548" t="s">
        <v>48</v>
      </c>
      <c r="D280" s="519"/>
      <c r="E280" s="915"/>
      <c r="F280" s="520"/>
      <c r="G280" s="520"/>
      <c r="H280" s="520"/>
      <c r="I280" s="521"/>
      <c r="J280" s="521"/>
      <c r="K280" s="521"/>
      <c r="L280" s="923"/>
      <c r="M280" s="514"/>
      <c r="N280" s="514"/>
      <c r="O280" s="514"/>
      <c r="P280" s="514"/>
      <c r="Q280" s="514"/>
      <c r="R280" s="514"/>
      <c r="S280" s="923"/>
      <c r="T280" s="514"/>
      <c r="U280" s="514"/>
      <c r="V280" s="514"/>
      <c r="W280" s="514"/>
      <c r="X280" s="514"/>
      <c r="Y280" s="514"/>
      <c r="Z280" s="923"/>
      <c r="AA280" s="514"/>
      <c r="AB280" s="514"/>
      <c r="AC280" s="514"/>
      <c r="AD280" s="514"/>
      <c r="AE280" s="774"/>
      <c r="AF280" s="514"/>
      <c r="AG280" s="897"/>
      <c r="AH280" s="789"/>
      <c r="AI280" s="786">
        <f t="shared" si="16"/>
        <v>0</v>
      </c>
      <c r="AJ280" s="521">
        <v>0</v>
      </c>
      <c r="AK280" s="520">
        <f t="shared" si="14"/>
        <v>0</v>
      </c>
      <c r="AL280" s="695" t="s">
        <v>1612</v>
      </c>
      <c r="AM280" s="669">
        <f t="shared" si="15"/>
        <v>186.08</v>
      </c>
    </row>
    <row r="281" spans="1:39" s="500" customFormat="1" hidden="1">
      <c r="A281" s="542" t="s">
        <v>793</v>
      </c>
      <c r="B281" s="542" t="s">
        <v>1228</v>
      </c>
      <c r="C281" s="616"/>
      <c r="D281" s="519"/>
      <c r="E281" s="915"/>
      <c r="F281" s="520"/>
      <c r="G281" s="520"/>
      <c r="H281" s="520"/>
      <c r="I281" s="521"/>
      <c r="J281" s="521"/>
      <c r="K281" s="521"/>
      <c r="L281" s="923"/>
      <c r="M281" s="514"/>
      <c r="N281" s="514"/>
      <c r="O281" s="514"/>
      <c r="P281" s="514"/>
      <c r="Q281" s="514"/>
      <c r="R281" s="514"/>
      <c r="S281" s="923"/>
      <c r="T281" s="514"/>
      <c r="U281" s="514"/>
      <c r="V281" s="514"/>
      <c r="W281" s="514"/>
      <c r="X281" s="514"/>
      <c r="Y281" s="514"/>
      <c r="Z281" s="923"/>
      <c r="AA281" s="514"/>
      <c r="AB281" s="514"/>
      <c r="AC281" s="514"/>
      <c r="AD281" s="514"/>
      <c r="AE281" s="774"/>
      <c r="AF281" s="514"/>
      <c r="AG281" s="897"/>
      <c r="AH281" s="789"/>
      <c r="AI281" s="786">
        <f t="shared" si="16"/>
        <v>0</v>
      </c>
      <c r="AJ281" s="521">
        <v>0</v>
      </c>
      <c r="AK281" s="520">
        <f t="shared" si="14"/>
        <v>0</v>
      </c>
      <c r="AL281" s="695"/>
      <c r="AM281" s="669">
        <f t="shared" si="15"/>
        <v>0</v>
      </c>
    </row>
    <row r="282" spans="1:39" s="500" customFormat="1" hidden="1">
      <c r="A282" s="539" t="s">
        <v>794</v>
      </c>
      <c r="B282" s="539" t="s">
        <v>1229</v>
      </c>
      <c r="C282" s="548" t="s">
        <v>48</v>
      </c>
      <c r="D282" s="519"/>
      <c r="E282" s="915"/>
      <c r="F282" s="520"/>
      <c r="G282" s="520"/>
      <c r="H282" s="520"/>
      <c r="I282" s="521"/>
      <c r="J282" s="521"/>
      <c r="K282" s="521"/>
      <c r="L282" s="923"/>
      <c r="M282" s="514"/>
      <c r="N282" s="514"/>
      <c r="O282" s="514"/>
      <c r="P282" s="514"/>
      <c r="Q282" s="514"/>
      <c r="R282" s="514"/>
      <c r="S282" s="923"/>
      <c r="T282" s="514"/>
      <c r="U282" s="514"/>
      <c r="V282" s="514"/>
      <c r="W282" s="514"/>
      <c r="X282" s="514"/>
      <c r="Y282" s="514"/>
      <c r="Z282" s="923"/>
      <c r="AA282" s="514"/>
      <c r="AB282" s="514"/>
      <c r="AC282" s="514"/>
      <c r="AD282" s="514"/>
      <c r="AE282" s="774"/>
      <c r="AF282" s="514"/>
      <c r="AG282" s="897"/>
      <c r="AH282" s="789"/>
      <c r="AI282" s="786">
        <f t="shared" si="16"/>
        <v>0</v>
      </c>
      <c r="AJ282" s="521">
        <v>0</v>
      </c>
      <c r="AK282" s="520">
        <f t="shared" si="14"/>
        <v>0</v>
      </c>
      <c r="AL282" s="695" t="s">
        <v>1613</v>
      </c>
      <c r="AM282" s="669">
        <f t="shared" si="15"/>
        <v>899.99</v>
      </c>
    </row>
    <row r="283" spans="1:39" s="500" customFormat="1" hidden="1">
      <c r="A283" s="539" t="s">
        <v>795</v>
      </c>
      <c r="B283" s="539" t="s">
        <v>1230</v>
      </c>
      <c r="C283" s="548" t="s">
        <v>48</v>
      </c>
      <c r="D283" s="519"/>
      <c r="E283" s="915"/>
      <c r="F283" s="520"/>
      <c r="G283" s="520"/>
      <c r="H283" s="520"/>
      <c r="I283" s="521"/>
      <c r="J283" s="521"/>
      <c r="K283" s="521"/>
      <c r="L283" s="923"/>
      <c r="M283" s="514"/>
      <c r="N283" s="514"/>
      <c r="O283" s="514"/>
      <c r="P283" s="514"/>
      <c r="Q283" s="514"/>
      <c r="R283" s="514"/>
      <c r="S283" s="923"/>
      <c r="T283" s="514"/>
      <c r="U283" s="514"/>
      <c r="V283" s="514"/>
      <c r="W283" s="514"/>
      <c r="X283" s="514"/>
      <c r="Y283" s="514"/>
      <c r="Z283" s="923"/>
      <c r="AA283" s="514"/>
      <c r="AB283" s="514"/>
      <c r="AC283" s="514"/>
      <c r="AD283" s="514"/>
      <c r="AE283" s="774"/>
      <c r="AF283" s="514"/>
      <c r="AG283" s="897"/>
      <c r="AH283" s="789"/>
      <c r="AI283" s="786">
        <f t="shared" si="16"/>
        <v>0</v>
      </c>
      <c r="AJ283" s="521">
        <v>0</v>
      </c>
      <c r="AK283" s="520">
        <f t="shared" si="14"/>
        <v>0</v>
      </c>
      <c r="AL283" s="695" t="s">
        <v>1614</v>
      </c>
      <c r="AM283" s="669">
        <f t="shared" si="15"/>
        <v>394.52</v>
      </c>
    </row>
    <row r="284" spans="1:39" s="500" customFormat="1" hidden="1">
      <c r="A284" s="539" t="s">
        <v>796</v>
      </c>
      <c r="B284" s="539" t="s">
        <v>1231</v>
      </c>
      <c r="C284" s="548" t="s">
        <v>48</v>
      </c>
      <c r="D284" s="519"/>
      <c r="E284" s="915"/>
      <c r="F284" s="520"/>
      <c r="G284" s="520"/>
      <c r="H284" s="520"/>
      <c r="I284" s="521"/>
      <c r="J284" s="521"/>
      <c r="K284" s="521"/>
      <c r="L284" s="923"/>
      <c r="M284" s="514"/>
      <c r="N284" s="514"/>
      <c r="O284" s="514"/>
      <c r="P284" s="514"/>
      <c r="Q284" s="514"/>
      <c r="R284" s="514"/>
      <c r="S284" s="923"/>
      <c r="T284" s="514"/>
      <c r="U284" s="514"/>
      <c r="V284" s="514"/>
      <c r="W284" s="514"/>
      <c r="X284" s="514"/>
      <c r="Y284" s="514"/>
      <c r="Z284" s="923"/>
      <c r="AA284" s="514"/>
      <c r="AB284" s="514"/>
      <c r="AC284" s="514"/>
      <c r="AD284" s="514"/>
      <c r="AE284" s="774"/>
      <c r="AF284" s="514"/>
      <c r="AG284" s="897"/>
      <c r="AH284" s="789"/>
      <c r="AI284" s="786">
        <f t="shared" si="16"/>
        <v>0</v>
      </c>
      <c r="AJ284" s="521">
        <v>0</v>
      </c>
      <c r="AK284" s="520">
        <f t="shared" si="14"/>
        <v>0</v>
      </c>
      <c r="AL284" s="695" t="s">
        <v>1615</v>
      </c>
      <c r="AM284" s="669">
        <f t="shared" si="15"/>
        <v>271.91000000000003</v>
      </c>
    </row>
    <row r="285" spans="1:39" s="500" customFormat="1" hidden="1">
      <c r="A285" s="539" t="s">
        <v>797</v>
      </c>
      <c r="B285" s="539" t="s">
        <v>1232</v>
      </c>
      <c r="C285" s="548" t="s">
        <v>38</v>
      </c>
      <c r="D285" s="519"/>
      <c r="E285" s="915"/>
      <c r="F285" s="520"/>
      <c r="G285" s="520"/>
      <c r="H285" s="520"/>
      <c r="I285" s="521"/>
      <c r="J285" s="521"/>
      <c r="K285" s="521"/>
      <c r="L285" s="923"/>
      <c r="M285" s="514"/>
      <c r="N285" s="514"/>
      <c r="O285" s="514"/>
      <c r="P285" s="514"/>
      <c r="Q285" s="514"/>
      <c r="R285" s="514"/>
      <c r="S285" s="923"/>
      <c r="T285" s="514"/>
      <c r="U285" s="514"/>
      <c r="V285" s="514"/>
      <c r="W285" s="514"/>
      <c r="X285" s="514"/>
      <c r="Y285" s="514"/>
      <c r="Z285" s="923"/>
      <c r="AA285" s="514"/>
      <c r="AB285" s="514"/>
      <c r="AC285" s="514"/>
      <c r="AD285" s="514"/>
      <c r="AE285" s="774"/>
      <c r="AF285" s="514"/>
      <c r="AG285" s="897"/>
      <c r="AH285" s="789"/>
      <c r="AI285" s="786">
        <f t="shared" si="16"/>
        <v>0</v>
      </c>
      <c r="AJ285" s="521">
        <v>0</v>
      </c>
      <c r="AK285" s="520">
        <f t="shared" si="14"/>
        <v>0</v>
      </c>
      <c r="AL285" s="695" t="s">
        <v>1616</v>
      </c>
      <c r="AM285" s="669">
        <f t="shared" si="15"/>
        <v>80.92</v>
      </c>
    </row>
    <row r="286" spans="1:39" s="500" customFormat="1" hidden="1">
      <c r="A286" s="539" t="s">
        <v>798</v>
      </c>
      <c r="B286" s="539" t="s">
        <v>1233</v>
      </c>
      <c r="C286" s="548" t="s">
        <v>1450</v>
      </c>
      <c r="D286" s="519"/>
      <c r="E286" s="915"/>
      <c r="F286" s="520"/>
      <c r="G286" s="520"/>
      <c r="H286" s="520"/>
      <c r="I286" s="521"/>
      <c r="J286" s="521"/>
      <c r="K286" s="521"/>
      <c r="L286" s="923"/>
      <c r="M286" s="514"/>
      <c r="N286" s="514"/>
      <c r="O286" s="514"/>
      <c r="P286" s="514"/>
      <c r="Q286" s="514"/>
      <c r="R286" s="514"/>
      <c r="S286" s="923"/>
      <c r="T286" s="514"/>
      <c r="U286" s="514"/>
      <c r="V286" s="514"/>
      <c r="W286" s="514"/>
      <c r="X286" s="514"/>
      <c r="Y286" s="514"/>
      <c r="Z286" s="923"/>
      <c r="AA286" s="514"/>
      <c r="AB286" s="514"/>
      <c r="AC286" s="514"/>
      <c r="AD286" s="514"/>
      <c r="AE286" s="774"/>
      <c r="AF286" s="514"/>
      <c r="AG286" s="897"/>
      <c r="AH286" s="789"/>
      <c r="AI286" s="786">
        <f t="shared" si="16"/>
        <v>0</v>
      </c>
      <c r="AJ286" s="521">
        <v>0</v>
      </c>
      <c r="AK286" s="520">
        <f t="shared" si="14"/>
        <v>0</v>
      </c>
      <c r="AL286" s="695" t="s">
        <v>1617</v>
      </c>
      <c r="AM286" s="669">
        <f t="shared" si="15"/>
        <v>6</v>
      </c>
    </row>
    <row r="287" spans="1:39" s="500" customFormat="1" hidden="1">
      <c r="A287" s="542" t="s">
        <v>799</v>
      </c>
      <c r="B287" s="542" t="s">
        <v>1200</v>
      </c>
      <c r="C287" s="616"/>
      <c r="D287" s="519"/>
      <c r="E287" s="915"/>
      <c r="F287" s="520"/>
      <c r="G287" s="520"/>
      <c r="H287" s="520"/>
      <c r="I287" s="521"/>
      <c r="J287" s="521"/>
      <c r="K287" s="521"/>
      <c r="L287" s="923"/>
      <c r="M287" s="514"/>
      <c r="N287" s="514"/>
      <c r="O287" s="514"/>
      <c r="P287" s="514"/>
      <c r="Q287" s="514"/>
      <c r="R287" s="514"/>
      <c r="S287" s="923"/>
      <c r="T287" s="514"/>
      <c r="U287" s="514"/>
      <c r="V287" s="514"/>
      <c r="W287" s="514"/>
      <c r="X287" s="514"/>
      <c r="Y287" s="514"/>
      <c r="Z287" s="923"/>
      <c r="AA287" s="514"/>
      <c r="AB287" s="514"/>
      <c r="AC287" s="514"/>
      <c r="AD287" s="514"/>
      <c r="AE287" s="774"/>
      <c r="AF287" s="514"/>
      <c r="AG287" s="897"/>
      <c r="AH287" s="789"/>
      <c r="AI287" s="786">
        <f t="shared" si="16"/>
        <v>0</v>
      </c>
      <c r="AJ287" s="521">
        <v>0</v>
      </c>
      <c r="AK287" s="520">
        <f t="shared" si="14"/>
        <v>0</v>
      </c>
      <c r="AL287" s="695"/>
      <c r="AM287" s="669">
        <f t="shared" si="15"/>
        <v>0</v>
      </c>
    </row>
    <row r="288" spans="1:39" s="500" customFormat="1" ht="13.5" hidden="1" thickBot="1">
      <c r="A288" s="539" t="s">
        <v>800</v>
      </c>
      <c r="B288" s="539" t="s">
        <v>225</v>
      </c>
      <c r="C288" s="548" t="s">
        <v>1450</v>
      </c>
      <c r="D288" s="519"/>
      <c r="E288" s="915"/>
      <c r="F288" s="520"/>
      <c r="G288" s="520"/>
      <c r="H288" s="520"/>
      <c r="I288" s="521"/>
      <c r="J288" s="521"/>
      <c r="K288" s="521"/>
      <c r="L288" s="923"/>
      <c r="M288" s="514"/>
      <c r="N288" s="514"/>
      <c r="O288" s="514"/>
      <c r="P288" s="514"/>
      <c r="Q288" s="514"/>
      <c r="R288" s="514"/>
      <c r="S288" s="923"/>
      <c r="T288" s="514"/>
      <c r="U288" s="514"/>
      <c r="V288" s="514"/>
      <c r="W288" s="514"/>
      <c r="X288" s="514"/>
      <c r="Y288" s="514"/>
      <c r="Z288" s="923"/>
      <c r="AA288" s="514"/>
      <c r="AB288" s="514"/>
      <c r="AC288" s="514"/>
      <c r="AD288" s="514"/>
      <c r="AE288" s="774"/>
      <c r="AF288" s="514"/>
      <c r="AG288" s="897"/>
      <c r="AH288" s="789"/>
      <c r="AI288" s="786">
        <f t="shared" si="16"/>
        <v>0</v>
      </c>
      <c r="AJ288" s="521">
        <v>0</v>
      </c>
      <c r="AK288" s="520">
        <f t="shared" si="14"/>
        <v>0</v>
      </c>
      <c r="AL288" s="695" t="s">
        <v>1618</v>
      </c>
      <c r="AM288" s="669">
        <f t="shared" si="15"/>
        <v>3</v>
      </c>
    </row>
    <row r="289" spans="1:39" s="730" customFormat="1">
      <c r="A289" s="816" t="s">
        <v>45</v>
      </c>
      <c r="B289" s="816" t="s">
        <v>1234</v>
      </c>
      <c r="C289" s="844"/>
      <c r="D289" s="743"/>
      <c r="E289" s="915"/>
      <c r="F289" s="726"/>
      <c r="G289" s="726"/>
      <c r="H289" s="726"/>
      <c r="I289" s="725"/>
      <c r="J289" s="725"/>
      <c r="K289" s="725"/>
      <c r="L289" s="923"/>
      <c r="M289" s="756"/>
      <c r="N289" s="756"/>
      <c r="O289" s="756"/>
      <c r="P289" s="756"/>
      <c r="Q289" s="756"/>
      <c r="R289" s="756"/>
      <c r="S289" s="923"/>
      <c r="T289" s="756"/>
      <c r="U289" s="756"/>
      <c r="V289" s="756"/>
      <c r="W289" s="756"/>
      <c r="X289" s="756"/>
      <c r="Y289" s="756"/>
      <c r="Z289" s="923"/>
      <c r="AA289" s="756"/>
      <c r="AB289" s="756"/>
      <c r="AC289" s="756"/>
      <c r="AD289" s="756"/>
      <c r="AE289" s="774"/>
      <c r="AF289" s="756"/>
      <c r="AG289" s="897"/>
      <c r="AH289" s="819"/>
      <c r="AI289" s="786">
        <f t="shared" si="16"/>
        <v>0</v>
      </c>
      <c r="AJ289" s="725">
        <v>0</v>
      </c>
      <c r="AK289" s="726">
        <f t="shared" si="14"/>
        <v>0</v>
      </c>
      <c r="AL289" s="847"/>
      <c r="AM289" s="729">
        <f t="shared" si="15"/>
        <v>0</v>
      </c>
    </row>
    <row r="290" spans="1:39" s="730" customFormat="1">
      <c r="A290" s="814" t="s">
        <v>47</v>
      </c>
      <c r="B290" s="815" t="s">
        <v>1235</v>
      </c>
      <c r="C290" s="844"/>
      <c r="D290" s="743"/>
      <c r="E290" s="915"/>
      <c r="F290" s="726"/>
      <c r="G290" s="726"/>
      <c r="H290" s="726"/>
      <c r="I290" s="725"/>
      <c r="J290" s="725"/>
      <c r="K290" s="725"/>
      <c r="L290" s="923"/>
      <c r="M290" s="756"/>
      <c r="N290" s="756"/>
      <c r="O290" s="756"/>
      <c r="P290" s="756"/>
      <c r="Q290" s="756"/>
      <c r="R290" s="756"/>
      <c r="S290" s="923"/>
      <c r="T290" s="756"/>
      <c r="U290" s="756"/>
      <c r="V290" s="756"/>
      <c r="W290" s="756"/>
      <c r="X290" s="756"/>
      <c r="Y290" s="756"/>
      <c r="Z290" s="923"/>
      <c r="AA290" s="756"/>
      <c r="AB290" s="756"/>
      <c r="AC290" s="756"/>
      <c r="AD290" s="756"/>
      <c r="AE290" s="774"/>
      <c r="AF290" s="756"/>
      <c r="AG290" s="897"/>
      <c r="AH290" s="819"/>
      <c r="AI290" s="786">
        <f t="shared" si="16"/>
        <v>0</v>
      </c>
      <c r="AJ290" s="725">
        <v>0</v>
      </c>
      <c r="AK290" s="726">
        <f t="shared" si="14"/>
        <v>0</v>
      </c>
      <c r="AL290" s="847"/>
      <c r="AM290" s="729">
        <f t="shared" si="15"/>
        <v>0</v>
      </c>
    </row>
    <row r="291" spans="1:39" s="730" customFormat="1">
      <c r="A291" s="831" t="s">
        <v>49</v>
      </c>
      <c r="B291" s="831" t="s">
        <v>1236</v>
      </c>
      <c r="C291" s="844"/>
      <c r="D291" s="743"/>
      <c r="E291" s="915"/>
      <c r="F291" s="726"/>
      <c r="G291" s="726"/>
      <c r="H291" s="726"/>
      <c r="I291" s="725"/>
      <c r="J291" s="725"/>
      <c r="K291" s="725"/>
      <c r="L291" s="923"/>
      <c r="M291" s="756"/>
      <c r="N291" s="756"/>
      <c r="O291" s="756"/>
      <c r="P291" s="756"/>
      <c r="Q291" s="756"/>
      <c r="R291" s="756"/>
      <c r="S291" s="923"/>
      <c r="T291" s="756"/>
      <c r="U291" s="756"/>
      <c r="V291" s="756"/>
      <c r="W291" s="756"/>
      <c r="X291" s="756"/>
      <c r="Y291" s="756"/>
      <c r="Z291" s="923"/>
      <c r="AA291" s="756"/>
      <c r="AB291" s="756"/>
      <c r="AC291" s="756"/>
      <c r="AD291" s="756"/>
      <c r="AE291" s="774"/>
      <c r="AF291" s="756"/>
      <c r="AG291" s="897"/>
      <c r="AH291" s="819"/>
      <c r="AI291" s="786">
        <f t="shared" si="16"/>
        <v>0</v>
      </c>
      <c r="AJ291" s="725">
        <v>0</v>
      </c>
      <c r="AK291" s="726">
        <f t="shared" si="14"/>
        <v>0</v>
      </c>
      <c r="AL291" s="847"/>
      <c r="AM291" s="729">
        <f t="shared" si="15"/>
        <v>0</v>
      </c>
    </row>
    <row r="292" spans="1:39" s="730" customFormat="1">
      <c r="A292" s="720" t="s">
        <v>801</v>
      </c>
      <c r="B292" s="720" t="s">
        <v>1237</v>
      </c>
      <c r="C292" s="823" t="s">
        <v>37</v>
      </c>
      <c r="D292" s="743"/>
      <c r="E292" s="915"/>
      <c r="F292" s="726"/>
      <c r="G292" s="726"/>
      <c r="H292" s="726"/>
      <c r="I292" s="725"/>
      <c r="J292" s="725"/>
      <c r="K292" s="725"/>
      <c r="L292" s="923"/>
      <c r="M292" s="756"/>
      <c r="N292" s="756"/>
      <c r="O292" s="756"/>
      <c r="P292" s="756"/>
      <c r="Q292" s="756"/>
      <c r="R292" s="756"/>
      <c r="S292" s="923"/>
      <c r="T292" s="756"/>
      <c r="U292" s="756"/>
      <c r="V292" s="756"/>
      <c r="W292" s="756"/>
      <c r="X292" s="884">
        <f>((2.39*0.98)/2)*2</f>
        <v>2.3422000000000001</v>
      </c>
      <c r="Y292" s="756"/>
      <c r="Z292" s="923"/>
      <c r="AA292" s="756"/>
      <c r="AB292" s="756"/>
      <c r="AC292" s="756"/>
      <c r="AD292" s="756"/>
      <c r="AE292" s="774"/>
      <c r="AF292" s="756"/>
      <c r="AG292" s="897"/>
      <c r="AH292" s="819"/>
      <c r="AI292" s="786">
        <f t="shared" si="16"/>
        <v>2.34</v>
      </c>
      <c r="AJ292" s="725">
        <v>0</v>
      </c>
      <c r="AK292" s="726">
        <f t="shared" si="14"/>
        <v>2.34</v>
      </c>
      <c r="AL292" s="847" t="s">
        <v>1619</v>
      </c>
      <c r="AM292" s="729">
        <f t="shared" si="15"/>
        <v>69.929999999999993</v>
      </c>
    </row>
    <row r="293" spans="1:39" s="730" customFormat="1" hidden="1">
      <c r="A293" s="720" t="s">
        <v>802</v>
      </c>
      <c r="B293" s="720" t="s">
        <v>1238</v>
      </c>
      <c r="C293" s="823" t="s">
        <v>37</v>
      </c>
      <c r="D293" s="743"/>
      <c r="E293" s="915"/>
      <c r="F293" s="726"/>
      <c r="G293" s="726"/>
      <c r="H293" s="726"/>
      <c r="I293" s="725"/>
      <c r="J293" s="725"/>
      <c r="K293" s="725"/>
      <c r="L293" s="923"/>
      <c r="M293" s="756"/>
      <c r="N293" s="756"/>
      <c r="O293" s="756"/>
      <c r="P293" s="756"/>
      <c r="Q293" s="756"/>
      <c r="R293" s="756"/>
      <c r="S293" s="923"/>
      <c r="T293" s="756"/>
      <c r="U293" s="756"/>
      <c r="V293" s="756"/>
      <c r="W293" s="756"/>
      <c r="X293" s="756"/>
      <c r="Y293" s="756"/>
      <c r="Z293" s="923"/>
      <c r="AA293" s="756"/>
      <c r="AB293" s="756"/>
      <c r="AC293" s="756"/>
      <c r="AD293" s="756"/>
      <c r="AE293" s="774"/>
      <c r="AF293" s="756"/>
      <c r="AG293" s="897"/>
      <c r="AH293" s="819"/>
      <c r="AI293" s="786">
        <f t="shared" si="16"/>
        <v>0</v>
      </c>
      <c r="AJ293" s="725">
        <v>0</v>
      </c>
      <c r="AK293" s="726">
        <f t="shared" si="14"/>
        <v>0</v>
      </c>
      <c r="AL293" s="847" t="s">
        <v>1620</v>
      </c>
      <c r="AM293" s="729">
        <f t="shared" si="15"/>
        <v>15.22</v>
      </c>
    </row>
    <row r="294" spans="1:39" s="500" customFormat="1" hidden="1">
      <c r="A294" s="542" t="s">
        <v>50</v>
      </c>
      <c r="B294" s="542" t="s">
        <v>1239</v>
      </c>
      <c r="C294" s="616"/>
      <c r="D294" s="519"/>
      <c r="E294" s="915"/>
      <c r="F294" s="520"/>
      <c r="G294" s="520"/>
      <c r="H294" s="520"/>
      <c r="I294" s="521"/>
      <c r="J294" s="521"/>
      <c r="K294" s="521"/>
      <c r="L294" s="923"/>
      <c r="M294" s="514"/>
      <c r="N294" s="514"/>
      <c r="O294" s="514"/>
      <c r="P294" s="514"/>
      <c r="Q294" s="514"/>
      <c r="R294" s="514"/>
      <c r="S294" s="923"/>
      <c r="T294" s="514"/>
      <c r="U294" s="514"/>
      <c r="V294" s="514"/>
      <c r="W294" s="514"/>
      <c r="X294" s="514"/>
      <c r="Y294" s="514"/>
      <c r="Z294" s="923"/>
      <c r="AA294" s="514"/>
      <c r="AB294" s="514"/>
      <c r="AC294" s="514"/>
      <c r="AD294" s="514"/>
      <c r="AE294" s="774"/>
      <c r="AF294" s="514"/>
      <c r="AG294" s="897"/>
      <c r="AH294" s="789"/>
      <c r="AI294" s="786">
        <f t="shared" si="16"/>
        <v>0</v>
      </c>
      <c r="AJ294" s="521">
        <v>0</v>
      </c>
      <c r="AK294" s="520">
        <f t="shared" si="14"/>
        <v>0</v>
      </c>
      <c r="AL294" s="695"/>
      <c r="AM294" s="669">
        <f t="shared" si="15"/>
        <v>0</v>
      </c>
    </row>
    <row r="295" spans="1:39" s="500" customFormat="1" hidden="1">
      <c r="A295" s="539" t="s">
        <v>803</v>
      </c>
      <c r="B295" s="539" t="s">
        <v>1240</v>
      </c>
      <c r="C295" s="548" t="s">
        <v>37</v>
      </c>
      <c r="D295" s="519"/>
      <c r="E295" s="915"/>
      <c r="F295" s="520"/>
      <c r="G295" s="520"/>
      <c r="H295" s="520"/>
      <c r="I295" s="521"/>
      <c r="J295" s="521"/>
      <c r="K295" s="521"/>
      <c r="L295" s="923"/>
      <c r="M295" s="514"/>
      <c r="N295" s="514"/>
      <c r="O295" s="514"/>
      <c r="P295" s="514"/>
      <c r="Q295" s="514"/>
      <c r="R295" s="514"/>
      <c r="S295" s="923"/>
      <c r="T295" s="514"/>
      <c r="U295" s="514"/>
      <c r="V295" s="514"/>
      <c r="W295" s="514"/>
      <c r="X295" s="514"/>
      <c r="Y295" s="514"/>
      <c r="Z295" s="923"/>
      <c r="AA295" s="514"/>
      <c r="AB295" s="514"/>
      <c r="AC295" s="514"/>
      <c r="AD295" s="514"/>
      <c r="AE295" s="774"/>
      <c r="AF295" s="514"/>
      <c r="AG295" s="897"/>
      <c r="AH295" s="789"/>
      <c r="AI295" s="786">
        <f t="shared" si="16"/>
        <v>0</v>
      </c>
      <c r="AJ295" s="521">
        <v>0</v>
      </c>
      <c r="AK295" s="520">
        <f t="shared" si="14"/>
        <v>0</v>
      </c>
      <c r="AL295" s="695" t="s">
        <v>1621</v>
      </c>
      <c r="AM295" s="669">
        <f t="shared" si="15"/>
        <v>123.1</v>
      </c>
    </row>
    <row r="296" spans="1:39" s="500" customFormat="1" hidden="1">
      <c r="A296" s="539" t="s">
        <v>804</v>
      </c>
      <c r="B296" s="539" t="s">
        <v>1241</v>
      </c>
      <c r="C296" s="548" t="s">
        <v>37</v>
      </c>
      <c r="D296" s="519"/>
      <c r="E296" s="915"/>
      <c r="F296" s="520"/>
      <c r="G296" s="520"/>
      <c r="H296" s="520"/>
      <c r="I296" s="521"/>
      <c r="J296" s="521"/>
      <c r="K296" s="521"/>
      <c r="L296" s="923"/>
      <c r="M296" s="514"/>
      <c r="N296" s="514"/>
      <c r="O296" s="514"/>
      <c r="P296" s="514"/>
      <c r="Q296" s="514"/>
      <c r="R296" s="514"/>
      <c r="S296" s="923"/>
      <c r="T296" s="514"/>
      <c r="U296" s="514"/>
      <c r="V296" s="514"/>
      <c r="W296" s="514"/>
      <c r="X296" s="514"/>
      <c r="Y296" s="514"/>
      <c r="Z296" s="923"/>
      <c r="AA296" s="514"/>
      <c r="AB296" s="514"/>
      <c r="AC296" s="514"/>
      <c r="AD296" s="514"/>
      <c r="AE296" s="774"/>
      <c r="AF296" s="514"/>
      <c r="AG296" s="897"/>
      <c r="AH296" s="789"/>
      <c r="AI296" s="786">
        <f t="shared" si="16"/>
        <v>0</v>
      </c>
      <c r="AJ296" s="521">
        <v>0</v>
      </c>
      <c r="AK296" s="520">
        <f t="shared" si="14"/>
        <v>0</v>
      </c>
      <c r="AL296" s="695" t="s">
        <v>1622</v>
      </c>
      <c r="AM296" s="669">
        <f t="shared" si="15"/>
        <v>54.38</v>
      </c>
    </row>
    <row r="297" spans="1:39" s="500" customFormat="1" hidden="1">
      <c r="A297" s="539" t="s">
        <v>805</v>
      </c>
      <c r="B297" s="539" t="s">
        <v>1242</v>
      </c>
      <c r="C297" s="548" t="s">
        <v>37</v>
      </c>
      <c r="D297" s="519"/>
      <c r="E297" s="915"/>
      <c r="F297" s="520"/>
      <c r="G297" s="520"/>
      <c r="H297" s="520"/>
      <c r="I297" s="521"/>
      <c r="J297" s="521"/>
      <c r="K297" s="521"/>
      <c r="L297" s="923"/>
      <c r="M297" s="514"/>
      <c r="N297" s="514"/>
      <c r="O297" s="514"/>
      <c r="P297" s="514"/>
      <c r="Q297" s="514"/>
      <c r="R297" s="514"/>
      <c r="S297" s="923"/>
      <c r="T297" s="514"/>
      <c r="U297" s="514"/>
      <c r="V297" s="514"/>
      <c r="W297" s="514"/>
      <c r="X297" s="514"/>
      <c r="Y297" s="514"/>
      <c r="Z297" s="923"/>
      <c r="AA297" s="514"/>
      <c r="AB297" s="514"/>
      <c r="AC297" s="514"/>
      <c r="AD297" s="514"/>
      <c r="AE297" s="774"/>
      <c r="AF297" s="514"/>
      <c r="AG297" s="897"/>
      <c r="AH297" s="789"/>
      <c r="AI297" s="786">
        <f t="shared" si="16"/>
        <v>0</v>
      </c>
      <c r="AJ297" s="521">
        <v>0</v>
      </c>
      <c r="AK297" s="520">
        <f t="shared" si="14"/>
        <v>0</v>
      </c>
      <c r="AL297" s="695" t="s">
        <v>1623</v>
      </c>
      <c r="AM297" s="669">
        <f t="shared" si="15"/>
        <v>34.44</v>
      </c>
    </row>
    <row r="298" spans="1:39" s="500" customFormat="1" hidden="1">
      <c r="A298" s="539" t="s">
        <v>806</v>
      </c>
      <c r="B298" s="539" t="s">
        <v>1243</v>
      </c>
      <c r="C298" s="548" t="s">
        <v>37</v>
      </c>
      <c r="D298" s="519"/>
      <c r="E298" s="915"/>
      <c r="F298" s="520"/>
      <c r="G298" s="520"/>
      <c r="H298" s="520"/>
      <c r="I298" s="521"/>
      <c r="J298" s="521"/>
      <c r="K298" s="521"/>
      <c r="L298" s="923"/>
      <c r="M298" s="514"/>
      <c r="N298" s="514"/>
      <c r="O298" s="514"/>
      <c r="P298" s="514"/>
      <c r="Q298" s="514"/>
      <c r="R298" s="514"/>
      <c r="S298" s="923"/>
      <c r="T298" s="514"/>
      <c r="U298" s="514"/>
      <c r="V298" s="514"/>
      <c r="W298" s="514"/>
      <c r="X298" s="514"/>
      <c r="Y298" s="514"/>
      <c r="Z298" s="923"/>
      <c r="AA298" s="514"/>
      <c r="AB298" s="514"/>
      <c r="AC298" s="514"/>
      <c r="AD298" s="514"/>
      <c r="AE298" s="774"/>
      <c r="AF298" s="514"/>
      <c r="AG298" s="897"/>
      <c r="AH298" s="789"/>
      <c r="AI298" s="786">
        <f t="shared" si="16"/>
        <v>0</v>
      </c>
      <c r="AJ298" s="521">
        <v>0</v>
      </c>
      <c r="AK298" s="520">
        <f t="shared" si="14"/>
        <v>0</v>
      </c>
      <c r="AL298" s="695" t="s">
        <v>1624</v>
      </c>
      <c r="AM298" s="669">
        <f t="shared" si="15"/>
        <v>30.39</v>
      </c>
    </row>
    <row r="299" spans="1:39" s="500" customFormat="1" hidden="1">
      <c r="A299" s="539" t="s">
        <v>807</v>
      </c>
      <c r="B299" s="539" t="s">
        <v>1244</v>
      </c>
      <c r="C299" s="548" t="s">
        <v>37</v>
      </c>
      <c r="D299" s="519"/>
      <c r="E299" s="915"/>
      <c r="F299" s="520"/>
      <c r="G299" s="520"/>
      <c r="H299" s="520"/>
      <c r="I299" s="521"/>
      <c r="J299" s="521"/>
      <c r="K299" s="521"/>
      <c r="L299" s="923"/>
      <c r="M299" s="514"/>
      <c r="N299" s="514"/>
      <c r="O299" s="514"/>
      <c r="P299" s="514"/>
      <c r="Q299" s="514"/>
      <c r="R299" s="514"/>
      <c r="S299" s="923"/>
      <c r="T299" s="514"/>
      <c r="U299" s="514"/>
      <c r="V299" s="514"/>
      <c r="W299" s="514"/>
      <c r="X299" s="514"/>
      <c r="Y299" s="514"/>
      <c r="Z299" s="923"/>
      <c r="AA299" s="514"/>
      <c r="AB299" s="514"/>
      <c r="AC299" s="514"/>
      <c r="AD299" s="514"/>
      <c r="AE299" s="774"/>
      <c r="AF299" s="514"/>
      <c r="AG299" s="897"/>
      <c r="AH299" s="789"/>
      <c r="AI299" s="786">
        <f t="shared" si="16"/>
        <v>0</v>
      </c>
      <c r="AJ299" s="521">
        <v>0</v>
      </c>
      <c r="AK299" s="520">
        <f t="shared" si="14"/>
        <v>0</v>
      </c>
      <c r="AL299" s="695" t="s">
        <v>1625</v>
      </c>
      <c r="AM299" s="669">
        <f t="shared" si="15"/>
        <v>39.17</v>
      </c>
    </row>
    <row r="300" spans="1:39" s="500" customFormat="1" hidden="1">
      <c r="A300" s="539" t="s">
        <v>808</v>
      </c>
      <c r="B300" s="539" t="s">
        <v>1245</v>
      </c>
      <c r="C300" s="548" t="s">
        <v>38</v>
      </c>
      <c r="D300" s="519"/>
      <c r="E300" s="915"/>
      <c r="F300" s="520"/>
      <c r="G300" s="520"/>
      <c r="H300" s="520"/>
      <c r="I300" s="521"/>
      <c r="J300" s="521"/>
      <c r="K300" s="521"/>
      <c r="L300" s="923"/>
      <c r="M300" s="514"/>
      <c r="N300" s="514"/>
      <c r="O300" s="514"/>
      <c r="P300" s="514"/>
      <c r="Q300" s="514"/>
      <c r="R300" s="514"/>
      <c r="S300" s="923"/>
      <c r="T300" s="514"/>
      <c r="U300" s="514"/>
      <c r="V300" s="514"/>
      <c r="W300" s="514"/>
      <c r="X300" s="514"/>
      <c r="Y300" s="514"/>
      <c r="Z300" s="923"/>
      <c r="AA300" s="514"/>
      <c r="AB300" s="514"/>
      <c r="AC300" s="514"/>
      <c r="AD300" s="514"/>
      <c r="AE300" s="774"/>
      <c r="AF300" s="514"/>
      <c r="AG300" s="897"/>
      <c r="AH300" s="789"/>
      <c r="AI300" s="786">
        <f t="shared" si="16"/>
        <v>0</v>
      </c>
      <c r="AJ300" s="521">
        <v>0</v>
      </c>
      <c r="AK300" s="520">
        <f t="shared" si="14"/>
        <v>0</v>
      </c>
      <c r="AL300" s="695" t="s">
        <v>1626</v>
      </c>
      <c r="AM300" s="669">
        <f t="shared" si="15"/>
        <v>68.38</v>
      </c>
    </row>
    <row r="301" spans="1:39" s="500" customFormat="1" hidden="1">
      <c r="A301" s="539" t="s">
        <v>809</v>
      </c>
      <c r="B301" s="539" t="s">
        <v>1246</v>
      </c>
      <c r="C301" s="548" t="s">
        <v>38</v>
      </c>
      <c r="D301" s="519"/>
      <c r="E301" s="915"/>
      <c r="F301" s="520"/>
      <c r="G301" s="520"/>
      <c r="H301" s="520"/>
      <c r="I301" s="521"/>
      <c r="J301" s="521"/>
      <c r="K301" s="521"/>
      <c r="L301" s="923"/>
      <c r="M301" s="514"/>
      <c r="N301" s="514"/>
      <c r="O301" s="514"/>
      <c r="P301" s="514"/>
      <c r="Q301" s="514"/>
      <c r="R301" s="514"/>
      <c r="S301" s="923"/>
      <c r="T301" s="514"/>
      <c r="U301" s="514"/>
      <c r="V301" s="514"/>
      <c r="W301" s="514"/>
      <c r="X301" s="514"/>
      <c r="Y301" s="514"/>
      <c r="Z301" s="923"/>
      <c r="AA301" s="514"/>
      <c r="AB301" s="514"/>
      <c r="AC301" s="514"/>
      <c r="AD301" s="514"/>
      <c r="AE301" s="774"/>
      <c r="AF301" s="514"/>
      <c r="AG301" s="897"/>
      <c r="AH301" s="789"/>
      <c r="AI301" s="786">
        <f t="shared" si="16"/>
        <v>0</v>
      </c>
      <c r="AJ301" s="521">
        <v>0</v>
      </c>
      <c r="AK301" s="520">
        <f t="shared" si="14"/>
        <v>0</v>
      </c>
      <c r="AL301" s="695" t="s">
        <v>1627</v>
      </c>
      <c r="AM301" s="669">
        <f t="shared" si="15"/>
        <v>228.32</v>
      </c>
    </row>
    <row r="302" spans="1:39" s="500" customFormat="1" hidden="1">
      <c r="A302" s="542" t="s">
        <v>51</v>
      </c>
      <c r="B302" s="542" t="s">
        <v>1247</v>
      </c>
      <c r="C302" s="616"/>
      <c r="D302" s="519"/>
      <c r="E302" s="915"/>
      <c r="F302" s="520"/>
      <c r="G302" s="520"/>
      <c r="H302" s="520"/>
      <c r="I302" s="521"/>
      <c r="J302" s="521"/>
      <c r="K302" s="521"/>
      <c r="L302" s="923"/>
      <c r="M302" s="514"/>
      <c r="N302" s="514"/>
      <c r="O302" s="514"/>
      <c r="P302" s="514"/>
      <c r="Q302" s="514"/>
      <c r="R302" s="514"/>
      <c r="S302" s="923"/>
      <c r="T302" s="514"/>
      <c r="U302" s="514"/>
      <c r="V302" s="514"/>
      <c r="W302" s="514"/>
      <c r="X302" s="514"/>
      <c r="Y302" s="514"/>
      <c r="Z302" s="923"/>
      <c r="AA302" s="514"/>
      <c r="AB302" s="514"/>
      <c r="AC302" s="514"/>
      <c r="AD302" s="514"/>
      <c r="AE302" s="774"/>
      <c r="AF302" s="514"/>
      <c r="AG302" s="897"/>
      <c r="AH302" s="789"/>
      <c r="AI302" s="786">
        <f t="shared" si="16"/>
        <v>0</v>
      </c>
      <c r="AJ302" s="521">
        <v>0</v>
      </c>
      <c r="AK302" s="520">
        <f t="shared" si="14"/>
        <v>0</v>
      </c>
      <c r="AL302" s="695"/>
      <c r="AM302" s="669">
        <f t="shared" si="15"/>
        <v>0</v>
      </c>
    </row>
    <row r="303" spans="1:39" s="500" customFormat="1" hidden="1">
      <c r="A303" s="539" t="s">
        <v>810</v>
      </c>
      <c r="B303" s="539" t="s">
        <v>1248</v>
      </c>
      <c r="C303" s="548" t="s">
        <v>37</v>
      </c>
      <c r="D303" s="519"/>
      <c r="E303" s="915"/>
      <c r="F303" s="520"/>
      <c r="G303" s="520"/>
      <c r="H303" s="520"/>
      <c r="I303" s="521"/>
      <c r="J303" s="521"/>
      <c r="K303" s="521"/>
      <c r="L303" s="923"/>
      <c r="M303" s="514"/>
      <c r="N303" s="514"/>
      <c r="O303" s="514"/>
      <c r="P303" s="514"/>
      <c r="Q303" s="514"/>
      <c r="R303" s="514"/>
      <c r="S303" s="923"/>
      <c r="T303" s="514"/>
      <c r="U303" s="514"/>
      <c r="V303" s="514"/>
      <c r="W303" s="514"/>
      <c r="X303" s="514"/>
      <c r="Y303" s="514"/>
      <c r="Z303" s="923"/>
      <c r="AA303" s="514"/>
      <c r="AB303" s="514"/>
      <c r="AC303" s="514"/>
      <c r="AD303" s="514"/>
      <c r="AE303" s="774"/>
      <c r="AF303" s="514"/>
      <c r="AG303" s="897"/>
      <c r="AH303" s="789"/>
      <c r="AI303" s="786">
        <f t="shared" si="16"/>
        <v>0</v>
      </c>
      <c r="AJ303" s="521">
        <v>0</v>
      </c>
      <c r="AK303" s="520">
        <f t="shared" si="14"/>
        <v>0</v>
      </c>
      <c r="AL303" s="695" t="s">
        <v>1628</v>
      </c>
      <c r="AM303" s="669">
        <f t="shared" si="15"/>
        <v>90.62</v>
      </c>
    </row>
    <row r="304" spans="1:39" s="730" customFormat="1" hidden="1">
      <c r="A304" s="831" t="s">
        <v>277</v>
      </c>
      <c r="B304" s="831" t="s">
        <v>1249</v>
      </c>
      <c r="C304" s="844"/>
      <c r="D304" s="743"/>
      <c r="E304" s="915"/>
      <c r="F304" s="726"/>
      <c r="G304" s="726"/>
      <c r="H304" s="726"/>
      <c r="I304" s="725"/>
      <c r="J304" s="725"/>
      <c r="K304" s="725"/>
      <c r="L304" s="923"/>
      <c r="M304" s="756"/>
      <c r="N304" s="756"/>
      <c r="O304" s="756"/>
      <c r="P304" s="756"/>
      <c r="Q304" s="756"/>
      <c r="R304" s="756"/>
      <c r="S304" s="923"/>
      <c r="T304" s="756"/>
      <c r="U304" s="756"/>
      <c r="V304" s="756"/>
      <c r="W304" s="756"/>
      <c r="X304" s="756"/>
      <c r="Y304" s="756"/>
      <c r="Z304" s="923"/>
      <c r="AA304" s="756"/>
      <c r="AB304" s="756"/>
      <c r="AC304" s="756"/>
      <c r="AD304" s="756"/>
      <c r="AE304" s="774"/>
      <c r="AF304" s="756"/>
      <c r="AG304" s="897"/>
      <c r="AH304" s="819"/>
      <c r="AI304" s="786">
        <f t="shared" si="16"/>
        <v>0</v>
      </c>
      <c r="AJ304" s="725">
        <v>0</v>
      </c>
      <c r="AK304" s="726">
        <f t="shared" si="14"/>
        <v>0</v>
      </c>
      <c r="AL304" s="847"/>
      <c r="AM304" s="729">
        <f t="shared" si="15"/>
        <v>0</v>
      </c>
    </row>
    <row r="305" spans="1:39" s="730" customFormat="1" hidden="1">
      <c r="A305" s="720" t="s">
        <v>811</v>
      </c>
      <c r="B305" s="720" t="s">
        <v>1250</v>
      </c>
      <c r="C305" s="823" t="s">
        <v>37</v>
      </c>
      <c r="D305" s="743"/>
      <c r="E305" s="915"/>
      <c r="F305" s="726"/>
      <c r="G305" s="726"/>
      <c r="H305" s="726"/>
      <c r="I305" s="725"/>
      <c r="J305" s="725"/>
      <c r="K305" s="725"/>
      <c r="L305" s="923"/>
      <c r="M305" s="756"/>
      <c r="N305" s="756"/>
      <c r="O305" s="756"/>
      <c r="P305" s="756"/>
      <c r="Q305" s="756"/>
      <c r="R305" s="756"/>
      <c r="S305" s="923"/>
      <c r="T305" s="756"/>
      <c r="U305" s="756"/>
      <c r="V305" s="756"/>
      <c r="W305" s="756"/>
      <c r="X305" s="756"/>
      <c r="Y305" s="756"/>
      <c r="Z305" s="923"/>
      <c r="AA305" s="756"/>
      <c r="AB305" s="756"/>
      <c r="AC305" s="756"/>
      <c r="AD305" s="756"/>
      <c r="AE305" s="774"/>
      <c r="AF305" s="756"/>
      <c r="AG305" s="897"/>
      <c r="AH305" s="819"/>
      <c r="AI305" s="786">
        <f t="shared" si="16"/>
        <v>0</v>
      </c>
      <c r="AJ305" s="725">
        <v>0</v>
      </c>
      <c r="AK305" s="726">
        <f t="shared" si="14"/>
        <v>0</v>
      </c>
      <c r="AL305" s="847" t="s">
        <v>1629</v>
      </c>
      <c r="AM305" s="729">
        <f t="shared" si="15"/>
        <v>72.22</v>
      </c>
    </row>
    <row r="306" spans="1:39" s="500" customFormat="1" hidden="1">
      <c r="A306" s="539" t="s">
        <v>812</v>
      </c>
      <c r="B306" s="539" t="s">
        <v>1251</v>
      </c>
      <c r="C306" s="548" t="s">
        <v>37</v>
      </c>
      <c r="D306" s="519"/>
      <c r="E306" s="915"/>
      <c r="F306" s="520"/>
      <c r="G306" s="520"/>
      <c r="H306" s="520"/>
      <c r="I306" s="521"/>
      <c r="J306" s="521"/>
      <c r="K306" s="521"/>
      <c r="L306" s="923"/>
      <c r="M306" s="514"/>
      <c r="N306" s="514"/>
      <c r="O306" s="514"/>
      <c r="P306" s="514"/>
      <c r="Q306" s="514"/>
      <c r="R306" s="514"/>
      <c r="S306" s="923"/>
      <c r="T306" s="514"/>
      <c r="U306" s="514"/>
      <c r="V306" s="514"/>
      <c r="W306" s="514"/>
      <c r="X306" s="514"/>
      <c r="Y306" s="514"/>
      <c r="Z306" s="923"/>
      <c r="AA306" s="514"/>
      <c r="AB306" s="514"/>
      <c r="AC306" s="514"/>
      <c r="AD306" s="514"/>
      <c r="AE306" s="774"/>
      <c r="AF306" s="514"/>
      <c r="AG306" s="897"/>
      <c r="AH306" s="789"/>
      <c r="AI306" s="786">
        <f t="shared" si="16"/>
        <v>0</v>
      </c>
      <c r="AJ306" s="521">
        <v>0</v>
      </c>
      <c r="AK306" s="520">
        <f t="shared" si="14"/>
        <v>0</v>
      </c>
      <c r="AL306" s="695" t="s">
        <v>1630</v>
      </c>
      <c r="AM306" s="669">
        <f t="shared" si="15"/>
        <v>56.44</v>
      </c>
    </row>
    <row r="307" spans="1:39" s="500" customFormat="1" hidden="1">
      <c r="A307" s="539" t="s">
        <v>813</v>
      </c>
      <c r="B307" s="539" t="s">
        <v>1252</v>
      </c>
      <c r="C307" s="548" t="s">
        <v>37</v>
      </c>
      <c r="D307" s="519"/>
      <c r="E307" s="915"/>
      <c r="F307" s="520"/>
      <c r="G307" s="520"/>
      <c r="H307" s="520"/>
      <c r="I307" s="521"/>
      <c r="J307" s="521"/>
      <c r="K307" s="521"/>
      <c r="L307" s="923"/>
      <c r="M307" s="514"/>
      <c r="N307" s="514"/>
      <c r="O307" s="514"/>
      <c r="P307" s="514"/>
      <c r="Q307" s="514"/>
      <c r="R307" s="514"/>
      <c r="S307" s="923"/>
      <c r="T307" s="514"/>
      <c r="U307" s="514"/>
      <c r="V307" s="514"/>
      <c r="W307" s="514"/>
      <c r="X307" s="514"/>
      <c r="Y307" s="514"/>
      <c r="Z307" s="923"/>
      <c r="AA307" s="514"/>
      <c r="AB307" s="514"/>
      <c r="AC307" s="514"/>
      <c r="AD307" s="514"/>
      <c r="AE307" s="774"/>
      <c r="AF307" s="514"/>
      <c r="AG307" s="897"/>
      <c r="AH307" s="789"/>
      <c r="AI307" s="786">
        <f t="shared" si="16"/>
        <v>0</v>
      </c>
      <c r="AJ307" s="521">
        <v>0</v>
      </c>
      <c r="AK307" s="520">
        <f t="shared" si="14"/>
        <v>0</v>
      </c>
      <c r="AL307" s="695" t="s">
        <v>1631</v>
      </c>
      <c r="AM307" s="669">
        <f t="shared" si="15"/>
        <v>15.78</v>
      </c>
    </row>
    <row r="308" spans="1:39" s="500" customFormat="1" hidden="1">
      <c r="A308" s="542" t="s">
        <v>279</v>
      </c>
      <c r="B308" s="542" t="s">
        <v>1253</v>
      </c>
      <c r="C308" s="616"/>
      <c r="D308" s="519"/>
      <c r="E308" s="915"/>
      <c r="F308" s="520"/>
      <c r="G308" s="520"/>
      <c r="H308" s="520"/>
      <c r="I308" s="521"/>
      <c r="J308" s="521"/>
      <c r="K308" s="521"/>
      <c r="L308" s="923"/>
      <c r="M308" s="514"/>
      <c r="N308" s="514"/>
      <c r="O308" s="514"/>
      <c r="P308" s="514"/>
      <c r="Q308" s="514"/>
      <c r="R308" s="514"/>
      <c r="S308" s="923"/>
      <c r="T308" s="514"/>
      <c r="U308" s="514"/>
      <c r="V308" s="514"/>
      <c r="W308" s="514"/>
      <c r="X308" s="514"/>
      <c r="Y308" s="514"/>
      <c r="Z308" s="923"/>
      <c r="AA308" s="514"/>
      <c r="AB308" s="514"/>
      <c r="AC308" s="514"/>
      <c r="AD308" s="514"/>
      <c r="AE308" s="774"/>
      <c r="AF308" s="514"/>
      <c r="AG308" s="897"/>
      <c r="AH308" s="789"/>
      <c r="AI308" s="786">
        <f t="shared" si="16"/>
        <v>0</v>
      </c>
      <c r="AJ308" s="521">
        <v>0</v>
      </c>
      <c r="AK308" s="520">
        <f t="shared" si="14"/>
        <v>0</v>
      </c>
      <c r="AL308" s="695"/>
      <c r="AM308" s="669">
        <f t="shared" si="15"/>
        <v>0</v>
      </c>
    </row>
    <row r="309" spans="1:39" s="500" customFormat="1" hidden="1">
      <c r="A309" s="539" t="s">
        <v>814</v>
      </c>
      <c r="B309" s="539" t="s">
        <v>1254</v>
      </c>
      <c r="C309" s="548" t="s">
        <v>38</v>
      </c>
      <c r="D309" s="519"/>
      <c r="E309" s="915"/>
      <c r="F309" s="520"/>
      <c r="G309" s="520"/>
      <c r="H309" s="520"/>
      <c r="I309" s="521"/>
      <c r="J309" s="521"/>
      <c r="K309" s="521"/>
      <c r="L309" s="923"/>
      <c r="M309" s="514"/>
      <c r="N309" s="514"/>
      <c r="O309" s="514"/>
      <c r="P309" s="514"/>
      <c r="Q309" s="514"/>
      <c r="R309" s="514"/>
      <c r="S309" s="923"/>
      <c r="T309" s="514"/>
      <c r="U309" s="514"/>
      <c r="V309" s="514"/>
      <c r="W309" s="514"/>
      <c r="X309" s="514"/>
      <c r="Y309" s="514"/>
      <c r="Z309" s="923"/>
      <c r="AA309" s="514"/>
      <c r="AB309" s="514"/>
      <c r="AC309" s="514"/>
      <c r="AD309" s="514"/>
      <c r="AE309" s="774"/>
      <c r="AF309" s="514"/>
      <c r="AG309" s="897"/>
      <c r="AH309" s="789"/>
      <c r="AI309" s="786">
        <f t="shared" si="16"/>
        <v>0</v>
      </c>
      <c r="AJ309" s="521">
        <v>0</v>
      </c>
      <c r="AK309" s="520">
        <f t="shared" si="14"/>
        <v>0</v>
      </c>
      <c r="AL309" s="695" t="s">
        <v>1632</v>
      </c>
      <c r="AM309" s="669">
        <f t="shared" si="15"/>
        <v>11.52</v>
      </c>
    </row>
    <row r="310" spans="1:39" s="500" customFormat="1" hidden="1">
      <c r="A310" s="539" t="s">
        <v>815</v>
      </c>
      <c r="B310" s="539" t="s">
        <v>1255</v>
      </c>
      <c r="C310" s="548" t="s">
        <v>37</v>
      </c>
      <c r="D310" s="519"/>
      <c r="E310" s="915"/>
      <c r="F310" s="520"/>
      <c r="G310" s="520"/>
      <c r="H310" s="520"/>
      <c r="I310" s="521"/>
      <c r="J310" s="521"/>
      <c r="K310" s="521"/>
      <c r="L310" s="923"/>
      <c r="M310" s="514"/>
      <c r="N310" s="514"/>
      <c r="O310" s="514"/>
      <c r="P310" s="514"/>
      <c r="Q310" s="514"/>
      <c r="R310" s="514"/>
      <c r="S310" s="923"/>
      <c r="T310" s="514"/>
      <c r="U310" s="514"/>
      <c r="V310" s="514"/>
      <c r="W310" s="514"/>
      <c r="X310" s="514"/>
      <c r="Y310" s="514"/>
      <c r="Z310" s="923"/>
      <c r="AA310" s="514"/>
      <c r="AB310" s="514"/>
      <c r="AC310" s="514"/>
      <c r="AD310" s="514"/>
      <c r="AE310" s="774"/>
      <c r="AF310" s="514"/>
      <c r="AG310" s="897"/>
      <c r="AH310" s="789"/>
      <c r="AI310" s="786">
        <f t="shared" si="16"/>
        <v>0</v>
      </c>
      <c r="AJ310" s="521">
        <v>0</v>
      </c>
      <c r="AK310" s="520">
        <f t="shared" si="14"/>
        <v>0</v>
      </c>
      <c r="AL310" s="695" t="s">
        <v>1633</v>
      </c>
      <c r="AM310" s="669">
        <f t="shared" si="15"/>
        <v>5.18</v>
      </c>
    </row>
    <row r="311" spans="1:39" s="500" customFormat="1" hidden="1">
      <c r="A311" s="542" t="s">
        <v>280</v>
      </c>
      <c r="B311" s="542" t="s">
        <v>1256</v>
      </c>
      <c r="C311" s="616"/>
      <c r="D311" s="519"/>
      <c r="E311" s="915"/>
      <c r="F311" s="520"/>
      <c r="G311" s="520"/>
      <c r="H311" s="520"/>
      <c r="I311" s="521"/>
      <c r="J311" s="521"/>
      <c r="K311" s="521"/>
      <c r="L311" s="923"/>
      <c r="M311" s="514"/>
      <c r="N311" s="514"/>
      <c r="O311" s="514"/>
      <c r="P311" s="514"/>
      <c r="Q311" s="514"/>
      <c r="R311" s="514"/>
      <c r="S311" s="923"/>
      <c r="T311" s="514"/>
      <c r="U311" s="514"/>
      <c r="V311" s="514"/>
      <c r="W311" s="514"/>
      <c r="X311" s="514"/>
      <c r="Y311" s="514"/>
      <c r="Z311" s="923"/>
      <c r="AA311" s="514"/>
      <c r="AB311" s="514"/>
      <c r="AC311" s="514"/>
      <c r="AD311" s="514"/>
      <c r="AE311" s="774"/>
      <c r="AF311" s="514"/>
      <c r="AG311" s="897"/>
      <c r="AH311" s="789"/>
      <c r="AI311" s="786">
        <f t="shared" si="16"/>
        <v>0</v>
      </c>
      <c r="AJ311" s="521">
        <v>0</v>
      </c>
      <c r="AK311" s="520">
        <f t="shared" si="14"/>
        <v>0</v>
      </c>
      <c r="AL311" s="695"/>
      <c r="AM311" s="669">
        <f t="shared" si="15"/>
        <v>0</v>
      </c>
    </row>
    <row r="312" spans="1:39" s="500" customFormat="1" hidden="1">
      <c r="A312" s="539" t="s">
        <v>816</v>
      </c>
      <c r="B312" s="539" t="s">
        <v>1257</v>
      </c>
      <c r="C312" s="548" t="s">
        <v>37</v>
      </c>
      <c r="D312" s="519"/>
      <c r="E312" s="915"/>
      <c r="F312" s="520"/>
      <c r="G312" s="520"/>
      <c r="H312" s="520"/>
      <c r="I312" s="521"/>
      <c r="J312" s="521"/>
      <c r="K312" s="521"/>
      <c r="L312" s="923"/>
      <c r="M312" s="514"/>
      <c r="N312" s="514"/>
      <c r="O312" s="514"/>
      <c r="P312" s="514"/>
      <c r="Q312" s="514"/>
      <c r="R312" s="514"/>
      <c r="S312" s="923"/>
      <c r="T312" s="514"/>
      <c r="U312" s="514"/>
      <c r="V312" s="514"/>
      <c r="W312" s="514"/>
      <c r="X312" s="514"/>
      <c r="Y312" s="514"/>
      <c r="Z312" s="923"/>
      <c r="AA312" s="514"/>
      <c r="AB312" s="514"/>
      <c r="AC312" s="514"/>
      <c r="AD312" s="514"/>
      <c r="AE312" s="774"/>
      <c r="AF312" s="514"/>
      <c r="AG312" s="897"/>
      <c r="AH312" s="789"/>
      <c r="AI312" s="786">
        <f t="shared" si="16"/>
        <v>0</v>
      </c>
      <c r="AJ312" s="521">
        <v>0</v>
      </c>
      <c r="AK312" s="520">
        <f t="shared" si="14"/>
        <v>0</v>
      </c>
      <c r="AL312" s="695" t="s">
        <v>1634</v>
      </c>
      <c r="AM312" s="669">
        <f t="shared" si="15"/>
        <v>73.5</v>
      </c>
    </row>
    <row r="313" spans="1:39" s="500" customFormat="1" hidden="1">
      <c r="A313" s="542" t="s">
        <v>281</v>
      </c>
      <c r="B313" s="542" t="s">
        <v>1258</v>
      </c>
      <c r="C313" s="616"/>
      <c r="D313" s="519"/>
      <c r="E313" s="915"/>
      <c r="F313" s="520"/>
      <c r="G313" s="520"/>
      <c r="H313" s="520"/>
      <c r="I313" s="521"/>
      <c r="J313" s="521"/>
      <c r="K313" s="521"/>
      <c r="L313" s="923"/>
      <c r="M313" s="514"/>
      <c r="N313" s="514"/>
      <c r="O313" s="514"/>
      <c r="P313" s="514"/>
      <c r="Q313" s="514"/>
      <c r="R313" s="514"/>
      <c r="S313" s="923"/>
      <c r="T313" s="514"/>
      <c r="U313" s="514"/>
      <c r="V313" s="514"/>
      <c r="W313" s="514"/>
      <c r="X313" s="514"/>
      <c r="Y313" s="514"/>
      <c r="Z313" s="923"/>
      <c r="AA313" s="514"/>
      <c r="AB313" s="514"/>
      <c r="AC313" s="514"/>
      <c r="AD313" s="514"/>
      <c r="AE313" s="774"/>
      <c r="AF313" s="514"/>
      <c r="AG313" s="897"/>
      <c r="AH313" s="789"/>
      <c r="AI313" s="786">
        <f t="shared" si="16"/>
        <v>0</v>
      </c>
      <c r="AJ313" s="521">
        <v>0</v>
      </c>
      <c r="AK313" s="520">
        <f t="shared" si="14"/>
        <v>0</v>
      </c>
      <c r="AL313" s="695"/>
      <c r="AM313" s="669">
        <f t="shared" si="15"/>
        <v>0</v>
      </c>
    </row>
    <row r="314" spans="1:39" s="500" customFormat="1" hidden="1">
      <c r="A314" s="539" t="s">
        <v>817</v>
      </c>
      <c r="B314" s="539" t="s">
        <v>1259</v>
      </c>
      <c r="C314" s="548" t="s">
        <v>37</v>
      </c>
      <c r="D314" s="519"/>
      <c r="E314" s="915"/>
      <c r="F314" s="520"/>
      <c r="G314" s="520"/>
      <c r="H314" s="520"/>
      <c r="I314" s="521"/>
      <c r="J314" s="521"/>
      <c r="K314" s="521"/>
      <c r="L314" s="923"/>
      <c r="M314" s="514"/>
      <c r="N314" s="514"/>
      <c r="O314" s="514"/>
      <c r="P314" s="514"/>
      <c r="Q314" s="514"/>
      <c r="R314" s="514"/>
      <c r="S314" s="923"/>
      <c r="T314" s="514"/>
      <c r="U314" s="514"/>
      <c r="V314" s="514"/>
      <c r="W314" s="514"/>
      <c r="X314" s="514"/>
      <c r="Y314" s="514"/>
      <c r="Z314" s="923"/>
      <c r="AA314" s="514"/>
      <c r="AB314" s="514"/>
      <c r="AC314" s="514"/>
      <c r="AD314" s="514"/>
      <c r="AE314" s="774"/>
      <c r="AF314" s="514"/>
      <c r="AG314" s="897"/>
      <c r="AH314" s="789"/>
      <c r="AI314" s="786">
        <f t="shared" si="16"/>
        <v>0</v>
      </c>
      <c r="AJ314" s="521">
        <v>0</v>
      </c>
      <c r="AK314" s="520">
        <f t="shared" si="14"/>
        <v>0</v>
      </c>
      <c r="AL314" s="695" t="s">
        <v>1635</v>
      </c>
      <c r="AM314" s="669">
        <f t="shared" si="15"/>
        <v>15.8</v>
      </c>
    </row>
    <row r="315" spans="1:39" s="500" customFormat="1" hidden="1">
      <c r="A315" s="539" t="s">
        <v>818</v>
      </c>
      <c r="B315" s="539" t="s">
        <v>1260</v>
      </c>
      <c r="C315" s="548" t="s">
        <v>38</v>
      </c>
      <c r="D315" s="519"/>
      <c r="E315" s="915"/>
      <c r="F315" s="520"/>
      <c r="G315" s="520"/>
      <c r="H315" s="520"/>
      <c r="I315" s="521"/>
      <c r="J315" s="521"/>
      <c r="K315" s="521"/>
      <c r="L315" s="923"/>
      <c r="M315" s="514"/>
      <c r="N315" s="514"/>
      <c r="O315" s="514"/>
      <c r="P315" s="514"/>
      <c r="Q315" s="514"/>
      <c r="R315" s="514"/>
      <c r="S315" s="923"/>
      <c r="T315" s="514"/>
      <c r="U315" s="514"/>
      <c r="V315" s="514"/>
      <c r="W315" s="514"/>
      <c r="X315" s="514"/>
      <c r="Y315" s="514"/>
      <c r="Z315" s="923"/>
      <c r="AA315" s="514"/>
      <c r="AB315" s="514"/>
      <c r="AC315" s="514"/>
      <c r="AD315" s="514"/>
      <c r="AE315" s="774"/>
      <c r="AF315" s="514"/>
      <c r="AG315" s="897"/>
      <c r="AH315" s="789"/>
      <c r="AI315" s="786">
        <f t="shared" si="16"/>
        <v>0</v>
      </c>
      <c r="AJ315" s="521">
        <v>0</v>
      </c>
      <c r="AK315" s="520">
        <f t="shared" si="14"/>
        <v>0</v>
      </c>
      <c r="AL315" s="695" t="s">
        <v>1636</v>
      </c>
      <c r="AM315" s="669">
        <f t="shared" si="15"/>
        <v>27.62</v>
      </c>
    </row>
    <row r="316" spans="1:39" s="500" customFormat="1" hidden="1">
      <c r="A316" s="539" t="s">
        <v>819</v>
      </c>
      <c r="B316" s="539" t="s">
        <v>1261</v>
      </c>
      <c r="C316" s="548" t="s">
        <v>38</v>
      </c>
      <c r="D316" s="519"/>
      <c r="E316" s="915"/>
      <c r="F316" s="520"/>
      <c r="G316" s="520"/>
      <c r="H316" s="520"/>
      <c r="I316" s="521"/>
      <c r="J316" s="521"/>
      <c r="K316" s="521"/>
      <c r="L316" s="923"/>
      <c r="M316" s="514"/>
      <c r="N316" s="514"/>
      <c r="O316" s="514"/>
      <c r="P316" s="514"/>
      <c r="Q316" s="514"/>
      <c r="R316" s="514"/>
      <c r="S316" s="923"/>
      <c r="T316" s="514"/>
      <c r="U316" s="514"/>
      <c r="V316" s="514"/>
      <c r="W316" s="514"/>
      <c r="X316" s="514"/>
      <c r="Y316" s="514"/>
      <c r="Z316" s="923"/>
      <c r="AA316" s="514"/>
      <c r="AB316" s="514"/>
      <c r="AC316" s="514"/>
      <c r="AD316" s="514"/>
      <c r="AE316" s="774"/>
      <c r="AF316" s="514"/>
      <c r="AG316" s="897"/>
      <c r="AH316" s="789"/>
      <c r="AI316" s="786">
        <f t="shared" si="16"/>
        <v>0</v>
      </c>
      <c r="AJ316" s="521">
        <v>0</v>
      </c>
      <c r="AK316" s="520">
        <f t="shared" si="14"/>
        <v>0</v>
      </c>
      <c r="AL316" s="695" t="s">
        <v>1637</v>
      </c>
      <c r="AM316" s="669">
        <f t="shared" si="15"/>
        <v>30.2</v>
      </c>
    </row>
    <row r="317" spans="1:39" s="500" customFormat="1" hidden="1">
      <c r="A317" s="542" t="s">
        <v>282</v>
      </c>
      <c r="B317" s="542" t="s">
        <v>1198</v>
      </c>
      <c r="C317" s="616"/>
      <c r="D317" s="519"/>
      <c r="E317" s="915"/>
      <c r="F317" s="520"/>
      <c r="G317" s="520"/>
      <c r="H317" s="520"/>
      <c r="I317" s="521"/>
      <c r="J317" s="521"/>
      <c r="K317" s="521"/>
      <c r="L317" s="923"/>
      <c r="M317" s="514"/>
      <c r="N317" s="514"/>
      <c r="O317" s="514"/>
      <c r="P317" s="514"/>
      <c r="Q317" s="514"/>
      <c r="R317" s="514"/>
      <c r="S317" s="923"/>
      <c r="T317" s="514"/>
      <c r="U317" s="514"/>
      <c r="V317" s="514"/>
      <c r="W317" s="514"/>
      <c r="X317" s="514"/>
      <c r="Y317" s="514"/>
      <c r="Z317" s="923"/>
      <c r="AA317" s="514"/>
      <c r="AB317" s="514"/>
      <c r="AC317" s="514"/>
      <c r="AD317" s="514"/>
      <c r="AE317" s="774"/>
      <c r="AF317" s="514"/>
      <c r="AG317" s="897"/>
      <c r="AH317" s="789"/>
      <c r="AI317" s="786">
        <f t="shared" si="16"/>
        <v>0</v>
      </c>
      <c r="AJ317" s="521">
        <v>0</v>
      </c>
      <c r="AK317" s="520">
        <f t="shared" si="14"/>
        <v>0</v>
      </c>
      <c r="AL317" s="695"/>
      <c r="AM317" s="669">
        <f t="shared" si="15"/>
        <v>0</v>
      </c>
    </row>
    <row r="318" spans="1:39" s="500" customFormat="1" hidden="1">
      <c r="A318" s="539" t="s">
        <v>820</v>
      </c>
      <c r="B318" s="539" t="s">
        <v>1262</v>
      </c>
      <c r="C318" s="548" t="s">
        <v>37</v>
      </c>
      <c r="D318" s="519"/>
      <c r="E318" s="915"/>
      <c r="F318" s="520"/>
      <c r="G318" s="520"/>
      <c r="H318" s="520"/>
      <c r="I318" s="521"/>
      <c r="J318" s="521"/>
      <c r="K318" s="521"/>
      <c r="L318" s="923"/>
      <c r="M318" s="514"/>
      <c r="N318" s="514"/>
      <c r="O318" s="514"/>
      <c r="P318" s="514"/>
      <c r="Q318" s="514"/>
      <c r="R318" s="514"/>
      <c r="S318" s="923"/>
      <c r="T318" s="514"/>
      <c r="U318" s="514"/>
      <c r="V318" s="514"/>
      <c r="W318" s="514"/>
      <c r="X318" s="514"/>
      <c r="Y318" s="514"/>
      <c r="Z318" s="923"/>
      <c r="AA318" s="514"/>
      <c r="AB318" s="514"/>
      <c r="AC318" s="514"/>
      <c r="AD318" s="514"/>
      <c r="AE318" s="774"/>
      <c r="AF318" s="514"/>
      <c r="AG318" s="897"/>
      <c r="AH318" s="789"/>
      <c r="AI318" s="786">
        <f t="shared" si="16"/>
        <v>0</v>
      </c>
      <c r="AJ318" s="521">
        <v>0</v>
      </c>
      <c r="AK318" s="520">
        <f t="shared" si="14"/>
        <v>0</v>
      </c>
      <c r="AL318" s="695" t="s">
        <v>1638</v>
      </c>
      <c r="AM318" s="669">
        <f t="shared" si="15"/>
        <v>90.78</v>
      </c>
    </row>
    <row r="319" spans="1:39" s="500" customFormat="1" hidden="1">
      <c r="A319" s="539" t="s">
        <v>821</v>
      </c>
      <c r="B319" s="539" t="s">
        <v>1263</v>
      </c>
      <c r="C319" s="548" t="s">
        <v>38</v>
      </c>
      <c r="D319" s="519"/>
      <c r="E319" s="915"/>
      <c r="F319" s="520"/>
      <c r="G319" s="520"/>
      <c r="H319" s="520"/>
      <c r="I319" s="521"/>
      <c r="J319" s="521"/>
      <c r="K319" s="521"/>
      <c r="L319" s="923"/>
      <c r="M319" s="514"/>
      <c r="N319" s="514"/>
      <c r="O319" s="514"/>
      <c r="P319" s="514"/>
      <c r="Q319" s="514"/>
      <c r="R319" s="514"/>
      <c r="S319" s="923"/>
      <c r="T319" s="514"/>
      <c r="U319" s="514"/>
      <c r="V319" s="514"/>
      <c r="W319" s="514"/>
      <c r="X319" s="514"/>
      <c r="Y319" s="514"/>
      <c r="Z319" s="923"/>
      <c r="AA319" s="514"/>
      <c r="AB319" s="514"/>
      <c r="AC319" s="514"/>
      <c r="AD319" s="514"/>
      <c r="AE319" s="774"/>
      <c r="AF319" s="514"/>
      <c r="AG319" s="897"/>
      <c r="AH319" s="789"/>
      <c r="AI319" s="786">
        <f t="shared" si="16"/>
        <v>0</v>
      </c>
      <c r="AJ319" s="521">
        <v>0</v>
      </c>
      <c r="AK319" s="520">
        <f t="shared" si="14"/>
        <v>0</v>
      </c>
      <c r="AL319" s="695" t="s">
        <v>1639</v>
      </c>
      <c r="AM319" s="669">
        <f t="shared" si="15"/>
        <v>29.18</v>
      </c>
    </row>
    <row r="320" spans="1:39" s="500" customFormat="1" hidden="1">
      <c r="A320" s="542" t="s">
        <v>822</v>
      </c>
      <c r="B320" s="542" t="s">
        <v>1264</v>
      </c>
      <c r="C320" s="616"/>
      <c r="D320" s="519"/>
      <c r="E320" s="915"/>
      <c r="F320" s="520"/>
      <c r="G320" s="520"/>
      <c r="H320" s="520"/>
      <c r="I320" s="521"/>
      <c r="J320" s="521"/>
      <c r="K320" s="521"/>
      <c r="L320" s="923"/>
      <c r="M320" s="514"/>
      <c r="N320" s="514"/>
      <c r="O320" s="514"/>
      <c r="P320" s="514"/>
      <c r="Q320" s="514"/>
      <c r="R320" s="514"/>
      <c r="S320" s="923"/>
      <c r="T320" s="514"/>
      <c r="U320" s="514"/>
      <c r="V320" s="514"/>
      <c r="W320" s="514"/>
      <c r="X320" s="514"/>
      <c r="Y320" s="514"/>
      <c r="Z320" s="923"/>
      <c r="AA320" s="514"/>
      <c r="AB320" s="514"/>
      <c r="AC320" s="514"/>
      <c r="AD320" s="514"/>
      <c r="AE320" s="774"/>
      <c r="AF320" s="514"/>
      <c r="AG320" s="897"/>
      <c r="AH320" s="789"/>
      <c r="AI320" s="786">
        <f t="shared" si="16"/>
        <v>0</v>
      </c>
      <c r="AJ320" s="521">
        <v>0</v>
      </c>
      <c r="AK320" s="520">
        <f t="shared" si="14"/>
        <v>0</v>
      </c>
      <c r="AL320" s="695"/>
      <c r="AM320" s="669">
        <f t="shared" si="15"/>
        <v>0</v>
      </c>
    </row>
    <row r="321" spans="1:39" s="500" customFormat="1" hidden="1">
      <c r="A321" s="539" t="s">
        <v>823</v>
      </c>
      <c r="B321" s="539" t="s">
        <v>1265</v>
      </c>
      <c r="C321" s="548" t="s">
        <v>37</v>
      </c>
      <c r="D321" s="519"/>
      <c r="E321" s="915"/>
      <c r="F321" s="520"/>
      <c r="G321" s="520"/>
      <c r="H321" s="520"/>
      <c r="I321" s="521"/>
      <c r="J321" s="521"/>
      <c r="K321" s="521"/>
      <c r="L321" s="923"/>
      <c r="M321" s="514"/>
      <c r="N321" s="514"/>
      <c r="O321" s="514"/>
      <c r="P321" s="514"/>
      <c r="Q321" s="514"/>
      <c r="R321" s="514"/>
      <c r="S321" s="923"/>
      <c r="T321" s="514"/>
      <c r="U321" s="514"/>
      <c r="V321" s="514"/>
      <c r="W321" s="514"/>
      <c r="X321" s="514"/>
      <c r="Y321" s="514"/>
      <c r="Z321" s="923"/>
      <c r="AA321" s="514"/>
      <c r="AB321" s="514"/>
      <c r="AC321" s="514"/>
      <c r="AD321" s="514"/>
      <c r="AE321" s="774"/>
      <c r="AF321" s="514"/>
      <c r="AG321" s="897"/>
      <c r="AH321" s="789"/>
      <c r="AI321" s="786">
        <f t="shared" si="16"/>
        <v>0</v>
      </c>
      <c r="AJ321" s="521">
        <v>0</v>
      </c>
      <c r="AK321" s="520">
        <f t="shared" si="14"/>
        <v>0</v>
      </c>
      <c r="AL321" s="695" t="s">
        <v>1640</v>
      </c>
      <c r="AM321" s="669">
        <f t="shared" si="15"/>
        <v>6.3</v>
      </c>
    </row>
    <row r="322" spans="1:39" s="500" customFormat="1" hidden="1">
      <c r="A322" s="542" t="s">
        <v>824</v>
      </c>
      <c r="B322" s="542" t="s">
        <v>1266</v>
      </c>
      <c r="C322" s="616"/>
      <c r="D322" s="519"/>
      <c r="E322" s="915"/>
      <c r="F322" s="520"/>
      <c r="G322" s="520"/>
      <c r="H322" s="520"/>
      <c r="I322" s="521"/>
      <c r="J322" s="521"/>
      <c r="K322" s="521"/>
      <c r="L322" s="923"/>
      <c r="M322" s="514"/>
      <c r="N322" s="514"/>
      <c r="O322" s="514"/>
      <c r="P322" s="514"/>
      <c r="Q322" s="514"/>
      <c r="R322" s="514"/>
      <c r="S322" s="923"/>
      <c r="T322" s="514"/>
      <c r="U322" s="514"/>
      <c r="V322" s="514"/>
      <c r="W322" s="514"/>
      <c r="X322" s="514"/>
      <c r="Y322" s="514"/>
      <c r="Z322" s="923"/>
      <c r="AA322" s="514"/>
      <c r="AB322" s="514"/>
      <c r="AC322" s="514"/>
      <c r="AD322" s="514"/>
      <c r="AE322" s="774"/>
      <c r="AF322" s="514"/>
      <c r="AG322" s="897"/>
      <c r="AH322" s="789"/>
      <c r="AI322" s="786">
        <f t="shared" si="16"/>
        <v>0</v>
      </c>
      <c r="AJ322" s="521">
        <v>0</v>
      </c>
      <c r="AK322" s="520">
        <f t="shared" si="14"/>
        <v>0</v>
      </c>
      <c r="AL322" s="695"/>
      <c r="AM322" s="669">
        <f t="shared" si="15"/>
        <v>0</v>
      </c>
    </row>
    <row r="323" spans="1:39" s="500" customFormat="1" hidden="1">
      <c r="A323" s="539" t="s">
        <v>825</v>
      </c>
      <c r="B323" s="539" t="s">
        <v>1267</v>
      </c>
      <c r="C323" s="548" t="s">
        <v>1451</v>
      </c>
      <c r="D323" s="519"/>
      <c r="E323" s="915"/>
      <c r="F323" s="520"/>
      <c r="G323" s="520"/>
      <c r="H323" s="520"/>
      <c r="I323" s="521"/>
      <c r="J323" s="521"/>
      <c r="K323" s="521"/>
      <c r="L323" s="923"/>
      <c r="M323" s="514"/>
      <c r="N323" s="514"/>
      <c r="O323" s="514"/>
      <c r="P323" s="514"/>
      <c r="Q323" s="514"/>
      <c r="R323" s="514"/>
      <c r="S323" s="923"/>
      <c r="T323" s="514"/>
      <c r="U323" s="514"/>
      <c r="V323" s="514"/>
      <c r="W323" s="514"/>
      <c r="X323" s="514"/>
      <c r="Y323" s="514"/>
      <c r="Z323" s="923"/>
      <c r="AA323" s="514"/>
      <c r="AB323" s="514"/>
      <c r="AC323" s="514"/>
      <c r="AD323" s="514"/>
      <c r="AE323" s="774"/>
      <c r="AF323" s="514"/>
      <c r="AG323" s="897"/>
      <c r="AH323" s="789"/>
      <c r="AI323" s="786">
        <f t="shared" si="16"/>
        <v>0</v>
      </c>
      <c r="AJ323" s="521">
        <v>0</v>
      </c>
      <c r="AK323" s="520">
        <f t="shared" si="14"/>
        <v>0</v>
      </c>
      <c r="AL323" s="695" t="s">
        <v>1641</v>
      </c>
      <c r="AM323" s="669">
        <f t="shared" si="15"/>
        <v>9</v>
      </c>
    </row>
    <row r="324" spans="1:39" s="500" customFormat="1" hidden="1">
      <c r="A324" s="539" t="s">
        <v>826</v>
      </c>
      <c r="B324" s="539" t="s">
        <v>1268</v>
      </c>
      <c r="C324" s="548" t="s">
        <v>36</v>
      </c>
      <c r="D324" s="519"/>
      <c r="E324" s="915"/>
      <c r="F324" s="520"/>
      <c r="G324" s="520"/>
      <c r="H324" s="520"/>
      <c r="I324" s="521"/>
      <c r="J324" s="521"/>
      <c r="K324" s="521"/>
      <c r="L324" s="923"/>
      <c r="M324" s="514"/>
      <c r="N324" s="514"/>
      <c r="O324" s="514"/>
      <c r="P324" s="514"/>
      <c r="Q324" s="514"/>
      <c r="R324" s="514"/>
      <c r="S324" s="923"/>
      <c r="T324" s="514"/>
      <c r="U324" s="514"/>
      <c r="V324" s="514"/>
      <c r="W324" s="514"/>
      <c r="X324" s="514"/>
      <c r="Y324" s="514"/>
      <c r="Z324" s="923"/>
      <c r="AA324" s="514"/>
      <c r="AB324" s="514"/>
      <c r="AC324" s="514"/>
      <c r="AD324" s="514"/>
      <c r="AE324" s="774"/>
      <c r="AF324" s="514"/>
      <c r="AG324" s="897"/>
      <c r="AH324" s="789"/>
      <c r="AI324" s="786">
        <f t="shared" si="16"/>
        <v>0</v>
      </c>
      <c r="AJ324" s="521">
        <v>0</v>
      </c>
      <c r="AK324" s="520">
        <f t="shared" si="14"/>
        <v>0</v>
      </c>
      <c r="AL324" s="695" t="s">
        <v>1618</v>
      </c>
      <c r="AM324" s="669">
        <f t="shared" si="15"/>
        <v>3</v>
      </c>
    </row>
    <row r="325" spans="1:39" s="500" customFormat="1" hidden="1">
      <c r="A325" s="542" t="s">
        <v>827</v>
      </c>
      <c r="B325" s="542" t="s">
        <v>1269</v>
      </c>
      <c r="C325" s="616"/>
      <c r="D325" s="519"/>
      <c r="E325" s="915"/>
      <c r="F325" s="520"/>
      <c r="G325" s="520"/>
      <c r="H325" s="520"/>
      <c r="I325" s="521"/>
      <c r="J325" s="521"/>
      <c r="K325" s="521"/>
      <c r="L325" s="923"/>
      <c r="M325" s="514"/>
      <c r="N325" s="514"/>
      <c r="O325" s="514"/>
      <c r="P325" s="514"/>
      <c r="Q325" s="514"/>
      <c r="R325" s="514"/>
      <c r="S325" s="923"/>
      <c r="T325" s="514"/>
      <c r="U325" s="514"/>
      <c r="V325" s="514"/>
      <c r="W325" s="514"/>
      <c r="X325" s="514"/>
      <c r="Y325" s="514"/>
      <c r="Z325" s="923"/>
      <c r="AA325" s="514"/>
      <c r="AB325" s="514"/>
      <c r="AC325" s="514"/>
      <c r="AD325" s="514"/>
      <c r="AE325" s="774"/>
      <c r="AF325" s="514"/>
      <c r="AG325" s="897"/>
      <c r="AH325" s="789"/>
      <c r="AI325" s="786">
        <f t="shared" si="16"/>
        <v>0</v>
      </c>
      <c r="AJ325" s="521">
        <v>0</v>
      </c>
      <c r="AK325" s="520">
        <f t="shared" si="14"/>
        <v>0</v>
      </c>
      <c r="AL325" s="695"/>
      <c r="AM325" s="669">
        <f t="shared" si="15"/>
        <v>0</v>
      </c>
    </row>
    <row r="326" spans="1:39" s="500" customFormat="1" hidden="1">
      <c r="A326" s="539" t="s">
        <v>828</v>
      </c>
      <c r="B326" s="539" t="s">
        <v>1270</v>
      </c>
      <c r="C326" s="548" t="s">
        <v>37</v>
      </c>
      <c r="D326" s="519"/>
      <c r="E326" s="915"/>
      <c r="F326" s="520"/>
      <c r="G326" s="520"/>
      <c r="H326" s="520"/>
      <c r="I326" s="521"/>
      <c r="J326" s="521"/>
      <c r="K326" s="521"/>
      <c r="L326" s="923"/>
      <c r="M326" s="514"/>
      <c r="N326" s="514"/>
      <c r="O326" s="514"/>
      <c r="P326" s="514"/>
      <c r="Q326" s="514"/>
      <c r="R326" s="514"/>
      <c r="S326" s="923"/>
      <c r="T326" s="514"/>
      <c r="U326" s="514"/>
      <c r="V326" s="514"/>
      <c r="W326" s="514"/>
      <c r="X326" s="514"/>
      <c r="Y326" s="514"/>
      <c r="Z326" s="923"/>
      <c r="AA326" s="514"/>
      <c r="AB326" s="514"/>
      <c r="AC326" s="514"/>
      <c r="AD326" s="514"/>
      <c r="AE326" s="774"/>
      <c r="AF326" s="514"/>
      <c r="AG326" s="897"/>
      <c r="AH326" s="789"/>
      <c r="AI326" s="786">
        <f t="shared" si="16"/>
        <v>0</v>
      </c>
      <c r="AJ326" s="521">
        <v>0</v>
      </c>
      <c r="AK326" s="520">
        <f t="shared" si="14"/>
        <v>0</v>
      </c>
      <c r="AL326" s="695" t="s">
        <v>1642</v>
      </c>
      <c r="AM326" s="669">
        <f t="shared" si="15"/>
        <v>19.149999999999999</v>
      </c>
    </row>
    <row r="327" spans="1:39" s="500" customFormat="1" hidden="1">
      <c r="A327" s="539" t="s">
        <v>829</v>
      </c>
      <c r="B327" s="539" t="s">
        <v>1271</v>
      </c>
      <c r="C327" s="548" t="s">
        <v>37</v>
      </c>
      <c r="D327" s="519"/>
      <c r="E327" s="915"/>
      <c r="F327" s="520"/>
      <c r="G327" s="520"/>
      <c r="H327" s="520"/>
      <c r="I327" s="521"/>
      <c r="J327" s="521"/>
      <c r="K327" s="521"/>
      <c r="L327" s="923"/>
      <c r="M327" s="514"/>
      <c r="N327" s="514"/>
      <c r="O327" s="514"/>
      <c r="P327" s="514"/>
      <c r="Q327" s="514"/>
      <c r="R327" s="514"/>
      <c r="S327" s="923"/>
      <c r="T327" s="514"/>
      <c r="U327" s="514"/>
      <c r="V327" s="514"/>
      <c r="W327" s="514"/>
      <c r="X327" s="514"/>
      <c r="Y327" s="514"/>
      <c r="Z327" s="923"/>
      <c r="AA327" s="514"/>
      <c r="AB327" s="514"/>
      <c r="AC327" s="514"/>
      <c r="AD327" s="514"/>
      <c r="AE327" s="774"/>
      <c r="AF327" s="514"/>
      <c r="AG327" s="897"/>
      <c r="AH327" s="789"/>
      <c r="AI327" s="786">
        <f t="shared" si="16"/>
        <v>0</v>
      </c>
      <c r="AJ327" s="521">
        <v>0</v>
      </c>
      <c r="AK327" s="520">
        <f t="shared" si="14"/>
        <v>0</v>
      </c>
      <c r="AL327" s="695" t="s">
        <v>1643</v>
      </c>
      <c r="AM327" s="669">
        <f t="shared" si="15"/>
        <v>1.5</v>
      </c>
    </row>
    <row r="328" spans="1:39" s="500" customFormat="1" hidden="1">
      <c r="A328" s="542" t="s">
        <v>830</v>
      </c>
      <c r="B328" s="542" t="s">
        <v>1272</v>
      </c>
      <c r="C328" s="616"/>
      <c r="D328" s="519"/>
      <c r="E328" s="915"/>
      <c r="F328" s="520"/>
      <c r="G328" s="520"/>
      <c r="H328" s="520"/>
      <c r="I328" s="521"/>
      <c r="J328" s="521"/>
      <c r="K328" s="521"/>
      <c r="L328" s="923"/>
      <c r="M328" s="514"/>
      <c r="N328" s="514"/>
      <c r="O328" s="514"/>
      <c r="P328" s="514"/>
      <c r="Q328" s="514"/>
      <c r="R328" s="514"/>
      <c r="S328" s="923"/>
      <c r="T328" s="514"/>
      <c r="U328" s="514"/>
      <c r="V328" s="514"/>
      <c r="W328" s="514"/>
      <c r="X328" s="514"/>
      <c r="Y328" s="514"/>
      <c r="Z328" s="923"/>
      <c r="AA328" s="514"/>
      <c r="AB328" s="514"/>
      <c r="AC328" s="514"/>
      <c r="AD328" s="514"/>
      <c r="AE328" s="774"/>
      <c r="AF328" s="514"/>
      <c r="AG328" s="897"/>
      <c r="AH328" s="789"/>
      <c r="AI328" s="786">
        <f t="shared" si="16"/>
        <v>0</v>
      </c>
      <c r="AJ328" s="521">
        <v>0</v>
      </c>
      <c r="AK328" s="520">
        <f t="shared" si="14"/>
        <v>0</v>
      </c>
      <c r="AL328" s="695"/>
      <c r="AM328" s="669">
        <f t="shared" si="15"/>
        <v>0</v>
      </c>
    </row>
    <row r="329" spans="1:39" s="500" customFormat="1" hidden="1">
      <c r="A329" s="539" t="s">
        <v>831</v>
      </c>
      <c r="B329" s="539" t="s">
        <v>1273</v>
      </c>
      <c r="C329" s="548" t="s">
        <v>37</v>
      </c>
      <c r="D329" s="519"/>
      <c r="E329" s="915"/>
      <c r="F329" s="520"/>
      <c r="G329" s="520"/>
      <c r="H329" s="520"/>
      <c r="I329" s="521"/>
      <c r="J329" s="521"/>
      <c r="K329" s="521"/>
      <c r="L329" s="923"/>
      <c r="M329" s="514"/>
      <c r="N329" s="514"/>
      <c r="O329" s="514"/>
      <c r="P329" s="514"/>
      <c r="Q329" s="514"/>
      <c r="R329" s="514"/>
      <c r="S329" s="923"/>
      <c r="T329" s="514"/>
      <c r="U329" s="514"/>
      <c r="V329" s="514"/>
      <c r="W329" s="514"/>
      <c r="X329" s="514"/>
      <c r="Y329" s="514"/>
      <c r="Z329" s="923"/>
      <c r="AA329" s="514"/>
      <c r="AB329" s="514"/>
      <c r="AC329" s="514"/>
      <c r="AD329" s="514"/>
      <c r="AE329" s="774"/>
      <c r="AF329" s="514"/>
      <c r="AG329" s="897"/>
      <c r="AH329" s="789"/>
      <c r="AI329" s="786">
        <f t="shared" si="16"/>
        <v>0</v>
      </c>
      <c r="AJ329" s="521">
        <v>0</v>
      </c>
      <c r="AK329" s="520">
        <f t="shared" si="14"/>
        <v>0</v>
      </c>
      <c r="AL329" s="695" t="s">
        <v>1628</v>
      </c>
      <c r="AM329" s="669">
        <f t="shared" si="15"/>
        <v>90.62</v>
      </c>
    </row>
    <row r="330" spans="1:39" s="500" customFormat="1" hidden="1">
      <c r="A330" s="539" t="s">
        <v>832</v>
      </c>
      <c r="B330" s="539" t="s">
        <v>1274</v>
      </c>
      <c r="C330" s="548" t="s">
        <v>37</v>
      </c>
      <c r="D330" s="519"/>
      <c r="E330" s="915"/>
      <c r="F330" s="520"/>
      <c r="G330" s="520"/>
      <c r="H330" s="520"/>
      <c r="I330" s="521"/>
      <c r="J330" s="521"/>
      <c r="K330" s="521"/>
      <c r="L330" s="923"/>
      <c r="M330" s="514"/>
      <c r="N330" s="514"/>
      <c r="O330" s="514"/>
      <c r="P330" s="514"/>
      <c r="Q330" s="514"/>
      <c r="R330" s="514"/>
      <c r="S330" s="923"/>
      <c r="T330" s="514"/>
      <c r="U330" s="514"/>
      <c r="V330" s="514"/>
      <c r="W330" s="514"/>
      <c r="X330" s="514"/>
      <c r="Y330" s="514"/>
      <c r="Z330" s="923"/>
      <c r="AA330" s="514"/>
      <c r="AB330" s="514"/>
      <c r="AC330" s="514"/>
      <c r="AD330" s="514"/>
      <c r="AE330" s="774"/>
      <c r="AF330" s="514"/>
      <c r="AG330" s="897"/>
      <c r="AH330" s="789"/>
      <c r="AI330" s="786">
        <f t="shared" si="16"/>
        <v>0</v>
      </c>
      <c r="AJ330" s="521">
        <v>0</v>
      </c>
      <c r="AK330" s="520">
        <f t="shared" si="14"/>
        <v>0</v>
      </c>
      <c r="AL330" s="695" t="s">
        <v>1621</v>
      </c>
      <c r="AM330" s="669">
        <f t="shared" si="15"/>
        <v>123.1</v>
      </c>
    </row>
    <row r="331" spans="1:39" s="500" customFormat="1" hidden="1">
      <c r="A331" s="539" t="s">
        <v>833</v>
      </c>
      <c r="B331" s="539" t="s">
        <v>1275</v>
      </c>
      <c r="C331" s="548" t="s">
        <v>37</v>
      </c>
      <c r="D331" s="519"/>
      <c r="E331" s="915"/>
      <c r="F331" s="520"/>
      <c r="G331" s="520"/>
      <c r="H331" s="520"/>
      <c r="I331" s="521"/>
      <c r="J331" s="521"/>
      <c r="K331" s="521"/>
      <c r="L331" s="923"/>
      <c r="M331" s="514"/>
      <c r="N331" s="514"/>
      <c r="O331" s="514"/>
      <c r="P331" s="514"/>
      <c r="Q331" s="514"/>
      <c r="R331" s="514"/>
      <c r="S331" s="923"/>
      <c r="T331" s="514"/>
      <c r="U331" s="514"/>
      <c r="V331" s="514"/>
      <c r="W331" s="514"/>
      <c r="X331" s="514"/>
      <c r="Y331" s="514"/>
      <c r="Z331" s="923"/>
      <c r="AA331" s="514"/>
      <c r="AB331" s="514"/>
      <c r="AC331" s="514"/>
      <c r="AD331" s="514"/>
      <c r="AE331" s="774"/>
      <c r="AF331" s="514"/>
      <c r="AG331" s="897"/>
      <c r="AH331" s="789"/>
      <c r="AI331" s="786">
        <f t="shared" si="16"/>
        <v>0</v>
      </c>
      <c r="AJ331" s="521">
        <v>0</v>
      </c>
      <c r="AK331" s="520">
        <f t="shared" si="14"/>
        <v>0</v>
      </c>
      <c r="AL331" s="695" t="s">
        <v>1622</v>
      </c>
      <c r="AM331" s="669">
        <f t="shared" si="15"/>
        <v>54.38</v>
      </c>
    </row>
    <row r="332" spans="1:39" s="500" customFormat="1" hidden="1">
      <c r="A332" s="539" t="s">
        <v>834</v>
      </c>
      <c r="B332" s="539" t="s">
        <v>1276</v>
      </c>
      <c r="C332" s="548" t="s">
        <v>37</v>
      </c>
      <c r="D332" s="519"/>
      <c r="E332" s="915"/>
      <c r="F332" s="520"/>
      <c r="G332" s="520"/>
      <c r="H332" s="520"/>
      <c r="I332" s="521"/>
      <c r="J332" s="521"/>
      <c r="K332" s="521"/>
      <c r="L332" s="923"/>
      <c r="M332" s="514"/>
      <c r="N332" s="514"/>
      <c r="O332" s="514"/>
      <c r="P332" s="514"/>
      <c r="Q332" s="514"/>
      <c r="R332" s="514"/>
      <c r="S332" s="923"/>
      <c r="T332" s="514"/>
      <c r="U332" s="514"/>
      <c r="V332" s="514"/>
      <c r="W332" s="514"/>
      <c r="X332" s="514"/>
      <c r="Y332" s="514"/>
      <c r="Z332" s="923"/>
      <c r="AA332" s="514"/>
      <c r="AB332" s="514"/>
      <c r="AC332" s="514"/>
      <c r="AD332" s="514"/>
      <c r="AE332" s="774"/>
      <c r="AF332" s="514"/>
      <c r="AG332" s="897"/>
      <c r="AH332" s="789"/>
      <c r="AI332" s="786">
        <f t="shared" si="16"/>
        <v>0</v>
      </c>
      <c r="AJ332" s="521">
        <v>0</v>
      </c>
      <c r="AK332" s="520">
        <f t="shared" si="14"/>
        <v>0</v>
      </c>
      <c r="AL332" s="695" t="s">
        <v>1623</v>
      </c>
      <c r="AM332" s="669">
        <f t="shared" si="15"/>
        <v>34.44</v>
      </c>
    </row>
    <row r="333" spans="1:39" s="500" customFormat="1" hidden="1">
      <c r="A333" s="539" t="s">
        <v>835</v>
      </c>
      <c r="B333" s="539" t="s">
        <v>1277</v>
      </c>
      <c r="C333" s="548" t="s">
        <v>37</v>
      </c>
      <c r="D333" s="519"/>
      <c r="E333" s="915"/>
      <c r="F333" s="520"/>
      <c r="G333" s="520"/>
      <c r="H333" s="520"/>
      <c r="I333" s="521"/>
      <c r="J333" s="521"/>
      <c r="K333" s="521"/>
      <c r="L333" s="923"/>
      <c r="M333" s="514"/>
      <c r="N333" s="514"/>
      <c r="O333" s="514"/>
      <c r="P333" s="514"/>
      <c r="Q333" s="514"/>
      <c r="R333" s="514"/>
      <c r="S333" s="923"/>
      <c r="T333" s="514"/>
      <c r="U333" s="514"/>
      <c r="V333" s="514"/>
      <c r="W333" s="514"/>
      <c r="X333" s="514"/>
      <c r="Y333" s="514"/>
      <c r="Z333" s="923"/>
      <c r="AA333" s="514"/>
      <c r="AB333" s="514"/>
      <c r="AC333" s="514"/>
      <c r="AD333" s="514"/>
      <c r="AE333" s="774"/>
      <c r="AF333" s="514"/>
      <c r="AG333" s="897"/>
      <c r="AH333" s="789"/>
      <c r="AI333" s="786">
        <f t="shared" si="16"/>
        <v>0</v>
      </c>
      <c r="AJ333" s="521">
        <v>0</v>
      </c>
      <c r="AK333" s="520">
        <f t="shared" si="14"/>
        <v>0</v>
      </c>
      <c r="AL333" s="695" t="s">
        <v>1624</v>
      </c>
      <c r="AM333" s="669">
        <f t="shared" si="15"/>
        <v>30.39</v>
      </c>
    </row>
    <row r="334" spans="1:39" s="500" customFormat="1" hidden="1">
      <c r="A334" s="539" t="s">
        <v>836</v>
      </c>
      <c r="B334" s="539" t="s">
        <v>1278</v>
      </c>
      <c r="C334" s="548" t="s">
        <v>37</v>
      </c>
      <c r="D334" s="519"/>
      <c r="E334" s="915"/>
      <c r="F334" s="520"/>
      <c r="G334" s="520"/>
      <c r="H334" s="520"/>
      <c r="I334" s="521"/>
      <c r="J334" s="521"/>
      <c r="K334" s="521"/>
      <c r="L334" s="923"/>
      <c r="M334" s="514"/>
      <c r="N334" s="514"/>
      <c r="O334" s="514"/>
      <c r="P334" s="514"/>
      <c r="Q334" s="514"/>
      <c r="R334" s="514"/>
      <c r="S334" s="923"/>
      <c r="T334" s="514"/>
      <c r="U334" s="514"/>
      <c r="V334" s="514"/>
      <c r="W334" s="514"/>
      <c r="X334" s="514"/>
      <c r="Y334" s="514"/>
      <c r="Z334" s="923"/>
      <c r="AA334" s="514"/>
      <c r="AB334" s="514"/>
      <c r="AC334" s="514"/>
      <c r="AD334" s="514"/>
      <c r="AE334" s="774"/>
      <c r="AF334" s="514"/>
      <c r="AG334" s="897"/>
      <c r="AH334" s="789"/>
      <c r="AI334" s="786">
        <f t="shared" si="16"/>
        <v>0</v>
      </c>
      <c r="AJ334" s="521">
        <v>0</v>
      </c>
      <c r="AK334" s="520">
        <f t="shared" ref="AK334:AK397" si="17">AI334+AJ334</f>
        <v>0</v>
      </c>
      <c r="AL334" s="695" t="s">
        <v>1635</v>
      </c>
      <c r="AM334" s="669">
        <f t="shared" ref="AM334:AM397" si="18">AL334-AK334</f>
        <v>15.8</v>
      </c>
    </row>
    <row r="335" spans="1:39" s="500" customFormat="1" hidden="1">
      <c r="A335" s="539" t="s">
        <v>837</v>
      </c>
      <c r="B335" s="539" t="s">
        <v>1279</v>
      </c>
      <c r="C335" s="548" t="s">
        <v>37</v>
      </c>
      <c r="D335" s="519"/>
      <c r="E335" s="915"/>
      <c r="F335" s="520"/>
      <c r="G335" s="520"/>
      <c r="H335" s="520"/>
      <c r="I335" s="521"/>
      <c r="J335" s="521"/>
      <c r="K335" s="521"/>
      <c r="L335" s="923"/>
      <c r="M335" s="514"/>
      <c r="N335" s="514"/>
      <c r="O335" s="514"/>
      <c r="P335" s="514"/>
      <c r="Q335" s="514"/>
      <c r="R335" s="514"/>
      <c r="S335" s="923"/>
      <c r="T335" s="514"/>
      <c r="U335" s="514"/>
      <c r="V335" s="514"/>
      <c r="W335" s="514"/>
      <c r="X335" s="514"/>
      <c r="Y335" s="514"/>
      <c r="Z335" s="923"/>
      <c r="AA335" s="514"/>
      <c r="AB335" s="514"/>
      <c r="AC335" s="514"/>
      <c r="AD335" s="514"/>
      <c r="AE335" s="774"/>
      <c r="AF335" s="514"/>
      <c r="AG335" s="897"/>
      <c r="AH335" s="789"/>
      <c r="AI335" s="786">
        <f t="shared" ref="AI335:AI398" si="19">ROUND((SUM(D335:AH335)),2)</f>
        <v>0</v>
      </c>
      <c r="AJ335" s="521">
        <v>0</v>
      </c>
      <c r="AK335" s="520">
        <f t="shared" si="17"/>
        <v>0</v>
      </c>
      <c r="AL335" s="695" t="s">
        <v>1644</v>
      </c>
      <c r="AM335" s="669">
        <f t="shared" si="18"/>
        <v>12.6</v>
      </c>
    </row>
    <row r="336" spans="1:39" s="500" customFormat="1" hidden="1">
      <c r="A336" s="542" t="s">
        <v>838</v>
      </c>
      <c r="B336" s="542" t="s">
        <v>1280</v>
      </c>
      <c r="C336" s="616"/>
      <c r="D336" s="519"/>
      <c r="E336" s="915"/>
      <c r="F336" s="520"/>
      <c r="G336" s="520"/>
      <c r="H336" s="520"/>
      <c r="I336" s="521"/>
      <c r="J336" s="521"/>
      <c r="K336" s="521"/>
      <c r="L336" s="923"/>
      <c r="M336" s="514"/>
      <c r="N336" s="514"/>
      <c r="O336" s="514"/>
      <c r="P336" s="514"/>
      <c r="Q336" s="514"/>
      <c r="R336" s="514"/>
      <c r="S336" s="923"/>
      <c r="T336" s="514"/>
      <c r="U336" s="514"/>
      <c r="V336" s="514"/>
      <c r="W336" s="514"/>
      <c r="X336" s="514"/>
      <c r="Y336" s="514"/>
      <c r="Z336" s="923"/>
      <c r="AA336" s="514"/>
      <c r="AB336" s="514"/>
      <c r="AC336" s="514"/>
      <c r="AD336" s="514"/>
      <c r="AE336" s="774"/>
      <c r="AF336" s="514"/>
      <c r="AG336" s="897"/>
      <c r="AH336" s="789"/>
      <c r="AI336" s="786">
        <f t="shared" si="19"/>
        <v>0</v>
      </c>
      <c r="AJ336" s="521">
        <v>0</v>
      </c>
      <c r="AK336" s="520">
        <f t="shared" si="17"/>
        <v>0</v>
      </c>
      <c r="AL336" s="695"/>
      <c r="AM336" s="669">
        <f t="shared" si="18"/>
        <v>0</v>
      </c>
    </row>
    <row r="337" spans="1:39" s="500" customFormat="1" hidden="1">
      <c r="A337" s="539" t="s">
        <v>839</v>
      </c>
      <c r="B337" s="539" t="s">
        <v>1281</v>
      </c>
      <c r="C337" s="548" t="s">
        <v>1450</v>
      </c>
      <c r="D337" s="519"/>
      <c r="E337" s="915"/>
      <c r="F337" s="520"/>
      <c r="G337" s="520"/>
      <c r="H337" s="520"/>
      <c r="I337" s="521"/>
      <c r="J337" s="521"/>
      <c r="K337" s="521"/>
      <c r="L337" s="923"/>
      <c r="M337" s="514"/>
      <c r="N337" s="514"/>
      <c r="O337" s="514"/>
      <c r="P337" s="514"/>
      <c r="Q337" s="514"/>
      <c r="R337" s="514"/>
      <c r="S337" s="923"/>
      <c r="T337" s="514"/>
      <c r="U337" s="514"/>
      <c r="V337" s="514"/>
      <c r="W337" s="514"/>
      <c r="X337" s="514"/>
      <c r="Y337" s="514"/>
      <c r="Z337" s="923"/>
      <c r="AA337" s="514"/>
      <c r="AB337" s="514"/>
      <c r="AC337" s="514"/>
      <c r="AD337" s="514"/>
      <c r="AE337" s="774"/>
      <c r="AF337" s="514"/>
      <c r="AG337" s="897"/>
      <c r="AH337" s="789"/>
      <c r="AI337" s="786">
        <f t="shared" si="19"/>
        <v>0</v>
      </c>
      <c r="AJ337" s="521">
        <v>0</v>
      </c>
      <c r="AK337" s="520">
        <f t="shared" si="17"/>
        <v>0</v>
      </c>
      <c r="AL337" s="695" t="s">
        <v>1641</v>
      </c>
      <c r="AM337" s="669">
        <f t="shared" si="18"/>
        <v>9</v>
      </c>
    </row>
    <row r="338" spans="1:39" s="500" customFormat="1" hidden="1">
      <c r="A338" s="539" t="s">
        <v>840</v>
      </c>
      <c r="B338" s="539" t="s">
        <v>1282</v>
      </c>
      <c r="C338" s="548" t="s">
        <v>64</v>
      </c>
      <c r="D338" s="519"/>
      <c r="E338" s="915"/>
      <c r="F338" s="520"/>
      <c r="G338" s="520"/>
      <c r="H338" s="520"/>
      <c r="I338" s="521"/>
      <c r="J338" s="521"/>
      <c r="K338" s="521"/>
      <c r="L338" s="923"/>
      <c r="M338" s="514"/>
      <c r="N338" s="514"/>
      <c r="O338" s="514"/>
      <c r="P338" s="514"/>
      <c r="Q338" s="514"/>
      <c r="R338" s="514"/>
      <c r="S338" s="923"/>
      <c r="T338" s="514"/>
      <c r="U338" s="514"/>
      <c r="V338" s="514"/>
      <c r="W338" s="514"/>
      <c r="X338" s="514"/>
      <c r="Y338" s="514"/>
      <c r="Z338" s="923"/>
      <c r="AA338" s="514"/>
      <c r="AB338" s="514"/>
      <c r="AC338" s="514"/>
      <c r="AD338" s="514"/>
      <c r="AE338" s="774"/>
      <c r="AF338" s="514"/>
      <c r="AG338" s="897"/>
      <c r="AH338" s="789"/>
      <c r="AI338" s="786">
        <f t="shared" si="19"/>
        <v>0</v>
      </c>
      <c r="AJ338" s="521">
        <v>0</v>
      </c>
      <c r="AK338" s="520">
        <f t="shared" si="17"/>
        <v>0</v>
      </c>
      <c r="AL338" s="695" t="s">
        <v>1455</v>
      </c>
      <c r="AM338" s="669">
        <f t="shared" si="18"/>
        <v>1</v>
      </c>
    </row>
    <row r="339" spans="1:39" s="500" customFormat="1" hidden="1">
      <c r="A339" s="539" t="s">
        <v>841</v>
      </c>
      <c r="B339" s="539" t="s">
        <v>1283</v>
      </c>
      <c r="C339" s="548" t="s">
        <v>37</v>
      </c>
      <c r="D339" s="519"/>
      <c r="E339" s="915"/>
      <c r="F339" s="520"/>
      <c r="G339" s="520"/>
      <c r="H339" s="520"/>
      <c r="I339" s="521"/>
      <c r="J339" s="521"/>
      <c r="K339" s="521"/>
      <c r="L339" s="923"/>
      <c r="M339" s="514"/>
      <c r="N339" s="514"/>
      <c r="O339" s="514"/>
      <c r="P339" s="514"/>
      <c r="Q339" s="514"/>
      <c r="R339" s="514"/>
      <c r="S339" s="923"/>
      <c r="T339" s="514"/>
      <c r="U339" s="514"/>
      <c r="V339" s="514"/>
      <c r="W339" s="514"/>
      <c r="X339" s="514"/>
      <c r="Y339" s="514"/>
      <c r="Z339" s="923"/>
      <c r="AA339" s="514"/>
      <c r="AB339" s="514"/>
      <c r="AC339" s="514"/>
      <c r="AD339" s="514"/>
      <c r="AE339" s="774"/>
      <c r="AF339" s="514"/>
      <c r="AG339" s="897"/>
      <c r="AH339" s="789"/>
      <c r="AI339" s="786">
        <f t="shared" si="19"/>
        <v>0</v>
      </c>
      <c r="AJ339" s="521">
        <v>0</v>
      </c>
      <c r="AK339" s="520">
        <f t="shared" si="17"/>
        <v>0</v>
      </c>
      <c r="AL339" s="695" t="s">
        <v>1645</v>
      </c>
      <c r="AM339" s="669">
        <f t="shared" si="18"/>
        <v>21.02</v>
      </c>
    </row>
    <row r="340" spans="1:39" s="730" customFormat="1" hidden="1">
      <c r="A340" s="814" t="s">
        <v>475</v>
      </c>
      <c r="B340" s="815" t="s">
        <v>1284</v>
      </c>
      <c r="C340" s="844"/>
      <c r="D340" s="743"/>
      <c r="E340" s="915"/>
      <c r="F340" s="726"/>
      <c r="G340" s="726"/>
      <c r="H340" s="726"/>
      <c r="I340" s="725"/>
      <c r="J340" s="725"/>
      <c r="K340" s="725"/>
      <c r="L340" s="923"/>
      <c r="M340" s="756"/>
      <c r="N340" s="756"/>
      <c r="O340" s="756"/>
      <c r="P340" s="756"/>
      <c r="Q340" s="756"/>
      <c r="R340" s="756"/>
      <c r="S340" s="923"/>
      <c r="T340" s="756"/>
      <c r="U340" s="756"/>
      <c r="V340" s="756"/>
      <c r="W340" s="756"/>
      <c r="X340" s="756"/>
      <c r="Y340" s="756"/>
      <c r="Z340" s="923"/>
      <c r="AA340" s="756"/>
      <c r="AB340" s="756"/>
      <c r="AC340" s="756"/>
      <c r="AD340" s="756"/>
      <c r="AE340" s="774"/>
      <c r="AF340" s="756"/>
      <c r="AG340" s="897"/>
      <c r="AH340" s="819"/>
      <c r="AI340" s="786">
        <f t="shared" si="19"/>
        <v>0</v>
      </c>
      <c r="AJ340" s="725">
        <v>0</v>
      </c>
      <c r="AK340" s="726">
        <f t="shared" si="17"/>
        <v>0</v>
      </c>
      <c r="AL340" s="847"/>
      <c r="AM340" s="729">
        <f t="shared" si="18"/>
        <v>0</v>
      </c>
    </row>
    <row r="341" spans="1:39" s="730" customFormat="1" hidden="1">
      <c r="A341" s="831" t="s">
        <v>476</v>
      </c>
      <c r="B341" s="831" t="s">
        <v>1236</v>
      </c>
      <c r="C341" s="844"/>
      <c r="D341" s="743"/>
      <c r="E341" s="915"/>
      <c r="F341" s="726"/>
      <c r="G341" s="726"/>
      <c r="H341" s="726"/>
      <c r="I341" s="725"/>
      <c r="J341" s="725"/>
      <c r="K341" s="725"/>
      <c r="L341" s="923"/>
      <c r="M341" s="756"/>
      <c r="N341" s="756"/>
      <c r="O341" s="756"/>
      <c r="P341" s="756"/>
      <c r="Q341" s="756"/>
      <c r="R341" s="756"/>
      <c r="S341" s="923"/>
      <c r="T341" s="756"/>
      <c r="U341" s="756"/>
      <c r="V341" s="756"/>
      <c r="W341" s="756"/>
      <c r="X341" s="756"/>
      <c r="Y341" s="756"/>
      <c r="Z341" s="923"/>
      <c r="AA341" s="756"/>
      <c r="AB341" s="756"/>
      <c r="AC341" s="756"/>
      <c r="AD341" s="756"/>
      <c r="AE341" s="774"/>
      <c r="AF341" s="756"/>
      <c r="AG341" s="897"/>
      <c r="AH341" s="819"/>
      <c r="AI341" s="786">
        <f t="shared" si="19"/>
        <v>0</v>
      </c>
      <c r="AJ341" s="725">
        <v>0</v>
      </c>
      <c r="AK341" s="726">
        <f t="shared" si="17"/>
        <v>0</v>
      </c>
      <c r="AL341" s="847"/>
      <c r="AM341" s="729">
        <f t="shared" si="18"/>
        <v>0</v>
      </c>
    </row>
    <row r="342" spans="1:39" s="730" customFormat="1" hidden="1">
      <c r="A342" s="720" t="s">
        <v>842</v>
      </c>
      <c r="B342" s="720" t="s">
        <v>1237</v>
      </c>
      <c r="C342" s="823" t="s">
        <v>37</v>
      </c>
      <c r="D342" s="743"/>
      <c r="E342" s="915"/>
      <c r="F342" s="726"/>
      <c r="G342" s="726"/>
      <c r="H342" s="726"/>
      <c r="I342" s="725"/>
      <c r="J342" s="725"/>
      <c r="K342" s="725"/>
      <c r="L342" s="923"/>
      <c r="M342" s="756"/>
      <c r="N342" s="756"/>
      <c r="O342" s="756"/>
      <c r="P342" s="756"/>
      <c r="Q342" s="756"/>
      <c r="R342" s="756"/>
      <c r="S342" s="923"/>
      <c r="T342" s="756"/>
      <c r="U342" s="756"/>
      <c r="V342" s="756"/>
      <c r="W342" s="756"/>
      <c r="X342" s="756"/>
      <c r="Y342" s="756"/>
      <c r="Z342" s="923"/>
      <c r="AA342" s="756"/>
      <c r="AB342" s="756"/>
      <c r="AC342" s="756"/>
      <c r="AD342" s="756"/>
      <c r="AE342" s="774"/>
      <c r="AF342" s="756"/>
      <c r="AG342" s="897"/>
      <c r="AH342" s="819"/>
      <c r="AI342" s="786">
        <f t="shared" si="19"/>
        <v>0</v>
      </c>
      <c r="AJ342" s="725">
        <v>0</v>
      </c>
      <c r="AK342" s="726">
        <f t="shared" si="17"/>
        <v>0</v>
      </c>
      <c r="AL342" s="847" t="s">
        <v>1646</v>
      </c>
      <c r="AM342" s="729">
        <f t="shared" si="18"/>
        <v>73.59</v>
      </c>
    </row>
    <row r="343" spans="1:39" s="730" customFormat="1" hidden="1">
      <c r="A343" s="720" t="s">
        <v>843</v>
      </c>
      <c r="B343" s="720" t="s">
        <v>1238</v>
      </c>
      <c r="C343" s="823" t="s">
        <v>37</v>
      </c>
      <c r="D343" s="743"/>
      <c r="E343" s="915"/>
      <c r="F343" s="726"/>
      <c r="G343" s="726"/>
      <c r="H343" s="726"/>
      <c r="I343" s="725"/>
      <c r="J343" s="725"/>
      <c r="K343" s="725"/>
      <c r="L343" s="923"/>
      <c r="M343" s="756"/>
      <c r="N343" s="756"/>
      <c r="O343" s="756"/>
      <c r="P343" s="756"/>
      <c r="Q343" s="756"/>
      <c r="R343" s="756"/>
      <c r="S343" s="923"/>
      <c r="T343" s="756"/>
      <c r="U343" s="756"/>
      <c r="V343" s="756"/>
      <c r="W343" s="756"/>
      <c r="X343" s="756"/>
      <c r="Y343" s="756"/>
      <c r="Z343" s="923"/>
      <c r="AA343" s="756"/>
      <c r="AB343" s="756"/>
      <c r="AC343" s="756"/>
      <c r="AD343" s="756"/>
      <c r="AE343" s="774"/>
      <c r="AF343" s="756"/>
      <c r="AG343" s="897"/>
      <c r="AH343" s="819"/>
      <c r="AI343" s="786">
        <f t="shared" si="19"/>
        <v>0</v>
      </c>
      <c r="AJ343" s="725">
        <v>0</v>
      </c>
      <c r="AK343" s="726">
        <f t="shared" si="17"/>
        <v>0</v>
      </c>
      <c r="AL343" s="847" t="s">
        <v>1647</v>
      </c>
      <c r="AM343" s="729">
        <f t="shared" si="18"/>
        <v>6.44</v>
      </c>
    </row>
    <row r="344" spans="1:39" s="500" customFormat="1" hidden="1">
      <c r="A344" s="542" t="s">
        <v>477</v>
      </c>
      <c r="B344" s="542" t="s">
        <v>1239</v>
      </c>
      <c r="C344" s="616"/>
      <c r="D344" s="519"/>
      <c r="E344" s="915"/>
      <c r="F344" s="520"/>
      <c r="G344" s="520"/>
      <c r="H344" s="520"/>
      <c r="I344" s="521"/>
      <c r="J344" s="521"/>
      <c r="K344" s="521"/>
      <c r="L344" s="923"/>
      <c r="M344" s="514"/>
      <c r="N344" s="514"/>
      <c r="O344" s="514"/>
      <c r="P344" s="514"/>
      <c r="Q344" s="514"/>
      <c r="R344" s="514"/>
      <c r="S344" s="923"/>
      <c r="T344" s="514"/>
      <c r="U344" s="514"/>
      <c r="V344" s="514"/>
      <c r="W344" s="514"/>
      <c r="X344" s="514"/>
      <c r="Y344" s="514"/>
      <c r="Z344" s="923"/>
      <c r="AA344" s="514"/>
      <c r="AB344" s="514"/>
      <c r="AC344" s="514"/>
      <c r="AD344" s="514"/>
      <c r="AE344" s="774"/>
      <c r="AF344" s="514"/>
      <c r="AG344" s="897"/>
      <c r="AH344" s="789"/>
      <c r="AI344" s="786">
        <f t="shared" si="19"/>
        <v>0</v>
      </c>
      <c r="AJ344" s="521">
        <v>0</v>
      </c>
      <c r="AK344" s="520">
        <f t="shared" si="17"/>
        <v>0</v>
      </c>
      <c r="AL344" s="695"/>
      <c r="AM344" s="669">
        <f t="shared" si="18"/>
        <v>0</v>
      </c>
    </row>
    <row r="345" spans="1:39" s="500" customFormat="1" hidden="1">
      <c r="A345" s="539" t="s">
        <v>844</v>
      </c>
      <c r="B345" s="539" t="s">
        <v>1240</v>
      </c>
      <c r="C345" s="548" t="s">
        <v>37</v>
      </c>
      <c r="D345" s="519"/>
      <c r="E345" s="915"/>
      <c r="F345" s="520"/>
      <c r="G345" s="520"/>
      <c r="H345" s="520"/>
      <c r="I345" s="521"/>
      <c r="J345" s="521"/>
      <c r="K345" s="521"/>
      <c r="L345" s="923"/>
      <c r="M345" s="514"/>
      <c r="N345" s="514"/>
      <c r="O345" s="514"/>
      <c r="P345" s="514"/>
      <c r="Q345" s="514"/>
      <c r="R345" s="514"/>
      <c r="S345" s="923"/>
      <c r="T345" s="514"/>
      <c r="U345" s="514"/>
      <c r="V345" s="514"/>
      <c r="W345" s="514"/>
      <c r="X345" s="514"/>
      <c r="Y345" s="514"/>
      <c r="Z345" s="923"/>
      <c r="AA345" s="514"/>
      <c r="AB345" s="514"/>
      <c r="AC345" s="514"/>
      <c r="AD345" s="514"/>
      <c r="AE345" s="774"/>
      <c r="AF345" s="514"/>
      <c r="AG345" s="897"/>
      <c r="AH345" s="789"/>
      <c r="AI345" s="786">
        <f t="shared" si="19"/>
        <v>0</v>
      </c>
      <c r="AJ345" s="521">
        <v>0</v>
      </c>
      <c r="AK345" s="520">
        <f t="shared" si="17"/>
        <v>0</v>
      </c>
      <c r="AL345" s="695" t="s">
        <v>1648</v>
      </c>
      <c r="AM345" s="669">
        <f t="shared" si="18"/>
        <v>99.99</v>
      </c>
    </row>
    <row r="346" spans="1:39" s="500" customFormat="1" hidden="1">
      <c r="A346" s="539" t="s">
        <v>845</v>
      </c>
      <c r="B346" s="539" t="s">
        <v>1241</v>
      </c>
      <c r="C346" s="548" t="s">
        <v>37</v>
      </c>
      <c r="D346" s="519"/>
      <c r="E346" s="915"/>
      <c r="F346" s="520"/>
      <c r="G346" s="520"/>
      <c r="H346" s="520"/>
      <c r="I346" s="521"/>
      <c r="J346" s="521"/>
      <c r="K346" s="521"/>
      <c r="L346" s="923"/>
      <c r="M346" s="514"/>
      <c r="N346" s="514"/>
      <c r="O346" s="514"/>
      <c r="P346" s="514"/>
      <c r="Q346" s="514"/>
      <c r="R346" s="514"/>
      <c r="S346" s="923"/>
      <c r="T346" s="514"/>
      <c r="U346" s="514"/>
      <c r="V346" s="514"/>
      <c r="W346" s="514"/>
      <c r="X346" s="514"/>
      <c r="Y346" s="514"/>
      <c r="Z346" s="923"/>
      <c r="AA346" s="514"/>
      <c r="AB346" s="514"/>
      <c r="AC346" s="514"/>
      <c r="AD346" s="514"/>
      <c r="AE346" s="774"/>
      <c r="AF346" s="514"/>
      <c r="AG346" s="897"/>
      <c r="AH346" s="789"/>
      <c r="AI346" s="786">
        <f t="shared" si="19"/>
        <v>0</v>
      </c>
      <c r="AJ346" s="521">
        <v>0</v>
      </c>
      <c r="AK346" s="520">
        <f t="shared" si="17"/>
        <v>0</v>
      </c>
      <c r="AL346" s="695" t="s">
        <v>1649</v>
      </c>
      <c r="AM346" s="669">
        <f t="shared" si="18"/>
        <v>60.07</v>
      </c>
    </row>
    <row r="347" spans="1:39" s="500" customFormat="1" hidden="1">
      <c r="A347" s="539" t="s">
        <v>846</v>
      </c>
      <c r="B347" s="539" t="s">
        <v>1242</v>
      </c>
      <c r="C347" s="548" t="s">
        <v>37</v>
      </c>
      <c r="D347" s="519"/>
      <c r="E347" s="915"/>
      <c r="F347" s="520"/>
      <c r="G347" s="520"/>
      <c r="H347" s="520"/>
      <c r="I347" s="521"/>
      <c r="J347" s="521"/>
      <c r="K347" s="521"/>
      <c r="L347" s="923"/>
      <c r="M347" s="514"/>
      <c r="N347" s="514"/>
      <c r="O347" s="514"/>
      <c r="P347" s="514"/>
      <c r="Q347" s="514"/>
      <c r="R347" s="514"/>
      <c r="S347" s="923"/>
      <c r="T347" s="514"/>
      <c r="U347" s="514"/>
      <c r="V347" s="514"/>
      <c r="W347" s="514"/>
      <c r="X347" s="514"/>
      <c r="Y347" s="514"/>
      <c r="Z347" s="923"/>
      <c r="AA347" s="514"/>
      <c r="AB347" s="514"/>
      <c r="AC347" s="514"/>
      <c r="AD347" s="514"/>
      <c r="AE347" s="774"/>
      <c r="AF347" s="514"/>
      <c r="AG347" s="897"/>
      <c r="AH347" s="789"/>
      <c r="AI347" s="786">
        <f t="shared" si="19"/>
        <v>0</v>
      </c>
      <c r="AJ347" s="521">
        <v>0</v>
      </c>
      <c r="AK347" s="520">
        <f t="shared" si="17"/>
        <v>0</v>
      </c>
      <c r="AL347" s="695" t="s">
        <v>1650</v>
      </c>
      <c r="AM347" s="669">
        <f t="shared" si="18"/>
        <v>33.6</v>
      </c>
    </row>
    <row r="348" spans="1:39" s="500" customFormat="1" hidden="1">
      <c r="A348" s="539" t="s">
        <v>847</v>
      </c>
      <c r="B348" s="539" t="s">
        <v>1243</v>
      </c>
      <c r="C348" s="548" t="s">
        <v>37</v>
      </c>
      <c r="D348" s="519"/>
      <c r="E348" s="915"/>
      <c r="F348" s="520"/>
      <c r="G348" s="520"/>
      <c r="H348" s="520"/>
      <c r="I348" s="521"/>
      <c r="J348" s="521"/>
      <c r="K348" s="521"/>
      <c r="L348" s="923"/>
      <c r="M348" s="514"/>
      <c r="N348" s="514"/>
      <c r="O348" s="514"/>
      <c r="P348" s="514"/>
      <c r="Q348" s="514"/>
      <c r="R348" s="514"/>
      <c r="S348" s="923"/>
      <c r="T348" s="514"/>
      <c r="U348" s="514"/>
      <c r="V348" s="514"/>
      <c r="W348" s="514"/>
      <c r="X348" s="514"/>
      <c r="Y348" s="514"/>
      <c r="Z348" s="923"/>
      <c r="AA348" s="514"/>
      <c r="AB348" s="514"/>
      <c r="AC348" s="514"/>
      <c r="AD348" s="514"/>
      <c r="AE348" s="774"/>
      <c r="AF348" s="514"/>
      <c r="AG348" s="897"/>
      <c r="AH348" s="789"/>
      <c r="AI348" s="786">
        <f t="shared" si="19"/>
        <v>0</v>
      </c>
      <c r="AJ348" s="521">
        <v>0</v>
      </c>
      <c r="AK348" s="520">
        <f t="shared" si="17"/>
        <v>0</v>
      </c>
      <c r="AL348" s="695" t="s">
        <v>1651</v>
      </c>
      <c r="AM348" s="669">
        <f t="shared" si="18"/>
        <v>27.42</v>
      </c>
    </row>
    <row r="349" spans="1:39" s="500" customFormat="1" hidden="1">
      <c r="A349" s="539" t="s">
        <v>848</v>
      </c>
      <c r="B349" s="539" t="s">
        <v>1244</v>
      </c>
      <c r="C349" s="548" t="s">
        <v>37</v>
      </c>
      <c r="D349" s="519"/>
      <c r="E349" s="915"/>
      <c r="F349" s="520"/>
      <c r="G349" s="520"/>
      <c r="H349" s="520"/>
      <c r="I349" s="521"/>
      <c r="J349" s="521"/>
      <c r="K349" s="521"/>
      <c r="L349" s="923"/>
      <c r="M349" s="514"/>
      <c r="N349" s="514"/>
      <c r="O349" s="514"/>
      <c r="P349" s="514"/>
      <c r="Q349" s="514"/>
      <c r="R349" s="514"/>
      <c r="S349" s="923"/>
      <c r="T349" s="514"/>
      <c r="U349" s="514"/>
      <c r="V349" s="514"/>
      <c r="W349" s="514"/>
      <c r="X349" s="514"/>
      <c r="Y349" s="514"/>
      <c r="Z349" s="923"/>
      <c r="AA349" s="514"/>
      <c r="AB349" s="514"/>
      <c r="AC349" s="514"/>
      <c r="AD349" s="514"/>
      <c r="AE349" s="774"/>
      <c r="AF349" s="514"/>
      <c r="AG349" s="897"/>
      <c r="AH349" s="789"/>
      <c r="AI349" s="786">
        <f t="shared" si="19"/>
        <v>0</v>
      </c>
      <c r="AJ349" s="521">
        <v>0</v>
      </c>
      <c r="AK349" s="520">
        <f t="shared" si="17"/>
        <v>0</v>
      </c>
      <c r="AL349" s="695" t="s">
        <v>1652</v>
      </c>
      <c r="AM349" s="669">
        <f t="shared" si="18"/>
        <v>79.459999999999994</v>
      </c>
    </row>
    <row r="350" spans="1:39" s="500" customFormat="1" hidden="1">
      <c r="A350" s="539" t="s">
        <v>849</v>
      </c>
      <c r="B350" s="539" t="s">
        <v>1245</v>
      </c>
      <c r="C350" s="548" t="s">
        <v>38</v>
      </c>
      <c r="D350" s="519"/>
      <c r="E350" s="915"/>
      <c r="F350" s="520"/>
      <c r="G350" s="520"/>
      <c r="H350" s="520"/>
      <c r="I350" s="521"/>
      <c r="J350" s="521"/>
      <c r="K350" s="521"/>
      <c r="L350" s="923"/>
      <c r="M350" s="514"/>
      <c r="N350" s="514"/>
      <c r="O350" s="514"/>
      <c r="P350" s="514"/>
      <c r="Q350" s="514"/>
      <c r="R350" s="514"/>
      <c r="S350" s="923"/>
      <c r="T350" s="514"/>
      <c r="U350" s="514"/>
      <c r="V350" s="514"/>
      <c r="W350" s="514"/>
      <c r="X350" s="514"/>
      <c r="Y350" s="514"/>
      <c r="Z350" s="923"/>
      <c r="AA350" s="514"/>
      <c r="AB350" s="514"/>
      <c r="AC350" s="514"/>
      <c r="AD350" s="514"/>
      <c r="AE350" s="774"/>
      <c r="AF350" s="514"/>
      <c r="AG350" s="897"/>
      <c r="AH350" s="789"/>
      <c r="AI350" s="786">
        <f t="shared" si="19"/>
        <v>0</v>
      </c>
      <c r="AJ350" s="521">
        <v>0</v>
      </c>
      <c r="AK350" s="520">
        <f t="shared" si="17"/>
        <v>0</v>
      </c>
      <c r="AL350" s="695" t="s">
        <v>1653</v>
      </c>
      <c r="AM350" s="669">
        <f t="shared" si="18"/>
        <v>80.02</v>
      </c>
    </row>
    <row r="351" spans="1:39" s="500" customFormat="1" hidden="1">
      <c r="A351" s="539" t="s">
        <v>850</v>
      </c>
      <c r="B351" s="539" t="s">
        <v>1246</v>
      </c>
      <c r="C351" s="548" t="s">
        <v>38</v>
      </c>
      <c r="D351" s="519"/>
      <c r="E351" s="915"/>
      <c r="F351" s="520"/>
      <c r="G351" s="520"/>
      <c r="H351" s="520"/>
      <c r="I351" s="521"/>
      <c r="J351" s="521"/>
      <c r="K351" s="521"/>
      <c r="L351" s="923"/>
      <c r="M351" s="514"/>
      <c r="N351" s="514"/>
      <c r="O351" s="514"/>
      <c r="P351" s="514"/>
      <c r="Q351" s="514"/>
      <c r="R351" s="514"/>
      <c r="S351" s="923"/>
      <c r="T351" s="514"/>
      <c r="U351" s="514"/>
      <c r="V351" s="514"/>
      <c r="W351" s="514"/>
      <c r="X351" s="514"/>
      <c r="Y351" s="514"/>
      <c r="Z351" s="923"/>
      <c r="AA351" s="514"/>
      <c r="AB351" s="514"/>
      <c r="AC351" s="514"/>
      <c r="AD351" s="514"/>
      <c r="AE351" s="774"/>
      <c r="AF351" s="514"/>
      <c r="AG351" s="897"/>
      <c r="AH351" s="789"/>
      <c r="AI351" s="786">
        <f t="shared" si="19"/>
        <v>0</v>
      </c>
      <c r="AJ351" s="521">
        <v>0</v>
      </c>
      <c r="AK351" s="520">
        <f t="shared" si="17"/>
        <v>0</v>
      </c>
      <c r="AL351" s="695" t="s">
        <v>1654</v>
      </c>
      <c r="AM351" s="669">
        <f t="shared" si="18"/>
        <v>245.52</v>
      </c>
    </row>
    <row r="352" spans="1:39" s="500" customFormat="1" hidden="1">
      <c r="A352" s="542" t="s">
        <v>478</v>
      </c>
      <c r="B352" s="542" t="s">
        <v>1247</v>
      </c>
      <c r="C352" s="616"/>
      <c r="D352" s="519"/>
      <c r="E352" s="915"/>
      <c r="F352" s="520"/>
      <c r="G352" s="520"/>
      <c r="H352" s="520"/>
      <c r="I352" s="521"/>
      <c r="J352" s="521"/>
      <c r="K352" s="521"/>
      <c r="L352" s="923"/>
      <c r="M352" s="514"/>
      <c r="N352" s="514"/>
      <c r="O352" s="514"/>
      <c r="P352" s="514"/>
      <c r="Q352" s="514"/>
      <c r="R352" s="514"/>
      <c r="S352" s="923"/>
      <c r="T352" s="514"/>
      <c r="U352" s="514"/>
      <c r="V352" s="514"/>
      <c r="W352" s="514"/>
      <c r="X352" s="514"/>
      <c r="Y352" s="514"/>
      <c r="Z352" s="923"/>
      <c r="AA352" s="514"/>
      <c r="AB352" s="514"/>
      <c r="AC352" s="514"/>
      <c r="AD352" s="514"/>
      <c r="AE352" s="774"/>
      <c r="AF352" s="514"/>
      <c r="AG352" s="897"/>
      <c r="AH352" s="789"/>
      <c r="AI352" s="786">
        <f t="shared" si="19"/>
        <v>0</v>
      </c>
      <c r="AJ352" s="521">
        <v>0</v>
      </c>
      <c r="AK352" s="520">
        <f t="shared" si="17"/>
        <v>0</v>
      </c>
      <c r="AL352" s="695"/>
      <c r="AM352" s="669">
        <f t="shared" si="18"/>
        <v>0</v>
      </c>
    </row>
    <row r="353" spans="1:39" s="500" customFormat="1" hidden="1">
      <c r="A353" s="539" t="s">
        <v>851</v>
      </c>
      <c r="B353" s="539" t="s">
        <v>1248</v>
      </c>
      <c r="C353" s="548" t="s">
        <v>37</v>
      </c>
      <c r="D353" s="519"/>
      <c r="E353" s="915"/>
      <c r="F353" s="520"/>
      <c r="G353" s="520"/>
      <c r="H353" s="520"/>
      <c r="I353" s="521"/>
      <c r="J353" s="521"/>
      <c r="K353" s="521"/>
      <c r="L353" s="923"/>
      <c r="M353" s="514"/>
      <c r="N353" s="514"/>
      <c r="O353" s="514"/>
      <c r="P353" s="514"/>
      <c r="Q353" s="514"/>
      <c r="R353" s="514"/>
      <c r="S353" s="923"/>
      <c r="T353" s="514"/>
      <c r="U353" s="514"/>
      <c r="V353" s="514"/>
      <c r="W353" s="514"/>
      <c r="X353" s="514"/>
      <c r="Y353" s="514"/>
      <c r="Z353" s="923"/>
      <c r="AA353" s="514"/>
      <c r="AB353" s="514"/>
      <c r="AC353" s="514"/>
      <c r="AD353" s="514"/>
      <c r="AE353" s="774"/>
      <c r="AF353" s="514"/>
      <c r="AG353" s="897"/>
      <c r="AH353" s="789"/>
      <c r="AI353" s="786">
        <f t="shared" si="19"/>
        <v>0</v>
      </c>
      <c r="AJ353" s="521">
        <v>0</v>
      </c>
      <c r="AK353" s="520">
        <f t="shared" si="17"/>
        <v>0</v>
      </c>
      <c r="AL353" s="695" t="s">
        <v>1655</v>
      </c>
      <c r="AM353" s="669">
        <f t="shared" si="18"/>
        <v>65.92</v>
      </c>
    </row>
    <row r="354" spans="1:39" s="730" customFormat="1" hidden="1">
      <c r="A354" s="831" t="s">
        <v>479</v>
      </c>
      <c r="B354" s="831" t="s">
        <v>1249</v>
      </c>
      <c r="C354" s="844"/>
      <c r="D354" s="743"/>
      <c r="E354" s="915"/>
      <c r="F354" s="726"/>
      <c r="G354" s="726"/>
      <c r="H354" s="726"/>
      <c r="I354" s="725"/>
      <c r="J354" s="725"/>
      <c r="K354" s="725"/>
      <c r="L354" s="923"/>
      <c r="M354" s="756"/>
      <c r="N354" s="756"/>
      <c r="O354" s="756"/>
      <c r="P354" s="756"/>
      <c r="Q354" s="756"/>
      <c r="R354" s="756"/>
      <c r="S354" s="923"/>
      <c r="T354" s="756"/>
      <c r="U354" s="756"/>
      <c r="V354" s="756"/>
      <c r="W354" s="756"/>
      <c r="X354" s="756"/>
      <c r="Y354" s="756"/>
      <c r="Z354" s="923"/>
      <c r="AA354" s="756"/>
      <c r="AB354" s="756"/>
      <c r="AC354" s="756"/>
      <c r="AD354" s="756"/>
      <c r="AE354" s="774"/>
      <c r="AF354" s="756"/>
      <c r="AG354" s="897"/>
      <c r="AH354" s="819"/>
      <c r="AI354" s="786">
        <f t="shared" si="19"/>
        <v>0</v>
      </c>
      <c r="AJ354" s="725">
        <v>0</v>
      </c>
      <c r="AK354" s="726">
        <f t="shared" si="17"/>
        <v>0</v>
      </c>
      <c r="AL354" s="847"/>
      <c r="AM354" s="729">
        <f t="shared" si="18"/>
        <v>0</v>
      </c>
    </row>
    <row r="355" spans="1:39" s="730" customFormat="1" hidden="1">
      <c r="A355" s="720" t="s">
        <v>852</v>
      </c>
      <c r="B355" s="720" t="s">
        <v>1250</v>
      </c>
      <c r="C355" s="823" t="s">
        <v>37</v>
      </c>
      <c r="D355" s="743"/>
      <c r="E355" s="915"/>
      <c r="F355" s="726"/>
      <c r="G355" s="726"/>
      <c r="H355" s="726"/>
      <c r="I355" s="725"/>
      <c r="J355" s="725"/>
      <c r="K355" s="725"/>
      <c r="L355" s="923"/>
      <c r="M355" s="756"/>
      <c r="N355" s="756"/>
      <c r="O355" s="756"/>
      <c r="P355" s="756"/>
      <c r="Q355" s="756"/>
      <c r="R355" s="756"/>
      <c r="S355" s="923"/>
      <c r="T355" s="756"/>
      <c r="U355" s="756"/>
      <c r="V355" s="756"/>
      <c r="W355" s="756"/>
      <c r="X355" s="756"/>
      <c r="Y355" s="756"/>
      <c r="Z355" s="923"/>
      <c r="AA355" s="756"/>
      <c r="AB355" s="756"/>
      <c r="AC355" s="756"/>
      <c r="AD355" s="756"/>
      <c r="AE355" s="774"/>
      <c r="AF355" s="756"/>
      <c r="AG355" s="897"/>
      <c r="AH355" s="819"/>
      <c r="AI355" s="786">
        <f t="shared" si="19"/>
        <v>0</v>
      </c>
      <c r="AJ355" s="725">
        <v>0</v>
      </c>
      <c r="AK355" s="726">
        <f t="shared" si="17"/>
        <v>0</v>
      </c>
      <c r="AL355" s="847" t="s">
        <v>1656</v>
      </c>
      <c r="AM355" s="729">
        <f t="shared" si="18"/>
        <v>57.88</v>
      </c>
    </row>
    <row r="356" spans="1:39" s="500" customFormat="1" hidden="1">
      <c r="A356" s="539" t="s">
        <v>853</v>
      </c>
      <c r="B356" s="539" t="s">
        <v>1285</v>
      </c>
      <c r="C356" s="548" t="s">
        <v>37</v>
      </c>
      <c r="D356" s="519"/>
      <c r="E356" s="915"/>
      <c r="F356" s="520"/>
      <c r="G356" s="520"/>
      <c r="H356" s="520"/>
      <c r="I356" s="521"/>
      <c r="J356" s="521"/>
      <c r="K356" s="521"/>
      <c r="L356" s="923"/>
      <c r="M356" s="514"/>
      <c r="N356" s="514"/>
      <c r="O356" s="514"/>
      <c r="P356" s="514"/>
      <c r="Q356" s="514"/>
      <c r="R356" s="514"/>
      <c r="S356" s="923"/>
      <c r="T356" s="514"/>
      <c r="U356" s="514"/>
      <c r="V356" s="514"/>
      <c r="W356" s="514"/>
      <c r="X356" s="514"/>
      <c r="Y356" s="514"/>
      <c r="Z356" s="923"/>
      <c r="AA356" s="514"/>
      <c r="AB356" s="514"/>
      <c r="AC356" s="514"/>
      <c r="AD356" s="514"/>
      <c r="AE356" s="774"/>
      <c r="AF356" s="514"/>
      <c r="AG356" s="897"/>
      <c r="AH356" s="789"/>
      <c r="AI356" s="786">
        <f t="shared" si="19"/>
        <v>0</v>
      </c>
      <c r="AJ356" s="521">
        <v>0</v>
      </c>
      <c r="AK356" s="520">
        <f t="shared" si="17"/>
        <v>0</v>
      </c>
      <c r="AL356" s="695" t="s">
        <v>1657</v>
      </c>
      <c r="AM356" s="669">
        <f t="shared" si="18"/>
        <v>40.200000000000003</v>
      </c>
    </row>
    <row r="357" spans="1:39" s="500" customFormat="1" hidden="1">
      <c r="A357" s="539" t="s">
        <v>854</v>
      </c>
      <c r="B357" s="539" t="s">
        <v>1251</v>
      </c>
      <c r="C357" s="548" t="s">
        <v>37</v>
      </c>
      <c r="D357" s="519"/>
      <c r="E357" s="915"/>
      <c r="F357" s="520"/>
      <c r="G357" s="520"/>
      <c r="H357" s="520"/>
      <c r="I357" s="521"/>
      <c r="J357" s="521"/>
      <c r="K357" s="521"/>
      <c r="L357" s="923"/>
      <c r="M357" s="514"/>
      <c r="N357" s="514"/>
      <c r="O357" s="514"/>
      <c r="P357" s="514"/>
      <c r="Q357" s="514"/>
      <c r="R357" s="514"/>
      <c r="S357" s="923"/>
      <c r="T357" s="514"/>
      <c r="U357" s="514"/>
      <c r="V357" s="514"/>
      <c r="W357" s="514"/>
      <c r="X357" s="514"/>
      <c r="Y357" s="514"/>
      <c r="Z357" s="923"/>
      <c r="AA357" s="514"/>
      <c r="AB357" s="514"/>
      <c r="AC357" s="514"/>
      <c r="AD357" s="514"/>
      <c r="AE357" s="774"/>
      <c r="AF357" s="514"/>
      <c r="AG357" s="897"/>
      <c r="AH357" s="789"/>
      <c r="AI357" s="786">
        <f t="shared" si="19"/>
        <v>0</v>
      </c>
      <c r="AJ357" s="521">
        <v>0</v>
      </c>
      <c r="AK357" s="520">
        <f t="shared" si="17"/>
        <v>0</v>
      </c>
      <c r="AL357" s="695" t="s">
        <v>1658</v>
      </c>
      <c r="AM357" s="669">
        <f t="shared" si="18"/>
        <v>5.72</v>
      </c>
    </row>
    <row r="358" spans="1:39" s="500" customFormat="1" hidden="1">
      <c r="A358" s="539" t="s">
        <v>855</v>
      </c>
      <c r="B358" s="539" t="s">
        <v>1252</v>
      </c>
      <c r="C358" s="548" t="s">
        <v>37</v>
      </c>
      <c r="D358" s="519"/>
      <c r="E358" s="915"/>
      <c r="F358" s="520"/>
      <c r="G358" s="520"/>
      <c r="H358" s="520"/>
      <c r="I358" s="521"/>
      <c r="J358" s="521"/>
      <c r="K358" s="521"/>
      <c r="L358" s="923"/>
      <c r="M358" s="514"/>
      <c r="N358" s="514"/>
      <c r="O358" s="514"/>
      <c r="P358" s="514"/>
      <c r="Q358" s="514"/>
      <c r="R358" s="514"/>
      <c r="S358" s="923"/>
      <c r="T358" s="514"/>
      <c r="U358" s="514"/>
      <c r="V358" s="514"/>
      <c r="W358" s="514"/>
      <c r="X358" s="514"/>
      <c r="Y358" s="514"/>
      <c r="Z358" s="923"/>
      <c r="AA358" s="514"/>
      <c r="AB358" s="514"/>
      <c r="AC358" s="514"/>
      <c r="AD358" s="514"/>
      <c r="AE358" s="774"/>
      <c r="AF358" s="514"/>
      <c r="AG358" s="897"/>
      <c r="AH358" s="789"/>
      <c r="AI358" s="786">
        <f t="shared" si="19"/>
        <v>0</v>
      </c>
      <c r="AJ358" s="521">
        <v>0</v>
      </c>
      <c r="AK358" s="520">
        <f t="shared" si="17"/>
        <v>0</v>
      </c>
      <c r="AL358" s="695" t="s">
        <v>1659</v>
      </c>
      <c r="AM358" s="669">
        <f t="shared" si="18"/>
        <v>11.96</v>
      </c>
    </row>
    <row r="359" spans="1:39" s="500" customFormat="1" hidden="1">
      <c r="A359" s="542" t="s">
        <v>480</v>
      </c>
      <c r="B359" s="542" t="s">
        <v>1256</v>
      </c>
      <c r="C359" s="616"/>
      <c r="D359" s="519"/>
      <c r="E359" s="915"/>
      <c r="F359" s="520"/>
      <c r="G359" s="520"/>
      <c r="H359" s="520"/>
      <c r="I359" s="521"/>
      <c r="J359" s="521"/>
      <c r="K359" s="521"/>
      <c r="L359" s="923"/>
      <c r="M359" s="514"/>
      <c r="N359" s="514"/>
      <c r="O359" s="514"/>
      <c r="P359" s="514"/>
      <c r="Q359" s="514"/>
      <c r="R359" s="514"/>
      <c r="S359" s="923"/>
      <c r="T359" s="514"/>
      <c r="U359" s="514"/>
      <c r="V359" s="514"/>
      <c r="W359" s="514"/>
      <c r="X359" s="514"/>
      <c r="Y359" s="514"/>
      <c r="Z359" s="923"/>
      <c r="AA359" s="514"/>
      <c r="AB359" s="514"/>
      <c r="AC359" s="514"/>
      <c r="AD359" s="514"/>
      <c r="AE359" s="774"/>
      <c r="AF359" s="514"/>
      <c r="AG359" s="897"/>
      <c r="AH359" s="789"/>
      <c r="AI359" s="786">
        <f t="shared" si="19"/>
        <v>0</v>
      </c>
      <c r="AJ359" s="521">
        <v>0</v>
      </c>
      <c r="AK359" s="520">
        <f t="shared" si="17"/>
        <v>0</v>
      </c>
      <c r="AL359" s="695"/>
      <c r="AM359" s="669">
        <f t="shared" si="18"/>
        <v>0</v>
      </c>
    </row>
    <row r="360" spans="1:39" s="500" customFormat="1" hidden="1">
      <c r="A360" s="539" t="s">
        <v>856</v>
      </c>
      <c r="B360" s="539" t="s">
        <v>1257</v>
      </c>
      <c r="C360" s="548" t="s">
        <v>37</v>
      </c>
      <c r="D360" s="519"/>
      <c r="E360" s="915"/>
      <c r="F360" s="520"/>
      <c r="G360" s="520"/>
      <c r="H360" s="520"/>
      <c r="I360" s="521"/>
      <c r="J360" s="521"/>
      <c r="K360" s="521"/>
      <c r="L360" s="923"/>
      <c r="M360" s="514"/>
      <c r="N360" s="514"/>
      <c r="O360" s="514"/>
      <c r="P360" s="514"/>
      <c r="Q360" s="514"/>
      <c r="R360" s="514"/>
      <c r="S360" s="923"/>
      <c r="T360" s="514"/>
      <c r="U360" s="514"/>
      <c r="V360" s="514"/>
      <c r="W360" s="514"/>
      <c r="X360" s="514"/>
      <c r="Y360" s="514"/>
      <c r="Z360" s="923"/>
      <c r="AA360" s="514"/>
      <c r="AB360" s="514"/>
      <c r="AC360" s="514"/>
      <c r="AD360" s="514"/>
      <c r="AE360" s="774"/>
      <c r="AF360" s="514"/>
      <c r="AG360" s="897"/>
      <c r="AH360" s="789"/>
      <c r="AI360" s="786">
        <f t="shared" si="19"/>
        <v>0</v>
      </c>
      <c r="AJ360" s="521">
        <v>0</v>
      </c>
      <c r="AK360" s="520">
        <f t="shared" si="17"/>
        <v>0</v>
      </c>
      <c r="AL360" s="695" t="s">
        <v>1660</v>
      </c>
      <c r="AM360" s="669">
        <f t="shared" si="18"/>
        <v>55.35</v>
      </c>
    </row>
    <row r="361" spans="1:39" s="500" customFormat="1" hidden="1">
      <c r="A361" s="542" t="s">
        <v>481</v>
      </c>
      <c r="B361" s="542" t="s">
        <v>1258</v>
      </c>
      <c r="C361" s="616"/>
      <c r="D361" s="519"/>
      <c r="E361" s="915"/>
      <c r="F361" s="520"/>
      <c r="G361" s="520"/>
      <c r="H361" s="520"/>
      <c r="I361" s="521"/>
      <c r="J361" s="521"/>
      <c r="K361" s="521"/>
      <c r="L361" s="923"/>
      <c r="M361" s="514"/>
      <c r="N361" s="514"/>
      <c r="O361" s="514"/>
      <c r="P361" s="514"/>
      <c r="Q361" s="514"/>
      <c r="R361" s="514"/>
      <c r="S361" s="923"/>
      <c r="T361" s="514"/>
      <c r="U361" s="514"/>
      <c r="V361" s="514"/>
      <c r="W361" s="514"/>
      <c r="X361" s="514"/>
      <c r="Y361" s="514"/>
      <c r="Z361" s="923"/>
      <c r="AA361" s="514"/>
      <c r="AB361" s="514"/>
      <c r="AC361" s="514"/>
      <c r="AD361" s="514"/>
      <c r="AE361" s="774"/>
      <c r="AF361" s="514"/>
      <c r="AG361" s="897"/>
      <c r="AH361" s="789"/>
      <c r="AI361" s="786">
        <f t="shared" si="19"/>
        <v>0</v>
      </c>
      <c r="AJ361" s="521">
        <v>0</v>
      </c>
      <c r="AK361" s="520">
        <f t="shared" si="17"/>
        <v>0</v>
      </c>
      <c r="AL361" s="695"/>
      <c r="AM361" s="669">
        <f t="shared" si="18"/>
        <v>0</v>
      </c>
    </row>
    <row r="362" spans="1:39" s="500" customFormat="1" hidden="1">
      <c r="A362" s="539" t="s">
        <v>857</v>
      </c>
      <c r="B362" s="539" t="s">
        <v>1259</v>
      </c>
      <c r="C362" s="548" t="s">
        <v>37</v>
      </c>
      <c r="D362" s="519"/>
      <c r="E362" s="915"/>
      <c r="F362" s="520"/>
      <c r="G362" s="520"/>
      <c r="H362" s="520"/>
      <c r="I362" s="521"/>
      <c r="J362" s="521"/>
      <c r="K362" s="521"/>
      <c r="L362" s="923"/>
      <c r="M362" s="514"/>
      <c r="N362" s="514"/>
      <c r="O362" s="514"/>
      <c r="P362" s="514"/>
      <c r="Q362" s="514"/>
      <c r="R362" s="514"/>
      <c r="S362" s="923"/>
      <c r="T362" s="514"/>
      <c r="U362" s="514"/>
      <c r="V362" s="514"/>
      <c r="W362" s="514"/>
      <c r="X362" s="514"/>
      <c r="Y362" s="514"/>
      <c r="Z362" s="923"/>
      <c r="AA362" s="514"/>
      <c r="AB362" s="514"/>
      <c r="AC362" s="514"/>
      <c r="AD362" s="514"/>
      <c r="AE362" s="774"/>
      <c r="AF362" s="514"/>
      <c r="AG362" s="897"/>
      <c r="AH362" s="789"/>
      <c r="AI362" s="786">
        <f t="shared" si="19"/>
        <v>0</v>
      </c>
      <c r="AJ362" s="521">
        <v>0</v>
      </c>
      <c r="AK362" s="520">
        <f t="shared" si="17"/>
        <v>0</v>
      </c>
      <c r="AL362" s="695" t="s">
        <v>1635</v>
      </c>
      <c r="AM362" s="669">
        <f t="shared" si="18"/>
        <v>15.8</v>
      </c>
    </row>
    <row r="363" spans="1:39" s="500" customFormat="1" hidden="1">
      <c r="A363" s="539" t="s">
        <v>858</v>
      </c>
      <c r="B363" s="539" t="s">
        <v>1286</v>
      </c>
      <c r="C363" s="548" t="s">
        <v>37</v>
      </c>
      <c r="D363" s="519"/>
      <c r="E363" s="915"/>
      <c r="F363" s="520"/>
      <c r="G363" s="520"/>
      <c r="H363" s="520"/>
      <c r="I363" s="521"/>
      <c r="J363" s="521"/>
      <c r="K363" s="521"/>
      <c r="L363" s="923"/>
      <c r="M363" s="514"/>
      <c r="N363" s="514"/>
      <c r="O363" s="514"/>
      <c r="P363" s="514"/>
      <c r="Q363" s="514"/>
      <c r="R363" s="514"/>
      <c r="S363" s="923"/>
      <c r="T363" s="514"/>
      <c r="U363" s="514"/>
      <c r="V363" s="514"/>
      <c r="W363" s="514"/>
      <c r="X363" s="514"/>
      <c r="Y363" s="514"/>
      <c r="Z363" s="923"/>
      <c r="AA363" s="514"/>
      <c r="AB363" s="514"/>
      <c r="AC363" s="514"/>
      <c r="AD363" s="514"/>
      <c r="AE363" s="774"/>
      <c r="AF363" s="514"/>
      <c r="AG363" s="897"/>
      <c r="AH363" s="789"/>
      <c r="AI363" s="786">
        <f t="shared" si="19"/>
        <v>0</v>
      </c>
      <c r="AJ363" s="521">
        <v>0</v>
      </c>
      <c r="AK363" s="520">
        <f t="shared" si="17"/>
        <v>0</v>
      </c>
      <c r="AL363" s="695" t="s">
        <v>1661</v>
      </c>
      <c r="AM363" s="669">
        <f t="shared" si="18"/>
        <v>29.4</v>
      </c>
    </row>
    <row r="364" spans="1:39" s="500" customFormat="1" hidden="1">
      <c r="A364" s="539" t="s">
        <v>859</v>
      </c>
      <c r="B364" s="539" t="s">
        <v>1261</v>
      </c>
      <c r="C364" s="548" t="s">
        <v>38</v>
      </c>
      <c r="D364" s="519"/>
      <c r="E364" s="915"/>
      <c r="F364" s="520"/>
      <c r="G364" s="520"/>
      <c r="H364" s="520"/>
      <c r="I364" s="521"/>
      <c r="J364" s="521"/>
      <c r="K364" s="521"/>
      <c r="L364" s="923"/>
      <c r="M364" s="514"/>
      <c r="N364" s="514"/>
      <c r="O364" s="514"/>
      <c r="P364" s="514"/>
      <c r="Q364" s="514"/>
      <c r="R364" s="514"/>
      <c r="S364" s="923"/>
      <c r="T364" s="514"/>
      <c r="U364" s="514"/>
      <c r="V364" s="514"/>
      <c r="W364" s="514"/>
      <c r="X364" s="514"/>
      <c r="Y364" s="514"/>
      <c r="Z364" s="923"/>
      <c r="AA364" s="514"/>
      <c r="AB364" s="514"/>
      <c r="AC364" s="514"/>
      <c r="AD364" s="514"/>
      <c r="AE364" s="774"/>
      <c r="AF364" s="514"/>
      <c r="AG364" s="897"/>
      <c r="AH364" s="789"/>
      <c r="AI364" s="786">
        <f t="shared" si="19"/>
        <v>0</v>
      </c>
      <c r="AJ364" s="521">
        <v>0</v>
      </c>
      <c r="AK364" s="520">
        <f t="shared" si="17"/>
        <v>0</v>
      </c>
      <c r="AL364" s="695" t="s">
        <v>1662</v>
      </c>
      <c r="AM364" s="669">
        <f t="shared" si="18"/>
        <v>9.6</v>
      </c>
    </row>
    <row r="365" spans="1:39" s="500" customFormat="1" hidden="1">
      <c r="A365" s="539" t="s">
        <v>860</v>
      </c>
      <c r="B365" s="539" t="s">
        <v>1287</v>
      </c>
      <c r="C365" s="548" t="s">
        <v>38</v>
      </c>
      <c r="D365" s="519"/>
      <c r="E365" s="915"/>
      <c r="F365" s="520"/>
      <c r="G365" s="520"/>
      <c r="H365" s="520"/>
      <c r="I365" s="521"/>
      <c r="J365" s="521"/>
      <c r="K365" s="521"/>
      <c r="L365" s="923"/>
      <c r="M365" s="514"/>
      <c r="N365" s="514"/>
      <c r="O365" s="514"/>
      <c r="P365" s="514"/>
      <c r="Q365" s="514"/>
      <c r="R365" s="514"/>
      <c r="S365" s="923"/>
      <c r="T365" s="514"/>
      <c r="U365" s="514"/>
      <c r="V365" s="514"/>
      <c r="W365" s="514"/>
      <c r="X365" s="514"/>
      <c r="Y365" s="514"/>
      <c r="Z365" s="923"/>
      <c r="AA365" s="514"/>
      <c r="AB365" s="514"/>
      <c r="AC365" s="514"/>
      <c r="AD365" s="514"/>
      <c r="AE365" s="774"/>
      <c r="AF365" s="514"/>
      <c r="AG365" s="897"/>
      <c r="AH365" s="789"/>
      <c r="AI365" s="786">
        <f t="shared" si="19"/>
        <v>0</v>
      </c>
      <c r="AJ365" s="521">
        <v>0</v>
      </c>
      <c r="AK365" s="520">
        <f t="shared" si="17"/>
        <v>0</v>
      </c>
      <c r="AL365" s="695" t="s">
        <v>1663</v>
      </c>
      <c r="AM365" s="669">
        <f t="shared" si="18"/>
        <v>23.08</v>
      </c>
    </row>
    <row r="366" spans="1:39" s="500" customFormat="1" hidden="1">
      <c r="A366" s="542" t="s">
        <v>482</v>
      </c>
      <c r="B366" s="542" t="s">
        <v>1198</v>
      </c>
      <c r="C366" s="616"/>
      <c r="D366" s="519"/>
      <c r="E366" s="915"/>
      <c r="F366" s="520"/>
      <c r="G366" s="520"/>
      <c r="H366" s="520"/>
      <c r="I366" s="521"/>
      <c r="J366" s="521"/>
      <c r="K366" s="521"/>
      <c r="L366" s="923"/>
      <c r="M366" s="514"/>
      <c r="N366" s="514"/>
      <c r="O366" s="514"/>
      <c r="P366" s="514"/>
      <c r="Q366" s="514"/>
      <c r="R366" s="514"/>
      <c r="S366" s="923"/>
      <c r="T366" s="514"/>
      <c r="U366" s="514"/>
      <c r="V366" s="514"/>
      <c r="W366" s="514"/>
      <c r="X366" s="514"/>
      <c r="Y366" s="514"/>
      <c r="Z366" s="923"/>
      <c r="AA366" s="514"/>
      <c r="AB366" s="514"/>
      <c r="AC366" s="514"/>
      <c r="AD366" s="514"/>
      <c r="AE366" s="774"/>
      <c r="AF366" s="514"/>
      <c r="AG366" s="897"/>
      <c r="AH366" s="789"/>
      <c r="AI366" s="786">
        <f t="shared" si="19"/>
        <v>0</v>
      </c>
      <c r="AJ366" s="521">
        <v>0</v>
      </c>
      <c r="AK366" s="520">
        <f t="shared" si="17"/>
        <v>0</v>
      </c>
      <c r="AL366" s="695"/>
      <c r="AM366" s="669">
        <f t="shared" si="18"/>
        <v>0</v>
      </c>
    </row>
    <row r="367" spans="1:39" s="500" customFormat="1" hidden="1">
      <c r="A367" s="539" t="s">
        <v>861</v>
      </c>
      <c r="B367" s="539" t="s">
        <v>1262</v>
      </c>
      <c r="C367" s="548" t="s">
        <v>37</v>
      </c>
      <c r="D367" s="519"/>
      <c r="E367" s="915"/>
      <c r="F367" s="520"/>
      <c r="G367" s="520"/>
      <c r="H367" s="520"/>
      <c r="I367" s="521"/>
      <c r="J367" s="521"/>
      <c r="K367" s="521"/>
      <c r="L367" s="923"/>
      <c r="M367" s="514"/>
      <c r="N367" s="514"/>
      <c r="O367" s="514"/>
      <c r="P367" s="514"/>
      <c r="Q367" s="514"/>
      <c r="R367" s="514"/>
      <c r="S367" s="923"/>
      <c r="T367" s="514"/>
      <c r="U367" s="514"/>
      <c r="V367" s="514"/>
      <c r="W367" s="514"/>
      <c r="X367" s="514"/>
      <c r="Y367" s="514"/>
      <c r="Z367" s="923"/>
      <c r="AA367" s="514"/>
      <c r="AB367" s="514"/>
      <c r="AC367" s="514"/>
      <c r="AD367" s="514"/>
      <c r="AE367" s="774"/>
      <c r="AF367" s="514"/>
      <c r="AG367" s="897"/>
      <c r="AH367" s="789"/>
      <c r="AI367" s="786">
        <f t="shared" si="19"/>
        <v>0</v>
      </c>
      <c r="AJ367" s="521">
        <v>0</v>
      </c>
      <c r="AK367" s="520">
        <f t="shared" si="17"/>
        <v>0</v>
      </c>
      <c r="AL367" s="695" t="s">
        <v>1664</v>
      </c>
      <c r="AM367" s="669">
        <f t="shared" si="18"/>
        <v>48.24</v>
      </c>
    </row>
    <row r="368" spans="1:39" s="500" customFormat="1" hidden="1">
      <c r="A368" s="539" t="s">
        <v>862</v>
      </c>
      <c r="B368" s="539" t="s">
        <v>1263</v>
      </c>
      <c r="C368" s="548" t="s">
        <v>38</v>
      </c>
      <c r="D368" s="519"/>
      <c r="E368" s="915"/>
      <c r="F368" s="520"/>
      <c r="G368" s="520"/>
      <c r="H368" s="520"/>
      <c r="I368" s="521"/>
      <c r="J368" s="521"/>
      <c r="K368" s="521"/>
      <c r="L368" s="923"/>
      <c r="M368" s="514"/>
      <c r="N368" s="514"/>
      <c r="O368" s="514"/>
      <c r="P368" s="514"/>
      <c r="Q368" s="514"/>
      <c r="R368" s="514"/>
      <c r="S368" s="923"/>
      <c r="T368" s="514"/>
      <c r="U368" s="514"/>
      <c r="V368" s="514"/>
      <c r="W368" s="514"/>
      <c r="X368" s="514"/>
      <c r="Y368" s="514"/>
      <c r="Z368" s="923"/>
      <c r="AA368" s="514"/>
      <c r="AB368" s="514"/>
      <c r="AC368" s="514"/>
      <c r="AD368" s="514"/>
      <c r="AE368" s="774"/>
      <c r="AF368" s="514"/>
      <c r="AG368" s="897"/>
      <c r="AH368" s="789"/>
      <c r="AI368" s="786">
        <f t="shared" si="19"/>
        <v>0</v>
      </c>
      <c r="AJ368" s="521">
        <v>0</v>
      </c>
      <c r="AK368" s="520">
        <f t="shared" si="17"/>
        <v>0</v>
      </c>
      <c r="AL368" s="695" t="s">
        <v>1665</v>
      </c>
      <c r="AM368" s="669">
        <f t="shared" si="18"/>
        <v>34.880000000000003</v>
      </c>
    </row>
    <row r="369" spans="1:39" s="500" customFormat="1" hidden="1">
      <c r="A369" s="539" t="s">
        <v>863</v>
      </c>
      <c r="B369" s="539" t="s">
        <v>1288</v>
      </c>
      <c r="C369" s="548" t="s">
        <v>37</v>
      </c>
      <c r="D369" s="519"/>
      <c r="E369" s="915"/>
      <c r="F369" s="520"/>
      <c r="G369" s="520"/>
      <c r="H369" s="520"/>
      <c r="I369" s="521"/>
      <c r="J369" s="521"/>
      <c r="K369" s="521"/>
      <c r="L369" s="923"/>
      <c r="M369" s="514"/>
      <c r="N369" s="514"/>
      <c r="O369" s="514"/>
      <c r="P369" s="514"/>
      <c r="Q369" s="514"/>
      <c r="R369" s="514"/>
      <c r="S369" s="923"/>
      <c r="T369" s="514"/>
      <c r="U369" s="514"/>
      <c r="V369" s="514"/>
      <c r="W369" s="514"/>
      <c r="X369" s="514"/>
      <c r="Y369" s="514"/>
      <c r="Z369" s="923"/>
      <c r="AA369" s="514"/>
      <c r="AB369" s="514"/>
      <c r="AC369" s="514"/>
      <c r="AD369" s="514"/>
      <c r="AE369" s="774"/>
      <c r="AF369" s="514"/>
      <c r="AG369" s="897"/>
      <c r="AH369" s="789"/>
      <c r="AI369" s="786">
        <f t="shared" si="19"/>
        <v>0</v>
      </c>
      <c r="AJ369" s="521">
        <v>0</v>
      </c>
      <c r="AK369" s="520">
        <f t="shared" si="17"/>
        <v>0</v>
      </c>
      <c r="AL369" s="695" t="s">
        <v>1666</v>
      </c>
      <c r="AM369" s="669">
        <f t="shared" si="18"/>
        <v>22.97</v>
      </c>
    </row>
    <row r="370" spans="1:39" s="500" customFormat="1" hidden="1">
      <c r="A370" s="542" t="s">
        <v>483</v>
      </c>
      <c r="B370" s="542" t="s">
        <v>1264</v>
      </c>
      <c r="C370" s="548"/>
      <c r="D370" s="519"/>
      <c r="E370" s="915"/>
      <c r="F370" s="520"/>
      <c r="G370" s="520"/>
      <c r="H370" s="520"/>
      <c r="I370" s="521"/>
      <c r="J370" s="521"/>
      <c r="K370" s="521"/>
      <c r="L370" s="923"/>
      <c r="M370" s="514"/>
      <c r="N370" s="514"/>
      <c r="O370" s="514"/>
      <c r="P370" s="514"/>
      <c r="Q370" s="514"/>
      <c r="R370" s="514"/>
      <c r="S370" s="923"/>
      <c r="T370" s="514"/>
      <c r="U370" s="514"/>
      <c r="V370" s="514"/>
      <c r="W370" s="514"/>
      <c r="X370" s="514"/>
      <c r="Y370" s="514"/>
      <c r="Z370" s="923"/>
      <c r="AA370" s="514"/>
      <c r="AB370" s="514"/>
      <c r="AC370" s="514"/>
      <c r="AD370" s="514"/>
      <c r="AE370" s="774"/>
      <c r="AF370" s="514"/>
      <c r="AG370" s="897"/>
      <c r="AH370" s="789"/>
      <c r="AI370" s="786">
        <f t="shared" si="19"/>
        <v>0</v>
      </c>
      <c r="AJ370" s="521">
        <v>0</v>
      </c>
      <c r="AK370" s="520">
        <f t="shared" si="17"/>
        <v>0</v>
      </c>
      <c r="AL370" s="695"/>
      <c r="AM370" s="669">
        <f t="shared" si="18"/>
        <v>0</v>
      </c>
    </row>
    <row r="371" spans="1:39" s="500" customFormat="1" hidden="1">
      <c r="A371" s="539" t="s">
        <v>864</v>
      </c>
      <c r="B371" s="539" t="s">
        <v>1289</v>
      </c>
      <c r="C371" s="548" t="s">
        <v>37</v>
      </c>
      <c r="D371" s="519"/>
      <c r="E371" s="915"/>
      <c r="F371" s="520"/>
      <c r="G371" s="520"/>
      <c r="H371" s="520"/>
      <c r="I371" s="521"/>
      <c r="J371" s="521"/>
      <c r="K371" s="521"/>
      <c r="L371" s="923"/>
      <c r="M371" s="514"/>
      <c r="N371" s="514"/>
      <c r="O371" s="514"/>
      <c r="P371" s="514"/>
      <c r="Q371" s="514"/>
      <c r="R371" s="514"/>
      <c r="S371" s="923"/>
      <c r="T371" s="514"/>
      <c r="U371" s="514"/>
      <c r="V371" s="514"/>
      <c r="W371" s="514"/>
      <c r="X371" s="514"/>
      <c r="Y371" s="514"/>
      <c r="Z371" s="923"/>
      <c r="AA371" s="514"/>
      <c r="AB371" s="514"/>
      <c r="AC371" s="514"/>
      <c r="AD371" s="514"/>
      <c r="AE371" s="774"/>
      <c r="AF371" s="514"/>
      <c r="AG371" s="897"/>
      <c r="AH371" s="789"/>
      <c r="AI371" s="786">
        <f t="shared" si="19"/>
        <v>0</v>
      </c>
      <c r="AJ371" s="521">
        <v>0</v>
      </c>
      <c r="AK371" s="520">
        <f t="shared" si="17"/>
        <v>0</v>
      </c>
      <c r="AL371" s="695" t="s">
        <v>1667</v>
      </c>
      <c r="AM371" s="669">
        <f t="shared" si="18"/>
        <v>5.88</v>
      </c>
    </row>
    <row r="372" spans="1:39" s="500" customFormat="1" hidden="1">
      <c r="A372" s="539" t="s">
        <v>865</v>
      </c>
      <c r="B372" s="539" t="s">
        <v>1290</v>
      </c>
      <c r="C372" s="548" t="s">
        <v>37</v>
      </c>
      <c r="D372" s="519"/>
      <c r="E372" s="915"/>
      <c r="F372" s="520"/>
      <c r="G372" s="520"/>
      <c r="H372" s="520"/>
      <c r="I372" s="521"/>
      <c r="J372" s="521"/>
      <c r="K372" s="521"/>
      <c r="L372" s="923"/>
      <c r="M372" s="514"/>
      <c r="N372" s="514"/>
      <c r="O372" s="514"/>
      <c r="P372" s="514"/>
      <c r="Q372" s="514"/>
      <c r="R372" s="514"/>
      <c r="S372" s="923"/>
      <c r="T372" s="514"/>
      <c r="U372" s="514"/>
      <c r="V372" s="514"/>
      <c r="W372" s="514"/>
      <c r="X372" s="514"/>
      <c r="Y372" s="514"/>
      <c r="Z372" s="923"/>
      <c r="AA372" s="514"/>
      <c r="AB372" s="514"/>
      <c r="AC372" s="514"/>
      <c r="AD372" s="514"/>
      <c r="AE372" s="774"/>
      <c r="AF372" s="514"/>
      <c r="AG372" s="897"/>
      <c r="AH372" s="789"/>
      <c r="AI372" s="786">
        <f t="shared" si="19"/>
        <v>0</v>
      </c>
      <c r="AJ372" s="521">
        <v>0</v>
      </c>
      <c r="AK372" s="520">
        <f t="shared" si="17"/>
        <v>0</v>
      </c>
      <c r="AL372" s="695" t="s">
        <v>1668</v>
      </c>
      <c r="AM372" s="669">
        <f t="shared" si="18"/>
        <v>1.68</v>
      </c>
    </row>
    <row r="373" spans="1:39" s="500" customFormat="1" hidden="1">
      <c r="A373" s="542" t="s">
        <v>866</v>
      </c>
      <c r="B373" s="542" t="s">
        <v>1291</v>
      </c>
      <c r="C373" s="616"/>
      <c r="D373" s="519"/>
      <c r="E373" s="915"/>
      <c r="F373" s="520"/>
      <c r="G373" s="520"/>
      <c r="H373" s="520"/>
      <c r="I373" s="521"/>
      <c r="J373" s="521"/>
      <c r="K373" s="521"/>
      <c r="L373" s="923"/>
      <c r="M373" s="514"/>
      <c r="N373" s="514"/>
      <c r="O373" s="514"/>
      <c r="P373" s="514"/>
      <c r="Q373" s="514"/>
      <c r="R373" s="514"/>
      <c r="S373" s="923"/>
      <c r="T373" s="514"/>
      <c r="U373" s="514"/>
      <c r="V373" s="514"/>
      <c r="W373" s="514"/>
      <c r="X373" s="514"/>
      <c r="Y373" s="514"/>
      <c r="Z373" s="923"/>
      <c r="AA373" s="514"/>
      <c r="AB373" s="514"/>
      <c r="AC373" s="514"/>
      <c r="AD373" s="514"/>
      <c r="AE373" s="774"/>
      <c r="AF373" s="514"/>
      <c r="AG373" s="897"/>
      <c r="AH373" s="789"/>
      <c r="AI373" s="786">
        <f t="shared" si="19"/>
        <v>0</v>
      </c>
      <c r="AJ373" s="521">
        <v>0</v>
      </c>
      <c r="AK373" s="520">
        <f t="shared" si="17"/>
        <v>0</v>
      </c>
      <c r="AL373" s="695"/>
      <c r="AM373" s="669">
        <f t="shared" si="18"/>
        <v>0</v>
      </c>
    </row>
    <row r="374" spans="1:39" s="500" customFormat="1" hidden="1">
      <c r="A374" s="539" t="s">
        <v>867</v>
      </c>
      <c r="B374" s="539" t="s">
        <v>1292</v>
      </c>
      <c r="C374" s="548" t="s">
        <v>37</v>
      </c>
      <c r="D374" s="519"/>
      <c r="E374" s="915"/>
      <c r="F374" s="520"/>
      <c r="G374" s="520"/>
      <c r="H374" s="520"/>
      <c r="I374" s="521"/>
      <c r="J374" s="521"/>
      <c r="K374" s="521"/>
      <c r="L374" s="923"/>
      <c r="M374" s="514"/>
      <c r="N374" s="514"/>
      <c r="O374" s="514"/>
      <c r="P374" s="514"/>
      <c r="Q374" s="514"/>
      <c r="R374" s="514"/>
      <c r="S374" s="923"/>
      <c r="T374" s="514"/>
      <c r="U374" s="514"/>
      <c r="V374" s="514"/>
      <c r="W374" s="514"/>
      <c r="X374" s="514"/>
      <c r="Y374" s="514"/>
      <c r="Z374" s="923"/>
      <c r="AA374" s="514"/>
      <c r="AB374" s="514"/>
      <c r="AC374" s="514"/>
      <c r="AD374" s="514"/>
      <c r="AE374" s="774"/>
      <c r="AF374" s="514"/>
      <c r="AG374" s="897"/>
      <c r="AH374" s="789"/>
      <c r="AI374" s="786">
        <f t="shared" si="19"/>
        <v>0</v>
      </c>
      <c r="AJ374" s="521">
        <v>0</v>
      </c>
      <c r="AK374" s="520">
        <f t="shared" si="17"/>
        <v>0</v>
      </c>
      <c r="AL374" s="695" t="s">
        <v>1669</v>
      </c>
      <c r="AM374" s="669">
        <f t="shared" si="18"/>
        <v>9.24</v>
      </c>
    </row>
    <row r="375" spans="1:39" s="500" customFormat="1" hidden="1">
      <c r="A375" s="542" t="s">
        <v>868</v>
      </c>
      <c r="B375" s="542" t="s">
        <v>1266</v>
      </c>
      <c r="C375" s="616"/>
      <c r="D375" s="519"/>
      <c r="E375" s="915"/>
      <c r="F375" s="520"/>
      <c r="G375" s="520"/>
      <c r="H375" s="520"/>
      <c r="I375" s="521"/>
      <c r="J375" s="521"/>
      <c r="K375" s="521"/>
      <c r="L375" s="923"/>
      <c r="M375" s="514"/>
      <c r="N375" s="514"/>
      <c r="O375" s="514"/>
      <c r="P375" s="514"/>
      <c r="Q375" s="514"/>
      <c r="R375" s="514"/>
      <c r="S375" s="923"/>
      <c r="T375" s="514"/>
      <c r="U375" s="514"/>
      <c r="V375" s="514"/>
      <c r="W375" s="514"/>
      <c r="X375" s="514"/>
      <c r="Y375" s="514"/>
      <c r="Z375" s="923"/>
      <c r="AA375" s="514"/>
      <c r="AB375" s="514"/>
      <c r="AC375" s="514"/>
      <c r="AD375" s="514"/>
      <c r="AE375" s="774"/>
      <c r="AF375" s="514"/>
      <c r="AG375" s="897"/>
      <c r="AH375" s="789"/>
      <c r="AI375" s="786">
        <f t="shared" si="19"/>
        <v>0</v>
      </c>
      <c r="AJ375" s="521">
        <v>0</v>
      </c>
      <c r="AK375" s="520">
        <f t="shared" si="17"/>
        <v>0</v>
      </c>
      <c r="AL375" s="695"/>
      <c r="AM375" s="669">
        <f t="shared" si="18"/>
        <v>0</v>
      </c>
    </row>
    <row r="376" spans="1:39" s="500" customFormat="1" hidden="1">
      <c r="A376" s="539" t="s">
        <v>869</v>
      </c>
      <c r="B376" s="539" t="s">
        <v>1267</v>
      </c>
      <c r="C376" s="548" t="s">
        <v>1451</v>
      </c>
      <c r="D376" s="519"/>
      <c r="E376" s="915"/>
      <c r="F376" s="520"/>
      <c r="G376" s="520"/>
      <c r="H376" s="520"/>
      <c r="I376" s="521"/>
      <c r="J376" s="521"/>
      <c r="K376" s="521"/>
      <c r="L376" s="923"/>
      <c r="M376" s="514"/>
      <c r="N376" s="514"/>
      <c r="O376" s="514"/>
      <c r="P376" s="514"/>
      <c r="Q376" s="514"/>
      <c r="R376" s="514"/>
      <c r="S376" s="923"/>
      <c r="T376" s="514"/>
      <c r="U376" s="514"/>
      <c r="V376" s="514"/>
      <c r="W376" s="514"/>
      <c r="X376" s="514"/>
      <c r="Y376" s="514"/>
      <c r="Z376" s="923"/>
      <c r="AA376" s="514"/>
      <c r="AB376" s="514"/>
      <c r="AC376" s="514"/>
      <c r="AD376" s="514"/>
      <c r="AE376" s="774"/>
      <c r="AF376" s="514"/>
      <c r="AG376" s="897"/>
      <c r="AH376" s="789"/>
      <c r="AI376" s="786">
        <f t="shared" si="19"/>
        <v>0</v>
      </c>
      <c r="AJ376" s="521">
        <v>0</v>
      </c>
      <c r="AK376" s="520">
        <f t="shared" si="17"/>
        <v>0</v>
      </c>
      <c r="AL376" s="695" t="s">
        <v>1670</v>
      </c>
      <c r="AM376" s="669">
        <f t="shared" si="18"/>
        <v>20</v>
      </c>
    </row>
    <row r="377" spans="1:39" s="500" customFormat="1" hidden="1">
      <c r="A377" s="539" t="s">
        <v>870</v>
      </c>
      <c r="B377" s="539" t="s">
        <v>1268</v>
      </c>
      <c r="C377" s="548" t="s">
        <v>36</v>
      </c>
      <c r="D377" s="519"/>
      <c r="E377" s="915"/>
      <c r="F377" s="520"/>
      <c r="G377" s="520"/>
      <c r="H377" s="520"/>
      <c r="I377" s="521"/>
      <c r="J377" s="521"/>
      <c r="K377" s="521"/>
      <c r="L377" s="923"/>
      <c r="M377" s="514"/>
      <c r="N377" s="514"/>
      <c r="O377" s="514"/>
      <c r="P377" s="514"/>
      <c r="Q377" s="514"/>
      <c r="R377" s="514"/>
      <c r="S377" s="923"/>
      <c r="T377" s="514"/>
      <c r="U377" s="514"/>
      <c r="V377" s="514"/>
      <c r="W377" s="514"/>
      <c r="X377" s="514"/>
      <c r="Y377" s="514"/>
      <c r="Z377" s="923"/>
      <c r="AA377" s="514"/>
      <c r="AB377" s="514"/>
      <c r="AC377" s="514"/>
      <c r="AD377" s="514"/>
      <c r="AE377" s="774"/>
      <c r="AF377" s="514"/>
      <c r="AG377" s="897"/>
      <c r="AH377" s="789"/>
      <c r="AI377" s="786">
        <f t="shared" si="19"/>
        <v>0</v>
      </c>
      <c r="AJ377" s="521">
        <v>0</v>
      </c>
      <c r="AK377" s="520">
        <f t="shared" si="17"/>
        <v>0</v>
      </c>
      <c r="AL377" s="695" t="s">
        <v>1671</v>
      </c>
      <c r="AM377" s="669">
        <f t="shared" si="18"/>
        <v>4</v>
      </c>
    </row>
    <row r="378" spans="1:39" s="500" customFormat="1" hidden="1">
      <c r="A378" s="539" t="s">
        <v>871</v>
      </c>
      <c r="B378" s="539" t="s">
        <v>1293</v>
      </c>
      <c r="C378" s="548" t="s">
        <v>1451</v>
      </c>
      <c r="D378" s="519"/>
      <c r="E378" s="915"/>
      <c r="F378" s="520"/>
      <c r="G378" s="520"/>
      <c r="H378" s="520"/>
      <c r="I378" s="521"/>
      <c r="J378" s="521"/>
      <c r="K378" s="521"/>
      <c r="L378" s="923"/>
      <c r="M378" s="514"/>
      <c r="N378" s="514"/>
      <c r="O378" s="514"/>
      <c r="P378" s="514"/>
      <c r="Q378" s="514"/>
      <c r="R378" s="514"/>
      <c r="S378" s="923"/>
      <c r="T378" s="514"/>
      <c r="U378" s="514"/>
      <c r="V378" s="514"/>
      <c r="W378" s="514"/>
      <c r="X378" s="514"/>
      <c r="Y378" s="514"/>
      <c r="Z378" s="923"/>
      <c r="AA378" s="514"/>
      <c r="AB378" s="514"/>
      <c r="AC378" s="514"/>
      <c r="AD378" s="514"/>
      <c r="AE378" s="774"/>
      <c r="AF378" s="514"/>
      <c r="AG378" s="897"/>
      <c r="AH378" s="789"/>
      <c r="AI378" s="786">
        <f t="shared" si="19"/>
        <v>0</v>
      </c>
      <c r="AJ378" s="521">
        <v>0</v>
      </c>
      <c r="AK378" s="520">
        <f t="shared" si="17"/>
        <v>0</v>
      </c>
      <c r="AL378" s="695" t="s">
        <v>1671</v>
      </c>
      <c r="AM378" s="669">
        <f t="shared" si="18"/>
        <v>4</v>
      </c>
    </row>
    <row r="379" spans="1:39" s="500" customFormat="1" hidden="1">
      <c r="A379" s="542" t="s">
        <v>872</v>
      </c>
      <c r="B379" s="542" t="s">
        <v>1269</v>
      </c>
      <c r="C379" s="616"/>
      <c r="D379" s="519"/>
      <c r="E379" s="915"/>
      <c r="F379" s="520"/>
      <c r="G379" s="520"/>
      <c r="H379" s="520"/>
      <c r="I379" s="521"/>
      <c r="J379" s="521"/>
      <c r="K379" s="521"/>
      <c r="L379" s="923"/>
      <c r="M379" s="514"/>
      <c r="N379" s="514"/>
      <c r="O379" s="514"/>
      <c r="P379" s="514"/>
      <c r="Q379" s="514"/>
      <c r="R379" s="514"/>
      <c r="S379" s="923"/>
      <c r="T379" s="514"/>
      <c r="U379" s="514"/>
      <c r="V379" s="514"/>
      <c r="W379" s="514"/>
      <c r="X379" s="514"/>
      <c r="Y379" s="514"/>
      <c r="Z379" s="923"/>
      <c r="AA379" s="514"/>
      <c r="AB379" s="514"/>
      <c r="AC379" s="514"/>
      <c r="AD379" s="514"/>
      <c r="AE379" s="774"/>
      <c r="AF379" s="514"/>
      <c r="AG379" s="897"/>
      <c r="AH379" s="789"/>
      <c r="AI379" s="786">
        <f t="shared" si="19"/>
        <v>0</v>
      </c>
      <c r="AJ379" s="521">
        <v>0</v>
      </c>
      <c r="AK379" s="520">
        <f t="shared" si="17"/>
        <v>0</v>
      </c>
      <c r="AL379" s="695"/>
      <c r="AM379" s="669">
        <f t="shared" si="18"/>
        <v>0</v>
      </c>
    </row>
    <row r="380" spans="1:39" s="500" customFormat="1" hidden="1">
      <c r="A380" s="539" t="s">
        <v>873</v>
      </c>
      <c r="B380" s="539" t="s">
        <v>1270</v>
      </c>
      <c r="C380" s="548" t="s">
        <v>37</v>
      </c>
      <c r="D380" s="519"/>
      <c r="E380" s="915"/>
      <c r="F380" s="520"/>
      <c r="G380" s="520"/>
      <c r="H380" s="520"/>
      <c r="I380" s="521"/>
      <c r="J380" s="521"/>
      <c r="K380" s="521"/>
      <c r="L380" s="923"/>
      <c r="M380" s="514"/>
      <c r="N380" s="514"/>
      <c r="O380" s="514"/>
      <c r="P380" s="514"/>
      <c r="Q380" s="514"/>
      <c r="R380" s="514"/>
      <c r="S380" s="923"/>
      <c r="T380" s="514"/>
      <c r="U380" s="514"/>
      <c r="V380" s="514"/>
      <c r="W380" s="514"/>
      <c r="X380" s="514"/>
      <c r="Y380" s="514"/>
      <c r="Z380" s="923"/>
      <c r="AA380" s="514"/>
      <c r="AB380" s="514"/>
      <c r="AC380" s="514"/>
      <c r="AD380" s="514"/>
      <c r="AE380" s="774"/>
      <c r="AF380" s="514"/>
      <c r="AG380" s="897"/>
      <c r="AH380" s="789"/>
      <c r="AI380" s="786">
        <f t="shared" si="19"/>
        <v>0</v>
      </c>
      <c r="AJ380" s="521">
        <v>0</v>
      </c>
      <c r="AK380" s="520">
        <f t="shared" si="17"/>
        <v>0</v>
      </c>
      <c r="AL380" s="695" t="s">
        <v>1672</v>
      </c>
      <c r="AM380" s="669">
        <f t="shared" si="18"/>
        <v>18.09</v>
      </c>
    </row>
    <row r="381" spans="1:39" s="500" customFormat="1" hidden="1">
      <c r="A381" s="539" t="s">
        <v>874</v>
      </c>
      <c r="B381" s="539" t="s">
        <v>1271</v>
      </c>
      <c r="C381" s="548" t="s">
        <v>37</v>
      </c>
      <c r="D381" s="519"/>
      <c r="E381" s="915"/>
      <c r="F381" s="520"/>
      <c r="G381" s="520"/>
      <c r="H381" s="520"/>
      <c r="I381" s="521"/>
      <c r="J381" s="521"/>
      <c r="K381" s="521"/>
      <c r="L381" s="923"/>
      <c r="M381" s="514"/>
      <c r="N381" s="514"/>
      <c r="O381" s="514"/>
      <c r="P381" s="514"/>
      <c r="Q381" s="514"/>
      <c r="R381" s="514"/>
      <c r="S381" s="923"/>
      <c r="T381" s="514"/>
      <c r="U381" s="514"/>
      <c r="V381" s="514"/>
      <c r="W381" s="514"/>
      <c r="X381" s="514"/>
      <c r="Y381" s="514"/>
      <c r="Z381" s="923"/>
      <c r="AA381" s="514"/>
      <c r="AB381" s="514"/>
      <c r="AC381" s="514"/>
      <c r="AD381" s="514"/>
      <c r="AE381" s="774"/>
      <c r="AF381" s="514"/>
      <c r="AG381" s="897"/>
      <c r="AH381" s="789"/>
      <c r="AI381" s="786">
        <f t="shared" si="19"/>
        <v>0</v>
      </c>
      <c r="AJ381" s="521">
        <v>0</v>
      </c>
      <c r="AK381" s="520">
        <f t="shared" si="17"/>
        <v>0</v>
      </c>
      <c r="AL381" s="695" t="s">
        <v>1673</v>
      </c>
      <c r="AM381" s="669">
        <f t="shared" si="18"/>
        <v>1.75</v>
      </c>
    </row>
    <row r="382" spans="1:39" s="500" customFormat="1" hidden="1">
      <c r="A382" s="542" t="s">
        <v>875</v>
      </c>
      <c r="B382" s="542" t="s">
        <v>1272</v>
      </c>
      <c r="C382" s="616"/>
      <c r="D382" s="519"/>
      <c r="E382" s="915"/>
      <c r="F382" s="520"/>
      <c r="G382" s="520"/>
      <c r="H382" s="520"/>
      <c r="I382" s="521"/>
      <c r="J382" s="521"/>
      <c r="K382" s="521"/>
      <c r="L382" s="923"/>
      <c r="M382" s="514"/>
      <c r="N382" s="514"/>
      <c r="O382" s="514"/>
      <c r="P382" s="514"/>
      <c r="Q382" s="514"/>
      <c r="R382" s="514"/>
      <c r="S382" s="923"/>
      <c r="T382" s="514"/>
      <c r="U382" s="514"/>
      <c r="V382" s="514"/>
      <c r="W382" s="514"/>
      <c r="X382" s="514"/>
      <c r="Y382" s="514"/>
      <c r="Z382" s="923"/>
      <c r="AA382" s="514"/>
      <c r="AB382" s="514"/>
      <c r="AC382" s="514"/>
      <c r="AD382" s="514"/>
      <c r="AE382" s="774"/>
      <c r="AF382" s="514"/>
      <c r="AG382" s="897"/>
      <c r="AH382" s="789"/>
      <c r="AI382" s="786">
        <f t="shared" si="19"/>
        <v>0</v>
      </c>
      <c r="AJ382" s="521">
        <v>0</v>
      </c>
      <c r="AK382" s="520">
        <f t="shared" si="17"/>
        <v>0</v>
      </c>
      <c r="AL382" s="695"/>
      <c r="AM382" s="669">
        <f t="shared" si="18"/>
        <v>0</v>
      </c>
    </row>
    <row r="383" spans="1:39" s="500" customFormat="1" hidden="1">
      <c r="A383" s="539" t="s">
        <v>876</v>
      </c>
      <c r="B383" s="539" t="s">
        <v>1273</v>
      </c>
      <c r="C383" s="548" t="s">
        <v>37</v>
      </c>
      <c r="D383" s="519"/>
      <c r="E383" s="915"/>
      <c r="F383" s="520"/>
      <c r="G383" s="520"/>
      <c r="H383" s="520"/>
      <c r="I383" s="521"/>
      <c r="J383" s="521"/>
      <c r="K383" s="521"/>
      <c r="L383" s="923"/>
      <c r="M383" s="514"/>
      <c r="N383" s="514"/>
      <c r="O383" s="514"/>
      <c r="P383" s="514"/>
      <c r="Q383" s="514"/>
      <c r="R383" s="514"/>
      <c r="S383" s="923"/>
      <c r="T383" s="514"/>
      <c r="U383" s="514"/>
      <c r="V383" s="514"/>
      <c r="W383" s="514"/>
      <c r="X383" s="514"/>
      <c r="Y383" s="514"/>
      <c r="Z383" s="923"/>
      <c r="AA383" s="514"/>
      <c r="AB383" s="514"/>
      <c r="AC383" s="514"/>
      <c r="AD383" s="514"/>
      <c r="AE383" s="774"/>
      <c r="AF383" s="514"/>
      <c r="AG383" s="897"/>
      <c r="AH383" s="789"/>
      <c r="AI383" s="786">
        <f t="shared" si="19"/>
        <v>0</v>
      </c>
      <c r="AJ383" s="521">
        <v>0</v>
      </c>
      <c r="AK383" s="520">
        <f t="shared" si="17"/>
        <v>0</v>
      </c>
      <c r="AL383" s="695" t="s">
        <v>1655</v>
      </c>
      <c r="AM383" s="669">
        <f t="shared" si="18"/>
        <v>65.92</v>
      </c>
    </row>
    <row r="384" spans="1:39" s="500" customFormat="1" hidden="1">
      <c r="A384" s="539" t="s">
        <v>877</v>
      </c>
      <c r="B384" s="539" t="s">
        <v>1274</v>
      </c>
      <c r="C384" s="548" t="s">
        <v>37</v>
      </c>
      <c r="D384" s="519"/>
      <c r="E384" s="915"/>
      <c r="F384" s="520"/>
      <c r="G384" s="520"/>
      <c r="H384" s="520"/>
      <c r="I384" s="521"/>
      <c r="J384" s="521"/>
      <c r="K384" s="521"/>
      <c r="L384" s="923"/>
      <c r="M384" s="514"/>
      <c r="N384" s="514"/>
      <c r="O384" s="514"/>
      <c r="P384" s="514"/>
      <c r="Q384" s="514"/>
      <c r="R384" s="514"/>
      <c r="S384" s="923"/>
      <c r="T384" s="514"/>
      <c r="U384" s="514"/>
      <c r="V384" s="514"/>
      <c r="W384" s="514"/>
      <c r="X384" s="514"/>
      <c r="Y384" s="514"/>
      <c r="Z384" s="923"/>
      <c r="AA384" s="514"/>
      <c r="AB384" s="514"/>
      <c r="AC384" s="514"/>
      <c r="AD384" s="514"/>
      <c r="AE384" s="774"/>
      <c r="AF384" s="514"/>
      <c r="AG384" s="897"/>
      <c r="AH384" s="789"/>
      <c r="AI384" s="786">
        <f t="shared" si="19"/>
        <v>0</v>
      </c>
      <c r="AJ384" s="521">
        <v>0</v>
      </c>
      <c r="AK384" s="520">
        <f t="shared" si="17"/>
        <v>0</v>
      </c>
      <c r="AL384" s="695" t="s">
        <v>1648</v>
      </c>
      <c r="AM384" s="669">
        <f t="shared" si="18"/>
        <v>99.99</v>
      </c>
    </row>
    <row r="385" spans="1:39" s="500" customFormat="1" hidden="1">
      <c r="A385" s="539" t="s">
        <v>878</v>
      </c>
      <c r="B385" s="539" t="s">
        <v>1275</v>
      </c>
      <c r="C385" s="548" t="s">
        <v>37</v>
      </c>
      <c r="D385" s="519"/>
      <c r="E385" s="915"/>
      <c r="F385" s="520"/>
      <c r="G385" s="520"/>
      <c r="H385" s="520"/>
      <c r="I385" s="521"/>
      <c r="J385" s="521"/>
      <c r="K385" s="521"/>
      <c r="L385" s="923"/>
      <c r="M385" s="514"/>
      <c r="N385" s="514"/>
      <c r="O385" s="514"/>
      <c r="P385" s="514"/>
      <c r="Q385" s="514"/>
      <c r="R385" s="514"/>
      <c r="S385" s="923"/>
      <c r="T385" s="514"/>
      <c r="U385" s="514"/>
      <c r="V385" s="514"/>
      <c r="W385" s="514"/>
      <c r="X385" s="514"/>
      <c r="Y385" s="514"/>
      <c r="Z385" s="923"/>
      <c r="AA385" s="514"/>
      <c r="AB385" s="514"/>
      <c r="AC385" s="514"/>
      <c r="AD385" s="514"/>
      <c r="AE385" s="774"/>
      <c r="AF385" s="514"/>
      <c r="AG385" s="897"/>
      <c r="AH385" s="789"/>
      <c r="AI385" s="786">
        <f t="shared" si="19"/>
        <v>0</v>
      </c>
      <c r="AJ385" s="521">
        <v>0</v>
      </c>
      <c r="AK385" s="520">
        <f t="shared" si="17"/>
        <v>0</v>
      </c>
      <c r="AL385" s="695" t="s">
        <v>1649</v>
      </c>
      <c r="AM385" s="669">
        <f t="shared" si="18"/>
        <v>60.07</v>
      </c>
    </row>
    <row r="386" spans="1:39" s="500" customFormat="1" hidden="1">
      <c r="A386" s="539" t="s">
        <v>879</v>
      </c>
      <c r="B386" s="539" t="s">
        <v>1276</v>
      </c>
      <c r="C386" s="548" t="s">
        <v>37</v>
      </c>
      <c r="D386" s="519"/>
      <c r="E386" s="915"/>
      <c r="F386" s="520"/>
      <c r="G386" s="520"/>
      <c r="H386" s="520"/>
      <c r="I386" s="521"/>
      <c r="J386" s="521"/>
      <c r="K386" s="521"/>
      <c r="L386" s="923"/>
      <c r="M386" s="514"/>
      <c r="N386" s="514"/>
      <c r="O386" s="514"/>
      <c r="P386" s="514"/>
      <c r="Q386" s="514"/>
      <c r="R386" s="514"/>
      <c r="S386" s="923"/>
      <c r="T386" s="514"/>
      <c r="U386" s="514"/>
      <c r="V386" s="514"/>
      <c r="W386" s="514"/>
      <c r="X386" s="514"/>
      <c r="Y386" s="514"/>
      <c r="Z386" s="923"/>
      <c r="AA386" s="514"/>
      <c r="AB386" s="514"/>
      <c r="AC386" s="514"/>
      <c r="AD386" s="514"/>
      <c r="AE386" s="774"/>
      <c r="AF386" s="514"/>
      <c r="AG386" s="897"/>
      <c r="AH386" s="789"/>
      <c r="AI386" s="786">
        <f t="shared" si="19"/>
        <v>0</v>
      </c>
      <c r="AJ386" s="521">
        <v>0</v>
      </c>
      <c r="AK386" s="520">
        <f t="shared" si="17"/>
        <v>0</v>
      </c>
      <c r="AL386" s="695" t="s">
        <v>1650</v>
      </c>
      <c r="AM386" s="669">
        <f t="shared" si="18"/>
        <v>33.6</v>
      </c>
    </row>
    <row r="387" spans="1:39" s="500" customFormat="1" hidden="1">
      <c r="A387" s="539" t="s">
        <v>880</v>
      </c>
      <c r="B387" s="539" t="s">
        <v>1277</v>
      </c>
      <c r="C387" s="548" t="s">
        <v>37</v>
      </c>
      <c r="D387" s="519"/>
      <c r="E387" s="915"/>
      <c r="F387" s="520"/>
      <c r="G387" s="520"/>
      <c r="H387" s="520"/>
      <c r="I387" s="521"/>
      <c r="J387" s="521"/>
      <c r="K387" s="521"/>
      <c r="L387" s="923"/>
      <c r="M387" s="514"/>
      <c r="N387" s="514"/>
      <c r="O387" s="514"/>
      <c r="P387" s="514"/>
      <c r="Q387" s="514"/>
      <c r="R387" s="514"/>
      <c r="S387" s="923"/>
      <c r="T387" s="514"/>
      <c r="U387" s="514"/>
      <c r="V387" s="514"/>
      <c r="W387" s="514"/>
      <c r="X387" s="514"/>
      <c r="Y387" s="514"/>
      <c r="Z387" s="923"/>
      <c r="AA387" s="514"/>
      <c r="AB387" s="514"/>
      <c r="AC387" s="514"/>
      <c r="AD387" s="514"/>
      <c r="AE387" s="774"/>
      <c r="AF387" s="514"/>
      <c r="AG387" s="897"/>
      <c r="AH387" s="789"/>
      <c r="AI387" s="786">
        <f t="shared" si="19"/>
        <v>0</v>
      </c>
      <c r="AJ387" s="521">
        <v>0</v>
      </c>
      <c r="AK387" s="520">
        <f t="shared" si="17"/>
        <v>0</v>
      </c>
      <c r="AL387" s="695" t="s">
        <v>1651</v>
      </c>
      <c r="AM387" s="669">
        <f t="shared" si="18"/>
        <v>27.42</v>
      </c>
    </row>
    <row r="388" spans="1:39" s="500" customFormat="1" hidden="1">
      <c r="A388" s="539" t="s">
        <v>881</v>
      </c>
      <c r="B388" s="539" t="s">
        <v>1278</v>
      </c>
      <c r="C388" s="548" t="s">
        <v>37</v>
      </c>
      <c r="D388" s="519"/>
      <c r="E388" s="915"/>
      <c r="F388" s="520"/>
      <c r="G388" s="520"/>
      <c r="H388" s="520"/>
      <c r="I388" s="521"/>
      <c r="J388" s="521"/>
      <c r="K388" s="521"/>
      <c r="L388" s="923"/>
      <c r="M388" s="514"/>
      <c r="N388" s="514"/>
      <c r="O388" s="514"/>
      <c r="P388" s="514"/>
      <c r="Q388" s="514"/>
      <c r="R388" s="514"/>
      <c r="S388" s="923"/>
      <c r="T388" s="514"/>
      <c r="U388" s="514"/>
      <c r="V388" s="514"/>
      <c r="W388" s="514"/>
      <c r="X388" s="514"/>
      <c r="Y388" s="514"/>
      <c r="Z388" s="923"/>
      <c r="AA388" s="514"/>
      <c r="AB388" s="514"/>
      <c r="AC388" s="514"/>
      <c r="AD388" s="514"/>
      <c r="AE388" s="774"/>
      <c r="AF388" s="514"/>
      <c r="AG388" s="897"/>
      <c r="AH388" s="789"/>
      <c r="AI388" s="786">
        <f t="shared" si="19"/>
        <v>0</v>
      </c>
      <c r="AJ388" s="521">
        <v>0</v>
      </c>
      <c r="AK388" s="520">
        <f t="shared" si="17"/>
        <v>0</v>
      </c>
      <c r="AL388" s="695" t="s">
        <v>1635</v>
      </c>
      <c r="AM388" s="669">
        <f t="shared" si="18"/>
        <v>15.8</v>
      </c>
    </row>
    <row r="389" spans="1:39" s="500" customFormat="1" hidden="1">
      <c r="A389" s="539" t="s">
        <v>882</v>
      </c>
      <c r="B389" s="539" t="s">
        <v>1279</v>
      </c>
      <c r="C389" s="548" t="s">
        <v>37</v>
      </c>
      <c r="D389" s="519"/>
      <c r="E389" s="915"/>
      <c r="F389" s="520"/>
      <c r="G389" s="520"/>
      <c r="H389" s="520"/>
      <c r="I389" s="521"/>
      <c r="J389" s="521"/>
      <c r="K389" s="521"/>
      <c r="L389" s="923"/>
      <c r="M389" s="514"/>
      <c r="N389" s="514"/>
      <c r="O389" s="514"/>
      <c r="P389" s="514"/>
      <c r="Q389" s="514"/>
      <c r="R389" s="514"/>
      <c r="S389" s="923"/>
      <c r="T389" s="514"/>
      <c r="U389" s="514"/>
      <c r="V389" s="514"/>
      <c r="W389" s="514"/>
      <c r="X389" s="514"/>
      <c r="Y389" s="514"/>
      <c r="Z389" s="923"/>
      <c r="AA389" s="514"/>
      <c r="AB389" s="514"/>
      <c r="AC389" s="514"/>
      <c r="AD389" s="514"/>
      <c r="AE389" s="774"/>
      <c r="AF389" s="514"/>
      <c r="AG389" s="897"/>
      <c r="AH389" s="789"/>
      <c r="AI389" s="786">
        <f t="shared" si="19"/>
        <v>0</v>
      </c>
      <c r="AJ389" s="521">
        <v>0</v>
      </c>
      <c r="AK389" s="520">
        <f t="shared" si="17"/>
        <v>0</v>
      </c>
      <c r="AL389" s="695" t="s">
        <v>1674</v>
      </c>
      <c r="AM389" s="669">
        <f t="shared" si="18"/>
        <v>14.7</v>
      </c>
    </row>
    <row r="390" spans="1:39" s="500" customFormat="1" hidden="1">
      <c r="A390" s="542" t="s">
        <v>883</v>
      </c>
      <c r="B390" s="542" t="s">
        <v>1280</v>
      </c>
      <c r="C390" s="616"/>
      <c r="D390" s="519"/>
      <c r="E390" s="915"/>
      <c r="F390" s="520"/>
      <c r="G390" s="520"/>
      <c r="H390" s="520"/>
      <c r="I390" s="521"/>
      <c r="J390" s="521"/>
      <c r="K390" s="521"/>
      <c r="L390" s="923"/>
      <c r="M390" s="514"/>
      <c r="N390" s="514"/>
      <c r="O390" s="514"/>
      <c r="P390" s="514"/>
      <c r="Q390" s="514"/>
      <c r="R390" s="514"/>
      <c r="S390" s="923"/>
      <c r="T390" s="514"/>
      <c r="U390" s="514"/>
      <c r="V390" s="514"/>
      <c r="W390" s="514"/>
      <c r="X390" s="514"/>
      <c r="Y390" s="514"/>
      <c r="Z390" s="923"/>
      <c r="AA390" s="514"/>
      <c r="AB390" s="514"/>
      <c r="AC390" s="514"/>
      <c r="AD390" s="514"/>
      <c r="AE390" s="774"/>
      <c r="AF390" s="514"/>
      <c r="AG390" s="897"/>
      <c r="AH390" s="789"/>
      <c r="AI390" s="786">
        <f t="shared" si="19"/>
        <v>0</v>
      </c>
      <c r="AJ390" s="521">
        <v>0</v>
      </c>
      <c r="AK390" s="520">
        <f t="shared" si="17"/>
        <v>0</v>
      </c>
      <c r="AL390" s="695"/>
      <c r="AM390" s="669">
        <f t="shared" si="18"/>
        <v>0</v>
      </c>
    </row>
    <row r="391" spans="1:39" s="500" customFormat="1" hidden="1">
      <c r="A391" s="539" t="s">
        <v>884</v>
      </c>
      <c r="B391" s="539" t="s">
        <v>1281</v>
      </c>
      <c r="C391" s="548" t="s">
        <v>1450</v>
      </c>
      <c r="D391" s="519"/>
      <c r="E391" s="915"/>
      <c r="F391" s="520"/>
      <c r="G391" s="520"/>
      <c r="H391" s="520"/>
      <c r="I391" s="521"/>
      <c r="J391" s="521"/>
      <c r="K391" s="521"/>
      <c r="L391" s="923"/>
      <c r="M391" s="514"/>
      <c r="N391" s="514"/>
      <c r="O391" s="514"/>
      <c r="P391" s="514"/>
      <c r="Q391" s="514"/>
      <c r="R391" s="514"/>
      <c r="S391" s="923"/>
      <c r="T391" s="514"/>
      <c r="U391" s="514"/>
      <c r="V391" s="514"/>
      <c r="W391" s="514"/>
      <c r="X391" s="514"/>
      <c r="Y391" s="514"/>
      <c r="Z391" s="923"/>
      <c r="AA391" s="514"/>
      <c r="AB391" s="514"/>
      <c r="AC391" s="514"/>
      <c r="AD391" s="514"/>
      <c r="AE391" s="774"/>
      <c r="AF391" s="514"/>
      <c r="AG391" s="897"/>
      <c r="AH391" s="789"/>
      <c r="AI391" s="786">
        <f t="shared" si="19"/>
        <v>0</v>
      </c>
      <c r="AJ391" s="521">
        <v>0</v>
      </c>
      <c r="AK391" s="520">
        <f t="shared" si="17"/>
        <v>0</v>
      </c>
      <c r="AL391" s="695" t="s">
        <v>1675</v>
      </c>
      <c r="AM391" s="669">
        <f t="shared" si="18"/>
        <v>8</v>
      </c>
    </row>
    <row r="392" spans="1:39" s="500" customFormat="1" hidden="1">
      <c r="A392" s="539" t="s">
        <v>885</v>
      </c>
      <c r="B392" s="539" t="s">
        <v>1282</v>
      </c>
      <c r="C392" s="548" t="s">
        <v>64</v>
      </c>
      <c r="D392" s="519"/>
      <c r="E392" s="915"/>
      <c r="F392" s="520"/>
      <c r="G392" s="520"/>
      <c r="H392" s="520"/>
      <c r="I392" s="521"/>
      <c r="J392" s="521"/>
      <c r="K392" s="521"/>
      <c r="L392" s="923"/>
      <c r="M392" s="514"/>
      <c r="N392" s="514"/>
      <c r="O392" s="514"/>
      <c r="P392" s="514"/>
      <c r="Q392" s="514"/>
      <c r="R392" s="514"/>
      <c r="S392" s="923"/>
      <c r="T392" s="514"/>
      <c r="U392" s="514"/>
      <c r="V392" s="514"/>
      <c r="W392" s="514"/>
      <c r="X392" s="514"/>
      <c r="Y392" s="514"/>
      <c r="Z392" s="923"/>
      <c r="AA392" s="514"/>
      <c r="AB392" s="514"/>
      <c r="AC392" s="514"/>
      <c r="AD392" s="514"/>
      <c r="AE392" s="774"/>
      <c r="AF392" s="514"/>
      <c r="AG392" s="897"/>
      <c r="AH392" s="789"/>
      <c r="AI392" s="786">
        <f t="shared" si="19"/>
        <v>0</v>
      </c>
      <c r="AJ392" s="521">
        <v>0</v>
      </c>
      <c r="AK392" s="520">
        <f t="shared" si="17"/>
        <v>0</v>
      </c>
      <c r="AL392" s="695" t="s">
        <v>1455</v>
      </c>
      <c r="AM392" s="669">
        <f t="shared" si="18"/>
        <v>1</v>
      </c>
    </row>
    <row r="393" spans="1:39" s="500" customFormat="1" hidden="1">
      <c r="A393" s="539" t="s">
        <v>886</v>
      </c>
      <c r="B393" s="539" t="s">
        <v>1283</v>
      </c>
      <c r="C393" s="548" t="s">
        <v>37</v>
      </c>
      <c r="D393" s="519"/>
      <c r="E393" s="915"/>
      <c r="F393" s="520"/>
      <c r="G393" s="520"/>
      <c r="H393" s="520"/>
      <c r="I393" s="521"/>
      <c r="J393" s="521"/>
      <c r="K393" s="521"/>
      <c r="L393" s="923"/>
      <c r="M393" s="514"/>
      <c r="N393" s="514"/>
      <c r="O393" s="514"/>
      <c r="P393" s="514"/>
      <c r="Q393" s="514"/>
      <c r="R393" s="514"/>
      <c r="S393" s="923"/>
      <c r="T393" s="514"/>
      <c r="U393" s="514"/>
      <c r="V393" s="514"/>
      <c r="W393" s="514"/>
      <c r="X393" s="514"/>
      <c r="Y393" s="514"/>
      <c r="Z393" s="923"/>
      <c r="AA393" s="514"/>
      <c r="AB393" s="514"/>
      <c r="AC393" s="514"/>
      <c r="AD393" s="514"/>
      <c r="AE393" s="774"/>
      <c r="AF393" s="514"/>
      <c r="AG393" s="897"/>
      <c r="AH393" s="789"/>
      <c r="AI393" s="786">
        <f t="shared" si="19"/>
        <v>0</v>
      </c>
      <c r="AJ393" s="521">
        <v>0</v>
      </c>
      <c r="AK393" s="520">
        <f t="shared" si="17"/>
        <v>0</v>
      </c>
      <c r="AL393" s="695" t="s">
        <v>1676</v>
      </c>
      <c r="AM393" s="669">
        <f t="shared" si="18"/>
        <v>19.84</v>
      </c>
    </row>
    <row r="394" spans="1:39" s="500" customFormat="1" hidden="1">
      <c r="A394" s="440" t="s">
        <v>484</v>
      </c>
      <c r="B394" s="543" t="s">
        <v>1155</v>
      </c>
      <c r="C394" s="616"/>
      <c r="D394" s="519"/>
      <c r="E394" s="915"/>
      <c r="F394" s="520"/>
      <c r="G394" s="520"/>
      <c r="H394" s="520"/>
      <c r="I394" s="521"/>
      <c r="J394" s="521"/>
      <c r="K394" s="521"/>
      <c r="L394" s="923"/>
      <c r="M394" s="514"/>
      <c r="N394" s="514"/>
      <c r="O394" s="514"/>
      <c r="P394" s="514"/>
      <c r="Q394" s="514"/>
      <c r="R394" s="514"/>
      <c r="S394" s="923"/>
      <c r="T394" s="514"/>
      <c r="U394" s="514"/>
      <c r="V394" s="514"/>
      <c r="W394" s="514"/>
      <c r="X394" s="514"/>
      <c r="Y394" s="514"/>
      <c r="Z394" s="923"/>
      <c r="AA394" s="514"/>
      <c r="AB394" s="514"/>
      <c r="AC394" s="514"/>
      <c r="AD394" s="514"/>
      <c r="AE394" s="774"/>
      <c r="AF394" s="514"/>
      <c r="AG394" s="897"/>
      <c r="AH394" s="789"/>
      <c r="AI394" s="786">
        <f t="shared" si="19"/>
        <v>0</v>
      </c>
      <c r="AJ394" s="521">
        <v>0</v>
      </c>
      <c r="AK394" s="520">
        <f t="shared" si="17"/>
        <v>0</v>
      </c>
      <c r="AL394" s="695"/>
      <c r="AM394" s="669">
        <f t="shared" si="18"/>
        <v>0</v>
      </c>
    </row>
    <row r="395" spans="1:39" s="500" customFormat="1" hidden="1">
      <c r="A395" s="542" t="s">
        <v>485</v>
      </c>
      <c r="B395" s="542" t="s">
        <v>1236</v>
      </c>
      <c r="C395" s="616"/>
      <c r="D395" s="519"/>
      <c r="E395" s="915"/>
      <c r="F395" s="520"/>
      <c r="G395" s="520"/>
      <c r="H395" s="520"/>
      <c r="I395" s="521"/>
      <c r="J395" s="521"/>
      <c r="K395" s="521"/>
      <c r="L395" s="923"/>
      <c r="M395" s="514"/>
      <c r="N395" s="514"/>
      <c r="O395" s="514"/>
      <c r="P395" s="514"/>
      <c r="Q395" s="514"/>
      <c r="R395" s="514"/>
      <c r="S395" s="923"/>
      <c r="T395" s="514"/>
      <c r="U395" s="514"/>
      <c r="V395" s="514"/>
      <c r="W395" s="514"/>
      <c r="X395" s="514"/>
      <c r="Y395" s="514"/>
      <c r="Z395" s="923"/>
      <c r="AA395" s="514"/>
      <c r="AB395" s="514"/>
      <c r="AC395" s="514"/>
      <c r="AD395" s="514"/>
      <c r="AE395" s="774"/>
      <c r="AF395" s="514"/>
      <c r="AG395" s="897"/>
      <c r="AH395" s="789"/>
      <c r="AI395" s="786">
        <f t="shared" si="19"/>
        <v>0</v>
      </c>
      <c r="AJ395" s="521">
        <v>0</v>
      </c>
      <c r="AK395" s="520">
        <f t="shared" si="17"/>
        <v>0</v>
      </c>
      <c r="AL395" s="695"/>
      <c r="AM395" s="669">
        <f t="shared" si="18"/>
        <v>0</v>
      </c>
    </row>
    <row r="396" spans="1:39" s="500" customFormat="1" hidden="1">
      <c r="A396" s="539" t="s">
        <v>887</v>
      </c>
      <c r="B396" s="539" t="s">
        <v>1237</v>
      </c>
      <c r="C396" s="548" t="s">
        <v>37</v>
      </c>
      <c r="D396" s="519"/>
      <c r="E396" s="915"/>
      <c r="F396" s="520"/>
      <c r="G396" s="520"/>
      <c r="H396" s="520"/>
      <c r="I396" s="521"/>
      <c r="J396" s="521"/>
      <c r="K396" s="521"/>
      <c r="L396" s="923"/>
      <c r="M396" s="514"/>
      <c r="N396" s="514"/>
      <c r="O396" s="514"/>
      <c r="P396" s="514"/>
      <c r="Q396" s="514"/>
      <c r="R396" s="514"/>
      <c r="S396" s="923"/>
      <c r="T396" s="514"/>
      <c r="U396" s="514"/>
      <c r="V396" s="514"/>
      <c r="W396" s="514"/>
      <c r="X396" s="514"/>
      <c r="Y396" s="514"/>
      <c r="Z396" s="923"/>
      <c r="AA396" s="514"/>
      <c r="AB396" s="514"/>
      <c r="AC396" s="514"/>
      <c r="AD396" s="514"/>
      <c r="AE396" s="774"/>
      <c r="AF396" s="514"/>
      <c r="AG396" s="897"/>
      <c r="AH396" s="789"/>
      <c r="AI396" s="786">
        <f t="shared" si="19"/>
        <v>0</v>
      </c>
      <c r="AJ396" s="521">
        <v>0</v>
      </c>
      <c r="AK396" s="520">
        <f t="shared" si="17"/>
        <v>0</v>
      </c>
      <c r="AL396" s="695" t="s">
        <v>1677</v>
      </c>
      <c r="AM396" s="669">
        <f t="shared" si="18"/>
        <v>45.75</v>
      </c>
    </row>
    <row r="397" spans="1:39" s="500" customFormat="1" hidden="1">
      <c r="A397" s="539" t="s">
        <v>888</v>
      </c>
      <c r="B397" s="539" t="s">
        <v>1238</v>
      </c>
      <c r="C397" s="548" t="s">
        <v>37</v>
      </c>
      <c r="D397" s="519"/>
      <c r="E397" s="915"/>
      <c r="F397" s="520"/>
      <c r="G397" s="520"/>
      <c r="H397" s="520"/>
      <c r="I397" s="521"/>
      <c r="J397" s="521"/>
      <c r="K397" s="521"/>
      <c r="L397" s="923"/>
      <c r="M397" s="514"/>
      <c r="N397" s="514"/>
      <c r="O397" s="514"/>
      <c r="P397" s="514"/>
      <c r="Q397" s="514"/>
      <c r="R397" s="514"/>
      <c r="S397" s="923"/>
      <c r="T397" s="514"/>
      <c r="U397" s="514"/>
      <c r="V397" s="514"/>
      <c r="W397" s="514"/>
      <c r="X397" s="514"/>
      <c r="Y397" s="514"/>
      <c r="Z397" s="923"/>
      <c r="AA397" s="514"/>
      <c r="AB397" s="514"/>
      <c r="AC397" s="514"/>
      <c r="AD397" s="514"/>
      <c r="AE397" s="774"/>
      <c r="AF397" s="514"/>
      <c r="AG397" s="897"/>
      <c r="AH397" s="789"/>
      <c r="AI397" s="786">
        <f t="shared" si="19"/>
        <v>0</v>
      </c>
      <c r="AJ397" s="521">
        <v>0</v>
      </c>
      <c r="AK397" s="520">
        <f t="shared" si="17"/>
        <v>0</v>
      </c>
      <c r="AL397" s="695" t="s">
        <v>1678</v>
      </c>
      <c r="AM397" s="669">
        <f t="shared" si="18"/>
        <v>18.920000000000002</v>
      </c>
    </row>
    <row r="398" spans="1:39" s="500" customFormat="1" hidden="1">
      <c r="A398" s="542" t="s">
        <v>486</v>
      </c>
      <c r="B398" s="542" t="s">
        <v>1239</v>
      </c>
      <c r="C398" s="616"/>
      <c r="D398" s="519"/>
      <c r="E398" s="915"/>
      <c r="F398" s="520"/>
      <c r="G398" s="520"/>
      <c r="H398" s="520"/>
      <c r="I398" s="521"/>
      <c r="J398" s="521"/>
      <c r="K398" s="521"/>
      <c r="L398" s="923"/>
      <c r="M398" s="514"/>
      <c r="N398" s="514"/>
      <c r="O398" s="514"/>
      <c r="P398" s="514"/>
      <c r="Q398" s="514"/>
      <c r="R398" s="514"/>
      <c r="S398" s="923"/>
      <c r="T398" s="514"/>
      <c r="U398" s="514"/>
      <c r="V398" s="514"/>
      <c r="W398" s="514"/>
      <c r="X398" s="514"/>
      <c r="Y398" s="514"/>
      <c r="Z398" s="923"/>
      <c r="AA398" s="514"/>
      <c r="AB398" s="514"/>
      <c r="AC398" s="514"/>
      <c r="AD398" s="514"/>
      <c r="AE398" s="774"/>
      <c r="AF398" s="514"/>
      <c r="AG398" s="897"/>
      <c r="AH398" s="789"/>
      <c r="AI398" s="786">
        <f t="shared" si="19"/>
        <v>0</v>
      </c>
      <c r="AJ398" s="521">
        <v>0</v>
      </c>
      <c r="AK398" s="520">
        <f t="shared" ref="AK398:AK461" si="20">AI398+AJ398</f>
        <v>0</v>
      </c>
      <c r="AL398" s="695"/>
      <c r="AM398" s="669">
        <f t="shared" ref="AM398:AM461" si="21">AL398-AK398</f>
        <v>0</v>
      </c>
    </row>
    <row r="399" spans="1:39" s="500" customFormat="1" hidden="1">
      <c r="A399" s="539" t="s">
        <v>889</v>
      </c>
      <c r="B399" s="539" t="s">
        <v>1240</v>
      </c>
      <c r="C399" s="548" t="s">
        <v>37</v>
      </c>
      <c r="D399" s="519"/>
      <c r="E399" s="915"/>
      <c r="F399" s="520"/>
      <c r="G399" s="520"/>
      <c r="H399" s="520"/>
      <c r="I399" s="521"/>
      <c r="J399" s="521"/>
      <c r="K399" s="521"/>
      <c r="L399" s="923"/>
      <c r="M399" s="514"/>
      <c r="N399" s="514"/>
      <c r="O399" s="514"/>
      <c r="P399" s="514"/>
      <c r="Q399" s="514"/>
      <c r="R399" s="514"/>
      <c r="S399" s="923"/>
      <c r="T399" s="514"/>
      <c r="U399" s="514"/>
      <c r="V399" s="514"/>
      <c r="W399" s="514"/>
      <c r="X399" s="514"/>
      <c r="Y399" s="514"/>
      <c r="Z399" s="923"/>
      <c r="AA399" s="514"/>
      <c r="AB399" s="514"/>
      <c r="AC399" s="514"/>
      <c r="AD399" s="514"/>
      <c r="AE399" s="774"/>
      <c r="AF399" s="514"/>
      <c r="AG399" s="897"/>
      <c r="AH399" s="789"/>
      <c r="AI399" s="786">
        <f t="shared" ref="AI399:AI462" si="22">ROUND((SUM(D399:AH399)),2)</f>
        <v>0</v>
      </c>
      <c r="AJ399" s="521">
        <v>0</v>
      </c>
      <c r="AK399" s="520">
        <f t="shared" si="20"/>
        <v>0</v>
      </c>
      <c r="AL399" s="695" t="s">
        <v>1679</v>
      </c>
      <c r="AM399" s="669">
        <f t="shared" si="21"/>
        <v>83.58</v>
      </c>
    </row>
    <row r="400" spans="1:39" s="500" customFormat="1" hidden="1">
      <c r="A400" s="539" t="s">
        <v>890</v>
      </c>
      <c r="B400" s="539" t="s">
        <v>1241</v>
      </c>
      <c r="C400" s="548" t="s">
        <v>37</v>
      </c>
      <c r="D400" s="519"/>
      <c r="E400" s="915"/>
      <c r="F400" s="520"/>
      <c r="G400" s="520"/>
      <c r="H400" s="520"/>
      <c r="I400" s="521"/>
      <c r="J400" s="521"/>
      <c r="K400" s="521"/>
      <c r="L400" s="923"/>
      <c r="M400" s="514"/>
      <c r="N400" s="514"/>
      <c r="O400" s="514"/>
      <c r="P400" s="514"/>
      <c r="Q400" s="514"/>
      <c r="R400" s="514"/>
      <c r="S400" s="923"/>
      <c r="T400" s="514"/>
      <c r="U400" s="514"/>
      <c r="V400" s="514"/>
      <c r="W400" s="514"/>
      <c r="X400" s="514"/>
      <c r="Y400" s="514"/>
      <c r="Z400" s="923"/>
      <c r="AA400" s="514"/>
      <c r="AB400" s="514"/>
      <c r="AC400" s="514"/>
      <c r="AD400" s="514"/>
      <c r="AE400" s="774"/>
      <c r="AF400" s="514"/>
      <c r="AG400" s="897"/>
      <c r="AH400" s="789"/>
      <c r="AI400" s="786">
        <f t="shared" si="22"/>
        <v>0</v>
      </c>
      <c r="AJ400" s="521">
        <v>0</v>
      </c>
      <c r="AK400" s="520">
        <f t="shared" si="20"/>
        <v>0</v>
      </c>
      <c r="AL400" s="695" t="s">
        <v>1677</v>
      </c>
      <c r="AM400" s="669">
        <f t="shared" si="21"/>
        <v>45.75</v>
      </c>
    </row>
    <row r="401" spans="1:39" s="500" customFormat="1" hidden="1">
      <c r="A401" s="539" t="s">
        <v>891</v>
      </c>
      <c r="B401" s="539" t="s">
        <v>1242</v>
      </c>
      <c r="C401" s="548" t="s">
        <v>37</v>
      </c>
      <c r="D401" s="519"/>
      <c r="E401" s="915"/>
      <c r="F401" s="520"/>
      <c r="G401" s="520"/>
      <c r="H401" s="520"/>
      <c r="I401" s="521"/>
      <c r="J401" s="521"/>
      <c r="K401" s="521"/>
      <c r="L401" s="923"/>
      <c r="M401" s="514"/>
      <c r="N401" s="514"/>
      <c r="O401" s="514"/>
      <c r="P401" s="514"/>
      <c r="Q401" s="514"/>
      <c r="R401" s="514"/>
      <c r="S401" s="923"/>
      <c r="T401" s="514"/>
      <c r="U401" s="514"/>
      <c r="V401" s="514"/>
      <c r="W401" s="514"/>
      <c r="X401" s="514"/>
      <c r="Y401" s="514"/>
      <c r="Z401" s="923"/>
      <c r="AA401" s="514"/>
      <c r="AB401" s="514"/>
      <c r="AC401" s="514"/>
      <c r="AD401" s="514"/>
      <c r="AE401" s="774"/>
      <c r="AF401" s="514"/>
      <c r="AG401" s="897"/>
      <c r="AH401" s="789"/>
      <c r="AI401" s="786">
        <f t="shared" si="22"/>
        <v>0</v>
      </c>
      <c r="AJ401" s="521">
        <v>0</v>
      </c>
      <c r="AK401" s="520">
        <f t="shared" si="20"/>
        <v>0</v>
      </c>
      <c r="AL401" s="695" t="s">
        <v>1680</v>
      </c>
      <c r="AM401" s="669">
        <f t="shared" si="21"/>
        <v>12.95</v>
      </c>
    </row>
    <row r="402" spans="1:39" s="500" customFormat="1" hidden="1">
      <c r="A402" s="539" t="s">
        <v>892</v>
      </c>
      <c r="B402" s="539" t="s">
        <v>1243</v>
      </c>
      <c r="C402" s="548" t="s">
        <v>37</v>
      </c>
      <c r="D402" s="519"/>
      <c r="E402" s="915"/>
      <c r="F402" s="520"/>
      <c r="G402" s="520"/>
      <c r="H402" s="520"/>
      <c r="I402" s="521"/>
      <c r="J402" s="521"/>
      <c r="K402" s="521"/>
      <c r="L402" s="923"/>
      <c r="M402" s="514"/>
      <c r="N402" s="514"/>
      <c r="O402" s="514"/>
      <c r="P402" s="514"/>
      <c r="Q402" s="514"/>
      <c r="R402" s="514"/>
      <c r="S402" s="923"/>
      <c r="T402" s="514"/>
      <c r="U402" s="514"/>
      <c r="V402" s="514"/>
      <c r="W402" s="514"/>
      <c r="X402" s="514"/>
      <c r="Y402" s="514"/>
      <c r="Z402" s="923"/>
      <c r="AA402" s="514"/>
      <c r="AB402" s="514"/>
      <c r="AC402" s="514"/>
      <c r="AD402" s="514"/>
      <c r="AE402" s="774"/>
      <c r="AF402" s="514"/>
      <c r="AG402" s="897"/>
      <c r="AH402" s="789"/>
      <c r="AI402" s="786">
        <f t="shared" si="22"/>
        <v>0</v>
      </c>
      <c r="AJ402" s="521">
        <v>0</v>
      </c>
      <c r="AK402" s="520">
        <f t="shared" si="20"/>
        <v>0</v>
      </c>
      <c r="AL402" s="695" t="s">
        <v>1681</v>
      </c>
      <c r="AM402" s="669">
        <f t="shared" si="21"/>
        <v>24.87</v>
      </c>
    </row>
    <row r="403" spans="1:39" s="500" customFormat="1" hidden="1">
      <c r="A403" s="539" t="s">
        <v>893</v>
      </c>
      <c r="B403" s="539" t="s">
        <v>1244</v>
      </c>
      <c r="C403" s="548" t="s">
        <v>37</v>
      </c>
      <c r="D403" s="519"/>
      <c r="E403" s="915"/>
      <c r="F403" s="520"/>
      <c r="G403" s="520"/>
      <c r="H403" s="520"/>
      <c r="I403" s="521"/>
      <c r="J403" s="521"/>
      <c r="K403" s="521"/>
      <c r="L403" s="923"/>
      <c r="M403" s="514"/>
      <c r="N403" s="514"/>
      <c r="O403" s="514"/>
      <c r="P403" s="514"/>
      <c r="Q403" s="514"/>
      <c r="R403" s="514"/>
      <c r="S403" s="923"/>
      <c r="T403" s="514"/>
      <c r="U403" s="514"/>
      <c r="V403" s="514"/>
      <c r="W403" s="514"/>
      <c r="X403" s="514"/>
      <c r="Y403" s="514"/>
      <c r="Z403" s="923"/>
      <c r="AA403" s="514"/>
      <c r="AB403" s="514"/>
      <c r="AC403" s="514"/>
      <c r="AD403" s="514"/>
      <c r="AE403" s="774"/>
      <c r="AF403" s="514"/>
      <c r="AG403" s="897"/>
      <c r="AH403" s="789"/>
      <c r="AI403" s="786">
        <f t="shared" si="22"/>
        <v>0</v>
      </c>
      <c r="AJ403" s="521">
        <v>0</v>
      </c>
      <c r="AK403" s="520">
        <f t="shared" si="20"/>
        <v>0</v>
      </c>
      <c r="AL403" s="695" t="s">
        <v>1682</v>
      </c>
      <c r="AM403" s="669">
        <f t="shared" si="21"/>
        <v>17.22</v>
      </c>
    </row>
    <row r="404" spans="1:39" s="500" customFormat="1" hidden="1">
      <c r="A404" s="539" t="s">
        <v>894</v>
      </c>
      <c r="B404" s="539" t="s">
        <v>1245</v>
      </c>
      <c r="C404" s="548" t="s">
        <v>38</v>
      </c>
      <c r="D404" s="519"/>
      <c r="E404" s="915"/>
      <c r="F404" s="520"/>
      <c r="G404" s="520"/>
      <c r="H404" s="520"/>
      <c r="I404" s="521"/>
      <c r="J404" s="521"/>
      <c r="K404" s="521"/>
      <c r="L404" s="923"/>
      <c r="M404" s="514"/>
      <c r="N404" s="514"/>
      <c r="O404" s="514"/>
      <c r="P404" s="514"/>
      <c r="Q404" s="514"/>
      <c r="R404" s="514"/>
      <c r="S404" s="923"/>
      <c r="T404" s="514"/>
      <c r="U404" s="514"/>
      <c r="V404" s="514"/>
      <c r="W404" s="514"/>
      <c r="X404" s="514"/>
      <c r="Y404" s="514"/>
      <c r="Z404" s="923"/>
      <c r="AA404" s="514"/>
      <c r="AB404" s="514"/>
      <c r="AC404" s="514"/>
      <c r="AD404" s="514"/>
      <c r="AE404" s="774"/>
      <c r="AF404" s="514"/>
      <c r="AG404" s="897"/>
      <c r="AH404" s="789"/>
      <c r="AI404" s="786">
        <f t="shared" si="22"/>
        <v>0</v>
      </c>
      <c r="AJ404" s="521">
        <v>0</v>
      </c>
      <c r="AK404" s="520">
        <f t="shared" si="20"/>
        <v>0</v>
      </c>
      <c r="AL404" s="695" t="s">
        <v>1683</v>
      </c>
      <c r="AM404" s="669">
        <f t="shared" si="21"/>
        <v>48.7</v>
      </c>
    </row>
    <row r="405" spans="1:39" s="500" customFormat="1" hidden="1">
      <c r="A405" s="539" t="s">
        <v>895</v>
      </c>
      <c r="B405" s="539" t="s">
        <v>1246</v>
      </c>
      <c r="C405" s="548" t="s">
        <v>38</v>
      </c>
      <c r="D405" s="519"/>
      <c r="E405" s="915"/>
      <c r="F405" s="520"/>
      <c r="G405" s="520"/>
      <c r="H405" s="520"/>
      <c r="I405" s="521"/>
      <c r="J405" s="521"/>
      <c r="K405" s="521"/>
      <c r="L405" s="923"/>
      <c r="M405" s="514"/>
      <c r="N405" s="514"/>
      <c r="O405" s="514"/>
      <c r="P405" s="514"/>
      <c r="Q405" s="514"/>
      <c r="R405" s="514"/>
      <c r="S405" s="923"/>
      <c r="T405" s="514"/>
      <c r="U405" s="514"/>
      <c r="V405" s="514"/>
      <c r="W405" s="514"/>
      <c r="X405" s="514"/>
      <c r="Y405" s="514"/>
      <c r="Z405" s="923"/>
      <c r="AA405" s="514"/>
      <c r="AB405" s="514"/>
      <c r="AC405" s="514"/>
      <c r="AD405" s="514"/>
      <c r="AE405" s="774"/>
      <c r="AF405" s="514"/>
      <c r="AG405" s="897"/>
      <c r="AH405" s="789"/>
      <c r="AI405" s="786">
        <f t="shared" si="22"/>
        <v>0</v>
      </c>
      <c r="AJ405" s="521">
        <v>0</v>
      </c>
      <c r="AK405" s="520">
        <f t="shared" si="20"/>
        <v>0</v>
      </c>
      <c r="AL405" s="695" t="s">
        <v>1684</v>
      </c>
      <c r="AM405" s="669">
        <f t="shared" si="21"/>
        <v>172.48</v>
      </c>
    </row>
    <row r="406" spans="1:39" s="500" customFormat="1" hidden="1">
      <c r="A406" s="542" t="s">
        <v>487</v>
      </c>
      <c r="B406" s="542" t="s">
        <v>1247</v>
      </c>
      <c r="C406" s="616"/>
      <c r="D406" s="519"/>
      <c r="E406" s="915"/>
      <c r="F406" s="520"/>
      <c r="G406" s="520"/>
      <c r="H406" s="520"/>
      <c r="I406" s="521"/>
      <c r="J406" s="521"/>
      <c r="K406" s="521"/>
      <c r="L406" s="923"/>
      <c r="M406" s="514"/>
      <c r="N406" s="514"/>
      <c r="O406" s="514"/>
      <c r="P406" s="514"/>
      <c r="Q406" s="514"/>
      <c r="R406" s="514"/>
      <c r="S406" s="923"/>
      <c r="T406" s="514"/>
      <c r="U406" s="514"/>
      <c r="V406" s="514"/>
      <c r="W406" s="514"/>
      <c r="X406" s="514"/>
      <c r="Y406" s="514"/>
      <c r="Z406" s="923"/>
      <c r="AA406" s="514"/>
      <c r="AB406" s="514"/>
      <c r="AC406" s="514"/>
      <c r="AD406" s="514"/>
      <c r="AE406" s="774"/>
      <c r="AF406" s="514"/>
      <c r="AG406" s="897"/>
      <c r="AH406" s="789"/>
      <c r="AI406" s="786">
        <f t="shared" si="22"/>
        <v>0</v>
      </c>
      <c r="AJ406" s="521">
        <v>0</v>
      </c>
      <c r="AK406" s="520">
        <f t="shared" si="20"/>
        <v>0</v>
      </c>
      <c r="AL406" s="695"/>
      <c r="AM406" s="669">
        <f t="shared" si="21"/>
        <v>0</v>
      </c>
    </row>
    <row r="407" spans="1:39" s="500" customFormat="1" hidden="1">
      <c r="A407" s="539" t="s">
        <v>896</v>
      </c>
      <c r="B407" s="539" t="s">
        <v>1248</v>
      </c>
      <c r="C407" s="548" t="s">
        <v>37</v>
      </c>
      <c r="D407" s="519"/>
      <c r="E407" s="915"/>
      <c r="F407" s="520"/>
      <c r="G407" s="520"/>
      <c r="H407" s="520"/>
      <c r="I407" s="521"/>
      <c r="J407" s="521"/>
      <c r="K407" s="521"/>
      <c r="L407" s="923"/>
      <c r="M407" s="514"/>
      <c r="N407" s="514"/>
      <c r="O407" s="514"/>
      <c r="P407" s="514"/>
      <c r="Q407" s="514"/>
      <c r="R407" s="514"/>
      <c r="S407" s="923"/>
      <c r="T407" s="514"/>
      <c r="U407" s="514"/>
      <c r="V407" s="514"/>
      <c r="W407" s="514"/>
      <c r="X407" s="514"/>
      <c r="Y407" s="514"/>
      <c r="Z407" s="923"/>
      <c r="AA407" s="514"/>
      <c r="AB407" s="514"/>
      <c r="AC407" s="514"/>
      <c r="AD407" s="514"/>
      <c r="AE407" s="774"/>
      <c r="AF407" s="514"/>
      <c r="AG407" s="897"/>
      <c r="AH407" s="789"/>
      <c r="AI407" s="786">
        <f t="shared" si="22"/>
        <v>0</v>
      </c>
      <c r="AJ407" s="521">
        <v>0</v>
      </c>
      <c r="AK407" s="520">
        <f t="shared" si="20"/>
        <v>0</v>
      </c>
      <c r="AL407" s="695" t="s">
        <v>1685</v>
      </c>
      <c r="AM407" s="669">
        <f t="shared" si="21"/>
        <v>38.24</v>
      </c>
    </row>
    <row r="408" spans="1:39" s="500" customFormat="1" hidden="1">
      <c r="A408" s="542" t="s">
        <v>897</v>
      </c>
      <c r="B408" s="542" t="s">
        <v>1249</v>
      </c>
      <c r="C408" s="616"/>
      <c r="D408" s="519"/>
      <c r="E408" s="915"/>
      <c r="F408" s="520"/>
      <c r="G408" s="520"/>
      <c r="H408" s="520"/>
      <c r="I408" s="521"/>
      <c r="J408" s="521"/>
      <c r="K408" s="521"/>
      <c r="L408" s="923"/>
      <c r="M408" s="514"/>
      <c r="N408" s="514"/>
      <c r="O408" s="514"/>
      <c r="P408" s="514"/>
      <c r="Q408" s="514"/>
      <c r="R408" s="514"/>
      <c r="S408" s="923"/>
      <c r="T408" s="514"/>
      <c r="U408" s="514"/>
      <c r="V408" s="514"/>
      <c r="W408" s="514"/>
      <c r="X408" s="514"/>
      <c r="Y408" s="514"/>
      <c r="Z408" s="923"/>
      <c r="AA408" s="514"/>
      <c r="AB408" s="514"/>
      <c r="AC408" s="514"/>
      <c r="AD408" s="514"/>
      <c r="AE408" s="774"/>
      <c r="AF408" s="514"/>
      <c r="AG408" s="897"/>
      <c r="AH408" s="789"/>
      <c r="AI408" s="786">
        <f t="shared" si="22"/>
        <v>0</v>
      </c>
      <c r="AJ408" s="521">
        <v>0</v>
      </c>
      <c r="AK408" s="520">
        <f t="shared" si="20"/>
        <v>0</v>
      </c>
      <c r="AL408" s="695"/>
      <c r="AM408" s="669">
        <f t="shared" si="21"/>
        <v>0</v>
      </c>
    </row>
    <row r="409" spans="1:39" s="500" customFormat="1" hidden="1">
      <c r="A409" s="539" t="s">
        <v>898</v>
      </c>
      <c r="B409" s="539" t="s">
        <v>1250</v>
      </c>
      <c r="C409" s="548" t="s">
        <v>37</v>
      </c>
      <c r="D409" s="519"/>
      <c r="E409" s="915"/>
      <c r="F409" s="520"/>
      <c r="G409" s="520"/>
      <c r="H409" s="520"/>
      <c r="I409" s="521"/>
      <c r="J409" s="521"/>
      <c r="K409" s="521"/>
      <c r="L409" s="923"/>
      <c r="M409" s="514"/>
      <c r="N409" s="514"/>
      <c r="O409" s="514"/>
      <c r="P409" s="514"/>
      <c r="Q409" s="514"/>
      <c r="R409" s="514"/>
      <c r="S409" s="923"/>
      <c r="T409" s="514"/>
      <c r="U409" s="514"/>
      <c r="V409" s="514"/>
      <c r="W409" s="514"/>
      <c r="X409" s="514"/>
      <c r="Y409" s="514"/>
      <c r="Z409" s="923"/>
      <c r="AA409" s="514"/>
      <c r="AB409" s="514"/>
      <c r="AC409" s="514"/>
      <c r="AD409" s="514"/>
      <c r="AE409" s="774"/>
      <c r="AF409" s="514"/>
      <c r="AG409" s="897"/>
      <c r="AH409" s="789"/>
      <c r="AI409" s="786">
        <f t="shared" si="22"/>
        <v>0</v>
      </c>
      <c r="AJ409" s="521">
        <v>0</v>
      </c>
      <c r="AK409" s="520">
        <f t="shared" si="20"/>
        <v>0</v>
      </c>
      <c r="AL409" s="695" t="s">
        <v>1686</v>
      </c>
      <c r="AM409" s="669">
        <f t="shared" si="21"/>
        <v>33.03</v>
      </c>
    </row>
    <row r="410" spans="1:39" s="500" customFormat="1" hidden="1">
      <c r="A410" s="539" t="s">
        <v>899</v>
      </c>
      <c r="B410" s="539" t="s">
        <v>1251</v>
      </c>
      <c r="C410" s="548" t="s">
        <v>37</v>
      </c>
      <c r="D410" s="519"/>
      <c r="E410" s="915"/>
      <c r="F410" s="520"/>
      <c r="G410" s="520"/>
      <c r="H410" s="520"/>
      <c r="I410" s="521"/>
      <c r="J410" s="521"/>
      <c r="K410" s="521"/>
      <c r="L410" s="923"/>
      <c r="M410" s="514"/>
      <c r="N410" s="514"/>
      <c r="O410" s="514"/>
      <c r="P410" s="514"/>
      <c r="Q410" s="514"/>
      <c r="R410" s="514"/>
      <c r="S410" s="923"/>
      <c r="T410" s="514"/>
      <c r="U410" s="514"/>
      <c r="V410" s="514"/>
      <c r="W410" s="514"/>
      <c r="X410" s="514"/>
      <c r="Y410" s="514"/>
      <c r="Z410" s="923"/>
      <c r="AA410" s="514"/>
      <c r="AB410" s="514"/>
      <c r="AC410" s="514"/>
      <c r="AD410" s="514"/>
      <c r="AE410" s="774"/>
      <c r="AF410" s="514"/>
      <c r="AG410" s="897"/>
      <c r="AH410" s="789"/>
      <c r="AI410" s="786">
        <f t="shared" si="22"/>
        <v>0</v>
      </c>
      <c r="AJ410" s="521">
        <v>0</v>
      </c>
      <c r="AK410" s="520">
        <f t="shared" si="20"/>
        <v>0</v>
      </c>
      <c r="AL410" s="695" t="s">
        <v>1687</v>
      </c>
      <c r="AM410" s="669">
        <f t="shared" si="21"/>
        <v>30.08</v>
      </c>
    </row>
    <row r="411" spans="1:39" s="500" customFormat="1" hidden="1">
      <c r="A411" s="539" t="s">
        <v>900</v>
      </c>
      <c r="B411" s="539" t="s">
        <v>1252</v>
      </c>
      <c r="C411" s="548" t="s">
        <v>37</v>
      </c>
      <c r="D411" s="519"/>
      <c r="E411" s="915"/>
      <c r="F411" s="520"/>
      <c r="G411" s="520"/>
      <c r="H411" s="520"/>
      <c r="I411" s="521"/>
      <c r="J411" s="521"/>
      <c r="K411" s="521"/>
      <c r="L411" s="923"/>
      <c r="M411" s="514"/>
      <c r="N411" s="514"/>
      <c r="O411" s="514"/>
      <c r="P411" s="514"/>
      <c r="Q411" s="514"/>
      <c r="R411" s="514"/>
      <c r="S411" s="923"/>
      <c r="T411" s="514"/>
      <c r="U411" s="514"/>
      <c r="V411" s="514"/>
      <c r="W411" s="514"/>
      <c r="X411" s="514"/>
      <c r="Y411" s="514"/>
      <c r="Z411" s="923"/>
      <c r="AA411" s="514"/>
      <c r="AB411" s="514"/>
      <c r="AC411" s="514"/>
      <c r="AD411" s="514"/>
      <c r="AE411" s="774"/>
      <c r="AF411" s="514"/>
      <c r="AG411" s="897"/>
      <c r="AH411" s="789"/>
      <c r="AI411" s="786">
        <f t="shared" si="22"/>
        <v>0</v>
      </c>
      <c r="AJ411" s="521">
        <v>0</v>
      </c>
      <c r="AK411" s="520">
        <f t="shared" si="20"/>
        <v>0</v>
      </c>
      <c r="AL411" s="695" t="s">
        <v>1688</v>
      </c>
      <c r="AM411" s="669">
        <f t="shared" si="21"/>
        <v>2.95</v>
      </c>
    </row>
    <row r="412" spans="1:39" s="500" customFormat="1" hidden="1">
      <c r="A412" s="542" t="s">
        <v>901</v>
      </c>
      <c r="B412" s="542" t="s">
        <v>1253</v>
      </c>
      <c r="C412" s="616"/>
      <c r="D412" s="519"/>
      <c r="E412" s="915"/>
      <c r="F412" s="520"/>
      <c r="G412" s="520"/>
      <c r="H412" s="520"/>
      <c r="I412" s="521"/>
      <c r="J412" s="521"/>
      <c r="K412" s="521"/>
      <c r="L412" s="923"/>
      <c r="M412" s="514"/>
      <c r="N412" s="514"/>
      <c r="O412" s="514"/>
      <c r="P412" s="514"/>
      <c r="Q412" s="514"/>
      <c r="R412" s="514"/>
      <c r="S412" s="923"/>
      <c r="T412" s="514"/>
      <c r="U412" s="514"/>
      <c r="V412" s="514"/>
      <c r="W412" s="514"/>
      <c r="X412" s="514"/>
      <c r="Y412" s="514"/>
      <c r="Z412" s="923"/>
      <c r="AA412" s="514"/>
      <c r="AB412" s="514"/>
      <c r="AC412" s="514"/>
      <c r="AD412" s="514"/>
      <c r="AE412" s="774"/>
      <c r="AF412" s="514"/>
      <c r="AG412" s="897"/>
      <c r="AH412" s="789"/>
      <c r="AI412" s="786">
        <f t="shared" si="22"/>
        <v>0</v>
      </c>
      <c r="AJ412" s="521">
        <v>0</v>
      </c>
      <c r="AK412" s="520">
        <f t="shared" si="20"/>
        <v>0</v>
      </c>
      <c r="AL412" s="695"/>
      <c r="AM412" s="669">
        <f t="shared" si="21"/>
        <v>0</v>
      </c>
    </row>
    <row r="413" spans="1:39" s="500" customFormat="1" hidden="1">
      <c r="A413" s="539" t="s">
        <v>902</v>
      </c>
      <c r="B413" s="539" t="s">
        <v>1294</v>
      </c>
      <c r="C413" s="548" t="s">
        <v>38</v>
      </c>
      <c r="D413" s="519"/>
      <c r="E413" s="915"/>
      <c r="F413" s="520"/>
      <c r="G413" s="520"/>
      <c r="H413" s="520"/>
      <c r="I413" s="521"/>
      <c r="J413" s="521"/>
      <c r="K413" s="521"/>
      <c r="L413" s="923"/>
      <c r="M413" s="514"/>
      <c r="N413" s="514"/>
      <c r="O413" s="514"/>
      <c r="P413" s="514"/>
      <c r="Q413" s="514"/>
      <c r="R413" s="514"/>
      <c r="S413" s="923"/>
      <c r="T413" s="514"/>
      <c r="U413" s="514"/>
      <c r="V413" s="514"/>
      <c r="W413" s="514"/>
      <c r="X413" s="514"/>
      <c r="Y413" s="514"/>
      <c r="Z413" s="923"/>
      <c r="AA413" s="514"/>
      <c r="AB413" s="514"/>
      <c r="AC413" s="514"/>
      <c r="AD413" s="514"/>
      <c r="AE413" s="774"/>
      <c r="AF413" s="514"/>
      <c r="AG413" s="897"/>
      <c r="AH413" s="789"/>
      <c r="AI413" s="786">
        <f t="shared" si="22"/>
        <v>0</v>
      </c>
      <c r="AJ413" s="521">
        <v>0</v>
      </c>
      <c r="AK413" s="520">
        <f t="shared" si="20"/>
        <v>0</v>
      </c>
      <c r="AL413" s="695" t="s">
        <v>1689</v>
      </c>
      <c r="AM413" s="669">
        <f t="shared" si="21"/>
        <v>6.15</v>
      </c>
    </row>
    <row r="414" spans="1:39" s="500" customFormat="1" hidden="1">
      <c r="A414" s="539" t="s">
        <v>903</v>
      </c>
      <c r="B414" s="539" t="s">
        <v>1255</v>
      </c>
      <c r="C414" s="548" t="s">
        <v>37</v>
      </c>
      <c r="D414" s="519"/>
      <c r="E414" s="915"/>
      <c r="F414" s="520"/>
      <c r="G414" s="520"/>
      <c r="H414" s="520"/>
      <c r="I414" s="521"/>
      <c r="J414" s="521"/>
      <c r="K414" s="521"/>
      <c r="L414" s="923"/>
      <c r="M414" s="514"/>
      <c r="N414" s="514"/>
      <c r="O414" s="514"/>
      <c r="P414" s="514"/>
      <c r="Q414" s="514"/>
      <c r="R414" s="514"/>
      <c r="S414" s="923"/>
      <c r="T414" s="514"/>
      <c r="U414" s="514"/>
      <c r="V414" s="514"/>
      <c r="W414" s="514"/>
      <c r="X414" s="514"/>
      <c r="Y414" s="514"/>
      <c r="Z414" s="923"/>
      <c r="AA414" s="514"/>
      <c r="AB414" s="514"/>
      <c r="AC414" s="514"/>
      <c r="AD414" s="514"/>
      <c r="AE414" s="774"/>
      <c r="AF414" s="514"/>
      <c r="AG414" s="897"/>
      <c r="AH414" s="789"/>
      <c r="AI414" s="786">
        <f t="shared" si="22"/>
        <v>0</v>
      </c>
      <c r="AJ414" s="521">
        <v>0</v>
      </c>
      <c r="AK414" s="520">
        <f t="shared" si="20"/>
        <v>0</v>
      </c>
      <c r="AL414" s="695" t="s">
        <v>1690</v>
      </c>
      <c r="AM414" s="669">
        <f t="shared" si="21"/>
        <v>2.77</v>
      </c>
    </row>
    <row r="415" spans="1:39" s="500" customFormat="1" hidden="1">
      <c r="A415" s="542" t="s">
        <v>904</v>
      </c>
      <c r="B415" s="542" t="s">
        <v>1256</v>
      </c>
      <c r="C415" s="616"/>
      <c r="D415" s="519"/>
      <c r="E415" s="915"/>
      <c r="F415" s="520"/>
      <c r="G415" s="520"/>
      <c r="H415" s="520"/>
      <c r="I415" s="521"/>
      <c r="J415" s="521"/>
      <c r="K415" s="521"/>
      <c r="L415" s="923"/>
      <c r="M415" s="514"/>
      <c r="N415" s="514"/>
      <c r="O415" s="514"/>
      <c r="P415" s="514"/>
      <c r="Q415" s="514"/>
      <c r="R415" s="514"/>
      <c r="S415" s="923"/>
      <c r="T415" s="514"/>
      <c r="U415" s="514"/>
      <c r="V415" s="514"/>
      <c r="W415" s="514"/>
      <c r="X415" s="514"/>
      <c r="Y415" s="514"/>
      <c r="Z415" s="923"/>
      <c r="AA415" s="514"/>
      <c r="AB415" s="514"/>
      <c r="AC415" s="514"/>
      <c r="AD415" s="514"/>
      <c r="AE415" s="774"/>
      <c r="AF415" s="514"/>
      <c r="AG415" s="897"/>
      <c r="AH415" s="789"/>
      <c r="AI415" s="786">
        <f t="shared" si="22"/>
        <v>0</v>
      </c>
      <c r="AJ415" s="521">
        <v>0</v>
      </c>
      <c r="AK415" s="520">
        <f t="shared" si="20"/>
        <v>0</v>
      </c>
      <c r="AL415" s="695"/>
      <c r="AM415" s="669">
        <f t="shared" si="21"/>
        <v>0</v>
      </c>
    </row>
    <row r="416" spans="1:39" s="500" customFormat="1" hidden="1">
      <c r="A416" s="539" t="s">
        <v>905</v>
      </c>
      <c r="B416" s="539" t="s">
        <v>1257</v>
      </c>
      <c r="C416" s="548" t="s">
        <v>37</v>
      </c>
      <c r="D416" s="519"/>
      <c r="E416" s="915"/>
      <c r="F416" s="520"/>
      <c r="G416" s="520"/>
      <c r="H416" s="520"/>
      <c r="I416" s="521"/>
      <c r="J416" s="521"/>
      <c r="K416" s="521"/>
      <c r="L416" s="923"/>
      <c r="M416" s="514"/>
      <c r="N416" s="514"/>
      <c r="O416" s="514"/>
      <c r="P416" s="514"/>
      <c r="Q416" s="514"/>
      <c r="R416" s="514"/>
      <c r="S416" s="923"/>
      <c r="T416" s="514"/>
      <c r="U416" s="514"/>
      <c r="V416" s="514"/>
      <c r="W416" s="514"/>
      <c r="X416" s="514"/>
      <c r="Y416" s="514"/>
      <c r="Z416" s="923"/>
      <c r="AA416" s="514"/>
      <c r="AB416" s="514"/>
      <c r="AC416" s="514"/>
      <c r="AD416" s="514"/>
      <c r="AE416" s="774"/>
      <c r="AF416" s="514"/>
      <c r="AG416" s="897"/>
      <c r="AH416" s="789"/>
      <c r="AI416" s="786">
        <f t="shared" si="22"/>
        <v>0</v>
      </c>
      <c r="AJ416" s="521">
        <v>0</v>
      </c>
      <c r="AK416" s="520">
        <f t="shared" si="20"/>
        <v>0</v>
      </c>
      <c r="AL416" s="695" t="s">
        <v>1691</v>
      </c>
      <c r="AM416" s="669">
        <f t="shared" si="21"/>
        <v>8.3000000000000007</v>
      </c>
    </row>
    <row r="417" spans="1:39" s="500" customFormat="1" hidden="1">
      <c r="A417" s="539" t="s">
        <v>906</v>
      </c>
      <c r="B417" s="539" t="s">
        <v>1258</v>
      </c>
      <c r="C417" s="616"/>
      <c r="D417" s="519"/>
      <c r="E417" s="915"/>
      <c r="F417" s="520"/>
      <c r="G417" s="520"/>
      <c r="H417" s="520"/>
      <c r="I417" s="521"/>
      <c r="J417" s="521"/>
      <c r="K417" s="521"/>
      <c r="L417" s="923"/>
      <c r="M417" s="514"/>
      <c r="N417" s="514"/>
      <c r="O417" s="514"/>
      <c r="P417" s="514"/>
      <c r="Q417" s="514"/>
      <c r="R417" s="514"/>
      <c r="S417" s="923"/>
      <c r="T417" s="514"/>
      <c r="U417" s="514"/>
      <c r="V417" s="514"/>
      <c r="W417" s="514"/>
      <c r="X417" s="514"/>
      <c r="Y417" s="514"/>
      <c r="Z417" s="923"/>
      <c r="AA417" s="514"/>
      <c r="AB417" s="514"/>
      <c r="AC417" s="514"/>
      <c r="AD417" s="514"/>
      <c r="AE417" s="774"/>
      <c r="AF417" s="514"/>
      <c r="AG417" s="897"/>
      <c r="AH417" s="789"/>
      <c r="AI417" s="786">
        <f t="shared" si="22"/>
        <v>0</v>
      </c>
      <c r="AJ417" s="521">
        <v>0</v>
      </c>
      <c r="AK417" s="520">
        <f t="shared" si="20"/>
        <v>0</v>
      </c>
      <c r="AL417" s="695"/>
      <c r="AM417" s="669">
        <f t="shared" si="21"/>
        <v>0</v>
      </c>
    </row>
    <row r="418" spans="1:39" s="500" customFormat="1" hidden="1">
      <c r="A418" s="539" t="s">
        <v>907</v>
      </c>
      <c r="B418" s="539" t="s">
        <v>1259</v>
      </c>
      <c r="C418" s="548" t="s">
        <v>37</v>
      </c>
      <c r="D418" s="519"/>
      <c r="E418" s="915"/>
      <c r="F418" s="520"/>
      <c r="G418" s="520"/>
      <c r="H418" s="520"/>
      <c r="I418" s="521"/>
      <c r="J418" s="521"/>
      <c r="K418" s="521"/>
      <c r="L418" s="923"/>
      <c r="M418" s="514"/>
      <c r="N418" s="514"/>
      <c r="O418" s="514"/>
      <c r="P418" s="514"/>
      <c r="Q418" s="514"/>
      <c r="R418" s="514"/>
      <c r="S418" s="923"/>
      <c r="T418" s="514"/>
      <c r="U418" s="514"/>
      <c r="V418" s="514"/>
      <c r="W418" s="514"/>
      <c r="X418" s="514"/>
      <c r="Y418" s="514"/>
      <c r="Z418" s="923"/>
      <c r="AA418" s="514"/>
      <c r="AB418" s="514"/>
      <c r="AC418" s="514"/>
      <c r="AD418" s="514"/>
      <c r="AE418" s="774"/>
      <c r="AF418" s="514"/>
      <c r="AG418" s="897"/>
      <c r="AH418" s="789"/>
      <c r="AI418" s="786">
        <f t="shared" si="22"/>
        <v>0</v>
      </c>
      <c r="AJ418" s="521">
        <v>0</v>
      </c>
      <c r="AK418" s="520">
        <f t="shared" si="20"/>
        <v>0</v>
      </c>
      <c r="AL418" s="695" t="s">
        <v>1692</v>
      </c>
      <c r="AM418" s="669">
        <f t="shared" si="21"/>
        <v>6.66</v>
      </c>
    </row>
    <row r="419" spans="1:39" s="500" customFormat="1" hidden="1">
      <c r="A419" s="539" t="s">
        <v>908</v>
      </c>
      <c r="B419" s="539" t="s">
        <v>1286</v>
      </c>
      <c r="C419" s="548" t="s">
        <v>37</v>
      </c>
      <c r="D419" s="519"/>
      <c r="E419" s="915"/>
      <c r="F419" s="520"/>
      <c r="G419" s="520"/>
      <c r="H419" s="520"/>
      <c r="I419" s="521"/>
      <c r="J419" s="521"/>
      <c r="K419" s="521"/>
      <c r="L419" s="923"/>
      <c r="M419" s="514"/>
      <c r="N419" s="514"/>
      <c r="O419" s="514"/>
      <c r="P419" s="514"/>
      <c r="Q419" s="514"/>
      <c r="R419" s="514"/>
      <c r="S419" s="923"/>
      <c r="T419" s="514"/>
      <c r="U419" s="514"/>
      <c r="V419" s="514"/>
      <c r="W419" s="514"/>
      <c r="X419" s="514"/>
      <c r="Y419" s="514"/>
      <c r="Z419" s="923"/>
      <c r="AA419" s="514"/>
      <c r="AB419" s="514"/>
      <c r="AC419" s="514"/>
      <c r="AD419" s="514"/>
      <c r="AE419" s="774"/>
      <c r="AF419" s="514"/>
      <c r="AG419" s="897"/>
      <c r="AH419" s="789"/>
      <c r="AI419" s="786">
        <f t="shared" si="22"/>
        <v>0</v>
      </c>
      <c r="AJ419" s="521">
        <v>0</v>
      </c>
      <c r="AK419" s="520">
        <f t="shared" si="20"/>
        <v>0</v>
      </c>
      <c r="AL419" s="695" t="s">
        <v>1693</v>
      </c>
      <c r="AM419" s="669">
        <f t="shared" si="21"/>
        <v>7.76</v>
      </c>
    </row>
    <row r="420" spans="1:39" s="500" customFormat="1" hidden="1">
      <c r="A420" s="539" t="s">
        <v>909</v>
      </c>
      <c r="B420" s="539" t="s">
        <v>1261</v>
      </c>
      <c r="C420" s="548" t="s">
        <v>38</v>
      </c>
      <c r="D420" s="519"/>
      <c r="E420" s="915"/>
      <c r="F420" s="520"/>
      <c r="G420" s="520"/>
      <c r="H420" s="520"/>
      <c r="I420" s="521"/>
      <c r="J420" s="521"/>
      <c r="K420" s="521"/>
      <c r="L420" s="923"/>
      <c r="M420" s="514"/>
      <c r="N420" s="514"/>
      <c r="O420" s="514"/>
      <c r="P420" s="514"/>
      <c r="Q420" s="514"/>
      <c r="R420" s="514"/>
      <c r="S420" s="923"/>
      <c r="T420" s="514"/>
      <c r="U420" s="514"/>
      <c r="V420" s="514"/>
      <c r="W420" s="514"/>
      <c r="X420" s="514"/>
      <c r="Y420" s="514"/>
      <c r="Z420" s="923"/>
      <c r="AA420" s="514"/>
      <c r="AB420" s="514"/>
      <c r="AC420" s="514"/>
      <c r="AD420" s="514"/>
      <c r="AE420" s="774"/>
      <c r="AF420" s="514"/>
      <c r="AG420" s="897"/>
      <c r="AH420" s="789"/>
      <c r="AI420" s="786">
        <f t="shared" si="22"/>
        <v>0</v>
      </c>
      <c r="AJ420" s="521">
        <v>0</v>
      </c>
      <c r="AK420" s="520">
        <f t="shared" si="20"/>
        <v>0</v>
      </c>
      <c r="AL420" s="695" t="s">
        <v>1694</v>
      </c>
      <c r="AM420" s="669">
        <f t="shared" si="21"/>
        <v>25.31</v>
      </c>
    </row>
    <row r="421" spans="1:39" s="500" customFormat="1" hidden="1">
      <c r="A421" s="542" t="s">
        <v>910</v>
      </c>
      <c r="B421" s="542" t="s">
        <v>1198</v>
      </c>
      <c r="C421" s="616"/>
      <c r="D421" s="519"/>
      <c r="E421" s="915"/>
      <c r="F421" s="520"/>
      <c r="G421" s="520"/>
      <c r="H421" s="520"/>
      <c r="I421" s="521"/>
      <c r="J421" s="521"/>
      <c r="K421" s="521"/>
      <c r="L421" s="923"/>
      <c r="M421" s="514"/>
      <c r="N421" s="514"/>
      <c r="O421" s="514"/>
      <c r="P421" s="514"/>
      <c r="Q421" s="514"/>
      <c r="R421" s="514"/>
      <c r="S421" s="923"/>
      <c r="T421" s="514"/>
      <c r="U421" s="514"/>
      <c r="V421" s="514"/>
      <c r="W421" s="514"/>
      <c r="X421" s="514"/>
      <c r="Y421" s="514"/>
      <c r="Z421" s="923"/>
      <c r="AA421" s="514"/>
      <c r="AB421" s="514"/>
      <c r="AC421" s="514"/>
      <c r="AD421" s="514"/>
      <c r="AE421" s="774"/>
      <c r="AF421" s="514"/>
      <c r="AG421" s="897"/>
      <c r="AH421" s="789"/>
      <c r="AI421" s="786">
        <f t="shared" si="22"/>
        <v>0</v>
      </c>
      <c r="AJ421" s="521">
        <v>0</v>
      </c>
      <c r="AK421" s="520">
        <f t="shared" si="20"/>
        <v>0</v>
      </c>
      <c r="AL421" s="695"/>
      <c r="AM421" s="669">
        <f t="shared" si="21"/>
        <v>0</v>
      </c>
    </row>
    <row r="422" spans="1:39" s="500" customFormat="1" hidden="1">
      <c r="A422" s="539" t="s">
        <v>911</v>
      </c>
      <c r="B422" s="539" t="s">
        <v>1262</v>
      </c>
      <c r="C422" s="548" t="s">
        <v>37</v>
      </c>
      <c r="D422" s="519"/>
      <c r="E422" s="915"/>
      <c r="F422" s="520"/>
      <c r="G422" s="520"/>
      <c r="H422" s="520"/>
      <c r="I422" s="521"/>
      <c r="J422" s="521"/>
      <c r="K422" s="521"/>
      <c r="L422" s="923"/>
      <c r="M422" s="514"/>
      <c r="N422" s="514"/>
      <c r="O422" s="514"/>
      <c r="P422" s="514"/>
      <c r="Q422" s="514"/>
      <c r="R422" s="514"/>
      <c r="S422" s="923"/>
      <c r="T422" s="514"/>
      <c r="U422" s="514"/>
      <c r="V422" s="514"/>
      <c r="W422" s="514"/>
      <c r="X422" s="514"/>
      <c r="Y422" s="514"/>
      <c r="Z422" s="923"/>
      <c r="AA422" s="514"/>
      <c r="AB422" s="514"/>
      <c r="AC422" s="514"/>
      <c r="AD422" s="514"/>
      <c r="AE422" s="774"/>
      <c r="AF422" s="514"/>
      <c r="AG422" s="897"/>
      <c r="AH422" s="789"/>
      <c r="AI422" s="786">
        <f t="shared" si="22"/>
        <v>0</v>
      </c>
      <c r="AJ422" s="521">
        <v>0</v>
      </c>
      <c r="AK422" s="520">
        <f t="shared" si="20"/>
        <v>0</v>
      </c>
      <c r="AL422" s="695" t="s">
        <v>1695</v>
      </c>
      <c r="AM422" s="669">
        <f t="shared" si="21"/>
        <v>34.93</v>
      </c>
    </row>
    <row r="423" spans="1:39" s="500" customFormat="1" hidden="1">
      <c r="A423" s="539" t="s">
        <v>912</v>
      </c>
      <c r="B423" s="539" t="s">
        <v>1263</v>
      </c>
      <c r="C423" s="548" t="s">
        <v>38</v>
      </c>
      <c r="D423" s="519"/>
      <c r="E423" s="915"/>
      <c r="F423" s="520"/>
      <c r="G423" s="520"/>
      <c r="H423" s="520"/>
      <c r="I423" s="521"/>
      <c r="J423" s="521"/>
      <c r="K423" s="521"/>
      <c r="L423" s="923"/>
      <c r="M423" s="514"/>
      <c r="N423" s="514"/>
      <c r="O423" s="514"/>
      <c r="P423" s="514"/>
      <c r="Q423" s="514"/>
      <c r="R423" s="514"/>
      <c r="S423" s="923"/>
      <c r="T423" s="514"/>
      <c r="U423" s="514"/>
      <c r="V423" s="514"/>
      <c r="W423" s="514"/>
      <c r="X423" s="514"/>
      <c r="Y423" s="514"/>
      <c r="Z423" s="923"/>
      <c r="AA423" s="514"/>
      <c r="AB423" s="514"/>
      <c r="AC423" s="514"/>
      <c r="AD423" s="514"/>
      <c r="AE423" s="774"/>
      <c r="AF423" s="514"/>
      <c r="AG423" s="897"/>
      <c r="AH423" s="789"/>
      <c r="AI423" s="786">
        <f t="shared" si="22"/>
        <v>0</v>
      </c>
      <c r="AJ423" s="521">
        <v>0</v>
      </c>
      <c r="AK423" s="520">
        <f t="shared" si="20"/>
        <v>0</v>
      </c>
      <c r="AL423" s="695" t="s">
        <v>1689</v>
      </c>
      <c r="AM423" s="669">
        <f t="shared" si="21"/>
        <v>6.15</v>
      </c>
    </row>
    <row r="424" spans="1:39" s="500" customFormat="1" hidden="1">
      <c r="A424" s="542" t="s">
        <v>913</v>
      </c>
      <c r="B424" s="542" t="s">
        <v>1264</v>
      </c>
      <c r="C424" s="616"/>
      <c r="D424" s="519"/>
      <c r="E424" s="915"/>
      <c r="F424" s="520"/>
      <c r="G424" s="520"/>
      <c r="H424" s="520"/>
      <c r="I424" s="521"/>
      <c r="J424" s="521"/>
      <c r="K424" s="521"/>
      <c r="L424" s="923"/>
      <c r="M424" s="514"/>
      <c r="N424" s="514"/>
      <c r="O424" s="514"/>
      <c r="P424" s="514"/>
      <c r="Q424" s="514"/>
      <c r="R424" s="514"/>
      <c r="S424" s="923"/>
      <c r="T424" s="514"/>
      <c r="U424" s="514"/>
      <c r="V424" s="514"/>
      <c r="W424" s="514"/>
      <c r="X424" s="514"/>
      <c r="Y424" s="514"/>
      <c r="Z424" s="923"/>
      <c r="AA424" s="514"/>
      <c r="AB424" s="514"/>
      <c r="AC424" s="514"/>
      <c r="AD424" s="514"/>
      <c r="AE424" s="774"/>
      <c r="AF424" s="514"/>
      <c r="AG424" s="897"/>
      <c r="AH424" s="789"/>
      <c r="AI424" s="786">
        <f t="shared" si="22"/>
        <v>0</v>
      </c>
      <c r="AJ424" s="521">
        <v>0</v>
      </c>
      <c r="AK424" s="520">
        <f t="shared" si="20"/>
        <v>0</v>
      </c>
      <c r="AL424" s="695"/>
      <c r="AM424" s="669">
        <f t="shared" si="21"/>
        <v>0</v>
      </c>
    </row>
    <row r="425" spans="1:39" s="500" customFormat="1" hidden="1">
      <c r="A425" s="539" t="s">
        <v>914</v>
      </c>
      <c r="B425" s="539" t="s">
        <v>1265</v>
      </c>
      <c r="C425" s="548" t="s">
        <v>37</v>
      </c>
      <c r="D425" s="519"/>
      <c r="E425" s="915"/>
      <c r="F425" s="520"/>
      <c r="G425" s="520"/>
      <c r="H425" s="520"/>
      <c r="I425" s="521"/>
      <c r="J425" s="521"/>
      <c r="K425" s="521"/>
      <c r="L425" s="923"/>
      <c r="M425" s="514"/>
      <c r="N425" s="514"/>
      <c r="O425" s="514"/>
      <c r="P425" s="514"/>
      <c r="Q425" s="514"/>
      <c r="R425" s="514"/>
      <c r="S425" s="923"/>
      <c r="T425" s="514"/>
      <c r="U425" s="514"/>
      <c r="V425" s="514"/>
      <c r="W425" s="514"/>
      <c r="X425" s="514"/>
      <c r="Y425" s="514"/>
      <c r="Z425" s="923"/>
      <c r="AA425" s="514"/>
      <c r="AB425" s="514"/>
      <c r="AC425" s="514"/>
      <c r="AD425" s="514"/>
      <c r="AE425" s="774"/>
      <c r="AF425" s="514"/>
      <c r="AG425" s="897"/>
      <c r="AH425" s="789"/>
      <c r="AI425" s="786">
        <f t="shared" si="22"/>
        <v>0</v>
      </c>
      <c r="AJ425" s="521">
        <v>0</v>
      </c>
      <c r="AK425" s="520">
        <f t="shared" si="20"/>
        <v>0</v>
      </c>
      <c r="AL425" s="695" t="s">
        <v>1696</v>
      </c>
      <c r="AM425" s="669">
        <f t="shared" si="21"/>
        <v>3.78</v>
      </c>
    </row>
    <row r="426" spans="1:39" s="500" customFormat="1" hidden="1">
      <c r="A426" s="539" t="s">
        <v>915</v>
      </c>
      <c r="B426" s="539" t="s">
        <v>1295</v>
      </c>
      <c r="C426" s="548" t="s">
        <v>37</v>
      </c>
      <c r="D426" s="519"/>
      <c r="E426" s="915"/>
      <c r="F426" s="520"/>
      <c r="G426" s="520"/>
      <c r="H426" s="520"/>
      <c r="I426" s="521"/>
      <c r="J426" s="521"/>
      <c r="K426" s="521"/>
      <c r="L426" s="923"/>
      <c r="M426" s="514"/>
      <c r="N426" s="514"/>
      <c r="O426" s="514"/>
      <c r="P426" s="514"/>
      <c r="Q426" s="514"/>
      <c r="R426" s="514"/>
      <c r="S426" s="923"/>
      <c r="T426" s="514"/>
      <c r="U426" s="514"/>
      <c r="V426" s="514"/>
      <c r="W426" s="514"/>
      <c r="X426" s="514"/>
      <c r="Y426" s="514"/>
      <c r="Z426" s="923"/>
      <c r="AA426" s="514"/>
      <c r="AB426" s="514"/>
      <c r="AC426" s="514"/>
      <c r="AD426" s="514"/>
      <c r="AE426" s="774"/>
      <c r="AF426" s="514"/>
      <c r="AG426" s="897"/>
      <c r="AH426" s="789"/>
      <c r="AI426" s="786">
        <f t="shared" si="22"/>
        <v>0</v>
      </c>
      <c r="AJ426" s="521">
        <v>0</v>
      </c>
      <c r="AK426" s="520">
        <f t="shared" si="20"/>
        <v>0</v>
      </c>
      <c r="AL426" s="695" t="s">
        <v>1697</v>
      </c>
      <c r="AM426" s="669">
        <f t="shared" si="21"/>
        <v>1.47</v>
      </c>
    </row>
    <row r="427" spans="1:39" s="500" customFormat="1" hidden="1">
      <c r="A427" s="542" t="s">
        <v>916</v>
      </c>
      <c r="B427" s="542" t="s">
        <v>1266</v>
      </c>
      <c r="C427" s="616"/>
      <c r="D427" s="519"/>
      <c r="E427" s="915"/>
      <c r="F427" s="520"/>
      <c r="G427" s="520"/>
      <c r="H427" s="520"/>
      <c r="I427" s="521"/>
      <c r="J427" s="521"/>
      <c r="K427" s="521"/>
      <c r="L427" s="923"/>
      <c r="M427" s="514"/>
      <c r="N427" s="514"/>
      <c r="O427" s="514"/>
      <c r="P427" s="514"/>
      <c r="Q427" s="514"/>
      <c r="R427" s="514"/>
      <c r="S427" s="923"/>
      <c r="T427" s="514"/>
      <c r="U427" s="514"/>
      <c r="V427" s="514"/>
      <c r="W427" s="514"/>
      <c r="X427" s="514"/>
      <c r="Y427" s="514"/>
      <c r="Z427" s="923"/>
      <c r="AA427" s="514"/>
      <c r="AB427" s="514"/>
      <c r="AC427" s="514"/>
      <c r="AD427" s="514"/>
      <c r="AE427" s="774"/>
      <c r="AF427" s="514"/>
      <c r="AG427" s="897"/>
      <c r="AH427" s="789"/>
      <c r="AI427" s="786">
        <f t="shared" si="22"/>
        <v>0</v>
      </c>
      <c r="AJ427" s="521">
        <v>0</v>
      </c>
      <c r="AK427" s="520">
        <f t="shared" si="20"/>
        <v>0</v>
      </c>
      <c r="AL427" s="695"/>
      <c r="AM427" s="669">
        <f t="shared" si="21"/>
        <v>0</v>
      </c>
    </row>
    <row r="428" spans="1:39" s="500" customFormat="1" hidden="1">
      <c r="A428" s="539" t="s">
        <v>917</v>
      </c>
      <c r="B428" s="539" t="s">
        <v>1267</v>
      </c>
      <c r="C428" s="548" t="s">
        <v>1451</v>
      </c>
      <c r="D428" s="519"/>
      <c r="E428" s="915"/>
      <c r="F428" s="520"/>
      <c r="G428" s="520"/>
      <c r="H428" s="520"/>
      <c r="I428" s="521"/>
      <c r="J428" s="521"/>
      <c r="K428" s="521"/>
      <c r="L428" s="923"/>
      <c r="M428" s="514"/>
      <c r="N428" s="514"/>
      <c r="O428" s="514"/>
      <c r="P428" s="514"/>
      <c r="Q428" s="514"/>
      <c r="R428" s="514"/>
      <c r="S428" s="923"/>
      <c r="T428" s="514"/>
      <c r="U428" s="514"/>
      <c r="V428" s="514"/>
      <c r="W428" s="514"/>
      <c r="X428" s="514"/>
      <c r="Y428" s="514"/>
      <c r="Z428" s="923"/>
      <c r="AA428" s="514"/>
      <c r="AB428" s="514"/>
      <c r="AC428" s="514"/>
      <c r="AD428" s="514"/>
      <c r="AE428" s="774"/>
      <c r="AF428" s="514"/>
      <c r="AG428" s="897"/>
      <c r="AH428" s="789"/>
      <c r="AI428" s="786">
        <f t="shared" si="22"/>
        <v>0</v>
      </c>
      <c r="AJ428" s="521">
        <v>0</v>
      </c>
      <c r="AK428" s="520">
        <f t="shared" si="20"/>
        <v>0</v>
      </c>
      <c r="AL428" s="695" t="s">
        <v>1641</v>
      </c>
      <c r="AM428" s="669">
        <f t="shared" si="21"/>
        <v>9</v>
      </c>
    </row>
    <row r="429" spans="1:39" s="500" customFormat="1" hidden="1">
      <c r="A429" s="539" t="s">
        <v>918</v>
      </c>
      <c r="B429" s="539" t="s">
        <v>1268</v>
      </c>
      <c r="C429" s="548" t="s">
        <v>36</v>
      </c>
      <c r="D429" s="519"/>
      <c r="E429" s="915"/>
      <c r="F429" s="520"/>
      <c r="G429" s="520"/>
      <c r="H429" s="520"/>
      <c r="I429" s="521"/>
      <c r="J429" s="521"/>
      <c r="K429" s="521"/>
      <c r="L429" s="923"/>
      <c r="M429" s="514"/>
      <c r="N429" s="514"/>
      <c r="O429" s="514"/>
      <c r="P429" s="514"/>
      <c r="Q429" s="514"/>
      <c r="R429" s="514"/>
      <c r="S429" s="923"/>
      <c r="T429" s="514"/>
      <c r="U429" s="514"/>
      <c r="V429" s="514"/>
      <c r="W429" s="514"/>
      <c r="X429" s="514"/>
      <c r="Y429" s="514"/>
      <c r="Z429" s="923"/>
      <c r="AA429" s="514"/>
      <c r="AB429" s="514"/>
      <c r="AC429" s="514"/>
      <c r="AD429" s="514"/>
      <c r="AE429" s="774"/>
      <c r="AF429" s="514"/>
      <c r="AG429" s="897"/>
      <c r="AH429" s="789"/>
      <c r="AI429" s="786">
        <f t="shared" si="22"/>
        <v>0</v>
      </c>
      <c r="AJ429" s="521">
        <v>0</v>
      </c>
      <c r="AK429" s="520">
        <f t="shared" si="20"/>
        <v>0</v>
      </c>
      <c r="AL429" s="695" t="s">
        <v>1698</v>
      </c>
      <c r="AM429" s="669">
        <f t="shared" si="21"/>
        <v>2</v>
      </c>
    </row>
    <row r="430" spans="1:39" s="500" customFormat="1" hidden="1">
      <c r="A430" s="539" t="s">
        <v>919</v>
      </c>
      <c r="B430" s="539" t="s">
        <v>1296</v>
      </c>
      <c r="C430" s="548" t="s">
        <v>36</v>
      </c>
      <c r="D430" s="519"/>
      <c r="E430" s="915"/>
      <c r="F430" s="520"/>
      <c r="G430" s="520"/>
      <c r="H430" s="520"/>
      <c r="I430" s="521"/>
      <c r="J430" s="521"/>
      <c r="K430" s="521"/>
      <c r="L430" s="923"/>
      <c r="M430" s="514"/>
      <c r="N430" s="514"/>
      <c r="O430" s="514"/>
      <c r="P430" s="514"/>
      <c r="Q430" s="514"/>
      <c r="R430" s="514"/>
      <c r="S430" s="923"/>
      <c r="T430" s="514"/>
      <c r="U430" s="514"/>
      <c r="V430" s="514"/>
      <c r="W430" s="514"/>
      <c r="X430" s="514"/>
      <c r="Y430" s="514"/>
      <c r="Z430" s="923"/>
      <c r="AA430" s="514"/>
      <c r="AB430" s="514"/>
      <c r="AC430" s="514"/>
      <c r="AD430" s="514"/>
      <c r="AE430" s="774"/>
      <c r="AF430" s="514"/>
      <c r="AG430" s="897"/>
      <c r="AH430" s="789"/>
      <c r="AI430" s="786">
        <f t="shared" si="22"/>
        <v>0</v>
      </c>
      <c r="AJ430" s="521">
        <v>0</v>
      </c>
      <c r="AK430" s="520">
        <f t="shared" si="20"/>
        <v>0</v>
      </c>
      <c r="AL430" s="695" t="s">
        <v>1455</v>
      </c>
      <c r="AM430" s="669">
        <f t="shared" si="21"/>
        <v>1</v>
      </c>
    </row>
    <row r="431" spans="1:39" s="500" customFormat="1" hidden="1">
      <c r="A431" s="542" t="s">
        <v>920</v>
      </c>
      <c r="B431" s="542" t="s">
        <v>1269</v>
      </c>
      <c r="C431" s="616"/>
      <c r="D431" s="519"/>
      <c r="E431" s="915"/>
      <c r="F431" s="520"/>
      <c r="G431" s="520"/>
      <c r="H431" s="520"/>
      <c r="I431" s="521"/>
      <c r="J431" s="521"/>
      <c r="K431" s="521"/>
      <c r="L431" s="923"/>
      <c r="M431" s="514"/>
      <c r="N431" s="514"/>
      <c r="O431" s="514"/>
      <c r="P431" s="514"/>
      <c r="Q431" s="514"/>
      <c r="R431" s="514"/>
      <c r="S431" s="923"/>
      <c r="T431" s="514"/>
      <c r="U431" s="514"/>
      <c r="V431" s="514"/>
      <c r="W431" s="514"/>
      <c r="X431" s="514"/>
      <c r="Y431" s="514"/>
      <c r="Z431" s="923"/>
      <c r="AA431" s="514"/>
      <c r="AB431" s="514"/>
      <c r="AC431" s="514"/>
      <c r="AD431" s="514"/>
      <c r="AE431" s="774"/>
      <c r="AF431" s="514"/>
      <c r="AG431" s="897"/>
      <c r="AH431" s="789"/>
      <c r="AI431" s="786">
        <f t="shared" si="22"/>
        <v>0</v>
      </c>
      <c r="AJ431" s="521">
        <v>0</v>
      </c>
      <c r="AK431" s="520">
        <f t="shared" si="20"/>
        <v>0</v>
      </c>
      <c r="AL431" s="695"/>
      <c r="AM431" s="669">
        <f t="shared" si="21"/>
        <v>0</v>
      </c>
    </row>
    <row r="432" spans="1:39" s="500" customFormat="1" hidden="1">
      <c r="A432" s="539" t="s">
        <v>921</v>
      </c>
      <c r="B432" s="539" t="s">
        <v>1270</v>
      </c>
      <c r="C432" s="548" t="s">
        <v>37</v>
      </c>
      <c r="D432" s="519"/>
      <c r="E432" s="915"/>
      <c r="F432" s="520"/>
      <c r="G432" s="520"/>
      <c r="H432" s="520"/>
      <c r="I432" s="521"/>
      <c r="J432" s="521"/>
      <c r="K432" s="521"/>
      <c r="L432" s="923"/>
      <c r="M432" s="514"/>
      <c r="N432" s="514"/>
      <c r="O432" s="514"/>
      <c r="P432" s="514"/>
      <c r="Q432" s="514"/>
      <c r="R432" s="514"/>
      <c r="S432" s="923"/>
      <c r="T432" s="514"/>
      <c r="U432" s="514"/>
      <c r="V432" s="514"/>
      <c r="W432" s="514"/>
      <c r="X432" s="514"/>
      <c r="Y432" s="514"/>
      <c r="Z432" s="923"/>
      <c r="AA432" s="514"/>
      <c r="AB432" s="514"/>
      <c r="AC432" s="514"/>
      <c r="AD432" s="514"/>
      <c r="AE432" s="774"/>
      <c r="AF432" s="514"/>
      <c r="AG432" s="897"/>
      <c r="AH432" s="789"/>
      <c r="AI432" s="786">
        <f t="shared" si="22"/>
        <v>0</v>
      </c>
      <c r="AJ432" s="521">
        <v>0</v>
      </c>
      <c r="AK432" s="520">
        <f t="shared" si="20"/>
        <v>0</v>
      </c>
      <c r="AL432" s="695" t="s">
        <v>1699</v>
      </c>
      <c r="AM432" s="669">
        <f t="shared" si="21"/>
        <v>7.54</v>
      </c>
    </row>
    <row r="433" spans="1:39" s="500" customFormat="1" hidden="1">
      <c r="A433" s="539" t="s">
        <v>922</v>
      </c>
      <c r="B433" s="539" t="s">
        <v>1271</v>
      </c>
      <c r="C433" s="548" t="s">
        <v>37</v>
      </c>
      <c r="D433" s="519"/>
      <c r="E433" s="915"/>
      <c r="F433" s="520"/>
      <c r="G433" s="520"/>
      <c r="H433" s="520"/>
      <c r="I433" s="521"/>
      <c r="J433" s="521"/>
      <c r="K433" s="521"/>
      <c r="L433" s="923"/>
      <c r="M433" s="514"/>
      <c r="N433" s="514"/>
      <c r="O433" s="514"/>
      <c r="P433" s="514"/>
      <c r="Q433" s="514"/>
      <c r="R433" s="514"/>
      <c r="S433" s="923"/>
      <c r="T433" s="514"/>
      <c r="U433" s="514"/>
      <c r="V433" s="514"/>
      <c r="W433" s="514"/>
      <c r="X433" s="514"/>
      <c r="Y433" s="514"/>
      <c r="Z433" s="923"/>
      <c r="AA433" s="514"/>
      <c r="AB433" s="514"/>
      <c r="AC433" s="514"/>
      <c r="AD433" s="514"/>
      <c r="AE433" s="774"/>
      <c r="AF433" s="514"/>
      <c r="AG433" s="897"/>
      <c r="AH433" s="789"/>
      <c r="AI433" s="786">
        <f t="shared" si="22"/>
        <v>0</v>
      </c>
      <c r="AJ433" s="521">
        <v>0</v>
      </c>
      <c r="AK433" s="520">
        <f t="shared" si="20"/>
        <v>0</v>
      </c>
      <c r="AL433" s="695" t="s">
        <v>1700</v>
      </c>
      <c r="AM433" s="669">
        <f t="shared" si="21"/>
        <v>1.25</v>
      </c>
    </row>
    <row r="434" spans="1:39" s="500" customFormat="1" hidden="1">
      <c r="A434" s="542" t="s">
        <v>923</v>
      </c>
      <c r="B434" s="542" t="s">
        <v>1272</v>
      </c>
      <c r="C434" s="616"/>
      <c r="D434" s="519"/>
      <c r="E434" s="915"/>
      <c r="F434" s="520"/>
      <c r="G434" s="520"/>
      <c r="H434" s="520"/>
      <c r="I434" s="521"/>
      <c r="J434" s="521"/>
      <c r="K434" s="521"/>
      <c r="L434" s="923"/>
      <c r="M434" s="514"/>
      <c r="N434" s="514"/>
      <c r="O434" s="514"/>
      <c r="P434" s="514"/>
      <c r="Q434" s="514"/>
      <c r="R434" s="514"/>
      <c r="S434" s="923"/>
      <c r="T434" s="514"/>
      <c r="U434" s="514"/>
      <c r="V434" s="514"/>
      <c r="W434" s="514"/>
      <c r="X434" s="514"/>
      <c r="Y434" s="514"/>
      <c r="Z434" s="923"/>
      <c r="AA434" s="514"/>
      <c r="AB434" s="514"/>
      <c r="AC434" s="514"/>
      <c r="AD434" s="514"/>
      <c r="AE434" s="774"/>
      <c r="AF434" s="514"/>
      <c r="AG434" s="897"/>
      <c r="AH434" s="789"/>
      <c r="AI434" s="786">
        <f t="shared" si="22"/>
        <v>0</v>
      </c>
      <c r="AJ434" s="521">
        <v>0</v>
      </c>
      <c r="AK434" s="520">
        <f t="shared" si="20"/>
        <v>0</v>
      </c>
      <c r="AL434" s="695"/>
      <c r="AM434" s="669">
        <f t="shared" si="21"/>
        <v>0</v>
      </c>
    </row>
    <row r="435" spans="1:39" s="500" customFormat="1" hidden="1">
      <c r="A435" s="539" t="s">
        <v>924</v>
      </c>
      <c r="B435" s="539" t="s">
        <v>1273</v>
      </c>
      <c r="C435" s="548" t="s">
        <v>37</v>
      </c>
      <c r="D435" s="519"/>
      <c r="E435" s="915"/>
      <c r="F435" s="520"/>
      <c r="G435" s="520"/>
      <c r="H435" s="520"/>
      <c r="I435" s="521"/>
      <c r="J435" s="521"/>
      <c r="K435" s="521"/>
      <c r="L435" s="923"/>
      <c r="M435" s="514"/>
      <c r="N435" s="514"/>
      <c r="O435" s="514"/>
      <c r="P435" s="514"/>
      <c r="Q435" s="514"/>
      <c r="R435" s="514"/>
      <c r="S435" s="923"/>
      <c r="T435" s="514"/>
      <c r="U435" s="514"/>
      <c r="V435" s="514"/>
      <c r="W435" s="514"/>
      <c r="X435" s="514"/>
      <c r="Y435" s="514"/>
      <c r="Z435" s="923"/>
      <c r="AA435" s="514"/>
      <c r="AB435" s="514"/>
      <c r="AC435" s="514"/>
      <c r="AD435" s="514"/>
      <c r="AE435" s="774"/>
      <c r="AF435" s="514"/>
      <c r="AG435" s="897"/>
      <c r="AH435" s="789"/>
      <c r="AI435" s="786">
        <f t="shared" si="22"/>
        <v>0</v>
      </c>
      <c r="AJ435" s="521">
        <v>0</v>
      </c>
      <c r="AK435" s="520">
        <f t="shared" si="20"/>
        <v>0</v>
      </c>
      <c r="AL435" s="695" t="s">
        <v>1685</v>
      </c>
      <c r="AM435" s="669">
        <f t="shared" si="21"/>
        <v>38.24</v>
      </c>
    </row>
    <row r="436" spans="1:39" s="500" customFormat="1" hidden="1">
      <c r="A436" s="539" t="s">
        <v>925</v>
      </c>
      <c r="B436" s="539" t="s">
        <v>1274</v>
      </c>
      <c r="C436" s="548" t="s">
        <v>37</v>
      </c>
      <c r="D436" s="519"/>
      <c r="E436" s="915"/>
      <c r="F436" s="520"/>
      <c r="G436" s="520"/>
      <c r="H436" s="520"/>
      <c r="I436" s="521"/>
      <c r="J436" s="521"/>
      <c r="K436" s="521"/>
      <c r="L436" s="923"/>
      <c r="M436" s="514"/>
      <c r="N436" s="514"/>
      <c r="O436" s="514"/>
      <c r="P436" s="514"/>
      <c r="Q436" s="514"/>
      <c r="R436" s="514"/>
      <c r="S436" s="923"/>
      <c r="T436" s="514"/>
      <c r="U436" s="514"/>
      <c r="V436" s="514"/>
      <c r="W436" s="514"/>
      <c r="X436" s="514"/>
      <c r="Y436" s="514"/>
      <c r="Z436" s="923"/>
      <c r="AA436" s="514"/>
      <c r="AB436" s="514"/>
      <c r="AC436" s="514"/>
      <c r="AD436" s="514"/>
      <c r="AE436" s="774"/>
      <c r="AF436" s="514"/>
      <c r="AG436" s="897"/>
      <c r="AH436" s="789"/>
      <c r="AI436" s="786">
        <f t="shared" si="22"/>
        <v>0</v>
      </c>
      <c r="AJ436" s="521">
        <v>0</v>
      </c>
      <c r="AK436" s="520">
        <f t="shared" si="20"/>
        <v>0</v>
      </c>
      <c r="AL436" s="695" t="s">
        <v>1679</v>
      </c>
      <c r="AM436" s="669">
        <f t="shared" si="21"/>
        <v>83.58</v>
      </c>
    </row>
    <row r="437" spans="1:39" s="500" customFormat="1" hidden="1">
      <c r="A437" s="539" t="s">
        <v>926</v>
      </c>
      <c r="B437" s="539" t="s">
        <v>1275</v>
      </c>
      <c r="C437" s="548" t="s">
        <v>37</v>
      </c>
      <c r="D437" s="519"/>
      <c r="E437" s="915"/>
      <c r="F437" s="520"/>
      <c r="G437" s="520"/>
      <c r="H437" s="520"/>
      <c r="I437" s="521"/>
      <c r="J437" s="521"/>
      <c r="K437" s="521"/>
      <c r="L437" s="923"/>
      <c r="M437" s="514"/>
      <c r="N437" s="514"/>
      <c r="O437" s="514"/>
      <c r="P437" s="514"/>
      <c r="Q437" s="514"/>
      <c r="R437" s="514"/>
      <c r="S437" s="923"/>
      <c r="T437" s="514"/>
      <c r="U437" s="514"/>
      <c r="V437" s="514"/>
      <c r="W437" s="514"/>
      <c r="X437" s="514"/>
      <c r="Y437" s="514"/>
      <c r="Z437" s="923"/>
      <c r="AA437" s="514"/>
      <c r="AB437" s="514"/>
      <c r="AC437" s="514"/>
      <c r="AD437" s="514"/>
      <c r="AE437" s="774"/>
      <c r="AF437" s="514"/>
      <c r="AG437" s="897"/>
      <c r="AH437" s="789"/>
      <c r="AI437" s="786">
        <f t="shared" si="22"/>
        <v>0</v>
      </c>
      <c r="AJ437" s="521">
        <v>0</v>
      </c>
      <c r="AK437" s="520">
        <f t="shared" si="20"/>
        <v>0</v>
      </c>
      <c r="AL437" s="695" t="s">
        <v>1677</v>
      </c>
      <c r="AM437" s="669">
        <f t="shared" si="21"/>
        <v>45.75</v>
      </c>
    </row>
    <row r="438" spans="1:39" s="500" customFormat="1" hidden="1">
      <c r="A438" s="539" t="s">
        <v>927</v>
      </c>
      <c r="B438" s="539" t="s">
        <v>1276</v>
      </c>
      <c r="C438" s="548" t="s">
        <v>37</v>
      </c>
      <c r="D438" s="519"/>
      <c r="E438" s="915"/>
      <c r="F438" s="520"/>
      <c r="G438" s="520"/>
      <c r="H438" s="520"/>
      <c r="I438" s="521"/>
      <c r="J438" s="521"/>
      <c r="K438" s="521"/>
      <c r="L438" s="923"/>
      <c r="M438" s="514"/>
      <c r="N438" s="514"/>
      <c r="O438" s="514"/>
      <c r="P438" s="514"/>
      <c r="Q438" s="514"/>
      <c r="R438" s="514"/>
      <c r="S438" s="923"/>
      <c r="T438" s="514"/>
      <c r="U438" s="514"/>
      <c r="V438" s="514"/>
      <c r="W438" s="514"/>
      <c r="X438" s="514"/>
      <c r="Y438" s="514"/>
      <c r="Z438" s="923"/>
      <c r="AA438" s="514"/>
      <c r="AB438" s="514"/>
      <c r="AC438" s="514"/>
      <c r="AD438" s="514"/>
      <c r="AE438" s="774"/>
      <c r="AF438" s="514"/>
      <c r="AG438" s="897"/>
      <c r="AH438" s="789"/>
      <c r="AI438" s="786">
        <f t="shared" si="22"/>
        <v>0</v>
      </c>
      <c r="AJ438" s="521">
        <v>0</v>
      </c>
      <c r="AK438" s="520">
        <f t="shared" si="20"/>
        <v>0</v>
      </c>
      <c r="AL438" s="695" t="s">
        <v>1680</v>
      </c>
      <c r="AM438" s="669">
        <f t="shared" si="21"/>
        <v>12.95</v>
      </c>
    </row>
    <row r="439" spans="1:39" s="500" customFormat="1" hidden="1">
      <c r="A439" s="539" t="s">
        <v>928</v>
      </c>
      <c r="B439" s="539" t="s">
        <v>1277</v>
      </c>
      <c r="C439" s="548" t="s">
        <v>37</v>
      </c>
      <c r="D439" s="519"/>
      <c r="E439" s="915"/>
      <c r="F439" s="520"/>
      <c r="G439" s="520"/>
      <c r="H439" s="520"/>
      <c r="I439" s="521"/>
      <c r="J439" s="521"/>
      <c r="K439" s="521"/>
      <c r="L439" s="923"/>
      <c r="M439" s="514"/>
      <c r="N439" s="514"/>
      <c r="O439" s="514"/>
      <c r="P439" s="514"/>
      <c r="Q439" s="514"/>
      <c r="R439" s="514"/>
      <c r="S439" s="923"/>
      <c r="T439" s="514"/>
      <c r="U439" s="514"/>
      <c r="V439" s="514"/>
      <c r="W439" s="514"/>
      <c r="X439" s="514"/>
      <c r="Y439" s="514"/>
      <c r="Z439" s="923"/>
      <c r="AA439" s="514"/>
      <c r="AB439" s="514"/>
      <c r="AC439" s="514"/>
      <c r="AD439" s="514"/>
      <c r="AE439" s="774"/>
      <c r="AF439" s="514"/>
      <c r="AG439" s="897"/>
      <c r="AH439" s="789"/>
      <c r="AI439" s="786">
        <f t="shared" si="22"/>
        <v>0</v>
      </c>
      <c r="AJ439" s="521">
        <v>0</v>
      </c>
      <c r="AK439" s="520">
        <f t="shared" si="20"/>
        <v>0</v>
      </c>
      <c r="AL439" s="695" t="s">
        <v>1681</v>
      </c>
      <c r="AM439" s="669">
        <f t="shared" si="21"/>
        <v>24.87</v>
      </c>
    </row>
    <row r="440" spans="1:39" s="500" customFormat="1" hidden="1">
      <c r="A440" s="539" t="s">
        <v>929</v>
      </c>
      <c r="B440" s="539" t="s">
        <v>1278</v>
      </c>
      <c r="C440" s="548" t="s">
        <v>37</v>
      </c>
      <c r="D440" s="519"/>
      <c r="E440" s="915"/>
      <c r="F440" s="520"/>
      <c r="G440" s="520"/>
      <c r="H440" s="520"/>
      <c r="I440" s="521"/>
      <c r="J440" s="521"/>
      <c r="K440" s="521"/>
      <c r="L440" s="923"/>
      <c r="M440" s="514"/>
      <c r="N440" s="514"/>
      <c r="O440" s="514"/>
      <c r="P440" s="514"/>
      <c r="Q440" s="514"/>
      <c r="R440" s="514"/>
      <c r="S440" s="923"/>
      <c r="T440" s="514"/>
      <c r="U440" s="514"/>
      <c r="V440" s="514"/>
      <c r="W440" s="514"/>
      <c r="X440" s="514"/>
      <c r="Y440" s="514"/>
      <c r="Z440" s="923"/>
      <c r="AA440" s="514"/>
      <c r="AB440" s="514"/>
      <c r="AC440" s="514"/>
      <c r="AD440" s="514"/>
      <c r="AE440" s="774"/>
      <c r="AF440" s="514"/>
      <c r="AG440" s="897"/>
      <c r="AH440" s="789"/>
      <c r="AI440" s="786">
        <f t="shared" si="22"/>
        <v>0</v>
      </c>
      <c r="AJ440" s="521">
        <v>0</v>
      </c>
      <c r="AK440" s="520">
        <f t="shared" si="20"/>
        <v>0</v>
      </c>
      <c r="AL440" s="695" t="s">
        <v>1692</v>
      </c>
      <c r="AM440" s="669">
        <f t="shared" si="21"/>
        <v>6.66</v>
      </c>
    </row>
    <row r="441" spans="1:39" s="500" customFormat="1" hidden="1">
      <c r="A441" s="539" t="s">
        <v>930</v>
      </c>
      <c r="B441" s="539" t="s">
        <v>1279</v>
      </c>
      <c r="C441" s="548" t="s">
        <v>37</v>
      </c>
      <c r="D441" s="519"/>
      <c r="E441" s="915"/>
      <c r="F441" s="520"/>
      <c r="G441" s="520"/>
      <c r="H441" s="520"/>
      <c r="I441" s="521"/>
      <c r="J441" s="521"/>
      <c r="K441" s="521"/>
      <c r="L441" s="923"/>
      <c r="M441" s="514"/>
      <c r="N441" s="514"/>
      <c r="O441" s="514"/>
      <c r="P441" s="514"/>
      <c r="Q441" s="514"/>
      <c r="R441" s="514"/>
      <c r="S441" s="923"/>
      <c r="T441" s="514"/>
      <c r="U441" s="514"/>
      <c r="V441" s="514"/>
      <c r="W441" s="514"/>
      <c r="X441" s="514"/>
      <c r="Y441" s="514"/>
      <c r="Z441" s="923"/>
      <c r="AA441" s="514"/>
      <c r="AB441" s="514"/>
      <c r="AC441" s="514"/>
      <c r="AD441" s="514"/>
      <c r="AE441" s="774"/>
      <c r="AF441" s="514"/>
      <c r="AG441" s="897"/>
      <c r="AH441" s="789"/>
      <c r="AI441" s="786">
        <f t="shared" si="22"/>
        <v>0</v>
      </c>
      <c r="AJ441" s="521">
        <v>0</v>
      </c>
      <c r="AK441" s="520">
        <f t="shared" si="20"/>
        <v>0</v>
      </c>
      <c r="AL441" s="695" t="s">
        <v>1701</v>
      </c>
      <c r="AM441" s="669">
        <f t="shared" si="21"/>
        <v>12.48</v>
      </c>
    </row>
    <row r="442" spans="1:39" s="500" customFormat="1" hidden="1">
      <c r="A442" s="542" t="s">
        <v>931</v>
      </c>
      <c r="B442" s="542" t="s">
        <v>1280</v>
      </c>
      <c r="C442" s="616"/>
      <c r="D442" s="519"/>
      <c r="E442" s="915"/>
      <c r="F442" s="520"/>
      <c r="G442" s="520"/>
      <c r="H442" s="520"/>
      <c r="I442" s="521"/>
      <c r="J442" s="521"/>
      <c r="K442" s="521"/>
      <c r="L442" s="923"/>
      <c r="M442" s="514"/>
      <c r="N442" s="514"/>
      <c r="O442" s="514"/>
      <c r="P442" s="514"/>
      <c r="Q442" s="514"/>
      <c r="R442" s="514"/>
      <c r="S442" s="923"/>
      <c r="T442" s="514"/>
      <c r="U442" s="514"/>
      <c r="V442" s="514"/>
      <c r="W442" s="514"/>
      <c r="X442" s="514"/>
      <c r="Y442" s="514"/>
      <c r="Z442" s="923"/>
      <c r="AA442" s="514"/>
      <c r="AB442" s="514"/>
      <c r="AC442" s="514"/>
      <c r="AD442" s="514"/>
      <c r="AE442" s="774"/>
      <c r="AF442" s="514"/>
      <c r="AG442" s="897"/>
      <c r="AH442" s="789"/>
      <c r="AI442" s="786">
        <f t="shared" si="22"/>
        <v>0</v>
      </c>
      <c r="AJ442" s="521">
        <v>0</v>
      </c>
      <c r="AK442" s="520">
        <f t="shared" si="20"/>
        <v>0</v>
      </c>
      <c r="AL442" s="695"/>
      <c r="AM442" s="669">
        <f t="shared" si="21"/>
        <v>0</v>
      </c>
    </row>
    <row r="443" spans="1:39" s="500" customFormat="1" hidden="1">
      <c r="A443" s="539" t="s">
        <v>932</v>
      </c>
      <c r="B443" s="539" t="s">
        <v>1281</v>
      </c>
      <c r="C443" s="548" t="s">
        <v>1450</v>
      </c>
      <c r="D443" s="519"/>
      <c r="E443" s="915"/>
      <c r="F443" s="520"/>
      <c r="G443" s="520"/>
      <c r="H443" s="520"/>
      <c r="I443" s="521"/>
      <c r="J443" s="521"/>
      <c r="K443" s="521"/>
      <c r="L443" s="923"/>
      <c r="M443" s="514"/>
      <c r="N443" s="514"/>
      <c r="O443" s="514"/>
      <c r="P443" s="514"/>
      <c r="Q443" s="514"/>
      <c r="R443" s="514"/>
      <c r="S443" s="923"/>
      <c r="T443" s="514"/>
      <c r="U443" s="514"/>
      <c r="V443" s="514"/>
      <c r="W443" s="514"/>
      <c r="X443" s="514"/>
      <c r="Y443" s="514"/>
      <c r="Z443" s="923"/>
      <c r="AA443" s="514"/>
      <c r="AB443" s="514"/>
      <c r="AC443" s="514"/>
      <c r="AD443" s="514"/>
      <c r="AE443" s="774"/>
      <c r="AF443" s="514"/>
      <c r="AG443" s="897"/>
      <c r="AH443" s="789"/>
      <c r="AI443" s="786">
        <f t="shared" si="22"/>
        <v>0</v>
      </c>
      <c r="AJ443" s="521">
        <v>0</v>
      </c>
      <c r="AK443" s="520">
        <f t="shared" si="20"/>
        <v>0</v>
      </c>
      <c r="AL443" s="695" t="s">
        <v>1455</v>
      </c>
      <c r="AM443" s="669">
        <f t="shared" si="21"/>
        <v>1</v>
      </c>
    </row>
    <row r="444" spans="1:39" s="500" customFormat="1" hidden="1">
      <c r="A444" s="539" t="s">
        <v>933</v>
      </c>
      <c r="B444" s="539" t="s">
        <v>1282</v>
      </c>
      <c r="C444" s="548" t="s">
        <v>64</v>
      </c>
      <c r="D444" s="519"/>
      <c r="E444" s="915"/>
      <c r="F444" s="520"/>
      <c r="G444" s="520"/>
      <c r="H444" s="520"/>
      <c r="I444" s="521"/>
      <c r="J444" s="521"/>
      <c r="K444" s="521"/>
      <c r="L444" s="923"/>
      <c r="M444" s="514"/>
      <c r="N444" s="514"/>
      <c r="O444" s="514"/>
      <c r="P444" s="514"/>
      <c r="Q444" s="514"/>
      <c r="R444" s="514"/>
      <c r="S444" s="923"/>
      <c r="T444" s="514"/>
      <c r="U444" s="514"/>
      <c r="V444" s="514"/>
      <c r="W444" s="514"/>
      <c r="X444" s="514"/>
      <c r="Y444" s="514"/>
      <c r="Z444" s="923"/>
      <c r="AA444" s="514"/>
      <c r="AB444" s="514"/>
      <c r="AC444" s="514"/>
      <c r="AD444" s="514"/>
      <c r="AE444" s="774"/>
      <c r="AF444" s="514"/>
      <c r="AG444" s="897"/>
      <c r="AH444" s="789"/>
      <c r="AI444" s="786">
        <f t="shared" si="22"/>
        <v>0</v>
      </c>
      <c r="AJ444" s="521">
        <v>0</v>
      </c>
      <c r="AK444" s="520">
        <f t="shared" si="20"/>
        <v>0</v>
      </c>
      <c r="AL444" s="695" t="s">
        <v>1455</v>
      </c>
      <c r="AM444" s="669">
        <f t="shared" si="21"/>
        <v>1</v>
      </c>
    </row>
    <row r="445" spans="1:39" s="500" customFormat="1" hidden="1">
      <c r="A445" s="539" t="s">
        <v>934</v>
      </c>
      <c r="B445" s="539" t="s">
        <v>1283</v>
      </c>
      <c r="C445" s="548" t="s">
        <v>37</v>
      </c>
      <c r="D445" s="519"/>
      <c r="E445" s="915"/>
      <c r="F445" s="520"/>
      <c r="G445" s="520"/>
      <c r="H445" s="520"/>
      <c r="I445" s="521"/>
      <c r="J445" s="521"/>
      <c r="K445" s="521"/>
      <c r="L445" s="923"/>
      <c r="M445" s="514"/>
      <c r="N445" s="514"/>
      <c r="O445" s="514"/>
      <c r="P445" s="514"/>
      <c r="Q445" s="514"/>
      <c r="R445" s="514"/>
      <c r="S445" s="923"/>
      <c r="T445" s="514"/>
      <c r="U445" s="514"/>
      <c r="V445" s="514"/>
      <c r="W445" s="514"/>
      <c r="X445" s="514"/>
      <c r="Y445" s="514"/>
      <c r="Z445" s="923"/>
      <c r="AA445" s="514"/>
      <c r="AB445" s="514"/>
      <c r="AC445" s="514"/>
      <c r="AD445" s="514"/>
      <c r="AE445" s="774"/>
      <c r="AF445" s="514"/>
      <c r="AG445" s="897"/>
      <c r="AH445" s="789"/>
      <c r="AI445" s="786">
        <f t="shared" si="22"/>
        <v>0</v>
      </c>
      <c r="AJ445" s="521">
        <v>0</v>
      </c>
      <c r="AK445" s="520">
        <f t="shared" si="20"/>
        <v>0</v>
      </c>
      <c r="AL445" s="695" t="s">
        <v>1702</v>
      </c>
      <c r="AM445" s="669">
        <f t="shared" si="21"/>
        <v>6.79</v>
      </c>
    </row>
    <row r="446" spans="1:39" s="500" customFormat="1" hidden="1">
      <c r="A446" s="440" t="s">
        <v>518</v>
      </c>
      <c r="B446" s="543" t="s">
        <v>1297</v>
      </c>
      <c r="C446" s="616"/>
      <c r="D446" s="519"/>
      <c r="E446" s="915"/>
      <c r="F446" s="520"/>
      <c r="G446" s="520"/>
      <c r="H446" s="520"/>
      <c r="I446" s="521"/>
      <c r="J446" s="521"/>
      <c r="K446" s="521"/>
      <c r="L446" s="923"/>
      <c r="M446" s="514"/>
      <c r="N446" s="514"/>
      <c r="O446" s="514"/>
      <c r="P446" s="514"/>
      <c r="Q446" s="514"/>
      <c r="R446" s="514"/>
      <c r="S446" s="923"/>
      <c r="T446" s="514"/>
      <c r="U446" s="514"/>
      <c r="V446" s="514"/>
      <c r="W446" s="514"/>
      <c r="X446" s="514"/>
      <c r="Y446" s="514"/>
      <c r="Z446" s="923"/>
      <c r="AA446" s="514"/>
      <c r="AB446" s="514"/>
      <c r="AC446" s="514"/>
      <c r="AD446" s="514"/>
      <c r="AE446" s="774"/>
      <c r="AF446" s="514"/>
      <c r="AG446" s="897"/>
      <c r="AH446" s="789"/>
      <c r="AI446" s="786">
        <f t="shared" si="22"/>
        <v>0</v>
      </c>
      <c r="AJ446" s="521">
        <v>0</v>
      </c>
      <c r="AK446" s="520">
        <f t="shared" si="20"/>
        <v>0</v>
      </c>
      <c r="AL446" s="695"/>
      <c r="AM446" s="669">
        <f t="shared" si="21"/>
        <v>0</v>
      </c>
    </row>
    <row r="447" spans="1:39" s="500" customFormat="1" hidden="1">
      <c r="A447" s="542" t="s">
        <v>519</v>
      </c>
      <c r="B447" s="542" t="s">
        <v>1236</v>
      </c>
      <c r="C447" s="616"/>
      <c r="D447" s="519"/>
      <c r="E447" s="915"/>
      <c r="F447" s="520"/>
      <c r="G447" s="520"/>
      <c r="H447" s="520"/>
      <c r="I447" s="521"/>
      <c r="J447" s="521"/>
      <c r="K447" s="521"/>
      <c r="L447" s="923"/>
      <c r="M447" s="514"/>
      <c r="N447" s="514"/>
      <c r="O447" s="514"/>
      <c r="P447" s="514"/>
      <c r="Q447" s="514"/>
      <c r="R447" s="514"/>
      <c r="S447" s="923"/>
      <c r="T447" s="514"/>
      <c r="U447" s="514"/>
      <c r="V447" s="514"/>
      <c r="W447" s="514"/>
      <c r="X447" s="514"/>
      <c r="Y447" s="514"/>
      <c r="Z447" s="923"/>
      <c r="AA447" s="514"/>
      <c r="AB447" s="514"/>
      <c r="AC447" s="514"/>
      <c r="AD447" s="514"/>
      <c r="AE447" s="774"/>
      <c r="AF447" s="514"/>
      <c r="AG447" s="897"/>
      <c r="AH447" s="789"/>
      <c r="AI447" s="786">
        <f t="shared" si="22"/>
        <v>0</v>
      </c>
      <c r="AJ447" s="521">
        <v>0</v>
      </c>
      <c r="AK447" s="520">
        <f t="shared" si="20"/>
        <v>0</v>
      </c>
      <c r="AL447" s="695"/>
      <c r="AM447" s="669">
        <f t="shared" si="21"/>
        <v>0</v>
      </c>
    </row>
    <row r="448" spans="1:39" s="500" customFormat="1" hidden="1">
      <c r="A448" s="539" t="s">
        <v>520</v>
      </c>
      <c r="B448" s="539" t="s">
        <v>1237</v>
      </c>
      <c r="C448" s="548" t="s">
        <v>37</v>
      </c>
      <c r="D448" s="519"/>
      <c r="E448" s="915"/>
      <c r="F448" s="520"/>
      <c r="G448" s="520"/>
      <c r="H448" s="520"/>
      <c r="I448" s="521"/>
      <c r="J448" s="521"/>
      <c r="K448" s="521"/>
      <c r="L448" s="923"/>
      <c r="M448" s="514"/>
      <c r="N448" s="514"/>
      <c r="O448" s="514"/>
      <c r="P448" s="514"/>
      <c r="Q448" s="514"/>
      <c r="R448" s="514"/>
      <c r="S448" s="923"/>
      <c r="T448" s="514"/>
      <c r="U448" s="514"/>
      <c r="V448" s="514"/>
      <c r="W448" s="514"/>
      <c r="X448" s="514"/>
      <c r="Y448" s="514"/>
      <c r="Z448" s="923"/>
      <c r="AA448" s="514"/>
      <c r="AB448" s="514"/>
      <c r="AC448" s="514"/>
      <c r="AD448" s="514"/>
      <c r="AE448" s="774"/>
      <c r="AF448" s="514"/>
      <c r="AG448" s="897"/>
      <c r="AH448" s="789"/>
      <c r="AI448" s="786">
        <f t="shared" si="22"/>
        <v>0</v>
      </c>
      <c r="AJ448" s="521">
        <v>0</v>
      </c>
      <c r="AK448" s="520">
        <f t="shared" si="20"/>
        <v>0</v>
      </c>
      <c r="AL448" s="695" t="s">
        <v>1703</v>
      </c>
      <c r="AM448" s="669">
        <f t="shared" si="21"/>
        <v>56.66</v>
      </c>
    </row>
    <row r="449" spans="1:39" s="500" customFormat="1" hidden="1">
      <c r="A449" s="539" t="s">
        <v>521</v>
      </c>
      <c r="B449" s="539" t="s">
        <v>1238</v>
      </c>
      <c r="C449" s="548" t="s">
        <v>37</v>
      </c>
      <c r="D449" s="519"/>
      <c r="E449" s="915"/>
      <c r="F449" s="520"/>
      <c r="G449" s="520"/>
      <c r="H449" s="520"/>
      <c r="I449" s="521"/>
      <c r="J449" s="521"/>
      <c r="K449" s="521"/>
      <c r="L449" s="923"/>
      <c r="M449" s="514"/>
      <c r="N449" s="514"/>
      <c r="O449" s="514"/>
      <c r="P449" s="514"/>
      <c r="Q449" s="514"/>
      <c r="R449" s="514"/>
      <c r="S449" s="923"/>
      <c r="T449" s="514"/>
      <c r="U449" s="514"/>
      <c r="V449" s="514"/>
      <c r="W449" s="514"/>
      <c r="X449" s="514"/>
      <c r="Y449" s="514"/>
      <c r="Z449" s="923"/>
      <c r="AA449" s="514"/>
      <c r="AB449" s="514"/>
      <c r="AC449" s="514"/>
      <c r="AD449" s="514"/>
      <c r="AE449" s="774"/>
      <c r="AF449" s="514"/>
      <c r="AG449" s="897"/>
      <c r="AH449" s="789"/>
      <c r="AI449" s="786">
        <f t="shared" si="22"/>
        <v>0</v>
      </c>
      <c r="AJ449" s="521">
        <v>0</v>
      </c>
      <c r="AK449" s="520">
        <f t="shared" si="20"/>
        <v>0</v>
      </c>
      <c r="AL449" s="695" t="s">
        <v>1704</v>
      </c>
      <c r="AM449" s="669">
        <f t="shared" si="21"/>
        <v>8.17</v>
      </c>
    </row>
    <row r="450" spans="1:39" s="500" customFormat="1" hidden="1">
      <c r="A450" s="542" t="s">
        <v>522</v>
      </c>
      <c r="B450" s="542" t="s">
        <v>1239</v>
      </c>
      <c r="C450" s="616"/>
      <c r="D450" s="519"/>
      <c r="E450" s="915"/>
      <c r="F450" s="520"/>
      <c r="G450" s="520"/>
      <c r="H450" s="520"/>
      <c r="I450" s="521"/>
      <c r="J450" s="521"/>
      <c r="K450" s="521"/>
      <c r="L450" s="923"/>
      <c r="M450" s="514"/>
      <c r="N450" s="514"/>
      <c r="O450" s="514"/>
      <c r="P450" s="514"/>
      <c r="Q450" s="514"/>
      <c r="R450" s="514"/>
      <c r="S450" s="923"/>
      <c r="T450" s="514"/>
      <c r="U450" s="514"/>
      <c r="V450" s="514"/>
      <c r="W450" s="514"/>
      <c r="X450" s="514"/>
      <c r="Y450" s="514"/>
      <c r="Z450" s="923"/>
      <c r="AA450" s="514"/>
      <c r="AB450" s="514"/>
      <c r="AC450" s="514"/>
      <c r="AD450" s="514"/>
      <c r="AE450" s="774"/>
      <c r="AF450" s="514"/>
      <c r="AG450" s="897"/>
      <c r="AH450" s="789"/>
      <c r="AI450" s="786">
        <f t="shared" si="22"/>
        <v>0</v>
      </c>
      <c r="AJ450" s="521">
        <v>0</v>
      </c>
      <c r="AK450" s="520">
        <f t="shared" si="20"/>
        <v>0</v>
      </c>
      <c r="AL450" s="695"/>
      <c r="AM450" s="669">
        <f t="shared" si="21"/>
        <v>0</v>
      </c>
    </row>
    <row r="451" spans="1:39" s="500" customFormat="1" hidden="1">
      <c r="A451" s="539" t="s">
        <v>523</v>
      </c>
      <c r="B451" s="539" t="s">
        <v>1240</v>
      </c>
      <c r="C451" s="548" t="s">
        <v>37</v>
      </c>
      <c r="D451" s="519"/>
      <c r="E451" s="915"/>
      <c r="F451" s="520"/>
      <c r="G451" s="520"/>
      <c r="H451" s="520"/>
      <c r="I451" s="521"/>
      <c r="J451" s="521"/>
      <c r="K451" s="521"/>
      <c r="L451" s="923"/>
      <c r="M451" s="514"/>
      <c r="N451" s="514"/>
      <c r="O451" s="514"/>
      <c r="P451" s="514"/>
      <c r="Q451" s="514"/>
      <c r="R451" s="514"/>
      <c r="S451" s="923"/>
      <c r="T451" s="514"/>
      <c r="U451" s="514"/>
      <c r="V451" s="514"/>
      <c r="W451" s="514"/>
      <c r="X451" s="514"/>
      <c r="Y451" s="514"/>
      <c r="Z451" s="923"/>
      <c r="AA451" s="514"/>
      <c r="AB451" s="514"/>
      <c r="AC451" s="514"/>
      <c r="AD451" s="514"/>
      <c r="AE451" s="774"/>
      <c r="AF451" s="514"/>
      <c r="AG451" s="897"/>
      <c r="AH451" s="789"/>
      <c r="AI451" s="786">
        <f t="shared" si="22"/>
        <v>0</v>
      </c>
      <c r="AJ451" s="521">
        <v>0</v>
      </c>
      <c r="AK451" s="520">
        <f t="shared" si="20"/>
        <v>0</v>
      </c>
      <c r="AL451" s="695" t="s">
        <v>1705</v>
      </c>
      <c r="AM451" s="669">
        <f t="shared" si="21"/>
        <v>77.680000000000007</v>
      </c>
    </row>
    <row r="452" spans="1:39" s="500" customFormat="1" hidden="1">
      <c r="A452" s="539" t="s">
        <v>935</v>
      </c>
      <c r="B452" s="539" t="s">
        <v>1241</v>
      </c>
      <c r="C452" s="548" t="s">
        <v>37</v>
      </c>
      <c r="D452" s="519"/>
      <c r="E452" s="915"/>
      <c r="F452" s="520"/>
      <c r="G452" s="520"/>
      <c r="H452" s="520"/>
      <c r="I452" s="521"/>
      <c r="J452" s="521"/>
      <c r="K452" s="521"/>
      <c r="L452" s="923"/>
      <c r="M452" s="514"/>
      <c r="N452" s="514"/>
      <c r="O452" s="514"/>
      <c r="P452" s="514"/>
      <c r="Q452" s="514"/>
      <c r="R452" s="514"/>
      <c r="S452" s="923"/>
      <c r="T452" s="514"/>
      <c r="U452" s="514"/>
      <c r="V452" s="514"/>
      <c r="W452" s="514"/>
      <c r="X452" s="514"/>
      <c r="Y452" s="514"/>
      <c r="Z452" s="923"/>
      <c r="AA452" s="514"/>
      <c r="AB452" s="514"/>
      <c r="AC452" s="514"/>
      <c r="AD452" s="514"/>
      <c r="AE452" s="774"/>
      <c r="AF452" s="514"/>
      <c r="AG452" s="897"/>
      <c r="AH452" s="789"/>
      <c r="AI452" s="786">
        <f t="shared" si="22"/>
        <v>0</v>
      </c>
      <c r="AJ452" s="521">
        <v>0</v>
      </c>
      <c r="AK452" s="520">
        <f t="shared" si="20"/>
        <v>0</v>
      </c>
      <c r="AL452" s="695" t="s">
        <v>1706</v>
      </c>
      <c r="AM452" s="669">
        <f t="shared" si="21"/>
        <v>51.98</v>
      </c>
    </row>
    <row r="453" spans="1:39" s="500" customFormat="1" hidden="1">
      <c r="A453" s="539" t="s">
        <v>936</v>
      </c>
      <c r="B453" s="539" t="s">
        <v>1242</v>
      </c>
      <c r="C453" s="548" t="s">
        <v>37</v>
      </c>
      <c r="D453" s="519"/>
      <c r="E453" s="915"/>
      <c r="F453" s="520"/>
      <c r="G453" s="520"/>
      <c r="H453" s="520"/>
      <c r="I453" s="521"/>
      <c r="J453" s="521"/>
      <c r="K453" s="521"/>
      <c r="L453" s="923"/>
      <c r="M453" s="514"/>
      <c r="N453" s="514"/>
      <c r="O453" s="514"/>
      <c r="P453" s="514"/>
      <c r="Q453" s="514"/>
      <c r="R453" s="514"/>
      <c r="S453" s="923"/>
      <c r="T453" s="514"/>
      <c r="U453" s="514"/>
      <c r="V453" s="514"/>
      <c r="W453" s="514"/>
      <c r="X453" s="514"/>
      <c r="Y453" s="514"/>
      <c r="Z453" s="923"/>
      <c r="AA453" s="514"/>
      <c r="AB453" s="514"/>
      <c r="AC453" s="514"/>
      <c r="AD453" s="514"/>
      <c r="AE453" s="774"/>
      <c r="AF453" s="514"/>
      <c r="AG453" s="897"/>
      <c r="AH453" s="789"/>
      <c r="AI453" s="786">
        <f t="shared" si="22"/>
        <v>0</v>
      </c>
      <c r="AJ453" s="521">
        <v>0</v>
      </c>
      <c r="AK453" s="520">
        <f t="shared" si="20"/>
        <v>0</v>
      </c>
      <c r="AL453" s="695" t="s">
        <v>1707</v>
      </c>
      <c r="AM453" s="669">
        <f t="shared" si="21"/>
        <v>12</v>
      </c>
    </row>
    <row r="454" spans="1:39" s="500" customFormat="1" hidden="1">
      <c r="A454" s="539" t="s">
        <v>937</v>
      </c>
      <c r="B454" s="539" t="s">
        <v>1243</v>
      </c>
      <c r="C454" s="548" t="s">
        <v>37</v>
      </c>
      <c r="D454" s="519"/>
      <c r="E454" s="915"/>
      <c r="F454" s="520"/>
      <c r="G454" s="520"/>
      <c r="H454" s="520"/>
      <c r="I454" s="521"/>
      <c r="J454" s="521"/>
      <c r="K454" s="521"/>
      <c r="L454" s="923"/>
      <c r="M454" s="514"/>
      <c r="N454" s="514"/>
      <c r="O454" s="514"/>
      <c r="P454" s="514"/>
      <c r="Q454" s="514"/>
      <c r="R454" s="514"/>
      <c r="S454" s="923"/>
      <c r="T454" s="514"/>
      <c r="U454" s="514"/>
      <c r="V454" s="514"/>
      <c r="W454" s="514"/>
      <c r="X454" s="514"/>
      <c r="Y454" s="514"/>
      <c r="Z454" s="923"/>
      <c r="AA454" s="514"/>
      <c r="AB454" s="514"/>
      <c r="AC454" s="514"/>
      <c r="AD454" s="514"/>
      <c r="AE454" s="774"/>
      <c r="AF454" s="514"/>
      <c r="AG454" s="897"/>
      <c r="AH454" s="789"/>
      <c r="AI454" s="786">
        <f t="shared" si="22"/>
        <v>0</v>
      </c>
      <c r="AJ454" s="521">
        <v>0</v>
      </c>
      <c r="AK454" s="520">
        <f t="shared" si="20"/>
        <v>0</v>
      </c>
      <c r="AL454" s="695" t="s">
        <v>1708</v>
      </c>
      <c r="AM454" s="669">
        <f t="shared" si="21"/>
        <v>19.97</v>
      </c>
    </row>
    <row r="455" spans="1:39" s="500" customFormat="1" hidden="1">
      <c r="A455" s="539" t="s">
        <v>938</v>
      </c>
      <c r="B455" s="539" t="s">
        <v>1244</v>
      </c>
      <c r="C455" s="548" t="s">
        <v>37</v>
      </c>
      <c r="D455" s="519"/>
      <c r="E455" s="915"/>
      <c r="F455" s="520"/>
      <c r="G455" s="520"/>
      <c r="H455" s="520"/>
      <c r="I455" s="521"/>
      <c r="J455" s="521"/>
      <c r="K455" s="521"/>
      <c r="L455" s="923"/>
      <c r="M455" s="514"/>
      <c r="N455" s="514"/>
      <c r="O455" s="514"/>
      <c r="P455" s="514"/>
      <c r="Q455" s="514"/>
      <c r="R455" s="514"/>
      <c r="S455" s="923"/>
      <c r="T455" s="514"/>
      <c r="U455" s="514"/>
      <c r="V455" s="514"/>
      <c r="W455" s="514"/>
      <c r="X455" s="514"/>
      <c r="Y455" s="514"/>
      <c r="Z455" s="923"/>
      <c r="AA455" s="514"/>
      <c r="AB455" s="514"/>
      <c r="AC455" s="514"/>
      <c r="AD455" s="514"/>
      <c r="AE455" s="774"/>
      <c r="AF455" s="514"/>
      <c r="AG455" s="897"/>
      <c r="AH455" s="789"/>
      <c r="AI455" s="786">
        <f t="shared" si="22"/>
        <v>0</v>
      </c>
      <c r="AJ455" s="521">
        <v>0</v>
      </c>
      <c r="AK455" s="520">
        <f t="shared" si="20"/>
        <v>0</v>
      </c>
      <c r="AL455" s="695" t="s">
        <v>1709</v>
      </c>
      <c r="AM455" s="669">
        <f t="shared" si="21"/>
        <v>35.729999999999997</v>
      </c>
    </row>
    <row r="456" spans="1:39" s="500" customFormat="1" hidden="1">
      <c r="A456" s="539" t="s">
        <v>939</v>
      </c>
      <c r="B456" s="539" t="s">
        <v>1245</v>
      </c>
      <c r="C456" s="548" t="s">
        <v>38</v>
      </c>
      <c r="D456" s="519"/>
      <c r="E456" s="915"/>
      <c r="F456" s="520"/>
      <c r="G456" s="520"/>
      <c r="H456" s="520"/>
      <c r="I456" s="521"/>
      <c r="J456" s="521"/>
      <c r="K456" s="521"/>
      <c r="L456" s="923"/>
      <c r="M456" s="514"/>
      <c r="N456" s="514"/>
      <c r="O456" s="514"/>
      <c r="P456" s="514"/>
      <c r="Q456" s="514"/>
      <c r="R456" s="514"/>
      <c r="S456" s="923"/>
      <c r="T456" s="514"/>
      <c r="U456" s="514"/>
      <c r="V456" s="514"/>
      <c r="W456" s="514"/>
      <c r="X456" s="514"/>
      <c r="Y456" s="514"/>
      <c r="Z456" s="923"/>
      <c r="AA456" s="514"/>
      <c r="AB456" s="514"/>
      <c r="AC456" s="514"/>
      <c r="AD456" s="514"/>
      <c r="AE456" s="774"/>
      <c r="AF456" s="514"/>
      <c r="AG456" s="897"/>
      <c r="AH456" s="789"/>
      <c r="AI456" s="786">
        <f t="shared" si="22"/>
        <v>0</v>
      </c>
      <c r="AJ456" s="521">
        <v>0</v>
      </c>
      <c r="AK456" s="520">
        <f t="shared" si="20"/>
        <v>0</v>
      </c>
      <c r="AL456" s="695" t="s">
        <v>1710</v>
      </c>
      <c r="AM456" s="669">
        <f t="shared" si="21"/>
        <v>35.9</v>
      </c>
    </row>
    <row r="457" spans="1:39" s="500" customFormat="1" hidden="1">
      <c r="A457" s="539" t="s">
        <v>940</v>
      </c>
      <c r="B457" s="539" t="s">
        <v>1246</v>
      </c>
      <c r="C457" s="548" t="s">
        <v>38</v>
      </c>
      <c r="D457" s="519"/>
      <c r="E457" s="915"/>
      <c r="F457" s="520"/>
      <c r="G457" s="520"/>
      <c r="H457" s="520"/>
      <c r="I457" s="521"/>
      <c r="J457" s="521"/>
      <c r="K457" s="521"/>
      <c r="L457" s="923"/>
      <c r="M457" s="514"/>
      <c r="N457" s="514"/>
      <c r="O457" s="514"/>
      <c r="P457" s="514"/>
      <c r="Q457" s="514"/>
      <c r="R457" s="514"/>
      <c r="S457" s="923"/>
      <c r="T457" s="514"/>
      <c r="U457" s="514"/>
      <c r="V457" s="514"/>
      <c r="W457" s="514"/>
      <c r="X457" s="514"/>
      <c r="Y457" s="514"/>
      <c r="Z457" s="923"/>
      <c r="AA457" s="514"/>
      <c r="AB457" s="514"/>
      <c r="AC457" s="514"/>
      <c r="AD457" s="514"/>
      <c r="AE457" s="774"/>
      <c r="AF457" s="514"/>
      <c r="AG457" s="897"/>
      <c r="AH457" s="789"/>
      <c r="AI457" s="786">
        <f t="shared" si="22"/>
        <v>0</v>
      </c>
      <c r="AJ457" s="521">
        <v>0</v>
      </c>
      <c r="AK457" s="520">
        <f t="shared" si="20"/>
        <v>0</v>
      </c>
      <c r="AL457" s="695" t="s">
        <v>1711</v>
      </c>
      <c r="AM457" s="669">
        <f t="shared" si="21"/>
        <v>151.28</v>
      </c>
    </row>
    <row r="458" spans="1:39" s="500" customFormat="1" hidden="1">
      <c r="A458" s="542" t="s">
        <v>524</v>
      </c>
      <c r="B458" s="542" t="s">
        <v>1247</v>
      </c>
      <c r="C458" s="616"/>
      <c r="D458" s="519"/>
      <c r="E458" s="915"/>
      <c r="F458" s="520"/>
      <c r="G458" s="520"/>
      <c r="H458" s="520"/>
      <c r="I458" s="521"/>
      <c r="J458" s="521"/>
      <c r="K458" s="521"/>
      <c r="L458" s="923"/>
      <c r="M458" s="514"/>
      <c r="N458" s="514"/>
      <c r="O458" s="514"/>
      <c r="P458" s="514"/>
      <c r="Q458" s="514"/>
      <c r="R458" s="514"/>
      <c r="S458" s="923"/>
      <c r="T458" s="514"/>
      <c r="U458" s="514"/>
      <c r="V458" s="514"/>
      <c r="W458" s="514"/>
      <c r="X458" s="514"/>
      <c r="Y458" s="514"/>
      <c r="Z458" s="923"/>
      <c r="AA458" s="514"/>
      <c r="AB458" s="514"/>
      <c r="AC458" s="514"/>
      <c r="AD458" s="514"/>
      <c r="AE458" s="774"/>
      <c r="AF458" s="514"/>
      <c r="AG458" s="897"/>
      <c r="AH458" s="789"/>
      <c r="AI458" s="786">
        <f t="shared" si="22"/>
        <v>0</v>
      </c>
      <c r="AJ458" s="521">
        <v>0</v>
      </c>
      <c r="AK458" s="520">
        <f t="shared" si="20"/>
        <v>0</v>
      </c>
      <c r="AL458" s="695"/>
      <c r="AM458" s="669">
        <f t="shared" si="21"/>
        <v>0</v>
      </c>
    </row>
    <row r="459" spans="1:39" s="500" customFormat="1" hidden="1">
      <c r="A459" s="539" t="s">
        <v>525</v>
      </c>
      <c r="B459" s="539" t="s">
        <v>1248</v>
      </c>
      <c r="C459" s="548" t="s">
        <v>37</v>
      </c>
      <c r="D459" s="519"/>
      <c r="E459" s="915"/>
      <c r="F459" s="520"/>
      <c r="G459" s="520"/>
      <c r="H459" s="520"/>
      <c r="I459" s="521"/>
      <c r="J459" s="521"/>
      <c r="K459" s="521"/>
      <c r="L459" s="923"/>
      <c r="M459" s="514"/>
      <c r="N459" s="514"/>
      <c r="O459" s="514"/>
      <c r="P459" s="514"/>
      <c r="Q459" s="514"/>
      <c r="R459" s="514"/>
      <c r="S459" s="923"/>
      <c r="T459" s="514"/>
      <c r="U459" s="514"/>
      <c r="V459" s="514"/>
      <c r="W459" s="514"/>
      <c r="X459" s="514"/>
      <c r="Y459" s="514"/>
      <c r="Z459" s="923"/>
      <c r="AA459" s="514"/>
      <c r="AB459" s="514"/>
      <c r="AC459" s="514"/>
      <c r="AD459" s="514"/>
      <c r="AE459" s="774"/>
      <c r="AF459" s="514"/>
      <c r="AG459" s="897"/>
      <c r="AH459" s="789"/>
      <c r="AI459" s="786">
        <f t="shared" si="22"/>
        <v>0</v>
      </c>
      <c r="AJ459" s="521">
        <v>0</v>
      </c>
      <c r="AK459" s="520">
        <f t="shared" si="20"/>
        <v>0</v>
      </c>
      <c r="AL459" s="695" t="s">
        <v>1712</v>
      </c>
      <c r="AM459" s="669">
        <f t="shared" si="21"/>
        <v>33.950000000000003</v>
      </c>
    </row>
    <row r="460" spans="1:39" s="500" customFormat="1" hidden="1">
      <c r="A460" s="542" t="s">
        <v>941</v>
      </c>
      <c r="B460" s="542" t="s">
        <v>1249</v>
      </c>
      <c r="C460" s="616"/>
      <c r="D460" s="519"/>
      <c r="E460" s="915"/>
      <c r="F460" s="520"/>
      <c r="G460" s="520"/>
      <c r="H460" s="520"/>
      <c r="I460" s="521"/>
      <c r="J460" s="521"/>
      <c r="K460" s="521"/>
      <c r="L460" s="923"/>
      <c r="M460" s="514"/>
      <c r="N460" s="514"/>
      <c r="O460" s="514"/>
      <c r="P460" s="514"/>
      <c r="Q460" s="514"/>
      <c r="R460" s="514"/>
      <c r="S460" s="923"/>
      <c r="T460" s="514"/>
      <c r="U460" s="514"/>
      <c r="V460" s="514"/>
      <c r="W460" s="514"/>
      <c r="X460" s="514"/>
      <c r="Y460" s="514"/>
      <c r="Z460" s="923"/>
      <c r="AA460" s="514"/>
      <c r="AB460" s="514"/>
      <c r="AC460" s="514"/>
      <c r="AD460" s="514"/>
      <c r="AE460" s="774"/>
      <c r="AF460" s="514"/>
      <c r="AG460" s="897"/>
      <c r="AH460" s="789"/>
      <c r="AI460" s="786">
        <f t="shared" si="22"/>
        <v>0</v>
      </c>
      <c r="AJ460" s="521">
        <v>0</v>
      </c>
      <c r="AK460" s="520">
        <f t="shared" si="20"/>
        <v>0</v>
      </c>
      <c r="AL460" s="695"/>
      <c r="AM460" s="669">
        <f t="shared" si="21"/>
        <v>0</v>
      </c>
    </row>
    <row r="461" spans="1:39" s="500" customFormat="1" hidden="1">
      <c r="A461" s="539" t="s">
        <v>942</v>
      </c>
      <c r="B461" s="539" t="s">
        <v>1250</v>
      </c>
      <c r="C461" s="548" t="s">
        <v>37</v>
      </c>
      <c r="D461" s="519"/>
      <c r="E461" s="915"/>
      <c r="F461" s="520"/>
      <c r="G461" s="520"/>
      <c r="H461" s="520"/>
      <c r="I461" s="521"/>
      <c r="J461" s="521"/>
      <c r="K461" s="521"/>
      <c r="L461" s="923"/>
      <c r="M461" s="514"/>
      <c r="N461" s="514"/>
      <c r="O461" s="514"/>
      <c r="P461" s="514"/>
      <c r="Q461" s="514"/>
      <c r="R461" s="514"/>
      <c r="S461" s="923"/>
      <c r="T461" s="514"/>
      <c r="U461" s="514"/>
      <c r="V461" s="514"/>
      <c r="W461" s="514"/>
      <c r="X461" s="514"/>
      <c r="Y461" s="514"/>
      <c r="Z461" s="923"/>
      <c r="AA461" s="514"/>
      <c r="AB461" s="514"/>
      <c r="AC461" s="514"/>
      <c r="AD461" s="514"/>
      <c r="AE461" s="774"/>
      <c r="AF461" s="514"/>
      <c r="AG461" s="897"/>
      <c r="AH461" s="789"/>
      <c r="AI461" s="786">
        <f t="shared" si="22"/>
        <v>0</v>
      </c>
      <c r="AJ461" s="521">
        <v>0</v>
      </c>
      <c r="AK461" s="520">
        <f t="shared" si="20"/>
        <v>0</v>
      </c>
      <c r="AL461" s="695" t="s">
        <v>1713</v>
      </c>
      <c r="AM461" s="669">
        <f t="shared" si="21"/>
        <v>22.08</v>
      </c>
    </row>
    <row r="462" spans="1:39" s="500" customFormat="1" hidden="1">
      <c r="A462" s="539" t="s">
        <v>943</v>
      </c>
      <c r="B462" s="539" t="s">
        <v>1251</v>
      </c>
      <c r="C462" s="548" t="s">
        <v>37</v>
      </c>
      <c r="D462" s="519"/>
      <c r="E462" s="915"/>
      <c r="F462" s="520"/>
      <c r="G462" s="520"/>
      <c r="H462" s="520"/>
      <c r="I462" s="521"/>
      <c r="J462" s="521"/>
      <c r="K462" s="521"/>
      <c r="L462" s="923"/>
      <c r="M462" s="514"/>
      <c r="N462" s="514"/>
      <c r="O462" s="514"/>
      <c r="P462" s="514"/>
      <c r="Q462" s="514"/>
      <c r="R462" s="514"/>
      <c r="S462" s="923"/>
      <c r="T462" s="514"/>
      <c r="U462" s="514"/>
      <c r="V462" s="514"/>
      <c r="W462" s="514"/>
      <c r="X462" s="514"/>
      <c r="Y462" s="514"/>
      <c r="Z462" s="923"/>
      <c r="AA462" s="514"/>
      <c r="AB462" s="514"/>
      <c r="AC462" s="514"/>
      <c r="AD462" s="514"/>
      <c r="AE462" s="774"/>
      <c r="AF462" s="514"/>
      <c r="AG462" s="897"/>
      <c r="AH462" s="789"/>
      <c r="AI462" s="786">
        <f t="shared" si="22"/>
        <v>0</v>
      </c>
      <c r="AJ462" s="521">
        <v>0</v>
      </c>
      <c r="AK462" s="520">
        <f t="shared" ref="AK462:AK525" si="23">AI462+AJ462</f>
        <v>0</v>
      </c>
      <c r="AL462" s="695" t="s">
        <v>1714</v>
      </c>
      <c r="AM462" s="669">
        <f t="shared" ref="AM462:AM525" si="24">AL462-AK462</f>
        <v>12.13</v>
      </c>
    </row>
    <row r="463" spans="1:39" s="500" customFormat="1" hidden="1">
      <c r="A463" s="539" t="s">
        <v>944</v>
      </c>
      <c r="B463" s="539" t="s">
        <v>1252</v>
      </c>
      <c r="C463" s="548" t="s">
        <v>37</v>
      </c>
      <c r="D463" s="519"/>
      <c r="E463" s="915"/>
      <c r="F463" s="520"/>
      <c r="G463" s="520"/>
      <c r="H463" s="520"/>
      <c r="I463" s="521"/>
      <c r="J463" s="521"/>
      <c r="K463" s="521"/>
      <c r="L463" s="923"/>
      <c r="M463" s="514"/>
      <c r="N463" s="514"/>
      <c r="O463" s="514"/>
      <c r="P463" s="514"/>
      <c r="Q463" s="514"/>
      <c r="R463" s="514"/>
      <c r="S463" s="923"/>
      <c r="T463" s="514"/>
      <c r="U463" s="514"/>
      <c r="V463" s="514"/>
      <c r="W463" s="514"/>
      <c r="X463" s="514"/>
      <c r="Y463" s="514"/>
      <c r="Z463" s="923"/>
      <c r="AA463" s="514"/>
      <c r="AB463" s="514"/>
      <c r="AC463" s="514"/>
      <c r="AD463" s="514"/>
      <c r="AE463" s="774"/>
      <c r="AF463" s="514"/>
      <c r="AG463" s="897"/>
      <c r="AH463" s="789"/>
      <c r="AI463" s="786">
        <f t="shared" ref="AI463:AI526" si="25">ROUND((SUM(D463:AH463)),2)</f>
        <v>0</v>
      </c>
      <c r="AJ463" s="521">
        <v>0</v>
      </c>
      <c r="AK463" s="520">
        <f t="shared" si="23"/>
        <v>0</v>
      </c>
      <c r="AL463" s="695" t="s">
        <v>1715</v>
      </c>
      <c r="AM463" s="669">
        <f t="shared" si="24"/>
        <v>9.9499999999999993</v>
      </c>
    </row>
    <row r="464" spans="1:39" s="500" customFormat="1" hidden="1">
      <c r="A464" s="542" t="s">
        <v>945</v>
      </c>
      <c r="B464" s="542" t="s">
        <v>1256</v>
      </c>
      <c r="C464" s="616"/>
      <c r="D464" s="519"/>
      <c r="E464" s="915"/>
      <c r="F464" s="520"/>
      <c r="G464" s="520"/>
      <c r="H464" s="520"/>
      <c r="I464" s="521"/>
      <c r="J464" s="521"/>
      <c r="K464" s="521"/>
      <c r="L464" s="923"/>
      <c r="M464" s="514"/>
      <c r="N464" s="514"/>
      <c r="O464" s="514"/>
      <c r="P464" s="514"/>
      <c r="Q464" s="514"/>
      <c r="R464" s="514"/>
      <c r="S464" s="923"/>
      <c r="T464" s="514"/>
      <c r="U464" s="514"/>
      <c r="V464" s="514"/>
      <c r="W464" s="514"/>
      <c r="X464" s="514"/>
      <c r="Y464" s="514"/>
      <c r="Z464" s="923"/>
      <c r="AA464" s="514"/>
      <c r="AB464" s="514"/>
      <c r="AC464" s="514"/>
      <c r="AD464" s="514"/>
      <c r="AE464" s="774"/>
      <c r="AF464" s="514"/>
      <c r="AG464" s="897"/>
      <c r="AH464" s="789"/>
      <c r="AI464" s="786">
        <f t="shared" si="25"/>
        <v>0</v>
      </c>
      <c r="AJ464" s="521">
        <v>0</v>
      </c>
      <c r="AK464" s="520">
        <f t="shared" si="23"/>
        <v>0</v>
      </c>
      <c r="AL464" s="695"/>
      <c r="AM464" s="669">
        <f t="shared" si="24"/>
        <v>0</v>
      </c>
    </row>
    <row r="465" spans="1:39" s="500" customFormat="1" hidden="1">
      <c r="A465" s="539" t="s">
        <v>946</v>
      </c>
      <c r="B465" s="539" t="s">
        <v>1257</v>
      </c>
      <c r="C465" s="548" t="s">
        <v>37</v>
      </c>
      <c r="D465" s="519"/>
      <c r="E465" s="915"/>
      <c r="F465" s="520"/>
      <c r="G465" s="520"/>
      <c r="H465" s="520"/>
      <c r="I465" s="521"/>
      <c r="J465" s="521"/>
      <c r="K465" s="521"/>
      <c r="L465" s="923"/>
      <c r="M465" s="514"/>
      <c r="N465" s="514"/>
      <c r="O465" s="514"/>
      <c r="P465" s="514"/>
      <c r="Q465" s="514"/>
      <c r="R465" s="514"/>
      <c r="S465" s="923"/>
      <c r="T465" s="514"/>
      <c r="U465" s="514"/>
      <c r="V465" s="514"/>
      <c r="W465" s="514"/>
      <c r="X465" s="514"/>
      <c r="Y465" s="514"/>
      <c r="Z465" s="923"/>
      <c r="AA465" s="514"/>
      <c r="AB465" s="514"/>
      <c r="AC465" s="514"/>
      <c r="AD465" s="514"/>
      <c r="AE465" s="774"/>
      <c r="AF465" s="514"/>
      <c r="AG465" s="897"/>
      <c r="AH465" s="789"/>
      <c r="AI465" s="786">
        <f t="shared" si="25"/>
        <v>0</v>
      </c>
      <c r="AJ465" s="521">
        <v>0</v>
      </c>
      <c r="AK465" s="520">
        <f t="shared" si="23"/>
        <v>0</v>
      </c>
      <c r="AL465" s="695" t="s">
        <v>1716</v>
      </c>
      <c r="AM465" s="669">
        <f t="shared" si="24"/>
        <v>8.93</v>
      </c>
    </row>
    <row r="466" spans="1:39" s="500" customFormat="1" hidden="1">
      <c r="A466" s="542" t="s">
        <v>947</v>
      </c>
      <c r="B466" s="542" t="s">
        <v>1258</v>
      </c>
      <c r="C466" s="616"/>
      <c r="D466" s="519"/>
      <c r="E466" s="915"/>
      <c r="F466" s="520"/>
      <c r="G466" s="520"/>
      <c r="H466" s="520"/>
      <c r="I466" s="521"/>
      <c r="J466" s="521"/>
      <c r="K466" s="521"/>
      <c r="L466" s="923"/>
      <c r="M466" s="514"/>
      <c r="N466" s="514"/>
      <c r="O466" s="514"/>
      <c r="P466" s="514"/>
      <c r="Q466" s="514"/>
      <c r="R466" s="514"/>
      <c r="S466" s="923"/>
      <c r="T466" s="514"/>
      <c r="U466" s="514"/>
      <c r="V466" s="514"/>
      <c r="W466" s="514"/>
      <c r="X466" s="514"/>
      <c r="Y466" s="514"/>
      <c r="Z466" s="923"/>
      <c r="AA466" s="514"/>
      <c r="AB466" s="514"/>
      <c r="AC466" s="514"/>
      <c r="AD466" s="514"/>
      <c r="AE466" s="774"/>
      <c r="AF466" s="514"/>
      <c r="AG466" s="897"/>
      <c r="AH466" s="789"/>
      <c r="AI466" s="786">
        <f t="shared" si="25"/>
        <v>0</v>
      </c>
      <c r="AJ466" s="521">
        <v>0</v>
      </c>
      <c r="AK466" s="520">
        <f t="shared" si="23"/>
        <v>0</v>
      </c>
      <c r="AL466" s="695"/>
      <c r="AM466" s="669">
        <f t="shared" si="24"/>
        <v>0</v>
      </c>
    </row>
    <row r="467" spans="1:39" s="500" customFormat="1" hidden="1">
      <c r="A467" s="539" t="s">
        <v>948</v>
      </c>
      <c r="B467" s="539" t="s">
        <v>1259</v>
      </c>
      <c r="C467" s="548" t="s">
        <v>37</v>
      </c>
      <c r="D467" s="519"/>
      <c r="E467" s="915"/>
      <c r="F467" s="520"/>
      <c r="G467" s="520"/>
      <c r="H467" s="520"/>
      <c r="I467" s="521"/>
      <c r="J467" s="521"/>
      <c r="K467" s="521"/>
      <c r="L467" s="923"/>
      <c r="M467" s="514"/>
      <c r="N467" s="514"/>
      <c r="O467" s="514"/>
      <c r="P467" s="514"/>
      <c r="Q467" s="514"/>
      <c r="R467" s="514"/>
      <c r="S467" s="923"/>
      <c r="T467" s="514"/>
      <c r="U467" s="514"/>
      <c r="V467" s="514"/>
      <c r="W467" s="514"/>
      <c r="X467" s="514"/>
      <c r="Y467" s="514"/>
      <c r="Z467" s="923"/>
      <c r="AA467" s="514"/>
      <c r="AB467" s="514"/>
      <c r="AC467" s="514"/>
      <c r="AD467" s="514"/>
      <c r="AE467" s="774"/>
      <c r="AF467" s="514"/>
      <c r="AG467" s="897"/>
      <c r="AH467" s="789"/>
      <c r="AI467" s="786">
        <f t="shared" si="25"/>
        <v>0</v>
      </c>
      <c r="AJ467" s="521">
        <v>0</v>
      </c>
      <c r="AK467" s="520">
        <f t="shared" si="23"/>
        <v>0</v>
      </c>
      <c r="AL467" s="695" t="s">
        <v>1717</v>
      </c>
      <c r="AM467" s="669">
        <f t="shared" si="24"/>
        <v>6.91</v>
      </c>
    </row>
    <row r="468" spans="1:39" s="500" customFormat="1" hidden="1">
      <c r="A468" s="539" t="s">
        <v>949</v>
      </c>
      <c r="B468" s="539" t="s">
        <v>1286</v>
      </c>
      <c r="C468" s="548" t="s">
        <v>37</v>
      </c>
      <c r="D468" s="519"/>
      <c r="E468" s="915"/>
      <c r="F468" s="520"/>
      <c r="G468" s="520"/>
      <c r="H468" s="520"/>
      <c r="I468" s="521"/>
      <c r="J468" s="521"/>
      <c r="K468" s="521"/>
      <c r="L468" s="923"/>
      <c r="M468" s="514"/>
      <c r="N468" s="514"/>
      <c r="O468" s="514"/>
      <c r="P468" s="514"/>
      <c r="Q468" s="514"/>
      <c r="R468" s="514"/>
      <c r="S468" s="923"/>
      <c r="T468" s="514"/>
      <c r="U468" s="514"/>
      <c r="V468" s="514"/>
      <c r="W468" s="514"/>
      <c r="X468" s="514"/>
      <c r="Y468" s="514"/>
      <c r="Z468" s="923"/>
      <c r="AA468" s="514"/>
      <c r="AB468" s="514"/>
      <c r="AC468" s="514"/>
      <c r="AD468" s="514"/>
      <c r="AE468" s="774"/>
      <c r="AF468" s="514"/>
      <c r="AG468" s="897"/>
      <c r="AH468" s="789"/>
      <c r="AI468" s="786">
        <f t="shared" si="25"/>
        <v>0</v>
      </c>
      <c r="AJ468" s="521">
        <v>0</v>
      </c>
      <c r="AK468" s="520">
        <f t="shared" si="23"/>
        <v>0</v>
      </c>
      <c r="AL468" s="695" t="s">
        <v>1718</v>
      </c>
      <c r="AM468" s="669">
        <f t="shared" si="24"/>
        <v>8.86</v>
      </c>
    </row>
    <row r="469" spans="1:39" s="500" customFormat="1" hidden="1">
      <c r="A469" s="539" t="s">
        <v>950</v>
      </c>
      <c r="B469" s="539" t="s">
        <v>1260</v>
      </c>
      <c r="C469" s="548" t="s">
        <v>38</v>
      </c>
      <c r="D469" s="519"/>
      <c r="E469" s="915"/>
      <c r="F469" s="520"/>
      <c r="G469" s="520"/>
      <c r="H469" s="520"/>
      <c r="I469" s="521"/>
      <c r="J469" s="521"/>
      <c r="K469" s="521"/>
      <c r="L469" s="923"/>
      <c r="M469" s="514"/>
      <c r="N469" s="514"/>
      <c r="O469" s="514"/>
      <c r="P469" s="514"/>
      <c r="Q469" s="514"/>
      <c r="R469" s="514"/>
      <c r="S469" s="923"/>
      <c r="T469" s="514"/>
      <c r="U469" s="514"/>
      <c r="V469" s="514"/>
      <c r="W469" s="514"/>
      <c r="X469" s="514"/>
      <c r="Y469" s="514"/>
      <c r="Z469" s="923"/>
      <c r="AA469" s="514"/>
      <c r="AB469" s="514"/>
      <c r="AC469" s="514"/>
      <c r="AD469" s="514"/>
      <c r="AE469" s="774"/>
      <c r="AF469" s="514"/>
      <c r="AG469" s="897"/>
      <c r="AH469" s="789"/>
      <c r="AI469" s="786">
        <f t="shared" si="25"/>
        <v>0</v>
      </c>
      <c r="AJ469" s="521">
        <v>0</v>
      </c>
      <c r="AK469" s="520">
        <f t="shared" si="23"/>
        <v>0</v>
      </c>
      <c r="AL469" s="695" t="s">
        <v>1719</v>
      </c>
      <c r="AM469" s="669">
        <f t="shared" si="24"/>
        <v>10.78</v>
      </c>
    </row>
    <row r="470" spans="1:39" s="500" customFormat="1" hidden="1">
      <c r="A470" s="539" t="s">
        <v>951</v>
      </c>
      <c r="B470" s="539" t="s">
        <v>1261</v>
      </c>
      <c r="C470" s="548" t="s">
        <v>38</v>
      </c>
      <c r="D470" s="519"/>
      <c r="E470" s="915"/>
      <c r="F470" s="520"/>
      <c r="G470" s="520"/>
      <c r="H470" s="520"/>
      <c r="I470" s="521"/>
      <c r="J470" s="521"/>
      <c r="K470" s="521"/>
      <c r="L470" s="923"/>
      <c r="M470" s="514"/>
      <c r="N470" s="514"/>
      <c r="O470" s="514"/>
      <c r="P470" s="514"/>
      <c r="Q470" s="514"/>
      <c r="R470" s="514"/>
      <c r="S470" s="923"/>
      <c r="T470" s="514"/>
      <c r="U470" s="514"/>
      <c r="V470" s="514"/>
      <c r="W470" s="514"/>
      <c r="X470" s="514"/>
      <c r="Y470" s="514"/>
      <c r="Z470" s="923"/>
      <c r="AA470" s="514"/>
      <c r="AB470" s="514"/>
      <c r="AC470" s="514"/>
      <c r="AD470" s="514"/>
      <c r="AE470" s="774"/>
      <c r="AF470" s="514"/>
      <c r="AG470" s="897"/>
      <c r="AH470" s="789"/>
      <c r="AI470" s="786">
        <f t="shared" si="25"/>
        <v>0</v>
      </c>
      <c r="AJ470" s="521">
        <v>0</v>
      </c>
      <c r="AK470" s="520">
        <f t="shared" si="23"/>
        <v>0</v>
      </c>
      <c r="AL470" s="695" t="s">
        <v>1720</v>
      </c>
      <c r="AM470" s="669">
        <f t="shared" si="24"/>
        <v>14.4</v>
      </c>
    </row>
    <row r="471" spans="1:39" s="500" customFormat="1" hidden="1">
      <c r="A471" s="542" t="s">
        <v>952</v>
      </c>
      <c r="B471" s="542" t="s">
        <v>1198</v>
      </c>
      <c r="C471" s="616"/>
      <c r="D471" s="519"/>
      <c r="E471" s="915"/>
      <c r="F471" s="520"/>
      <c r="G471" s="520"/>
      <c r="H471" s="520"/>
      <c r="I471" s="521"/>
      <c r="J471" s="521"/>
      <c r="K471" s="521"/>
      <c r="L471" s="923"/>
      <c r="M471" s="514"/>
      <c r="N471" s="514"/>
      <c r="O471" s="514"/>
      <c r="P471" s="514"/>
      <c r="Q471" s="514"/>
      <c r="R471" s="514"/>
      <c r="S471" s="923"/>
      <c r="T471" s="514"/>
      <c r="U471" s="514"/>
      <c r="V471" s="514"/>
      <c r="W471" s="514"/>
      <c r="X471" s="514"/>
      <c r="Y471" s="514"/>
      <c r="Z471" s="923"/>
      <c r="AA471" s="514"/>
      <c r="AB471" s="514"/>
      <c r="AC471" s="514"/>
      <c r="AD471" s="514"/>
      <c r="AE471" s="774"/>
      <c r="AF471" s="514"/>
      <c r="AG471" s="897"/>
      <c r="AH471" s="789"/>
      <c r="AI471" s="786">
        <f t="shared" si="25"/>
        <v>0</v>
      </c>
      <c r="AJ471" s="521">
        <v>0</v>
      </c>
      <c r="AK471" s="520">
        <f t="shared" si="23"/>
        <v>0</v>
      </c>
      <c r="AL471" s="695"/>
      <c r="AM471" s="669">
        <f t="shared" si="24"/>
        <v>0</v>
      </c>
    </row>
    <row r="472" spans="1:39" s="500" customFormat="1" hidden="1">
      <c r="A472" s="539" t="s">
        <v>953</v>
      </c>
      <c r="B472" s="539" t="s">
        <v>1262</v>
      </c>
      <c r="C472" s="548" t="s">
        <v>37</v>
      </c>
      <c r="D472" s="519"/>
      <c r="E472" s="915"/>
      <c r="F472" s="520"/>
      <c r="G472" s="520"/>
      <c r="H472" s="520"/>
      <c r="I472" s="521"/>
      <c r="J472" s="521"/>
      <c r="K472" s="521"/>
      <c r="L472" s="923"/>
      <c r="M472" s="514"/>
      <c r="N472" s="514"/>
      <c r="O472" s="514"/>
      <c r="P472" s="514"/>
      <c r="Q472" s="514"/>
      <c r="R472" s="514"/>
      <c r="S472" s="923"/>
      <c r="T472" s="514"/>
      <c r="U472" s="514"/>
      <c r="V472" s="514"/>
      <c r="W472" s="514"/>
      <c r="X472" s="514"/>
      <c r="Y472" s="514"/>
      <c r="Z472" s="923"/>
      <c r="AA472" s="514"/>
      <c r="AB472" s="514"/>
      <c r="AC472" s="514"/>
      <c r="AD472" s="514"/>
      <c r="AE472" s="774"/>
      <c r="AF472" s="514"/>
      <c r="AG472" s="897"/>
      <c r="AH472" s="789"/>
      <c r="AI472" s="786">
        <f t="shared" si="25"/>
        <v>0</v>
      </c>
      <c r="AJ472" s="521">
        <v>0</v>
      </c>
      <c r="AK472" s="520">
        <f t="shared" si="23"/>
        <v>0</v>
      </c>
      <c r="AL472" s="695" t="s">
        <v>1721</v>
      </c>
      <c r="AM472" s="669">
        <f t="shared" si="24"/>
        <v>21.28</v>
      </c>
    </row>
    <row r="473" spans="1:39" s="500" customFormat="1" hidden="1">
      <c r="A473" s="539" t="s">
        <v>954</v>
      </c>
      <c r="B473" s="539" t="s">
        <v>1263</v>
      </c>
      <c r="C473" s="548" t="s">
        <v>38</v>
      </c>
      <c r="D473" s="519"/>
      <c r="E473" s="915"/>
      <c r="F473" s="520"/>
      <c r="G473" s="520"/>
      <c r="H473" s="520"/>
      <c r="I473" s="521"/>
      <c r="J473" s="521"/>
      <c r="K473" s="521"/>
      <c r="L473" s="923"/>
      <c r="M473" s="514"/>
      <c r="N473" s="514"/>
      <c r="O473" s="514"/>
      <c r="P473" s="514"/>
      <c r="Q473" s="514"/>
      <c r="R473" s="514"/>
      <c r="S473" s="923"/>
      <c r="T473" s="514"/>
      <c r="U473" s="514"/>
      <c r="V473" s="514"/>
      <c r="W473" s="514"/>
      <c r="X473" s="514"/>
      <c r="Y473" s="514"/>
      <c r="Z473" s="923"/>
      <c r="AA473" s="514"/>
      <c r="AB473" s="514"/>
      <c r="AC473" s="514"/>
      <c r="AD473" s="514"/>
      <c r="AE473" s="774"/>
      <c r="AF473" s="514"/>
      <c r="AG473" s="897"/>
      <c r="AH473" s="789"/>
      <c r="AI473" s="786">
        <f t="shared" si="25"/>
        <v>0</v>
      </c>
      <c r="AJ473" s="521">
        <v>0</v>
      </c>
      <c r="AK473" s="520">
        <f t="shared" si="23"/>
        <v>0</v>
      </c>
      <c r="AL473" s="695" t="s">
        <v>1689</v>
      </c>
      <c r="AM473" s="669">
        <f t="shared" si="24"/>
        <v>6.15</v>
      </c>
    </row>
    <row r="474" spans="1:39" s="500" customFormat="1" hidden="1">
      <c r="A474" s="542" t="s">
        <v>955</v>
      </c>
      <c r="B474" s="542" t="s">
        <v>1264</v>
      </c>
      <c r="C474" s="616"/>
      <c r="D474" s="519"/>
      <c r="E474" s="915"/>
      <c r="F474" s="520"/>
      <c r="G474" s="520"/>
      <c r="H474" s="520"/>
      <c r="I474" s="521"/>
      <c r="J474" s="521"/>
      <c r="K474" s="521"/>
      <c r="L474" s="923"/>
      <c r="M474" s="514"/>
      <c r="N474" s="514"/>
      <c r="O474" s="514"/>
      <c r="P474" s="514"/>
      <c r="Q474" s="514"/>
      <c r="R474" s="514"/>
      <c r="S474" s="923"/>
      <c r="T474" s="514"/>
      <c r="U474" s="514"/>
      <c r="V474" s="514"/>
      <c r="W474" s="514"/>
      <c r="X474" s="514"/>
      <c r="Y474" s="514"/>
      <c r="Z474" s="923"/>
      <c r="AA474" s="514"/>
      <c r="AB474" s="514"/>
      <c r="AC474" s="514"/>
      <c r="AD474" s="514"/>
      <c r="AE474" s="774"/>
      <c r="AF474" s="514"/>
      <c r="AG474" s="897"/>
      <c r="AH474" s="789"/>
      <c r="AI474" s="786">
        <f t="shared" si="25"/>
        <v>0</v>
      </c>
      <c r="AJ474" s="521">
        <v>0</v>
      </c>
      <c r="AK474" s="520">
        <f t="shared" si="23"/>
        <v>0</v>
      </c>
      <c r="AL474" s="695"/>
      <c r="AM474" s="669">
        <f t="shared" si="24"/>
        <v>0</v>
      </c>
    </row>
    <row r="475" spans="1:39" s="500" customFormat="1" hidden="1">
      <c r="A475" s="539" t="s">
        <v>956</v>
      </c>
      <c r="B475" s="539" t="s">
        <v>1265</v>
      </c>
      <c r="C475" s="548" t="s">
        <v>37</v>
      </c>
      <c r="D475" s="519"/>
      <c r="E475" s="915"/>
      <c r="F475" s="520"/>
      <c r="G475" s="520"/>
      <c r="H475" s="520"/>
      <c r="I475" s="521"/>
      <c r="J475" s="521"/>
      <c r="K475" s="521"/>
      <c r="L475" s="923"/>
      <c r="M475" s="514"/>
      <c r="N475" s="514"/>
      <c r="O475" s="514"/>
      <c r="P475" s="514"/>
      <c r="Q475" s="514"/>
      <c r="R475" s="514"/>
      <c r="S475" s="923"/>
      <c r="T475" s="514"/>
      <c r="U475" s="514"/>
      <c r="V475" s="514"/>
      <c r="W475" s="514"/>
      <c r="X475" s="514"/>
      <c r="Y475" s="514"/>
      <c r="Z475" s="923"/>
      <c r="AA475" s="514"/>
      <c r="AB475" s="514"/>
      <c r="AC475" s="514"/>
      <c r="AD475" s="514"/>
      <c r="AE475" s="774"/>
      <c r="AF475" s="514"/>
      <c r="AG475" s="897"/>
      <c r="AH475" s="789"/>
      <c r="AI475" s="786">
        <f t="shared" si="25"/>
        <v>0</v>
      </c>
      <c r="AJ475" s="521">
        <v>0</v>
      </c>
      <c r="AK475" s="520">
        <f t="shared" si="23"/>
        <v>0</v>
      </c>
      <c r="AL475" s="695" t="s">
        <v>1722</v>
      </c>
      <c r="AM475" s="669">
        <f t="shared" si="24"/>
        <v>1.89</v>
      </c>
    </row>
    <row r="476" spans="1:39" s="500" customFormat="1" hidden="1">
      <c r="A476" s="539" t="s">
        <v>957</v>
      </c>
      <c r="B476" s="539" t="s">
        <v>1295</v>
      </c>
      <c r="C476" s="548" t="s">
        <v>37</v>
      </c>
      <c r="D476" s="519"/>
      <c r="E476" s="915"/>
      <c r="F476" s="520"/>
      <c r="G476" s="520"/>
      <c r="H476" s="520"/>
      <c r="I476" s="521"/>
      <c r="J476" s="521"/>
      <c r="K476" s="521"/>
      <c r="L476" s="923"/>
      <c r="M476" s="514"/>
      <c r="N476" s="514"/>
      <c r="O476" s="514"/>
      <c r="P476" s="514"/>
      <c r="Q476" s="514"/>
      <c r="R476" s="514"/>
      <c r="S476" s="923"/>
      <c r="T476" s="514"/>
      <c r="U476" s="514"/>
      <c r="V476" s="514"/>
      <c r="W476" s="514"/>
      <c r="X476" s="514"/>
      <c r="Y476" s="514"/>
      <c r="Z476" s="923"/>
      <c r="AA476" s="514"/>
      <c r="AB476" s="514"/>
      <c r="AC476" s="514"/>
      <c r="AD476" s="514"/>
      <c r="AE476" s="774"/>
      <c r="AF476" s="514"/>
      <c r="AG476" s="897"/>
      <c r="AH476" s="789"/>
      <c r="AI476" s="786">
        <f t="shared" si="25"/>
        <v>0</v>
      </c>
      <c r="AJ476" s="521">
        <v>0</v>
      </c>
      <c r="AK476" s="520">
        <f t="shared" si="23"/>
        <v>0</v>
      </c>
      <c r="AL476" s="695" t="s">
        <v>1723</v>
      </c>
      <c r="AM476" s="669">
        <f t="shared" si="24"/>
        <v>3.15</v>
      </c>
    </row>
    <row r="477" spans="1:39" s="500" customFormat="1" hidden="1">
      <c r="A477" s="542" t="s">
        <v>958</v>
      </c>
      <c r="B477" s="542" t="s">
        <v>1266</v>
      </c>
      <c r="C477" s="616"/>
      <c r="D477" s="519"/>
      <c r="E477" s="915"/>
      <c r="F477" s="520"/>
      <c r="G477" s="520"/>
      <c r="H477" s="520"/>
      <c r="I477" s="521"/>
      <c r="J477" s="521"/>
      <c r="K477" s="521"/>
      <c r="L477" s="923"/>
      <c r="M477" s="514"/>
      <c r="N477" s="514"/>
      <c r="O477" s="514"/>
      <c r="P477" s="514"/>
      <c r="Q477" s="514"/>
      <c r="R477" s="514"/>
      <c r="S477" s="923"/>
      <c r="T477" s="514"/>
      <c r="U477" s="514"/>
      <c r="V477" s="514"/>
      <c r="W477" s="514"/>
      <c r="X477" s="514"/>
      <c r="Y477" s="514"/>
      <c r="Z477" s="923"/>
      <c r="AA477" s="514"/>
      <c r="AB477" s="514"/>
      <c r="AC477" s="514"/>
      <c r="AD477" s="514"/>
      <c r="AE477" s="774"/>
      <c r="AF477" s="514"/>
      <c r="AG477" s="897"/>
      <c r="AH477" s="789"/>
      <c r="AI477" s="786">
        <f t="shared" si="25"/>
        <v>0</v>
      </c>
      <c r="AJ477" s="521">
        <v>0</v>
      </c>
      <c r="AK477" s="520">
        <f t="shared" si="23"/>
        <v>0</v>
      </c>
      <c r="AL477" s="695"/>
      <c r="AM477" s="669">
        <f t="shared" si="24"/>
        <v>0</v>
      </c>
    </row>
    <row r="478" spans="1:39" s="500" customFormat="1" hidden="1">
      <c r="A478" s="539" t="s">
        <v>959</v>
      </c>
      <c r="B478" s="539" t="s">
        <v>1267</v>
      </c>
      <c r="C478" s="548" t="s">
        <v>1451</v>
      </c>
      <c r="D478" s="519"/>
      <c r="E478" s="915"/>
      <c r="F478" s="520"/>
      <c r="G478" s="520"/>
      <c r="H478" s="520"/>
      <c r="I478" s="521"/>
      <c r="J478" s="521"/>
      <c r="K478" s="521"/>
      <c r="L478" s="923"/>
      <c r="M478" s="514"/>
      <c r="N478" s="514"/>
      <c r="O478" s="514"/>
      <c r="P478" s="514"/>
      <c r="Q478" s="514"/>
      <c r="R478" s="514"/>
      <c r="S478" s="923"/>
      <c r="T478" s="514"/>
      <c r="U478" s="514"/>
      <c r="V478" s="514"/>
      <c r="W478" s="514"/>
      <c r="X478" s="514"/>
      <c r="Y478" s="514"/>
      <c r="Z478" s="923"/>
      <c r="AA478" s="514"/>
      <c r="AB478" s="514"/>
      <c r="AC478" s="514"/>
      <c r="AD478" s="514"/>
      <c r="AE478" s="774"/>
      <c r="AF478" s="514"/>
      <c r="AG478" s="897"/>
      <c r="AH478" s="789"/>
      <c r="AI478" s="786">
        <f t="shared" si="25"/>
        <v>0</v>
      </c>
      <c r="AJ478" s="521">
        <v>0</v>
      </c>
      <c r="AK478" s="520">
        <f t="shared" si="23"/>
        <v>0</v>
      </c>
      <c r="AL478" s="695" t="s">
        <v>1641</v>
      </c>
      <c r="AM478" s="669">
        <f t="shared" si="24"/>
        <v>9</v>
      </c>
    </row>
    <row r="479" spans="1:39" s="500" customFormat="1" hidden="1">
      <c r="A479" s="539" t="s">
        <v>960</v>
      </c>
      <c r="B479" s="539" t="s">
        <v>1268</v>
      </c>
      <c r="C479" s="548" t="s">
        <v>36</v>
      </c>
      <c r="D479" s="519"/>
      <c r="E479" s="915"/>
      <c r="F479" s="520"/>
      <c r="G479" s="520"/>
      <c r="H479" s="520"/>
      <c r="I479" s="521"/>
      <c r="J479" s="521"/>
      <c r="K479" s="521"/>
      <c r="L479" s="923"/>
      <c r="M479" s="514"/>
      <c r="N479" s="514"/>
      <c r="O479" s="514"/>
      <c r="P479" s="514"/>
      <c r="Q479" s="514"/>
      <c r="R479" s="514"/>
      <c r="S479" s="923"/>
      <c r="T479" s="514"/>
      <c r="U479" s="514"/>
      <c r="V479" s="514"/>
      <c r="W479" s="514"/>
      <c r="X479" s="514"/>
      <c r="Y479" s="514"/>
      <c r="Z479" s="923"/>
      <c r="AA479" s="514"/>
      <c r="AB479" s="514"/>
      <c r="AC479" s="514"/>
      <c r="AD479" s="514"/>
      <c r="AE479" s="774"/>
      <c r="AF479" s="514"/>
      <c r="AG479" s="897"/>
      <c r="AH479" s="789"/>
      <c r="AI479" s="786">
        <f t="shared" si="25"/>
        <v>0</v>
      </c>
      <c r="AJ479" s="521">
        <v>0</v>
      </c>
      <c r="AK479" s="520">
        <f t="shared" si="23"/>
        <v>0</v>
      </c>
      <c r="AL479" s="695" t="s">
        <v>1455</v>
      </c>
      <c r="AM479" s="669">
        <f t="shared" si="24"/>
        <v>1</v>
      </c>
    </row>
    <row r="480" spans="1:39" s="500" customFormat="1" hidden="1">
      <c r="A480" s="539" t="s">
        <v>961</v>
      </c>
      <c r="B480" s="539" t="s">
        <v>1296</v>
      </c>
      <c r="C480" s="548" t="s">
        <v>36</v>
      </c>
      <c r="D480" s="519"/>
      <c r="E480" s="915"/>
      <c r="F480" s="520"/>
      <c r="G480" s="520"/>
      <c r="H480" s="520"/>
      <c r="I480" s="521"/>
      <c r="J480" s="521"/>
      <c r="K480" s="521"/>
      <c r="L480" s="923"/>
      <c r="M480" s="514"/>
      <c r="N480" s="514"/>
      <c r="O480" s="514"/>
      <c r="P480" s="514"/>
      <c r="Q480" s="514"/>
      <c r="R480" s="514"/>
      <c r="S480" s="923"/>
      <c r="T480" s="514"/>
      <c r="U480" s="514"/>
      <c r="V480" s="514"/>
      <c r="W480" s="514"/>
      <c r="X480" s="514"/>
      <c r="Y480" s="514"/>
      <c r="Z480" s="923"/>
      <c r="AA480" s="514"/>
      <c r="AB480" s="514"/>
      <c r="AC480" s="514"/>
      <c r="AD480" s="514"/>
      <c r="AE480" s="774"/>
      <c r="AF480" s="514"/>
      <c r="AG480" s="897"/>
      <c r="AH480" s="789"/>
      <c r="AI480" s="786">
        <f t="shared" si="25"/>
        <v>0</v>
      </c>
      <c r="AJ480" s="521">
        <v>0</v>
      </c>
      <c r="AK480" s="520">
        <f t="shared" si="23"/>
        <v>0</v>
      </c>
      <c r="AL480" s="695" t="s">
        <v>1698</v>
      </c>
      <c r="AM480" s="669">
        <f t="shared" si="24"/>
        <v>2</v>
      </c>
    </row>
    <row r="481" spans="1:39" s="500" customFormat="1" hidden="1">
      <c r="A481" s="542" t="s">
        <v>962</v>
      </c>
      <c r="B481" s="542" t="s">
        <v>1269</v>
      </c>
      <c r="C481" s="616"/>
      <c r="D481" s="519"/>
      <c r="E481" s="915"/>
      <c r="F481" s="520"/>
      <c r="G481" s="520"/>
      <c r="H481" s="520"/>
      <c r="I481" s="521"/>
      <c r="J481" s="521"/>
      <c r="K481" s="521"/>
      <c r="L481" s="923"/>
      <c r="M481" s="514"/>
      <c r="N481" s="514"/>
      <c r="O481" s="514"/>
      <c r="P481" s="514"/>
      <c r="Q481" s="514"/>
      <c r="R481" s="514"/>
      <c r="S481" s="923"/>
      <c r="T481" s="514"/>
      <c r="U481" s="514"/>
      <c r="V481" s="514"/>
      <c r="W481" s="514"/>
      <c r="X481" s="514"/>
      <c r="Y481" s="514"/>
      <c r="Z481" s="923"/>
      <c r="AA481" s="514"/>
      <c r="AB481" s="514"/>
      <c r="AC481" s="514"/>
      <c r="AD481" s="514"/>
      <c r="AE481" s="774"/>
      <c r="AF481" s="514"/>
      <c r="AG481" s="897"/>
      <c r="AH481" s="789"/>
      <c r="AI481" s="786">
        <f t="shared" si="25"/>
        <v>0</v>
      </c>
      <c r="AJ481" s="521">
        <v>0</v>
      </c>
      <c r="AK481" s="520">
        <f t="shared" si="23"/>
        <v>0</v>
      </c>
      <c r="AL481" s="695"/>
      <c r="AM481" s="669">
        <f t="shared" si="24"/>
        <v>0</v>
      </c>
    </row>
    <row r="482" spans="1:39" s="500" customFormat="1" hidden="1">
      <c r="A482" s="539" t="s">
        <v>963</v>
      </c>
      <c r="B482" s="539" t="s">
        <v>1270</v>
      </c>
      <c r="C482" s="548" t="s">
        <v>37</v>
      </c>
      <c r="D482" s="519"/>
      <c r="E482" s="915"/>
      <c r="F482" s="520"/>
      <c r="G482" s="520"/>
      <c r="H482" s="520"/>
      <c r="I482" s="521"/>
      <c r="J482" s="521"/>
      <c r="K482" s="521"/>
      <c r="L482" s="923"/>
      <c r="M482" s="514"/>
      <c r="N482" s="514"/>
      <c r="O482" s="514"/>
      <c r="P482" s="514"/>
      <c r="Q482" s="514"/>
      <c r="R482" s="514"/>
      <c r="S482" s="923"/>
      <c r="T482" s="514"/>
      <c r="U482" s="514"/>
      <c r="V482" s="514"/>
      <c r="W482" s="514"/>
      <c r="X482" s="514"/>
      <c r="Y482" s="514"/>
      <c r="Z482" s="923"/>
      <c r="AA482" s="514"/>
      <c r="AB482" s="514"/>
      <c r="AC482" s="514"/>
      <c r="AD482" s="514"/>
      <c r="AE482" s="774"/>
      <c r="AF482" s="514"/>
      <c r="AG482" s="897"/>
      <c r="AH482" s="789"/>
      <c r="AI482" s="786">
        <f t="shared" si="25"/>
        <v>0</v>
      </c>
      <c r="AJ482" s="521">
        <v>0</v>
      </c>
      <c r="AK482" s="520">
        <f t="shared" si="23"/>
        <v>0</v>
      </c>
      <c r="AL482" s="695" t="s">
        <v>1724</v>
      </c>
      <c r="AM482" s="669">
        <f t="shared" si="24"/>
        <v>4.96</v>
      </c>
    </row>
    <row r="483" spans="1:39" s="500" customFormat="1" hidden="1">
      <c r="A483" s="539" t="s">
        <v>964</v>
      </c>
      <c r="B483" s="539" t="s">
        <v>1271</v>
      </c>
      <c r="C483" s="548" t="s">
        <v>37</v>
      </c>
      <c r="D483" s="519"/>
      <c r="E483" s="915"/>
      <c r="F483" s="520"/>
      <c r="G483" s="520"/>
      <c r="H483" s="520"/>
      <c r="I483" s="521"/>
      <c r="J483" s="521"/>
      <c r="K483" s="521"/>
      <c r="L483" s="923"/>
      <c r="M483" s="514"/>
      <c r="N483" s="514"/>
      <c r="O483" s="514"/>
      <c r="P483" s="514"/>
      <c r="Q483" s="514"/>
      <c r="R483" s="514"/>
      <c r="S483" s="923"/>
      <c r="T483" s="514"/>
      <c r="U483" s="514"/>
      <c r="V483" s="514"/>
      <c r="W483" s="514"/>
      <c r="X483" s="514"/>
      <c r="Y483" s="514"/>
      <c r="Z483" s="923"/>
      <c r="AA483" s="514"/>
      <c r="AB483" s="514"/>
      <c r="AC483" s="514"/>
      <c r="AD483" s="514"/>
      <c r="AE483" s="774"/>
      <c r="AF483" s="514"/>
      <c r="AG483" s="897"/>
      <c r="AH483" s="789"/>
      <c r="AI483" s="786">
        <f t="shared" si="25"/>
        <v>0</v>
      </c>
      <c r="AJ483" s="521">
        <v>0</v>
      </c>
      <c r="AK483" s="520">
        <f t="shared" si="23"/>
        <v>0</v>
      </c>
      <c r="AL483" s="695" t="s">
        <v>1488</v>
      </c>
      <c r="AM483" s="669">
        <f t="shared" si="24"/>
        <v>1.2</v>
      </c>
    </row>
    <row r="484" spans="1:39" s="500" customFormat="1" hidden="1">
      <c r="A484" s="542" t="s">
        <v>965</v>
      </c>
      <c r="B484" s="542" t="s">
        <v>1272</v>
      </c>
      <c r="C484" s="616"/>
      <c r="D484" s="519"/>
      <c r="E484" s="915"/>
      <c r="F484" s="520"/>
      <c r="G484" s="520"/>
      <c r="H484" s="520"/>
      <c r="I484" s="521"/>
      <c r="J484" s="521"/>
      <c r="K484" s="521"/>
      <c r="L484" s="923"/>
      <c r="M484" s="514"/>
      <c r="N484" s="514"/>
      <c r="O484" s="514"/>
      <c r="P484" s="514"/>
      <c r="Q484" s="514"/>
      <c r="R484" s="514"/>
      <c r="S484" s="923"/>
      <c r="T484" s="514"/>
      <c r="U484" s="514"/>
      <c r="V484" s="514"/>
      <c r="W484" s="514"/>
      <c r="X484" s="514"/>
      <c r="Y484" s="514"/>
      <c r="Z484" s="923"/>
      <c r="AA484" s="514"/>
      <c r="AB484" s="514"/>
      <c r="AC484" s="514"/>
      <c r="AD484" s="514"/>
      <c r="AE484" s="774"/>
      <c r="AF484" s="514"/>
      <c r="AG484" s="897"/>
      <c r="AH484" s="789"/>
      <c r="AI484" s="786">
        <f t="shared" si="25"/>
        <v>0</v>
      </c>
      <c r="AJ484" s="521">
        <v>0</v>
      </c>
      <c r="AK484" s="520">
        <f t="shared" si="23"/>
        <v>0</v>
      </c>
      <c r="AL484" s="695"/>
      <c r="AM484" s="669">
        <f t="shared" si="24"/>
        <v>0</v>
      </c>
    </row>
    <row r="485" spans="1:39" s="500" customFormat="1" hidden="1">
      <c r="A485" s="539" t="s">
        <v>966</v>
      </c>
      <c r="B485" s="539" t="s">
        <v>1273</v>
      </c>
      <c r="C485" s="548" t="s">
        <v>37</v>
      </c>
      <c r="D485" s="519"/>
      <c r="E485" s="915"/>
      <c r="F485" s="520"/>
      <c r="G485" s="520"/>
      <c r="H485" s="520"/>
      <c r="I485" s="521"/>
      <c r="J485" s="521"/>
      <c r="K485" s="521"/>
      <c r="L485" s="923"/>
      <c r="M485" s="514"/>
      <c r="N485" s="514"/>
      <c r="O485" s="514"/>
      <c r="P485" s="514"/>
      <c r="Q485" s="514"/>
      <c r="R485" s="514"/>
      <c r="S485" s="923"/>
      <c r="T485" s="514"/>
      <c r="U485" s="514"/>
      <c r="V485" s="514"/>
      <c r="W485" s="514"/>
      <c r="X485" s="514"/>
      <c r="Y485" s="514"/>
      <c r="Z485" s="923"/>
      <c r="AA485" s="514"/>
      <c r="AB485" s="514"/>
      <c r="AC485" s="514"/>
      <c r="AD485" s="514"/>
      <c r="AE485" s="774"/>
      <c r="AF485" s="514"/>
      <c r="AG485" s="897"/>
      <c r="AH485" s="789"/>
      <c r="AI485" s="786">
        <f t="shared" si="25"/>
        <v>0</v>
      </c>
      <c r="AJ485" s="521">
        <v>0</v>
      </c>
      <c r="AK485" s="520">
        <f t="shared" si="23"/>
        <v>0</v>
      </c>
      <c r="AL485" s="695" t="s">
        <v>1712</v>
      </c>
      <c r="AM485" s="669">
        <f t="shared" si="24"/>
        <v>33.950000000000003</v>
      </c>
    </row>
    <row r="486" spans="1:39" s="500" customFormat="1" hidden="1">
      <c r="A486" s="539" t="s">
        <v>967</v>
      </c>
      <c r="B486" s="539" t="s">
        <v>1274</v>
      </c>
      <c r="C486" s="548" t="s">
        <v>37</v>
      </c>
      <c r="D486" s="519"/>
      <c r="E486" s="915"/>
      <c r="F486" s="520"/>
      <c r="G486" s="520"/>
      <c r="H486" s="520"/>
      <c r="I486" s="521"/>
      <c r="J486" s="521"/>
      <c r="K486" s="521"/>
      <c r="L486" s="923"/>
      <c r="M486" s="514"/>
      <c r="N486" s="514"/>
      <c r="O486" s="514"/>
      <c r="P486" s="514"/>
      <c r="Q486" s="514"/>
      <c r="R486" s="514"/>
      <c r="S486" s="923"/>
      <c r="T486" s="514"/>
      <c r="U486" s="514"/>
      <c r="V486" s="514"/>
      <c r="W486" s="514"/>
      <c r="X486" s="514"/>
      <c r="Y486" s="514"/>
      <c r="Z486" s="923"/>
      <c r="AA486" s="514"/>
      <c r="AB486" s="514"/>
      <c r="AC486" s="514"/>
      <c r="AD486" s="514"/>
      <c r="AE486" s="774"/>
      <c r="AF486" s="514"/>
      <c r="AG486" s="897"/>
      <c r="AH486" s="789"/>
      <c r="AI486" s="786">
        <f t="shared" si="25"/>
        <v>0</v>
      </c>
      <c r="AJ486" s="521">
        <v>0</v>
      </c>
      <c r="AK486" s="520">
        <f t="shared" si="23"/>
        <v>0</v>
      </c>
      <c r="AL486" s="695" t="s">
        <v>1705</v>
      </c>
      <c r="AM486" s="669">
        <f t="shared" si="24"/>
        <v>77.680000000000007</v>
      </c>
    </row>
    <row r="487" spans="1:39" s="500" customFormat="1" hidden="1">
      <c r="A487" s="539" t="s">
        <v>968</v>
      </c>
      <c r="B487" s="539" t="s">
        <v>1275</v>
      </c>
      <c r="C487" s="548" t="s">
        <v>37</v>
      </c>
      <c r="D487" s="519"/>
      <c r="E487" s="915"/>
      <c r="F487" s="520"/>
      <c r="G487" s="520"/>
      <c r="H487" s="520"/>
      <c r="I487" s="521"/>
      <c r="J487" s="521"/>
      <c r="K487" s="521"/>
      <c r="L487" s="923"/>
      <c r="M487" s="514"/>
      <c r="N487" s="514"/>
      <c r="O487" s="514"/>
      <c r="P487" s="514"/>
      <c r="Q487" s="514"/>
      <c r="R487" s="514"/>
      <c r="S487" s="923"/>
      <c r="T487" s="514"/>
      <c r="U487" s="514"/>
      <c r="V487" s="514"/>
      <c r="W487" s="514"/>
      <c r="X487" s="514"/>
      <c r="Y487" s="514"/>
      <c r="Z487" s="923"/>
      <c r="AA487" s="514"/>
      <c r="AB487" s="514"/>
      <c r="AC487" s="514"/>
      <c r="AD487" s="514"/>
      <c r="AE487" s="774"/>
      <c r="AF487" s="514"/>
      <c r="AG487" s="897"/>
      <c r="AH487" s="789"/>
      <c r="AI487" s="786">
        <f t="shared" si="25"/>
        <v>0</v>
      </c>
      <c r="AJ487" s="521">
        <v>0</v>
      </c>
      <c r="AK487" s="520">
        <f t="shared" si="23"/>
        <v>0</v>
      </c>
      <c r="AL487" s="695" t="s">
        <v>1706</v>
      </c>
      <c r="AM487" s="669">
        <f t="shared" si="24"/>
        <v>51.98</v>
      </c>
    </row>
    <row r="488" spans="1:39" s="500" customFormat="1" hidden="1">
      <c r="A488" s="539" t="s">
        <v>969</v>
      </c>
      <c r="B488" s="539" t="s">
        <v>1276</v>
      </c>
      <c r="C488" s="548" t="s">
        <v>37</v>
      </c>
      <c r="D488" s="519"/>
      <c r="E488" s="915"/>
      <c r="F488" s="520"/>
      <c r="G488" s="520"/>
      <c r="H488" s="520"/>
      <c r="I488" s="521"/>
      <c r="J488" s="521"/>
      <c r="K488" s="521"/>
      <c r="L488" s="923"/>
      <c r="M488" s="514"/>
      <c r="N488" s="514"/>
      <c r="O488" s="514"/>
      <c r="P488" s="514"/>
      <c r="Q488" s="514"/>
      <c r="R488" s="514"/>
      <c r="S488" s="923"/>
      <c r="T488" s="514"/>
      <c r="U488" s="514"/>
      <c r="V488" s="514"/>
      <c r="W488" s="514"/>
      <c r="X488" s="514"/>
      <c r="Y488" s="514"/>
      <c r="Z488" s="923"/>
      <c r="AA488" s="514"/>
      <c r="AB488" s="514"/>
      <c r="AC488" s="514"/>
      <c r="AD488" s="514"/>
      <c r="AE488" s="774"/>
      <c r="AF488" s="514"/>
      <c r="AG488" s="897"/>
      <c r="AH488" s="789"/>
      <c r="AI488" s="786">
        <f t="shared" si="25"/>
        <v>0</v>
      </c>
      <c r="AJ488" s="521">
        <v>0</v>
      </c>
      <c r="AK488" s="520">
        <f t="shared" si="23"/>
        <v>0</v>
      </c>
      <c r="AL488" s="695" t="s">
        <v>1707</v>
      </c>
      <c r="AM488" s="669">
        <f t="shared" si="24"/>
        <v>12</v>
      </c>
    </row>
    <row r="489" spans="1:39" s="500" customFormat="1" hidden="1">
      <c r="A489" s="539" t="s">
        <v>970</v>
      </c>
      <c r="B489" s="539" t="s">
        <v>1277</v>
      </c>
      <c r="C489" s="548" t="s">
        <v>37</v>
      </c>
      <c r="D489" s="519"/>
      <c r="E489" s="915"/>
      <c r="F489" s="520"/>
      <c r="G489" s="520"/>
      <c r="H489" s="520"/>
      <c r="I489" s="521"/>
      <c r="J489" s="521"/>
      <c r="K489" s="521"/>
      <c r="L489" s="923"/>
      <c r="M489" s="514"/>
      <c r="N489" s="514"/>
      <c r="O489" s="514"/>
      <c r="P489" s="514"/>
      <c r="Q489" s="514"/>
      <c r="R489" s="514"/>
      <c r="S489" s="923"/>
      <c r="T489" s="514"/>
      <c r="U489" s="514"/>
      <c r="V489" s="514"/>
      <c r="W489" s="514"/>
      <c r="X489" s="514"/>
      <c r="Y489" s="514"/>
      <c r="Z489" s="923"/>
      <c r="AA489" s="514"/>
      <c r="AB489" s="514"/>
      <c r="AC489" s="514"/>
      <c r="AD489" s="514"/>
      <c r="AE489" s="774"/>
      <c r="AF489" s="514"/>
      <c r="AG489" s="897"/>
      <c r="AH489" s="789"/>
      <c r="AI489" s="786">
        <f t="shared" si="25"/>
        <v>0</v>
      </c>
      <c r="AJ489" s="521">
        <v>0</v>
      </c>
      <c r="AK489" s="520">
        <f t="shared" si="23"/>
        <v>0</v>
      </c>
      <c r="AL489" s="695" t="s">
        <v>1708</v>
      </c>
      <c r="AM489" s="669">
        <f t="shared" si="24"/>
        <v>19.97</v>
      </c>
    </row>
    <row r="490" spans="1:39" s="500" customFormat="1" hidden="1">
      <c r="A490" s="539" t="s">
        <v>971</v>
      </c>
      <c r="B490" s="539" t="s">
        <v>1278</v>
      </c>
      <c r="C490" s="548" t="s">
        <v>37</v>
      </c>
      <c r="D490" s="519"/>
      <c r="E490" s="915"/>
      <c r="F490" s="520"/>
      <c r="G490" s="520"/>
      <c r="H490" s="520"/>
      <c r="I490" s="521"/>
      <c r="J490" s="521"/>
      <c r="K490" s="521"/>
      <c r="L490" s="923"/>
      <c r="M490" s="514"/>
      <c r="N490" s="514"/>
      <c r="O490" s="514"/>
      <c r="P490" s="514"/>
      <c r="Q490" s="514"/>
      <c r="R490" s="514"/>
      <c r="S490" s="923"/>
      <c r="T490" s="514"/>
      <c r="U490" s="514"/>
      <c r="V490" s="514"/>
      <c r="W490" s="514"/>
      <c r="X490" s="514"/>
      <c r="Y490" s="514"/>
      <c r="Z490" s="923"/>
      <c r="AA490" s="514"/>
      <c r="AB490" s="514"/>
      <c r="AC490" s="514"/>
      <c r="AD490" s="514"/>
      <c r="AE490" s="774"/>
      <c r="AF490" s="514"/>
      <c r="AG490" s="897"/>
      <c r="AH490" s="789"/>
      <c r="AI490" s="786">
        <f t="shared" si="25"/>
        <v>0</v>
      </c>
      <c r="AJ490" s="521">
        <v>0</v>
      </c>
      <c r="AK490" s="520">
        <f t="shared" si="23"/>
        <v>0</v>
      </c>
      <c r="AL490" s="695" t="s">
        <v>1717</v>
      </c>
      <c r="AM490" s="669">
        <f t="shared" si="24"/>
        <v>6.91</v>
      </c>
    </row>
    <row r="491" spans="1:39" s="500" customFormat="1" hidden="1">
      <c r="A491" s="539" t="s">
        <v>972</v>
      </c>
      <c r="B491" s="539" t="s">
        <v>1279</v>
      </c>
      <c r="C491" s="548" t="s">
        <v>37</v>
      </c>
      <c r="D491" s="519"/>
      <c r="E491" s="915"/>
      <c r="F491" s="520"/>
      <c r="G491" s="520"/>
      <c r="H491" s="520"/>
      <c r="I491" s="521"/>
      <c r="J491" s="521"/>
      <c r="K491" s="521"/>
      <c r="L491" s="923"/>
      <c r="M491" s="514"/>
      <c r="N491" s="514"/>
      <c r="O491" s="514"/>
      <c r="P491" s="514"/>
      <c r="Q491" s="514"/>
      <c r="R491" s="514"/>
      <c r="S491" s="923"/>
      <c r="T491" s="514"/>
      <c r="U491" s="514"/>
      <c r="V491" s="514"/>
      <c r="W491" s="514"/>
      <c r="X491" s="514"/>
      <c r="Y491" s="514"/>
      <c r="Z491" s="923"/>
      <c r="AA491" s="514"/>
      <c r="AB491" s="514"/>
      <c r="AC491" s="514"/>
      <c r="AD491" s="514"/>
      <c r="AE491" s="774"/>
      <c r="AF491" s="514"/>
      <c r="AG491" s="897"/>
      <c r="AH491" s="789"/>
      <c r="AI491" s="786">
        <f t="shared" si="25"/>
        <v>0</v>
      </c>
      <c r="AJ491" s="521">
        <v>0</v>
      </c>
      <c r="AK491" s="520">
        <f t="shared" si="23"/>
        <v>0</v>
      </c>
      <c r="AL491" s="695" t="s">
        <v>1725</v>
      </c>
      <c r="AM491" s="669">
        <f t="shared" si="24"/>
        <v>10.5</v>
      </c>
    </row>
    <row r="492" spans="1:39" s="500" customFormat="1" hidden="1">
      <c r="A492" s="542" t="s">
        <v>973</v>
      </c>
      <c r="B492" s="542" t="s">
        <v>1280</v>
      </c>
      <c r="C492" s="616"/>
      <c r="D492" s="519"/>
      <c r="E492" s="915"/>
      <c r="F492" s="520"/>
      <c r="G492" s="520"/>
      <c r="H492" s="520"/>
      <c r="I492" s="521"/>
      <c r="J492" s="521"/>
      <c r="K492" s="521"/>
      <c r="L492" s="923"/>
      <c r="M492" s="514"/>
      <c r="N492" s="514"/>
      <c r="O492" s="514"/>
      <c r="P492" s="514"/>
      <c r="Q492" s="514"/>
      <c r="R492" s="514"/>
      <c r="S492" s="923"/>
      <c r="T492" s="514"/>
      <c r="U492" s="514"/>
      <c r="V492" s="514"/>
      <c r="W492" s="514"/>
      <c r="X492" s="514"/>
      <c r="Y492" s="514"/>
      <c r="Z492" s="923"/>
      <c r="AA492" s="514"/>
      <c r="AB492" s="514"/>
      <c r="AC492" s="514"/>
      <c r="AD492" s="514"/>
      <c r="AE492" s="774"/>
      <c r="AF492" s="514"/>
      <c r="AG492" s="897"/>
      <c r="AH492" s="789"/>
      <c r="AI492" s="786">
        <f t="shared" si="25"/>
        <v>0</v>
      </c>
      <c r="AJ492" s="521">
        <v>0</v>
      </c>
      <c r="AK492" s="520">
        <f t="shared" si="23"/>
        <v>0</v>
      </c>
      <c r="AL492" s="695"/>
      <c r="AM492" s="669">
        <f t="shared" si="24"/>
        <v>0</v>
      </c>
    </row>
    <row r="493" spans="1:39" s="500" customFormat="1" hidden="1">
      <c r="A493" s="539" t="s">
        <v>974</v>
      </c>
      <c r="B493" s="539" t="s">
        <v>1281</v>
      </c>
      <c r="C493" s="548" t="s">
        <v>1450</v>
      </c>
      <c r="D493" s="519"/>
      <c r="E493" s="915"/>
      <c r="F493" s="520"/>
      <c r="G493" s="520"/>
      <c r="H493" s="520"/>
      <c r="I493" s="521"/>
      <c r="J493" s="521"/>
      <c r="K493" s="521"/>
      <c r="L493" s="923"/>
      <c r="M493" s="514"/>
      <c r="N493" s="514"/>
      <c r="O493" s="514"/>
      <c r="P493" s="514"/>
      <c r="Q493" s="514"/>
      <c r="R493" s="514"/>
      <c r="S493" s="923"/>
      <c r="T493" s="514"/>
      <c r="U493" s="514"/>
      <c r="V493" s="514"/>
      <c r="W493" s="514"/>
      <c r="X493" s="514"/>
      <c r="Y493" s="514"/>
      <c r="Z493" s="923"/>
      <c r="AA493" s="514"/>
      <c r="AB493" s="514"/>
      <c r="AC493" s="514"/>
      <c r="AD493" s="514"/>
      <c r="AE493" s="774"/>
      <c r="AF493" s="514"/>
      <c r="AG493" s="897"/>
      <c r="AH493" s="789"/>
      <c r="AI493" s="786">
        <f t="shared" si="25"/>
        <v>0</v>
      </c>
      <c r="AJ493" s="521">
        <v>0</v>
      </c>
      <c r="AK493" s="520">
        <f t="shared" si="23"/>
        <v>0</v>
      </c>
      <c r="AL493" s="695" t="s">
        <v>1726</v>
      </c>
      <c r="AM493" s="669">
        <f t="shared" si="24"/>
        <v>11</v>
      </c>
    </row>
    <row r="494" spans="1:39" s="500" customFormat="1" hidden="1">
      <c r="A494" s="539" t="s">
        <v>975</v>
      </c>
      <c r="B494" s="539" t="s">
        <v>1282</v>
      </c>
      <c r="C494" s="548" t="s">
        <v>64</v>
      </c>
      <c r="D494" s="519"/>
      <c r="E494" s="915"/>
      <c r="F494" s="520"/>
      <c r="G494" s="520"/>
      <c r="H494" s="520"/>
      <c r="I494" s="521"/>
      <c r="J494" s="521"/>
      <c r="K494" s="521"/>
      <c r="L494" s="923"/>
      <c r="M494" s="514"/>
      <c r="N494" s="514"/>
      <c r="O494" s="514"/>
      <c r="P494" s="514"/>
      <c r="Q494" s="514"/>
      <c r="R494" s="514"/>
      <c r="S494" s="923"/>
      <c r="T494" s="514"/>
      <c r="U494" s="514"/>
      <c r="V494" s="514"/>
      <c r="W494" s="514"/>
      <c r="X494" s="514"/>
      <c r="Y494" s="514"/>
      <c r="Z494" s="923"/>
      <c r="AA494" s="514"/>
      <c r="AB494" s="514"/>
      <c r="AC494" s="514"/>
      <c r="AD494" s="514"/>
      <c r="AE494" s="774"/>
      <c r="AF494" s="514"/>
      <c r="AG494" s="897"/>
      <c r="AH494" s="789"/>
      <c r="AI494" s="786">
        <f t="shared" si="25"/>
        <v>0</v>
      </c>
      <c r="AJ494" s="521">
        <v>0</v>
      </c>
      <c r="AK494" s="520">
        <f t="shared" si="23"/>
        <v>0</v>
      </c>
      <c r="AL494" s="695" t="s">
        <v>1455</v>
      </c>
      <c r="AM494" s="669">
        <f t="shared" si="24"/>
        <v>1</v>
      </c>
    </row>
    <row r="495" spans="1:39" s="500" customFormat="1" hidden="1">
      <c r="A495" s="539" t="s">
        <v>976</v>
      </c>
      <c r="B495" s="539" t="s">
        <v>1283</v>
      </c>
      <c r="C495" s="548" t="s">
        <v>37</v>
      </c>
      <c r="D495" s="519"/>
      <c r="E495" s="915"/>
      <c r="F495" s="520"/>
      <c r="G495" s="520"/>
      <c r="H495" s="520"/>
      <c r="I495" s="521"/>
      <c r="J495" s="521"/>
      <c r="K495" s="521"/>
      <c r="L495" s="923"/>
      <c r="M495" s="514"/>
      <c r="N495" s="514"/>
      <c r="O495" s="514"/>
      <c r="P495" s="514"/>
      <c r="Q495" s="514"/>
      <c r="R495" s="514"/>
      <c r="S495" s="923"/>
      <c r="T495" s="514"/>
      <c r="U495" s="514"/>
      <c r="V495" s="514"/>
      <c r="W495" s="514"/>
      <c r="X495" s="514"/>
      <c r="Y495" s="514"/>
      <c r="Z495" s="923"/>
      <c r="AA495" s="514"/>
      <c r="AB495" s="514"/>
      <c r="AC495" s="514"/>
      <c r="AD495" s="514"/>
      <c r="AE495" s="774"/>
      <c r="AF495" s="514"/>
      <c r="AG495" s="897"/>
      <c r="AH495" s="789"/>
      <c r="AI495" s="786">
        <f t="shared" si="25"/>
        <v>0</v>
      </c>
      <c r="AJ495" s="521">
        <v>0</v>
      </c>
      <c r="AK495" s="520">
        <f t="shared" si="23"/>
        <v>0</v>
      </c>
      <c r="AL495" s="695" t="s">
        <v>1727</v>
      </c>
      <c r="AM495" s="669">
        <f t="shared" si="24"/>
        <v>8.15</v>
      </c>
    </row>
    <row r="496" spans="1:39" s="730" customFormat="1" hidden="1">
      <c r="A496" s="814" t="s">
        <v>526</v>
      </c>
      <c r="B496" s="815" t="s">
        <v>1298</v>
      </c>
      <c r="C496" s="844"/>
      <c r="D496" s="743"/>
      <c r="E496" s="915"/>
      <c r="F496" s="726"/>
      <c r="G496" s="726"/>
      <c r="H496" s="726"/>
      <c r="I496" s="725"/>
      <c r="J496" s="725"/>
      <c r="K496" s="725"/>
      <c r="L496" s="923"/>
      <c r="M496" s="756"/>
      <c r="N496" s="756"/>
      <c r="O496" s="756"/>
      <c r="P496" s="756"/>
      <c r="Q496" s="756"/>
      <c r="R496" s="756"/>
      <c r="S496" s="923"/>
      <c r="T496" s="756"/>
      <c r="U496" s="756"/>
      <c r="V496" s="756"/>
      <c r="W496" s="756"/>
      <c r="X496" s="756"/>
      <c r="Y496" s="756"/>
      <c r="Z496" s="923"/>
      <c r="AA496" s="756"/>
      <c r="AB496" s="756"/>
      <c r="AC496" s="756"/>
      <c r="AD496" s="756"/>
      <c r="AE496" s="774"/>
      <c r="AF496" s="756"/>
      <c r="AG496" s="897"/>
      <c r="AH496" s="819"/>
      <c r="AI496" s="786">
        <f t="shared" si="25"/>
        <v>0</v>
      </c>
      <c r="AJ496" s="725">
        <v>0</v>
      </c>
      <c r="AK496" s="726">
        <f t="shared" si="23"/>
        <v>0</v>
      </c>
      <c r="AL496" s="847"/>
      <c r="AM496" s="729">
        <f t="shared" si="24"/>
        <v>0</v>
      </c>
    </row>
    <row r="497" spans="1:39" s="730" customFormat="1" hidden="1">
      <c r="A497" s="831" t="s">
        <v>527</v>
      </c>
      <c r="B497" s="831" t="s">
        <v>1236</v>
      </c>
      <c r="C497" s="844"/>
      <c r="D497" s="743"/>
      <c r="E497" s="915"/>
      <c r="F497" s="726"/>
      <c r="G497" s="726"/>
      <c r="H497" s="726"/>
      <c r="I497" s="725"/>
      <c r="J497" s="725"/>
      <c r="K497" s="725"/>
      <c r="L497" s="923"/>
      <c r="M497" s="756"/>
      <c r="N497" s="756"/>
      <c r="O497" s="756"/>
      <c r="P497" s="756"/>
      <c r="Q497" s="756"/>
      <c r="R497" s="756"/>
      <c r="S497" s="923"/>
      <c r="T497" s="756"/>
      <c r="U497" s="756"/>
      <c r="V497" s="756"/>
      <c r="W497" s="756"/>
      <c r="X497" s="756"/>
      <c r="Y497" s="756"/>
      <c r="Z497" s="923"/>
      <c r="AA497" s="756"/>
      <c r="AB497" s="756"/>
      <c r="AC497" s="756"/>
      <c r="AD497" s="756"/>
      <c r="AE497" s="774"/>
      <c r="AF497" s="756"/>
      <c r="AG497" s="897"/>
      <c r="AH497" s="819"/>
      <c r="AI497" s="786">
        <f t="shared" si="25"/>
        <v>0</v>
      </c>
      <c r="AJ497" s="725">
        <v>0</v>
      </c>
      <c r="AK497" s="726">
        <f t="shared" si="23"/>
        <v>0</v>
      </c>
      <c r="AL497" s="847"/>
      <c r="AM497" s="729">
        <f t="shared" si="24"/>
        <v>0</v>
      </c>
    </row>
    <row r="498" spans="1:39" s="730" customFormat="1" hidden="1">
      <c r="A498" s="720" t="s">
        <v>528</v>
      </c>
      <c r="B498" s="720" t="s">
        <v>1299</v>
      </c>
      <c r="C498" s="823" t="s">
        <v>37</v>
      </c>
      <c r="D498" s="743"/>
      <c r="E498" s="915"/>
      <c r="F498" s="726"/>
      <c r="G498" s="726"/>
      <c r="H498" s="726"/>
      <c r="I498" s="725"/>
      <c r="J498" s="725"/>
      <c r="K498" s="725"/>
      <c r="L498" s="923"/>
      <c r="M498" s="756"/>
      <c r="N498" s="756"/>
      <c r="O498" s="756"/>
      <c r="P498" s="756"/>
      <c r="Q498" s="756"/>
      <c r="R498" s="756"/>
      <c r="S498" s="923"/>
      <c r="T498" s="756"/>
      <c r="U498" s="756"/>
      <c r="V498" s="756"/>
      <c r="W498" s="756"/>
      <c r="X498" s="756"/>
      <c r="Y498" s="756"/>
      <c r="Z498" s="923"/>
      <c r="AA498" s="756"/>
      <c r="AB498" s="756"/>
      <c r="AC498" s="756"/>
      <c r="AD498" s="756"/>
      <c r="AE498" s="774"/>
      <c r="AF498" s="756"/>
      <c r="AG498" s="897"/>
      <c r="AH498" s="819"/>
      <c r="AI498" s="786">
        <f t="shared" si="25"/>
        <v>0</v>
      </c>
      <c r="AJ498" s="725">
        <v>0</v>
      </c>
      <c r="AK498" s="726">
        <f t="shared" si="23"/>
        <v>0</v>
      </c>
      <c r="AL498" s="847" t="s">
        <v>1728</v>
      </c>
      <c r="AM498" s="729">
        <f t="shared" si="24"/>
        <v>239.98</v>
      </c>
    </row>
    <row r="499" spans="1:39" s="500" customFormat="1" hidden="1">
      <c r="A499" s="542" t="s">
        <v>977</v>
      </c>
      <c r="B499" s="542" t="s">
        <v>1239</v>
      </c>
      <c r="C499" s="616"/>
      <c r="D499" s="519"/>
      <c r="E499" s="915"/>
      <c r="F499" s="520"/>
      <c r="G499" s="520"/>
      <c r="H499" s="520"/>
      <c r="I499" s="521"/>
      <c r="J499" s="521"/>
      <c r="K499" s="521"/>
      <c r="L499" s="923"/>
      <c r="M499" s="514"/>
      <c r="N499" s="514"/>
      <c r="O499" s="514"/>
      <c r="P499" s="514"/>
      <c r="Q499" s="514"/>
      <c r="R499" s="514"/>
      <c r="S499" s="923"/>
      <c r="T499" s="514"/>
      <c r="U499" s="514"/>
      <c r="V499" s="514"/>
      <c r="W499" s="514"/>
      <c r="X499" s="514"/>
      <c r="Y499" s="514"/>
      <c r="Z499" s="923"/>
      <c r="AA499" s="514"/>
      <c r="AB499" s="514"/>
      <c r="AC499" s="514"/>
      <c r="AD499" s="514"/>
      <c r="AE499" s="774"/>
      <c r="AF499" s="514"/>
      <c r="AG499" s="897"/>
      <c r="AH499" s="789"/>
      <c r="AI499" s="786">
        <f t="shared" si="25"/>
        <v>0</v>
      </c>
      <c r="AJ499" s="521">
        <v>0</v>
      </c>
      <c r="AK499" s="520">
        <f t="shared" si="23"/>
        <v>0</v>
      </c>
      <c r="AL499" s="695"/>
      <c r="AM499" s="669">
        <f t="shared" si="24"/>
        <v>0</v>
      </c>
    </row>
    <row r="500" spans="1:39" s="500" customFormat="1" hidden="1">
      <c r="A500" s="539" t="s">
        <v>978</v>
      </c>
      <c r="B500" s="539" t="s">
        <v>1300</v>
      </c>
      <c r="C500" s="548" t="s">
        <v>37</v>
      </c>
      <c r="D500" s="519"/>
      <c r="E500" s="915"/>
      <c r="F500" s="520"/>
      <c r="G500" s="520"/>
      <c r="H500" s="520"/>
      <c r="I500" s="521"/>
      <c r="J500" s="521"/>
      <c r="K500" s="521"/>
      <c r="L500" s="923"/>
      <c r="M500" s="514"/>
      <c r="N500" s="514"/>
      <c r="O500" s="514"/>
      <c r="P500" s="514"/>
      <c r="Q500" s="514"/>
      <c r="R500" s="514"/>
      <c r="S500" s="923"/>
      <c r="T500" s="514"/>
      <c r="U500" s="514"/>
      <c r="V500" s="514"/>
      <c r="W500" s="514"/>
      <c r="X500" s="514"/>
      <c r="Y500" s="514"/>
      <c r="Z500" s="923"/>
      <c r="AA500" s="514"/>
      <c r="AB500" s="514"/>
      <c r="AC500" s="514"/>
      <c r="AD500" s="514"/>
      <c r="AE500" s="774"/>
      <c r="AF500" s="514"/>
      <c r="AG500" s="897"/>
      <c r="AH500" s="789"/>
      <c r="AI500" s="786">
        <f t="shared" si="25"/>
        <v>0</v>
      </c>
      <c r="AJ500" s="521">
        <v>0</v>
      </c>
      <c r="AK500" s="520">
        <f t="shared" si="23"/>
        <v>0</v>
      </c>
      <c r="AL500" s="695" t="s">
        <v>1729</v>
      </c>
      <c r="AM500" s="669">
        <f t="shared" si="24"/>
        <v>117.85</v>
      </c>
    </row>
    <row r="501" spans="1:39" s="500" customFormat="1" hidden="1">
      <c r="A501" s="539" t="s">
        <v>979</v>
      </c>
      <c r="B501" s="539" t="s">
        <v>1301</v>
      </c>
      <c r="C501" s="548" t="s">
        <v>37</v>
      </c>
      <c r="D501" s="519"/>
      <c r="E501" s="915"/>
      <c r="F501" s="520"/>
      <c r="G501" s="520"/>
      <c r="H501" s="520"/>
      <c r="I501" s="521"/>
      <c r="J501" s="521"/>
      <c r="K501" s="521"/>
      <c r="L501" s="923"/>
      <c r="M501" s="514"/>
      <c r="N501" s="514"/>
      <c r="O501" s="514"/>
      <c r="P501" s="514"/>
      <c r="Q501" s="514"/>
      <c r="R501" s="514"/>
      <c r="S501" s="923"/>
      <c r="T501" s="514"/>
      <c r="U501" s="514"/>
      <c r="V501" s="514"/>
      <c r="W501" s="514"/>
      <c r="X501" s="514"/>
      <c r="Y501" s="514"/>
      <c r="Z501" s="923"/>
      <c r="AA501" s="514"/>
      <c r="AB501" s="514"/>
      <c r="AC501" s="514"/>
      <c r="AD501" s="514"/>
      <c r="AE501" s="774"/>
      <c r="AF501" s="514"/>
      <c r="AG501" s="897"/>
      <c r="AH501" s="789"/>
      <c r="AI501" s="786">
        <f t="shared" si="25"/>
        <v>0</v>
      </c>
      <c r="AJ501" s="521">
        <v>0</v>
      </c>
      <c r="AK501" s="520">
        <f t="shared" si="23"/>
        <v>0</v>
      </c>
      <c r="AL501" s="695" t="s">
        <v>1730</v>
      </c>
      <c r="AM501" s="669">
        <f t="shared" si="24"/>
        <v>65.94</v>
      </c>
    </row>
    <row r="502" spans="1:39" s="500" customFormat="1" hidden="1">
      <c r="A502" s="539" t="s">
        <v>980</v>
      </c>
      <c r="B502" s="539" t="s">
        <v>1302</v>
      </c>
      <c r="C502" s="548" t="s">
        <v>37</v>
      </c>
      <c r="D502" s="519"/>
      <c r="E502" s="915"/>
      <c r="F502" s="520"/>
      <c r="G502" s="520"/>
      <c r="H502" s="520"/>
      <c r="I502" s="521"/>
      <c r="J502" s="521"/>
      <c r="K502" s="521"/>
      <c r="L502" s="923"/>
      <c r="M502" s="514"/>
      <c r="N502" s="514"/>
      <c r="O502" s="514"/>
      <c r="P502" s="514"/>
      <c r="Q502" s="514"/>
      <c r="R502" s="514"/>
      <c r="S502" s="923"/>
      <c r="T502" s="514"/>
      <c r="U502" s="514"/>
      <c r="V502" s="514"/>
      <c r="W502" s="514"/>
      <c r="X502" s="514"/>
      <c r="Y502" s="514"/>
      <c r="Z502" s="923"/>
      <c r="AA502" s="514"/>
      <c r="AB502" s="514"/>
      <c r="AC502" s="514"/>
      <c r="AD502" s="514"/>
      <c r="AE502" s="774"/>
      <c r="AF502" s="514"/>
      <c r="AG502" s="897"/>
      <c r="AH502" s="789"/>
      <c r="AI502" s="786">
        <f t="shared" si="25"/>
        <v>0</v>
      </c>
      <c r="AJ502" s="521">
        <v>0</v>
      </c>
      <c r="AK502" s="520">
        <f t="shared" si="23"/>
        <v>0</v>
      </c>
      <c r="AL502" s="695" t="s">
        <v>1590</v>
      </c>
      <c r="AM502" s="669">
        <f t="shared" si="24"/>
        <v>49.66</v>
      </c>
    </row>
    <row r="503" spans="1:39" s="500" customFormat="1" hidden="1">
      <c r="A503" s="542" t="s">
        <v>981</v>
      </c>
      <c r="B503" s="542" t="s">
        <v>1291</v>
      </c>
      <c r="C503" s="616"/>
      <c r="D503" s="519"/>
      <c r="E503" s="915"/>
      <c r="F503" s="520"/>
      <c r="G503" s="520"/>
      <c r="H503" s="520"/>
      <c r="I503" s="521"/>
      <c r="J503" s="521"/>
      <c r="K503" s="521"/>
      <c r="L503" s="923"/>
      <c r="M503" s="514"/>
      <c r="N503" s="514"/>
      <c r="O503" s="514"/>
      <c r="P503" s="514"/>
      <c r="Q503" s="514"/>
      <c r="R503" s="514"/>
      <c r="S503" s="923"/>
      <c r="T503" s="514"/>
      <c r="U503" s="514"/>
      <c r="V503" s="514"/>
      <c r="W503" s="514"/>
      <c r="X503" s="514"/>
      <c r="Y503" s="514"/>
      <c r="Z503" s="923"/>
      <c r="AA503" s="514"/>
      <c r="AB503" s="514"/>
      <c r="AC503" s="514"/>
      <c r="AD503" s="514"/>
      <c r="AE503" s="774"/>
      <c r="AF503" s="514"/>
      <c r="AG503" s="897"/>
      <c r="AH503" s="789"/>
      <c r="AI503" s="786">
        <f t="shared" si="25"/>
        <v>0</v>
      </c>
      <c r="AJ503" s="521">
        <v>0</v>
      </c>
      <c r="AK503" s="520">
        <f t="shared" si="23"/>
        <v>0</v>
      </c>
      <c r="AL503" s="695"/>
      <c r="AM503" s="669">
        <f t="shared" si="24"/>
        <v>0</v>
      </c>
    </row>
    <row r="504" spans="1:39" s="500" customFormat="1" hidden="1">
      <c r="A504" s="539" t="s">
        <v>982</v>
      </c>
      <c r="B504" s="539" t="s">
        <v>1303</v>
      </c>
      <c r="C504" s="548" t="s">
        <v>37</v>
      </c>
      <c r="D504" s="519"/>
      <c r="E504" s="915"/>
      <c r="F504" s="520"/>
      <c r="G504" s="520"/>
      <c r="H504" s="520"/>
      <c r="I504" s="521"/>
      <c r="J504" s="521"/>
      <c r="K504" s="521"/>
      <c r="L504" s="923"/>
      <c r="M504" s="514"/>
      <c r="N504" s="514"/>
      <c r="O504" s="514"/>
      <c r="P504" s="514"/>
      <c r="Q504" s="514"/>
      <c r="R504" s="514"/>
      <c r="S504" s="923"/>
      <c r="T504" s="514"/>
      <c r="U504" s="514"/>
      <c r="V504" s="514"/>
      <c r="W504" s="514"/>
      <c r="X504" s="514"/>
      <c r="Y504" s="514"/>
      <c r="Z504" s="923"/>
      <c r="AA504" s="514"/>
      <c r="AB504" s="514"/>
      <c r="AC504" s="514"/>
      <c r="AD504" s="514"/>
      <c r="AE504" s="774"/>
      <c r="AF504" s="514"/>
      <c r="AG504" s="897"/>
      <c r="AH504" s="789"/>
      <c r="AI504" s="786">
        <f t="shared" si="25"/>
        <v>0</v>
      </c>
      <c r="AJ504" s="521">
        <v>0</v>
      </c>
      <c r="AK504" s="520">
        <f t="shared" si="23"/>
        <v>0</v>
      </c>
      <c r="AL504" s="695" t="s">
        <v>1731</v>
      </c>
      <c r="AM504" s="669">
        <f t="shared" si="24"/>
        <v>7.98</v>
      </c>
    </row>
    <row r="505" spans="1:39" s="500" customFormat="1" hidden="1">
      <c r="A505" s="542" t="s">
        <v>983</v>
      </c>
      <c r="B505" s="542" t="s">
        <v>1272</v>
      </c>
      <c r="C505" s="616"/>
      <c r="D505" s="519"/>
      <c r="E505" s="915"/>
      <c r="F505" s="520"/>
      <c r="G505" s="520"/>
      <c r="H505" s="520"/>
      <c r="I505" s="521"/>
      <c r="J505" s="521"/>
      <c r="K505" s="521"/>
      <c r="L505" s="923"/>
      <c r="M505" s="514"/>
      <c r="N505" s="514"/>
      <c r="O505" s="514"/>
      <c r="P505" s="514"/>
      <c r="Q505" s="514"/>
      <c r="R505" s="514"/>
      <c r="S505" s="923"/>
      <c r="T505" s="514"/>
      <c r="U505" s="514"/>
      <c r="V505" s="514"/>
      <c r="W505" s="514"/>
      <c r="X505" s="514"/>
      <c r="Y505" s="514"/>
      <c r="Z505" s="923"/>
      <c r="AA505" s="514"/>
      <c r="AB505" s="514"/>
      <c r="AC505" s="514"/>
      <c r="AD505" s="514"/>
      <c r="AE505" s="774"/>
      <c r="AF505" s="514"/>
      <c r="AG505" s="897"/>
      <c r="AH505" s="789"/>
      <c r="AI505" s="786">
        <f t="shared" si="25"/>
        <v>0</v>
      </c>
      <c r="AJ505" s="521">
        <v>0</v>
      </c>
      <c r="AK505" s="520">
        <f t="shared" si="23"/>
        <v>0</v>
      </c>
      <c r="AL505" s="695"/>
      <c r="AM505" s="669">
        <f t="shared" si="24"/>
        <v>0</v>
      </c>
    </row>
    <row r="506" spans="1:39" s="500" customFormat="1" hidden="1">
      <c r="A506" s="539" t="s">
        <v>984</v>
      </c>
      <c r="B506" s="539" t="s">
        <v>1304</v>
      </c>
      <c r="C506" s="548" t="s">
        <v>37</v>
      </c>
      <c r="D506" s="519"/>
      <c r="E506" s="915"/>
      <c r="F506" s="520"/>
      <c r="G506" s="520"/>
      <c r="H506" s="520"/>
      <c r="I506" s="521"/>
      <c r="J506" s="521"/>
      <c r="K506" s="521"/>
      <c r="L506" s="923"/>
      <c r="M506" s="514"/>
      <c r="N506" s="514"/>
      <c r="O506" s="514"/>
      <c r="P506" s="514"/>
      <c r="Q506" s="514"/>
      <c r="R506" s="514"/>
      <c r="S506" s="923"/>
      <c r="T506" s="514"/>
      <c r="U506" s="514"/>
      <c r="V506" s="514"/>
      <c r="W506" s="514"/>
      <c r="X506" s="514"/>
      <c r="Y506" s="514"/>
      <c r="Z506" s="923"/>
      <c r="AA506" s="514"/>
      <c r="AB506" s="514"/>
      <c r="AC506" s="514"/>
      <c r="AD506" s="514"/>
      <c r="AE506" s="774"/>
      <c r="AF506" s="514"/>
      <c r="AG506" s="897"/>
      <c r="AH506" s="789"/>
      <c r="AI506" s="786">
        <f t="shared" si="25"/>
        <v>0</v>
      </c>
      <c r="AJ506" s="521">
        <v>0</v>
      </c>
      <c r="AK506" s="520">
        <f t="shared" si="23"/>
        <v>0</v>
      </c>
      <c r="AL506" s="695" t="s">
        <v>1729</v>
      </c>
      <c r="AM506" s="669">
        <f t="shared" si="24"/>
        <v>117.85</v>
      </c>
    </row>
    <row r="507" spans="1:39" s="500" customFormat="1" hidden="1">
      <c r="A507" s="539" t="s">
        <v>985</v>
      </c>
      <c r="B507" s="539" t="s">
        <v>1276</v>
      </c>
      <c r="C507" s="548" t="s">
        <v>37</v>
      </c>
      <c r="D507" s="519"/>
      <c r="E507" s="915"/>
      <c r="F507" s="520"/>
      <c r="G507" s="520"/>
      <c r="H507" s="520"/>
      <c r="I507" s="521"/>
      <c r="J507" s="521"/>
      <c r="K507" s="521"/>
      <c r="L507" s="923"/>
      <c r="M507" s="514"/>
      <c r="N507" s="514"/>
      <c r="O507" s="514"/>
      <c r="P507" s="514"/>
      <c r="Q507" s="514"/>
      <c r="R507" s="514"/>
      <c r="S507" s="923"/>
      <c r="T507" s="514"/>
      <c r="U507" s="514"/>
      <c r="V507" s="514"/>
      <c r="W507" s="514"/>
      <c r="X507" s="514"/>
      <c r="Y507" s="514"/>
      <c r="Z507" s="923"/>
      <c r="AA507" s="514"/>
      <c r="AB507" s="514"/>
      <c r="AC507" s="514"/>
      <c r="AD507" s="514"/>
      <c r="AE507" s="774"/>
      <c r="AF507" s="514"/>
      <c r="AG507" s="897"/>
      <c r="AH507" s="789"/>
      <c r="AI507" s="786">
        <f t="shared" si="25"/>
        <v>0</v>
      </c>
      <c r="AJ507" s="521">
        <v>0</v>
      </c>
      <c r="AK507" s="520">
        <f t="shared" si="23"/>
        <v>0</v>
      </c>
      <c r="AL507" s="695" t="s">
        <v>1730</v>
      </c>
      <c r="AM507" s="669">
        <f t="shared" si="24"/>
        <v>65.94</v>
      </c>
    </row>
    <row r="508" spans="1:39" s="500" customFormat="1" hidden="1">
      <c r="A508" s="539" t="s">
        <v>986</v>
      </c>
      <c r="B508" s="539" t="s">
        <v>1277</v>
      </c>
      <c r="C508" s="548" t="s">
        <v>37</v>
      </c>
      <c r="D508" s="519"/>
      <c r="E508" s="915"/>
      <c r="F508" s="520"/>
      <c r="G508" s="520"/>
      <c r="H508" s="520"/>
      <c r="I508" s="521"/>
      <c r="J508" s="521"/>
      <c r="K508" s="521"/>
      <c r="L508" s="923"/>
      <c r="M508" s="514"/>
      <c r="N508" s="514"/>
      <c r="O508" s="514"/>
      <c r="P508" s="514"/>
      <c r="Q508" s="514"/>
      <c r="R508" s="514"/>
      <c r="S508" s="923"/>
      <c r="T508" s="514"/>
      <c r="U508" s="514"/>
      <c r="V508" s="514"/>
      <c r="W508" s="514"/>
      <c r="X508" s="514"/>
      <c r="Y508" s="514"/>
      <c r="Z508" s="923"/>
      <c r="AA508" s="514"/>
      <c r="AB508" s="514"/>
      <c r="AC508" s="514"/>
      <c r="AD508" s="514"/>
      <c r="AE508" s="774"/>
      <c r="AF508" s="514"/>
      <c r="AG508" s="897"/>
      <c r="AH508" s="789"/>
      <c r="AI508" s="786">
        <f t="shared" si="25"/>
        <v>0</v>
      </c>
      <c r="AJ508" s="521">
        <v>0</v>
      </c>
      <c r="AK508" s="520">
        <f t="shared" si="23"/>
        <v>0</v>
      </c>
      <c r="AL508" s="695" t="s">
        <v>1590</v>
      </c>
      <c r="AM508" s="669">
        <f t="shared" si="24"/>
        <v>49.66</v>
      </c>
    </row>
    <row r="509" spans="1:39" s="500" customFormat="1" hidden="1">
      <c r="A509" s="440" t="s">
        <v>987</v>
      </c>
      <c r="B509" s="543" t="s">
        <v>1305</v>
      </c>
      <c r="C509" s="616"/>
      <c r="D509" s="519"/>
      <c r="E509" s="915"/>
      <c r="F509" s="520"/>
      <c r="G509" s="520"/>
      <c r="H509" s="520"/>
      <c r="I509" s="521"/>
      <c r="J509" s="521"/>
      <c r="K509" s="521"/>
      <c r="L509" s="923"/>
      <c r="M509" s="514"/>
      <c r="N509" s="514"/>
      <c r="O509" s="514"/>
      <c r="P509" s="514"/>
      <c r="Q509" s="514"/>
      <c r="R509" s="514"/>
      <c r="S509" s="923"/>
      <c r="T509" s="514"/>
      <c r="U509" s="514"/>
      <c r="V509" s="514"/>
      <c r="W509" s="514"/>
      <c r="X509" s="514"/>
      <c r="Y509" s="514"/>
      <c r="Z509" s="923"/>
      <c r="AA509" s="514"/>
      <c r="AB509" s="514"/>
      <c r="AC509" s="514"/>
      <c r="AD509" s="514"/>
      <c r="AE509" s="774"/>
      <c r="AF509" s="514"/>
      <c r="AG509" s="897"/>
      <c r="AH509" s="789"/>
      <c r="AI509" s="786">
        <f t="shared" si="25"/>
        <v>0</v>
      </c>
      <c r="AJ509" s="521">
        <v>0</v>
      </c>
      <c r="AK509" s="520">
        <f t="shared" si="23"/>
        <v>0</v>
      </c>
      <c r="AL509" s="695"/>
      <c r="AM509" s="669">
        <f t="shared" si="24"/>
        <v>0</v>
      </c>
    </row>
    <row r="510" spans="1:39" s="500" customFormat="1" hidden="1">
      <c r="A510" s="542" t="s">
        <v>988</v>
      </c>
      <c r="B510" s="542" t="s">
        <v>1306</v>
      </c>
      <c r="C510" s="548" t="s">
        <v>37</v>
      </c>
      <c r="D510" s="519"/>
      <c r="E510" s="915"/>
      <c r="F510" s="520"/>
      <c r="G510" s="520"/>
      <c r="H510" s="520"/>
      <c r="I510" s="521"/>
      <c r="J510" s="521"/>
      <c r="K510" s="521"/>
      <c r="L510" s="923"/>
      <c r="M510" s="514"/>
      <c r="N510" s="514"/>
      <c r="O510" s="514"/>
      <c r="P510" s="514"/>
      <c r="Q510" s="514"/>
      <c r="R510" s="514"/>
      <c r="S510" s="923"/>
      <c r="T510" s="514"/>
      <c r="U510" s="514"/>
      <c r="V510" s="514"/>
      <c r="W510" s="514"/>
      <c r="X510" s="514"/>
      <c r="Y510" s="514"/>
      <c r="Z510" s="923"/>
      <c r="AA510" s="514"/>
      <c r="AB510" s="514"/>
      <c r="AC510" s="514"/>
      <c r="AD510" s="514"/>
      <c r="AE510" s="774"/>
      <c r="AF510" s="514"/>
      <c r="AG510" s="897"/>
      <c r="AH510" s="789"/>
      <c r="AI510" s="786">
        <f t="shared" si="25"/>
        <v>0</v>
      </c>
      <c r="AJ510" s="521">
        <v>0</v>
      </c>
      <c r="AK510" s="520">
        <f t="shared" si="23"/>
        <v>0</v>
      </c>
      <c r="AL510" s="695" t="s">
        <v>1732</v>
      </c>
      <c r="AM510" s="669">
        <f t="shared" si="24"/>
        <v>154.19</v>
      </c>
    </row>
    <row r="511" spans="1:39" s="500" customFormat="1" hidden="1">
      <c r="A511" s="542" t="s">
        <v>989</v>
      </c>
      <c r="B511" s="542" t="s">
        <v>1307</v>
      </c>
      <c r="C511" s="548" t="s">
        <v>37</v>
      </c>
      <c r="D511" s="519"/>
      <c r="E511" s="915"/>
      <c r="F511" s="520"/>
      <c r="G511" s="520"/>
      <c r="H511" s="520"/>
      <c r="I511" s="521"/>
      <c r="J511" s="521"/>
      <c r="K511" s="521"/>
      <c r="L511" s="923"/>
      <c r="M511" s="514"/>
      <c r="N511" s="514"/>
      <c r="O511" s="514"/>
      <c r="P511" s="514"/>
      <c r="Q511" s="514"/>
      <c r="R511" s="514"/>
      <c r="S511" s="923"/>
      <c r="T511" s="514"/>
      <c r="U511" s="514"/>
      <c r="V511" s="514"/>
      <c r="W511" s="514"/>
      <c r="X511" s="514"/>
      <c r="Y511" s="514"/>
      <c r="Z511" s="923"/>
      <c r="AA511" s="514"/>
      <c r="AB511" s="514"/>
      <c r="AC511" s="514"/>
      <c r="AD511" s="514"/>
      <c r="AE511" s="774"/>
      <c r="AF511" s="514"/>
      <c r="AG511" s="897"/>
      <c r="AH511" s="789"/>
      <c r="AI511" s="786">
        <f t="shared" si="25"/>
        <v>0</v>
      </c>
      <c r="AJ511" s="521">
        <v>0</v>
      </c>
      <c r="AK511" s="520">
        <f t="shared" si="23"/>
        <v>0</v>
      </c>
      <c r="AL511" s="695" t="s">
        <v>1733</v>
      </c>
      <c r="AM511" s="669">
        <f t="shared" si="24"/>
        <v>48.81</v>
      </c>
    </row>
    <row r="512" spans="1:39" s="500" customFormat="1" hidden="1">
      <c r="A512" s="440" t="s">
        <v>990</v>
      </c>
      <c r="B512" s="543" t="s">
        <v>1308</v>
      </c>
      <c r="C512" s="616"/>
      <c r="D512" s="519"/>
      <c r="E512" s="915"/>
      <c r="F512" s="520"/>
      <c r="G512" s="520"/>
      <c r="H512" s="520"/>
      <c r="I512" s="521"/>
      <c r="J512" s="521"/>
      <c r="K512" s="521"/>
      <c r="L512" s="923"/>
      <c r="M512" s="514"/>
      <c r="N512" s="514"/>
      <c r="O512" s="514"/>
      <c r="P512" s="514"/>
      <c r="Q512" s="514"/>
      <c r="R512" s="514"/>
      <c r="S512" s="923"/>
      <c r="T512" s="514"/>
      <c r="U512" s="514"/>
      <c r="V512" s="514"/>
      <c r="W512" s="514"/>
      <c r="X512" s="514"/>
      <c r="Y512" s="514"/>
      <c r="Z512" s="923"/>
      <c r="AA512" s="514"/>
      <c r="AB512" s="514"/>
      <c r="AC512" s="514"/>
      <c r="AD512" s="514"/>
      <c r="AE512" s="774"/>
      <c r="AF512" s="514"/>
      <c r="AG512" s="897"/>
      <c r="AH512" s="789"/>
      <c r="AI512" s="786">
        <f t="shared" si="25"/>
        <v>0</v>
      </c>
      <c r="AJ512" s="521">
        <v>0</v>
      </c>
      <c r="AK512" s="520">
        <f t="shared" si="23"/>
        <v>0</v>
      </c>
      <c r="AL512" s="695"/>
      <c r="AM512" s="669">
        <f t="shared" si="24"/>
        <v>0</v>
      </c>
    </row>
    <row r="513" spans="1:39" s="500" customFormat="1" hidden="1">
      <c r="A513" s="542" t="s">
        <v>991</v>
      </c>
      <c r="B513" s="542" t="s">
        <v>1249</v>
      </c>
      <c r="C513" s="616"/>
      <c r="D513" s="519"/>
      <c r="E513" s="915"/>
      <c r="F513" s="520"/>
      <c r="G513" s="520"/>
      <c r="H513" s="520"/>
      <c r="I513" s="521"/>
      <c r="J513" s="521"/>
      <c r="K513" s="521"/>
      <c r="L513" s="923"/>
      <c r="M513" s="514"/>
      <c r="N513" s="514"/>
      <c r="O513" s="514"/>
      <c r="P513" s="514"/>
      <c r="Q513" s="514"/>
      <c r="R513" s="514"/>
      <c r="S513" s="923"/>
      <c r="T513" s="514"/>
      <c r="U513" s="514"/>
      <c r="V513" s="514"/>
      <c r="W513" s="514"/>
      <c r="X513" s="514"/>
      <c r="Y513" s="514"/>
      <c r="Z513" s="923"/>
      <c r="AA513" s="514"/>
      <c r="AB513" s="514"/>
      <c r="AC513" s="514"/>
      <c r="AD513" s="514"/>
      <c r="AE513" s="774"/>
      <c r="AF513" s="514"/>
      <c r="AG513" s="897"/>
      <c r="AH513" s="789"/>
      <c r="AI513" s="786">
        <f t="shared" si="25"/>
        <v>0</v>
      </c>
      <c r="AJ513" s="521">
        <v>0</v>
      </c>
      <c r="AK513" s="520">
        <f t="shared" si="23"/>
        <v>0</v>
      </c>
      <c r="AL513" s="695"/>
      <c r="AM513" s="669">
        <f t="shared" si="24"/>
        <v>0</v>
      </c>
    </row>
    <row r="514" spans="1:39" s="500" customFormat="1" hidden="1">
      <c r="A514" s="539" t="s">
        <v>992</v>
      </c>
      <c r="B514" s="539" t="s">
        <v>1309</v>
      </c>
      <c r="C514" s="548" t="s">
        <v>37</v>
      </c>
      <c r="D514" s="519"/>
      <c r="E514" s="915"/>
      <c r="F514" s="520"/>
      <c r="G514" s="520"/>
      <c r="H514" s="520"/>
      <c r="I514" s="521"/>
      <c r="J514" s="521"/>
      <c r="K514" s="521"/>
      <c r="L514" s="923"/>
      <c r="M514" s="514"/>
      <c r="N514" s="514"/>
      <c r="O514" s="514"/>
      <c r="P514" s="514"/>
      <c r="Q514" s="514"/>
      <c r="R514" s="514"/>
      <c r="S514" s="923"/>
      <c r="T514" s="514"/>
      <c r="U514" s="514"/>
      <c r="V514" s="514"/>
      <c r="W514" s="514"/>
      <c r="X514" s="514"/>
      <c r="Y514" s="514"/>
      <c r="Z514" s="923"/>
      <c r="AA514" s="514"/>
      <c r="AB514" s="514"/>
      <c r="AC514" s="514"/>
      <c r="AD514" s="514"/>
      <c r="AE514" s="774"/>
      <c r="AF514" s="514"/>
      <c r="AG514" s="897"/>
      <c r="AH514" s="789"/>
      <c r="AI514" s="786">
        <f t="shared" si="25"/>
        <v>0</v>
      </c>
      <c r="AJ514" s="521">
        <v>0</v>
      </c>
      <c r="AK514" s="520">
        <f t="shared" si="23"/>
        <v>0</v>
      </c>
      <c r="AL514" s="695" t="s">
        <v>1608</v>
      </c>
      <c r="AM514" s="669">
        <f t="shared" si="24"/>
        <v>60</v>
      </c>
    </row>
    <row r="515" spans="1:39" s="500" customFormat="1" hidden="1">
      <c r="A515" s="539" t="s">
        <v>993</v>
      </c>
      <c r="B515" s="539" t="s">
        <v>1310</v>
      </c>
      <c r="C515" s="548" t="s">
        <v>37</v>
      </c>
      <c r="D515" s="519"/>
      <c r="E515" s="915"/>
      <c r="F515" s="520"/>
      <c r="G515" s="520"/>
      <c r="H515" s="520"/>
      <c r="I515" s="521"/>
      <c r="J515" s="521"/>
      <c r="K515" s="521"/>
      <c r="L515" s="923"/>
      <c r="M515" s="514"/>
      <c r="N515" s="514"/>
      <c r="O515" s="514"/>
      <c r="P515" s="514"/>
      <c r="Q515" s="514"/>
      <c r="R515" s="514"/>
      <c r="S515" s="923"/>
      <c r="T515" s="514"/>
      <c r="U515" s="514"/>
      <c r="V515" s="514"/>
      <c r="W515" s="514"/>
      <c r="X515" s="514"/>
      <c r="Y515" s="514"/>
      <c r="Z515" s="923"/>
      <c r="AA515" s="514"/>
      <c r="AB515" s="514"/>
      <c r="AC515" s="514"/>
      <c r="AD515" s="514"/>
      <c r="AE515" s="774"/>
      <c r="AF515" s="514"/>
      <c r="AG515" s="897"/>
      <c r="AH515" s="789"/>
      <c r="AI515" s="786">
        <f t="shared" si="25"/>
        <v>0</v>
      </c>
      <c r="AJ515" s="521">
        <v>0</v>
      </c>
      <c r="AK515" s="520">
        <f t="shared" si="23"/>
        <v>0</v>
      </c>
      <c r="AL515" s="695" t="s">
        <v>1633</v>
      </c>
      <c r="AM515" s="669">
        <f t="shared" si="24"/>
        <v>5.18</v>
      </c>
    </row>
    <row r="516" spans="1:39" s="500" customFormat="1" hidden="1">
      <c r="A516" s="542" t="s">
        <v>994</v>
      </c>
      <c r="B516" s="542" t="s">
        <v>1253</v>
      </c>
      <c r="C516" s="616"/>
      <c r="D516" s="519"/>
      <c r="E516" s="915"/>
      <c r="F516" s="520"/>
      <c r="G516" s="520"/>
      <c r="H516" s="520"/>
      <c r="I516" s="521"/>
      <c r="J516" s="521"/>
      <c r="K516" s="521"/>
      <c r="L516" s="923"/>
      <c r="M516" s="514"/>
      <c r="N516" s="514"/>
      <c r="O516" s="514"/>
      <c r="P516" s="514"/>
      <c r="Q516" s="514"/>
      <c r="R516" s="514"/>
      <c r="S516" s="923"/>
      <c r="T516" s="514"/>
      <c r="U516" s="514"/>
      <c r="V516" s="514"/>
      <c r="W516" s="514"/>
      <c r="X516" s="514"/>
      <c r="Y516" s="514"/>
      <c r="Z516" s="923"/>
      <c r="AA516" s="514"/>
      <c r="AB516" s="514"/>
      <c r="AC516" s="514"/>
      <c r="AD516" s="514"/>
      <c r="AE516" s="774"/>
      <c r="AF516" s="514"/>
      <c r="AG516" s="897"/>
      <c r="AH516" s="789"/>
      <c r="AI516" s="786">
        <f t="shared" si="25"/>
        <v>0</v>
      </c>
      <c r="AJ516" s="521">
        <v>0</v>
      </c>
      <c r="AK516" s="520">
        <f t="shared" si="23"/>
        <v>0</v>
      </c>
      <c r="AL516" s="695"/>
      <c r="AM516" s="669">
        <f t="shared" si="24"/>
        <v>0</v>
      </c>
    </row>
    <row r="517" spans="1:39" s="500" customFormat="1" hidden="1">
      <c r="A517" s="539" t="s">
        <v>995</v>
      </c>
      <c r="B517" s="539" t="s">
        <v>1311</v>
      </c>
      <c r="C517" s="548" t="s">
        <v>38</v>
      </c>
      <c r="D517" s="519"/>
      <c r="E517" s="915"/>
      <c r="F517" s="520"/>
      <c r="G517" s="520"/>
      <c r="H517" s="520"/>
      <c r="I517" s="521"/>
      <c r="J517" s="521"/>
      <c r="K517" s="521"/>
      <c r="L517" s="923"/>
      <c r="M517" s="514"/>
      <c r="N517" s="514"/>
      <c r="O517" s="514"/>
      <c r="P517" s="514"/>
      <c r="Q517" s="514"/>
      <c r="R517" s="514"/>
      <c r="S517" s="923"/>
      <c r="T517" s="514"/>
      <c r="U517" s="514"/>
      <c r="V517" s="514"/>
      <c r="W517" s="514"/>
      <c r="X517" s="514"/>
      <c r="Y517" s="514"/>
      <c r="Z517" s="923"/>
      <c r="AA517" s="514"/>
      <c r="AB517" s="514"/>
      <c r="AC517" s="514"/>
      <c r="AD517" s="514"/>
      <c r="AE517" s="774"/>
      <c r="AF517" s="514"/>
      <c r="AG517" s="897"/>
      <c r="AH517" s="789"/>
      <c r="AI517" s="786">
        <f t="shared" si="25"/>
        <v>0</v>
      </c>
      <c r="AJ517" s="521">
        <v>0</v>
      </c>
      <c r="AK517" s="520">
        <f t="shared" si="23"/>
        <v>0</v>
      </c>
      <c r="AL517" s="695" t="s">
        <v>1734</v>
      </c>
      <c r="AM517" s="669">
        <f t="shared" si="24"/>
        <v>73.98</v>
      </c>
    </row>
    <row r="518" spans="1:39" s="500" customFormat="1" hidden="1">
      <c r="A518" s="539" t="s">
        <v>996</v>
      </c>
      <c r="B518" s="539" t="s">
        <v>1255</v>
      </c>
      <c r="C518" s="548" t="s">
        <v>37</v>
      </c>
      <c r="D518" s="519"/>
      <c r="E518" s="915"/>
      <c r="F518" s="520"/>
      <c r="G518" s="520"/>
      <c r="H518" s="520"/>
      <c r="I518" s="521"/>
      <c r="J518" s="521"/>
      <c r="K518" s="521"/>
      <c r="L518" s="923"/>
      <c r="M518" s="514"/>
      <c r="N518" s="514"/>
      <c r="O518" s="514"/>
      <c r="P518" s="514"/>
      <c r="Q518" s="514"/>
      <c r="R518" s="514"/>
      <c r="S518" s="923"/>
      <c r="T518" s="514"/>
      <c r="U518" s="514"/>
      <c r="V518" s="514"/>
      <c r="W518" s="514"/>
      <c r="X518" s="514"/>
      <c r="Y518" s="514"/>
      <c r="Z518" s="923"/>
      <c r="AA518" s="514"/>
      <c r="AB518" s="514"/>
      <c r="AC518" s="514"/>
      <c r="AD518" s="514"/>
      <c r="AE518" s="774"/>
      <c r="AF518" s="514"/>
      <c r="AG518" s="897"/>
      <c r="AH518" s="789"/>
      <c r="AI518" s="786">
        <f t="shared" si="25"/>
        <v>0</v>
      </c>
      <c r="AJ518" s="521">
        <v>0</v>
      </c>
      <c r="AK518" s="520">
        <f t="shared" si="23"/>
        <v>0</v>
      </c>
      <c r="AL518" s="695" t="s">
        <v>1735</v>
      </c>
      <c r="AM518" s="669">
        <f t="shared" si="24"/>
        <v>44.39</v>
      </c>
    </row>
    <row r="519" spans="1:39" s="500" customFormat="1" hidden="1">
      <c r="A519" s="542" t="s">
        <v>997</v>
      </c>
      <c r="B519" s="542" t="s">
        <v>1312</v>
      </c>
      <c r="C519" s="616"/>
      <c r="D519" s="519"/>
      <c r="E519" s="915"/>
      <c r="F519" s="520"/>
      <c r="G519" s="520"/>
      <c r="H519" s="520"/>
      <c r="I519" s="521"/>
      <c r="J519" s="521"/>
      <c r="K519" s="521"/>
      <c r="L519" s="923"/>
      <c r="M519" s="514"/>
      <c r="N519" s="514"/>
      <c r="O519" s="514"/>
      <c r="P519" s="514"/>
      <c r="Q519" s="514"/>
      <c r="R519" s="514"/>
      <c r="S519" s="923"/>
      <c r="T519" s="514"/>
      <c r="U519" s="514"/>
      <c r="V519" s="514"/>
      <c r="W519" s="514"/>
      <c r="X519" s="514"/>
      <c r="Y519" s="514"/>
      <c r="Z519" s="923"/>
      <c r="AA519" s="514"/>
      <c r="AB519" s="514"/>
      <c r="AC519" s="514"/>
      <c r="AD519" s="514"/>
      <c r="AE519" s="774"/>
      <c r="AF519" s="514"/>
      <c r="AG519" s="897"/>
      <c r="AH519" s="789"/>
      <c r="AI519" s="786">
        <f t="shared" si="25"/>
        <v>0</v>
      </c>
      <c r="AJ519" s="521">
        <v>0</v>
      </c>
      <c r="AK519" s="520">
        <f t="shared" si="23"/>
        <v>0</v>
      </c>
      <c r="AL519" s="695"/>
      <c r="AM519" s="669">
        <f t="shared" si="24"/>
        <v>0</v>
      </c>
    </row>
    <row r="520" spans="1:39" s="500" customFormat="1" hidden="1">
      <c r="A520" s="539" t="s">
        <v>998</v>
      </c>
      <c r="B520" s="539" t="s">
        <v>1313</v>
      </c>
      <c r="C520" s="548" t="s">
        <v>37</v>
      </c>
      <c r="D520" s="519"/>
      <c r="E520" s="915"/>
      <c r="F520" s="520"/>
      <c r="G520" s="520"/>
      <c r="H520" s="520"/>
      <c r="I520" s="521"/>
      <c r="J520" s="521"/>
      <c r="K520" s="521"/>
      <c r="L520" s="923"/>
      <c r="M520" s="514"/>
      <c r="N520" s="514"/>
      <c r="O520" s="514"/>
      <c r="P520" s="514"/>
      <c r="Q520" s="514"/>
      <c r="R520" s="514"/>
      <c r="S520" s="923"/>
      <c r="T520" s="514"/>
      <c r="U520" s="514"/>
      <c r="V520" s="514"/>
      <c r="W520" s="514"/>
      <c r="X520" s="514"/>
      <c r="Y520" s="514"/>
      <c r="Z520" s="923"/>
      <c r="AA520" s="514"/>
      <c r="AB520" s="514"/>
      <c r="AC520" s="514"/>
      <c r="AD520" s="514"/>
      <c r="AE520" s="774"/>
      <c r="AF520" s="514"/>
      <c r="AG520" s="897"/>
      <c r="AH520" s="789"/>
      <c r="AI520" s="786">
        <f t="shared" si="25"/>
        <v>0</v>
      </c>
      <c r="AJ520" s="521">
        <v>0</v>
      </c>
      <c r="AK520" s="520">
        <f t="shared" si="23"/>
        <v>0</v>
      </c>
      <c r="AL520" s="695" t="s">
        <v>1736</v>
      </c>
      <c r="AM520" s="669">
        <f t="shared" si="24"/>
        <v>64</v>
      </c>
    </row>
    <row r="521" spans="1:39" s="500" customFormat="1" hidden="1">
      <c r="A521" s="542" t="s">
        <v>999</v>
      </c>
      <c r="B521" s="542" t="s">
        <v>1200</v>
      </c>
      <c r="C521" s="616"/>
      <c r="D521" s="519"/>
      <c r="E521" s="915"/>
      <c r="F521" s="520"/>
      <c r="G521" s="520"/>
      <c r="H521" s="520"/>
      <c r="I521" s="521"/>
      <c r="J521" s="521"/>
      <c r="K521" s="521"/>
      <c r="L521" s="923"/>
      <c r="M521" s="514"/>
      <c r="N521" s="514"/>
      <c r="O521" s="514"/>
      <c r="P521" s="514"/>
      <c r="Q521" s="514"/>
      <c r="R521" s="514"/>
      <c r="S521" s="923"/>
      <c r="T521" s="514"/>
      <c r="U521" s="514"/>
      <c r="V521" s="514"/>
      <c r="W521" s="514"/>
      <c r="X521" s="514"/>
      <c r="Y521" s="514"/>
      <c r="Z521" s="923"/>
      <c r="AA521" s="514"/>
      <c r="AB521" s="514"/>
      <c r="AC521" s="514"/>
      <c r="AD521" s="514"/>
      <c r="AE521" s="774"/>
      <c r="AF521" s="514"/>
      <c r="AG521" s="897"/>
      <c r="AH521" s="789"/>
      <c r="AI521" s="786">
        <f t="shared" si="25"/>
        <v>0</v>
      </c>
      <c r="AJ521" s="521">
        <v>0</v>
      </c>
      <c r="AK521" s="520">
        <f t="shared" si="23"/>
        <v>0</v>
      </c>
      <c r="AL521" s="695"/>
      <c r="AM521" s="669">
        <f t="shared" si="24"/>
        <v>0</v>
      </c>
    </row>
    <row r="522" spans="1:39" s="500" customFormat="1" hidden="1">
      <c r="A522" s="539" t="s">
        <v>1000</v>
      </c>
      <c r="B522" s="539" t="s">
        <v>1314</v>
      </c>
      <c r="C522" s="548" t="s">
        <v>38</v>
      </c>
      <c r="D522" s="519"/>
      <c r="E522" s="915"/>
      <c r="F522" s="520"/>
      <c r="G522" s="520"/>
      <c r="H522" s="520"/>
      <c r="I522" s="521"/>
      <c r="J522" s="521"/>
      <c r="K522" s="521"/>
      <c r="L522" s="923"/>
      <c r="M522" s="514"/>
      <c r="N522" s="514"/>
      <c r="O522" s="514"/>
      <c r="P522" s="514"/>
      <c r="Q522" s="514"/>
      <c r="R522" s="514"/>
      <c r="S522" s="923"/>
      <c r="T522" s="514"/>
      <c r="U522" s="514"/>
      <c r="V522" s="514"/>
      <c r="W522" s="514"/>
      <c r="X522" s="514"/>
      <c r="Y522" s="514"/>
      <c r="Z522" s="923"/>
      <c r="AA522" s="514"/>
      <c r="AB522" s="514"/>
      <c r="AC522" s="514"/>
      <c r="AD522" s="514"/>
      <c r="AE522" s="774"/>
      <c r="AF522" s="514"/>
      <c r="AG522" s="897"/>
      <c r="AH522" s="789"/>
      <c r="AI522" s="786">
        <f t="shared" si="25"/>
        <v>0</v>
      </c>
      <c r="AJ522" s="521">
        <v>0</v>
      </c>
      <c r="AK522" s="520">
        <f t="shared" si="23"/>
        <v>0</v>
      </c>
      <c r="AL522" s="695" t="s">
        <v>1737</v>
      </c>
      <c r="AM522" s="669">
        <f t="shared" si="24"/>
        <v>22</v>
      </c>
    </row>
    <row r="523" spans="1:39" s="500" customFormat="1" hidden="1">
      <c r="A523" s="539" t="s">
        <v>1001</v>
      </c>
      <c r="B523" s="539" t="s">
        <v>1315</v>
      </c>
      <c r="C523" s="548" t="s">
        <v>1450</v>
      </c>
      <c r="D523" s="519"/>
      <c r="E523" s="915"/>
      <c r="F523" s="520"/>
      <c r="G523" s="520"/>
      <c r="H523" s="520"/>
      <c r="I523" s="521"/>
      <c r="J523" s="521"/>
      <c r="K523" s="521"/>
      <c r="L523" s="923"/>
      <c r="M523" s="514"/>
      <c r="N523" s="514"/>
      <c r="O523" s="514"/>
      <c r="P523" s="514"/>
      <c r="Q523" s="514"/>
      <c r="R523" s="514"/>
      <c r="S523" s="923"/>
      <c r="T523" s="514"/>
      <c r="U523" s="514"/>
      <c r="V523" s="514"/>
      <c r="W523" s="514"/>
      <c r="X523" s="514"/>
      <c r="Y523" s="514"/>
      <c r="Z523" s="923"/>
      <c r="AA523" s="514"/>
      <c r="AB523" s="514"/>
      <c r="AC523" s="514"/>
      <c r="AD523" s="514"/>
      <c r="AE523" s="774"/>
      <c r="AF523" s="514"/>
      <c r="AG523" s="897"/>
      <c r="AH523" s="789"/>
      <c r="AI523" s="786">
        <f t="shared" si="25"/>
        <v>0</v>
      </c>
      <c r="AJ523" s="521">
        <v>0</v>
      </c>
      <c r="AK523" s="520">
        <f t="shared" si="23"/>
        <v>0</v>
      </c>
      <c r="AL523" s="695" t="s">
        <v>1455</v>
      </c>
      <c r="AM523" s="669">
        <f t="shared" si="24"/>
        <v>1</v>
      </c>
    </row>
    <row r="524" spans="1:39" s="500" customFormat="1" hidden="1">
      <c r="A524" s="440" t="s">
        <v>1002</v>
      </c>
      <c r="B524" s="543" t="s">
        <v>1316</v>
      </c>
      <c r="C524" s="616"/>
      <c r="D524" s="519"/>
      <c r="E524" s="915"/>
      <c r="F524" s="520"/>
      <c r="G524" s="520"/>
      <c r="H524" s="520"/>
      <c r="I524" s="521"/>
      <c r="J524" s="521"/>
      <c r="K524" s="521"/>
      <c r="L524" s="923"/>
      <c r="M524" s="514"/>
      <c r="N524" s="514"/>
      <c r="O524" s="514"/>
      <c r="P524" s="514"/>
      <c r="Q524" s="514"/>
      <c r="R524" s="514"/>
      <c r="S524" s="923"/>
      <c r="T524" s="514"/>
      <c r="U524" s="514"/>
      <c r="V524" s="514"/>
      <c r="W524" s="514"/>
      <c r="X524" s="514"/>
      <c r="Y524" s="514"/>
      <c r="Z524" s="923"/>
      <c r="AA524" s="514"/>
      <c r="AB524" s="514"/>
      <c r="AC524" s="514"/>
      <c r="AD524" s="514"/>
      <c r="AE524" s="774"/>
      <c r="AF524" s="514"/>
      <c r="AG524" s="897"/>
      <c r="AH524" s="789"/>
      <c r="AI524" s="786">
        <f t="shared" si="25"/>
        <v>0</v>
      </c>
      <c r="AJ524" s="521">
        <v>0</v>
      </c>
      <c r="AK524" s="520">
        <f t="shared" si="23"/>
        <v>0</v>
      </c>
      <c r="AL524" s="695"/>
      <c r="AM524" s="669">
        <f t="shared" si="24"/>
        <v>0</v>
      </c>
    </row>
    <row r="525" spans="1:39" s="500" customFormat="1" hidden="1">
      <c r="A525" s="542" t="s">
        <v>1003</v>
      </c>
      <c r="B525" s="542" t="s">
        <v>1249</v>
      </c>
      <c r="C525" s="616"/>
      <c r="D525" s="519"/>
      <c r="E525" s="915"/>
      <c r="F525" s="520"/>
      <c r="G525" s="520"/>
      <c r="H525" s="520"/>
      <c r="I525" s="521"/>
      <c r="J525" s="521"/>
      <c r="K525" s="521"/>
      <c r="L525" s="923"/>
      <c r="M525" s="514"/>
      <c r="N525" s="514"/>
      <c r="O525" s="514"/>
      <c r="P525" s="514"/>
      <c r="Q525" s="514"/>
      <c r="R525" s="514"/>
      <c r="S525" s="923"/>
      <c r="T525" s="514"/>
      <c r="U525" s="514"/>
      <c r="V525" s="514"/>
      <c r="W525" s="514"/>
      <c r="X525" s="514"/>
      <c r="Y525" s="514"/>
      <c r="Z525" s="923"/>
      <c r="AA525" s="514"/>
      <c r="AB525" s="514"/>
      <c r="AC525" s="514"/>
      <c r="AD525" s="514"/>
      <c r="AE525" s="774"/>
      <c r="AF525" s="514"/>
      <c r="AG525" s="897"/>
      <c r="AH525" s="789"/>
      <c r="AI525" s="786">
        <f t="shared" si="25"/>
        <v>0</v>
      </c>
      <c r="AJ525" s="521">
        <v>0</v>
      </c>
      <c r="AK525" s="520">
        <f t="shared" si="23"/>
        <v>0</v>
      </c>
      <c r="AL525" s="695"/>
      <c r="AM525" s="669">
        <f t="shared" si="24"/>
        <v>0</v>
      </c>
    </row>
    <row r="526" spans="1:39" s="500" customFormat="1" hidden="1">
      <c r="A526" s="539" t="s">
        <v>1004</v>
      </c>
      <c r="B526" s="539" t="s">
        <v>1317</v>
      </c>
      <c r="C526" s="548" t="s">
        <v>37</v>
      </c>
      <c r="D526" s="519"/>
      <c r="E526" s="915"/>
      <c r="F526" s="520"/>
      <c r="G526" s="520"/>
      <c r="H526" s="520"/>
      <c r="I526" s="521"/>
      <c r="J526" s="521"/>
      <c r="K526" s="521"/>
      <c r="L526" s="923"/>
      <c r="M526" s="514"/>
      <c r="N526" s="514"/>
      <c r="O526" s="514"/>
      <c r="P526" s="514"/>
      <c r="Q526" s="514"/>
      <c r="R526" s="514"/>
      <c r="S526" s="923"/>
      <c r="T526" s="514"/>
      <c r="U526" s="514"/>
      <c r="V526" s="514"/>
      <c r="W526" s="514"/>
      <c r="X526" s="514"/>
      <c r="Y526" s="514"/>
      <c r="Z526" s="923"/>
      <c r="AA526" s="514"/>
      <c r="AB526" s="514"/>
      <c r="AC526" s="514"/>
      <c r="AD526" s="514"/>
      <c r="AE526" s="774"/>
      <c r="AF526" s="514"/>
      <c r="AG526" s="897"/>
      <c r="AH526" s="789"/>
      <c r="AI526" s="786">
        <f t="shared" si="25"/>
        <v>0</v>
      </c>
      <c r="AJ526" s="521">
        <v>0</v>
      </c>
      <c r="AK526" s="520">
        <f t="shared" ref="AK526:AK589" si="26">AI526+AJ526</f>
        <v>0</v>
      </c>
      <c r="AL526" s="695" t="s">
        <v>1738</v>
      </c>
      <c r="AM526" s="669">
        <f t="shared" ref="AM526:AM589" si="27">AL526-AK526</f>
        <v>28.21</v>
      </c>
    </row>
    <row r="527" spans="1:39" s="500" customFormat="1" hidden="1">
      <c r="A527" s="542" t="s">
        <v>1005</v>
      </c>
      <c r="B527" s="542" t="s">
        <v>1318</v>
      </c>
      <c r="C527" s="616"/>
      <c r="D527" s="519"/>
      <c r="E527" s="915"/>
      <c r="F527" s="520"/>
      <c r="G527" s="520"/>
      <c r="H527" s="520"/>
      <c r="I527" s="521"/>
      <c r="J527" s="521"/>
      <c r="K527" s="521"/>
      <c r="L527" s="923"/>
      <c r="M527" s="514"/>
      <c r="N527" s="514"/>
      <c r="O527" s="514"/>
      <c r="P527" s="514"/>
      <c r="Q527" s="514"/>
      <c r="R527" s="514"/>
      <c r="S527" s="923"/>
      <c r="T527" s="514"/>
      <c r="U527" s="514"/>
      <c r="V527" s="514"/>
      <c r="W527" s="514"/>
      <c r="X527" s="514"/>
      <c r="Y527" s="514"/>
      <c r="Z527" s="923"/>
      <c r="AA527" s="514"/>
      <c r="AB527" s="514"/>
      <c r="AC527" s="514"/>
      <c r="AD527" s="514"/>
      <c r="AE527" s="774"/>
      <c r="AF527" s="514"/>
      <c r="AG527" s="897"/>
      <c r="AH527" s="789"/>
      <c r="AI527" s="786">
        <f t="shared" ref="AI527:AI590" si="28">ROUND((SUM(D527:AH527)),2)</f>
        <v>0</v>
      </c>
      <c r="AJ527" s="521">
        <v>0</v>
      </c>
      <c r="AK527" s="520">
        <f t="shared" si="26"/>
        <v>0</v>
      </c>
      <c r="AL527" s="695"/>
      <c r="AM527" s="669">
        <f t="shared" si="27"/>
        <v>0</v>
      </c>
    </row>
    <row r="528" spans="1:39" s="500" customFormat="1" hidden="1">
      <c r="A528" s="539" t="s">
        <v>1006</v>
      </c>
      <c r="B528" s="539" t="s">
        <v>1319</v>
      </c>
      <c r="C528" s="548" t="s">
        <v>40</v>
      </c>
      <c r="D528" s="519"/>
      <c r="E528" s="915"/>
      <c r="F528" s="520"/>
      <c r="G528" s="520"/>
      <c r="H528" s="520"/>
      <c r="I528" s="521"/>
      <c r="J528" s="521"/>
      <c r="K528" s="521"/>
      <c r="L528" s="923"/>
      <c r="M528" s="514"/>
      <c r="N528" s="514"/>
      <c r="O528" s="514"/>
      <c r="P528" s="514"/>
      <c r="Q528" s="514"/>
      <c r="R528" s="514"/>
      <c r="S528" s="923"/>
      <c r="T528" s="514"/>
      <c r="U528" s="514"/>
      <c r="V528" s="514"/>
      <c r="W528" s="514"/>
      <c r="X528" s="514"/>
      <c r="Y528" s="514"/>
      <c r="Z528" s="923"/>
      <c r="AA528" s="514"/>
      <c r="AB528" s="514"/>
      <c r="AC528" s="514"/>
      <c r="AD528" s="514"/>
      <c r="AE528" s="774"/>
      <c r="AF528" s="514"/>
      <c r="AG528" s="897"/>
      <c r="AH528" s="789"/>
      <c r="AI528" s="786">
        <f t="shared" si="28"/>
        <v>0</v>
      </c>
      <c r="AJ528" s="521">
        <v>0</v>
      </c>
      <c r="AK528" s="520">
        <f t="shared" si="26"/>
        <v>0</v>
      </c>
      <c r="AL528" s="695" t="s">
        <v>1739</v>
      </c>
      <c r="AM528" s="669">
        <f t="shared" si="27"/>
        <v>5.9</v>
      </c>
    </row>
    <row r="529" spans="1:39" s="500" customFormat="1" hidden="1">
      <c r="A529" s="539" t="s">
        <v>1007</v>
      </c>
      <c r="B529" s="539" t="s">
        <v>1196</v>
      </c>
      <c r="C529" s="548" t="s">
        <v>37</v>
      </c>
      <c r="D529" s="519"/>
      <c r="E529" s="915"/>
      <c r="F529" s="520"/>
      <c r="G529" s="520"/>
      <c r="H529" s="520"/>
      <c r="I529" s="521"/>
      <c r="J529" s="521"/>
      <c r="K529" s="521"/>
      <c r="L529" s="923"/>
      <c r="M529" s="514"/>
      <c r="N529" s="514"/>
      <c r="O529" s="514"/>
      <c r="P529" s="514"/>
      <c r="Q529" s="514"/>
      <c r="R529" s="514"/>
      <c r="S529" s="923"/>
      <c r="T529" s="514"/>
      <c r="U529" s="514"/>
      <c r="V529" s="514"/>
      <c r="W529" s="514"/>
      <c r="X529" s="514"/>
      <c r="Y529" s="514"/>
      <c r="Z529" s="923"/>
      <c r="AA529" s="514"/>
      <c r="AB529" s="514"/>
      <c r="AC529" s="514"/>
      <c r="AD529" s="514"/>
      <c r="AE529" s="774"/>
      <c r="AF529" s="514"/>
      <c r="AG529" s="897"/>
      <c r="AH529" s="789"/>
      <c r="AI529" s="786">
        <f t="shared" si="28"/>
        <v>0</v>
      </c>
      <c r="AJ529" s="521">
        <v>0</v>
      </c>
      <c r="AK529" s="520">
        <f t="shared" si="26"/>
        <v>0</v>
      </c>
      <c r="AL529" s="695" t="s">
        <v>1678</v>
      </c>
      <c r="AM529" s="669">
        <f t="shared" si="27"/>
        <v>18.920000000000002</v>
      </c>
    </row>
    <row r="530" spans="1:39" s="500" customFormat="1" hidden="1">
      <c r="A530" s="542" t="s">
        <v>1008</v>
      </c>
      <c r="B530" s="542" t="s">
        <v>1291</v>
      </c>
      <c r="C530" s="616"/>
      <c r="D530" s="519"/>
      <c r="E530" s="915"/>
      <c r="F530" s="520"/>
      <c r="G530" s="520"/>
      <c r="H530" s="520"/>
      <c r="I530" s="521"/>
      <c r="J530" s="521"/>
      <c r="K530" s="521"/>
      <c r="L530" s="923"/>
      <c r="M530" s="514"/>
      <c r="N530" s="514"/>
      <c r="O530" s="514"/>
      <c r="P530" s="514"/>
      <c r="Q530" s="514"/>
      <c r="R530" s="514"/>
      <c r="S530" s="923"/>
      <c r="T530" s="514"/>
      <c r="U530" s="514"/>
      <c r="V530" s="514"/>
      <c r="W530" s="514"/>
      <c r="X530" s="514"/>
      <c r="Y530" s="514"/>
      <c r="Z530" s="923"/>
      <c r="AA530" s="514"/>
      <c r="AB530" s="514"/>
      <c r="AC530" s="514"/>
      <c r="AD530" s="514"/>
      <c r="AE530" s="774"/>
      <c r="AF530" s="514"/>
      <c r="AG530" s="897"/>
      <c r="AH530" s="789"/>
      <c r="AI530" s="786">
        <f t="shared" si="28"/>
        <v>0</v>
      </c>
      <c r="AJ530" s="521">
        <v>0</v>
      </c>
      <c r="AK530" s="520">
        <f t="shared" si="26"/>
        <v>0</v>
      </c>
      <c r="AL530" s="695"/>
      <c r="AM530" s="669">
        <f t="shared" si="27"/>
        <v>0</v>
      </c>
    </row>
    <row r="531" spans="1:39" s="500" customFormat="1" hidden="1">
      <c r="A531" s="539" t="s">
        <v>1009</v>
      </c>
      <c r="B531" s="539" t="s">
        <v>1320</v>
      </c>
      <c r="C531" s="548" t="s">
        <v>38</v>
      </c>
      <c r="D531" s="519"/>
      <c r="E531" s="915"/>
      <c r="F531" s="520"/>
      <c r="G531" s="520"/>
      <c r="H531" s="520"/>
      <c r="I531" s="521"/>
      <c r="J531" s="521"/>
      <c r="K531" s="521"/>
      <c r="L531" s="923"/>
      <c r="M531" s="514"/>
      <c r="N531" s="514"/>
      <c r="O531" s="514"/>
      <c r="P531" s="514"/>
      <c r="Q531" s="514"/>
      <c r="R531" s="514"/>
      <c r="S531" s="923"/>
      <c r="T531" s="514"/>
      <c r="U531" s="514"/>
      <c r="V531" s="514"/>
      <c r="W531" s="514"/>
      <c r="X531" s="514"/>
      <c r="Y531" s="514"/>
      <c r="Z531" s="923"/>
      <c r="AA531" s="514"/>
      <c r="AB531" s="514"/>
      <c r="AC531" s="514"/>
      <c r="AD531" s="514"/>
      <c r="AE531" s="774"/>
      <c r="AF531" s="514"/>
      <c r="AG531" s="897"/>
      <c r="AH531" s="789"/>
      <c r="AI531" s="786">
        <f t="shared" si="28"/>
        <v>0</v>
      </c>
      <c r="AJ531" s="521">
        <v>0</v>
      </c>
      <c r="AK531" s="520">
        <f t="shared" si="26"/>
        <v>0</v>
      </c>
      <c r="AL531" s="695" t="s">
        <v>1628</v>
      </c>
      <c r="AM531" s="669">
        <f t="shared" si="27"/>
        <v>90.62</v>
      </c>
    </row>
    <row r="532" spans="1:39" s="500" customFormat="1" hidden="1">
      <c r="A532" s="542" t="s">
        <v>1010</v>
      </c>
      <c r="B532" s="542" t="s">
        <v>1321</v>
      </c>
      <c r="C532" s="616"/>
      <c r="D532" s="519"/>
      <c r="E532" s="915"/>
      <c r="F532" s="520"/>
      <c r="G532" s="520"/>
      <c r="H532" s="520"/>
      <c r="I532" s="521"/>
      <c r="J532" s="521"/>
      <c r="K532" s="521"/>
      <c r="L532" s="923"/>
      <c r="M532" s="514"/>
      <c r="N532" s="514"/>
      <c r="O532" s="514"/>
      <c r="P532" s="514"/>
      <c r="Q532" s="514"/>
      <c r="R532" s="514"/>
      <c r="S532" s="923"/>
      <c r="T532" s="514"/>
      <c r="U532" s="514"/>
      <c r="V532" s="514"/>
      <c r="W532" s="514"/>
      <c r="X532" s="514"/>
      <c r="Y532" s="514"/>
      <c r="Z532" s="923"/>
      <c r="AA532" s="514"/>
      <c r="AB532" s="514"/>
      <c r="AC532" s="514"/>
      <c r="AD532" s="514"/>
      <c r="AE532" s="774"/>
      <c r="AF532" s="514"/>
      <c r="AG532" s="897"/>
      <c r="AH532" s="789"/>
      <c r="AI532" s="786">
        <f t="shared" si="28"/>
        <v>0</v>
      </c>
      <c r="AJ532" s="521">
        <v>0</v>
      </c>
      <c r="AK532" s="520">
        <f t="shared" si="26"/>
        <v>0</v>
      </c>
      <c r="AL532" s="695"/>
      <c r="AM532" s="669">
        <f t="shared" si="27"/>
        <v>0</v>
      </c>
    </row>
    <row r="533" spans="1:39" s="500" customFormat="1" hidden="1">
      <c r="A533" s="539" t="s">
        <v>1011</v>
      </c>
      <c r="B533" s="539" t="s">
        <v>1314</v>
      </c>
      <c r="C533" s="548" t="s">
        <v>38</v>
      </c>
      <c r="D533" s="519"/>
      <c r="E533" s="915"/>
      <c r="F533" s="520"/>
      <c r="G533" s="520"/>
      <c r="H533" s="520"/>
      <c r="I533" s="521"/>
      <c r="J533" s="521"/>
      <c r="K533" s="521"/>
      <c r="L533" s="923"/>
      <c r="M533" s="514"/>
      <c r="N533" s="514"/>
      <c r="O533" s="514"/>
      <c r="P533" s="514"/>
      <c r="Q533" s="514"/>
      <c r="R533" s="514"/>
      <c r="S533" s="923"/>
      <c r="T533" s="514"/>
      <c r="U533" s="514"/>
      <c r="V533" s="514"/>
      <c r="W533" s="514"/>
      <c r="X533" s="514"/>
      <c r="Y533" s="514"/>
      <c r="Z533" s="923"/>
      <c r="AA533" s="514"/>
      <c r="AB533" s="514"/>
      <c r="AC533" s="514"/>
      <c r="AD533" s="514"/>
      <c r="AE533" s="774"/>
      <c r="AF533" s="514"/>
      <c r="AG533" s="897"/>
      <c r="AH533" s="789"/>
      <c r="AI533" s="786">
        <f t="shared" si="28"/>
        <v>0</v>
      </c>
      <c r="AJ533" s="521">
        <v>0</v>
      </c>
      <c r="AK533" s="520">
        <f t="shared" si="26"/>
        <v>0</v>
      </c>
      <c r="AL533" s="695" t="s">
        <v>1740</v>
      </c>
      <c r="AM533" s="669">
        <f t="shared" si="27"/>
        <v>36.799999999999997</v>
      </c>
    </row>
    <row r="534" spans="1:39" s="500" customFormat="1" hidden="1">
      <c r="A534" s="440" t="s">
        <v>1012</v>
      </c>
      <c r="B534" s="543" t="s">
        <v>1322</v>
      </c>
      <c r="C534" s="616"/>
      <c r="D534" s="519"/>
      <c r="E534" s="915"/>
      <c r="F534" s="520"/>
      <c r="G534" s="520"/>
      <c r="H534" s="520"/>
      <c r="I534" s="521"/>
      <c r="J534" s="521"/>
      <c r="K534" s="521"/>
      <c r="L534" s="923"/>
      <c r="M534" s="514"/>
      <c r="N534" s="514"/>
      <c r="O534" s="514"/>
      <c r="P534" s="514"/>
      <c r="Q534" s="514"/>
      <c r="R534" s="514"/>
      <c r="S534" s="923"/>
      <c r="T534" s="514"/>
      <c r="U534" s="514"/>
      <c r="V534" s="514"/>
      <c r="W534" s="514"/>
      <c r="X534" s="514"/>
      <c r="Y534" s="514"/>
      <c r="Z534" s="923"/>
      <c r="AA534" s="514"/>
      <c r="AB534" s="514"/>
      <c r="AC534" s="514"/>
      <c r="AD534" s="514"/>
      <c r="AE534" s="774"/>
      <c r="AF534" s="514"/>
      <c r="AG534" s="897"/>
      <c r="AH534" s="789"/>
      <c r="AI534" s="786">
        <f t="shared" si="28"/>
        <v>0</v>
      </c>
      <c r="AJ534" s="521">
        <v>0</v>
      </c>
      <c r="AK534" s="520">
        <f t="shared" si="26"/>
        <v>0</v>
      </c>
      <c r="AL534" s="695"/>
      <c r="AM534" s="669">
        <f t="shared" si="27"/>
        <v>0</v>
      </c>
    </row>
    <row r="535" spans="1:39" s="500" customFormat="1" hidden="1">
      <c r="A535" s="542" t="s">
        <v>1013</v>
      </c>
      <c r="B535" s="542" t="s">
        <v>1323</v>
      </c>
      <c r="C535" s="616"/>
      <c r="D535" s="519"/>
      <c r="E535" s="915"/>
      <c r="F535" s="520"/>
      <c r="G535" s="520"/>
      <c r="H535" s="520"/>
      <c r="I535" s="521"/>
      <c r="J535" s="521"/>
      <c r="K535" s="521"/>
      <c r="L535" s="923"/>
      <c r="M535" s="514"/>
      <c r="N535" s="514"/>
      <c r="O535" s="514"/>
      <c r="P535" s="514"/>
      <c r="Q535" s="514"/>
      <c r="R535" s="514"/>
      <c r="S535" s="923"/>
      <c r="T535" s="514"/>
      <c r="U535" s="514"/>
      <c r="V535" s="514"/>
      <c r="W535" s="514"/>
      <c r="X535" s="514"/>
      <c r="Y535" s="514"/>
      <c r="Z535" s="923"/>
      <c r="AA535" s="514"/>
      <c r="AB535" s="514"/>
      <c r="AC535" s="514"/>
      <c r="AD535" s="514"/>
      <c r="AE535" s="774"/>
      <c r="AF535" s="514"/>
      <c r="AG535" s="897"/>
      <c r="AH535" s="789"/>
      <c r="AI535" s="786">
        <f t="shared" si="28"/>
        <v>0</v>
      </c>
      <c r="AJ535" s="521">
        <v>0</v>
      </c>
      <c r="AK535" s="520">
        <f t="shared" si="26"/>
        <v>0</v>
      </c>
      <c r="AL535" s="695"/>
      <c r="AM535" s="669">
        <f t="shared" si="27"/>
        <v>0</v>
      </c>
    </row>
    <row r="536" spans="1:39" s="500" customFormat="1" hidden="1">
      <c r="A536" s="539" t="s">
        <v>1014</v>
      </c>
      <c r="B536" s="539" t="s">
        <v>1324</v>
      </c>
      <c r="C536" s="548" t="s">
        <v>37</v>
      </c>
      <c r="D536" s="519"/>
      <c r="E536" s="915"/>
      <c r="F536" s="520"/>
      <c r="G536" s="520"/>
      <c r="H536" s="520"/>
      <c r="I536" s="521"/>
      <c r="J536" s="521"/>
      <c r="K536" s="521"/>
      <c r="L536" s="923"/>
      <c r="M536" s="514"/>
      <c r="N536" s="514"/>
      <c r="O536" s="514"/>
      <c r="P536" s="514"/>
      <c r="Q536" s="514"/>
      <c r="R536" s="514"/>
      <c r="S536" s="923"/>
      <c r="T536" s="514"/>
      <c r="U536" s="514"/>
      <c r="V536" s="514"/>
      <c r="W536" s="514"/>
      <c r="X536" s="514"/>
      <c r="Y536" s="514"/>
      <c r="Z536" s="923"/>
      <c r="AA536" s="514"/>
      <c r="AB536" s="514"/>
      <c r="AC536" s="514"/>
      <c r="AD536" s="514"/>
      <c r="AE536" s="774"/>
      <c r="AF536" s="514"/>
      <c r="AG536" s="897"/>
      <c r="AH536" s="789"/>
      <c r="AI536" s="786">
        <f t="shared" si="28"/>
        <v>0</v>
      </c>
      <c r="AJ536" s="521">
        <v>0</v>
      </c>
      <c r="AK536" s="520">
        <f t="shared" si="26"/>
        <v>0</v>
      </c>
      <c r="AL536" s="695" t="s">
        <v>1741</v>
      </c>
      <c r="AM536" s="669">
        <f t="shared" si="27"/>
        <v>42.32</v>
      </c>
    </row>
    <row r="537" spans="1:39" s="500" customFormat="1" hidden="1">
      <c r="A537" s="539" t="s">
        <v>1015</v>
      </c>
      <c r="B537" s="539" t="s">
        <v>1325</v>
      </c>
      <c r="C537" s="548" t="s">
        <v>37</v>
      </c>
      <c r="D537" s="519"/>
      <c r="E537" s="915"/>
      <c r="F537" s="520"/>
      <c r="G537" s="520"/>
      <c r="H537" s="520"/>
      <c r="I537" s="521"/>
      <c r="J537" s="521"/>
      <c r="K537" s="521"/>
      <c r="L537" s="923"/>
      <c r="M537" s="514"/>
      <c r="N537" s="514"/>
      <c r="O537" s="514"/>
      <c r="P537" s="514"/>
      <c r="Q537" s="514"/>
      <c r="R537" s="514"/>
      <c r="S537" s="923"/>
      <c r="T537" s="514"/>
      <c r="U537" s="514"/>
      <c r="V537" s="514"/>
      <c r="W537" s="514"/>
      <c r="X537" s="514"/>
      <c r="Y537" s="514"/>
      <c r="Z537" s="923"/>
      <c r="AA537" s="514"/>
      <c r="AB537" s="514"/>
      <c r="AC537" s="514"/>
      <c r="AD537" s="514"/>
      <c r="AE537" s="774"/>
      <c r="AF537" s="514"/>
      <c r="AG537" s="897"/>
      <c r="AH537" s="789"/>
      <c r="AI537" s="786">
        <f t="shared" si="28"/>
        <v>0</v>
      </c>
      <c r="AJ537" s="521">
        <v>0</v>
      </c>
      <c r="AK537" s="520">
        <f t="shared" si="26"/>
        <v>0</v>
      </c>
      <c r="AL537" s="695" t="s">
        <v>1741</v>
      </c>
      <c r="AM537" s="669">
        <f t="shared" si="27"/>
        <v>42.32</v>
      </c>
    </row>
    <row r="538" spans="1:39" s="500" customFormat="1" ht="13.5" hidden="1" thickBot="1">
      <c r="A538" s="539" t="s">
        <v>1016</v>
      </c>
      <c r="B538" s="539" t="s">
        <v>1326</v>
      </c>
      <c r="C538" s="548" t="s">
        <v>36</v>
      </c>
      <c r="D538" s="519"/>
      <c r="E538" s="915"/>
      <c r="F538" s="520"/>
      <c r="G538" s="520"/>
      <c r="H538" s="520"/>
      <c r="I538" s="521"/>
      <c r="J538" s="521"/>
      <c r="K538" s="521"/>
      <c r="L538" s="923"/>
      <c r="M538" s="514"/>
      <c r="N538" s="514"/>
      <c r="O538" s="514"/>
      <c r="P538" s="514"/>
      <c r="Q538" s="514"/>
      <c r="R538" s="514"/>
      <c r="S538" s="923"/>
      <c r="T538" s="514"/>
      <c r="U538" s="514"/>
      <c r="V538" s="514"/>
      <c r="W538" s="514"/>
      <c r="X538" s="514"/>
      <c r="Y538" s="514"/>
      <c r="Z538" s="923"/>
      <c r="AA538" s="514"/>
      <c r="AB538" s="514"/>
      <c r="AC538" s="514"/>
      <c r="AD538" s="514"/>
      <c r="AE538" s="774"/>
      <c r="AF538" s="514"/>
      <c r="AG538" s="897"/>
      <c r="AH538" s="789"/>
      <c r="AI538" s="786">
        <f t="shared" si="28"/>
        <v>0</v>
      </c>
      <c r="AJ538" s="521">
        <v>0</v>
      </c>
      <c r="AK538" s="520">
        <f t="shared" si="26"/>
        <v>0</v>
      </c>
      <c r="AL538" s="695" t="s">
        <v>1742</v>
      </c>
      <c r="AM538" s="669">
        <f t="shared" si="27"/>
        <v>10</v>
      </c>
    </row>
    <row r="539" spans="1:39" s="500" customFormat="1" hidden="1">
      <c r="A539" s="541" t="s">
        <v>488</v>
      </c>
      <c r="B539" s="541" t="s">
        <v>1327</v>
      </c>
      <c r="C539" s="616"/>
      <c r="D539" s="519"/>
      <c r="E539" s="915"/>
      <c r="F539" s="520"/>
      <c r="G539" s="520"/>
      <c r="H539" s="520"/>
      <c r="I539" s="521"/>
      <c r="J539" s="521"/>
      <c r="K539" s="521"/>
      <c r="L539" s="923"/>
      <c r="M539" s="514"/>
      <c r="N539" s="514"/>
      <c r="O539" s="514"/>
      <c r="P539" s="514"/>
      <c r="Q539" s="514"/>
      <c r="R539" s="514"/>
      <c r="S539" s="923"/>
      <c r="T539" s="514"/>
      <c r="U539" s="514"/>
      <c r="V539" s="514"/>
      <c r="W539" s="514"/>
      <c r="X539" s="514"/>
      <c r="Y539" s="514"/>
      <c r="Z539" s="923"/>
      <c r="AA539" s="514"/>
      <c r="AB539" s="514"/>
      <c r="AC539" s="514"/>
      <c r="AD539" s="514"/>
      <c r="AE539" s="774"/>
      <c r="AF539" s="514"/>
      <c r="AG539" s="897"/>
      <c r="AH539" s="789"/>
      <c r="AI539" s="786">
        <f t="shared" si="28"/>
        <v>0</v>
      </c>
      <c r="AJ539" s="521">
        <v>0</v>
      </c>
      <c r="AK539" s="520">
        <f t="shared" si="26"/>
        <v>0</v>
      </c>
      <c r="AL539" s="695"/>
      <c r="AM539" s="669">
        <f t="shared" si="27"/>
        <v>0</v>
      </c>
    </row>
    <row r="540" spans="1:39" s="500" customFormat="1" hidden="1">
      <c r="A540" s="440" t="s">
        <v>489</v>
      </c>
      <c r="B540" s="543" t="s">
        <v>1328</v>
      </c>
      <c r="C540" s="616"/>
      <c r="D540" s="519"/>
      <c r="E540" s="915"/>
      <c r="F540" s="520"/>
      <c r="G540" s="520"/>
      <c r="H540" s="520"/>
      <c r="I540" s="521"/>
      <c r="J540" s="521"/>
      <c r="K540" s="521"/>
      <c r="L540" s="923"/>
      <c r="M540" s="514"/>
      <c r="N540" s="514"/>
      <c r="O540" s="514"/>
      <c r="P540" s="514"/>
      <c r="Q540" s="514"/>
      <c r="R540" s="514"/>
      <c r="S540" s="923"/>
      <c r="T540" s="514"/>
      <c r="U540" s="514"/>
      <c r="V540" s="514"/>
      <c r="W540" s="514"/>
      <c r="X540" s="514"/>
      <c r="Y540" s="514"/>
      <c r="Z540" s="923"/>
      <c r="AA540" s="514"/>
      <c r="AB540" s="514"/>
      <c r="AC540" s="514"/>
      <c r="AD540" s="514"/>
      <c r="AE540" s="774"/>
      <c r="AF540" s="514"/>
      <c r="AG540" s="897"/>
      <c r="AH540" s="789"/>
      <c r="AI540" s="786">
        <f t="shared" si="28"/>
        <v>0</v>
      </c>
      <c r="AJ540" s="521">
        <v>0</v>
      </c>
      <c r="AK540" s="520">
        <f t="shared" si="26"/>
        <v>0</v>
      </c>
      <c r="AL540" s="695"/>
      <c r="AM540" s="669">
        <f t="shared" si="27"/>
        <v>0</v>
      </c>
    </row>
    <row r="541" spans="1:39" s="500" customFormat="1" hidden="1">
      <c r="A541" s="542" t="s">
        <v>490</v>
      </c>
      <c r="B541" s="542" t="s">
        <v>1329</v>
      </c>
      <c r="C541" s="548" t="s">
        <v>1450</v>
      </c>
      <c r="D541" s="519"/>
      <c r="E541" s="915"/>
      <c r="F541" s="520"/>
      <c r="G541" s="520"/>
      <c r="H541" s="520"/>
      <c r="I541" s="521"/>
      <c r="J541" s="521"/>
      <c r="K541" s="521"/>
      <c r="L541" s="923"/>
      <c r="M541" s="514"/>
      <c r="N541" s="514"/>
      <c r="O541" s="514"/>
      <c r="P541" s="514"/>
      <c r="Q541" s="514"/>
      <c r="R541" s="514"/>
      <c r="S541" s="923"/>
      <c r="T541" s="514"/>
      <c r="U541" s="514"/>
      <c r="V541" s="514"/>
      <c r="W541" s="514"/>
      <c r="X541" s="514"/>
      <c r="Y541" s="514"/>
      <c r="Z541" s="923"/>
      <c r="AA541" s="514"/>
      <c r="AB541" s="514"/>
      <c r="AC541" s="514"/>
      <c r="AD541" s="514"/>
      <c r="AE541" s="774"/>
      <c r="AF541" s="514"/>
      <c r="AG541" s="897"/>
      <c r="AH541" s="789"/>
      <c r="AI541" s="786">
        <f t="shared" si="28"/>
        <v>0</v>
      </c>
      <c r="AJ541" s="521">
        <v>0</v>
      </c>
      <c r="AK541" s="520">
        <f t="shared" si="26"/>
        <v>0</v>
      </c>
      <c r="AL541" s="695" t="s">
        <v>1671</v>
      </c>
      <c r="AM541" s="669">
        <f t="shared" si="27"/>
        <v>4</v>
      </c>
    </row>
    <row r="542" spans="1:39" s="500" customFormat="1" hidden="1">
      <c r="A542" s="542" t="s">
        <v>491</v>
      </c>
      <c r="B542" s="542" t="s">
        <v>1330</v>
      </c>
      <c r="C542" s="548" t="s">
        <v>1450</v>
      </c>
      <c r="D542" s="519"/>
      <c r="E542" s="915"/>
      <c r="F542" s="520"/>
      <c r="G542" s="520"/>
      <c r="H542" s="520"/>
      <c r="I542" s="521"/>
      <c r="J542" s="521"/>
      <c r="K542" s="521"/>
      <c r="L542" s="923"/>
      <c r="M542" s="514"/>
      <c r="N542" s="514"/>
      <c r="O542" s="514"/>
      <c r="P542" s="514"/>
      <c r="Q542" s="514"/>
      <c r="R542" s="514"/>
      <c r="S542" s="923"/>
      <c r="T542" s="514"/>
      <c r="U542" s="514"/>
      <c r="V542" s="514"/>
      <c r="W542" s="514"/>
      <c r="X542" s="514"/>
      <c r="Y542" s="514"/>
      <c r="Z542" s="923"/>
      <c r="AA542" s="514"/>
      <c r="AB542" s="514"/>
      <c r="AC542" s="514"/>
      <c r="AD542" s="514"/>
      <c r="AE542" s="774"/>
      <c r="AF542" s="514"/>
      <c r="AG542" s="897"/>
      <c r="AH542" s="789"/>
      <c r="AI542" s="786">
        <f t="shared" si="28"/>
        <v>0</v>
      </c>
      <c r="AJ542" s="521">
        <v>0</v>
      </c>
      <c r="AK542" s="520">
        <f t="shared" si="26"/>
        <v>0</v>
      </c>
      <c r="AL542" s="695" t="s">
        <v>1698</v>
      </c>
      <c r="AM542" s="669">
        <f t="shared" si="27"/>
        <v>2</v>
      </c>
    </row>
    <row r="543" spans="1:39" s="500" customFormat="1" hidden="1">
      <c r="A543" s="542" t="s">
        <v>492</v>
      </c>
      <c r="B543" s="542" t="s">
        <v>1331</v>
      </c>
      <c r="C543" s="548" t="s">
        <v>1450</v>
      </c>
      <c r="D543" s="519"/>
      <c r="E543" s="915"/>
      <c r="F543" s="520"/>
      <c r="G543" s="520"/>
      <c r="H543" s="520"/>
      <c r="I543" s="521"/>
      <c r="J543" s="521"/>
      <c r="K543" s="521"/>
      <c r="L543" s="923"/>
      <c r="M543" s="514"/>
      <c r="N543" s="514"/>
      <c r="O543" s="514"/>
      <c r="P543" s="514"/>
      <c r="Q543" s="514"/>
      <c r="R543" s="514"/>
      <c r="S543" s="923"/>
      <c r="T543" s="514"/>
      <c r="U543" s="514"/>
      <c r="V543" s="514"/>
      <c r="W543" s="514"/>
      <c r="X543" s="514"/>
      <c r="Y543" s="514"/>
      <c r="Z543" s="923"/>
      <c r="AA543" s="514"/>
      <c r="AB543" s="514"/>
      <c r="AC543" s="514"/>
      <c r="AD543" s="514"/>
      <c r="AE543" s="774"/>
      <c r="AF543" s="514"/>
      <c r="AG543" s="897"/>
      <c r="AH543" s="789"/>
      <c r="AI543" s="786">
        <f t="shared" si="28"/>
        <v>0</v>
      </c>
      <c r="AJ543" s="521">
        <v>0</v>
      </c>
      <c r="AK543" s="520">
        <f t="shared" si="26"/>
        <v>0</v>
      </c>
      <c r="AL543" s="695" t="s">
        <v>1671</v>
      </c>
      <c r="AM543" s="669">
        <f t="shared" si="27"/>
        <v>4</v>
      </c>
    </row>
    <row r="544" spans="1:39" s="500" customFormat="1" hidden="1">
      <c r="A544" s="542" t="s">
        <v>1017</v>
      </c>
      <c r="B544" s="542" t="s">
        <v>1332</v>
      </c>
      <c r="C544" s="548" t="s">
        <v>1450</v>
      </c>
      <c r="D544" s="519"/>
      <c r="E544" s="915"/>
      <c r="F544" s="520"/>
      <c r="G544" s="520"/>
      <c r="H544" s="520"/>
      <c r="I544" s="521"/>
      <c r="J544" s="521"/>
      <c r="K544" s="521"/>
      <c r="L544" s="923"/>
      <c r="M544" s="514"/>
      <c r="N544" s="514"/>
      <c r="O544" s="514"/>
      <c r="P544" s="514"/>
      <c r="Q544" s="514"/>
      <c r="R544" s="514"/>
      <c r="S544" s="923"/>
      <c r="T544" s="514"/>
      <c r="U544" s="514"/>
      <c r="V544" s="514"/>
      <c r="W544" s="514"/>
      <c r="X544" s="514"/>
      <c r="Y544" s="514"/>
      <c r="Z544" s="923"/>
      <c r="AA544" s="514"/>
      <c r="AB544" s="514"/>
      <c r="AC544" s="514"/>
      <c r="AD544" s="514"/>
      <c r="AE544" s="774"/>
      <c r="AF544" s="514"/>
      <c r="AG544" s="897"/>
      <c r="AH544" s="789"/>
      <c r="AI544" s="786">
        <f t="shared" si="28"/>
        <v>0</v>
      </c>
      <c r="AJ544" s="521">
        <v>0</v>
      </c>
      <c r="AK544" s="520">
        <f t="shared" si="26"/>
        <v>0</v>
      </c>
      <c r="AL544" s="695" t="s">
        <v>1698</v>
      </c>
      <c r="AM544" s="669">
        <f t="shared" si="27"/>
        <v>2</v>
      </c>
    </row>
    <row r="545" spans="1:39" s="500" customFormat="1" hidden="1">
      <c r="A545" s="542" t="s">
        <v>1018</v>
      </c>
      <c r="B545" s="542" t="s">
        <v>1333</v>
      </c>
      <c r="C545" s="548" t="s">
        <v>1450</v>
      </c>
      <c r="D545" s="519"/>
      <c r="E545" s="915"/>
      <c r="F545" s="520"/>
      <c r="G545" s="520"/>
      <c r="H545" s="520"/>
      <c r="I545" s="521"/>
      <c r="J545" s="521"/>
      <c r="K545" s="521"/>
      <c r="L545" s="923"/>
      <c r="M545" s="514"/>
      <c r="N545" s="514"/>
      <c r="O545" s="514"/>
      <c r="P545" s="514"/>
      <c r="Q545" s="514"/>
      <c r="R545" s="514"/>
      <c r="S545" s="923"/>
      <c r="T545" s="514"/>
      <c r="U545" s="514"/>
      <c r="V545" s="514"/>
      <c r="W545" s="514"/>
      <c r="X545" s="514"/>
      <c r="Y545" s="514"/>
      <c r="Z545" s="923"/>
      <c r="AA545" s="514"/>
      <c r="AB545" s="514"/>
      <c r="AC545" s="514"/>
      <c r="AD545" s="514"/>
      <c r="AE545" s="774"/>
      <c r="AF545" s="514"/>
      <c r="AG545" s="897"/>
      <c r="AH545" s="789"/>
      <c r="AI545" s="786">
        <f t="shared" si="28"/>
        <v>0</v>
      </c>
      <c r="AJ545" s="521">
        <v>0</v>
      </c>
      <c r="AK545" s="520">
        <f t="shared" si="26"/>
        <v>0</v>
      </c>
      <c r="AL545" s="695" t="s">
        <v>1455</v>
      </c>
      <c r="AM545" s="669">
        <f t="shared" si="27"/>
        <v>1</v>
      </c>
    </row>
    <row r="546" spans="1:39" s="500" customFormat="1" hidden="1">
      <c r="A546" s="542" t="s">
        <v>1019</v>
      </c>
      <c r="B546" s="542" t="s">
        <v>1334</v>
      </c>
      <c r="C546" s="548" t="s">
        <v>1450</v>
      </c>
      <c r="D546" s="519"/>
      <c r="E546" s="915"/>
      <c r="F546" s="520"/>
      <c r="G546" s="520"/>
      <c r="H546" s="520"/>
      <c r="I546" s="521"/>
      <c r="J546" s="521"/>
      <c r="K546" s="521"/>
      <c r="L546" s="923"/>
      <c r="M546" s="514"/>
      <c r="N546" s="514"/>
      <c r="O546" s="514"/>
      <c r="P546" s="514"/>
      <c r="Q546" s="514"/>
      <c r="R546" s="514"/>
      <c r="S546" s="923"/>
      <c r="T546" s="514"/>
      <c r="U546" s="514"/>
      <c r="V546" s="514"/>
      <c r="W546" s="514"/>
      <c r="X546" s="514"/>
      <c r="Y546" s="514"/>
      <c r="Z546" s="923"/>
      <c r="AA546" s="514"/>
      <c r="AB546" s="514"/>
      <c r="AC546" s="514"/>
      <c r="AD546" s="514"/>
      <c r="AE546" s="774"/>
      <c r="AF546" s="514"/>
      <c r="AG546" s="897"/>
      <c r="AH546" s="789"/>
      <c r="AI546" s="786">
        <f t="shared" si="28"/>
        <v>0</v>
      </c>
      <c r="AJ546" s="521">
        <v>0</v>
      </c>
      <c r="AK546" s="520">
        <f t="shared" si="26"/>
        <v>0</v>
      </c>
      <c r="AL546" s="695" t="s">
        <v>1617</v>
      </c>
      <c r="AM546" s="669">
        <f t="shared" si="27"/>
        <v>6</v>
      </c>
    </row>
    <row r="547" spans="1:39" s="500" customFormat="1" hidden="1">
      <c r="A547" s="542" t="s">
        <v>1020</v>
      </c>
      <c r="B547" s="542" t="s">
        <v>1335</v>
      </c>
      <c r="C547" s="548" t="s">
        <v>1450</v>
      </c>
      <c r="D547" s="519"/>
      <c r="E547" s="915"/>
      <c r="F547" s="520"/>
      <c r="G547" s="520"/>
      <c r="H547" s="520"/>
      <c r="I547" s="521"/>
      <c r="J547" s="521"/>
      <c r="K547" s="521"/>
      <c r="L547" s="923"/>
      <c r="M547" s="514"/>
      <c r="N547" s="514"/>
      <c r="O547" s="514"/>
      <c r="P547" s="514"/>
      <c r="Q547" s="514"/>
      <c r="R547" s="514"/>
      <c r="S547" s="923"/>
      <c r="T547" s="514"/>
      <c r="U547" s="514"/>
      <c r="V547" s="514"/>
      <c r="W547" s="514"/>
      <c r="X547" s="514"/>
      <c r="Y547" s="514"/>
      <c r="Z547" s="923"/>
      <c r="AA547" s="514"/>
      <c r="AB547" s="514"/>
      <c r="AC547" s="514"/>
      <c r="AD547" s="514"/>
      <c r="AE547" s="774"/>
      <c r="AF547" s="514"/>
      <c r="AG547" s="897"/>
      <c r="AH547" s="789"/>
      <c r="AI547" s="786">
        <f t="shared" si="28"/>
        <v>0</v>
      </c>
      <c r="AJ547" s="521">
        <v>0</v>
      </c>
      <c r="AK547" s="520">
        <f t="shared" si="26"/>
        <v>0</v>
      </c>
      <c r="AL547" s="695" t="s">
        <v>1671</v>
      </c>
      <c r="AM547" s="669">
        <f t="shared" si="27"/>
        <v>4</v>
      </c>
    </row>
    <row r="548" spans="1:39" s="500" customFormat="1" hidden="1">
      <c r="A548" s="542" t="s">
        <v>1021</v>
      </c>
      <c r="B548" s="542" t="s">
        <v>1336</v>
      </c>
      <c r="C548" s="548" t="s">
        <v>1451</v>
      </c>
      <c r="D548" s="519"/>
      <c r="E548" s="915"/>
      <c r="F548" s="520"/>
      <c r="G548" s="520"/>
      <c r="H548" s="520"/>
      <c r="I548" s="521"/>
      <c r="J548" s="521"/>
      <c r="K548" s="521"/>
      <c r="L548" s="923"/>
      <c r="M548" s="514"/>
      <c r="N548" s="514"/>
      <c r="O548" s="514"/>
      <c r="P548" s="514"/>
      <c r="Q548" s="514"/>
      <c r="R548" s="514"/>
      <c r="S548" s="923"/>
      <c r="T548" s="514"/>
      <c r="U548" s="514"/>
      <c r="V548" s="514"/>
      <c r="W548" s="514"/>
      <c r="X548" s="514"/>
      <c r="Y548" s="514"/>
      <c r="Z548" s="923"/>
      <c r="AA548" s="514"/>
      <c r="AB548" s="514"/>
      <c r="AC548" s="514"/>
      <c r="AD548" s="514"/>
      <c r="AE548" s="774"/>
      <c r="AF548" s="514"/>
      <c r="AG548" s="897"/>
      <c r="AH548" s="789"/>
      <c r="AI548" s="786">
        <f t="shared" si="28"/>
        <v>0</v>
      </c>
      <c r="AJ548" s="521">
        <v>0</v>
      </c>
      <c r="AK548" s="520">
        <f t="shared" si="26"/>
        <v>0</v>
      </c>
      <c r="AL548" s="695" t="s">
        <v>1455</v>
      </c>
      <c r="AM548" s="669">
        <f t="shared" si="27"/>
        <v>1</v>
      </c>
    </row>
    <row r="549" spans="1:39" s="500" customFormat="1" hidden="1">
      <c r="A549" s="542" t="s">
        <v>1022</v>
      </c>
      <c r="B549" s="542" t="s">
        <v>1337</v>
      </c>
      <c r="C549" s="548" t="s">
        <v>41</v>
      </c>
      <c r="D549" s="519"/>
      <c r="E549" s="915"/>
      <c r="F549" s="520"/>
      <c r="G549" s="520"/>
      <c r="H549" s="520"/>
      <c r="I549" s="521"/>
      <c r="J549" s="521"/>
      <c r="K549" s="521"/>
      <c r="L549" s="923"/>
      <c r="M549" s="514"/>
      <c r="N549" s="514"/>
      <c r="O549" s="514"/>
      <c r="P549" s="514"/>
      <c r="Q549" s="514"/>
      <c r="R549" s="514"/>
      <c r="S549" s="923"/>
      <c r="T549" s="514"/>
      <c r="U549" s="514"/>
      <c r="V549" s="514"/>
      <c r="W549" s="514"/>
      <c r="X549" s="514"/>
      <c r="Y549" s="514"/>
      <c r="Z549" s="923"/>
      <c r="AA549" s="514"/>
      <c r="AB549" s="514"/>
      <c r="AC549" s="514"/>
      <c r="AD549" s="514"/>
      <c r="AE549" s="774"/>
      <c r="AF549" s="514"/>
      <c r="AG549" s="897"/>
      <c r="AH549" s="789"/>
      <c r="AI549" s="786">
        <f t="shared" si="28"/>
        <v>0</v>
      </c>
      <c r="AJ549" s="521">
        <v>0</v>
      </c>
      <c r="AK549" s="520">
        <f t="shared" si="26"/>
        <v>0</v>
      </c>
      <c r="AL549" s="695" t="s">
        <v>1455</v>
      </c>
      <c r="AM549" s="669">
        <f t="shared" si="27"/>
        <v>1</v>
      </c>
    </row>
    <row r="550" spans="1:39" s="500" customFormat="1" hidden="1">
      <c r="A550" s="542" t="s">
        <v>1023</v>
      </c>
      <c r="B550" s="542" t="s">
        <v>1338</v>
      </c>
      <c r="C550" s="548" t="s">
        <v>1450</v>
      </c>
      <c r="D550" s="519"/>
      <c r="E550" s="915"/>
      <c r="F550" s="520"/>
      <c r="G550" s="520"/>
      <c r="H550" s="520"/>
      <c r="I550" s="521"/>
      <c r="J550" s="521"/>
      <c r="K550" s="521"/>
      <c r="L550" s="923"/>
      <c r="M550" s="514"/>
      <c r="N550" s="514"/>
      <c r="O550" s="514"/>
      <c r="P550" s="514"/>
      <c r="Q550" s="514"/>
      <c r="R550" s="514"/>
      <c r="S550" s="923"/>
      <c r="T550" s="514"/>
      <c r="U550" s="514"/>
      <c r="V550" s="514"/>
      <c r="W550" s="514"/>
      <c r="X550" s="514"/>
      <c r="Y550" s="514"/>
      <c r="Z550" s="923"/>
      <c r="AA550" s="514"/>
      <c r="AB550" s="514"/>
      <c r="AC550" s="514"/>
      <c r="AD550" s="514"/>
      <c r="AE550" s="774"/>
      <c r="AF550" s="514"/>
      <c r="AG550" s="897"/>
      <c r="AH550" s="789"/>
      <c r="AI550" s="786">
        <f t="shared" si="28"/>
        <v>0</v>
      </c>
      <c r="AJ550" s="521">
        <v>0</v>
      </c>
      <c r="AK550" s="520">
        <f t="shared" si="26"/>
        <v>0</v>
      </c>
      <c r="AL550" s="695" t="s">
        <v>1455</v>
      </c>
      <c r="AM550" s="669">
        <f t="shared" si="27"/>
        <v>1</v>
      </c>
    </row>
    <row r="551" spans="1:39" s="500" customFormat="1" hidden="1">
      <c r="A551" s="542" t="s">
        <v>1024</v>
      </c>
      <c r="B551" s="542" t="s">
        <v>1339</v>
      </c>
      <c r="C551" s="548" t="s">
        <v>1451</v>
      </c>
      <c r="D551" s="519"/>
      <c r="E551" s="915"/>
      <c r="F551" s="520"/>
      <c r="G551" s="520"/>
      <c r="H551" s="520"/>
      <c r="I551" s="521"/>
      <c r="J551" s="521"/>
      <c r="K551" s="521"/>
      <c r="L551" s="923"/>
      <c r="M551" s="514"/>
      <c r="N551" s="514"/>
      <c r="O551" s="514"/>
      <c r="P551" s="514"/>
      <c r="Q551" s="514"/>
      <c r="R551" s="514"/>
      <c r="S551" s="923"/>
      <c r="T551" s="514"/>
      <c r="U551" s="514"/>
      <c r="V551" s="514"/>
      <c r="W551" s="514"/>
      <c r="X551" s="514"/>
      <c r="Y551" s="514"/>
      <c r="Z551" s="923"/>
      <c r="AA551" s="514"/>
      <c r="AB551" s="514"/>
      <c r="AC551" s="514"/>
      <c r="AD551" s="514"/>
      <c r="AE551" s="774"/>
      <c r="AF551" s="514"/>
      <c r="AG551" s="897"/>
      <c r="AH551" s="789"/>
      <c r="AI551" s="786">
        <f t="shared" si="28"/>
        <v>0</v>
      </c>
      <c r="AJ551" s="521">
        <v>0</v>
      </c>
      <c r="AK551" s="520">
        <f t="shared" si="26"/>
        <v>0</v>
      </c>
      <c r="AL551" s="695" t="s">
        <v>1743</v>
      </c>
      <c r="AM551" s="669">
        <f t="shared" si="27"/>
        <v>19</v>
      </c>
    </row>
    <row r="552" spans="1:39" s="500" customFormat="1" hidden="1">
      <c r="A552" s="440" t="s">
        <v>493</v>
      </c>
      <c r="B552" s="543" t="s">
        <v>1340</v>
      </c>
      <c r="C552" s="616"/>
      <c r="D552" s="519"/>
      <c r="E552" s="915"/>
      <c r="F552" s="520"/>
      <c r="G552" s="520"/>
      <c r="H552" s="520"/>
      <c r="I552" s="521"/>
      <c r="J552" s="521"/>
      <c r="K552" s="521"/>
      <c r="L552" s="923"/>
      <c r="M552" s="514"/>
      <c r="N552" s="514"/>
      <c r="O552" s="514"/>
      <c r="P552" s="514"/>
      <c r="Q552" s="514"/>
      <c r="R552" s="514"/>
      <c r="S552" s="923"/>
      <c r="T552" s="514"/>
      <c r="U552" s="514"/>
      <c r="V552" s="514"/>
      <c r="W552" s="514"/>
      <c r="X552" s="514"/>
      <c r="Y552" s="514"/>
      <c r="Z552" s="923"/>
      <c r="AA552" s="514"/>
      <c r="AB552" s="514"/>
      <c r="AC552" s="514"/>
      <c r="AD552" s="514"/>
      <c r="AE552" s="774"/>
      <c r="AF552" s="514"/>
      <c r="AG552" s="897"/>
      <c r="AH552" s="789"/>
      <c r="AI552" s="786">
        <f t="shared" si="28"/>
        <v>0</v>
      </c>
      <c r="AJ552" s="521">
        <v>0</v>
      </c>
      <c r="AK552" s="520">
        <f t="shared" si="26"/>
        <v>0</v>
      </c>
      <c r="AL552" s="695"/>
      <c r="AM552" s="669">
        <f t="shared" si="27"/>
        <v>0</v>
      </c>
    </row>
    <row r="553" spans="1:39" s="500" customFormat="1" hidden="1">
      <c r="A553" s="542" t="s">
        <v>494</v>
      </c>
      <c r="B553" s="542" t="s">
        <v>1341</v>
      </c>
      <c r="C553" s="548" t="s">
        <v>1452</v>
      </c>
      <c r="D553" s="519"/>
      <c r="E553" s="915"/>
      <c r="F553" s="520"/>
      <c r="G553" s="520"/>
      <c r="H553" s="520"/>
      <c r="I553" s="521"/>
      <c r="J553" s="521"/>
      <c r="K553" s="521"/>
      <c r="L553" s="923"/>
      <c r="M553" s="514"/>
      <c r="N553" s="514"/>
      <c r="O553" s="514"/>
      <c r="P553" s="514"/>
      <c r="Q553" s="514"/>
      <c r="R553" s="514"/>
      <c r="S553" s="923"/>
      <c r="T553" s="514"/>
      <c r="U553" s="514"/>
      <c r="V553" s="514"/>
      <c r="W553" s="514"/>
      <c r="X553" s="514"/>
      <c r="Y553" s="514"/>
      <c r="Z553" s="923"/>
      <c r="AA553" s="514"/>
      <c r="AB553" s="514"/>
      <c r="AC553" s="514"/>
      <c r="AD553" s="514"/>
      <c r="AE553" s="774"/>
      <c r="AF553" s="514"/>
      <c r="AG553" s="897"/>
      <c r="AH553" s="789"/>
      <c r="AI553" s="786">
        <f t="shared" si="28"/>
        <v>0</v>
      </c>
      <c r="AJ553" s="521">
        <v>0</v>
      </c>
      <c r="AK553" s="520">
        <f t="shared" si="26"/>
        <v>0</v>
      </c>
      <c r="AL553" s="695" t="s">
        <v>1671</v>
      </c>
      <c r="AM553" s="669">
        <f t="shared" si="27"/>
        <v>4</v>
      </c>
    </row>
    <row r="554" spans="1:39" s="500" customFormat="1" hidden="1">
      <c r="A554" s="542" t="s">
        <v>495</v>
      </c>
      <c r="B554" s="542" t="s">
        <v>1342</v>
      </c>
      <c r="C554" s="548" t="s">
        <v>1452</v>
      </c>
      <c r="D554" s="519"/>
      <c r="E554" s="915"/>
      <c r="F554" s="520"/>
      <c r="G554" s="520"/>
      <c r="H554" s="520"/>
      <c r="I554" s="521"/>
      <c r="J554" s="521"/>
      <c r="K554" s="521"/>
      <c r="L554" s="923"/>
      <c r="M554" s="514"/>
      <c r="N554" s="514"/>
      <c r="O554" s="514"/>
      <c r="P554" s="514"/>
      <c r="Q554" s="514"/>
      <c r="R554" s="514"/>
      <c r="S554" s="923"/>
      <c r="T554" s="514"/>
      <c r="U554" s="514"/>
      <c r="V554" s="514"/>
      <c r="W554" s="514"/>
      <c r="X554" s="514"/>
      <c r="Y554" s="514"/>
      <c r="Z554" s="923"/>
      <c r="AA554" s="514"/>
      <c r="AB554" s="514"/>
      <c r="AC554" s="514"/>
      <c r="AD554" s="514"/>
      <c r="AE554" s="774"/>
      <c r="AF554" s="514"/>
      <c r="AG554" s="897"/>
      <c r="AH554" s="789"/>
      <c r="AI554" s="786">
        <f t="shared" si="28"/>
        <v>0</v>
      </c>
      <c r="AJ554" s="521">
        <v>0</v>
      </c>
      <c r="AK554" s="520">
        <f t="shared" si="26"/>
        <v>0</v>
      </c>
      <c r="AL554" s="695" t="s">
        <v>1617</v>
      </c>
      <c r="AM554" s="669">
        <f t="shared" si="27"/>
        <v>6</v>
      </c>
    </row>
    <row r="555" spans="1:39" s="500" customFormat="1" hidden="1">
      <c r="A555" s="542" t="s">
        <v>496</v>
      </c>
      <c r="B555" s="542" t="s">
        <v>1343</v>
      </c>
      <c r="C555" s="548" t="s">
        <v>1452</v>
      </c>
      <c r="D555" s="519"/>
      <c r="E555" s="915"/>
      <c r="F555" s="520"/>
      <c r="G555" s="520"/>
      <c r="H555" s="520"/>
      <c r="I555" s="521"/>
      <c r="J555" s="521"/>
      <c r="K555" s="521"/>
      <c r="L555" s="923"/>
      <c r="M555" s="514"/>
      <c r="N555" s="514"/>
      <c r="O555" s="514"/>
      <c r="P555" s="514"/>
      <c r="Q555" s="514"/>
      <c r="R555" s="514"/>
      <c r="S555" s="923"/>
      <c r="T555" s="514"/>
      <c r="U555" s="514"/>
      <c r="V555" s="514"/>
      <c r="W555" s="514"/>
      <c r="X555" s="514"/>
      <c r="Y555" s="514"/>
      <c r="Z555" s="923"/>
      <c r="AA555" s="514"/>
      <c r="AB555" s="514"/>
      <c r="AC555" s="514"/>
      <c r="AD555" s="514"/>
      <c r="AE555" s="774"/>
      <c r="AF555" s="514"/>
      <c r="AG555" s="897"/>
      <c r="AH555" s="789"/>
      <c r="AI555" s="786">
        <f t="shared" si="28"/>
        <v>0</v>
      </c>
      <c r="AJ555" s="521">
        <v>0</v>
      </c>
      <c r="AK555" s="520">
        <f t="shared" si="26"/>
        <v>0</v>
      </c>
      <c r="AL555" s="695" t="s">
        <v>1742</v>
      </c>
      <c r="AM555" s="669">
        <f t="shared" si="27"/>
        <v>10</v>
      </c>
    </row>
    <row r="556" spans="1:39" s="500" customFormat="1" hidden="1">
      <c r="A556" s="542" t="s">
        <v>1025</v>
      </c>
      <c r="B556" s="542" t="s">
        <v>1344</v>
      </c>
      <c r="C556" s="548" t="s">
        <v>38</v>
      </c>
      <c r="D556" s="519"/>
      <c r="E556" s="915"/>
      <c r="F556" s="520"/>
      <c r="G556" s="520"/>
      <c r="H556" s="520"/>
      <c r="I556" s="521"/>
      <c r="J556" s="521"/>
      <c r="K556" s="521"/>
      <c r="L556" s="923"/>
      <c r="M556" s="514"/>
      <c r="N556" s="514"/>
      <c r="O556" s="514"/>
      <c r="P556" s="514"/>
      <c r="Q556" s="514"/>
      <c r="R556" s="514"/>
      <c r="S556" s="923"/>
      <c r="T556" s="514"/>
      <c r="U556" s="514"/>
      <c r="V556" s="514"/>
      <c r="W556" s="514"/>
      <c r="X556" s="514"/>
      <c r="Y556" s="514"/>
      <c r="Z556" s="923"/>
      <c r="AA556" s="514"/>
      <c r="AB556" s="514"/>
      <c r="AC556" s="514"/>
      <c r="AD556" s="514"/>
      <c r="AE556" s="774"/>
      <c r="AF556" s="514"/>
      <c r="AG556" s="897"/>
      <c r="AH556" s="789"/>
      <c r="AI556" s="786">
        <f t="shared" si="28"/>
        <v>0</v>
      </c>
      <c r="AJ556" s="521">
        <v>0</v>
      </c>
      <c r="AK556" s="520">
        <f t="shared" si="26"/>
        <v>0</v>
      </c>
      <c r="AL556" s="695" t="s">
        <v>1744</v>
      </c>
      <c r="AM556" s="669">
        <f t="shared" si="27"/>
        <v>32.450000000000003</v>
      </c>
    </row>
    <row r="557" spans="1:39" s="500" customFormat="1" hidden="1">
      <c r="A557" s="542" t="s">
        <v>1026</v>
      </c>
      <c r="B557" s="542" t="s">
        <v>1345</v>
      </c>
      <c r="C557" s="548" t="s">
        <v>38</v>
      </c>
      <c r="D557" s="519"/>
      <c r="E557" s="915"/>
      <c r="F557" s="520"/>
      <c r="G557" s="520"/>
      <c r="H557" s="520"/>
      <c r="I557" s="521"/>
      <c r="J557" s="521"/>
      <c r="K557" s="521"/>
      <c r="L557" s="923"/>
      <c r="M557" s="514"/>
      <c r="N557" s="514"/>
      <c r="O557" s="514"/>
      <c r="P557" s="514"/>
      <c r="Q557" s="514"/>
      <c r="R557" s="514"/>
      <c r="S557" s="923"/>
      <c r="T557" s="514"/>
      <c r="U557" s="514"/>
      <c r="V557" s="514"/>
      <c r="W557" s="514"/>
      <c r="X557" s="514"/>
      <c r="Y557" s="514"/>
      <c r="Z557" s="923"/>
      <c r="AA557" s="514"/>
      <c r="AB557" s="514"/>
      <c r="AC557" s="514"/>
      <c r="AD557" s="514"/>
      <c r="AE557" s="774"/>
      <c r="AF557" s="514"/>
      <c r="AG557" s="897"/>
      <c r="AH557" s="789"/>
      <c r="AI557" s="786">
        <f t="shared" si="28"/>
        <v>0</v>
      </c>
      <c r="AJ557" s="521">
        <v>0</v>
      </c>
      <c r="AK557" s="520">
        <f t="shared" si="26"/>
        <v>0</v>
      </c>
      <c r="AL557" s="695" t="s">
        <v>1745</v>
      </c>
      <c r="AM557" s="669">
        <f t="shared" si="27"/>
        <v>45.55</v>
      </c>
    </row>
    <row r="558" spans="1:39" s="500" customFormat="1" hidden="1">
      <c r="A558" s="542" t="s">
        <v>1027</v>
      </c>
      <c r="B558" s="542" t="s">
        <v>1346</v>
      </c>
      <c r="C558" s="548" t="s">
        <v>1450</v>
      </c>
      <c r="D558" s="519"/>
      <c r="E558" s="915"/>
      <c r="F558" s="520"/>
      <c r="G558" s="520"/>
      <c r="H558" s="520"/>
      <c r="I558" s="521"/>
      <c r="J558" s="521"/>
      <c r="K558" s="521"/>
      <c r="L558" s="923"/>
      <c r="M558" s="514"/>
      <c r="N558" s="514"/>
      <c r="O558" s="514"/>
      <c r="P558" s="514"/>
      <c r="Q558" s="514"/>
      <c r="R558" s="514"/>
      <c r="S558" s="923"/>
      <c r="T558" s="514"/>
      <c r="U558" s="514"/>
      <c r="V558" s="514"/>
      <c r="W558" s="514"/>
      <c r="X558" s="514"/>
      <c r="Y558" s="514"/>
      <c r="Z558" s="923"/>
      <c r="AA558" s="514"/>
      <c r="AB558" s="514"/>
      <c r="AC558" s="514"/>
      <c r="AD558" s="514"/>
      <c r="AE558" s="774"/>
      <c r="AF558" s="514"/>
      <c r="AG558" s="897"/>
      <c r="AH558" s="789"/>
      <c r="AI558" s="786">
        <f t="shared" si="28"/>
        <v>0</v>
      </c>
      <c r="AJ558" s="521">
        <v>0</v>
      </c>
      <c r="AK558" s="520">
        <f t="shared" si="26"/>
        <v>0</v>
      </c>
      <c r="AL558" s="695" t="s">
        <v>1671</v>
      </c>
      <c r="AM558" s="669">
        <f t="shared" si="27"/>
        <v>4</v>
      </c>
    </row>
    <row r="559" spans="1:39" s="500" customFormat="1" hidden="1">
      <c r="A559" s="542" t="s">
        <v>1028</v>
      </c>
      <c r="B559" s="542" t="s">
        <v>1347</v>
      </c>
      <c r="C559" s="548" t="s">
        <v>1450</v>
      </c>
      <c r="D559" s="519"/>
      <c r="E559" s="915"/>
      <c r="F559" s="520"/>
      <c r="G559" s="520"/>
      <c r="H559" s="520"/>
      <c r="I559" s="521"/>
      <c r="J559" s="521"/>
      <c r="K559" s="521"/>
      <c r="L559" s="923"/>
      <c r="M559" s="514"/>
      <c r="N559" s="514"/>
      <c r="O559" s="514"/>
      <c r="P559" s="514"/>
      <c r="Q559" s="514"/>
      <c r="R559" s="514"/>
      <c r="S559" s="923"/>
      <c r="T559" s="514"/>
      <c r="U559" s="514"/>
      <c r="V559" s="514"/>
      <c r="W559" s="514"/>
      <c r="X559" s="514"/>
      <c r="Y559" s="514"/>
      <c r="Z559" s="923"/>
      <c r="AA559" s="514"/>
      <c r="AB559" s="514"/>
      <c r="AC559" s="514"/>
      <c r="AD559" s="514"/>
      <c r="AE559" s="774"/>
      <c r="AF559" s="514"/>
      <c r="AG559" s="897"/>
      <c r="AH559" s="789"/>
      <c r="AI559" s="786">
        <f t="shared" si="28"/>
        <v>0</v>
      </c>
      <c r="AJ559" s="521">
        <v>0</v>
      </c>
      <c r="AK559" s="520">
        <f t="shared" si="26"/>
        <v>0</v>
      </c>
      <c r="AL559" s="695" t="s">
        <v>1698</v>
      </c>
      <c r="AM559" s="669">
        <f t="shared" si="27"/>
        <v>2</v>
      </c>
    </row>
    <row r="560" spans="1:39" s="500" customFormat="1" hidden="1">
      <c r="A560" s="542" t="s">
        <v>1029</v>
      </c>
      <c r="B560" s="542" t="s">
        <v>1348</v>
      </c>
      <c r="C560" s="548" t="s">
        <v>1450</v>
      </c>
      <c r="D560" s="519"/>
      <c r="E560" s="915"/>
      <c r="F560" s="520"/>
      <c r="G560" s="520"/>
      <c r="H560" s="520"/>
      <c r="I560" s="521"/>
      <c r="J560" s="521"/>
      <c r="K560" s="521"/>
      <c r="L560" s="923"/>
      <c r="M560" s="514"/>
      <c r="N560" s="514"/>
      <c r="O560" s="514"/>
      <c r="P560" s="514"/>
      <c r="Q560" s="514"/>
      <c r="R560" s="514"/>
      <c r="S560" s="923"/>
      <c r="T560" s="514"/>
      <c r="U560" s="514"/>
      <c r="V560" s="514"/>
      <c r="W560" s="514"/>
      <c r="X560" s="514"/>
      <c r="Y560" s="514"/>
      <c r="Z560" s="923"/>
      <c r="AA560" s="514"/>
      <c r="AB560" s="514"/>
      <c r="AC560" s="514"/>
      <c r="AD560" s="514"/>
      <c r="AE560" s="774"/>
      <c r="AF560" s="514"/>
      <c r="AG560" s="897"/>
      <c r="AH560" s="789"/>
      <c r="AI560" s="786">
        <f t="shared" si="28"/>
        <v>0</v>
      </c>
      <c r="AJ560" s="521">
        <v>0</v>
      </c>
      <c r="AK560" s="520">
        <f t="shared" si="26"/>
        <v>0</v>
      </c>
      <c r="AL560" s="695" t="s">
        <v>1617</v>
      </c>
      <c r="AM560" s="669">
        <f t="shared" si="27"/>
        <v>6</v>
      </c>
    </row>
    <row r="561" spans="1:39" s="500" customFormat="1" hidden="1">
      <c r="A561" s="542" t="s">
        <v>1030</v>
      </c>
      <c r="B561" s="542" t="s">
        <v>1349</v>
      </c>
      <c r="C561" s="548" t="s">
        <v>1450</v>
      </c>
      <c r="D561" s="519"/>
      <c r="E561" s="915"/>
      <c r="F561" s="520"/>
      <c r="G561" s="520"/>
      <c r="H561" s="520"/>
      <c r="I561" s="521"/>
      <c r="J561" s="521"/>
      <c r="K561" s="521"/>
      <c r="L561" s="923"/>
      <c r="M561" s="514"/>
      <c r="N561" s="514"/>
      <c r="O561" s="514"/>
      <c r="P561" s="514"/>
      <c r="Q561" s="514"/>
      <c r="R561" s="514"/>
      <c r="S561" s="923"/>
      <c r="T561" s="514"/>
      <c r="U561" s="514"/>
      <c r="V561" s="514"/>
      <c r="W561" s="514"/>
      <c r="X561" s="514"/>
      <c r="Y561" s="514"/>
      <c r="Z561" s="923"/>
      <c r="AA561" s="514"/>
      <c r="AB561" s="514"/>
      <c r="AC561" s="514"/>
      <c r="AD561" s="514"/>
      <c r="AE561" s="774"/>
      <c r="AF561" s="514"/>
      <c r="AG561" s="897"/>
      <c r="AH561" s="789"/>
      <c r="AI561" s="786">
        <f t="shared" si="28"/>
        <v>0</v>
      </c>
      <c r="AJ561" s="521">
        <v>0</v>
      </c>
      <c r="AK561" s="520">
        <f t="shared" si="26"/>
        <v>0</v>
      </c>
      <c r="AL561" s="695" t="s">
        <v>1617</v>
      </c>
      <c r="AM561" s="669">
        <f t="shared" si="27"/>
        <v>6</v>
      </c>
    </row>
    <row r="562" spans="1:39" s="500" customFormat="1" hidden="1">
      <c r="A562" s="542" t="s">
        <v>1031</v>
      </c>
      <c r="B562" s="542" t="s">
        <v>1350</v>
      </c>
      <c r="C562" s="548" t="s">
        <v>1451</v>
      </c>
      <c r="D562" s="519"/>
      <c r="E562" s="915"/>
      <c r="F562" s="520"/>
      <c r="G562" s="520"/>
      <c r="H562" s="520"/>
      <c r="I562" s="521"/>
      <c r="J562" s="521"/>
      <c r="K562" s="521"/>
      <c r="L562" s="923"/>
      <c r="M562" s="514"/>
      <c r="N562" s="514"/>
      <c r="O562" s="514"/>
      <c r="P562" s="514"/>
      <c r="Q562" s="514"/>
      <c r="R562" s="514"/>
      <c r="S562" s="923"/>
      <c r="T562" s="514"/>
      <c r="U562" s="514"/>
      <c r="V562" s="514"/>
      <c r="W562" s="514"/>
      <c r="X562" s="514"/>
      <c r="Y562" s="514"/>
      <c r="Z562" s="923"/>
      <c r="AA562" s="514"/>
      <c r="AB562" s="514"/>
      <c r="AC562" s="514"/>
      <c r="AD562" s="514"/>
      <c r="AE562" s="774"/>
      <c r="AF562" s="514"/>
      <c r="AG562" s="897"/>
      <c r="AH562" s="789"/>
      <c r="AI562" s="786">
        <f t="shared" si="28"/>
        <v>0</v>
      </c>
      <c r="AJ562" s="521">
        <v>0</v>
      </c>
      <c r="AK562" s="520">
        <f t="shared" si="26"/>
        <v>0</v>
      </c>
      <c r="AL562" s="695" t="s">
        <v>1617</v>
      </c>
      <c r="AM562" s="669">
        <f t="shared" si="27"/>
        <v>6</v>
      </c>
    </row>
    <row r="563" spans="1:39" s="500" customFormat="1" hidden="1">
      <c r="A563" s="440" t="s">
        <v>497</v>
      </c>
      <c r="B563" s="543" t="s">
        <v>1351</v>
      </c>
      <c r="C563" s="616"/>
      <c r="D563" s="519"/>
      <c r="E563" s="915"/>
      <c r="F563" s="520"/>
      <c r="G563" s="520"/>
      <c r="H563" s="520"/>
      <c r="I563" s="521"/>
      <c r="J563" s="521"/>
      <c r="K563" s="521"/>
      <c r="L563" s="923"/>
      <c r="M563" s="514"/>
      <c r="N563" s="514"/>
      <c r="O563" s="514"/>
      <c r="P563" s="514"/>
      <c r="Q563" s="514"/>
      <c r="R563" s="514"/>
      <c r="S563" s="923"/>
      <c r="T563" s="514"/>
      <c r="U563" s="514"/>
      <c r="V563" s="514"/>
      <c r="W563" s="514"/>
      <c r="X563" s="514"/>
      <c r="Y563" s="514"/>
      <c r="Z563" s="923"/>
      <c r="AA563" s="514"/>
      <c r="AB563" s="514"/>
      <c r="AC563" s="514"/>
      <c r="AD563" s="514"/>
      <c r="AE563" s="774"/>
      <c r="AF563" s="514"/>
      <c r="AG563" s="897"/>
      <c r="AH563" s="789"/>
      <c r="AI563" s="786">
        <f t="shared" si="28"/>
        <v>0</v>
      </c>
      <c r="AJ563" s="521">
        <v>0</v>
      </c>
      <c r="AK563" s="520">
        <f t="shared" si="26"/>
        <v>0</v>
      </c>
      <c r="AL563" s="695"/>
      <c r="AM563" s="669">
        <f t="shared" si="27"/>
        <v>0</v>
      </c>
    </row>
    <row r="564" spans="1:39" s="500" customFormat="1" hidden="1">
      <c r="A564" s="542" t="s">
        <v>498</v>
      </c>
      <c r="B564" s="542" t="s">
        <v>1352</v>
      </c>
      <c r="C564" s="548" t="s">
        <v>40</v>
      </c>
      <c r="D564" s="519"/>
      <c r="E564" s="915"/>
      <c r="F564" s="520"/>
      <c r="G564" s="520"/>
      <c r="H564" s="520"/>
      <c r="I564" s="521"/>
      <c r="J564" s="521"/>
      <c r="K564" s="521"/>
      <c r="L564" s="923"/>
      <c r="M564" s="514"/>
      <c r="N564" s="514"/>
      <c r="O564" s="514"/>
      <c r="P564" s="514"/>
      <c r="Q564" s="514"/>
      <c r="R564" s="514"/>
      <c r="S564" s="923"/>
      <c r="T564" s="514"/>
      <c r="U564" s="514"/>
      <c r="V564" s="514"/>
      <c r="W564" s="514"/>
      <c r="X564" s="514"/>
      <c r="Y564" s="514"/>
      <c r="Z564" s="923"/>
      <c r="AA564" s="514"/>
      <c r="AB564" s="514"/>
      <c r="AC564" s="514"/>
      <c r="AD564" s="514"/>
      <c r="AE564" s="774"/>
      <c r="AF564" s="514"/>
      <c r="AG564" s="897"/>
      <c r="AH564" s="789"/>
      <c r="AI564" s="786">
        <f t="shared" si="28"/>
        <v>0</v>
      </c>
      <c r="AJ564" s="521">
        <v>0</v>
      </c>
      <c r="AK564" s="520">
        <f t="shared" si="26"/>
        <v>0</v>
      </c>
      <c r="AL564" s="695" t="s">
        <v>1746</v>
      </c>
      <c r="AM564" s="669">
        <f t="shared" si="27"/>
        <v>18.04</v>
      </c>
    </row>
    <row r="565" spans="1:39" s="500" customFormat="1" hidden="1">
      <c r="A565" s="542" t="s">
        <v>499</v>
      </c>
      <c r="B565" s="542" t="s">
        <v>1353</v>
      </c>
      <c r="C565" s="548" t="s">
        <v>40</v>
      </c>
      <c r="D565" s="519"/>
      <c r="E565" s="915"/>
      <c r="F565" s="520"/>
      <c r="G565" s="520"/>
      <c r="H565" s="520"/>
      <c r="I565" s="521"/>
      <c r="J565" s="521"/>
      <c r="K565" s="521"/>
      <c r="L565" s="923"/>
      <c r="M565" s="514"/>
      <c r="N565" s="514"/>
      <c r="O565" s="514"/>
      <c r="P565" s="514"/>
      <c r="Q565" s="514"/>
      <c r="R565" s="514"/>
      <c r="S565" s="923"/>
      <c r="T565" s="514"/>
      <c r="U565" s="514"/>
      <c r="V565" s="514"/>
      <c r="W565" s="514"/>
      <c r="X565" s="514"/>
      <c r="Y565" s="514"/>
      <c r="Z565" s="923"/>
      <c r="AA565" s="514"/>
      <c r="AB565" s="514"/>
      <c r="AC565" s="514"/>
      <c r="AD565" s="514"/>
      <c r="AE565" s="774"/>
      <c r="AF565" s="514"/>
      <c r="AG565" s="897"/>
      <c r="AH565" s="789"/>
      <c r="AI565" s="786">
        <f t="shared" si="28"/>
        <v>0</v>
      </c>
      <c r="AJ565" s="521">
        <v>0</v>
      </c>
      <c r="AK565" s="520">
        <f t="shared" si="26"/>
        <v>0</v>
      </c>
      <c r="AL565" s="695" t="s">
        <v>1746</v>
      </c>
      <c r="AM565" s="669">
        <f t="shared" si="27"/>
        <v>18.04</v>
      </c>
    </row>
    <row r="566" spans="1:39" s="500" customFormat="1" hidden="1">
      <c r="A566" s="542" t="s">
        <v>1032</v>
      </c>
      <c r="B566" s="542" t="s">
        <v>1354</v>
      </c>
      <c r="C566" s="548" t="s">
        <v>36</v>
      </c>
      <c r="D566" s="519"/>
      <c r="E566" s="915"/>
      <c r="F566" s="520"/>
      <c r="G566" s="520"/>
      <c r="H566" s="520"/>
      <c r="I566" s="521"/>
      <c r="J566" s="521"/>
      <c r="K566" s="521"/>
      <c r="L566" s="923"/>
      <c r="M566" s="514"/>
      <c r="N566" s="514"/>
      <c r="O566" s="514"/>
      <c r="P566" s="514"/>
      <c r="Q566" s="514"/>
      <c r="R566" s="514"/>
      <c r="S566" s="923"/>
      <c r="T566" s="514"/>
      <c r="U566" s="514"/>
      <c r="V566" s="514"/>
      <c r="W566" s="514"/>
      <c r="X566" s="514"/>
      <c r="Y566" s="514"/>
      <c r="Z566" s="923"/>
      <c r="AA566" s="514"/>
      <c r="AB566" s="514"/>
      <c r="AC566" s="514"/>
      <c r="AD566" s="514"/>
      <c r="AE566" s="774"/>
      <c r="AF566" s="514"/>
      <c r="AG566" s="897"/>
      <c r="AH566" s="789"/>
      <c r="AI566" s="786">
        <f t="shared" si="28"/>
        <v>0</v>
      </c>
      <c r="AJ566" s="521">
        <v>0</v>
      </c>
      <c r="AK566" s="520">
        <f t="shared" si="26"/>
        <v>0</v>
      </c>
      <c r="AL566" s="695" t="s">
        <v>1455</v>
      </c>
      <c r="AM566" s="669">
        <f t="shared" si="27"/>
        <v>1</v>
      </c>
    </row>
    <row r="567" spans="1:39" s="500" customFormat="1" hidden="1">
      <c r="A567" s="542" t="s">
        <v>1033</v>
      </c>
      <c r="B567" s="542" t="s">
        <v>1355</v>
      </c>
      <c r="C567" s="548" t="s">
        <v>41</v>
      </c>
      <c r="D567" s="519"/>
      <c r="E567" s="915"/>
      <c r="F567" s="520"/>
      <c r="G567" s="520"/>
      <c r="H567" s="520"/>
      <c r="I567" s="521"/>
      <c r="J567" s="521"/>
      <c r="K567" s="521"/>
      <c r="L567" s="923"/>
      <c r="M567" s="514"/>
      <c r="N567" s="514"/>
      <c r="O567" s="514"/>
      <c r="P567" s="514"/>
      <c r="Q567" s="514"/>
      <c r="R567" s="514"/>
      <c r="S567" s="923"/>
      <c r="T567" s="514"/>
      <c r="U567" s="514"/>
      <c r="V567" s="514"/>
      <c r="W567" s="514"/>
      <c r="X567" s="514"/>
      <c r="Y567" s="514"/>
      <c r="Z567" s="923"/>
      <c r="AA567" s="514"/>
      <c r="AB567" s="514"/>
      <c r="AC567" s="514"/>
      <c r="AD567" s="514"/>
      <c r="AE567" s="774"/>
      <c r="AF567" s="514"/>
      <c r="AG567" s="897"/>
      <c r="AH567" s="789"/>
      <c r="AI567" s="786">
        <f t="shared" si="28"/>
        <v>0</v>
      </c>
      <c r="AJ567" s="521">
        <v>0</v>
      </c>
      <c r="AK567" s="520">
        <f t="shared" si="26"/>
        <v>0</v>
      </c>
      <c r="AL567" s="695" t="s">
        <v>1455</v>
      </c>
      <c r="AM567" s="669">
        <f t="shared" si="27"/>
        <v>1</v>
      </c>
    </row>
    <row r="568" spans="1:39" s="500" customFormat="1" hidden="1">
      <c r="A568" s="440" t="s">
        <v>500</v>
      </c>
      <c r="B568" s="543" t="s">
        <v>1356</v>
      </c>
      <c r="C568" s="616"/>
      <c r="D568" s="519"/>
      <c r="E568" s="915"/>
      <c r="F568" s="520"/>
      <c r="G568" s="520"/>
      <c r="H568" s="520"/>
      <c r="I568" s="521"/>
      <c r="J568" s="521"/>
      <c r="K568" s="521"/>
      <c r="L568" s="923"/>
      <c r="M568" s="514"/>
      <c r="N568" s="514"/>
      <c r="O568" s="514"/>
      <c r="P568" s="514"/>
      <c r="Q568" s="514"/>
      <c r="R568" s="514"/>
      <c r="S568" s="923"/>
      <c r="T568" s="514"/>
      <c r="U568" s="514"/>
      <c r="V568" s="514"/>
      <c r="W568" s="514"/>
      <c r="X568" s="514"/>
      <c r="Y568" s="514"/>
      <c r="Z568" s="923"/>
      <c r="AA568" s="514"/>
      <c r="AB568" s="514"/>
      <c r="AC568" s="514"/>
      <c r="AD568" s="514"/>
      <c r="AE568" s="774"/>
      <c r="AF568" s="514"/>
      <c r="AG568" s="897"/>
      <c r="AH568" s="789"/>
      <c r="AI568" s="786">
        <f t="shared" si="28"/>
        <v>0</v>
      </c>
      <c r="AJ568" s="521">
        <v>0</v>
      </c>
      <c r="AK568" s="520">
        <f t="shared" si="26"/>
        <v>0</v>
      </c>
      <c r="AL568" s="695"/>
      <c r="AM568" s="669">
        <f t="shared" si="27"/>
        <v>0</v>
      </c>
    </row>
    <row r="569" spans="1:39" s="500" customFormat="1" hidden="1">
      <c r="A569" s="542" t="s">
        <v>501</v>
      </c>
      <c r="B569" s="542" t="s">
        <v>1352</v>
      </c>
      <c r="C569" s="548" t="s">
        <v>40</v>
      </c>
      <c r="D569" s="519"/>
      <c r="E569" s="915"/>
      <c r="F569" s="520"/>
      <c r="G569" s="520"/>
      <c r="H569" s="520"/>
      <c r="I569" s="521"/>
      <c r="J569" s="521"/>
      <c r="K569" s="521"/>
      <c r="L569" s="923"/>
      <c r="M569" s="514"/>
      <c r="N569" s="514"/>
      <c r="O569" s="514"/>
      <c r="P569" s="514"/>
      <c r="Q569" s="514"/>
      <c r="R569" s="514"/>
      <c r="S569" s="923"/>
      <c r="T569" s="514"/>
      <c r="U569" s="514"/>
      <c r="V569" s="514"/>
      <c r="W569" s="514"/>
      <c r="X569" s="514"/>
      <c r="Y569" s="514"/>
      <c r="Z569" s="923"/>
      <c r="AA569" s="514"/>
      <c r="AB569" s="514"/>
      <c r="AC569" s="514"/>
      <c r="AD569" s="514"/>
      <c r="AE569" s="774"/>
      <c r="AF569" s="514"/>
      <c r="AG569" s="897"/>
      <c r="AH569" s="789"/>
      <c r="AI569" s="786">
        <f t="shared" si="28"/>
        <v>0</v>
      </c>
      <c r="AJ569" s="521">
        <v>0</v>
      </c>
      <c r="AK569" s="520">
        <f t="shared" si="26"/>
        <v>0</v>
      </c>
      <c r="AL569" s="695" t="s">
        <v>1747</v>
      </c>
      <c r="AM569" s="669">
        <f t="shared" si="27"/>
        <v>10.08</v>
      </c>
    </row>
    <row r="570" spans="1:39" s="500" customFormat="1" hidden="1">
      <c r="A570" s="542" t="s">
        <v>502</v>
      </c>
      <c r="B570" s="542" t="s">
        <v>1353</v>
      </c>
      <c r="C570" s="548" t="s">
        <v>40</v>
      </c>
      <c r="D570" s="519"/>
      <c r="E570" s="915"/>
      <c r="F570" s="520"/>
      <c r="G570" s="520"/>
      <c r="H570" s="520"/>
      <c r="I570" s="521"/>
      <c r="J570" s="521"/>
      <c r="K570" s="521"/>
      <c r="L570" s="923"/>
      <c r="M570" s="514"/>
      <c r="N570" s="514"/>
      <c r="O570" s="514"/>
      <c r="P570" s="514"/>
      <c r="Q570" s="514"/>
      <c r="R570" s="514"/>
      <c r="S570" s="923"/>
      <c r="T570" s="514"/>
      <c r="U570" s="514"/>
      <c r="V570" s="514"/>
      <c r="W570" s="514"/>
      <c r="X570" s="514"/>
      <c r="Y570" s="514"/>
      <c r="Z570" s="923"/>
      <c r="AA570" s="514"/>
      <c r="AB570" s="514"/>
      <c r="AC570" s="514"/>
      <c r="AD570" s="514"/>
      <c r="AE570" s="774"/>
      <c r="AF570" s="514"/>
      <c r="AG570" s="897"/>
      <c r="AH570" s="789"/>
      <c r="AI570" s="786">
        <f t="shared" si="28"/>
        <v>0</v>
      </c>
      <c r="AJ570" s="521">
        <v>0</v>
      </c>
      <c r="AK570" s="520">
        <f t="shared" si="26"/>
        <v>0</v>
      </c>
      <c r="AL570" s="695" t="s">
        <v>1747</v>
      </c>
      <c r="AM570" s="669">
        <f t="shared" si="27"/>
        <v>10.08</v>
      </c>
    </row>
    <row r="571" spans="1:39" s="500" customFormat="1" hidden="1">
      <c r="A571" s="542" t="s">
        <v>503</v>
      </c>
      <c r="B571" s="542" t="s">
        <v>1357</v>
      </c>
      <c r="C571" s="548" t="s">
        <v>40</v>
      </c>
      <c r="D571" s="519"/>
      <c r="E571" s="915"/>
      <c r="F571" s="520"/>
      <c r="G571" s="520"/>
      <c r="H571" s="520"/>
      <c r="I571" s="521"/>
      <c r="J571" s="521"/>
      <c r="K571" s="521"/>
      <c r="L571" s="923"/>
      <c r="M571" s="514"/>
      <c r="N571" s="514"/>
      <c r="O571" s="514"/>
      <c r="P571" s="514"/>
      <c r="Q571" s="514"/>
      <c r="R571" s="514"/>
      <c r="S571" s="923"/>
      <c r="T571" s="514"/>
      <c r="U571" s="514"/>
      <c r="V571" s="514"/>
      <c r="W571" s="514"/>
      <c r="X571" s="514"/>
      <c r="Y571" s="514"/>
      <c r="Z571" s="923"/>
      <c r="AA571" s="514"/>
      <c r="AB571" s="514"/>
      <c r="AC571" s="514"/>
      <c r="AD571" s="514"/>
      <c r="AE571" s="774"/>
      <c r="AF571" s="514"/>
      <c r="AG571" s="897"/>
      <c r="AH571" s="789"/>
      <c r="AI571" s="786">
        <f t="shared" si="28"/>
        <v>0</v>
      </c>
      <c r="AJ571" s="521">
        <v>0</v>
      </c>
      <c r="AK571" s="520">
        <f t="shared" si="26"/>
        <v>0</v>
      </c>
      <c r="AL571" s="695" t="s">
        <v>1748</v>
      </c>
      <c r="AM571" s="669">
        <f t="shared" si="27"/>
        <v>5.04</v>
      </c>
    </row>
    <row r="572" spans="1:39" s="500" customFormat="1" hidden="1">
      <c r="A572" s="542" t="s">
        <v>504</v>
      </c>
      <c r="B572" s="542" t="s">
        <v>1358</v>
      </c>
      <c r="C572" s="548" t="s">
        <v>41</v>
      </c>
      <c r="D572" s="519"/>
      <c r="E572" s="915"/>
      <c r="F572" s="520"/>
      <c r="G572" s="520"/>
      <c r="H572" s="520"/>
      <c r="I572" s="521"/>
      <c r="J572" s="521"/>
      <c r="K572" s="521"/>
      <c r="L572" s="923"/>
      <c r="M572" s="514"/>
      <c r="N572" s="514"/>
      <c r="O572" s="514"/>
      <c r="P572" s="514"/>
      <c r="Q572" s="514"/>
      <c r="R572" s="514"/>
      <c r="S572" s="923"/>
      <c r="T572" s="514"/>
      <c r="U572" s="514"/>
      <c r="V572" s="514"/>
      <c r="W572" s="514"/>
      <c r="X572" s="514"/>
      <c r="Y572" s="514"/>
      <c r="Z572" s="923"/>
      <c r="AA572" s="514"/>
      <c r="AB572" s="514"/>
      <c r="AC572" s="514"/>
      <c r="AD572" s="514"/>
      <c r="AE572" s="774"/>
      <c r="AF572" s="514"/>
      <c r="AG572" s="897"/>
      <c r="AH572" s="789"/>
      <c r="AI572" s="786">
        <f t="shared" si="28"/>
        <v>0</v>
      </c>
      <c r="AJ572" s="521">
        <v>0</v>
      </c>
      <c r="AK572" s="520">
        <f t="shared" si="26"/>
        <v>0</v>
      </c>
      <c r="AL572" s="695" t="s">
        <v>1455</v>
      </c>
      <c r="AM572" s="669">
        <f t="shared" si="27"/>
        <v>1</v>
      </c>
    </row>
    <row r="573" spans="1:39" s="500" customFormat="1" hidden="1">
      <c r="A573" s="542" t="s">
        <v>1034</v>
      </c>
      <c r="B573" s="542" t="s">
        <v>1359</v>
      </c>
      <c r="C573" s="548" t="s">
        <v>38</v>
      </c>
      <c r="D573" s="519"/>
      <c r="E573" s="915"/>
      <c r="F573" s="520"/>
      <c r="G573" s="520"/>
      <c r="H573" s="520"/>
      <c r="I573" s="521"/>
      <c r="J573" s="521"/>
      <c r="K573" s="521"/>
      <c r="L573" s="923"/>
      <c r="M573" s="514"/>
      <c r="N573" s="514"/>
      <c r="O573" s="514"/>
      <c r="P573" s="514"/>
      <c r="Q573" s="514"/>
      <c r="R573" s="514"/>
      <c r="S573" s="923"/>
      <c r="T573" s="514"/>
      <c r="U573" s="514"/>
      <c r="V573" s="514"/>
      <c r="W573" s="514"/>
      <c r="X573" s="514"/>
      <c r="Y573" s="514"/>
      <c r="Z573" s="923"/>
      <c r="AA573" s="514"/>
      <c r="AB573" s="514"/>
      <c r="AC573" s="514"/>
      <c r="AD573" s="514"/>
      <c r="AE573" s="774"/>
      <c r="AF573" s="514"/>
      <c r="AG573" s="897"/>
      <c r="AH573" s="789"/>
      <c r="AI573" s="786">
        <f t="shared" si="28"/>
        <v>0</v>
      </c>
      <c r="AJ573" s="521">
        <v>0</v>
      </c>
      <c r="AK573" s="520">
        <f t="shared" si="26"/>
        <v>0</v>
      </c>
      <c r="AL573" s="695" t="s">
        <v>1602</v>
      </c>
      <c r="AM573" s="669">
        <f t="shared" si="27"/>
        <v>24</v>
      </c>
    </row>
    <row r="574" spans="1:39" s="500" customFormat="1" hidden="1">
      <c r="A574" s="440" t="s">
        <v>505</v>
      </c>
      <c r="B574" s="543" t="s">
        <v>1360</v>
      </c>
      <c r="C574" s="616"/>
      <c r="D574" s="519"/>
      <c r="E574" s="915"/>
      <c r="F574" s="520"/>
      <c r="G574" s="520"/>
      <c r="H574" s="520"/>
      <c r="I574" s="521"/>
      <c r="J574" s="521"/>
      <c r="K574" s="521"/>
      <c r="L574" s="923"/>
      <c r="M574" s="514"/>
      <c r="N574" s="514"/>
      <c r="O574" s="514"/>
      <c r="P574" s="514"/>
      <c r="Q574" s="514"/>
      <c r="R574" s="514"/>
      <c r="S574" s="923"/>
      <c r="T574" s="514"/>
      <c r="U574" s="514"/>
      <c r="V574" s="514"/>
      <c r="W574" s="514"/>
      <c r="X574" s="514"/>
      <c r="Y574" s="514"/>
      <c r="Z574" s="923"/>
      <c r="AA574" s="514"/>
      <c r="AB574" s="514"/>
      <c r="AC574" s="514"/>
      <c r="AD574" s="514"/>
      <c r="AE574" s="774"/>
      <c r="AF574" s="514"/>
      <c r="AG574" s="897"/>
      <c r="AH574" s="789"/>
      <c r="AI574" s="786">
        <f t="shared" si="28"/>
        <v>0</v>
      </c>
      <c r="AJ574" s="521">
        <v>0</v>
      </c>
      <c r="AK574" s="520">
        <f t="shared" si="26"/>
        <v>0</v>
      </c>
      <c r="AL574" s="695"/>
      <c r="AM574" s="669">
        <f t="shared" si="27"/>
        <v>0</v>
      </c>
    </row>
    <row r="575" spans="1:39" s="500" customFormat="1" hidden="1">
      <c r="A575" s="542" t="s">
        <v>506</v>
      </c>
      <c r="B575" s="542" t="s">
        <v>1361</v>
      </c>
      <c r="C575" s="548" t="s">
        <v>1452</v>
      </c>
      <c r="D575" s="519"/>
      <c r="E575" s="915"/>
      <c r="F575" s="520"/>
      <c r="G575" s="520"/>
      <c r="H575" s="520"/>
      <c r="I575" s="521"/>
      <c r="J575" s="521"/>
      <c r="K575" s="521"/>
      <c r="L575" s="923"/>
      <c r="M575" s="514"/>
      <c r="N575" s="514"/>
      <c r="O575" s="514"/>
      <c r="P575" s="514"/>
      <c r="Q575" s="514"/>
      <c r="R575" s="514"/>
      <c r="S575" s="923"/>
      <c r="T575" s="514"/>
      <c r="U575" s="514"/>
      <c r="V575" s="514"/>
      <c r="W575" s="514"/>
      <c r="X575" s="514"/>
      <c r="Y575" s="514"/>
      <c r="Z575" s="923"/>
      <c r="AA575" s="514"/>
      <c r="AB575" s="514"/>
      <c r="AC575" s="514"/>
      <c r="AD575" s="514"/>
      <c r="AE575" s="774"/>
      <c r="AF575" s="514"/>
      <c r="AG575" s="897"/>
      <c r="AH575" s="789"/>
      <c r="AI575" s="786">
        <f t="shared" si="28"/>
        <v>0</v>
      </c>
      <c r="AJ575" s="521">
        <v>0</v>
      </c>
      <c r="AK575" s="520">
        <f t="shared" si="26"/>
        <v>0</v>
      </c>
      <c r="AL575" s="695" t="s">
        <v>1493</v>
      </c>
      <c r="AM575" s="669">
        <f t="shared" si="27"/>
        <v>15</v>
      </c>
    </row>
    <row r="576" spans="1:39" s="500" customFormat="1" hidden="1">
      <c r="A576" s="542" t="s">
        <v>507</v>
      </c>
      <c r="B576" s="542" t="s">
        <v>1362</v>
      </c>
      <c r="C576" s="548" t="s">
        <v>38</v>
      </c>
      <c r="D576" s="519"/>
      <c r="E576" s="915"/>
      <c r="F576" s="520"/>
      <c r="G576" s="520"/>
      <c r="H576" s="520"/>
      <c r="I576" s="521"/>
      <c r="J576" s="521"/>
      <c r="K576" s="521"/>
      <c r="L576" s="923"/>
      <c r="M576" s="514"/>
      <c r="N576" s="514"/>
      <c r="O576" s="514"/>
      <c r="P576" s="514"/>
      <c r="Q576" s="514"/>
      <c r="R576" s="514"/>
      <c r="S576" s="923"/>
      <c r="T576" s="514"/>
      <c r="U576" s="514"/>
      <c r="V576" s="514"/>
      <c r="W576" s="514"/>
      <c r="X576" s="514"/>
      <c r="Y576" s="514"/>
      <c r="Z576" s="923"/>
      <c r="AA576" s="514"/>
      <c r="AB576" s="514"/>
      <c r="AC576" s="514"/>
      <c r="AD576" s="514"/>
      <c r="AE576" s="774"/>
      <c r="AF576" s="514"/>
      <c r="AG576" s="897"/>
      <c r="AH576" s="789"/>
      <c r="AI576" s="786">
        <f t="shared" si="28"/>
        <v>0</v>
      </c>
      <c r="AJ576" s="521">
        <v>0</v>
      </c>
      <c r="AK576" s="520">
        <f t="shared" si="26"/>
        <v>0</v>
      </c>
      <c r="AL576" s="695" t="s">
        <v>1749</v>
      </c>
      <c r="AM576" s="669">
        <f t="shared" si="27"/>
        <v>31.6</v>
      </c>
    </row>
    <row r="577" spans="1:39" s="500" customFormat="1" hidden="1">
      <c r="A577" s="542" t="s">
        <v>508</v>
      </c>
      <c r="B577" s="542" t="s">
        <v>1363</v>
      </c>
      <c r="C577" s="548" t="s">
        <v>38</v>
      </c>
      <c r="D577" s="519"/>
      <c r="E577" s="915"/>
      <c r="F577" s="520"/>
      <c r="G577" s="520"/>
      <c r="H577" s="520"/>
      <c r="I577" s="521"/>
      <c r="J577" s="521"/>
      <c r="K577" s="521"/>
      <c r="L577" s="923"/>
      <c r="M577" s="514"/>
      <c r="N577" s="514"/>
      <c r="O577" s="514"/>
      <c r="P577" s="514"/>
      <c r="Q577" s="514"/>
      <c r="R577" s="514"/>
      <c r="S577" s="923"/>
      <c r="T577" s="514"/>
      <c r="U577" s="514"/>
      <c r="V577" s="514"/>
      <c r="W577" s="514"/>
      <c r="X577" s="514"/>
      <c r="Y577" s="514"/>
      <c r="Z577" s="923"/>
      <c r="AA577" s="514"/>
      <c r="AB577" s="514"/>
      <c r="AC577" s="514"/>
      <c r="AD577" s="514"/>
      <c r="AE577" s="774"/>
      <c r="AF577" s="514"/>
      <c r="AG577" s="897"/>
      <c r="AH577" s="789"/>
      <c r="AI577" s="786">
        <f t="shared" si="28"/>
        <v>0</v>
      </c>
      <c r="AJ577" s="521">
        <v>0</v>
      </c>
      <c r="AK577" s="520">
        <f t="shared" si="26"/>
        <v>0</v>
      </c>
      <c r="AL577" s="695" t="s">
        <v>1750</v>
      </c>
      <c r="AM577" s="669">
        <f t="shared" si="27"/>
        <v>46.35</v>
      </c>
    </row>
    <row r="578" spans="1:39" s="500" customFormat="1" hidden="1">
      <c r="A578" s="542" t="s">
        <v>1035</v>
      </c>
      <c r="B578" s="542" t="s">
        <v>1364</v>
      </c>
      <c r="C578" s="548" t="s">
        <v>1450</v>
      </c>
      <c r="D578" s="519"/>
      <c r="E578" s="915"/>
      <c r="F578" s="520"/>
      <c r="G578" s="520"/>
      <c r="H578" s="520"/>
      <c r="I578" s="521"/>
      <c r="J578" s="521"/>
      <c r="K578" s="521"/>
      <c r="L578" s="923"/>
      <c r="M578" s="514"/>
      <c r="N578" s="514"/>
      <c r="O578" s="514"/>
      <c r="P578" s="514"/>
      <c r="Q578" s="514"/>
      <c r="R578" s="514"/>
      <c r="S578" s="923"/>
      <c r="T578" s="514"/>
      <c r="U578" s="514"/>
      <c r="V578" s="514"/>
      <c r="W578" s="514"/>
      <c r="X578" s="514"/>
      <c r="Y578" s="514"/>
      <c r="Z578" s="923"/>
      <c r="AA578" s="514"/>
      <c r="AB578" s="514"/>
      <c r="AC578" s="514"/>
      <c r="AD578" s="514"/>
      <c r="AE578" s="774"/>
      <c r="AF578" s="514"/>
      <c r="AG578" s="897"/>
      <c r="AH578" s="789"/>
      <c r="AI578" s="786">
        <f t="shared" si="28"/>
        <v>0</v>
      </c>
      <c r="AJ578" s="521">
        <v>0</v>
      </c>
      <c r="AK578" s="520">
        <f t="shared" si="26"/>
        <v>0</v>
      </c>
      <c r="AL578" s="695" t="s">
        <v>1617</v>
      </c>
      <c r="AM578" s="669">
        <f t="shared" si="27"/>
        <v>6</v>
      </c>
    </row>
    <row r="579" spans="1:39" s="500" customFormat="1" hidden="1">
      <c r="A579" s="542" t="s">
        <v>1036</v>
      </c>
      <c r="B579" s="542" t="s">
        <v>1365</v>
      </c>
      <c r="C579" s="548" t="s">
        <v>1451</v>
      </c>
      <c r="D579" s="519"/>
      <c r="E579" s="915"/>
      <c r="F579" s="520"/>
      <c r="G579" s="520"/>
      <c r="H579" s="520"/>
      <c r="I579" s="521"/>
      <c r="J579" s="521"/>
      <c r="K579" s="521"/>
      <c r="L579" s="923"/>
      <c r="M579" s="514"/>
      <c r="N579" s="514"/>
      <c r="O579" s="514"/>
      <c r="P579" s="514"/>
      <c r="Q579" s="514"/>
      <c r="R579" s="514"/>
      <c r="S579" s="923"/>
      <c r="T579" s="514"/>
      <c r="U579" s="514"/>
      <c r="V579" s="514"/>
      <c r="W579" s="514"/>
      <c r="X579" s="514"/>
      <c r="Y579" s="514"/>
      <c r="Z579" s="923"/>
      <c r="AA579" s="514"/>
      <c r="AB579" s="514"/>
      <c r="AC579" s="514"/>
      <c r="AD579" s="514"/>
      <c r="AE579" s="774"/>
      <c r="AF579" s="514"/>
      <c r="AG579" s="897"/>
      <c r="AH579" s="789"/>
      <c r="AI579" s="786">
        <f t="shared" si="28"/>
        <v>0</v>
      </c>
      <c r="AJ579" s="521">
        <v>0</v>
      </c>
      <c r="AK579" s="520">
        <f t="shared" si="26"/>
        <v>0</v>
      </c>
      <c r="AL579" s="695" t="s">
        <v>1455</v>
      </c>
      <c r="AM579" s="669">
        <f t="shared" si="27"/>
        <v>1</v>
      </c>
    </row>
    <row r="580" spans="1:39" s="500" customFormat="1" hidden="1">
      <c r="A580" s="542" t="s">
        <v>1037</v>
      </c>
      <c r="B580" s="542" t="s">
        <v>1366</v>
      </c>
      <c r="C580" s="548" t="s">
        <v>1450</v>
      </c>
      <c r="D580" s="519"/>
      <c r="E580" s="915"/>
      <c r="F580" s="520"/>
      <c r="G580" s="520"/>
      <c r="H580" s="520"/>
      <c r="I580" s="521"/>
      <c r="J580" s="521"/>
      <c r="K580" s="521"/>
      <c r="L580" s="923"/>
      <c r="M580" s="514"/>
      <c r="N580" s="514"/>
      <c r="O580" s="514"/>
      <c r="P580" s="514"/>
      <c r="Q580" s="514"/>
      <c r="R580" s="514"/>
      <c r="S580" s="923"/>
      <c r="T580" s="514"/>
      <c r="U580" s="514"/>
      <c r="V580" s="514"/>
      <c r="W580" s="514"/>
      <c r="X580" s="514"/>
      <c r="Y580" s="514"/>
      <c r="Z580" s="923"/>
      <c r="AA580" s="514"/>
      <c r="AB580" s="514"/>
      <c r="AC580" s="514"/>
      <c r="AD580" s="514"/>
      <c r="AE580" s="774"/>
      <c r="AF580" s="514"/>
      <c r="AG580" s="897"/>
      <c r="AH580" s="789"/>
      <c r="AI580" s="786">
        <f t="shared" si="28"/>
        <v>0</v>
      </c>
      <c r="AJ580" s="521">
        <v>0</v>
      </c>
      <c r="AK580" s="520">
        <f t="shared" si="26"/>
        <v>0</v>
      </c>
      <c r="AL580" s="695" t="s">
        <v>1698</v>
      </c>
      <c r="AM580" s="669">
        <f t="shared" si="27"/>
        <v>2</v>
      </c>
    </row>
    <row r="581" spans="1:39" s="500" customFormat="1" hidden="1">
      <c r="A581" s="440" t="s">
        <v>1038</v>
      </c>
      <c r="B581" s="543" t="s">
        <v>1367</v>
      </c>
      <c r="C581" s="548"/>
      <c r="D581" s="519"/>
      <c r="E581" s="915"/>
      <c r="F581" s="520"/>
      <c r="G581" s="520"/>
      <c r="H581" s="520"/>
      <c r="I581" s="521"/>
      <c r="J581" s="521"/>
      <c r="K581" s="521"/>
      <c r="L581" s="923"/>
      <c r="M581" s="514"/>
      <c r="N581" s="514"/>
      <c r="O581" s="514"/>
      <c r="P581" s="514"/>
      <c r="Q581" s="514"/>
      <c r="R581" s="514"/>
      <c r="S581" s="923"/>
      <c r="T581" s="514"/>
      <c r="U581" s="514"/>
      <c r="V581" s="514"/>
      <c r="W581" s="514"/>
      <c r="X581" s="514"/>
      <c r="Y581" s="514"/>
      <c r="Z581" s="923"/>
      <c r="AA581" s="514"/>
      <c r="AB581" s="514"/>
      <c r="AC581" s="514"/>
      <c r="AD581" s="514"/>
      <c r="AE581" s="774"/>
      <c r="AF581" s="514"/>
      <c r="AG581" s="897"/>
      <c r="AH581" s="789"/>
      <c r="AI581" s="786">
        <f t="shared" si="28"/>
        <v>0</v>
      </c>
      <c r="AJ581" s="521">
        <v>0</v>
      </c>
      <c r="AK581" s="520">
        <f t="shared" si="26"/>
        <v>0</v>
      </c>
      <c r="AL581" s="695"/>
      <c r="AM581" s="669">
        <f t="shared" si="27"/>
        <v>0</v>
      </c>
    </row>
    <row r="582" spans="1:39" s="500" customFormat="1" hidden="1">
      <c r="A582" s="542" t="s">
        <v>509</v>
      </c>
      <c r="B582" s="542" t="s">
        <v>1368</v>
      </c>
      <c r="C582" s="548" t="s">
        <v>64</v>
      </c>
      <c r="D582" s="519"/>
      <c r="E582" s="915"/>
      <c r="F582" s="520"/>
      <c r="G582" s="520"/>
      <c r="H582" s="520"/>
      <c r="I582" s="521"/>
      <c r="J582" s="521"/>
      <c r="K582" s="521"/>
      <c r="L582" s="923"/>
      <c r="M582" s="514"/>
      <c r="N582" s="514"/>
      <c r="O582" s="514"/>
      <c r="P582" s="514"/>
      <c r="Q582" s="514"/>
      <c r="R582" s="514"/>
      <c r="S582" s="923"/>
      <c r="T582" s="514"/>
      <c r="U582" s="514"/>
      <c r="V582" s="514"/>
      <c r="W582" s="514"/>
      <c r="X582" s="514"/>
      <c r="Y582" s="514"/>
      <c r="Z582" s="923"/>
      <c r="AA582" s="514"/>
      <c r="AB582" s="514"/>
      <c r="AC582" s="514"/>
      <c r="AD582" s="514"/>
      <c r="AE582" s="774"/>
      <c r="AF582" s="514"/>
      <c r="AG582" s="897"/>
      <c r="AH582" s="789"/>
      <c r="AI582" s="786">
        <f t="shared" si="28"/>
        <v>0</v>
      </c>
      <c r="AJ582" s="521">
        <v>0</v>
      </c>
      <c r="AK582" s="520">
        <f t="shared" si="26"/>
        <v>0</v>
      </c>
      <c r="AL582" s="695" t="s">
        <v>1455</v>
      </c>
      <c r="AM582" s="669">
        <f t="shared" si="27"/>
        <v>1</v>
      </c>
    </row>
    <row r="583" spans="1:39" s="500" customFormat="1" hidden="1">
      <c r="A583" s="542" t="s">
        <v>510</v>
      </c>
      <c r="B583" s="542" t="s">
        <v>1369</v>
      </c>
      <c r="C583" s="548" t="s">
        <v>38</v>
      </c>
      <c r="D583" s="519"/>
      <c r="E583" s="915"/>
      <c r="F583" s="520"/>
      <c r="G583" s="520"/>
      <c r="H583" s="520"/>
      <c r="I583" s="521"/>
      <c r="J583" s="521"/>
      <c r="K583" s="521"/>
      <c r="L583" s="923"/>
      <c r="M583" s="514"/>
      <c r="N583" s="514"/>
      <c r="O583" s="514"/>
      <c r="P583" s="514"/>
      <c r="Q583" s="514"/>
      <c r="R583" s="514"/>
      <c r="S583" s="923"/>
      <c r="T583" s="514"/>
      <c r="U583" s="514"/>
      <c r="V583" s="514"/>
      <c r="W583" s="514"/>
      <c r="X583" s="514"/>
      <c r="Y583" s="514"/>
      <c r="Z583" s="923"/>
      <c r="AA583" s="514"/>
      <c r="AB583" s="514"/>
      <c r="AC583" s="514"/>
      <c r="AD583" s="514"/>
      <c r="AE583" s="774"/>
      <c r="AF583" s="514"/>
      <c r="AG583" s="897"/>
      <c r="AH583" s="789"/>
      <c r="AI583" s="786">
        <f t="shared" si="28"/>
        <v>0</v>
      </c>
      <c r="AJ583" s="521">
        <v>0</v>
      </c>
      <c r="AK583" s="520">
        <f t="shared" si="26"/>
        <v>0</v>
      </c>
      <c r="AL583" s="695" t="s">
        <v>1751</v>
      </c>
      <c r="AM583" s="669">
        <f t="shared" si="27"/>
        <v>77.95</v>
      </c>
    </row>
    <row r="584" spans="1:39" s="500" customFormat="1" hidden="1">
      <c r="A584" s="440" t="s">
        <v>1039</v>
      </c>
      <c r="B584" s="543" t="s">
        <v>1370</v>
      </c>
      <c r="C584" s="548"/>
      <c r="D584" s="519"/>
      <c r="E584" s="915"/>
      <c r="F584" s="520"/>
      <c r="G584" s="520"/>
      <c r="H584" s="520"/>
      <c r="I584" s="521"/>
      <c r="J584" s="521"/>
      <c r="K584" s="521"/>
      <c r="L584" s="923"/>
      <c r="M584" s="514"/>
      <c r="N584" s="514"/>
      <c r="O584" s="514"/>
      <c r="P584" s="514"/>
      <c r="Q584" s="514"/>
      <c r="R584" s="514"/>
      <c r="S584" s="923"/>
      <c r="T584" s="514"/>
      <c r="U584" s="514"/>
      <c r="V584" s="514"/>
      <c r="W584" s="514"/>
      <c r="X584" s="514"/>
      <c r="Y584" s="514"/>
      <c r="Z584" s="923"/>
      <c r="AA584" s="514"/>
      <c r="AB584" s="514"/>
      <c r="AC584" s="514"/>
      <c r="AD584" s="514"/>
      <c r="AE584" s="774"/>
      <c r="AF584" s="514"/>
      <c r="AG584" s="897"/>
      <c r="AH584" s="789"/>
      <c r="AI584" s="786">
        <f t="shared" si="28"/>
        <v>0</v>
      </c>
      <c r="AJ584" s="521">
        <v>0</v>
      </c>
      <c r="AK584" s="520">
        <f t="shared" si="26"/>
        <v>0</v>
      </c>
      <c r="AL584" s="695"/>
      <c r="AM584" s="669">
        <f t="shared" si="27"/>
        <v>0</v>
      </c>
    </row>
    <row r="585" spans="1:39" s="500" customFormat="1" hidden="1">
      <c r="A585" s="542" t="s">
        <v>1040</v>
      </c>
      <c r="B585" s="542" t="s">
        <v>1371</v>
      </c>
      <c r="C585" s="548" t="s">
        <v>38</v>
      </c>
      <c r="D585" s="519"/>
      <c r="E585" s="915"/>
      <c r="F585" s="520"/>
      <c r="G585" s="520"/>
      <c r="H585" s="520"/>
      <c r="I585" s="521"/>
      <c r="J585" s="521"/>
      <c r="K585" s="521"/>
      <c r="L585" s="923"/>
      <c r="M585" s="514"/>
      <c r="N585" s="514"/>
      <c r="O585" s="514"/>
      <c r="P585" s="514"/>
      <c r="Q585" s="514"/>
      <c r="R585" s="514"/>
      <c r="S585" s="923"/>
      <c r="T585" s="514"/>
      <c r="U585" s="514"/>
      <c r="V585" s="514"/>
      <c r="W585" s="514"/>
      <c r="X585" s="514"/>
      <c r="Y585" s="514"/>
      <c r="Z585" s="923"/>
      <c r="AA585" s="514"/>
      <c r="AB585" s="514"/>
      <c r="AC585" s="514"/>
      <c r="AD585" s="514"/>
      <c r="AE585" s="774"/>
      <c r="AF585" s="514"/>
      <c r="AG585" s="897"/>
      <c r="AH585" s="789"/>
      <c r="AI585" s="786">
        <f t="shared" si="28"/>
        <v>0</v>
      </c>
      <c r="AJ585" s="521">
        <v>0</v>
      </c>
      <c r="AK585" s="520">
        <f t="shared" si="26"/>
        <v>0</v>
      </c>
      <c r="AL585" s="695" t="s">
        <v>1752</v>
      </c>
      <c r="AM585" s="669">
        <f t="shared" si="27"/>
        <v>110.78</v>
      </c>
    </row>
    <row r="586" spans="1:39" s="500" customFormat="1" hidden="1">
      <c r="A586" s="542" t="s">
        <v>1041</v>
      </c>
      <c r="B586" s="542" t="s">
        <v>1372</v>
      </c>
      <c r="C586" s="548" t="s">
        <v>1450</v>
      </c>
      <c r="D586" s="519"/>
      <c r="E586" s="915"/>
      <c r="F586" s="520"/>
      <c r="G586" s="520"/>
      <c r="H586" s="520"/>
      <c r="I586" s="521"/>
      <c r="J586" s="521"/>
      <c r="K586" s="521"/>
      <c r="L586" s="923"/>
      <c r="M586" s="514"/>
      <c r="N586" s="514"/>
      <c r="O586" s="514"/>
      <c r="P586" s="514"/>
      <c r="Q586" s="514"/>
      <c r="R586" s="514"/>
      <c r="S586" s="923"/>
      <c r="T586" s="514"/>
      <c r="U586" s="514"/>
      <c r="V586" s="514"/>
      <c r="W586" s="514"/>
      <c r="X586" s="514"/>
      <c r="Y586" s="514"/>
      <c r="Z586" s="923"/>
      <c r="AA586" s="514"/>
      <c r="AB586" s="514"/>
      <c r="AC586" s="514"/>
      <c r="AD586" s="514"/>
      <c r="AE586" s="774"/>
      <c r="AF586" s="514"/>
      <c r="AG586" s="897"/>
      <c r="AH586" s="789"/>
      <c r="AI586" s="786">
        <f t="shared" si="28"/>
        <v>0</v>
      </c>
      <c r="AJ586" s="521">
        <v>0</v>
      </c>
      <c r="AK586" s="520">
        <f t="shared" si="26"/>
        <v>0</v>
      </c>
      <c r="AL586" s="695" t="s">
        <v>1753</v>
      </c>
      <c r="AM586" s="669">
        <f t="shared" si="27"/>
        <v>34</v>
      </c>
    </row>
    <row r="587" spans="1:39" s="500" customFormat="1" hidden="1">
      <c r="A587" s="542" t="s">
        <v>1042</v>
      </c>
      <c r="B587" s="542" t="s">
        <v>1373</v>
      </c>
      <c r="C587" s="548" t="s">
        <v>37</v>
      </c>
      <c r="D587" s="519"/>
      <c r="E587" s="915"/>
      <c r="F587" s="520"/>
      <c r="G587" s="520"/>
      <c r="H587" s="520"/>
      <c r="I587" s="521"/>
      <c r="J587" s="521"/>
      <c r="K587" s="521"/>
      <c r="L587" s="923"/>
      <c r="M587" s="514"/>
      <c r="N587" s="514"/>
      <c r="O587" s="514"/>
      <c r="P587" s="514"/>
      <c r="Q587" s="514"/>
      <c r="R587" s="514"/>
      <c r="S587" s="923"/>
      <c r="T587" s="514"/>
      <c r="U587" s="514"/>
      <c r="V587" s="514"/>
      <c r="W587" s="514"/>
      <c r="X587" s="514"/>
      <c r="Y587" s="514"/>
      <c r="Z587" s="923"/>
      <c r="AA587" s="514"/>
      <c r="AB587" s="514"/>
      <c r="AC587" s="514"/>
      <c r="AD587" s="514"/>
      <c r="AE587" s="774"/>
      <c r="AF587" s="514"/>
      <c r="AG587" s="897"/>
      <c r="AH587" s="789"/>
      <c r="AI587" s="786">
        <f t="shared" si="28"/>
        <v>0</v>
      </c>
      <c r="AJ587" s="521">
        <v>0</v>
      </c>
      <c r="AK587" s="520">
        <f t="shared" si="26"/>
        <v>0</v>
      </c>
      <c r="AL587" s="695" t="s">
        <v>1754</v>
      </c>
      <c r="AM587" s="669">
        <f t="shared" si="27"/>
        <v>35.200000000000003</v>
      </c>
    </row>
    <row r="588" spans="1:39" s="500" customFormat="1" hidden="1">
      <c r="A588" s="542" t="s">
        <v>1043</v>
      </c>
      <c r="B588" s="542" t="s">
        <v>1374</v>
      </c>
      <c r="C588" s="548" t="s">
        <v>40</v>
      </c>
      <c r="D588" s="519"/>
      <c r="E588" s="915"/>
      <c r="F588" s="520"/>
      <c r="G588" s="520"/>
      <c r="H588" s="520"/>
      <c r="I588" s="521"/>
      <c r="J588" s="521"/>
      <c r="K588" s="521"/>
      <c r="L588" s="923"/>
      <c r="M588" s="514"/>
      <c r="N588" s="514"/>
      <c r="O588" s="514"/>
      <c r="P588" s="514"/>
      <c r="Q588" s="514"/>
      <c r="R588" s="514"/>
      <c r="S588" s="923"/>
      <c r="T588" s="514"/>
      <c r="U588" s="514"/>
      <c r="V588" s="514"/>
      <c r="W588" s="514"/>
      <c r="X588" s="514"/>
      <c r="Y588" s="514"/>
      <c r="Z588" s="923"/>
      <c r="AA588" s="514"/>
      <c r="AB588" s="514"/>
      <c r="AC588" s="514"/>
      <c r="AD588" s="514"/>
      <c r="AE588" s="774"/>
      <c r="AF588" s="514"/>
      <c r="AG588" s="897"/>
      <c r="AH588" s="789"/>
      <c r="AI588" s="786">
        <f t="shared" si="28"/>
        <v>0</v>
      </c>
      <c r="AJ588" s="521">
        <v>0</v>
      </c>
      <c r="AK588" s="520">
        <f t="shared" si="26"/>
        <v>0</v>
      </c>
      <c r="AL588" s="695" t="s">
        <v>1755</v>
      </c>
      <c r="AM588" s="669">
        <f t="shared" si="27"/>
        <v>1.32</v>
      </c>
    </row>
    <row r="589" spans="1:39" s="500" customFormat="1" hidden="1">
      <c r="A589" s="542" t="s">
        <v>1044</v>
      </c>
      <c r="B589" s="542" t="s">
        <v>1375</v>
      </c>
      <c r="C589" s="548" t="s">
        <v>48</v>
      </c>
      <c r="D589" s="519"/>
      <c r="E589" s="915"/>
      <c r="F589" s="520"/>
      <c r="G589" s="520"/>
      <c r="H589" s="520"/>
      <c r="I589" s="521"/>
      <c r="J589" s="521"/>
      <c r="K589" s="521"/>
      <c r="L589" s="923"/>
      <c r="M589" s="514"/>
      <c r="N589" s="514"/>
      <c r="O589" s="514"/>
      <c r="P589" s="514"/>
      <c r="Q589" s="514"/>
      <c r="R589" s="514"/>
      <c r="S589" s="923"/>
      <c r="T589" s="514"/>
      <c r="U589" s="514"/>
      <c r="V589" s="514"/>
      <c r="W589" s="514"/>
      <c r="X589" s="514"/>
      <c r="Y589" s="514"/>
      <c r="Z589" s="923"/>
      <c r="AA589" s="514"/>
      <c r="AB589" s="514"/>
      <c r="AC589" s="514"/>
      <c r="AD589" s="514"/>
      <c r="AE589" s="774"/>
      <c r="AF589" s="514"/>
      <c r="AG589" s="897"/>
      <c r="AH589" s="789"/>
      <c r="AI589" s="786">
        <f t="shared" si="28"/>
        <v>0</v>
      </c>
      <c r="AJ589" s="521">
        <v>0</v>
      </c>
      <c r="AK589" s="520">
        <f t="shared" si="26"/>
        <v>0</v>
      </c>
      <c r="AL589" s="695" t="s">
        <v>1756</v>
      </c>
      <c r="AM589" s="669">
        <f t="shared" si="27"/>
        <v>114.4</v>
      </c>
    </row>
    <row r="590" spans="1:39" s="500" customFormat="1" hidden="1">
      <c r="A590" s="542" t="s">
        <v>1045</v>
      </c>
      <c r="B590" s="542" t="s">
        <v>1376</v>
      </c>
      <c r="C590" s="548" t="s">
        <v>38</v>
      </c>
      <c r="D590" s="519"/>
      <c r="E590" s="915"/>
      <c r="F590" s="520"/>
      <c r="G590" s="520"/>
      <c r="H590" s="520"/>
      <c r="I590" s="521"/>
      <c r="J590" s="521"/>
      <c r="K590" s="521"/>
      <c r="L590" s="923"/>
      <c r="M590" s="514"/>
      <c r="N590" s="514"/>
      <c r="O590" s="514"/>
      <c r="P590" s="514"/>
      <c r="Q590" s="514"/>
      <c r="R590" s="514"/>
      <c r="S590" s="923"/>
      <c r="T590" s="514"/>
      <c r="U590" s="514"/>
      <c r="V590" s="514"/>
      <c r="W590" s="514"/>
      <c r="X590" s="514"/>
      <c r="Y590" s="514"/>
      <c r="Z590" s="923"/>
      <c r="AA590" s="514"/>
      <c r="AB590" s="514"/>
      <c r="AC590" s="514"/>
      <c r="AD590" s="514"/>
      <c r="AE590" s="774"/>
      <c r="AF590" s="514"/>
      <c r="AG590" s="897"/>
      <c r="AH590" s="789"/>
      <c r="AI590" s="786">
        <f t="shared" si="28"/>
        <v>0</v>
      </c>
      <c r="AJ590" s="521">
        <v>0</v>
      </c>
      <c r="AK590" s="520">
        <f t="shared" ref="AK590:AK653" si="29">AI590+AJ590</f>
        <v>0</v>
      </c>
      <c r="AL590" s="695" t="s">
        <v>1757</v>
      </c>
      <c r="AM590" s="669">
        <f t="shared" ref="AM590:AM653" si="30">AL590-AK590</f>
        <v>89.98</v>
      </c>
    </row>
    <row r="591" spans="1:39" s="500" customFormat="1" hidden="1">
      <c r="A591" s="542" t="s">
        <v>1046</v>
      </c>
      <c r="B591" s="542" t="s">
        <v>1377</v>
      </c>
      <c r="C591" s="548" t="s">
        <v>38</v>
      </c>
      <c r="D591" s="519"/>
      <c r="E591" s="915"/>
      <c r="F591" s="520"/>
      <c r="G591" s="520"/>
      <c r="H591" s="520"/>
      <c r="I591" s="521"/>
      <c r="J591" s="521"/>
      <c r="K591" s="521"/>
      <c r="L591" s="923"/>
      <c r="M591" s="514"/>
      <c r="N591" s="514"/>
      <c r="O591" s="514"/>
      <c r="P591" s="514"/>
      <c r="Q591" s="514"/>
      <c r="R591" s="514"/>
      <c r="S591" s="923"/>
      <c r="T591" s="514"/>
      <c r="U591" s="514"/>
      <c r="V591" s="514"/>
      <c r="W591" s="514"/>
      <c r="X591" s="514"/>
      <c r="Y591" s="514"/>
      <c r="Z591" s="923"/>
      <c r="AA591" s="514"/>
      <c r="AB591" s="514"/>
      <c r="AC591" s="514"/>
      <c r="AD591" s="514"/>
      <c r="AE591" s="774"/>
      <c r="AF591" s="514"/>
      <c r="AG591" s="897"/>
      <c r="AH591" s="789"/>
      <c r="AI591" s="786">
        <f t="shared" ref="AI591:AI654" si="31">ROUND((SUM(D591:AH591)),2)</f>
        <v>0</v>
      </c>
      <c r="AJ591" s="521">
        <v>0</v>
      </c>
      <c r="AK591" s="520">
        <f t="shared" si="29"/>
        <v>0</v>
      </c>
      <c r="AL591" s="695" t="s">
        <v>1758</v>
      </c>
      <c r="AM591" s="669">
        <f t="shared" si="30"/>
        <v>33.78</v>
      </c>
    </row>
    <row r="592" spans="1:39" s="500" customFormat="1" hidden="1">
      <c r="A592" s="542" t="s">
        <v>1047</v>
      </c>
      <c r="B592" s="542" t="s">
        <v>1353</v>
      </c>
      <c r="C592" s="548" t="s">
        <v>40</v>
      </c>
      <c r="D592" s="519"/>
      <c r="E592" s="915"/>
      <c r="F592" s="520"/>
      <c r="G592" s="520"/>
      <c r="H592" s="520"/>
      <c r="I592" s="521"/>
      <c r="J592" s="521"/>
      <c r="K592" s="521"/>
      <c r="L592" s="923"/>
      <c r="M592" s="514"/>
      <c r="N592" s="514"/>
      <c r="O592" s="514"/>
      <c r="P592" s="514"/>
      <c r="Q592" s="514"/>
      <c r="R592" s="514"/>
      <c r="S592" s="923"/>
      <c r="T592" s="514"/>
      <c r="U592" s="514"/>
      <c r="V592" s="514"/>
      <c r="W592" s="514"/>
      <c r="X592" s="514"/>
      <c r="Y592" s="514"/>
      <c r="Z592" s="923"/>
      <c r="AA592" s="514"/>
      <c r="AB592" s="514"/>
      <c r="AC592" s="514"/>
      <c r="AD592" s="514"/>
      <c r="AE592" s="774"/>
      <c r="AF592" s="514"/>
      <c r="AG592" s="897"/>
      <c r="AH592" s="789"/>
      <c r="AI592" s="786">
        <f t="shared" si="31"/>
        <v>0</v>
      </c>
      <c r="AJ592" s="521">
        <v>0</v>
      </c>
      <c r="AK592" s="520">
        <f t="shared" si="29"/>
        <v>0</v>
      </c>
      <c r="AL592" s="695" t="s">
        <v>1759</v>
      </c>
      <c r="AM592" s="669">
        <f t="shared" si="30"/>
        <v>18</v>
      </c>
    </row>
    <row r="593" spans="1:39" s="500" customFormat="1" hidden="1">
      <c r="A593" s="542" t="s">
        <v>1048</v>
      </c>
      <c r="B593" s="542" t="s">
        <v>1378</v>
      </c>
      <c r="C593" s="548" t="s">
        <v>38</v>
      </c>
      <c r="D593" s="519"/>
      <c r="E593" s="915"/>
      <c r="F593" s="520"/>
      <c r="G593" s="520"/>
      <c r="H593" s="520"/>
      <c r="I593" s="521"/>
      <c r="J593" s="521"/>
      <c r="K593" s="521"/>
      <c r="L593" s="923"/>
      <c r="M593" s="514"/>
      <c r="N593" s="514"/>
      <c r="O593" s="514"/>
      <c r="P593" s="514"/>
      <c r="Q593" s="514"/>
      <c r="R593" s="514"/>
      <c r="S593" s="923"/>
      <c r="T593" s="514"/>
      <c r="U593" s="514"/>
      <c r="V593" s="514"/>
      <c r="W593" s="514"/>
      <c r="X593" s="514"/>
      <c r="Y593" s="514"/>
      <c r="Z593" s="923"/>
      <c r="AA593" s="514"/>
      <c r="AB593" s="514"/>
      <c r="AC593" s="514"/>
      <c r="AD593" s="514"/>
      <c r="AE593" s="774"/>
      <c r="AF593" s="514"/>
      <c r="AG593" s="897"/>
      <c r="AH593" s="789"/>
      <c r="AI593" s="786">
        <f t="shared" si="31"/>
        <v>0</v>
      </c>
      <c r="AJ593" s="521">
        <v>0</v>
      </c>
      <c r="AK593" s="520">
        <f t="shared" si="29"/>
        <v>0</v>
      </c>
      <c r="AL593" s="695" t="s">
        <v>1760</v>
      </c>
      <c r="AM593" s="669">
        <f t="shared" si="30"/>
        <v>56.2</v>
      </c>
    </row>
    <row r="594" spans="1:39" s="500" customFormat="1" hidden="1">
      <c r="A594" s="542" t="s">
        <v>1049</v>
      </c>
      <c r="B594" s="542" t="s">
        <v>1379</v>
      </c>
      <c r="C594" s="548" t="s">
        <v>38</v>
      </c>
      <c r="D594" s="519"/>
      <c r="E594" s="915"/>
      <c r="F594" s="520"/>
      <c r="G594" s="520"/>
      <c r="H594" s="520"/>
      <c r="I594" s="521"/>
      <c r="J594" s="521"/>
      <c r="K594" s="521"/>
      <c r="L594" s="923"/>
      <c r="M594" s="514"/>
      <c r="N594" s="514"/>
      <c r="O594" s="514"/>
      <c r="P594" s="514"/>
      <c r="Q594" s="514"/>
      <c r="R594" s="514"/>
      <c r="S594" s="923"/>
      <c r="T594" s="514"/>
      <c r="U594" s="514"/>
      <c r="V594" s="514"/>
      <c r="W594" s="514"/>
      <c r="X594" s="514"/>
      <c r="Y594" s="514"/>
      <c r="Z594" s="923"/>
      <c r="AA594" s="514"/>
      <c r="AB594" s="514"/>
      <c r="AC594" s="514"/>
      <c r="AD594" s="514"/>
      <c r="AE594" s="774"/>
      <c r="AF594" s="514"/>
      <c r="AG594" s="897"/>
      <c r="AH594" s="789"/>
      <c r="AI594" s="786">
        <f t="shared" si="31"/>
        <v>0</v>
      </c>
      <c r="AJ594" s="521">
        <v>0</v>
      </c>
      <c r="AK594" s="520">
        <f t="shared" si="29"/>
        <v>0</v>
      </c>
      <c r="AL594" s="695" t="s">
        <v>1760</v>
      </c>
      <c r="AM594" s="669">
        <f t="shared" si="30"/>
        <v>56.2</v>
      </c>
    </row>
    <row r="595" spans="1:39" s="500" customFormat="1" hidden="1">
      <c r="A595" s="542" t="s">
        <v>1050</v>
      </c>
      <c r="B595" s="542" t="s">
        <v>1380</v>
      </c>
      <c r="C595" s="548" t="s">
        <v>37</v>
      </c>
      <c r="D595" s="519"/>
      <c r="E595" s="915"/>
      <c r="F595" s="520"/>
      <c r="G595" s="520"/>
      <c r="H595" s="520"/>
      <c r="I595" s="521"/>
      <c r="J595" s="521"/>
      <c r="K595" s="521"/>
      <c r="L595" s="923"/>
      <c r="M595" s="514"/>
      <c r="N595" s="514"/>
      <c r="O595" s="514"/>
      <c r="P595" s="514"/>
      <c r="Q595" s="514"/>
      <c r="R595" s="514"/>
      <c r="S595" s="923"/>
      <c r="T595" s="514"/>
      <c r="U595" s="514"/>
      <c r="V595" s="514"/>
      <c r="W595" s="514"/>
      <c r="X595" s="514"/>
      <c r="Y595" s="514"/>
      <c r="Z595" s="923"/>
      <c r="AA595" s="514"/>
      <c r="AB595" s="514"/>
      <c r="AC595" s="514"/>
      <c r="AD595" s="514"/>
      <c r="AE595" s="774"/>
      <c r="AF595" s="514"/>
      <c r="AG595" s="897"/>
      <c r="AH595" s="789"/>
      <c r="AI595" s="786">
        <f t="shared" si="31"/>
        <v>0</v>
      </c>
      <c r="AJ595" s="521">
        <v>0</v>
      </c>
      <c r="AK595" s="520">
        <f t="shared" si="29"/>
        <v>0</v>
      </c>
      <c r="AL595" s="695" t="s">
        <v>1761</v>
      </c>
      <c r="AM595" s="669">
        <f t="shared" si="30"/>
        <v>59.01</v>
      </c>
    </row>
    <row r="596" spans="1:39" s="500" customFormat="1" hidden="1">
      <c r="A596" s="542" t="s">
        <v>1051</v>
      </c>
      <c r="B596" s="542" t="s">
        <v>1381</v>
      </c>
      <c r="C596" s="548" t="s">
        <v>38</v>
      </c>
      <c r="D596" s="519"/>
      <c r="E596" s="915"/>
      <c r="F596" s="520"/>
      <c r="G596" s="520"/>
      <c r="H596" s="520"/>
      <c r="I596" s="521"/>
      <c r="J596" s="521"/>
      <c r="K596" s="521"/>
      <c r="L596" s="923"/>
      <c r="M596" s="514"/>
      <c r="N596" s="514"/>
      <c r="O596" s="514"/>
      <c r="P596" s="514"/>
      <c r="Q596" s="514"/>
      <c r="R596" s="514"/>
      <c r="S596" s="923"/>
      <c r="T596" s="514"/>
      <c r="U596" s="514"/>
      <c r="V596" s="514"/>
      <c r="W596" s="514"/>
      <c r="X596" s="514"/>
      <c r="Y596" s="514"/>
      <c r="Z596" s="923"/>
      <c r="AA596" s="514"/>
      <c r="AB596" s="514"/>
      <c r="AC596" s="514"/>
      <c r="AD596" s="514"/>
      <c r="AE596" s="774"/>
      <c r="AF596" s="514"/>
      <c r="AG596" s="897"/>
      <c r="AH596" s="789"/>
      <c r="AI596" s="786">
        <f t="shared" si="31"/>
        <v>0</v>
      </c>
      <c r="AJ596" s="521">
        <v>0</v>
      </c>
      <c r="AK596" s="520">
        <f t="shared" si="29"/>
        <v>0</v>
      </c>
      <c r="AL596" s="695" t="s">
        <v>1762</v>
      </c>
      <c r="AM596" s="669">
        <f t="shared" si="30"/>
        <v>36.119999999999997</v>
      </c>
    </row>
    <row r="597" spans="1:39" s="500" customFormat="1" ht="13.5" hidden="1" thickBot="1">
      <c r="A597" s="542" t="s">
        <v>1052</v>
      </c>
      <c r="B597" s="542" t="s">
        <v>1382</v>
      </c>
      <c r="C597" s="548" t="s">
        <v>38</v>
      </c>
      <c r="D597" s="519"/>
      <c r="E597" s="915"/>
      <c r="F597" s="520"/>
      <c r="G597" s="520"/>
      <c r="H597" s="520"/>
      <c r="I597" s="521"/>
      <c r="J597" s="521"/>
      <c r="K597" s="521"/>
      <c r="L597" s="923"/>
      <c r="M597" s="514"/>
      <c r="N597" s="514"/>
      <c r="O597" s="514"/>
      <c r="P597" s="514"/>
      <c r="Q597" s="514"/>
      <c r="R597" s="514"/>
      <c r="S597" s="923"/>
      <c r="T597" s="514"/>
      <c r="U597" s="514"/>
      <c r="V597" s="514"/>
      <c r="W597" s="514"/>
      <c r="X597" s="514"/>
      <c r="Y597" s="514"/>
      <c r="Z597" s="923"/>
      <c r="AA597" s="514"/>
      <c r="AB597" s="514"/>
      <c r="AC597" s="514"/>
      <c r="AD597" s="514"/>
      <c r="AE597" s="774"/>
      <c r="AF597" s="514"/>
      <c r="AG597" s="897"/>
      <c r="AH597" s="789"/>
      <c r="AI597" s="786">
        <f t="shared" si="31"/>
        <v>0</v>
      </c>
      <c r="AJ597" s="521">
        <v>0</v>
      </c>
      <c r="AK597" s="520">
        <f t="shared" si="29"/>
        <v>0</v>
      </c>
      <c r="AL597" s="695" t="s">
        <v>1670</v>
      </c>
      <c r="AM597" s="669">
        <f t="shared" si="30"/>
        <v>20</v>
      </c>
    </row>
    <row r="598" spans="1:39" s="730" customFormat="1" hidden="1">
      <c r="A598" s="816" t="s">
        <v>511</v>
      </c>
      <c r="B598" s="816" t="s">
        <v>1383</v>
      </c>
      <c r="C598" s="844"/>
      <c r="D598" s="743"/>
      <c r="E598" s="915"/>
      <c r="F598" s="726"/>
      <c r="G598" s="726"/>
      <c r="H598" s="726"/>
      <c r="I598" s="725"/>
      <c r="J598" s="725"/>
      <c r="K598" s="725"/>
      <c r="L598" s="923"/>
      <c r="M598" s="756"/>
      <c r="N598" s="756"/>
      <c r="O598" s="756"/>
      <c r="P598" s="756"/>
      <c r="Q598" s="756"/>
      <c r="R598" s="756"/>
      <c r="S598" s="923"/>
      <c r="T598" s="756"/>
      <c r="U598" s="756"/>
      <c r="V598" s="756"/>
      <c r="W598" s="756"/>
      <c r="X598" s="756"/>
      <c r="Y598" s="756"/>
      <c r="Z598" s="923"/>
      <c r="AA598" s="756"/>
      <c r="AB598" s="756"/>
      <c r="AC598" s="756"/>
      <c r="AD598" s="756"/>
      <c r="AE598" s="774"/>
      <c r="AF598" s="756"/>
      <c r="AG598" s="897"/>
      <c r="AH598" s="819"/>
      <c r="AI598" s="786">
        <f t="shared" si="31"/>
        <v>0</v>
      </c>
      <c r="AJ598" s="725">
        <v>0</v>
      </c>
      <c r="AK598" s="726">
        <f t="shared" si="29"/>
        <v>0</v>
      </c>
      <c r="AL598" s="847"/>
      <c r="AM598" s="729">
        <f t="shared" si="30"/>
        <v>0</v>
      </c>
    </row>
    <row r="599" spans="1:39" s="500" customFormat="1" hidden="1">
      <c r="A599" s="440" t="s">
        <v>512</v>
      </c>
      <c r="B599" s="543" t="s">
        <v>1384</v>
      </c>
      <c r="C599" s="616"/>
      <c r="D599" s="519"/>
      <c r="E599" s="915"/>
      <c r="F599" s="520"/>
      <c r="G599" s="520"/>
      <c r="H599" s="520"/>
      <c r="I599" s="521"/>
      <c r="J599" s="521"/>
      <c r="K599" s="521"/>
      <c r="L599" s="923"/>
      <c r="M599" s="514"/>
      <c r="N599" s="514"/>
      <c r="O599" s="514"/>
      <c r="P599" s="514"/>
      <c r="Q599" s="514"/>
      <c r="R599" s="514"/>
      <c r="S599" s="923"/>
      <c r="T599" s="514"/>
      <c r="U599" s="514"/>
      <c r="V599" s="514"/>
      <c r="W599" s="514"/>
      <c r="X599" s="514"/>
      <c r="Y599" s="514"/>
      <c r="Z599" s="923"/>
      <c r="AA599" s="514"/>
      <c r="AB599" s="514"/>
      <c r="AC599" s="514"/>
      <c r="AD599" s="514"/>
      <c r="AE599" s="774"/>
      <c r="AF599" s="514"/>
      <c r="AG599" s="897"/>
      <c r="AH599" s="789"/>
      <c r="AI599" s="786">
        <f t="shared" si="31"/>
        <v>0</v>
      </c>
      <c r="AJ599" s="521">
        <v>0</v>
      </c>
      <c r="AK599" s="520">
        <f t="shared" si="29"/>
        <v>0</v>
      </c>
      <c r="AL599" s="695"/>
      <c r="AM599" s="669">
        <f t="shared" si="30"/>
        <v>0</v>
      </c>
    </row>
    <row r="600" spans="1:39" s="500" customFormat="1" hidden="1">
      <c r="A600" s="542" t="s">
        <v>1053</v>
      </c>
      <c r="B600" s="542" t="s">
        <v>1385</v>
      </c>
      <c r="C600" s="616"/>
      <c r="D600" s="519"/>
      <c r="E600" s="915"/>
      <c r="F600" s="520"/>
      <c r="G600" s="520"/>
      <c r="H600" s="520"/>
      <c r="I600" s="521"/>
      <c r="J600" s="521"/>
      <c r="K600" s="521"/>
      <c r="L600" s="923"/>
      <c r="M600" s="514"/>
      <c r="N600" s="514"/>
      <c r="O600" s="514"/>
      <c r="P600" s="514"/>
      <c r="Q600" s="514"/>
      <c r="R600" s="514"/>
      <c r="S600" s="923"/>
      <c r="T600" s="514"/>
      <c r="U600" s="514"/>
      <c r="V600" s="514"/>
      <c r="W600" s="514"/>
      <c r="X600" s="514"/>
      <c r="Y600" s="514"/>
      <c r="Z600" s="923"/>
      <c r="AA600" s="514"/>
      <c r="AB600" s="514"/>
      <c r="AC600" s="514"/>
      <c r="AD600" s="514"/>
      <c r="AE600" s="774"/>
      <c r="AF600" s="514"/>
      <c r="AG600" s="897"/>
      <c r="AH600" s="789"/>
      <c r="AI600" s="786">
        <f t="shared" si="31"/>
        <v>0</v>
      </c>
      <c r="AJ600" s="521">
        <v>0</v>
      </c>
      <c r="AK600" s="520">
        <f t="shared" si="29"/>
        <v>0</v>
      </c>
      <c r="AL600" s="695"/>
      <c r="AM600" s="669">
        <f t="shared" si="30"/>
        <v>0</v>
      </c>
    </row>
    <row r="601" spans="1:39" s="500" customFormat="1" hidden="1">
      <c r="A601" s="539" t="s">
        <v>1054</v>
      </c>
      <c r="B601" s="539" t="s">
        <v>1386</v>
      </c>
      <c r="C601" s="548" t="s">
        <v>1453</v>
      </c>
      <c r="D601" s="519"/>
      <c r="E601" s="915"/>
      <c r="F601" s="520"/>
      <c r="G601" s="520"/>
      <c r="H601" s="520"/>
      <c r="I601" s="521"/>
      <c r="J601" s="521"/>
      <c r="K601" s="521"/>
      <c r="L601" s="923"/>
      <c r="M601" s="514"/>
      <c r="N601" s="514"/>
      <c r="O601" s="514"/>
      <c r="P601" s="514"/>
      <c r="Q601" s="514"/>
      <c r="R601" s="514"/>
      <c r="S601" s="923"/>
      <c r="T601" s="514"/>
      <c r="U601" s="514"/>
      <c r="V601" s="514"/>
      <c r="W601" s="514"/>
      <c r="X601" s="514"/>
      <c r="Y601" s="514"/>
      <c r="Z601" s="923"/>
      <c r="AA601" s="514"/>
      <c r="AB601" s="514"/>
      <c r="AC601" s="514"/>
      <c r="AD601" s="514"/>
      <c r="AE601" s="774"/>
      <c r="AF601" s="514"/>
      <c r="AG601" s="897"/>
      <c r="AH601" s="789"/>
      <c r="AI601" s="786">
        <f t="shared" si="31"/>
        <v>0</v>
      </c>
      <c r="AJ601" s="521">
        <v>0</v>
      </c>
      <c r="AK601" s="520">
        <f t="shared" si="29"/>
        <v>0</v>
      </c>
      <c r="AL601" s="695" t="s">
        <v>1455</v>
      </c>
      <c r="AM601" s="669">
        <f t="shared" si="30"/>
        <v>1</v>
      </c>
    </row>
    <row r="602" spans="1:39" s="500" customFormat="1" hidden="1">
      <c r="A602" s="539" t="s">
        <v>1055</v>
      </c>
      <c r="B602" s="539" t="s">
        <v>1387</v>
      </c>
      <c r="C602" s="548" t="s">
        <v>1453</v>
      </c>
      <c r="D602" s="519"/>
      <c r="E602" s="915"/>
      <c r="F602" s="520"/>
      <c r="G602" s="520"/>
      <c r="H602" s="520"/>
      <c r="I602" s="521"/>
      <c r="J602" s="521"/>
      <c r="K602" s="521"/>
      <c r="L602" s="923"/>
      <c r="M602" s="514"/>
      <c r="N602" s="514"/>
      <c r="O602" s="514"/>
      <c r="P602" s="514"/>
      <c r="Q602" s="514"/>
      <c r="R602" s="514"/>
      <c r="S602" s="923"/>
      <c r="T602" s="514"/>
      <c r="U602" s="514"/>
      <c r="V602" s="514"/>
      <c r="W602" s="514"/>
      <c r="X602" s="514"/>
      <c r="Y602" s="514"/>
      <c r="Z602" s="923"/>
      <c r="AA602" s="514"/>
      <c r="AB602" s="514"/>
      <c r="AC602" s="514"/>
      <c r="AD602" s="514"/>
      <c r="AE602" s="774"/>
      <c r="AF602" s="514"/>
      <c r="AG602" s="897"/>
      <c r="AH602" s="789"/>
      <c r="AI602" s="786">
        <f t="shared" si="31"/>
        <v>0</v>
      </c>
      <c r="AJ602" s="521">
        <v>0</v>
      </c>
      <c r="AK602" s="520">
        <f t="shared" si="29"/>
        <v>0</v>
      </c>
      <c r="AL602" s="695" t="s">
        <v>1455</v>
      </c>
      <c r="AM602" s="669">
        <f t="shared" si="30"/>
        <v>1</v>
      </c>
    </row>
    <row r="603" spans="1:39" s="500" customFormat="1" hidden="1">
      <c r="A603" s="539" t="s">
        <v>1056</v>
      </c>
      <c r="B603" s="539" t="s">
        <v>1388</v>
      </c>
      <c r="C603" s="548" t="s">
        <v>1453</v>
      </c>
      <c r="D603" s="519"/>
      <c r="E603" s="915"/>
      <c r="F603" s="520"/>
      <c r="G603" s="520"/>
      <c r="H603" s="520"/>
      <c r="I603" s="521"/>
      <c r="J603" s="521"/>
      <c r="K603" s="521"/>
      <c r="L603" s="923"/>
      <c r="M603" s="514"/>
      <c r="N603" s="514"/>
      <c r="O603" s="514"/>
      <c r="P603" s="514"/>
      <c r="Q603" s="514"/>
      <c r="R603" s="514"/>
      <c r="S603" s="923"/>
      <c r="T603" s="514"/>
      <c r="U603" s="514"/>
      <c r="V603" s="514"/>
      <c r="W603" s="514"/>
      <c r="X603" s="514"/>
      <c r="Y603" s="514"/>
      <c r="Z603" s="923"/>
      <c r="AA603" s="514"/>
      <c r="AB603" s="514"/>
      <c r="AC603" s="514"/>
      <c r="AD603" s="514"/>
      <c r="AE603" s="774"/>
      <c r="AF603" s="514"/>
      <c r="AG603" s="897"/>
      <c r="AH603" s="789"/>
      <c r="AI603" s="786">
        <f t="shared" si="31"/>
        <v>0</v>
      </c>
      <c r="AJ603" s="521">
        <v>0</v>
      </c>
      <c r="AK603" s="520">
        <f t="shared" si="29"/>
        <v>0</v>
      </c>
      <c r="AL603" s="695" t="s">
        <v>1455</v>
      </c>
      <c r="AM603" s="669">
        <f t="shared" si="30"/>
        <v>1</v>
      </c>
    </row>
    <row r="604" spans="1:39" s="500" customFormat="1" hidden="1">
      <c r="A604" s="539" t="s">
        <v>1057</v>
      </c>
      <c r="B604" s="539" t="s">
        <v>1389</v>
      </c>
      <c r="C604" s="548" t="s">
        <v>1453</v>
      </c>
      <c r="D604" s="519"/>
      <c r="E604" s="915"/>
      <c r="F604" s="520"/>
      <c r="G604" s="520"/>
      <c r="H604" s="520"/>
      <c r="I604" s="521"/>
      <c r="J604" s="521"/>
      <c r="K604" s="521"/>
      <c r="L604" s="923"/>
      <c r="M604" s="514"/>
      <c r="N604" s="514"/>
      <c r="O604" s="514"/>
      <c r="P604" s="514"/>
      <c r="Q604" s="514"/>
      <c r="R604" s="514"/>
      <c r="S604" s="923"/>
      <c r="T604" s="514"/>
      <c r="U604" s="514"/>
      <c r="V604" s="514"/>
      <c r="W604" s="514"/>
      <c r="X604" s="514"/>
      <c r="Y604" s="514"/>
      <c r="Z604" s="923"/>
      <c r="AA604" s="514"/>
      <c r="AB604" s="514"/>
      <c r="AC604" s="514"/>
      <c r="AD604" s="514"/>
      <c r="AE604" s="774"/>
      <c r="AF604" s="514"/>
      <c r="AG604" s="897"/>
      <c r="AH604" s="789"/>
      <c r="AI604" s="786">
        <f t="shared" si="31"/>
        <v>0</v>
      </c>
      <c r="AJ604" s="521">
        <v>0</v>
      </c>
      <c r="AK604" s="520">
        <f t="shared" si="29"/>
        <v>0</v>
      </c>
      <c r="AL604" s="695" t="s">
        <v>1455</v>
      </c>
      <c r="AM604" s="669">
        <f t="shared" si="30"/>
        <v>1</v>
      </c>
    </row>
    <row r="605" spans="1:39" s="730" customFormat="1" hidden="1">
      <c r="A605" s="831" t="s">
        <v>1058</v>
      </c>
      <c r="B605" s="831" t="s">
        <v>1390</v>
      </c>
      <c r="C605" s="844"/>
      <c r="D605" s="743"/>
      <c r="E605" s="915"/>
      <c r="F605" s="726"/>
      <c r="G605" s="726"/>
      <c r="H605" s="726"/>
      <c r="I605" s="725"/>
      <c r="J605" s="725"/>
      <c r="K605" s="725"/>
      <c r="L605" s="923"/>
      <c r="M605" s="756"/>
      <c r="N605" s="756"/>
      <c r="O605" s="756"/>
      <c r="P605" s="756"/>
      <c r="Q605" s="756"/>
      <c r="R605" s="756"/>
      <c r="S605" s="923"/>
      <c r="T605" s="756"/>
      <c r="U605" s="756"/>
      <c r="V605" s="756"/>
      <c r="W605" s="756"/>
      <c r="X605" s="756"/>
      <c r="Y605" s="756"/>
      <c r="Z605" s="923"/>
      <c r="AA605" s="756"/>
      <c r="AB605" s="756"/>
      <c r="AC605" s="756"/>
      <c r="AD605" s="756"/>
      <c r="AE605" s="774"/>
      <c r="AF605" s="756"/>
      <c r="AG605" s="897"/>
      <c r="AH605" s="819"/>
      <c r="AI605" s="786">
        <f t="shared" si="31"/>
        <v>0</v>
      </c>
      <c r="AJ605" s="725">
        <v>0</v>
      </c>
      <c r="AK605" s="726">
        <f t="shared" si="29"/>
        <v>0</v>
      </c>
      <c r="AL605" s="847"/>
      <c r="AM605" s="729">
        <f t="shared" si="30"/>
        <v>0</v>
      </c>
    </row>
    <row r="606" spans="1:39" s="730" customFormat="1" hidden="1">
      <c r="A606" s="720" t="s">
        <v>1059</v>
      </c>
      <c r="B606" s="720" t="s">
        <v>1390</v>
      </c>
      <c r="C606" s="823" t="s">
        <v>1452</v>
      </c>
      <c r="D606" s="743"/>
      <c r="E606" s="915"/>
      <c r="F606" s="726"/>
      <c r="G606" s="726"/>
      <c r="H606" s="726"/>
      <c r="I606" s="725"/>
      <c r="J606" s="725"/>
      <c r="K606" s="725"/>
      <c r="L606" s="923"/>
      <c r="M606" s="756"/>
      <c r="N606" s="756"/>
      <c r="O606" s="756"/>
      <c r="P606" s="756"/>
      <c r="Q606" s="756"/>
      <c r="R606" s="756"/>
      <c r="S606" s="923"/>
      <c r="T606" s="756"/>
      <c r="U606" s="756"/>
      <c r="V606" s="756"/>
      <c r="W606" s="756"/>
      <c r="X606" s="756"/>
      <c r="Y606" s="756"/>
      <c r="Z606" s="923"/>
      <c r="AA606" s="756"/>
      <c r="AB606" s="756"/>
      <c r="AC606" s="756"/>
      <c r="AD606" s="756"/>
      <c r="AE606" s="774"/>
      <c r="AF606" s="756"/>
      <c r="AG606" s="897"/>
      <c r="AH606" s="819"/>
      <c r="AI606" s="786">
        <f t="shared" si="31"/>
        <v>0</v>
      </c>
      <c r="AJ606" s="725">
        <v>0</v>
      </c>
      <c r="AK606" s="726">
        <f t="shared" si="29"/>
        <v>0</v>
      </c>
      <c r="AL606" s="847" t="s">
        <v>1763</v>
      </c>
      <c r="AM606" s="729">
        <f t="shared" si="30"/>
        <v>43</v>
      </c>
    </row>
    <row r="607" spans="1:39" s="730" customFormat="1" hidden="1">
      <c r="A607" s="720" t="s">
        <v>1060</v>
      </c>
      <c r="B607" s="720" t="s">
        <v>1391</v>
      </c>
      <c r="C607" s="823" t="s">
        <v>1452</v>
      </c>
      <c r="D607" s="743"/>
      <c r="E607" s="915"/>
      <c r="F607" s="726"/>
      <c r="G607" s="726"/>
      <c r="H607" s="726"/>
      <c r="I607" s="725"/>
      <c r="J607" s="725"/>
      <c r="K607" s="725"/>
      <c r="L607" s="923"/>
      <c r="M607" s="756"/>
      <c r="N607" s="756"/>
      <c r="O607" s="756"/>
      <c r="P607" s="756"/>
      <c r="Q607" s="756"/>
      <c r="R607" s="756"/>
      <c r="S607" s="923"/>
      <c r="T607" s="756"/>
      <c r="U607" s="756"/>
      <c r="V607" s="756"/>
      <c r="W607" s="756"/>
      <c r="X607" s="756"/>
      <c r="Y607" s="756"/>
      <c r="Z607" s="923"/>
      <c r="AA607" s="756"/>
      <c r="AB607" s="756"/>
      <c r="AC607" s="756"/>
      <c r="AD607" s="756"/>
      <c r="AE607" s="774"/>
      <c r="AF607" s="756"/>
      <c r="AG607" s="897"/>
      <c r="AH607" s="819"/>
      <c r="AI607" s="786">
        <f t="shared" si="31"/>
        <v>0</v>
      </c>
      <c r="AJ607" s="725">
        <v>0</v>
      </c>
      <c r="AK607" s="726">
        <f t="shared" si="29"/>
        <v>0</v>
      </c>
      <c r="AL607" s="847" t="s">
        <v>1764</v>
      </c>
      <c r="AM607" s="729">
        <f t="shared" si="30"/>
        <v>7</v>
      </c>
    </row>
    <row r="608" spans="1:39" s="500" customFormat="1" hidden="1">
      <c r="A608" s="542" t="s">
        <v>1061</v>
      </c>
      <c r="B608" s="542" t="s">
        <v>1392</v>
      </c>
      <c r="C608" s="616"/>
      <c r="D608" s="519"/>
      <c r="E608" s="915"/>
      <c r="F608" s="520"/>
      <c r="G608" s="520"/>
      <c r="H608" s="520"/>
      <c r="I608" s="521"/>
      <c r="J608" s="521"/>
      <c r="K608" s="521"/>
      <c r="L608" s="923"/>
      <c r="M608" s="514"/>
      <c r="N608" s="514"/>
      <c r="O608" s="514"/>
      <c r="P608" s="514"/>
      <c r="Q608" s="514"/>
      <c r="R608" s="514"/>
      <c r="S608" s="923"/>
      <c r="T608" s="514"/>
      <c r="U608" s="514"/>
      <c r="V608" s="514"/>
      <c r="W608" s="514"/>
      <c r="X608" s="514"/>
      <c r="Y608" s="514"/>
      <c r="Z608" s="923"/>
      <c r="AA608" s="514"/>
      <c r="AB608" s="514"/>
      <c r="AC608" s="514"/>
      <c r="AD608" s="514"/>
      <c r="AE608" s="774"/>
      <c r="AF608" s="514"/>
      <c r="AG608" s="897"/>
      <c r="AH608" s="789"/>
      <c r="AI608" s="786">
        <f t="shared" si="31"/>
        <v>0</v>
      </c>
      <c r="AJ608" s="521">
        <v>0</v>
      </c>
      <c r="AK608" s="520">
        <f t="shared" si="29"/>
        <v>0</v>
      </c>
      <c r="AL608" s="695"/>
      <c r="AM608" s="669">
        <f t="shared" si="30"/>
        <v>0</v>
      </c>
    </row>
    <row r="609" spans="1:39" s="500" customFormat="1" hidden="1">
      <c r="A609" s="539" t="s">
        <v>1062</v>
      </c>
      <c r="B609" s="539" t="s">
        <v>1393</v>
      </c>
      <c r="C609" s="548" t="s">
        <v>36</v>
      </c>
      <c r="D609" s="519"/>
      <c r="E609" s="915"/>
      <c r="F609" s="520"/>
      <c r="G609" s="520"/>
      <c r="H609" s="520"/>
      <c r="I609" s="521"/>
      <c r="J609" s="521"/>
      <c r="K609" s="521"/>
      <c r="L609" s="923"/>
      <c r="M609" s="514"/>
      <c r="N609" s="514"/>
      <c r="O609" s="514"/>
      <c r="P609" s="514"/>
      <c r="Q609" s="514"/>
      <c r="R609" s="514"/>
      <c r="S609" s="923"/>
      <c r="T609" s="514"/>
      <c r="U609" s="514"/>
      <c r="V609" s="514"/>
      <c r="W609" s="514"/>
      <c r="X609" s="514"/>
      <c r="Y609" s="514"/>
      <c r="Z609" s="923"/>
      <c r="AA609" s="514"/>
      <c r="AB609" s="514"/>
      <c r="AC609" s="514"/>
      <c r="AD609" s="514"/>
      <c r="AE609" s="774"/>
      <c r="AF609" s="514"/>
      <c r="AG609" s="897"/>
      <c r="AH609" s="789"/>
      <c r="AI609" s="786">
        <f t="shared" si="31"/>
        <v>0</v>
      </c>
      <c r="AJ609" s="521">
        <v>0</v>
      </c>
      <c r="AK609" s="520">
        <f t="shared" si="29"/>
        <v>0</v>
      </c>
      <c r="AL609" s="695" t="s">
        <v>1765</v>
      </c>
      <c r="AM609" s="669">
        <f t="shared" si="30"/>
        <v>17</v>
      </c>
    </row>
    <row r="610" spans="1:39" s="500" customFormat="1" hidden="1">
      <c r="A610" s="539" t="s">
        <v>1063</v>
      </c>
      <c r="B610" s="539" t="s">
        <v>1394</v>
      </c>
      <c r="C610" s="548" t="s">
        <v>36</v>
      </c>
      <c r="D610" s="519"/>
      <c r="E610" s="915"/>
      <c r="F610" s="520"/>
      <c r="G610" s="520"/>
      <c r="H610" s="520"/>
      <c r="I610" s="521"/>
      <c r="J610" s="521"/>
      <c r="K610" s="521"/>
      <c r="L610" s="923"/>
      <c r="M610" s="514"/>
      <c r="N610" s="514"/>
      <c r="O610" s="514"/>
      <c r="P610" s="514"/>
      <c r="Q610" s="514"/>
      <c r="R610" s="514"/>
      <c r="S610" s="923"/>
      <c r="T610" s="514"/>
      <c r="U610" s="514"/>
      <c r="V610" s="514"/>
      <c r="W610" s="514"/>
      <c r="X610" s="514"/>
      <c r="Y610" s="514"/>
      <c r="Z610" s="923"/>
      <c r="AA610" s="514"/>
      <c r="AB610" s="514"/>
      <c r="AC610" s="514"/>
      <c r="AD610" s="514"/>
      <c r="AE610" s="774"/>
      <c r="AF610" s="514"/>
      <c r="AG610" s="897"/>
      <c r="AH610" s="789"/>
      <c r="AI610" s="786">
        <f t="shared" si="31"/>
        <v>0</v>
      </c>
      <c r="AJ610" s="521">
        <v>0</v>
      </c>
      <c r="AK610" s="520">
        <f t="shared" si="29"/>
        <v>0</v>
      </c>
      <c r="AL610" s="695" t="s">
        <v>1766</v>
      </c>
      <c r="AM610" s="669">
        <f t="shared" si="30"/>
        <v>23</v>
      </c>
    </row>
    <row r="611" spans="1:39" s="500" customFormat="1" hidden="1">
      <c r="A611" s="539" t="s">
        <v>1064</v>
      </c>
      <c r="B611" s="539" t="s">
        <v>1395</v>
      </c>
      <c r="C611" s="548" t="s">
        <v>36</v>
      </c>
      <c r="D611" s="519"/>
      <c r="E611" s="915"/>
      <c r="F611" s="520"/>
      <c r="G611" s="520"/>
      <c r="H611" s="520"/>
      <c r="I611" s="521"/>
      <c r="J611" s="521"/>
      <c r="K611" s="521"/>
      <c r="L611" s="923"/>
      <c r="M611" s="514"/>
      <c r="N611" s="514"/>
      <c r="O611" s="514"/>
      <c r="P611" s="514"/>
      <c r="Q611" s="514"/>
      <c r="R611" s="514"/>
      <c r="S611" s="923"/>
      <c r="T611" s="514"/>
      <c r="U611" s="514"/>
      <c r="V611" s="514"/>
      <c r="W611" s="514"/>
      <c r="X611" s="514"/>
      <c r="Y611" s="514"/>
      <c r="Z611" s="923"/>
      <c r="AA611" s="514"/>
      <c r="AB611" s="514"/>
      <c r="AC611" s="514"/>
      <c r="AD611" s="514"/>
      <c r="AE611" s="774"/>
      <c r="AF611" s="514"/>
      <c r="AG611" s="897"/>
      <c r="AH611" s="789"/>
      <c r="AI611" s="786">
        <f t="shared" si="31"/>
        <v>0</v>
      </c>
      <c r="AJ611" s="521">
        <v>0</v>
      </c>
      <c r="AK611" s="520">
        <f t="shared" si="29"/>
        <v>0</v>
      </c>
      <c r="AL611" s="695" t="s">
        <v>1698</v>
      </c>
      <c r="AM611" s="669">
        <f t="shared" si="30"/>
        <v>2</v>
      </c>
    </row>
    <row r="612" spans="1:39" s="500" customFormat="1" hidden="1">
      <c r="A612" s="539" t="s">
        <v>1065</v>
      </c>
      <c r="B612" s="539" t="s">
        <v>1396</v>
      </c>
      <c r="C612" s="548" t="s">
        <v>36</v>
      </c>
      <c r="D612" s="519"/>
      <c r="E612" s="915"/>
      <c r="F612" s="520"/>
      <c r="G612" s="520"/>
      <c r="H612" s="520"/>
      <c r="I612" s="521"/>
      <c r="J612" s="521"/>
      <c r="K612" s="521"/>
      <c r="L612" s="923"/>
      <c r="M612" s="514"/>
      <c r="N612" s="514"/>
      <c r="O612" s="514"/>
      <c r="P612" s="514"/>
      <c r="Q612" s="514"/>
      <c r="R612" s="514"/>
      <c r="S612" s="923"/>
      <c r="T612" s="514"/>
      <c r="U612" s="514"/>
      <c r="V612" s="514"/>
      <c r="W612" s="514"/>
      <c r="X612" s="514"/>
      <c r="Y612" s="514"/>
      <c r="Z612" s="923"/>
      <c r="AA612" s="514"/>
      <c r="AB612" s="514"/>
      <c r="AC612" s="514"/>
      <c r="AD612" s="514"/>
      <c r="AE612" s="774"/>
      <c r="AF612" s="514"/>
      <c r="AG612" s="897"/>
      <c r="AH612" s="789"/>
      <c r="AI612" s="786">
        <f t="shared" si="31"/>
        <v>0</v>
      </c>
      <c r="AJ612" s="521">
        <v>0</v>
      </c>
      <c r="AK612" s="520">
        <f t="shared" si="29"/>
        <v>0</v>
      </c>
      <c r="AL612" s="695" t="s">
        <v>1455</v>
      </c>
      <c r="AM612" s="669">
        <f t="shared" si="30"/>
        <v>1</v>
      </c>
    </row>
    <row r="613" spans="1:39" s="500" customFormat="1" hidden="1">
      <c r="A613" s="539" t="s">
        <v>1066</v>
      </c>
      <c r="B613" s="539" t="s">
        <v>1397</v>
      </c>
      <c r="C613" s="548" t="s">
        <v>36</v>
      </c>
      <c r="D613" s="519"/>
      <c r="E613" s="915"/>
      <c r="F613" s="520"/>
      <c r="G613" s="520"/>
      <c r="H613" s="520"/>
      <c r="I613" s="521"/>
      <c r="J613" s="521"/>
      <c r="K613" s="521"/>
      <c r="L613" s="923"/>
      <c r="M613" s="514"/>
      <c r="N613" s="514"/>
      <c r="O613" s="514"/>
      <c r="P613" s="514"/>
      <c r="Q613" s="514"/>
      <c r="R613" s="514"/>
      <c r="S613" s="923"/>
      <c r="T613" s="514"/>
      <c r="U613" s="514"/>
      <c r="V613" s="514"/>
      <c r="W613" s="514"/>
      <c r="X613" s="514"/>
      <c r="Y613" s="514"/>
      <c r="Z613" s="923"/>
      <c r="AA613" s="514"/>
      <c r="AB613" s="514"/>
      <c r="AC613" s="514"/>
      <c r="AD613" s="514"/>
      <c r="AE613" s="774"/>
      <c r="AF613" s="514"/>
      <c r="AG613" s="897"/>
      <c r="AH613" s="789"/>
      <c r="AI613" s="786">
        <f t="shared" si="31"/>
        <v>0</v>
      </c>
      <c r="AJ613" s="521">
        <v>0</v>
      </c>
      <c r="AK613" s="520">
        <f t="shared" si="29"/>
        <v>0</v>
      </c>
      <c r="AL613" s="695" t="s">
        <v>1764</v>
      </c>
      <c r="AM613" s="669">
        <f t="shared" si="30"/>
        <v>7</v>
      </c>
    </row>
    <row r="614" spans="1:39" s="730" customFormat="1" hidden="1">
      <c r="A614" s="831" t="s">
        <v>1067</v>
      </c>
      <c r="B614" s="831" t="s">
        <v>1398</v>
      </c>
      <c r="C614" s="844"/>
      <c r="D614" s="743"/>
      <c r="E614" s="915"/>
      <c r="F614" s="726"/>
      <c r="G614" s="726"/>
      <c r="H614" s="726"/>
      <c r="I614" s="725"/>
      <c r="J614" s="725"/>
      <c r="K614" s="725"/>
      <c r="L614" s="923"/>
      <c r="M614" s="756"/>
      <c r="N614" s="756"/>
      <c r="O614" s="756"/>
      <c r="P614" s="756"/>
      <c r="Q614" s="756"/>
      <c r="R614" s="756"/>
      <c r="S614" s="923"/>
      <c r="T614" s="756"/>
      <c r="U614" s="756"/>
      <c r="V614" s="756"/>
      <c r="W614" s="756"/>
      <c r="X614" s="756"/>
      <c r="Y614" s="756"/>
      <c r="Z614" s="923"/>
      <c r="AA614" s="756"/>
      <c r="AB614" s="756"/>
      <c r="AC614" s="756"/>
      <c r="AD614" s="756"/>
      <c r="AE614" s="774"/>
      <c r="AF614" s="756"/>
      <c r="AG614" s="897"/>
      <c r="AH614" s="819"/>
      <c r="AI614" s="786">
        <f t="shared" si="31"/>
        <v>0</v>
      </c>
      <c r="AJ614" s="725">
        <v>0</v>
      </c>
      <c r="AK614" s="726">
        <f t="shared" si="29"/>
        <v>0</v>
      </c>
      <c r="AL614" s="847"/>
      <c r="AM614" s="729">
        <f t="shared" si="30"/>
        <v>0</v>
      </c>
    </row>
    <row r="615" spans="1:39" s="730" customFormat="1" hidden="1">
      <c r="A615" s="720" t="s">
        <v>1068</v>
      </c>
      <c r="B615" s="720" t="s">
        <v>1399</v>
      </c>
      <c r="C615" s="823" t="s">
        <v>1452</v>
      </c>
      <c r="D615" s="743"/>
      <c r="E615" s="915"/>
      <c r="F615" s="726"/>
      <c r="G615" s="726"/>
      <c r="H615" s="726"/>
      <c r="I615" s="725"/>
      <c r="J615" s="725"/>
      <c r="K615" s="725"/>
      <c r="L615" s="923"/>
      <c r="M615" s="756"/>
      <c r="N615" s="756"/>
      <c r="O615" s="756"/>
      <c r="P615" s="756"/>
      <c r="Q615" s="756"/>
      <c r="R615" s="756"/>
      <c r="S615" s="923"/>
      <c r="T615" s="756"/>
      <c r="U615" s="756"/>
      <c r="V615" s="756"/>
      <c r="W615" s="756"/>
      <c r="X615" s="756"/>
      <c r="Y615" s="756"/>
      <c r="Z615" s="923"/>
      <c r="AA615" s="756"/>
      <c r="AB615" s="756"/>
      <c r="AC615" s="756"/>
      <c r="AD615" s="756"/>
      <c r="AE615" s="774"/>
      <c r="AF615" s="756"/>
      <c r="AG615" s="897"/>
      <c r="AH615" s="819"/>
      <c r="AI615" s="786">
        <f t="shared" si="31"/>
        <v>0</v>
      </c>
      <c r="AJ615" s="725">
        <v>0</v>
      </c>
      <c r="AK615" s="726">
        <f t="shared" si="29"/>
        <v>0</v>
      </c>
      <c r="AL615" s="847" t="s">
        <v>1489</v>
      </c>
      <c r="AM615" s="729">
        <f t="shared" si="30"/>
        <v>16</v>
      </c>
    </row>
    <row r="616" spans="1:39" s="730" customFormat="1" hidden="1">
      <c r="A616" s="720" t="s">
        <v>1069</v>
      </c>
      <c r="B616" s="720" t="s">
        <v>1400</v>
      </c>
      <c r="C616" s="823" t="s">
        <v>1452</v>
      </c>
      <c r="D616" s="743"/>
      <c r="E616" s="915"/>
      <c r="F616" s="726"/>
      <c r="G616" s="726"/>
      <c r="H616" s="726"/>
      <c r="I616" s="725"/>
      <c r="J616" s="725"/>
      <c r="K616" s="725"/>
      <c r="L616" s="923"/>
      <c r="M616" s="756"/>
      <c r="N616" s="756"/>
      <c r="O616" s="756"/>
      <c r="P616" s="756"/>
      <c r="Q616" s="756"/>
      <c r="R616" s="756"/>
      <c r="S616" s="923"/>
      <c r="T616" s="756"/>
      <c r="U616" s="756"/>
      <c r="V616" s="756"/>
      <c r="W616" s="756"/>
      <c r="X616" s="756"/>
      <c r="Y616" s="756"/>
      <c r="Z616" s="923"/>
      <c r="AA616" s="756"/>
      <c r="AB616" s="756"/>
      <c r="AC616" s="756"/>
      <c r="AD616" s="756"/>
      <c r="AE616" s="774"/>
      <c r="AF616" s="756"/>
      <c r="AG616" s="897"/>
      <c r="AH616" s="819"/>
      <c r="AI616" s="786">
        <f t="shared" si="31"/>
        <v>0</v>
      </c>
      <c r="AJ616" s="725">
        <v>0</v>
      </c>
      <c r="AK616" s="726">
        <f t="shared" si="29"/>
        <v>0</v>
      </c>
      <c r="AL616" s="847" t="s">
        <v>1698</v>
      </c>
      <c r="AM616" s="729">
        <f t="shared" si="30"/>
        <v>2</v>
      </c>
    </row>
    <row r="617" spans="1:39" s="730" customFormat="1" hidden="1">
      <c r="A617" s="720" t="s">
        <v>1070</v>
      </c>
      <c r="B617" s="720" t="s">
        <v>1401</v>
      </c>
      <c r="C617" s="823" t="s">
        <v>1452</v>
      </c>
      <c r="D617" s="743"/>
      <c r="E617" s="915"/>
      <c r="F617" s="726"/>
      <c r="G617" s="726"/>
      <c r="H617" s="726"/>
      <c r="I617" s="725"/>
      <c r="J617" s="725"/>
      <c r="K617" s="725"/>
      <c r="L617" s="923"/>
      <c r="M617" s="756"/>
      <c r="N617" s="756"/>
      <c r="O617" s="756"/>
      <c r="P617" s="756"/>
      <c r="Q617" s="756"/>
      <c r="R617" s="756"/>
      <c r="S617" s="923"/>
      <c r="T617" s="756"/>
      <c r="U617" s="756"/>
      <c r="V617" s="756"/>
      <c r="W617" s="756"/>
      <c r="X617" s="756"/>
      <c r="Y617" s="756"/>
      <c r="Z617" s="923"/>
      <c r="AA617" s="756"/>
      <c r="AB617" s="756"/>
      <c r="AC617" s="756"/>
      <c r="AD617" s="756"/>
      <c r="AE617" s="774"/>
      <c r="AF617" s="756"/>
      <c r="AG617" s="897"/>
      <c r="AH617" s="819"/>
      <c r="AI617" s="786">
        <f t="shared" si="31"/>
        <v>0</v>
      </c>
      <c r="AJ617" s="725">
        <v>0</v>
      </c>
      <c r="AK617" s="726">
        <f t="shared" si="29"/>
        <v>0</v>
      </c>
      <c r="AL617" s="847" t="s">
        <v>1698</v>
      </c>
      <c r="AM617" s="729">
        <f t="shared" si="30"/>
        <v>2</v>
      </c>
    </row>
    <row r="618" spans="1:39" s="730" customFormat="1" hidden="1">
      <c r="A618" s="831" t="s">
        <v>1071</v>
      </c>
      <c r="B618" s="831" t="s">
        <v>1402</v>
      </c>
      <c r="C618" s="844"/>
      <c r="D618" s="743"/>
      <c r="E618" s="915"/>
      <c r="F618" s="726"/>
      <c r="G618" s="726"/>
      <c r="H618" s="726"/>
      <c r="I618" s="725"/>
      <c r="J618" s="725"/>
      <c r="K618" s="725"/>
      <c r="L618" s="923"/>
      <c r="M618" s="756"/>
      <c r="N618" s="756"/>
      <c r="O618" s="756"/>
      <c r="P618" s="756"/>
      <c r="Q618" s="756"/>
      <c r="R618" s="756"/>
      <c r="S618" s="923"/>
      <c r="T618" s="756"/>
      <c r="U618" s="756"/>
      <c r="V618" s="756"/>
      <c r="W618" s="756"/>
      <c r="X618" s="756"/>
      <c r="Y618" s="756"/>
      <c r="Z618" s="923"/>
      <c r="AA618" s="756"/>
      <c r="AB618" s="756"/>
      <c r="AC618" s="756"/>
      <c r="AD618" s="756"/>
      <c r="AE618" s="774"/>
      <c r="AF618" s="756"/>
      <c r="AG618" s="897"/>
      <c r="AH618" s="819"/>
      <c r="AI618" s="786">
        <f t="shared" si="31"/>
        <v>0</v>
      </c>
      <c r="AJ618" s="725">
        <v>0</v>
      </c>
      <c r="AK618" s="726">
        <f t="shared" si="29"/>
        <v>0</v>
      </c>
      <c r="AL618" s="847"/>
      <c r="AM618" s="729">
        <f t="shared" si="30"/>
        <v>0</v>
      </c>
    </row>
    <row r="619" spans="1:39" s="730" customFormat="1" hidden="1">
      <c r="A619" s="720" t="s">
        <v>1072</v>
      </c>
      <c r="B619" s="720" t="s">
        <v>1403</v>
      </c>
      <c r="C619" s="823" t="s">
        <v>1452</v>
      </c>
      <c r="D619" s="743"/>
      <c r="E619" s="915"/>
      <c r="F619" s="726"/>
      <c r="G619" s="726"/>
      <c r="H619" s="726"/>
      <c r="I619" s="725"/>
      <c r="J619" s="725"/>
      <c r="K619" s="725"/>
      <c r="L619" s="923"/>
      <c r="M619" s="756"/>
      <c r="N619" s="756"/>
      <c r="O619" s="756"/>
      <c r="P619" s="756"/>
      <c r="Q619" s="756"/>
      <c r="R619" s="756"/>
      <c r="S619" s="923"/>
      <c r="T619" s="756"/>
      <c r="U619" s="756"/>
      <c r="V619" s="756"/>
      <c r="W619" s="756"/>
      <c r="X619" s="756"/>
      <c r="Y619" s="756"/>
      <c r="Z619" s="923"/>
      <c r="AA619" s="756"/>
      <c r="AB619" s="756"/>
      <c r="AC619" s="756"/>
      <c r="AD619" s="756"/>
      <c r="AE619" s="774"/>
      <c r="AF619" s="756"/>
      <c r="AG619" s="897"/>
      <c r="AH619" s="819"/>
      <c r="AI619" s="786">
        <f t="shared" si="31"/>
        <v>0</v>
      </c>
      <c r="AJ619" s="725">
        <v>0</v>
      </c>
      <c r="AK619" s="726">
        <f t="shared" si="29"/>
        <v>0</v>
      </c>
      <c r="AL619" s="847" t="s">
        <v>1767</v>
      </c>
      <c r="AM619" s="729">
        <f t="shared" si="30"/>
        <v>14</v>
      </c>
    </row>
    <row r="620" spans="1:39" s="730" customFormat="1" hidden="1">
      <c r="A620" s="720" t="s">
        <v>1073</v>
      </c>
      <c r="B620" s="720" t="s">
        <v>1404</v>
      </c>
      <c r="C620" s="823" t="s">
        <v>1452</v>
      </c>
      <c r="D620" s="743"/>
      <c r="E620" s="915"/>
      <c r="F620" s="726"/>
      <c r="G620" s="726"/>
      <c r="H620" s="726"/>
      <c r="I620" s="725"/>
      <c r="J620" s="725"/>
      <c r="K620" s="725"/>
      <c r="L620" s="923"/>
      <c r="M620" s="756"/>
      <c r="N620" s="756"/>
      <c r="O620" s="756"/>
      <c r="P620" s="756"/>
      <c r="Q620" s="756"/>
      <c r="R620" s="756"/>
      <c r="S620" s="923"/>
      <c r="T620" s="756"/>
      <c r="U620" s="756"/>
      <c r="V620" s="756"/>
      <c r="W620" s="756"/>
      <c r="X620" s="756"/>
      <c r="Y620" s="756"/>
      <c r="Z620" s="923"/>
      <c r="AA620" s="756"/>
      <c r="AB620" s="756"/>
      <c r="AC620" s="756"/>
      <c r="AD620" s="756"/>
      <c r="AE620" s="774"/>
      <c r="AF620" s="756"/>
      <c r="AG620" s="897"/>
      <c r="AH620" s="889"/>
      <c r="AI620" s="786">
        <f t="shared" si="31"/>
        <v>0</v>
      </c>
      <c r="AJ620" s="725">
        <v>0</v>
      </c>
      <c r="AK620" s="726">
        <f t="shared" si="29"/>
        <v>0</v>
      </c>
      <c r="AL620" s="847" t="s">
        <v>1455</v>
      </c>
      <c r="AM620" s="729">
        <f t="shared" si="30"/>
        <v>1</v>
      </c>
    </row>
    <row r="621" spans="1:39" s="730" customFormat="1" hidden="1">
      <c r="A621" s="720" t="s">
        <v>1074</v>
      </c>
      <c r="B621" s="720" t="s">
        <v>1405</v>
      </c>
      <c r="C621" s="823" t="s">
        <v>1452</v>
      </c>
      <c r="D621" s="743"/>
      <c r="E621" s="915"/>
      <c r="F621" s="726"/>
      <c r="G621" s="726"/>
      <c r="H621" s="726"/>
      <c r="I621" s="725"/>
      <c r="J621" s="725"/>
      <c r="K621" s="725"/>
      <c r="L621" s="923"/>
      <c r="M621" s="756"/>
      <c r="N621" s="756"/>
      <c r="O621" s="756"/>
      <c r="P621" s="756"/>
      <c r="Q621" s="756"/>
      <c r="R621" s="756"/>
      <c r="S621" s="923"/>
      <c r="T621" s="756"/>
      <c r="U621" s="756"/>
      <c r="V621" s="756"/>
      <c r="W621" s="756"/>
      <c r="X621" s="756"/>
      <c r="Y621" s="756"/>
      <c r="Z621" s="923"/>
      <c r="AA621" s="756"/>
      <c r="AB621" s="756"/>
      <c r="AC621" s="756"/>
      <c r="AD621" s="756"/>
      <c r="AE621" s="774"/>
      <c r="AF621" s="756"/>
      <c r="AG621" s="897"/>
      <c r="AH621" s="889"/>
      <c r="AI621" s="786">
        <f t="shared" si="31"/>
        <v>0</v>
      </c>
      <c r="AJ621" s="725">
        <v>0</v>
      </c>
      <c r="AK621" s="726">
        <f t="shared" si="29"/>
        <v>0</v>
      </c>
      <c r="AL621" s="847" t="s">
        <v>1618</v>
      </c>
      <c r="AM621" s="729">
        <f t="shared" si="30"/>
        <v>3</v>
      </c>
    </row>
    <row r="622" spans="1:39" s="730" customFormat="1" hidden="1">
      <c r="A622" s="720" t="s">
        <v>1075</v>
      </c>
      <c r="B622" s="720" t="s">
        <v>1406</v>
      </c>
      <c r="C622" s="823" t="s">
        <v>1452</v>
      </c>
      <c r="D622" s="743"/>
      <c r="E622" s="915"/>
      <c r="F622" s="726"/>
      <c r="G622" s="726"/>
      <c r="H622" s="726"/>
      <c r="I622" s="725"/>
      <c r="J622" s="725"/>
      <c r="K622" s="725"/>
      <c r="L622" s="923"/>
      <c r="M622" s="756"/>
      <c r="N622" s="756"/>
      <c r="O622" s="756"/>
      <c r="P622" s="756"/>
      <c r="Q622" s="756"/>
      <c r="R622" s="756"/>
      <c r="S622" s="923"/>
      <c r="T622" s="756"/>
      <c r="U622" s="756"/>
      <c r="V622" s="756"/>
      <c r="W622" s="756"/>
      <c r="X622" s="756"/>
      <c r="Y622" s="756"/>
      <c r="Z622" s="923"/>
      <c r="AA622" s="756"/>
      <c r="AB622" s="756"/>
      <c r="AC622" s="756"/>
      <c r="AD622" s="756"/>
      <c r="AE622" s="774"/>
      <c r="AF622" s="756"/>
      <c r="AG622" s="897"/>
      <c r="AH622" s="889"/>
      <c r="AI622" s="786">
        <f t="shared" si="31"/>
        <v>0</v>
      </c>
      <c r="AJ622" s="725">
        <v>0</v>
      </c>
      <c r="AK622" s="726">
        <f t="shared" si="29"/>
        <v>0</v>
      </c>
      <c r="AL622" s="847" t="s">
        <v>1641</v>
      </c>
      <c r="AM622" s="729">
        <f t="shared" si="30"/>
        <v>9</v>
      </c>
    </row>
    <row r="623" spans="1:39" s="730" customFormat="1" hidden="1">
      <c r="A623" s="720" t="s">
        <v>1076</v>
      </c>
      <c r="B623" s="720" t="s">
        <v>1407</v>
      </c>
      <c r="C623" s="823" t="s">
        <v>1452</v>
      </c>
      <c r="D623" s="743"/>
      <c r="E623" s="915"/>
      <c r="F623" s="726"/>
      <c r="G623" s="726"/>
      <c r="H623" s="726"/>
      <c r="I623" s="725"/>
      <c r="J623" s="725"/>
      <c r="K623" s="725"/>
      <c r="L623" s="923"/>
      <c r="M623" s="756"/>
      <c r="N623" s="756"/>
      <c r="O623" s="756"/>
      <c r="P623" s="756"/>
      <c r="Q623" s="756"/>
      <c r="R623" s="756"/>
      <c r="S623" s="923"/>
      <c r="T623" s="756"/>
      <c r="U623" s="756"/>
      <c r="V623" s="756"/>
      <c r="W623" s="756"/>
      <c r="X623" s="756"/>
      <c r="Y623" s="756"/>
      <c r="Z623" s="923"/>
      <c r="AA623" s="756"/>
      <c r="AB623" s="756"/>
      <c r="AC623" s="756"/>
      <c r="AD623" s="756"/>
      <c r="AE623" s="774"/>
      <c r="AF623" s="756"/>
      <c r="AG623" s="897"/>
      <c r="AH623" s="889"/>
      <c r="AI623" s="786">
        <f t="shared" si="31"/>
        <v>0</v>
      </c>
      <c r="AJ623" s="725">
        <v>0</v>
      </c>
      <c r="AK623" s="726">
        <f t="shared" si="29"/>
        <v>0</v>
      </c>
      <c r="AL623" s="847" t="s">
        <v>1455</v>
      </c>
      <c r="AM623" s="729">
        <f t="shared" si="30"/>
        <v>1</v>
      </c>
    </row>
    <row r="624" spans="1:39" s="500" customFormat="1" hidden="1">
      <c r="A624" s="542" t="s">
        <v>1077</v>
      </c>
      <c r="B624" s="542" t="s">
        <v>1408</v>
      </c>
      <c r="C624" s="616"/>
      <c r="D624" s="519"/>
      <c r="E624" s="915"/>
      <c r="F624" s="520"/>
      <c r="G624" s="520"/>
      <c r="H624" s="520"/>
      <c r="I624" s="521"/>
      <c r="J624" s="521"/>
      <c r="K624" s="521"/>
      <c r="L624" s="923"/>
      <c r="M624" s="514"/>
      <c r="N624" s="514"/>
      <c r="O624" s="514"/>
      <c r="P624" s="514"/>
      <c r="Q624" s="514"/>
      <c r="R624" s="514"/>
      <c r="S624" s="923"/>
      <c r="T624" s="514"/>
      <c r="U624" s="514"/>
      <c r="V624" s="514"/>
      <c r="W624" s="514"/>
      <c r="X624" s="514"/>
      <c r="Y624" s="514"/>
      <c r="Z624" s="923"/>
      <c r="AA624" s="514"/>
      <c r="AB624" s="514"/>
      <c r="AC624" s="514"/>
      <c r="AD624" s="514"/>
      <c r="AE624" s="774"/>
      <c r="AF624" s="514"/>
      <c r="AG624" s="897"/>
      <c r="AH624" s="890"/>
      <c r="AI624" s="786">
        <f t="shared" si="31"/>
        <v>0</v>
      </c>
      <c r="AJ624" s="521">
        <v>0</v>
      </c>
      <c r="AK624" s="520">
        <f t="shared" si="29"/>
        <v>0</v>
      </c>
      <c r="AL624" s="695"/>
      <c r="AM624" s="669">
        <f t="shared" si="30"/>
        <v>0</v>
      </c>
    </row>
    <row r="625" spans="1:39" s="500" customFormat="1" hidden="1">
      <c r="A625" s="539" t="s">
        <v>1078</v>
      </c>
      <c r="B625" s="539" t="s">
        <v>1409</v>
      </c>
      <c r="C625" s="548" t="s">
        <v>1452</v>
      </c>
      <c r="D625" s="519"/>
      <c r="E625" s="915"/>
      <c r="F625" s="520"/>
      <c r="G625" s="520"/>
      <c r="H625" s="520"/>
      <c r="I625" s="521"/>
      <c r="J625" s="521"/>
      <c r="K625" s="521"/>
      <c r="L625" s="923"/>
      <c r="M625" s="514"/>
      <c r="N625" s="514"/>
      <c r="O625" s="514"/>
      <c r="P625" s="514"/>
      <c r="Q625" s="514"/>
      <c r="R625" s="514"/>
      <c r="S625" s="923"/>
      <c r="T625" s="514"/>
      <c r="U625" s="514"/>
      <c r="V625" s="514"/>
      <c r="W625" s="514"/>
      <c r="X625" s="514"/>
      <c r="Y625" s="514"/>
      <c r="Z625" s="923"/>
      <c r="AA625" s="514"/>
      <c r="AB625" s="514"/>
      <c r="AC625" s="514"/>
      <c r="AD625" s="514"/>
      <c r="AE625" s="774"/>
      <c r="AF625" s="514"/>
      <c r="AG625" s="897"/>
      <c r="AH625" s="890"/>
      <c r="AI625" s="786">
        <f t="shared" si="31"/>
        <v>0</v>
      </c>
      <c r="AJ625" s="521">
        <v>0</v>
      </c>
      <c r="AK625" s="520">
        <f t="shared" si="29"/>
        <v>0</v>
      </c>
      <c r="AL625" s="695" t="s">
        <v>1455</v>
      </c>
      <c r="AM625" s="669">
        <f t="shared" si="30"/>
        <v>1</v>
      </c>
    </row>
    <row r="626" spans="1:39" s="500" customFormat="1" hidden="1">
      <c r="A626" s="539" t="s">
        <v>1079</v>
      </c>
      <c r="B626" s="539" t="s">
        <v>1410</v>
      </c>
      <c r="C626" s="548" t="s">
        <v>1452</v>
      </c>
      <c r="D626" s="519"/>
      <c r="E626" s="915"/>
      <c r="F626" s="520"/>
      <c r="G626" s="520"/>
      <c r="H626" s="520"/>
      <c r="I626" s="521"/>
      <c r="J626" s="521"/>
      <c r="K626" s="521"/>
      <c r="L626" s="923"/>
      <c r="M626" s="514"/>
      <c r="N626" s="514"/>
      <c r="O626" s="514"/>
      <c r="P626" s="514"/>
      <c r="Q626" s="514"/>
      <c r="R626" s="514"/>
      <c r="S626" s="923"/>
      <c r="T626" s="514"/>
      <c r="U626" s="514"/>
      <c r="V626" s="514"/>
      <c r="W626" s="514"/>
      <c r="X626" s="514"/>
      <c r="Y626" s="514"/>
      <c r="Z626" s="923"/>
      <c r="AA626" s="514"/>
      <c r="AB626" s="514"/>
      <c r="AC626" s="514"/>
      <c r="AD626" s="514"/>
      <c r="AE626" s="774"/>
      <c r="AF626" s="514"/>
      <c r="AG626" s="897"/>
      <c r="AH626" s="890"/>
      <c r="AI626" s="786">
        <f t="shared" si="31"/>
        <v>0</v>
      </c>
      <c r="AJ626" s="521">
        <v>0</v>
      </c>
      <c r="AK626" s="520">
        <f t="shared" si="29"/>
        <v>0</v>
      </c>
      <c r="AL626" s="695" t="s">
        <v>1455</v>
      </c>
      <c r="AM626" s="669">
        <f t="shared" si="30"/>
        <v>1</v>
      </c>
    </row>
    <row r="627" spans="1:39" s="500" customFormat="1" hidden="1">
      <c r="A627" s="539" t="s">
        <v>1080</v>
      </c>
      <c r="B627" s="539" t="s">
        <v>1411</v>
      </c>
      <c r="C627" s="548" t="s">
        <v>1452</v>
      </c>
      <c r="D627" s="519"/>
      <c r="E627" s="915"/>
      <c r="F627" s="520"/>
      <c r="G627" s="520"/>
      <c r="H627" s="520"/>
      <c r="I627" s="521"/>
      <c r="J627" s="521"/>
      <c r="K627" s="521"/>
      <c r="L627" s="923"/>
      <c r="M627" s="514"/>
      <c r="N627" s="514"/>
      <c r="O627" s="514"/>
      <c r="P627" s="514"/>
      <c r="Q627" s="514"/>
      <c r="R627" s="514"/>
      <c r="S627" s="923"/>
      <c r="T627" s="514"/>
      <c r="U627" s="514"/>
      <c r="V627" s="514"/>
      <c r="W627" s="514"/>
      <c r="X627" s="514"/>
      <c r="Y627" s="514"/>
      <c r="Z627" s="923"/>
      <c r="AA627" s="514"/>
      <c r="AB627" s="514"/>
      <c r="AC627" s="514"/>
      <c r="AD627" s="514"/>
      <c r="AE627" s="774"/>
      <c r="AF627" s="514"/>
      <c r="AG627" s="897"/>
      <c r="AH627" s="890"/>
      <c r="AI627" s="786">
        <f t="shared" si="31"/>
        <v>0</v>
      </c>
      <c r="AJ627" s="521">
        <v>0</v>
      </c>
      <c r="AK627" s="520">
        <f t="shared" si="29"/>
        <v>0</v>
      </c>
      <c r="AL627" s="695" t="s">
        <v>1726</v>
      </c>
      <c r="AM627" s="669">
        <f t="shared" si="30"/>
        <v>11</v>
      </c>
    </row>
    <row r="628" spans="1:39" s="500" customFormat="1" hidden="1">
      <c r="A628" s="539" t="s">
        <v>1081</v>
      </c>
      <c r="B628" s="539" t="s">
        <v>1412</v>
      </c>
      <c r="C628" s="548" t="s">
        <v>1452</v>
      </c>
      <c r="D628" s="519"/>
      <c r="E628" s="915"/>
      <c r="F628" s="520"/>
      <c r="G628" s="520"/>
      <c r="H628" s="520"/>
      <c r="I628" s="521"/>
      <c r="J628" s="521"/>
      <c r="K628" s="521"/>
      <c r="L628" s="923"/>
      <c r="M628" s="514"/>
      <c r="N628" s="514"/>
      <c r="O628" s="514"/>
      <c r="P628" s="514"/>
      <c r="Q628" s="514"/>
      <c r="R628" s="514"/>
      <c r="S628" s="923"/>
      <c r="T628" s="514"/>
      <c r="U628" s="514"/>
      <c r="V628" s="514"/>
      <c r="W628" s="514"/>
      <c r="X628" s="514"/>
      <c r="Y628" s="514"/>
      <c r="Z628" s="923"/>
      <c r="AA628" s="514"/>
      <c r="AB628" s="514"/>
      <c r="AC628" s="514"/>
      <c r="AD628" s="514"/>
      <c r="AE628" s="774"/>
      <c r="AF628" s="514"/>
      <c r="AG628" s="897"/>
      <c r="AH628" s="890"/>
      <c r="AI628" s="786">
        <f t="shared" si="31"/>
        <v>0</v>
      </c>
      <c r="AJ628" s="521">
        <v>0</v>
      </c>
      <c r="AK628" s="520">
        <f t="shared" si="29"/>
        <v>0</v>
      </c>
      <c r="AL628" s="695" t="s">
        <v>1698</v>
      </c>
      <c r="AM628" s="669">
        <f t="shared" si="30"/>
        <v>2</v>
      </c>
    </row>
    <row r="629" spans="1:39" s="500" customFormat="1" hidden="1">
      <c r="A629" s="539" t="s">
        <v>1082</v>
      </c>
      <c r="B629" s="539" t="s">
        <v>1413</v>
      </c>
      <c r="C629" s="548" t="s">
        <v>1452</v>
      </c>
      <c r="D629" s="519"/>
      <c r="E629" s="915"/>
      <c r="F629" s="520"/>
      <c r="G629" s="520"/>
      <c r="H629" s="520"/>
      <c r="I629" s="521"/>
      <c r="J629" s="521"/>
      <c r="K629" s="521"/>
      <c r="L629" s="923"/>
      <c r="M629" s="514"/>
      <c r="N629" s="514"/>
      <c r="O629" s="514"/>
      <c r="P629" s="514"/>
      <c r="Q629" s="514"/>
      <c r="R629" s="514"/>
      <c r="S629" s="923"/>
      <c r="T629" s="514"/>
      <c r="U629" s="514"/>
      <c r="V629" s="514"/>
      <c r="W629" s="514"/>
      <c r="X629" s="514"/>
      <c r="Y629" s="514"/>
      <c r="Z629" s="923"/>
      <c r="AA629" s="514"/>
      <c r="AB629" s="514"/>
      <c r="AC629" s="514"/>
      <c r="AD629" s="514"/>
      <c r="AE629" s="774"/>
      <c r="AF629" s="514"/>
      <c r="AG629" s="897"/>
      <c r="AH629" s="890"/>
      <c r="AI629" s="786">
        <f t="shared" si="31"/>
        <v>0</v>
      </c>
      <c r="AJ629" s="521">
        <v>0</v>
      </c>
      <c r="AK629" s="520">
        <f t="shared" si="29"/>
        <v>0</v>
      </c>
      <c r="AL629" s="695" t="s">
        <v>1698</v>
      </c>
      <c r="AM629" s="669">
        <f t="shared" si="30"/>
        <v>2</v>
      </c>
    </row>
    <row r="630" spans="1:39" s="730" customFormat="1" hidden="1">
      <c r="A630" s="831" t="s">
        <v>1083</v>
      </c>
      <c r="B630" s="831" t="s">
        <v>1414</v>
      </c>
      <c r="C630" s="844"/>
      <c r="D630" s="743"/>
      <c r="E630" s="915"/>
      <c r="F630" s="726"/>
      <c r="G630" s="726"/>
      <c r="H630" s="726"/>
      <c r="I630" s="725"/>
      <c r="J630" s="725"/>
      <c r="K630" s="725"/>
      <c r="L630" s="923"/>
      <c r="M630" s="756"/>
      <c r="N630" s="756"/>
      <c r="O630" s="756"/>
      <c r="P630" s="756"/>
      <c r="Q630" s="756"/>
      <c r="R630" s="756"/>
      <c r="S630" s="923"/>
      <c r="T630" s="756"/>
      <c r="U630" s="756"/>
      <c r="V630" s="756"/>
      <c r="W630" s="756"/>
      <c r="X630" s="756"/>
      <c r="Y630" s="756"/>
      <c r="Z630" s="923"/>
      <c r="AA630" s="756"/>
      <c r="AB630" s="756"/>
      <c r="AC630" s="756"/>
      <c r="AD630" s="756"/>
      <c r="AE630" s="774"/>
      <c r="AF630" s="756"/>
      <c r="AG630" s="897"/>
      <c r="AH630" s="889"/>
      <c r="AI630" s="786">
        <f t="shared" si="31"/>
        <v>0</v>
      </c>
      <c r="AJ630" s="725">
        <v>0</v>
      </c>
      <c r="AK630" s="726">
        <f t="shared" si="29"/>
        <v>0</v>
      </c>
      <c r="AL630" s="847"/>
      <c r="AM630" s="729">
        <f t="shared" si="30"/>
        <v>0</v>
      </c>
    </row>
    <row r="631" spans="1:39" s="730" customFormat="1" hidden="1">
      <c r="A631" s="720" t="s">
        <v>1084</v>
      </c>
      <c r="B631" s="720" t="s">
        <v>1415</v>
      </c>
      <c r="C631" s="823" t="s">
        <v>36</v>
      </c>
      <c r="D631" s="743"/>
      <c r="E631" s="915"/>
      <c r="F631" s="726"/>
      <c r="G631" s="726"/>
      <c r="H631" s="726"/>
      <c r="I631" s="725"/>
      <c r="J631" s="725"/>
      <c r="K631" s="725"/>
      <c r="L631" s="923"/>
      <c r="M631" s="756"/>
      <c r="N631" s="756"/>
      <c r="O631" s="756"/>
      <c r="P631" s="756"/>
      <c r="Q631" s="756"/>
      <c r="R631" s="756"/>
      <c r="S631" s="923"/>
      <c r="T631" s="756"/>
      <c r="U631" s="756"/>
      <c r="V631" s="756"/>
      <c r="W631" s="756"/>
      <c r="X631" s="756"/>
      <c r="Y631" s="756"/>
      <c r="Z631" s="923"/>
      <c r="AA631" s="756"/>
      <c r="AB631" s="756"/>
      <c r="AC631" s="756"/>
      <c r="AD631" s="756"/>
      <c r="AE631" s="774"/>
      <c r="AF631" s="756"/>
      <c r="AG631" s="897"/>
      <c r="AH631" s="889"/>
      <c r="AI631" s="786">
        <f t="shared" si="31"/>
        <v>0</v>
      </c>
      <c r="AJ631" s="725">
        <v>0</v>
      </c>
      <c r="AK631" s="726">
        <f t="shared" si="29"/>
        <v>0</v>
      </c>
      <c r="AL631" s="847" t="s">
        <v>1455</v>
      </c>
      <c r="AM631" s="729">
        <f t="shared" si="30"/>
        <v>1</v>
      </c>
    </row>
    <row r="632" spans="1:39" s="500" customFormat="1" hidden="1">
      <c r="A632" s="542" t="s">
        <v>1085</v>
      </c>
      <c r="B632" s="542" t="s">
        <v>1416</v>
      </c>
      <c r="C632" s="616"/>
      <c r="D632" s="519"/>
      <c r="E632" s="915"/>
      <c r="F632" s="520"/>
      <c r="G632" s="520"/>
      <c r="H632" s="520"/>
      <c r="I632" s="521"/>
      <c r="J632" s="521"/>
      <c r="K632" s="521"/>
      <c r="L632" s="923"/>
      <c r="M632" s="514"/>
      <c r="N632" s="514"/>
      <c r="O632" s="514"/>
      <c r="P632" s="514"/>
      <c r="Q632" s="514"/>
      <c r="R632" s="514"/>
      <c r="S632" s="923"/>
      <c r="T632" s="514"/>
      <c r="U632" s="514"/>
      <c r="V632" s="514"/>
      <c r="W632" s="514"/>
      <c r="X632" s="514"/>
      <c r="Y632" s="514"/>
      <c r="Z632" s="923"/>
      <c r="AA632" s="514"/>
      <c r="AB632" s="514"/>
      <c r="AC632" s="514"/>
      <c r="AD632" s="514"/>
      <c r="AE632" s="774"/>
      <c r="AF632" s="514"/>
      <c r="AG632" s="897"/>
      <c r="AH632" s="890"/>
      <c r="AI632" s="786">
        <f t="shared" si="31"/>
        <v>0</v>
      </c>
      <c r="AJ632" s="521">
        <v>0</v>
      </c>
      <c r="AK632" s="520">
        <f t="shared" si="29"/>
        <v>0</v>
      </c>
      <c r="AL632" s="695"/>
      <c r="AM632" s="669">
        <f t="shared" si="30"/>
        <v>0</v>
      </c>
    </row>
    <row r="633" spans="1:39" s="500" customFormat="1" hidden="1">
      <c r="A633" s="539" t="s">
        <v>1086</v>
      </c>
      <c r="B633" s="539" t="s">
        <v>1417</v>
      </c>
      <c r="C633" s="548" t="s">
        <v>36</v>
      </c>
      <c r="D633" s="519"/>
      <c r="E633" s="915"/>
      <c r="F633" s="520"/>
      <c r="G633" s="520"/>
      <c r="H633" s="520"/>
      <c r="I633" s="521"/>
      <c r="J633" s="521"/>
      <c r="K633" s="521"/>
      <c r="L633" s="923"/>
      <c r="M633" s="514"/>
      <c r="N633" s="514"/>
      <c r="O633" s="514"/>
      <c r="P633" s="514"/>
      <c r="Q633" s="514"/>
      <c r="R633" s="514"/>
      <c r="S633" s="923"/>
      <c r="T633" s="514"/>
      <c r="U633" s="514"/>
      <c r="V633" s="514"/>
      <c r="W633" s="514"/>
      <c r="X633" s="514"/>
      <c r="Y633" s="514"/>
      <c r="Z633" s="923"/>
      <c r="AA633" s="514"/>
      <c r="AB633" s="514"/>
      <c r="AC633" s="514"/>
      <c r="AD633" s="514"/>
      <c r="AE633" s="774"/>
      <c r="AF633" s="514"/>
      <c r="AG633" s="897"/>
      <c r="AH633" s="890"/>
      <c r="AI633" s="786">
        <f t="shared" si="31"/>
        <v>0</v>
      </c>
      <c r="AJ633" s="521">
        <v>0</v>
      </c>
      <c r="AK633" s="520">
        <f t="shared" si="29"/>
        <v>0</v>
      </c>
      <c r="AL633" s="695" t="s">
        <v>1455</v>
      </c>
      <c r="AM633" s="669">
        <f t="shared" si="30"/>
        <v>1</v>
      </c>
    </row>
    <row r="634" spans="1:39" s="500" customFormat="1" hidden="1">
      <c r="A634" s="440" t="s">
        <v>513</v>
      </c>
      <c r="B634" s="543" t="s">
        <v>1418</v>
      </c>
      <c r="C634" s="616"/>
      <c r="D634" s="519"/>
      <c r="E634" s="915"/>
      <c r="F634" s="520"/>
      <c r="G634" s="520"/>
      <c r="H634" s="520"/>
      <c r="I634" s="521"/>
      <c r="J634" s="521"/>
      <c r="K634" s="521"/>
      <c r="L634" s="923"/>
      <c r="M634" s="514"/>
      <c r="N634" s="514"/>
      <c r="O634" s="514"/>
      <c r="P634" s="514"/>
      <c r="Q634" s="514"/>
      <c r="R634" s="514"/>
      <c r="S634" s="923"/>
      <c r="T634" s="514"/>
      <c r="U634" s="514"/>
      <c r="V634" s="514"/>
      <c r="W634" s="514"/>
      <c r="X634" s="514"/>
      <c r="Y634" s="514"/>
      <c r="Z634" s="923"/>
      <c r="AA634" s="514"/>
      <c r="AB634" s="514"/>
      <c r="AC634" s="514"/>
      <c r="AD634" s="514"/>
      <c r="AE634" s="774"/>
      <c r="AF634" s="514"/>
      <c r="AG634" s="897"/>
      <c r="AH634" s="890"/>
      <c r="AI634" s="786">
        <f t="shared" si="31"/>
        <v>0</v>
      </c>
      <c r="AJ634" s="521">
        <v>0</v>
      </c>
      <c r="AK634" s="520">
        <f t="shared" si="29"/>
        <v>0</v>
      </c>
      <c r="AL634" s="695"/>
      <c r="AM634" s="669">
        <f t="shared" si="30"/>
        <v>0</v>
      </c>
    </row>
    <row r="635" spans="1:39" s="500" customFormat="1" hidden="1">
      <c r="A635" s="542" t="s">
        <v>1087</v>
      </c>
      <c r="B635" s="542" t="s">
        <v>1419</v>
      </c>
      <c r="C635" s="616"/>
      <c r="D635" s="519"/>
      <c r="E635" s="915"/>
      <c r="F635" s="520"/>
      <c r="G635" s="520"/>
      <c r="H635" s="520"/>
      <c r="I635" s="521"/>
      <c r="J635" s="521"/>
      <c r="K635" s="521"/>
      <c r="L635" s="923"/>
      <c r="M635" s="514"/>
      <c r="N635" s="514"/>
      <c r="O635" s="514"/>
      <c r="P635" s="514"/>
      <c r="Q635" s="514"/>
      <c r="R635" s="514"/>
      <c r="S635" s="923"/>
      <c r="T635" s="514"/>
      <c r="U635" s="514"/>
      <c r="V635" s="514"/>
      <c r="W635" s="514"/>
      <c r="X635" s="514"/>
      <c r="Y635" s="514"/>
      <c r="Z635" s="923"/>
      <c r="AA635" s="514"/>
      <c r="AB635" s="514"/>
      <c r="AC635" s="514"/>
      <c r="AD635" s="514"/>
      <c r="AE635" s="774"/>
      <c r="AF635" s="514"/>
      <c r="AG635" s="897"/>
      <c r="AH635" s="890"/>
      <c r="AI635" s="786">
        <f t="shared" si="31"/>
        <v>0</v>
      </c>
      <c r="AJ635" s="521">
        <v>0</v>
      </c>
      <c r="AK635" s="520">
        <f t="shared" si="29"/>
        <v>0</v>
      </c>
      <c r="AL635" s="695"/>
      <c r="AM635" s="669">
        <f t="shared" si="30"/>
        <v>0</v>
      </c>
    </row>
    <row r="636" spans="1:39" s="500" customFormat="1" hidden="1">
      <c r="A636" s="539" t="s">
        <v>1088</v>
      </c>
      <c r="B636" s="539" t="s">
        <v>1420</v>
      </c>
      <c r="C636" s="548" t="s">
        <v>38</v>
      </c>
      <c r="D636" s="519"/>
      <c r="E636" s="915"/>
      <c r="F636" s="520"/>
      <c r="G636" s="520"/>
      <c r="H636" s="520"/>
      <c r="I636" s="521"/>
      <c r="J636" s="521"/>
      <c r="K636" s="521"/>
      <c r="L636" s="923"/>
      <c r="M636" s="514"/>
      <c r="N636" s="514"/>
      <c r="O636" s="514"/>
      <c r="P636" s="514"/>
      <c r="Q636" s="514"/>
      <c r="R636" s="514"/>
      <c r="S636" s="923"/>
      <c r="T636" s="514"/>
      <c r="U636" s="514"/>
      <c r="V636" s="514"/>
      <c r="W636" s="514"/>
      <c r="X636" s="514"/>
      <c r="Y636" s="514"/>
      <c r="Z636" s="923"/>
      <c r="AA636" s="514"/>
      <c r="AB636" s="514"/>
      <c r="AC636" s="514"/>
      <c r="AD636" s="514"/>
      <c r="AE636" s="774"/>
      <c r="AF636" s="514"/>
      <c r="AG636" s="897"/>
      <c r="AH636" s="890"/>
      <c r="AI636" s="786">
        <f t="shared" si="31"/>
        <v>0</v>
      </c>
      <c r="AJ636" s="521">
        <v>0</v>
      </c>
      <c r="AK636" s="520">
        <f t="shared" si="29"/>
        <v>0</v>
      </c>
      <c r="AL636" s="695" t="s">
        <v>1768</v>
      </c>
      <c r="AM636" s="669">
        <f t="shared" si="30"/>
        <v>29</v>
      </c>
    </row>
    <row r="637" spans="1:39" s="500" customFormat="1" hidden="1">
      <c r="A637" s="542" t="s">
        <v>1089</v>
      </c>
      <c r="B637" s="542" t="s">
        <v>1421</v>
      </c>
      <c r="C637" s="616"/>
      <c r="D637" s="519"/>
      <c r="E637" s="915"/>
      <c r="F637" s="520"/>
      <c r="G637" s="520"/>
      <c r="H637" s="520"/>
      <c r="I637" s="521"/>
      <c r="J637" s="521"/>
      <c r="K637" s="521"/>
      <c r="L637" s="923"/>
      <c r="M637" s="514"/>
      <c r="N637" s="514"/>
      <c r="O637" s="514"/>
      <c r="P637" s="514"/>
      <c r="Q637" s="514"/>
      <c r="R637" s="514"/>
      <c r="S637" s="923"/>
      <c r="T637" s="514"/>
      <c r="U637" s="514"/>
      <c r="V637" s="514"/>
      <c r="W637" s="514"/>
      <c r="X637" s="514"/>
      <c r="Y637" s="514"/>
      <c r="Z637" s="923"/>
      <c r="AA637" s="514"/>
      <c r="AB637" s="514"/>
      <c r="AC637" s="514"/>
      <c r="AD637" s="514"/>
      <c r="AE637" s="774"/>
      <c r="AF637" s="514"/>
      <c r="AG637" s="897"/>
      <c r="AH637" s="890"/>
      <c r="AI637" s="786">
        <f t="shared" si="31"/>
        <v>0</v>
      </c>
      <c r="AJ637" s="521">
        <v>0</v>
      </c>
      <c r="AK637" s="520">
        <f t="shared" si="29"/>
        <v>0</v>
      </c>
      <c r="AL637" s="695"/>
      <c r="AM637" s="669">
        <f t="shared" si="30"/>
        <v>0</v>
      </c>
    </row>
    <row r="638" spans="1:39" s="500" customFormat="1" hidden="1">
      <c r="A638" s="539" t="s">
        <v>1090</v>
      </c>
      <c r="B638" s="539" t="s">
        <v>1422</v>
      </c>
      <c r="C638" s="548" t="s">
        <v>38</v>
      </c>
      <c r="D638" s="519"/>
      <c r="E638" s="915"/>
      <c r="F638" s="520"/>
      <c r="G638" s="520"/>
      <c r="H638" s="520"/>
      <c r="I638" s="521"/>
      <c r="J638" s="521"/>
      <c r="K638" s="521"/>
      <c r="L638" s="923"/>
      <c r="M638" s="514"/>
      <c r="N638" s="514"/>
      <c r="O638" s="514"/>
      <c r="P638" s="514"/>
      <c r="Q638" s="514"/>
      <c r="R638" s="514"/>
      <c r="S638" s="923"/>
      <c r="T638" s="514"/>
      <c r="U638" s="514"/>
      <c r="V638" s="514"/>
      <c r="W638" s="514"/>
      <c r="X638" s="514"/>
      <c r="Y638" s="514"/>
      <c r="Z638" s="923"/>
      <c r="AA638" s="514"/>
      <c r="AB638" s="514"/>
      <c r="AC638" s="514"/>
      <c r="AD638" s="514"/>
      <c r="AE638" s="774"/>
      <c r="AF638" s="514"/>
      <c r="AG638" s="897"/>
      <c r="AH638" s="890"/>
      <c r="AI638" s="786">
        <f t="shared" si="31"/>
        <v>0</v>
      </c>
      <c r="AJ638" s="521">
        <v>0</v>
      </c>
      <c r="AK638" s="520">
        <f t="shared" si="29"/>
        <v>0</v>
      </c>
      <c r="AL638" s="695" t="s">
        <v>1736</v>
      </c>
      <c r="AM638" s="669">
        <f t="shared" si="30"/>
        <v>64</v>
      </c>
    </row>
    <row r="639" spans="1:39" s="500" customFormat="1" hidden="1">
      <c r="A639" s="542" t="s">
        <v>1091</v>
      </c>
      <c r="B639" s="542" t="s">
        <v>1423</v>
      </c>
      <c r="C639" s="616"/>
      <c r="D639" s="519"/>
      <c r="E639" s="915"/>
      <c r="F639" s="520"/>
      <c r="G639" s="520"/>
      <c r="H639" s="520"/>
      <c r="I639" s="521"/>
      <c r="J639" s="521"/>
      <c r="K639" s="521"/>
      <c r="L639" s="923"/>
      <c r="M639" s="514"/>
      <c r="N639" s="514"/>
      <c r="O639" s="514"/>
      <c r="P639" s="514"/>
      <c r="Q639" s="514"/>
      <c r="R639" s="514"/>
      <c r="S639" s="923"/>
      <c r="T639" s="514"/>
      <c r="U639" s="514"/>
      <c r="V639" s="514"/>
      <c r="W639" s="514"/>
      <c r="X639" s="514"/>
      <c r="Y639" s="514"/>
      <c r="Z639" s="923"/>
      <c r="AA639" s="514"/>
      <c r="AB639" s="514"/>
      <c r="AC639" s="514"/>
      <c r="AD639" s="514"/>
      <c r="AE639" s="774"/>
      <c r="AF639" s="514"/>
      <c r="AG639" s="897"/>
      <c r="AH639" s="890"/>
      <c r="AI639" s="786">
        <f t="shared" si="31"/>
        <v>0</v>
      </c>
      <c r="AJ639" s="521">
        <v>0</v>
      </c>
      <c r="AK639" s="520">
        <f t="shared" si="29"/>
        <v>0</v>
      </c>
      <c r="AL639" s="695"/>
      <c r="AM639" s="669">
        <f t="shared" si="30"/>
        <v>0</v>
      </c>
    </row>
    <row r="640" spans="1:39" s="500" customFormat="1" hidden="1">
      <c r="A640" s="539" t="s">
        <v>1092</v>
      </c>
      <c r="B640" s="539" t="s">
        <v>1424</v>
      </c>
      <c r="C640" s="548" t="s">
        <v>38</v>
      </c>
      <c r="D640" s="519"/>
      <c r="E640" s="915"/>
      <c r="F640" s="520"/>
      <c r="G640" s="520"/>
      <c r="H640" s="520"/>
      <c r="I640" s="521"/>
      <c r="J640" s="521"/>
      <c r="K640" s="521"/>
      <c r="L640" s="923"/>
      <c r="M640" s="514"/>
      <c r="N640" s="514"/>
      <c r="O640" s="514"/>
      <c r="P640" s="514"/>
      <c r="Q640" s="514"/>
      <c r="R640" s="514"/>
      <c r="S640" s="923"/>
      <c r="T640" s="514"/>
      <c r="U640" s="514"/>
      <c r="V640" s="514"/>
      <c r="W640" s="514"/>
      <c r="X640" s="514"/>
      <c r="Y640" s="514"/>
      <c r="Z640" s="923"/>
      <c r="AA640" s="514"/>
      <c r="AB640" s="514"/>
      <c r="AC640" s="514"/>
      <c r="AD640" s="514"/>
      <c r="AE640" s="774"/>
      <c r="AF640" s="514"/>
      <c r="AG640" s="897"/>
      <c r="AH640" s="890"/>
      <c r="AI640" s="786">
        <f t="shared" si="31"/>
        <v>0</v>
      </c>
      <c r="AJ640" s="521">
        <v>0</v>
      </c>
      <c r="AK640" s="520">
        <f t="shared" si="29"/>
        <v>0</v>
      </c>
      <c r="AL640" s="695" t="s">
        <v>1736</v>
      </c>
      <c r="AM640" s="669">
        <f t="shared" si="30"/>
        <v>64</v>
      </c>
    </row>
    <row r="641" spans="1:39" s="500" customFormat="1" hidden="1">
      <c r="A641" s="542" t="s">
        <v>1093</v>
      </c>
      <c r="B641" s="542" t="s">
        <v>1425</v>
      </c>
      <c r="C641" s="616"/>
      <c r="D641" s="519"/>
      <c r="E641" s="915"/>
      <c r="F641" s="520"/>
      <c r="G641" s="520"/>
      <c r="H641" s="520"/>
      <c r="I641" s="521"/>
      <c r="J641" s="521"/>
      <c r="K641" s="521"/>
      <c r="L641" s="923"/>
      <c r="M641" s="514"/>
      <c r="N641" s="514"/>
      <c r="O641" s="514"/>
      <c r="P641" s="514"/>
      <c r="Q641" s="514"/>
      <c r="R641" s="514"/>
      <c r="S641" s="923"/>
      <c r="T641" s="514"/>
      <c r="U641" s="514"/>
      <c r="V641" s="514"/>
      <c r="W641" s="514"/>
      <c r="X641" s="514"/>
      <c r="Y641" s="514"/>
      <c r="Z641" s="923"/>
      <c r="AA641" s="514"/>
      <c r="AB641" s="514"/>
      <c r="AC641" s="514"/>
      <c r="AD641" s="514"/>
      <c r="AE641" s="774"/>
      <c r="AF641" s="514"/>
      <c r="AG641" s="897"/>
      <c r="AH641" s="890"/>
      <c r="AI641" s="786">
        <f t="shared" si="31"/>
        <v>0</v>
      </c>
      <c r="AJ641" s="521">
        <v>0</v>
      </c>
      <c r="AK641" s="520">
        <f t="shared" si="29"/>
        <v>0</v>
      </c>
      <c r="AL641" s="695"/>
      <c r="AM641" s="669">
        <f t="shared" si="30"/>
        <v>0</v>
      </c>
    </row>
    <row r="642" spans="1:39" s="500" customFormat="1" hidden="1">
      <c r="A642" s="539" t="s">
        <v>1094</v>
      </c>
      <c r="B642" s="539" t="s">
        <v>1426</v>
      </c>
      <c r="C642" s="548" t="s">
        <v>1452</v>
      </c>
      <c r="D642" s="519"/>
      <c r="E642" s="915"/>
      <c r="F642" s="520"/>
      <c r="G642" s="520"/>
      <c r="H642" s="520"/>
      <c r="I642" s="521"/>
      <c r="J642" s="521"/>
      <c r="K642" s="521"/>
      <c r="L642" s="923"/>
      <c r="M642" s="514"/>
      <c r="N642" s="514"/>
      <c r="O642" s="514"/>
      <c r="P642" s="514"/>
      <c r="Q642" s="514"/>
      <c r="R642" s="514"/>
      <c r="S642" s="923"/>
      <c r="T642" s="514"/>
      <c r="U642" s="514"/>
      <c r="V642" s="514"/>
      <c r="W642" s="514"/>
      <c r="X642" s="514"/>
      <c r="Y642" s="514"/>
      <c r="Z642" s="923"/>
      <c r="AA642" s="514"/>
      <c r="AB642" s="514"/>
      <c r="AC642" s="514"/>
      <c r="AD642" s="514"/>
      <c r="AE642" s="774"/>
      <c r="AF642" s="514"/>
      <c r="AG642" s="897"/>
      <c r="AH642" s="890"/>
      <c r="AI642" s="786">
        <f t="shared" si="31"/>
        <v>0</v>
      </c>
      <c r="AJ642" s="521">
        <v>0</v>
      </c>
      <c r="AK642" s="520">
        <f t="shared" si="29"/>
        <v>0</v>
      </c>
      <c r="AL642" s="695" t="s">
        <v>1617</v>
      </c>
      <c r="AM642" s="669">
        <f t="shared" si="30"/>
        <v>6</v>
      </c>
    </row>
    <row r="643" spans="1:39" s="500" customFormat="1" hidden="1">
      <c r="A643" s="542" t="s">
        <v>1095</v>
      </c>
      <c r="B643" s="542" t="s">
        <v>1392</v>
      </c>
      <c r="C643" s="616"/>
      <c r="D643" s="519"/>
      <c r="E643" s="915"/>
      <c r="F643" s="520"/>
      <c r="G643" s="520"/>
      <c r="H643" s="520"/>
      <c r="I643" s="521"/>
      <c r="J643" s="521"/>
      <c r="K643" s="521"/>
      <c r="L643" s="923"/>
      <c r="M643" s="514"/>
      <c r="N643" s="514"/>
      <c r="O643" s="514"/>
      <c r="P643" s="514"/>
      <c r="Q643" s="514"/>
      <c r="R643" s="514"/>
      <c r="S643" s="923"/>
      <c r="T643" s="514"/>
      <c r="U643" s="514"/>
      <c r="V643" s="514"/>
      <c r="W643" s="514"/>
      <c r="X643" s="514"/>
      <c r="Y643" s="514"/>
      <c r="Z643" s="923"/>
      <c r="AA643" s="514"/>
      <c r="AB643" s="514"/>
      <c r="AC643" s="514"/>
      <c r="AD643" s="514"/>
      <c r="AE643" s="774"/>
      <c r="AF643" s="514"/>
      <c r="AG643" s="897"/>
      <c r="AH643" s="890"/>
      <c r="AI643" s="786">
        <f t="shared" si="31"/>
        <v>0</v>
      </c>
      <c r="AJ643" s="521">
        <v>0</v>
      </c>
      <c r="AK643" s="520">
        <f t="shared" si="29"/>
        <v>0</v>
      </c>
      <c r="AL643" s="695"/>
      <c r="AM643" s="669">
        <f t="shared" si="30"/>
        <v>0</v>
      </c>
    </row>
    <row r="644" spans="1:39" s="500" customFormat="1" hidden="1">
      <c r="A644" s="539" t="s">
        <v>1096</v>
      </c>
      <c r="B644" s="539" t="s">
        <v>1427</v>
      </c>
      <c r="C644" s="548" t="s">
        <v>36</v>
      </c>
      <c r="D644" s="519"/>
      <c r="E644" s="915"/>
      <c r="F644" s="520"/>
      <c r="G644" s="520"/>
      <c r="H644" s="520"/>
      <c r="I644" s="521"/>
      <c r="J644" s="521"/>
      <c r="K644" s="521"/>
      <c r="L644" s="923"/>
      <c r="M644" s="514"/>
      <c r="N644" s="514"/>
      <c r="O644" s="514"/>
      <c r="P644" s="514"/>
      <c r="Q644" s="514"/>
      <c r="R644" s="514"/>
      <c r="S644" s="923"/>
      <c r="T644" s="514"/>
      <c r="U644" s="514"/>
      <c r="V644" s="514"/>
      <c r="W644" s="514"/>
      <c r="X644" s="514"/>
      <c r="Y644" s="514"/>
      <c r="Z644" s="923"/>
      <c r="AA644" s="514"/>
      <c r="AB644" s="514"/>
      <c r="AC644" s="514"/>
      <c r="AD644" s="514"/>
      <c r="AE644" s="774"/>
      <c r="AF644" s="514"/>
      <c r="AG644" s="897"/>
      <c r="AH644" s="890"/>
      <c r="AI644" s="786">
        <f t="shared" si="31"/>
        <v>0</v>
      </c>
      <c r="AJ644" s="521">
        <v>0</v>
      </c>
      <c r="AK644" s="520">
        <f t="shared" si="29"/>
        <v>0</v>
      </c>
      <c r="AL644" s="695" t="s">
        <v>1617</v>
      </c>
      <c r="AM644" s="669">
        <f t="shared" si="30"/>
        <v>6</v>
      </c>
    </row>
    <row r="645" spans="1:39" s="500" customFormat="1" hidden="1">
      <c r="A645" s="440" t="s">
        <v>1097</v>
      </c>
      <c r="B645" s="543" t="s">
        <v>1428</v>
      </c>
      <c r="C645" s="616"/>
      <c r="D645" s="519"/>
      <c r="E645" s="915"/>
      <c r="F645" s="520"/>
      <c r="G645" s="520"/>
      <c r="H645" s="520"/>
      <c r="I645" s="521"/>
      <c r="J645" s="521"/>
      <c r="K645" s="521"/>
      <c r="L645" s="923"/>
      <c r="M645" s="514"/>
      <c r="N645" s="514"/>
      <c r="O645" s="514"/>
      <c r="P645" s="514"/>
      <c r="Q645" s="514"/>
      <c r="R645" s="514"/>
      <c r="S645" s="923"/>
      <c r="T645" s="514"/>
      <c r="U645" s="514"/>
      <c r="V645" s="514"/>
      <c r="W645" s="514"/>
      <c r="X645" s="514"/>
      <c r="Y645" s="514"/>
      <c r="Z645" s="923"/>
      <c r="AA645" s="514"/>
      <c r="AB645" s="514"/>
      <c r="AC645" s="514"/>
      <c r="AD645" s="514"/>
      <c r="AE645" s="774"/>
      <c r="AF645" s="514"/>
      <c r="AG645" s="897"/>
      <c r="AH645" s="890"/>
      <c r="AI645" s="786">
        <f t="shared" si="31"/>
        <v>0</v>
      </c>
      <c r="AJ645" s="521">
        <v>0</v>
      </c>
      <c r="AK645" s="520">
        <f t="shared" si="29"/>
        <v>0</v>
      </c>
      <c r="AL645" s="695"/>
      <c r="AM645" s="669">
        <f t="shared" si="30"/>
        <v>0</v>
      </c>
    </row>
    <row r="646" spans="1:39" s="500" customFormat="1" hidden="1">
      <c r="A646" s="542" t="s">
        <v>1098</v>
      </c>
      <c r="B646" s="542" t="s">
        <v>1419</v>
      </c>
      <c r="C646" s="616"/>
      <c r="D646" s="519"/>
      <c r="E646" s="915"/>
      <c r="F646" s="520"/>
      <c r="G646" s="520"/>
      <c r="H646" s="520"/>
      <c r="I646" s="521"/>
      <c r="J646" s="521"/>
      <c r="K646" s="521"/>
      <c r="L646" s="923"/>
      <c r="M646" s="514"/>
      <c r="N646" s="514"/>
      <c r="O646" s="514"/>
      <c r="P646" s="514"/>
      <c r="Q646" s="514"/>
      <c r="R646" s="514"/>
      <c r="S646" s="923"/>
      <c r="T646" s="514"/>
      <c r="U646" s="514"/>
      <c r="V646" s="514"/>
      <c r="W646" s="514"/>
      <c r="X646" s="514"/>
      <c r="Y646" s="514"/>
      <c r="Z646" s="923"/>
      <c r="AA646" s="514"/>
      <c r="AB646" s="514"/>
      <c r="AC646" s="514"/>
      <c r="AD646" s="514"/>
      <c r="AE646" s="774"/>
      <c r="AF646" s="514"/>
      <c r="AG646" s="897"/>
      <c r="AH646" s="890"/>
      <c r="AI646" s="786">
        <f t="shared" si="31"/>
        <v>0</v>
      </c>
      <c r="AJ646" s="521">
        <v>0</v>
      </c>
      <c r="AK646" s="520">
        <f t="shared" si="29"/>
        <v>0</v>
      </c>
      <c r="AL646" s="695"/>
      <c r="AM646" s="669">
        <f t="shared" si="30"/>
        <v>0</v>
      </c>
    </row>
    <row r="647" spans="1:39" s="500" customFormat="1" hidden="1">
      <c r="A647" s="539" t="s">
        <v>1099</v>
      </c>
      <c r="B647" s="539" t="s">
        <v>1420</v>
      </c>
      <c r="C647" s="548" t="s">
        <v>38</v>
      </c>
      <c r="D647" s="519"/>
      <c r="E647" s="915"/>
      <c r="F647" s="520"/>
      <c r="G647" s="520"/>
      <c r="H647" s="520"/>
      <c r="I647" s="521"/>
      <c r="J647" s="521"/>
      <c r="K647" s="521"/>
      <c r="L647" s="923"/>
      <c r="M647" s="514"/>
      <c r="N647" s="514"/>
      <c r="O647" s="514"/>
      <c r="P647" s="514"/>
      <c r="Q647" s="514"/>
      <c r="R647" s="514"/>
      <c r="S647" s="923"/>
      <c r="T647" s="514"/>
      <c r="U647" s="514"/>
      <c r="V647" s="514"/>
      <c r="W647" s="514"/>
      <c r="X647" s="514"/>
      <c r="Y647" s="514"/>
      <c r="Z647" s="923"/>
      <c r="AA647" s="514"/>
      <c r="AB647" s="514"/>
      <c r="AC647" s="514"/>
      <c r="AD647" s="514"/>
      <c r="AE647" s="774"/>
      <c r="AF647" s="514"/>
      <c r="AG647" s="897"/>
      <c r="AH647" s="890"/>
      <c r="AI647" s="786">
        <f t="shared" si="31"/>
        <v>0</v>
      </c>
      <c r="AJ647" s="521">
        <v>0</v>
      </c>
      <c r="AK647" s="520">
        <f t="shared" si="29"/>
        <v>0</v>
      </c>
      <c r="AL647" s="695" t="s">
        <v>1769</v>
      </c>
      <c r="AM647" s="669">
        <f t="shared" si="30"/>
        <v>56</v>
      </c>
    </row>
    <row r="648" spans="1:39" s="500" customFormat="1" hidden="1">
      <c r="A648" s="542" t="s">
        <v>1100</v>
      </c>
      <c r="B648" s="542" t="s">
        <v>1421</v>
      </c>
      <c r="C648" s="616"/>
      <c r="D648" s="519"/>
      <c r="E648" s="915"/>
      <c r="F648" s="520"/>
      <c r="G648" s="520"/>
      <c r="H648" s="520"/>
      <c r="I648" s="521"/>
      <c r="J648" s="521"/>
      <c r="K648" s="521"/>
      <c r="L648" s="923"/>
      <c r="M648" s="514"/>
      <c r="N648" s="514"/>
      <c r="O648" s="514"/>
      <c r="P648" s="514"/>
      <c r="Q648" s="514"/>
      <c r="R648" s="514"/>
      <c r="S648" s="923"/>
      <c r="T648" s="514"/>
      <c r="U648" s="514"/>
      <c r="V648" s="514"/>
      <c r="W648" s="514"/>
      <c r="X648" s="514"/>
      <c r="Y648" s="514"/>
      <c r="Z648" s="923"/>
      <c r="AA648" s="514"/>
      <c r="AB648" s="514"/>
      <c r="AC648" s="514"/>
      <c r="AD648" s="514"/>
      <c r="AE648" s="774"/>
      <c r="AF648" s="514"/>
      <c r="AG648" s="897"/>
      <c r="AH648" s="890"/>
      <c r="AI648" s="786">
        <f t="shared" si="31"/>
        <v>0</v>
      </c>
      <c r="AJ648" s="521">
        <v>0</v>
      </c>
      <c r="AK648" s="520">
        <f t="shared" si="29"/>
        <v>0</v>
      </c>
      <c r="AL648" s="695"/>
      <c r="AM648" s="669">
        <f t="shared" si="30"/>
        <v>0</v>
      </c>
    </row>
    <row r="649" spans="1:39" s="500" customFormat="1" hidden="1">
      <c r="A649" s="539" t="s">
        <v>1101</v>
      </c>
      <c r="B649" s="539" t="s">
        <v>1429</v>
      </c>
      <c r="C649" s="548" t="s">
        <v>38</v>
      </c>
      <c r="D649" s="519"/>
      <c r="E649" s="915"/>
      <c r="F649" s="520"/>
      <c r="G649" s="520"/>
      <c r="H649" s="520"/>
      <c r="I649" s="521"/>
      <c r="J649" s="521"/>
      <c r="K649" s="521"/>
      <c r="L649" s="923"/>
      <c r="M649" s="514"/>
      <c r="N649" s="514"/>
      <c r="O649" s="514"/>
      <c r="P649" s="514"/>
      <c r="Q649" s="514"/>
      <c r="R649" s="514"/>
      <c r="S649" s="923"/>
      <c r="T649" s="514"/>
      <c r="U649" s="514"/>
      <c r="V649" s="514"/>
      <c r="W649" s="514"/>
      <c r="X649" s="514"/>
      <c r="Y649" s="514"/>
      <c r="Z649" s="923"/>
      <c r="AA649" s="514"/>
      <c r="AB649" s="514"/>
      <c r="AC649" s="514"/>
      <c r="AD649" s="514"/>
      <c r="AE649" s="774"/>
      <c r="AF649" s="514"/>
      <c r="AG649" s="897"/>
      <c r="AH649" s="890"/>
      <c r="AI649" s="786">
        <f t="shared" si="31"/>
        <v>0</v>
      </c>
      <c r="AJ649" s="521">
        <v>0</v>
      </c>
      <c r="AK649" s="520">
        <f t="shared" si="29"/>
        <v>0</v>
      </c>
      <c r="AL649" s="695" t="s">
        <v>1770</v>
      </c>
      <c r="AM649" s="669">
        <f t="shared" si="30"/>
        <v>80</v>
      </c>
    </row>
    <row r="650" spans="1:39" s="500" customFormat="1" hidden="1">
      <c r="A650" s="542" t="s">
        <v>1102</v>
      </c>
      <c r="B650" s="542" t="s">
        <v>1423</v>
      </c>
      <c r="C650" s="616"/>
      <c r="D650" s="519"/>
      <c r="E650" s="915"/>
      <c r="F650" s="520"/>
      <c r="G650" s="520"/>
      <c r="H650" s="520"/>
      <c r="I650" s="521"/>
      <c r="J650" s="521"/>
      <c r="K650" s="521"/>
      <c r="L650" s="923"/>
      <c r="M650" s="514"/>
      <c r="N650" s="514"/>
      <c r="O650" s="514"/>
      <c r="P650" s="514"/>
      <c r="Q650" s="514"/>
      <c r="R650" s="514"/>
      <c r="S650" s="923"/>
      <c r="T650" s="514"/>
      <c r="U650" s="514"/>
      <c r="V650" s="514"/>
      <c r="W650" s="514"/>
      <c r="X650" s="514"/>
      <c r="Y650" s="514"/>
      <c r="Z650" s="923"/>
      <c r="AA650" s="514"/>
      <c r="AB650" s="514"/>
      <c r="AC650" s="514"/>
      <c r="AD650" s="514"/>
      <c r="AE650" s="774"/>
      <c r="AF650" s="514"/>
      <c r="AG650" s="897"/>
      <c r="AH650" s="890"/>
      <c r="AI650" s="786">
        <f t="shared" si="31"/>
        <v>0</v>
      </c>
      <c r="AJ650" s="521">
        <v>0</v>
      </c>
      <c r="AK650" s="520">
        <f t="shared" si="29"/>
        <v>0</v>
      </c>
      <c r="AL650" s="695"/>
      <c r="AM650" s="669">
        <f t="shared" si="30"/>
        <v>0</v>
      </c>
    </row>
    <row r="651" spans="1:39" s="500" customFormat="1" hidden="1">
      <c r="A651" s="539" t="s">
        <v>1103</v>
      </c>
      <c r="B651" s="539" t="s">
        <v>1430</v>
      </c>
      <c r="C651" s="548" t="s">
        <v>38</v>
      </c>
      <c r="D651" s="519"/>
      <c r="E651" s="915"/>
      <c r="F651" s="520"/>
      <c r="G651" s="520"/>
      <c r="H651" s="520"/>
      <c r="I651" s="521"/>
      <c r="J651" s="521"/>
      <c r="K651" s="521"/>
      <c r="L651" s="923"/>
      <c r="M651" s="514"/>
      <c r="N651" s="514"/>
      <c r="O651" s="514"/>
      <c r="P651" s="514"/>
      <c r="Q651" s="514"/>
      <c r="R651" s="514"/>
      <c r="S651" s="923"/>
      <c r="T651" s="514"/>
      <c r="U651" s="514"/>
      <c r="V651" s="514"/>
      <c r="W651" s="514"/>
      <c r="X651" s="514"/>
      <c r="Y651" s="514"/>
      <c r="Z651" s="923"/>
      <c r="AA651" s="514"/>
      <c r="AB651" s="514"/>
      <c r="AC651" s="514"/>
      <c r="AD651" s="514"/>
      <c r="AE651" s="774"/>
      <c r="AF651" s="514"/>
      <c r="AG651" s="897"/>
      <c r="AH651" s="890"/>
      <c r="AI651" s="786">
        <f t="shared" si="31"/>
        <v>0</v>
      </c>
      <c r="AJ651" s="521">
        <v>0</v>
      </c>
      <c r="AK651" s="520">
        <f t="shared" si="29"/>
        <v>0</v>
      </c>
      <c r="AL651" s="695" t="s">
        <v>1769</v>
      </c>
      <c r="AM651" s="669">
        <f t="shared" si="30"/>
        <v>56</v>
      </c>
    </row>
    <row r="652" spans="1:39" s="500" customFormat="1" hidden="1">
      <c r="A652" s="542" t="s">
        <v>1104</v>
      </c>
      <c r="B652" s="542" t="s">
        <v>1431</v>
      </c>
      <c r="C652" s="616"/>
      <c r="D652" s="519"/>
      <c r="E652" s="915"/>
      <c r="F652" s="520"/>
      <c r="G652" s="520"/>
      <c r="H652" s="520"/>
      <c r="I652" s="521"/>
      <c r="J652" s="521"/>
      <c r="K652" s="521"/>
      <c r="L652" s="923"/>
      <c r="M652" s="514"/>
      <c r="N652" s="514"/>
      <c r="O652" s="514"/>
      <c r="P652" s="514"/>
      <c r="Q652" s="514"/>
      <c r="R652" s="514"/>
      <c r="S652" s="923"/>
      <c r="T652" s="514"/>
      <c r="U652" s="514"/>
      <c r="V652" s="514"/>
      <c r="W652" s="514"/>
      <c r="X652" s="514"/>
      <c r="Y652" s="514"/>
      <c r="Z652" s="923"/>
      <c r="AA652" s="514"/>
      <c r="AB652" s="514"/>
      <c r="AC652" s="514"/>
      <c r="AD652" s="514"/>
      <c r="AE652" s="774"/>
      <c r="AF652" s="514"/>
      <c r="AG652" s="897"/>
      <c r="AH652" s="890"/>
      <c r="AI652" s="786">
        <f t="shared" si="31"/>
        <v>0</v>
      </c>
      <c r="AJ652" s="521">
        <v>0</v>
      </c>
      <c r="AK652" s="520">
        <f t="shared" si="29"/>
        <v>0</v>
      </c>
      <c r="AL652" s="695"/>
      <c r="AM652" s="669">
        <f t="shared" si="30"/>
        <v>0</v>
      </c>
    </row>
    <row r="653" spans="1:39" s="500" customFormat="1" hidden="1">
      <c r="A653" s="539" t="s">
        <v>1105</v>
      </c>
      <c r="B653" s="539" t="s">
        <v>1432</v>
      </c>
      <c r="C653" s="548" t="s">
        <v>36</v>
      </c>
      <c r="D653" s="519"/>
      <c r="E653" s="915"/>
      <c r="F653" s="520"/>
      <c r="G653" s="520"/>
      <c r="H653" s="520"/>
      <c r="I653" s="521"/>
      <c r="J653" s="521"/>
      <c r="K653" s="521"/>
      <c r="L653" s="923"/>
      <c r="M653" s="514"/>
      <c r="N653" s="514"/>
      <c r="O653" s="514"/>
      <c r="P653" s="514"/>
      <c r="Q653" s="514"/>
      <c r="R653" s="514"/>
      <c r="S653" s="923"/>
      <c r="T653" s="514"/>
      <c r="U653" s="514"/>
      <c r="V653" s="514"/>
      <c r="W653" s="514"/>
      <c r="X653" s="514"/>
      <c r="Y653" s="514"/>
      <c r="Z653" s="923"/>
      <c r="AA653" s="514"/>
      <c r="AB653" s="514"/>
      <c r="AC653" s="514"/>
      <c r="AD653" s="514"/>
      <c r="AE653" s="774"/>
      <c r="AF653" s="514"/>
      <c r="AG653" s="897"/>
      <c r="AH653" s="890"/>
      <c r="AI653" s="786">
        <f t="shared" si="31"/>
        <v>0</v>
      </c>
      <c r="AJ653" s="521">
        <v>0</v>
      </c>
      <c r="AK653" s="520">
        <f t="shared" si="29"/>
        <v>0</v>
      </c>
      <c r="AL653" s="695" t="s">
        <v>1617</v>
      </c>
      <c r="AM653" s="669">
        <f t="shared" si="30"/>
        <v>6</v>
      </c>
    </row>
    <row r="654" spans="1:39" s="500" customFormat="1" hidden="1">
      <c r="A654" s="542" t="s">
        <v>1106</v>
      </c>
      <c r="B654" s="542" t="s">
        <v>1433</v>
      </c>
      <c r="C654" s="616"/>
      <c r="D654" s="519"/>
      <c r="E654" s="915"/>
      <c r="F654" s="520"/>
      <c r="G654" s="520"/>
      <c r="H654" s="520"/>
      <c r="I654" s="521"/>
      <c r="J654" s="521"/>
      <c r="K654" s="521"/>
      <c r="L654" s="923"/>
      <c r="M654" s="514"/>
      <c r="N654" s="514"/>
      <c r="O654" s="514"/>
      <c r="P654" s="514"/>
      <c r="Q654" s="514"/>
      <c r="R654" s="514"/>
      <c r="S654" s="923"/>
      <c r="T654" s="514"/>
      <c r="U654" s="514"/>
      <c r="V654" s="514"/>
      <c r="W654" s="514"/>
      <c r="X654" s="514"/>
      <c r="Y654" s="514"/>
      <c r="Z654" s="923"/>
      <c r="AA654" s="514"/>
      <c r="AB654" s="514"/>
      <c r="AC654" s="514"/>
      <c r="AD654" s="514"/>
      <c r="AE654" s="774"/>
      <c r="AF654" s="514"/>
      <c r="AG654" s="897"/>
      <c r="AH654" s="890"/>
      <c r="AI654" s="786">
        <f t="shared" si="31"/>
        <v>0</v>
      </c>
      <c r="AJ654" s="521">
        <v>0</v>
      </c>
      <c r="AK654" s="520">
        <f t="shared" ref="AK654:AK679" si="32">AI654+AJ654</f>
        <v>0</v>
      </c>
      <c r="AL654" s="695"/>
      <c r="AM654" s="669">
        <f t="shared" ref="AM654:AM680" si="33">AL654-AK654</f>
        <v>0</v>
      </c>
    </row>
    <row r="655" spans="1:39" s="500" customFormat="1" hidden="1">
      <c r="A655" s="539" t="s">
        <v>1107</v>
      </c>
      <c r="B655" s="539" t="s">
        <v>1434</v>
      </c>
      <c r="C655" s="548" t="s">
        <v>1452</v>
      </c>
      <c r="D655" s="519"/>
      <c r="E655" s="915"/>
      <c r="F655" s="520"/>
      <c r="G655" s="520"/>
      <c r="H655" s="520"/>
      <c r="I655" s="521"/>
      <c r="J655" s="521"/>
      <c r="K655" s="521"/>
      <c r="L655" s="923"/>
      <c r="M655" s="514"/>
      <c r="N655" s="514"/>
      <c r="O655" s="514"/>
      <c r="P655" s="514"/>
      <c r="Q655" s="514"/>
      <c r="R655" s="514"/>
      <c r="S655" s="923"/>
      <c r="T655" s="514"/>
      <c r="U655" s="514"/>
      <c r="V655" s="514"/>
      <c r="W655" s="514"/>
      <c r="X655" s="514"/>
      <c r="Y655" s="514"/>
      <c r="Z655" s="923"/>
      <c r="AA655" s="514"/>
      <c r="AB655" s="514"/>
      <c r="AC655" s="514"/>
      <c r="AD655" s="514"/>
      <c r="AE655" s="774"/>
      <c r="AF655" s="514"/>
      <c r="AG655" s="897"/>
      <c r="AH655" s="890"/>
      <c r="AI655" s="786">
        <f t="shared" ref="AI655:AI680" si="34">ROUND((SUM(D655:AH655)),2)</f>
        <v>0</v>
      </c>
      <c r="AJ655" s="521">
        <v>0</v>
      </c>
      <c r="AK655" s="520">
        <f t="shared" si="32"/>
        <v>0</v>
      </c>
      <c r="AL655" s="695" t="s">
        <v>1617</v>
      </c>
      <c r="AM655" s="669">
        <f t="shared" si="33"/>
        <v>6</v>
      </c>
    </row>
    <row r="656" spans="1:39" s="500" customFormat="1" hidden="1">
      <c r="A656" s="542" t="s">
        <v>1108</v>
      </c>
      <c r="B656" s="542" t="s">
        <v>1416</v>
      </c>
      <c r="C656" s="616"/>
      <c r="D656" s="519"/>
      <c r="E656" s="915"/>
      <c r="F656" s="520"/>
      <c r="G656" s="520"/>
      <c r="H656" s="520"/>
      <c r="I656" s="521"/>
      <c r="J656" s="521"/>
      <c r="K656" s="521"/>
      <c r="L656" s="923"/>
      <c r="M656" s="514"/>
      <c r="N656" s="514"/>
      <c r="O656" s="514"/>
      <c r="P656" s="514"/>
      <c r="Q656" s="514"/>
      <c r="R656" s="514"/>
      <c r="S656" s="923"/>
      <c r="T656" s="514"/>
      <c r="U656" s="514"/>
      <c r="V656" s="514"/>
      <c r="W656" s="514"/>
      <c r="X656" s="514"/>
      <c r="Y656" s="514"/>
      <c r="Z656" s="923"/>
      <c r="AA656" s="514"/>
      <c r="AB656" s="514"/>
      <c r="AC656" s="514"/>
      <c r="AD656" s="514"/>
      <c r="AE656" s="774"/>
      <c r="AF656" s="514"/>
      <c r="AG656" s="897"/>
      <c r="AH656" s="890"/>
      <c r="AI656" s="786">
        <f t="shared" si="34"/>
        <v>0</v>
      </c>
      <c r="AJ656" s="521">
        <v>0</v>
      </c>
      <c r="AK656" s="520">
        <f t="shared" si="32"/>
        <v>0</v>
      </c>
      <c r="AL656" s="695"/>
      <c r="AM656" s="669">
        <f t="shared" si="33"/>
        <v>0</v>
      </c>
    </row>
    <row r="657" spans="1:39" s="500" customFormat="1" hidden="1">
      <c r="A657" s="539" t="s">
        <v>1109</v>
      </c>
      <c r="B657" s="539" t="s">
        <v>1435</v>
      </c>
      <c r="C657" s="548" t="s">
        <v>36</v>
      </c>
      <c r="D657" s="519"/>
      <c r="E657" s="915"/>
      <c r="F657" s="520"/>
      <c r="G657" s="520"/>
      <c r="H657" s="520"/>
      <c r="I657" s="521"/>
      <c r="J657" s="521"/>
      <c r="K657" s="521"/>
      <c r="L657" s="923"/>
      <c r="M657" s="514"/>
      <c r="N657" s="514"/>
      <c r="O657" s="514"/>
      <c r="P657" s="514"/>
      <c r="Q657" s="514"/>
      <c r="R657" s="514"/>
      <c r="S657" s="923"/>
      <c r="T657" s="514"/>
      <c r="U657" s="514"/>
      <c r="V657" s="514"/>
      <c r="W657" s="514"/>
      <c r="X657" s="514"/>
      <c r="Y657" s="514"/>
      <c r="Z657" s="923"/>
      <c r="AA657" s="514"/>
      <c r="AB657" s="514"/>
      <c r="AC657" s="514"/>
      <c r="AD657" s="514"/>
      <c r="AE657" s="774"/>
      <c r="AF657" s="514"/>
      <c r="AG657" s="897"/>
      <c r="AH657" s="890"/>
      <c r="AI657" s="786">
        <f t="shared" si="34"/>
        <v>0</v>
      </c>
      <c r="AJ657" s="521">
        <v>0</v>
      </c>
      <c r="AK657" s="520">
        <f t="shared" si="32"/>
        <v>0</v>
      </c>
      <c r="AL657" s="695" t="s">
        <v>1617</v>
      </c>
      <c r="AM657" s="669">
        <f t="shared" si="33"/>
        <v>6</v>
      </c>
    </row>
    <row r="658" spans="1:39" s="500" customFormat="1" hidden="1">
      <c r="A658" s="542" t="s">
        <v>1110</v>
      </c>
      <c r="B658" s="542" t="s">
        <v>1425</v>
      </c>
      <c r="C658" s="616"/>
      <c r="D658" s="519"/>
      <c r="E658" s="915"/>
      <c r="F658" s="520"/>
      <c r="G658" s="520"/>
      <c r="H658" s="520"/>
      <c r="I658" s="521"/>
      <c r="J658" s="521"/>
      <c r="K658" s="521"/>
      <c r="L658" s="923"/>
      <c r="M658" s="514"/>
      <c r="N658" s="514"/>
      <c r="O658" s="514"/>
      <c r="P658" s="514"/>
      <c r="Q658" s="514"/>
      <c r="R658" s="514"/>
      <c r="S658" s="923"/>
      <c r="T658" s="514"/>
      <c r="U658" s="514"/>
      <c r="V658" s="514"/>
      <c r="W658" s="514"/>
      <c r="X658" s="514"/>
      <c r="Y658" s="514"/>
      <c r="Z658" s="923"/>
      <c r="AA658" s="514"/>
      <c r="AB658" s="514"/>
      <c r="AC658" s="514"/>
      <c r="AD658" s="514"/>
      <c r="AE658" s="774"/>
      <c r="AF658" s="514"/>
      <c r="AG658" s="897"/>
      <c r="AH658" s="890"/>
      <c r="AI658" s="786">
        <f t="shared" si="34"/>
        <v>0</v>
      </c>
      <c r="AJ658" s="521">
        <v>0</v>
      </c>
      <c r="AK658" s="520">
        <f t="shared" si="32"/>
        <v>0</v>
      </c>
      <c r="AL658" s="695"/>
      <c r="AM658" s="669">
        <f t="shared" si="33"/>
        <v>0</v>
      </c>
    </row>
    <row r="659" spans="1:39" s="500" customFormat="1" hidden="1">
      <c r="A659" s="539" t="s">
        <v>1111</v>
      </c>
      <c r="B659" s="539" t="s">
        <v>1436</v>
      </c>
      <c r="C659" s="548" t="s">
        <v>1452</v>
      </c>
      <c r="D659" s="519"/>
      <c r="E659" s="915"/>
      <c r="F659" s="520"/>
      <c r="G659" s="520"/>
      <c r="H659" s="520"/>
      <c r="I659" s="521"/>
      <c r="J659" s="521"/>
      <c r="K659" s="521"/>
      <c r="L659" s="923"/>
      <c r="M659" s="514"/>
      <c r="N659" s="514"/>
      <c r="O659" s="514"/>
      <c r="P659" s="514"/>
      <c r="Q659" s="514"/>
      <c r="R659" s="514"/>
      <c r="S659" s="923"/>
      <c r="T659" s="514"/>
      <c r="U659" s="514"/>
      <c r="V659" s="514"/>
      <c r="W659" s="514"/>
      <c r="X659" s="514"/>
      <c r="Y659" s="514"/>
      <c r="Z659" s="923"/>
      <c r="AA659" s="514"/>
      <c r="AB659" s="514"/>
      <c r="AC659" s="514"/>
      <c r="AD659" s="514"/>
      <c r="AE659" s="774"/>
      <c r="AF659" s="514"/>
      <c r="AG659" s="897"/>
      <c r="AH659" s="890"/>
      <c r="AI659" s="786">
        <f t="shared" si="34"/>
        <v>0</v>
      </c>
      <c r="AJ659" s="521">
        <v>0</v>
      </c>
      <c r="AK659" s="520">
        <f t="shared" si="32"/>
        <v>0</v>
      </c>
      <c r="AL659" s="695" t="s">
        <v>1617</v>
      </c>
      <c r="AM659" s="669">
        <f t="shared" si="33"/>
        <v>6</v>
      </c>
    </row>
    <row r="660" spans="1:39" s="500" customFormat="1" hidden="1">
      <c r="A660" s="542" t="s">
        <v>1112</v>
      </c>
      <c r="B660" s="542" t="s">
        <v>1392</v>
      </c>
      <c r="C660" s="616"/>
      <c r="D660" s="519"/>
      <c r="E660" s="915"/>
      <c r="F660" s="520"/>
      <c r="G660" s="520"/>
      <c r="H660" s="520"/>
      <c r="I660" s="521"/>
      <c r="J660" s="521"/>
      <c r="K660" s="521"/>
      <c r="L660" s="923"/>
      <c r="M660" s="514"/>
      <c r="N660" s="514"/>
      <c r="O660" s="514"/>
      <c r="P660" s="514"/>
      <c r="Q660" s="514"/>
      <c r="R660" s="514"/>
      <c r="S660" s="923"/>
      <c r="T660" s="514"/>
      <c r="U660" s="514"/>
      <c r="V660" s="514"/>
      <c r="W660" s="514"/>
      <c r="X660" s="514"/>
      <c r="Y660" s="514"/>
      <c r="Z660" s="923"/>
      <c r="AA660" s="514"/>
      <c r="AB660" s="514"/>
      <c r="AC660" s="514"/>
      <c r="AD660" s="514"/>
      <c r="AE660" s="774"/>
      <c r="AF660" s="514"/>
      <c r="AG660" s="897"/>
      <c r="AH660" s="890"/>
      <c r="AI660" s="786">
        <f t="shared" si="34"/>
        <v>0</v>
      </c>
      <c r="AJ660" s="521">
        <v>0</v>
      </c>
      <c r="AK660" s="520">
        <f t="shared" si="32"/>
        <v>0</v>
      </c>
      <c r="AL660" s="695"/>
      <c r="AM660" s="669">
        <f t="shared" si="33"/>
        <v>0</v>
      </c>
    </row>
    <row r="661" spans="1:39" s="500" customFormat="1" hidden="1">
      <c r="A661" s="539" t="s">
        <v>1113</v>
      </c>
      <c r="B661" s="539" t="s">
        <v>1437</v>
      </c>
      <c r="C661" s="548" t="s">
        <v>36</v>
      </c>
      <c r="D661" s="519"/>
      <c r="E661" s="915"/>
      <c r="F661" s="520"/>
      <c r="G661" s="520"/>
      <c r="H661" s="520"/>
      <c r="I661" s="521"/>
      <c r="J661" s="521"/>
      <c r="K661" s="521"/>
      <c r="L661" s="923"/>
      <c r="M661" s="514"/>
      <c r="N661" s="514"/>
      <c r="O661" s="514"/>
      <c r="P661" s="514"/>
      <c r="Q661" s="514"/>
      <c r="R661" s="514"/>
      <c r="S661" s="923"/>
      <c r="T661" s="514"/>
      <c r="U661" s="514"/>
      <c r="V661" s="514"/>
      <c r="W661" s="514"/>
      <c r="X661" s="514"/>
      <c r="Y661" s="514"/>
      <c r="Z661" s="923"/>
      <c r="AA661" s="514"/>
      <c r="AB661" s="514"/>
      <c r="AC661" s="514"/>
      <c r="AD661" s="514"/>
      <c r="AE661" s="774"/>
      <c r="AF661" s="514"/>
      <c r="AG661" s="897"/>
      <c r="AH661" s="890"/>
      <c r="AI661" s="786">
        <f t="shared" si="34"/>
        <v>0</v>
      </c>
      <c r="AJ661" s="521">
        <v>0</v>
      </c>
      <c r="AK661" s="520">
        <f t="shared" si="32"/>
        <v>0</v>
      </c>
      <c r="AL661" s="695" t="s">
        <v>1617</v>
      </c>
      <c r="AM661" s="669">
        <f t="shared" si="33"/>
        <v>6</v>
      </c>
    </row>
    <row r="662" spans="1:39" s="500" customFormat="1" hidden="1">
      <c r="A662" s="440" t="s">
        <v>1114</v>
      </c>
      <c r="B662" s="543" t="s">
        <v>1438</v>
      </c>
      <c r="C662" s="616"/>
      <c r="D662" s="519"/>
      <c r="E662" s="915"/>
      <c r="F662" s="520"/>
      <c r="G662" s="520"/>
      <c r="H662" s="520"/>
      <c r="I662" s="521"/>
      <c r="J662" s="521"/>
      <c r="K662" s="521"/>
      <c r="L662" s="923"/>
      <c r="M662" s="514"/>
      <c r="N662" s="514"/>
      <c r="O662" s="514"/>
      <c r="P662" s="514"/>
      <c r="Q662" s="514"/>
      <c r="R662" s="514"/>
      <c r="S662" s="923"/>
      <c r="T662" s="514"/>
      <c r="U662" s="514"/>
      <c r="V662" s="514"/>
      <c r="W662" s="514"/>
      <c r="X662" s="514"/>
      <c r="Y662" s="514"/>
      <c r="Z662" s="923"/>
      <c r="AA662" s="514"/>
      <c r="AB662" s="514"/>
      <c r="AC662" s="514"/>
      <c r="AD662" s="514"/>
      <c r="AE662" s="774"/>
      <c r="AF662" s="514"/>
      <c r="AG662" s="897"/>
      <c r="AH662" s="890"/>
      <c r="AI662" s="786">
        <f t="shared" si="34"/>
        <v>0</v>
      </c>
      <c r="AJ662" s="521">
        <v>0</v>
      </c>
      <c r="AK662" s="520">
        <f t="shared" si="32"/>
        <v>0</v>
      </c>
      <c r="AL662" s="695"/>
      <c r="AM662" s="669">
        <f t="shared" si="33"/>
        <v>0</v>
      </c>
    </row>
    <row r="663" spans="1:39" s="500" customFormat="1" hidden="1">
      <c r="A663" s="542" t="s">
        <v>1115</v>
      </c>
      <c r="B663" s="542" t="s">
        <v>1439</v>
      </c>
      <c r="C663" s="616"/>
      <c r="D663" s="519"/>
      <c r="E663" s="915"/>
      <c r="F663" s="520"/>
      <c r="G663" s="520"/>
      <c r="H663" s="520"/>
      <c r="I663" s="521"/>
      <c r="J663" s="521"/>
      <c r="K663" s="521"/>
      <c r="L663" s="923"/>
      <c r="M663" s="514"/>
      <c r="N663" s="514"/>
      <c r="O663" s="514"/>
      <c r="P663" s="514"/>
      <c r="Q663" s="514"/>
      <c r="R663" s="514"/>
      <c r="S663" s="923"/>
      <c r="T663" s="514"/>
      <c r="U663" s="514"/>
      <c r="V663" s="514"/>
      <c r="W663" s="514"/>
      <c r="X663" s="514"/>
      <c r="Y663" s="514"/>
      <c r="Z663" s="923"/>
      <c r="AA663" s="514"/>
      <c r="AB663" s="514"/>
      <c r="AC663" s="514"/>
      <c r="AD663" s="514"/>
      <c r="AE663" s="774"/>
      <c r="AF663" s="514"/>
      <c r="AG663" s="897"/>
      <c r="AH663" s="890"/>
      <c r="AI663" s="786">
        <f t="shared" si="34"/>
        <v>0</v>
      </c>
      <c r="AJ663" s="521">
        <v>0</v>
      </c>
      <c r="AK663" s="520">
        <f t="shared" si="32"/>
        <v>0</v>
      </c>
      <c r="AL663" s="695"/>
      <c r="AM663" s="669">
        <f t="shared" si="33"/>
        <v>0</v>
      </c>
    </row>
    <row r="664" spans="1:39" s="500" customFormat="1" hidden="1">
      <c r="A664" s="539" t="s">
        <v>1116</v>
      </c>
      <c r="B664" s="539" t="s">
        <v>1440</v>
      </c>
      <c r="C664" s="548" t="s">
        <v>1453</v>
      </c>
      <c r="D664" s="519"/>
      <c r="E664" s="915"/>
      <c r="F664" s="520"/>
      <c r="G664" s="520"/>
      <c r="H664" s="520"/>
      <c r="I664" s="521"/>
      <c r="J664" s="521"/>
      <c r="K664" s="521"/>
      <c r="L664" s="923"/>
      <c r="M664" s="514"/>
      <c r="N664" s="514"/>
      <c r="O664" s="514"/>
      <c r="P664" s="514"/>
      <c r="Q664" s="514"/>
      <c r="R664" s="514"/>
      <c r="S664" s="923"/>
      <c r="T664" s="514"/>
      <c r="U664" s="514"/>
      <c r="V664" s="514"/>
      <c r="W664" s="514"/>
      <c r="X664" s="514"/>
      <c r="Y664" s="514"/>
      <c r="Z664" s="923"/>
      <c r="AA664" s="514"/>
      <c r="AB664" s="514"/>
      <c r="AC664" s="514"/>
      <c r="AD664" s="514"/>
      <c r="AE664" s="774"/>
      <c r="AF664" s="514"/>
      <c r="AG664" s="897"/>
      <c r="AH664" s="890"/>
      <c r="AI664" s="786">
        <f t="shared" si="34"/>
        <v>0</v>
      </c>
      <c r="AJ664" s="521">
        <v>0</v>
      </c>
      <c r="AK664" s="520">
        <f t="shared" si="32"/>
        <v>0</v>
      </c>
      <c r="AL664" s="695" t="s">
        <v>1455</v>
      </c>
      <c r="AM664" s="669">
        <f t="shared" si="33"/>
        <v>1</v>
      </c>
    </row>
    <row r="665" spans="1:39" s="500" customFormat="1" hidden="1">
      <c r="A665" s="542" t="s">
        <v>1117</v>
      </c>
      <c r="B665" s="542" t="s">
        <v>1441</v>
      </c>
      <c r="C665" s="616"/>
      <c r="D665" s="519"/>
      <c r="E665" s="915"/>
      <c r="F665" s="520"/>
      <c r="G665" s="520"/>
      <c r="H665" s="520"/>
      <c r="I665" s="521"/>
      <c r="J665" s="521"/>
      <c r="K665" s="521"/>
      <c r="L665" s="923"/>
      <c r="M665" s="514"/>
      <c r="N665" s="514"/>
      <c r="O665" s="514"/>
      <c r="P665" s="514"/>
      <c r="Q665" s="514"/>
      <c r="R665" s="514"/>
      <c r="S665" s="923"/>
      <c r="T665" s="514"/>
      <c r="U665" s="514"/>
      <c r="V665" s="514"/>
      <c r="W665" s="514"/>
      <c r="X665" s="514"/>
      <c r="Y665" s="514"/>
      <c r="Z665" s="923"/>
      <c r="AA665" s="514"/>
      <c r="AB665" s="514"/>
      <c r="AC665" s="514"/>
      <c r="AD665" s="514"/>
      <c r="AE665" s="774"/>
      <c r="AF665" s="514"/>
      <c r="AG665" s="897"/>
      <c r="AH665" s="890"/>
      <c r="AI665" s="786">
        <f t="shared" si="34"/>
        <v>0</v>
      </c>
      <c r="AJ665" s="521">
        <v>0</v>
      </c>
      <c r="AK665" s="520">
        <f t="shared" si="32"/>
        <v>0</v>
      </c>
      <c r="AL665" s="695"/>
      <c r="AM665" s="669">
        <f t="shared" si="33"/>
        <v>0</v>
      </c>
    </row>
    <row r="666" spans="1:39" s="500" customFormat="1" hidden="1">
      <c r="A666" s="539" t="s">
        <v>1118</v>
      </c>
      <c r="B666" s="539" t="s">
        <v>1442</v>
      </c>
      <c r="C666" s="548" t="s">
        <v>1454</v>
      </c>
      <c r="D666" s="519"/>
      <c r="E666" s="915"/>
      <c r="F666" s="520"/>
      <c r="G666" s="520"/>
      <c r="H666" s="520"/>
      <c r="I666" s="521"/>
      <c r="J666" s="521"/>
      <c r="K666" s="521"/>
      <c r="L666" s="923"/>
      <c r="M666" s="514"/>
      <c r="N666" s="514"/>
      <c r="O666" s="514"/>
      <c r="P666" s="514"/>
      <c r="Q666" s="514"/>
      <c r="R666" s="514"/>
      <c r="S666" s="923"/>
      <c r="T666" s="514"/>
      <c r="U666" s="514"/>
      <c r="V666" s="514"/>
      <c r="W666" s="514"/>
      <c r="X666" s="514"/>
      <c r="Y666" s="514"/>
      <c r="Z666" s="923"/>
      <c r="AA666" s="514"/>
      <c r="AB666" s="514"/>
      <c r="AC666" s="514"/>
      <c r="AD666" s="514"/>
      <c r="AE666" s="774"/>
      <c r="AF666" s="514"/>
      <c r="AG666" s="897"/>
      <c r="AH666" s="890"/>
      <c r="AI666" s="786">
        <f t="shared" si="34"/>
        <v>0</v>
      </c>
      <c r="AJ666" s="521">
        <v>0</v>
      </c>
      <c r="AK666" s="520">
        <f t="shared" si="32"/>
        <v>0</v>
      </c>
      <c r="AL666" s="695" t="s">
        <v>1698</v>
      </c>
      <c r="AM666" s="669">
        <f t="shared" si="33"/>
        <v>2</v>
      </c>
    </row>
    <row r="667" spans="1:39" s="500" customFormat="1" hidden="1">
      <c r="A667" s="542" t="s">
        <v>1119</v>
      </c>
      <c r="B667" s="542" t="s">
        <v>1419</v>
      </c>
      <c r="C667" s="616"/>
      <c r="D667" s="519"/>
      <c r="E667" s="915"/>
      <c r="F667" s="520"/>
      <c r="G667" s="520"/>
      <c r="H667" s="520"/>
      <c r="I667" s="521"/>
      <c r="J667" s="521"/>
      <c r="K667" s="521"/>
      <c r="L667" s="923"/>
      <c r="M667" s="514"/>
      <c r="N667" s="514"/>
      <c r="O667" s="514"/>
      <c r="P667" s="514"/>
      <c r="Q667" s="514"/>
      <c r="R667" s="514"/>
      <c r="S667" s="923"/>
      <c r="T667" s="514"/>
      <c r="U667" s="514"/>
      <c r="V667" s="514"/>
      <c r="W667" s="514"/>
      <c r="X667" s="514"/>
      <c r="Y667" s="514"/>
      <c r="Z667" s="923"/>
      <c r="AA667" s="514"/>
      <c r="AB667" s="514"/>
      <c r="AC667" s="514"/>
      <c r="AD667" s="514"/>
      <c r="AE667" s="774"/>
      <c r="AF667" s="514"/>
      <c r="AG667" s="897"/>
      <c r="AH667" s="890"/>
      <c r="AI667" s="786">
        <f t="shared" si="34"/>
        <v>0</v>
      </c>
      <c r="AJ667" s="521">
        <v>0</v>
      </c>
      <c r="AK667" s="520">
        <f t="shared" si="32"/>
        <v>0</v>
      </c>
      <c r="AL667" s="695"/>
      <c r="AM667" s="669">
        <f t="shared" si="33"/>
        <v>0</v>
      </c>
    </row>
    <row r="668" spans="1:39" s="500" customFormat="1" hidden="1">
      <c r="A668" s="539" t="s">
        <v>1120</v>
      </c>
      <c r="B668" s="539" t="s">
        <v>1420</v>
      </c>
      <c r="C668" s="548" t="s">
        <v>38</v>
      </c>
      <c r="D668" s="519"/>
      <c r="E668" s="915"/>
      <c r="F668" s="520"/>
      <c r="G668" s="520"/>
      <c r="H668" s="520"/>
      <c r="I668" s="521"/>
      <c r="J668" s="521"/>
      <c r="K668" s="521"/>
      <c r="L668" s="923"/>
      <c r="M668" s="514"/>
      <c r="N668" s="514"/>
      <c r="O668" s="514"/>
      <c r="P668" s="514"/>
      <c r="Q668" s="514"/>
      <c r="R668" s="514"/>
      <c r="S668" s="923"/>
      <c r="T668" s="514"/>
      <c r="U668" s="514"/>
      <c r="V668" s="514"/>
      <c r="W668" s="514"/>
      <c r="X668" s="514"/>
      <c r="Y668" s="514"/>
      <c r="Z668" s="923"/>
      <c r="AA668" s="514"/>
      <c r="AB668" s="514"/>
      <c r="AC668" s="514"/>
      <c r="AD668" s="514"/>
      <c r="AE668" s="774"/>
      <c r="AF668" s="514"/>
      <c r="AG668" s="897"/>
      <c r="AH668" s="890"/>
      <c r="AI668" s="786">
        <f t="shared" si="34"/>
        <v>0</v>
      </c>
      <c r="AJ668" s="521">
        <v>0</v>
      </c>
      <c r="AK668" s="520">
        <f t="shared" si="32"/>
        <v>0</v>
      </c>
      <c r="AL668" s="695" t="s">
        <v>1771</v>
      </c>
      <c r="AM668" s="669">
        <f t="shared" si="33"/>
        <v>90</v>
      </c>
    </row>
    <row r="669" spans="1:39" s="500" customFormat="1" hidden="1">
      <c r="A669" s="542" t="s">
        <v>1121</v>
      </c>
      <c r="B669" s="542" t="s">
        <v>1421</v>
      </c>
      <c r="C669" s="616"/>
      <c r="D669" s="519"/>
      <c r="E669" s="915"/>
      <c r="F669" s="520"/>
      <c r="G669" s="520"/>
      <c r="H669" s="520"/>
      <c r="I669" s="521"/>
      <c r="J669" s="521"/>
      <c r="K669" s="521"/>
      <c r="L669" s="923"/>
      <c r="M669" s="514"/>
      <c r="N669" s="514"/>
      <c r="O669" s="514"/>
      <c r="P669" s="514"/>
      <c r="Q669" s="514"/>
      <c r="R669" s="514"/>
      <c r="S669" s="923"/>
      <c r="T669" s="514"/>
      <c r="U669" s="514"/>
      <c r="V669" s="514"/>
      <c r="W669" s="514"/>
      <c r="X669" s="514"/>
      <c r="Y669" s="514"/>
      <c r="Z669" s="923"/>
      <c r="AA669" s="514"/>
      <c r="AB669" s="514"/>
      <c r="AC669" s="514"/>
      <c r="AD669" s="514"/>
      <c r="AE669" s="774"/>
      <c r="AF669" s="514"/>
      <c r="AG669" s="897"/>
      <c r="AH669" s="890"/>
      <c r="AI669" s="786">
        <f t="shared" si="34"/>
        <v>0</v>
      </c>
      <c r="AJ669" s="521">
        <v>0</v>
      </c>
      <c r="AK669" s="520">
        <f t="shared" si="32"/>
        <v>0</v>
      </c>
      <c r="AL669" s="695"/>
      <c r="AM669" s="669">
        <f t="shared" si="33"/>
        <v>0</v>
      </c>
    </row>
    <row r="670" spans="1:39" s="500" customFormat="1" hidden="1">
      <c r="A670" s="539" t="s">
        <v>1122</v>
      </c>
      <c r="B670" s="539" t="s">
        <v>1443</v>
      </c>
      <c r="C670" s="548" t="s">
        <v>38</v>
      </c>
      <c r="D670" s="519"/>
      <c r="E670" s="915"/>
      <c r="F670" s="520"/>
      <c r="G670" s="520"/>
      <c r="H670" s="520"/>
      <c r="I670" s="521"/>
      <c r="J670" s="521"/>
      <c r="K670" s="521"/>
      <c r="L670" s="923"/>
      <c r="M670" s="514"/>
      <c r="N670" s="514"/>
      <c r="O670" s="514"/>
      <c r="P670" s="514"/>
      <c r="Q670" s="514"/>
      <c r="R670" s="514"/>
      <c r="S670" s="923"/>
      <c r="T670" s="514"/>
      <c r="U670" s="514"/>
      <c r="V670" s="514"/>
      <c r="W670" s="514"/>
      <c r="X670" s="514"/>
      <c r="Y670" s="514"/>
      <c r="Z670" s="923"/>
      <c r="AA670" s="514"/>
      <c r="AB670" s="514"/>
      <c r="AC670" s="514"/>
      <c r="AD670" s="514"/>
      <c r="AE670" s="774"/>
      <c r="AF670" s="514"/>
      <c r="AG670" s="897"/>
      <c r="AH670" s="890"/>
      <c r="AI670" s="786">
        <f t="shared" si="34"/>
        <v>0</v>
      </c>
      <c r="AJ670" s="521">
        <v>0</v>
      </c>
      <c r="AK670" s="520">
        <f t="shared" si="32"/>
        <v>0</v>
      </c>
      <c r="AL670" s="695">
        <v>12</v>
      </c>
      <c r="AM670" s="669">
        <f t="shared" si="33"/>
        <v>12</v>
      </c>
    </row>
    <row r="671" spans="1:39" s="500" customFormat="1" hidden="1">
      <c r="A671" s="539" t="s">
        <v>1123</v>
      </c>
      <c r="B671" s="539" t="s">
        <v>1444</v>
      </c>
      <c r="C671" s="548" t="s">
        <v>38</v>
      </c>
      <c r="D671" s="519"/>
      <c r="E671" s="915"/>
      <c r="F671" s="520"/>
      <c r="G671" s="520"/>
      <c r="H671" s="520"/>
      <c r="I671" s="521"/>
      <c r="J671" s="521"/>
      <c r="K671" s="521"/>
      <c r="L671" s="923"/>
      <c r="M671" s="514"/>
      <c r="N671" s="514"/>
      <c r="O671" s="514"/>
      <c r="P671" s="514"/>
      <c r="Q671" s="514"/>
      <c r="R671" s="514"/>
      <c r="S671" s="923"/>
      <c r="T671" s="514"/>
      <c r="U671" s="514"/>
      <c r="V671" s="514"/>
      <c r="W671" s="514"/>
      <c r="X671" s="514"/>
      <c r="Y671" s="514"/>
      <c r="Z671" s="923"/>
      <c r="AA671" s="514"/>
      <c r="AB671" s="514"/>
      <c r="AC671" s="514"/>
      <c r="AD671" s="514"/>
      <c r="AE671" s="774"/>
      <c r="AF671" s="514"/>
      <c r="AG671" s="897"/>
      <c r="AH671" s="890"/>
      <c r="AI671" s="786">
        <f t="shared" si="34"/>
        <v>0</v>
      </c>
      <c r="AJ671" s="521">
        <v>0</v>
      </c>
      <c r="AK671" s="520">
        <f t="shared" si="32"/>
        <v>0</v>
      </c>
      <c r="AL671" s="695">
        <v>106</v>
      </c>
      <c r="AM671" s="669">
        <f t="shared" si="33"/>
        <v>106</v>
      </c>
    </row>
    <row r="672" spans="1:39" s="500" customFormat="1" hidden="1">
      <c r="A672" s="542" t="s">
        <v>1124</v>
      </c>
      <c r="B672" s="542" t="s">
        <v>1423</v>
      </c>
      <c r="C672" s="616"/>
      <c r="D672" s="519"/>
      <c r="E672" s="915"/>
      <c r="F672" s="520"/>
      <c r="G672" s="520"/>
      <c r="H672" s="520"/>
      <c r="I672" s="521"/>
      <c r="J672" s="521"/>
      <c r="K672" s="521"/>
      <c r="L672" s="923"/>
      <c r="M672" s="514"/>
      <c r="N672" s="514"/>
      <c r="O672" s="514"/>
      <c r="P672" s="514"/>
      <c r="Q672" s="514"/>
      <c r="R672" s="514"/>
      <c r="S672" s="923"/>
      <c r="T672" s="514"/>
      <c r="U672" s="514"/>
      <c r="V672" s="514"/>
      <c r="W672" s="514"/>
      <c r="X672" s="514"/>
      <c r="Y672" s="514"/>
      <c r="Z672" s="923"/>
      <c r="AA672" s="514"/>
      <c r="AB672" s="514"/>
      <c r="AC672" s="514"/>
      <c r="AD672" s="514"/>
      <c r="AE672" s="774"/>
      <c r="AF672" s="514"/>
      <c r="AG672" s="897"/>
      <c r="AH672" s="890"/>
      <c r="AI672" s="786">
        <f t="shared" si="34"/>
        <v>0</v>
      </c>
      <c r="AJ672" s="521">
        <v>0</v>
      </c>
      <c r="AK672" s="520">
        <f t="shared" si="32"/>
        <v>0</v>
      </c>
      <c r="AL672" s="695"/>
      <c r="AM672" s="669">
        <f t="shared" si="33"/>
        <v>0</v>
      </c>
    </row>
    <row r="673" spans="1:39" s="500" customFormat="1" hidden="1">
      <c r="A673" s="539" t="s">
        <v>1125</v>
      </c>
      <c r="B673" s="539" t="s">
        <v>1445</v>
      </c>
      <c r="C673" s="548" t="s">
        <v>38</v>
      </c>
      <c r="D673" s="519"/>
      <c r="E673" s="915"/>
      <c r="F673" s="520"/>
      <c r="G673" s="520"/>
      <c r="H673" s="520"/>
      <c r="I673" s="521"/>
      <c r="J673" s="521"/>
      <c r="K673" s="521"/>
      <c r="L673" s="923"/>
      <c r="M673" s="514"/>
      <c r="N673" s="514"/>
      <c r="O673" s="514"/>
      <c r="P673" s="514"/>
      <c r="Q673" s="514"/>
      <c r="R673" s="514"/>
      <c r="S673" s="923"/>
      <c r="T673" s="514"/>
      <c r="U673" s="514"/>
      <c r="V673" s="514"/>
      <c r="W673" s="514"/>
      <c r="X673" s="514"/>
      <c r="Y673" s="514"/>
      <c r="Z673" s="923"/>
      <c r="AA673" s="514"/>
      <c r="AB673" s="514"/>
      <c r="AC673" s="514"/>
      <c r="AD673" s="514"/>
      <c r="AE673" s="774"/>
      <c r="AF673" s="514"/>
      <c r="AG673" s="897"/>
      <c r="AH673" s="890"/>
      <c r="AI673" s="786">
        <f t="shared" si="34"/>
        <v>0</v>
      </c>
      <c r="AJ673" s="521">
        <v>0</v>
      </c>
      <c r="AK673" s="520">
        <f t="shared" si="32"/>
        <v>0</v>
      </c>
      <c r="AL673" s="695">
        <v>106</v>
      </c>
      <c r="AM673" s="669">
        <f t="shared" si="33"/>
        <v>106</v>
      </c>
    </row>
    <row r="674" spans="1:39" s="500" customFormat="1" hidden="1">
      <c r="A674" s="542" t="s">
        <v>1126</v>
      </c>
      <c r="B674" s="542" t="s">
        <v>1416</v>
      </c>
      <c r="C674" s="616"/>
      <c r="D674" s="519"/>
      <c r="E674" s="915"/>
      <c r="F674" s="520"/>
      <c r="G674" s="520"/>
      <c r="H674" s="520"/>
      <c r="I674" s="521"/>
      <c r="J674" s="521"/>
      <c r="K674" s="521"/>
      <c r="L674" s="923"/>
      <c r="M674" s="514"/>
      <c r="N674" s="514"/>
      <c r="O674" s="514"/>
      <c r="P674" s="514"/>
      <c r="Q674" s="514"/>
      <c r="R674" s="514"/>
      <c r="S674" s="923"/>
      <c r="T674" s="514"/>
      <c r="U674" s="514"/>
      <c r="V674" s="514"/>
      <c r="W674" s="514"/>
      <c r="X674" s="514"/>
      <c r="Y674" s="514"/>
      <c r="Z674" s="923"/>
      <c r="AA674" s="514"/>
      <c r="AB674" s="514"/>
      <c r="AC674" s="514"/>
      <c r="AD674" s="514"/>
      <c r="AE674" s="774"/>
      <c r="AF674" s="514"/>
      <c r="AG674" s="897"/>
      <c r="AH674" s="890"/>
      <c r="AI674" s="786">
        <f t="shared" si="34"/>
        <v>0</v>
      </c>
      <c r="AJ674" s="521">
        <v>0</v>
      </c>
      <c r="AK674" s="520">
        <f t="shared" si="32"/>
        <v>0</v>
      </c>
      <c r="AL674" s="695"/>
      <c r="AM674" s="669">
        <f t="shared" si="33"/>
        <v>0</v>
      </c>
    </row>
    <row r="675" spans="1:39" s="500" customFormat="1" hidden="1">
      <c r="A675" s="539" t="s">
        <v>1127</v>
      </c>
      <c r="B675" s="539" t="s">
        <v>1417</v>
      </c>
      <c r="C675" s="548" t="s">
        <v>36</v>
      </c>
      <c r="D675" s="519"/>
      <c r="E675" s="915"/>
      <c r="F675" s="520"/>
      <c r="G675" s="520"/>
      <c r="H675" s="520"/>
      <c r="I675" s="521"/>
      <c r="J675" s="521"/>
      <c r="K675" s="521"/>
      <c r="L675" s="923"/>
      <c r="M675" s="514"/>
      <c r="N675" s="514"/>
      <c r="O675" s="514"/>
      <c r="P675" s="514"/>
      <c r="Q675" s="514"/>
      <c r="R675" s="514"/>
      <c r="S675" s="923"/>
      <c r="T675" s="514"/>
      <c r="U675" s="514"/>
      <c r="V675" s="514"/>
      <c r="W675" s="514"/>
      <c r="X675" s="514"/>
      <c r="Y675" s="514"/>
      <c r="Z675" s="923"/>
      <c r="AA675" s="514"/>
      <c r="AB675" s="514"/>
      <c r="AC675" s="514"/>
      <c r="AD675" s="514"/>
      <c r="AE675" s="774"/>
      <c r="AF675" s="514"/>
      <c r="AG675" s="897"/>
      <c r="AH675" s="890"/>
      <c r="AI675" s="786">
        <f t="shared" si="34"/>
        <v>0</v>
      </c>
      <c r="AJ675" s="521">
        <v>0</v>
      </c>
      <c r="AK675" s="520">
        <f t="shared" si="32"/>
        <v>0</v>
      </c>
      <c r="AL675" s="695">
        <v>5</v>
      </c>
      <c r="AM675" s="669">
        <f t="shared" si="33"/>
        <v>5</v>
      </c>
    </row>
    <row r="676" spans="1:39" s="500" customFormat="1" hidden="1">
      <c r="A676" s="542" t="s">
        <v>1128</v>
      </c>
      <c r="B676" s="542" t="s">
        <v>1446</v>
      </c>
      <c r="C676" s="616"/>
      <c r="D676" s="519"/>
      <c r="E676" s="915"/>
      <c r="F676" s="520"/>
      <c r="G676" s="520"/>
      <c r="H676" s="520"/>
      <c r="I676" s="521"/>
      <c r="J676" s="521"/>
      <c r="K676" s="521"/>
      <c r="L676" s="923"/>
      <c r="M676" s="514"/>
      <c r="N676" s="514"/>
      <c r="O676" s="514"/>
      <c r="P676" s="514"/>
      <c r="Q676" s="514"/>
      <c r="R676" s="514"/>
      <c r="S676" s="923"/>
      <c r="T676" s="514"/>
      <c r="U676" s="514"/>
      <c r="V676" s="514"/>
      <c r="W676" s="514"/>
      <c r="X676" s="514"/>
      <c r="Y676" s="514"/>
      <c r="Z676" s="923"/>
      <c r="AA676" s="514"/>
      <c r="AB676" s="514"/>
      <c r="AC676" s="514"/>
      <c r="AD676" s="514"/>
      <c r="AE676" s="774"/>
      <c r="AF676" s="514"/>
      <c r="AG676" s="897"/>
      <c r="AH676" s="890"/>
      <c r="AI676" s="786">
        <f t="shared" si="34"/>
        <v>0</v>
      </c>
      <c r="AJ676" s="521">
        <v>0</v>
      </c>
      <c r="AK676" s="520">
        <f t="shared" si="32"/>
        <v>0</v>
      </c>
      <c r="AL676" s="695"/>
      <c r="AM676" s="669">
        <f t="shared" si="33"/>
        <v>0</v>
      </c>
    </row>
    <row r="677" spans="1:39" s="500" customFormat="1" hidden="1">
      <c r="A677" s="539" t="s">
        <v>1129</v>
      </c>
      <c r="B677" s="539" t="s">
        <v>1447</v>
      </c>
      <c r="C677" s="548" t="s">
        <v>64</v>
      </c>
      <c r="D677" s="519"/>
      <c r="E677" s="915"/>
      <c r="F677" s="520"/>
      <c r="G677" s="520"/>
      <c r="H677" s="520"/>
      <c r="I677" s="521"/>
      <c r="J677" s="521"/>
      <c r="K677" s="521"/>
      <c r="L677" s="923"/>
      <c r="M677" s="514"/>
      <c r="N677" s="514"/>
      <c r="O677" s="514"/>
      <c r="P677" s="514"/>
      <c r="Q677" s="514"/>
      <c r="R677" s="514"/>
      <c r="S677" s="923"/>
      <c r="T677" s="514"/>
      <c r="U677" s="514"/>
      <c r="V677" s="514"/>
      <c r="W677" s="514"/>
      <c r="X677" s="514"/>
      <c r="Y677" s="514"/>
      <c r="Z677" s="923"/>
      <c r="AA677" s="514"/>
      <c r="AB677" s="514"/>
      <c r="AC677" s="514"/>
      <c r="AD677" s="514"/>
      <c r="AE677" s="774"/>
      <c r="AF677" s="514"/>
      <c r="AG677" s="897"/>
      <c r="AH677" s="890"/>
      <c r="AI677" s="786">
        <f t="shared" si="34"/>
        <v>0</v>
      </c>
      <c r="AJ677" s="521">
        <v>0</v>
      </c>
      <c r="AK677" s="520">
        <f t="shared" si="32"/>
        <v>0</v>
      </c>
      <c r="AL677" s="695">
        <v>1</v>
      </c>
      <c r="AM677" s="669">
        <f t="shared" si="33"/>
        <v>1</v>
      </c>
    </row>
    <row r="678" spans="1:39" s="500" customFormat="1" hidden="1">
      <c r="A678" s="542" t="s">
        <v>1130</v>
      </c>
      <c r="B678" s="542" t="s">
        <v>1448</v>
      </c>
      <c r="C678" s="792"/>
      <c r="D678" s="520"/>
      <c r="E678" s="915"/>
      <c r="F678" s="520"/>
      <c r="G678" s="520"/>
      <c r="H678" s="520"/>
      <c r="I678" s="521"/>
      <c r="J678" s="521"/>
      <c r="K678" s="521"/>
      <c r="L678" s="897"/>
      <c r="M678" s="527"/>
      <c r="N678" s="527"/>
      <c r="O678" s="527"/>
      <c r="P678" s="527"/>
      <c r="Q678" s="527"/>
      <c r="R678" s="527"/>
      <c r="S678" s="897"/>
      <c r="T678" s="527"/>
      <c r="U678" s="527"/>
      <c r="V678" s="527"/>
      <c r="W678" s="527"/>
      <c r="X678" s="527"/>
      <c r="Y678" s="527"/>
      <c r="Z678" s="897"/>
      <c r="AA678" s="527"/>
      <c r="AB678" s="527"/>
      <c r="AC678" s="527"/>
      <c r="AD678" s="527"/>
      <c r="AE678" s="803"/>
      <c r="AF678" s="527"/>
      <c r="AG678" s="897"/>
      <c r="AH678" s="890"/>
      <c r="AI678" s="786">
        <f t="shared" si="34"/>
        <v>0</v>
      </c>
      <c r="AJ678" s="521">
        <v>0</v>
      </c>
      <c r="AK678" s="520">
        <f t="shared" si="32"/>
        <v>0</v>
      </c>
      <c r="AL678" s="695"/>
      <c r="AM678" s="669">
        <f t="shared" si="33"/>
        <v>0</v>
      </c>
    </row>
    <row r="679" spans="1:39" s="500" customFormat="1" ht="13.5" hidden="1" thickBot="1">
      <c r="A679" s="554" t="s">
        <v>1131</v>
      </c>
      <c r="B679" s="554" t="s">
        <v>1449</v>
      </c>
      <c r="C679" s="793" t="s">
        <v>64</v>
      </c>
      <c r="D679" s="520"/>
      <c r="E679" s="915"/>
      <c r="F679" s="520"/>
      <c r="G679" s="520"/>
      <c r="H679" s="520"/>
      <c r="I679" s="521"/>
      <c r="J679" s="521"/>
      <c r="K679" s="521"/>
      <c r="L679" s="897"/>
      <c r="M679" s="527"/>
      <c r="N679" s="527"/>
      <c r="O679" s="527"/>
      <c r="P679" s="527"/>
      <c r="Q679" s="527"/>
      <c r="R679" s="527"/>
      <c r="S679" s="897"/>
      <c r="T679" s="527"/>
      <c r="U679" s="527"/>
      <c r="V679" s="527"/>
      <c r="W679" s="527"/>
      <c r="X679" s="527"/>
      <c r="Y679" s="527"/>
      <c r="Z679" s="897"/>
      <c r="AA679" s="527"/>
      <c r="AB679" s="527"/>
      <c r="AC679" s="527"/>
      <c r="AD679" s="527"/>
      <c r="AE679" s="803"/>
      <c r="AF679" s="527"/>
      <c r="AG679" s="897"/>
      <c r="AH679" s="890"/>
      <c r="AI679" s="786">
        <f t="shared" si="34"/>
        <v>0</v>
      </c>
      <c r="AJ679" s="521">
        <v>0</v>
      </c>
      <c r="AK679" s="520">
        <f t="shared" si="32"/>
        <v>0</v>
      </c>
      <c r="AL679" s="695">
        <v>1</v>
      </c>
      <c r="AM679" s="669">
        <f t="shared" si="33"/>
        <v>1</v>
      </c>
    </row>
    <row r="680" spans="1:39" ht="13.5" hidden="1" thickBot="1">
      <c r="A680" s="556"/>
      <c r="B680" s="557" t="s">
        <v>2</v>
      </c>
      <c r="C680" s="531"/>
      <c r="D680" s="794"/>
      <c r="E680" s="918"/>
      <c r="F680" s="794"/>
      <c r="G680" s="795"/>
      <c r="H680" s="795"/>
      <c r="I680" s="794"/>
      <c r="J680" s="795"/>
      <c r="K680" s="795"/>
      <c r="L680" s="900"/>
      <c r="M680" s="791"/>
      <c r="N680" s="791"/>
      <c r="O680" s="791"/>
      <c r="P680" s="791"/>
      <c r="Q680" s="791"/>
      <c r="R680" s="791"/>
      <c r="S680" s="900"/>
      <c r="T680" s="791"/>
      <c r="U680" s="791"/>
      <c r="V680" s="791"/>
      <c r="W680" s="791"/>
      <c r="X680" s="791"/>
      <c r="Y680" s="791"/>
      <c r="Z680" s="900"/>
      <c r="AA680" s="791"/>
      <c r="AB680" s="791"/>
      <c r="AC680" s="791"/>
      <c r="AD680" s="791"/>
      <c r="AE680" s="804"/>
      <c r="AF680" s="791"/>
      <c r="AG680" s="900"/>
      <c r="AH680" s="791"/>
      <c r="AI680" s="786">
        <f t="shared" si="34"/>
        <v>0</v>
      </c>
      <c r="AJ680" s="671"/>
      <c r="AK680" s="671"/>
      <c r="AL680" s="696">
        <f>AK680/10</f>
        <v>0</v>
      </c>
      <c r="AM680" s="669">
        <f t="shared" si="33"/>
        <v>0</v>
      </c>
    </row>
    <row r="681" spans="1:39" hidden="1">
      <c r="A681" s="552" t="s">
        <v>288</v>
      </c>
    </row>
    <row r="682" spans="1:39" hidden="1"/>
    <row r="683" spans="1:39" hidden="1">
      <c r="B683" s="550" t="s">
        <v>1801</v>
      </c>
    </row>
    <row r="684" spans="1:39" hidden="1">
      <c r="B684" s="550" t="s">
        <v>289</v>
      </c>
    </row>
    <row r="685" spans="1:39" hidden="1">
      <c r="L685" s="901"/>
      <c r="M685" s="699"/>
      <c r="N685" s="699"/>
      <c r="O685" s="699"/>
      <c r="P685" s="699"/>
      <c r="Q685" s="699"/>
      <c r="R685" s="699"/>
      <c r="S685" s="901"/>
      <c r="T685" s="699"/>
      <c r="U685" s="699"/>
      <c r="V685" s="699"/>
      <c r="W685" s="699"/>
      <c r="X685" s="699"/>
      <c r="Y685" s="699"/>
      <c r="Z685" s="901"/>
      <c r="AA685" s="699"/>
      <c r="AB685" s="699"/>
      <c r="AC685" s="699"/>
      <c r="AD685" s="699"/>
      <c r="AE685" s="805"/>
      <c r="AF685" s="699"/>
      <c r="AG685" s="901"/>
      <c r="AH685" s="699"/>
      <c r="AI685" s="671"/>
      <c r="AJ685" s="671">
        <v>416.4</v>
      </c>
    </row>
    <row r="686" spans="1:39" hidden="1">
      <c r="L686" s="897" t="e">
        <f>#REF!-L135</f>
        <v>#REF!</v>
      </c>
      <c r="M686" s="527"/>
      <c r="N686" s="527"/>
      <c r="O686" s="527"/>
      <c r="P686" s="527"/>
      <c r="Q686" s="527"/>
      <c r="R686" s="527"/>
      <c r="S686" s="897"/>
      <c r="T686" s="527"/>
      <c r="U686" s="527"/>
      <c r="V686" s="527"/>
      <c r="W686" s="527"/>
      <c r="X686" s="527"/>
      <c r="Y686" s="527"/>
      <c r="Z686" s="897"/>
      <c r="AA686" s="527"/>
      <c r="AB686" s="527"/>
      <c r="AC686" s="527"/>
      <c r="AD686" s="527"/>
      <c r="AE686" s="803"/>
      <c r="AF686" s="527"/>
      <c r="AG686" s="897"/>
      <c r="AH686" s="527"/>
      <c r="AI686" s="521" t="e">
        <f>SUM(L686:L686)</f>
        <v>#REF!</v>
      </c>
      <c r="AJ686" s="521" t="e">
        <f>AJ685-AI686</f>
        <v>#REF!</v>
      </c>
      <c r="AK686" s="498" t="s">
        <v>1925</v>
      </c>
    </row>
    <row r="687" spans="1:39" s="934" customFormat="1" ht="24" thickBot="1">
      <c r="A687" s="2783" t="s">
        <v>257</v>
      </c>
      <c r="B687" s="2783"/>
      <c r="C687" s="2783"/>
      <c r="D687" s="2783"/>
      <c r="E687" s="2783"/>
      <c r="F687" s="2783"/>
      <c r="G687" s="2783"/>
      <c r="H687" s="2783"/>
      <c r="I687" s="2783"/>
      <c r="J687" s="2783"/>
      <c r="K687" s="2783"/>
      <c r="L687" s="2783"/>
      <c r="M687" s="2783"/>
      <c r="N687" s="2783"/>
      <c r="O687" s="2783"/>
      <c r="P687" s="2783"/>
      <c r="Q687" s="2783"/>
      <c r="R687" s="2783"/>
      <c r="S687" s="2783"/>
      <c r="T687" s="2783"/>
      <c r="U687" s="2783"/>
      <c r="V687" s="2783"/>
      <c r="W687" s="2783"/>
      <c r="X687" s="2783"/>
      <c r="Y687" s="2783"/>
      <c r="Z687" s="2783"/>
      <c r="AA687" s="2783"/>
      <c r="AB687" s="2783"/>
      <c r="AC687" s="2783"/>
      <c r="AD687" s="2783"/>
      <c r="AE687" s="2783"/>
      <c r="AF687" s="2783"/>
      <c r="AG687" s="2783"/>
      <c r="AH687" s="2783"/>
    </row>
    <row r="688" spans="1:39" s="518" customFormat="1">
      <c r="A688" s="716" t="s">
        <v>33</v>
      </c>
      <c r="B688" s="717" t="s">
        <v>1132</v>
      </c>
      <c r="C688" s="558"/>
      <c r="D688" s="510"/>
      <c r="E688" s="914"/>
      <c r="F688" s="511"/>
      <c r="G688" s="511"/>
      <c r="H688" s="511"/>
      <c r="I688" s="512"/>
      <c r="J688" s="512"/>
      <c r="K688" s="512"/>
      <c r="L688" s="930"/>
      <c r="M688" s="512"/>
      <c r="N688" s="512"/>
      <c r="O688" s="512"/>
      <c r="P688" s="512"/>
      <c r="Q688" s="512"/>
      <c r="R688" s="512"/>
      <c r="S688" s="930"/>
      <c r="T688" s="512"/>
      <c r="U688" s="512"/>
      <c r="V688" s="512"/>
      <c r="W688" s="512"/>
      <c r="X688" s="512"/>
      <c r="Y688" s="512"/>
      <c r="Z688" s="930"/>
      <c r="AA688" s="512"/>
      <c r="AB688" s="513"/>
      <c r="AC688" s="513"/>
      <c r="AD688" s="513"/>
      <c r="AE688" s="809"/>
      <c r="AF688" s="514"/>
      <c r="AG688" s="923"/>
      <c r="AH688" s="514"/>
      <c r="AI688" s="664">
        <f t="shared" ref="AI688:AI696" si="35">ROUND((SUM(D688:AH688)),2)</f>
        <v>0</v>
      </c>
      <c r="AJ688" s="521"/>
      <c r="AK688" s="520"/>
      <c r="AL688" s="673"/>
      <c r="AM688" s="670"/>
    </row>
    <row r="689" spans="1:45" s="500" customFormat="1" hidden="1">
      <c r="A689" s="539" t="s">
        <v>35</v>
      </c>
      <c r="B689" s="279" t="s">
        <v>1133</v>
      </c>
      <c r="C689" s="529"/>
      <c r="D689" s="519"/>
      <c r="E689" s="915"/>
      <c r="F689" s="520"/>
      <c r="G689" s="520"/>
      <c r="H689" s="520"/>
      <c r="I689" s="521"/>
      <c r="J689" s="521"/>
      <c r="K689" s="521"/>
      <c r="L689" s="899"/>
      <c r="M689" s="521"/>
      <c r="N689" s="521"/>
      <c r="O689" s="521"/>
      <c r="P689" s="521"/>
      <c r="Q689" s="521"/>
      <c r="R689" s="521"/>
      <c r="S689" s="899"/>
      <c r="T689" s="521"/>
      <c r="U689" s="521"/>
      <c r="V689" s="521"/>
      <c r="W689" s="521"/>
      <c r="X689" s="521"/>
      <c r="Y689" s="521"/>
      <c r="Z689" s="899"/>
      <c r="AA689" s="521"/>
      <c r="AB689" s="522"/>
      <c r="AC689" s="522"/>
      <c r="AD689" s="514"/>
      <c r="AE689" s="764"/>
      <c r="AF689" s="514"/>
      <c r="AG689" s="923"/>
      <c r="AH689" s="514"/>
      <c r="AI689" s="664">
        <f t="shared" si="35"/>
        <v>0</v>
      </c>
      <c r="AJ689" s="521"/>
      <c r="AK689" s="520"/>
      <c r="AL689" s="672"/>
      <c r="AM689" s="667"/>
    </row>
    <row r="690" spans="1:45" s="500" customFormat="1" hidden="1">
      <c r="A690" s="539" t="s">
        <v>537</v>
      </c>
      <c r="B690" s="284" t="s">
        <v>1134</v>
      </c>
      <c r="C690" s="524" t="s">
        <v>64</v>
      </c>
      <c r="D690" s="519"/>
      <c r="E690" s="915"/>
      <c r="F690" s="520"/>
      <c r="G690" s="520"/>
      <c r="H690" s="520"/>
      <c r="I690" s="521"/>
      <c r="J690" s="521"/>
      <c r="K690" s="521"/>
      <c r="L690" s="899"/>
      <c r="M690" s="521"/>
      <c r="N690" s="521"/>
      <c r="O690" s="521"/>
      <c r="P690" s="521"/>
      <c r="Q690" s="521"/>
      <c r="R690" s="521"/>
      <c r="S690" s="899"/>
      <c r="T690" s="521"/>
      <c r="U690" s="521"/>
      <c r="V690" s="521"/>
      <c r="W690" s="521"/>
      <c r="X690" s="521"/>
      <c r="Y690" s="521"/>
      <c r="Z690" s="899"/>
      <c r="AA690" s="521"/>
      <c r="AB690" s="522"/>
      <c r="AC690" s="522"/>
      <c r="AD690" s="514"/>
      <c r="AE690" s="764"/>
      <c r="AF690" s="514"/>
      <c r="AG690" s="923"/>
      <c r="AH690" s="514"/>
      <c r="AI690" s="664">
        <f t="shared" si="35"/>
        <v>0</v>
      </c>
      <c r="AJ690" s="521">
        <v>0</v>
      </c>
      <c r="AK690" s="520">
        <f>AI690+AJ690</f>
        <v>0</v>
      </c>
      <c r="AL690" s="672" t="s">
        <v>1455</v>
      </c>
      <c r="AM690" s="669">
        <f>AL690-AK690</f>
        <v>1</v>
      </c>
    </row>
    <row r="691" spans="1:45" s="500" customFormat="1" hidden="1">
      <c r="A691" s="539" t="s">
        <v>538</v>
      </c>
      <c r="B691" s="279" t="s">
        <v>1135</v>
      </c>
      <c r="C691" s="524" t="s">
        <v>64</v>
      </c>
      <c r="D691" s="519"/>
      <c r="E691" s="915"/>
      <c r="F691" s="520"/>
      <c r="G691" s="520"/>
      <c r="H691" s="520"/>
      <c r="I691" s="521"/>
      <c r="J691" s="521"/>
      <c r="K691" s="521"/>
      <c r="L691" s="899"/>
      <c r="M691" s="521"/>
      <c r="N691" s="521"/>
      <c r="O691" s="521"/>
      <c r="P691" s="521"/>
      <c r="Q691" s="521"/>
      <c r="R691" s="521"/>
      <c r="S691" s="899"/>
      <c r="T691" s="521"/>
      <c r="U691" s="521"/>
      <c r="V691" s="521"/>
      <c r="W691" s="521"/>
      <c r="X691" s="521"/>
      <c r="Y691" s="521"/>
      <c r="Z691" s="899"/>
      <c r="AA691" s="521"/>
      <c r="AB691" s="522"/>
      <c r="AC691" s="522"/>
      <c r="AD691" s="514"/>
      <c r="AE691" s="764"/>
      <c r="AF691" s="514"/>
      <c r="AG691" s="923"/>
      <c r="AH691" s="514"/>
      <c r="AI691" s="664">
        <f t="shared" si="35"/>
        <v>0</v>
      </c>
      <c r="AJ691" s="521">
        <v>0</v>
      </c>
      <c r="AK691" s="520">
        <f t="shared" ref="AK691:AK694" si="36">AI691+AJ691</f>
        <v>0</v>
      </c>
      <c r="AL691" s="672" t="s">
        <v>1455</v>
      </c>
      <c r="AM691" s="669">
        <f t="shared" ref="AM691:AM694" si="37">AL691-AK691</f>
        <v>1</v>
      </c>
    </row>
    <row r="692" spans="1:45" s="500" customFormat="1" hidden="1">
      <c r="A692" s="539" t="s">
        <v>539</v>
      </c>
      <c r="B692" s="284" t="s">
        <v>1136</v>
      </c>
      <c r="C692" s="529" t="s">
        <v>64</v>
      </c>
      <c r="D692" s="519"/>
      <c r="E692" s="915"/>
      <c r="F692" s="520"/>
      <c r="G692" s="520"/>
      <c r="H692" s="520"/>
      <c r="I692" s="521"/>
      <c r="J692" s="521"/>
      <c r="K692" s="521"/>
      <c r="L692" s="899"/>
      <c r="M692" s="521"/>
      <c r="N692" s="521"/>
      <c r="O692" s="521"/>
      <c r="P692" s="521"/>
      <c r="Q692" s="521"/>
      <c r="R692" s="521"/>
      <c r="S692" s="899"/>
      <c r="T692" s="521"/>
      <c r="U692" s="521"/>
      <c r="V692" s="521"/>
      <c r="W692" s="521"/>
      <c r="X692" s="521"/>
      <c r="Y692" s="521"/>
      <c r="Z692" s="899"/>
      <c r="AA692" s="521"/>
      <c r="AB692" s="522"/>
      <c r="AC692" s="522"/>
      <c r="AD692" s="514"/>
      <c r="AE692" s="764"/>
      <c r="AF692" s="514"/>
      <c r="AG692" s="923"/>
      <c r="AH692" s="514"/>
      <c r="AI692" s="664">
        <f t="shared" si="35"/>
        <v>0</v>
      </c>
      <c r="AJ692" s="521">
        <v>0</v>
      </c>
      <c r="AK692" s="520">
        <f t="shared" si="36"/>
        <v>0</v>
      </c>
      <c r="AL692" s="672" t="s">
        <v>1455</v>
      </c>
      <c r="AM692" s="669">
        <f t="shared" si="37"/>
        <v>1</v>
      </c>
    </row>
    <row r="693" spans="1:45" s="500" customFormat="1" hidden="1">
      <c r="A693" s="539" t="s">
        <v>540</v>
      </c>
      <c r="B693" s="279" t="s">
        <v>1137</v>
      </c>
      <c r="C693" s="524" t="s">
        <v>64</v>
      </c>
      <c r="D693" s="519"/>
      <c r="E693" s="915"/>
      <c r="F693" s="520"/>
      <c r="G693" s="520"/>
      <c r="H693" s="520"/>
      <c r="I693" s="521"/>
      <c r="J693" s="521"/>
      <c r="K693" s="521"/>
      <c r="L693" s="899"/>
      <c r="M693" s="521"/>
      <c r="N693" s="521"/>
      <c r="O693" s="521"/>
      <c r="P693" s="521"/>
      <c r="Q693" s="521"/>
      <c r="R693" s="521"/>
      <c r="S693" s="899"/>
      <c r="T693" s="521"/>
      <c r="U693" s="521"/>
      <c r="V693" s="521"/>
      <c r="W693" s="521"/>
      <c r="X693" s="521"/>
      <c r="Y693" s="521"/>
      <c r="Z693" s="899"/>
      <c r="AA693" s="521"/>
      <c r="AB693" s="522"/>
      <c r="AC693" s="522"/>
      <c r="AD693" s="514"/>
      <c r="AE693" s="764"/>
      <c r="AF693" s="514"/>
      <c r="AG693" s="923"/>
      <c r="AH693" s="514"/>
      <c r="AI693" s="664">
        <f t="shared" si="35"/>
        <v>0</v>
      </c>
      <c r="AJ693" s="521">
        <v>0</v>
      </c>
      <c r="AK693" s="520">
        <f t="shared" si="36"/>
        <v>0</v>
      </c>
      <c r="AL693" s="672" t="s">
        <v>1455</v>
      </c>
      <c r="AM693" s="669">
        <f t="shared" si="37"/>
        <v>1</v>
      </c>
    </row>
    <row r="694" spans="1:45" s="500" customFormat="1" hidden="1">
      <c r="A694" s="539" t="s">
        <v>541</v>
      </c>
      <c r="B694" s="279" t="s">
        <v>1138</v>
      </c>
      <c r="C694" s="524" t="s">
        <v>1450</v>
      </c>
      <c r="D694" s="519"/>
      <c r="E694" s="915"/>
      <c r="F694" s="520"/>
      <c r="G694" s="520"/>
      <c r="H694" s="520"/>
      <c r="I694" s="521"/>
      <c r="J694" s="521"/>
      <c r="K694" s="521"/>
      <c r="L694" s="899"/>
      <c r="M694" s="521"/>
      <c r="N694" s="521"/>
      <c r="O694" s="521"/>
      <c r="P694" s="521"/>
      <c r="Q694" s="521"/>
      <c r="R694" s="521"/>
      <c r="S694" s="899"/>
      <c r="T694" s="663"/>
      <c r="U694" s="663"/>
      <c r="V694" s="663"/>
      <c r="W694" s="663"/>
      <c r="X694" s="663"/>
      <c r="Y694" s="663"/>
      <c r="Z694" s="898"/>
      <c r="AA694" s="663"/>
      <c r="AB694" s="663"/>
      <c r="AC694" s="663"/>
      <c r="AD694" s="663"/>
      <c r="AE694" s="765"/>
      <c r="AF694" s="663"/>
      <c r="AG694" s="898"/>
      <c r="AH694" s="663"/>
      <c r="AI694" s="664">
        <f t="shared" si="35"/>
        <v>0</v>
      </c>
      <c r="AJ694" s="521">
        <v>1</v>
      </c>
      <c r="AK694" s="520">
        <f t="shared" si="36"/>
        <v>1</v>
      </c>
      <c r="AL694" s="663" t="s">
        <v>1455</v>
      </c>
      <c r="AM694" s="669">
        <f t="shared" si="37"/>
        <v>0</v>
      </c>
      <c r="AN694" s="666"/>
      <c r="AO694" s="663"/>
      <c r="AP694" s="663"/>
      <c r="AQ694" s="663"/>
      <c r="AR694" s="663"/>
      <c r="AS694" s="663"/>
    </row>
    <row r="695" spans="1:45" s="496" customFormat="1" ht="11.25" customHeight="1">
      <c r="A695" s="440" t="s">
        <v>39</v>
      </c>
      <c r="B695" s="543" t="s">
        <v>34</v>
      </c>
      <c r="C695" s="605"/>
      <c r="D695" s="606"/>
      <c r="E695" s="920"/>
      <c r="F695" s="608">
        <f t="shared" ref="F695" si="38">+ROUND(D695*E695,2)</f>
        <v>0</v>
      </c>
      <c r="G695" s="609">
        <v>0</v>
      </c>
      <c r="H695" s="610">
        <f t="shared" ref="H695" si="39">G695*E695</f>
        <v>0</v>
      </c>
      <c r="I695" s="566"/>
      <c r="J695" s="610">
        <f t="shared" ref="J695" si="40">I695*E695</f>
        <v>0</v>
      </c>
      <c r="K695" s="609">
        <f t="shared" ref="K695" si="41">G695+I695</f>
        <v>0</v>
      </c>
      <c r="L695" s="932">
        <f t="shared" ref="L695" si="42">K695*E695</f>
        <v>0</v>
      </c>
      <c r="M695" s="612" t="str">
        <f t="shared" ref="M695" si="43">+IF(C695=0,"",L695/F695)</f>
        <v/>
      </c>
      <c r="N695" s="613">
        <f t="shared" ref="N695" si="44">D695-K695</f>
        <v>0</v>
      </c>
      <c r="O695" s="614">
        <f t="shared" ref="O695" si="45">ROUND((N695*E695),2)</f>
        <v>0</v>
      </c>
      <c r="P695" s="615" t="str">
        <f t="shared" ref="P695" si="46">+IF(F695=0,"",O695/F695)</f>
        <v/>
      </c>
      <c r="Q695" s="166"/>
      <c r="S695" s="924"/>
      <c r="Z695" s="924"/>
      <c r="AE695" s="883"/>
      <c r="AG695" s="924"/>
    </row>
    <row r="696" spans="1:45" s="730" customFormat="1" ht="13.5" thickBot="1">
      <c r="A696" s="720" t="s">
        <v>543</v>
      </c>
      <c r="B696" s="659" t="s">
        <v>1140</v>
      </c>
      <c r="C696" s="660" t="s">
        <v>40</v>
      </c>
      <c r="D696" s="912">
        <v>10.4</v>
      </c>
      <c r="E696" s="917"/>
      <c r="F696" s="910">
        <v>10</v>
      </c>
      <c r="G696" s="910">
        <v>10</v>
      </c>
      <c r="H696" s="910">
        <v>10</v>
      </c>
      <c r="I696" s="911">
        <v>10</v>
      </c>
      <c r="J696" s="910">
        <v>10</v>
      </c>
      <c r="K696" s="739"/>
      <c r="L696" s="898"/>
      <c r="M696" s="741"/>
      <c r="N696" s="741"/>
      <c r="O696" s="741"/>
      <c r="P696" s="741"/>
      <c r="Q696" s="741"/>
      <c r="R696" s="741"/>
      <c r="S696" s="898"/>
      <c r="T696" s="741"/>
      <c r="U696" s="741"/>
      <c r="V696" s="741"/>
      <c r="W696" s="741"/>
      <c r="X696" s="741"/>
      <c r="Y696" s="741"/>
      <c r="Z696" s="898"/>
      <c r="AA696" s="741"/>
      <c r="AB696" s="741"/>
      <c r="AC696" s="741"/>
      <c r="AD696" s="741"/>
      <c r="AE696" s="765"/>
      <c r="AF696" s="741"/>
      <c r="AG696" s="898"/>
      <c r="AH696" s="741"/>
      <c r="AI696" s="786">
        <f t="shared" si="35"/>
        <v>60.4</v>
      </c>
      <c r="AJ696" s="725">
        <v>963.6</v>
      </c>
      <c r="AK696" s="726">
        <f>AI696+AJ696</f>
        <v>1024</v>
      </c>
      <c r="AL696" s="741" t="s">
        <v>1457</v>
      </c>
      <c r="AM696" s="729">
        <f>AN696-AK696</f>
        <v>0</v>
      </c>
      <c r="AN696" s="825">
        <v>1024</v>
      </c>
      <c r="AO696" s="741">
        <f>AL696-AN696</f>
        <v>-416.4</v>
      </c>
      <c r="AP696" s="741"/>
      <c r="AQ696" s="741"/>
      <c r="AR696" s="741"/>
      <c r="AS696" s="741"/>
    </row>
    <row r="697" spans="1:45" s="500" customFormat="1" ht="13.5" hidden="1" thickBot="1">
      <c r="A697" s="539" t="s">
        <v>544</v>
      </c>
      <c r="B697" s="539" t="s">
        <v>1141</v>
      </c>
      <c r="C697" s="472" t="s">
        <v>40</v>
      </c>
      <c r="D697" s="519"/>
      <c r="E697" s="915"/>
      <c r="F697" s="520"/>
      <c r="G697" s="520"/>
      <c r="H697" s="520"/>
      <c r="I697" s="520"/>
      <c r="J697" s="520"/>
      <c r="K697" s="520"/>
      <c r="L697" s="923"/>
      <c r="M697" s="514"/>
      <c r="N697" s="514"/>
      <c r="O697" s="514"/>
      <c r="P697" s="514"/>
      <c r="Q697" s="514"/>
      <c r="R697" s="514"/>
      <c r="S697" s="923"/>
      <c r="T697" s="514"/>
      <c r="U697" s="514"/>
      <c r="V697" s="514"/>
      <c r="W697" s="514"/>
      <c r="X697" s="514"/>
      <c r="Y697" s="514"/>
      <c r="Z697" s="923"/>
      <c r="AA697" s="514"/>
      <c r="AB697" s="514"/>
      <c r="AC697" s="514"/>
      <c r="AD697" s="514"/>
      <c r="AE697" s="774"/>
      <c r="AF697" s="514"/>
      <c r="AG697" s="923"/>
      <c r="AH697" s="789"/>
      <c r="AI697" s="664">
        <f t="shared" ref="AI697:AI750" si="47">ROUND((SUM(D697:AG697)),2)</f>
        <v>0</v>
      </c>
      <c r="AJ697" s="521">
        <v>0</v>
      </c>
      <c r="AK697" s="520">
        <f t="shared" ref="AK697:AK760" si="48">AI697+AJ697</f>
        <v>0</v>
      </c>
      <c r="AL697" s="672" t="s">
        <v>1458</v>
      </c>
      <c r="AM697" s="669">
        <f t="shared" ref="AM697:AM760" si="49">AL697-AK697</f>
        <v>759.49</v>
      </c>
      <c r="AO697" s="517">
        <f>AN696-AK696</f>
        <v>0</v>
      </c>
      <c r="AP697" s="500">
        <f>AO696/30</f>
        <v>-13.879999999999999</v>
      </c>
    </row>
    <row r="698" spans="1:45" s="500" customFormat="1" ht="13.5" hidden="1" thickBot="1">
      <c r="A698" s="440" t="s">
        <v>545</v>
      </c>
      <c r="B698" s="543" t="s">
        <v>1142</v>
      </c>
      <c r="C698" s="605"/>
      <c r="D698" s="519"/>
      <c r="E698" s="915"/>
      <c r="F698" s="520"/>
      <c r="G698" s="520"/>
      <c r="H698" s="520"/>
      <c r="I698" s="521"/>
      <c r="J698" s="521"/>
      <c r="K698" s="521"/>
      <c r="L698" s="923"/>
      <c r="M698" s="514"/>
      <c r="N698" s="514"/>
      <c r="O698" s="514"/>
      <c r="P698" s="514"/>
      <c r="Q698" s="514"/>
      <c r="R698" s="514"/>
      <c r="S698" s="923"/>
      <c r="T698" s="514"/>
      <c r="U698" s="514"/>
      <c r="V698" s="514"/>
      <c r="W698" s="514"/>
      <c r="X698" s="514"/>
      <c r="Y698" s="514"/>
      <c r="Z698" s="923"/>
      <c r="AA698" s="514"/>
      <c r="AB698" s="514"/>
      <c r="AC698" s="514"/>
      <c r="AD698" s="514"/>
      <c r="AE698" s="774"/>
      <c r="AF698" s="514"/>
      <c r="AG698" s="923"/>
      <c r="AH698" s="789"/>
      <c r="AI698" s="664">
        <f t="shared" si="47"/>
        <v>0</v>
      </c>
      <c r="AJ698" s="521">
        <v>0</v>
      </c>
      <c r="AK698" s="520">
        <f t="shared" si="48"/>
        <v>0</v>
      </c>
      <c r="AL698" s="672"/>
      <c r="AM698" s="669">
        <f t="shared" si="49"/>
        <v>0</v>
      </c>
    </row>
    <row r="699" spans="1:45" s="500" customFormat="1" ht="13.5" hidden="1" thickBot="1">
      <c r="A699" s="539" t="s">
        <v>546</v>
      </c>
      <c r="B699" s="539" t="s">
        <v>1142</v>
      </c>
      <c r="C699" s="472" t="s">
        <v>64</v>
      </c>
      <c r="D699" s="525"/>
      <c r="E699" s="916"/>
      <c r="F699" s="526"/>
      <c r="G699" s="526"/>
      <c r="H699" s="754"/>
      <c r="I699" s="527"/>
      <c r="J699" s="527"/>
      <c r="K699" s="527"/>
      <c r="L699" s="923"/>
      <c r="M699" s="514"/>
      <c r="N699" s="514"/>
      <c r="O699" s="514"/>
      <c r="P699" s="514"/>
      <c r="Q699" s="514"/>
      <c r="R699" s="514"/>
      <c r="S699" s="923"/>
      <c r="T699" s="514"/>
      <c r="U699" s="514"/>
      <c r="V699" s="514"/>
      <c r="W699" s="514"/>
      <c r="X699" s="514"/>
      <c r="Y699" s="514"/>
      <c r="Z699" s="923"/>
      <c r="AA699" s="514"/>
      <c r="AB699" s="514"/>
      <c r="AC699" s="514"/>
      <c r="AD699" s="514"/>
      <c r="AE699" s="774"/>
      <c r="AF699" s="514"/>
      <c r="AG699" s="923"/>
      <c r="AH699" s="789"/>
      <c r="AI699" s="664">
        <f t="shared" si="47"/>
        <v>0</v>
      </c>
      <c r="AJ699" s="521">
        <v>0</v>
      </c>
      <c r="AK699" s="520">
        <f t="shared" si="48"/>
        <v>0</v>
      </c>
      <c r="AL699" s="673" t="s">
        <v>1455</v>
      </c>
      <c r="AM699" s="669">
        <f t="shared" si="49"/>
        <v>1</v>
      </c>
    </row>
    <row r="700" spans="1:45" s="500" customFormat="1" ht="13.5" hidden="1" thickBot="1">
      <c r="A700" s="539" t="s">
        <v>547</v>
      </c>
      <c r="B700" s="539" t="s">
        <v>1144</v>
      </c>
      <c r="C700" s="472" t="s">
        <v>64</v>
      </c>
      <c r="D700" s="519"/>
      <c r="E700" s="915"/>
      <c r="F700" s="520"/>
      <c r="G700" s="520"/>
      <c r="H700" s="520"/>
      <c r="I700" s="521"/>
      <c r="J700" s="521"/>
      <c r="K700" s="521"/>
      <c r="L700" s="929"/>
      <c r="M700" s="514"/>
      <c r="N700" s="514"/>
      <c r="O700" s="514"/>
      <c r="P700" s="514"/>
      <c r="Q700" s="514"/>
      <c r="R700" s="514"/>
      <c r="S700" s="923"/>
      <c r="T700" s="514"/>
      <c r="U700" s="514"/>
      <c r="V700" s="514"/>
      <c r="W700" s="514"/>
      <c r="X700" s="514"/>
      <c r="Y700" s="514"/>
      <c r="Z700" s="923"/>
      <c r="AA700" s="514"/>
      <c r="AB700" s="514"/>
      <c r="AC700" s="514"/>
      <c r="AD700" s="514"/>
      <c r="AE700" s="774"/>
      <c r="AF700" s="514"/>
      <c r="AG700" s="923"/>
      <c r="AH700" s="789"/>
      <c r="AI700" s="664">
        <f t="shared" si="47"/>
        <v>0</v>
      </c>
      <c r="AJ700" s="521">
        <v>0</v>
      </c>
      <c r="AK700" s="520">
        <f t="shared" si="48"/>
        <v>0</v>
      </c>
      <c r="AL700" s="672" t="s">
        <v>1455</v>
      </c>
      <c r="AM700" s="669">
        <f t="shared" si="49"/>
        <v>1</v>
      </c>
    </row>
    <row r="701" spans="1:45" s="500" customFormat="1" ht="13.5" hidden="1" thickBot="1">
      <c r="A701" s="440" t="s">
        <v>548</v>
      </c>
      <c r="B701" s="543" t="s">
        <v>1145</v>
      </c>
      <c r="C701" s="605"/>
      <c r="D701" s="519"/>
      <c r="E701" s="915"/>
      <c r="F701" s="520"/>
      <c r="G701" s="520"/>
      <c r="H701" s="520"/>
      <c r="I701" s="521"/>
      <c r="J701" s="521"/>
      <c r="K701" s="521"/>
      <c r="L701" s="923"/>
      <c r="M701" s="514"/>
      <c r="N701" s="514"/>
      <c r="O701" s="514"/>
      <c r="P701" s="514"/>
      <c r="Q701" s="514"/>
      <c r="R701" s="514"/>
      <c r="S701" s="923"/>
      <c r="T701" s="514"/>
      <c r="U701" s="514"/>
      <c r="V701" s="514"/>
      <c r="W701" s="514"/>
      <c r="X701" s="514"/>
      <c r="Y701" s="514"/>
      <c r="Z701" s="923"/>
      <c r="AA701" s="514"/>
      <c r="AB701" s="514"/>
      <c r="AC701" s="514"/>
      <c r="AD701" s="514"/>
      <c r="AE701" s="774"/>
      <c r="AF701" s="514"/>
      <c r="AG701" s="923"/>
      <c r="AH701" s="789"/>
      <c r="AI701" s="664">
        <f t="shared" si="47"/>
        <v>0</v>
      </c>
      <c r="AJ701" s="521">
        <v>0</v>
      </c>
      <c r="AK701" s="520">
        <f t="shared" si="48"/>
        <v>0</v>
      </c>
      <c r="AL701" s="672"/>
      <c r="AM701" s="669">
        <f t="shared" si="49"/>
        <v>0</v>
      </c>
    </row>
    <row r="702" spans="1:45" s="500" customFormat="1" ht="13.5" hidden="1" thickBot="1">
      <c r="A702" s="539" t="s">
        <v>549</v>
      </c>
      <c r="B702" s="539" t="s">
        <v>1146</v>
      </c>
      <c r="C702" s="472" t="s">
        <v>37</v>
      </c>
      <c r="D702" s="519"/>
      <c r="E702" s="915"/>
      <c r="F702" s="520"/>
      <c r="G702" s="520"/>
      <c r="H702" s="520"/>
      <c r="I702" s="521"/>
      <c r="J702" s="521"/>
      <c r="K702" s="521"/>
      <c r="L702" s="923"/>
      <c r="M702" s="514"/>
      <c r="N702" s="514"/>
      <c r="O702" s="514"/>
      <c r="P702" s="514"/>
      <c r="Q702" s="514"/>
      <c r="R702" s="514"/>
      <c r="S702" s="923"/>
      <c r="T702" s="514"/>
      <c r="U702" s="514"/>
      <c r="V702" s="514"/>
      <c r="W702" s="514"/>
      <c r="X702" s="514"/>
      <c r="Y702" s="514"/>
      <c r="Z702" s="923"/>
      <c r="AA702" s="514"/>
      <c r="AB702" s="514"/>
      <c r="AC702" s="514"/>
      <c r="AD702" s="514"/>
      <c r="AE702" s="774"/>
      <c r="AF702" s="514"/>
      <c r="AG702" s="923"/>
      <c r="AH702" s="789"/>
      <c r="AI702" s="664">
        <f t="shared" si="47"/>
        <v>0</v>
      </c>
      <c r="AJ702" s="521">
        <v>656.8</v>
      </c>
      <c r="AK702" s="520">
        <f t="shared" si="48"/>
        <v>656.8</v>
      </c>
      <c r="AL702" s="672" t="s">
        <v>1456</v>
      </c>
      <c r="AM702" s="669">
        <f t="shared" si="49"/>
        <v>0</v>
      </c>
    </row>
    <row r="703" spans="1:45" s="500" customFormat="1" ht="13.5" hidden="1" thickBot="1">
      <c r="A703" s="539" t="s">
        <v>550</v>
      </c>
      <c r="B703" s="539" t="s">
        <v>1819</v>
      </c>
      <c r="C703" s="472" t="s">
        <v>37</v>
      </c>
      <c r="D703" s="519"/>
      <c r="E703" s="915"/>
      <c r="F703" s="520"/>
      <c r="G703" s="520"/>
      <c r="H703" s="520"/>
      <c r="I703" s="521"/>
      <c r="J703" s="521"/>
      <c r="K703" s="521"/>
      <c r="L703" s="923"/>
      <c r="M703" s="514"/>
      <c r="N703" s="514"/>
      <c r="O703" s="514"/>
      <c r="P703" s="514"/>
      <c r="Q703" s="514"/>
      <c r="R703" s="514"/>
      <c r="S703" s="923"/>
      <c r="T703" s="514"/>
      <c r="U703" s="514"/>
      <c r="V703" s="514"/>
      <c r="W703" s="514"/>
      <c r="X703" s="757"/>
      <c r="Y703" s="514"/>
      <c r="Z703" s="923"/>
      <c r="AA703" s="514"/>
      <c r="AB703" s="514"/>
      <c r="AC703" s="514"/>
      <c r="AD703" s="514"/>
      <c r="AE703" s="774"/>
      <c r="AF703" s="514"/>
      <c r="AG703" s="923"/>
      <c r="AH703" s="789"/>
      <c r="AI703" s="664">
        <f t="shared" si="47"/>
        <v>0</v>
      </c>
      <c r="AJ703" s="521">
        <v>154.35</v>
      </c>
      <c r="AK703" s="520">
        <f>AI703+AJ703</f>
        <v>154.35</v>
      </c>
      <c r="AL703" s="672" t="s">
        <v>1456</v>
      </c>
      <c r="AM703" s="669">
        <f>AL703-AK703</f>
        <v>502.44999999999993</v>
      </c>
      <c r="AO703" s="500">
        <f>AM696/15</f>
        <v>0</v>
      </c>
    </row>
    <row r="704" spans="1:45" s="518" customFormat="1" ht="13.5" hidden="1" thickBot="1">
      <c r="A704" s="440" t="s">
        <v>551</v>
      </c>
      <c r="B704" s="543" t="s">
        <v>1147</v>
      </c>
      <c r="C704" s="605"/>
      <c r="D704" s="519"/>
      <c r="E704" s="915"/>
      <c r="F704" s="520"/>
      <c r="G704" s="520"/>
      <c r="H704" s="520"/>
      <c r="I704" s="521"/>
      <c r="J704" s="521"/>
      <c r="K704" s="521"/>
      <c r="L704" s="923"/>
      <c r="M704" s="514"/>
      <c r="N704" s="514"/>
      <c r="O704" s="514"/>
      <c r="P704" s="514"/>
      <c r="Q704" s="514"/>
      <c r="R704" s="514"/>
      <c r="S704" s="923"/>
      <c r="T704" s="514"/>
      <c r="U704" s="514"/>
      <c r="V704" s="514"/>
      <c r="W704" s="514"/>
      <c r="X704" s="514"/>
      <c r="Y704" s="514"/>
      <c r="Z704" s="923"/>
      <c r="AA704" s="514"/>
      <c r="AB704" s="514"/>
      <c r="AC704" s="514"/>
      <c r="AD704" s="514"/>
      <c r="AE704" s="774"/>
      <c r="AF704" s="514"/>
      <c r="AG704" s="923"/>
      <c r="AH704" s="789"/>
      <c r="AI704" s="664">
        <f t="shared" si="47"/>
        <v>0</v>
      </c>
      <c r="AJ704" s="521">
        <v>0</v>
      </c>
      <c r="AK704" s="520">
        <f t="shared" si="48"/>
        <v>0</v>
      </c>
      <c r="AL704" s="672"/>
      <c r="AM704" s="669">
        <f t="shared" si="49"/>
        <v>0</v>
      </c>
    </row>
    <row r="705" spans="1:39" s="500" customFormat="1" ht="13.5" hidden="1" thickBot="1">
      <c r="A705" s="539" t="s">
        <v>552</v>
      </c>
      <c r="B705" s="539" t="s">
        <v>1148</v>
      </c>
      <c r="C705" s="472" t="s">
        <v>64</v>
      </c>
      <c r="D705" s="528"/>
      <c r="E705" s="899"/>
      <c r="F705" s="521"/>
      <c r="G705" s="521"/>
      <c r="H705" s="520"/>
      <c r="I705" s="521"/>
      <c r="J705" s="521"/>
      <c r="K705" s="521"/>
      <c r="L705" s="923"/>
      <c r="M705" s="514"/>
      <c r="N705" s="514"/>
      <c r="O705" s="514"/>
      <c r="P705" s="514"/>
      <c r="Q705" s="514"/>
      <c r="R705" s="514"/>
      <c r="S705" s="923"/>
      <c r="T705" s="514"/>
      <c r="U705" s="514"/>
      <c r="V705" s="514"/>
      <c r="W705" s="514"/>
      <c r="X705" s="514"/>
      <c r="Y705" s="514"/>
      <c r="Z705" s="923"/>
      <c r="AA705" s="514"/>
      <c r="AB705" s="514"/>
      <c r="AC705" s="514"/>
      <c r="AD705" s="514"/>
      <c r="AE705" s="774"/>
      <c r="AF705" s="514"/>
      <c r="AG705" s="923"/>
      <c r="AH705" s="789"/>
      <c r="AI705" s="664">
        <f t="shared" si="47"/>
        <v>0</v>
      </c>
      <c r="AJ705" s="521">
        <v>0</v>
      </c>
      <c r="AK705" s="520">
        <f t="shared" si="48"/>
        <v>0</v>
      </c>
      <c r="AL705" s="672" t="s">
        <v>1455</v>
      </c>
      <c r="AM705" s="669">
        <f t="shared" si="49"/>
        <v>1</v>
      </c>
    </row>
    <row r="706" spans="1:39" s="500" customFormat="1" ht="13.5" hidden="1" thickBot="1">
      <c r="A706" s="539" t="s">
        <v>553</v>
      </c>
      <c r="B706" s="539" t="s">
        <v>1149</v>
      </c>
      <c r="C706" s="472" t="s">
        <v>36</v>
      </c>
      <c r="D706" s="528"/>
      <c r="E706" s="899"/>
      <c r="F706" s="521"/>
      <c r="G706" s="521"/>
      <c r="H706" s="520"/>
      <c r="I706" s="521"/>
      <c r="J706" s="521"/>
      <c r="K706" s="521"/>
      <c r="L706" s="923"/>
      <c r="M706" s="514"/>
      <c r="N706" s="514"/>
      <c r="O706" s="514"/>
      <c r="P706" s="514"/>
      <c r="Q706" s="514"/>
      <c r="R706" s="514"/>
      <c r="S706" s="923"/>
      <c r="T706" s="514"/>
      <c r="U706" s="514"/>
      <c r="V706" s="514"/>
      <c r="W706" s="514"/>
      <c r="X706" s="514"/>
      <c r="Y706" s="514"/>
      <c r="Z706" s="923"/>
      <c r="AA706" s="514"/>
      <c r="AB706" s="514"/>
      <c r="AC706" s="514"/>
      <c r="AD706" s="514"/>
      <c r="AE706" s="774"/>
      <c r="AF706" s="514"/>
      <c r="AG706" s="923"/>
      <c r="AH706" s="789"/>
      <c r="AI706" s="664">
        <f t="shared" si="47"/>
        <v>0</v>
      </c>
      <c r="AJ706" s="521">
        <v>0</v>
      </c>
      <c r="AK706" s="520">
        <f t="shared" si="48"/>
        <v>0</v>
      </c>
      <c r="AL706" s="672" t="s">
        <v>1459</v>
      </c>
      <c r="AM706" s="669">
        <f t="shared" si="49"/>
        <v>30</v>
      </c>
    </row>
    <row r="707" spans="1:39" s="518" customFormat="1" ht="13.5" hidden="1" thickBot="1">
      <c r="A707" s="539" t="s">
        <v>554</v>
      </c>
      <c r="B707" s="539" t="s">
        <v>1150</v>
      </c>
      <c r="C707" s="472" t="s">
        <v>64</v>
      </c>
      <c r="D707" s="528"/>
      <c r="E707" s="899"/>
      <c r="F707" s="521"/>
      <c r="G707" s="521"/>
      <c r="H707" s="520"/>
      <c r="I707" s="521"/>
      <c r="J707" s="521"/>
      <c r="K707" s="521"/>
      <c r="L707" s="923"/>
      <c r="M707" s="514"/>
      <c r="N707" s="514"/>
      <c r="O707" s="514"/>
      <c r="P707" s="514"/>
      <c r="Q707" s="514"/>
      <c r="R707" s="514"/>
      <c r="S707" s="923"/>
      <c r="T707" s="514"/>
      <c r="U707" s="514"/>
      <c r="V707" s="514"/>
      <c r="W707" s="514"/>
      <c r="X707" s="514"/>
      <c r="Y707" s="514"/>
      <c r="Z707" s="923"/>
      <c r="AA707" s="514"/>
      <c r="AB707" s="514"/>
      <c r="AC707" s="514"/>
      <c r="AD707" s="514"/>
      <c r="AE707" s="774"/>
      <c r="AF707" s="514"/>
      <c r="AG707" s="923"/>
      <c r="AH707" s="789"/>
      <c r="AI707" s="664">
        <f t="shared" si="47"/>
        <v>0</v>
      </c>
      <c r="AJ707" s="521">
        <v>0</v>
      </c>
      <c r="AK707" s="520">
        <f t="shared" si="48"/>
        <v>0</v>
      </c>
      <c r="AL707" s="672" t="s">
        <v>1455</v>
      </c>
      <c r="AM707" s="669">
        <f t="shared" si="49"/>
        <v>1</v>
      </c>
    </row>
    <row r="708" spans="1:39" s="500" customFormat="1" ht="13.5" hidden="1" thickBot="1">
      <c r="A708" s="539" t="s">
        <v>555</v>
      </c>
      <c r="B708" s="539" t="s">
        <v>1151</v>
      </c>
      <c r="C708" s="472" t="s">
        <v>64</v>
      </c>
      <c r="D708" s="528"/>
      <c r="E708" s="899"/>
      <c r="F708" s="521"/>
      <c r="G708" s="521"/>
      <c r="H708" s="520"/>
      <c r="I708" s="521"/>
      <c r="J708" s="521"/>
      <c r="K708" s="521"/>
      <c r="L708" s="923"/>
      <c r="M708" s="514"/>
      <c r="N708" s="514"/>
      <c r="O708" s="514"/>
      <c r="P708" s="514"/>
      <c r="Q708" s="514"/>
      <c r="R708" s="514"/>
      <c r="S708" s="923"/>
      <c r="T708" s="514"/>
      <c r="U708" s="514"/>
      <c r="V708" s="514"/>
      <c r="W708" s="514"/>
      <c r="X708" s="514"/>
      <c r="Y708" s="514"/>
      <c r="Z708" s="923"/>
      <c r="AA708" s="514"/>
      <c r="AB708" s="514"/>
      <c r="AC708" s="514"/>
      <c r="AD708" s="757"/>
      <c r="AE708" s="774"/>
      <c r="AF708" s="514"/>
      <c r="AG708" s="923"/>
      <c r="AH708" s="789"/>
      <c r="AI708" s="664">
        <f t="shared" si="47"/>
        <v>0</v>
      </c>
      <c r="AJ708" s="521">
        <v>0</v>
      </c>
      <c r="AK708" s="520">
        <f t="shared" si="48"/>
        <v>0</v>
      </c>
      <c r="AL708" s="672" t="s">
        <v>1455</v>
      </c>
      <c r="AM708" s="669">
        <f t="shared" si="49"/>
        <v>1</v>
      </c>
    </row>
    <row r="709" spans="1:39" s="500" customFormat="1" ht="13.5" hidden="1" thickBot="1">
      <c r="A709" s="539" t="s">
        <v>556</v>
      </c>
      <c r="B709" s="539" t="s">
        <v>1152</v>
      </c>
      <c r="C709" s="472" t="s">
        <v>64</v>
      </c>
      <c r="D709" s="528"/>
      <c r="E709" s="899"/>
      <c r="F709" s="521"/>
      <c r="G709" s="521"/>
      <c r="H709" s="520"/>
      <c r="I709" s="521"/>
      <c r="J709" s="521"/>
      <c r="K709" s="521"/>
      <c r="L709" s="923"/>
      <c r="M709" s="514"/>
      <c r="N709" s="514"/>
      <c r="O709" s="514"/>
      <c r="P709" s="514"/>
      <c r="Q709" s="514"/>
      <c r="R709" s="514"/>
      <c r="S709" s="923"/>
      <c r="T709" s="514"/>
      <c r="U709" s="514"/>
      <c r="V709" s="514"/>
      <c r="W709" s="514"/>
      <c r="X709" s="514"/>
      <c r="Y709" s="514"/>
      <c r="Z709" s="923"/>
      <c r="AA709" s="514"/>
      <c r="AB709" s="514"/>
      <c r="AC709" s="514"/>
      <c r="AD709" s="514"/>
      <c r="AE709" s="774"/>
      <c r="AF709" s="514"/>
      <c r="AG709" s="923"/>
      <c r="AH709" s="789"/>
      <c r="AI709" s="664">
        <f t="shared" si="47"/>
        <v>0</v>
      </c>
      <c r="AJ709" s="521">
        <v>0</v>
      </c>
      <c r="AK709" s="520">
        <f t="shared" si="48"/>
        <v>0</v>
      </c>
      <c r="AL709" s="672" t="s">
        <v>1455</v>
      </c>
      <c r="AM709" s="669">
        <f t="shared" si="49"/>
        <v>1</v>
      </c>
    </row>
    <row r="710" spans="1:39" s="500" customFormat="1" ht="13.5" hidden="1" thickBot="1">
      <c r="A710" s="539" t="s">
        <v>557</v>
      </c>
      <c r="B710" s="539" t="s">
        <v>1153</v>
      </c>
      <c r="C710" s="472" t="s">
        <v>64</v>
      </c>
      <c r="D710" s="521"/>
      <c r="E710" s="897"/>
      <c r="F710" s="521"/>
      <c r="G710" s="527"/>
      <c r="H710" s="526"/>
      <c r="I710" s="527"/>
      <c r="J710" s="527"/>
      <c r="K710" s="527"/>
      <c r="L710" s="923"/>
      <c r="M710" s="514"/>
      <c r="N710" s="514"/>
      <c r="O710" s="514"/>
      <c r="P710" s="514"/>
      <c r="Q710" s="514"/>
      <c r="R710" s="514"/>
      <c r="S710" s="923"/>
      <c r="T710" s="514"/>
      <c r="U710" s="514"/>
      <c r="V710" s="514"/>
      <c r="W710" s="514"/>
      <c r="X710" s="514"/>
      <c r="Y710" s="514"/>
      <c r="Z710" s="923"/>
      <c r="AA710" s="514"/>
      <c r="AB710" s="514"/>
      <c r="AC710" s="514"/>
      <c r="AD710" s="514"/>
      <c r="AE710" s="774"/>
      <c r="AF710" s="514"/>
      <c r="AG710" s="923"/>
      <c r="AH710" s="789"/>
      <c r="AI710" s="664">
        <f t="shared" si="47"/>
        <v>0</v>
      </c>
      <c r="AJ710" s="521">
        <v>0</v>
      </c>
      <c r="AK710" s="520">
        <f t="shared" si="48"/>
        <v>0</v>
      </c>
      <c r="AL710" s="673" t="s">
        <v>1455</v>
      </c>
      <c r="AM710" s="669">
        <f t="shared" si="49"/>
        <v>1</v>
      </c>
    </row>
    <row r="711" spans="1:39" s="500" customFormat="1">
      <c r="A711" s="541" t="s">
        <v>42</v>
      </c>
      <c r="B711" s="541" t="s">
        <v>1154</v>
      </c>
      <c r="C711" s="605"/>
      <c r="D711" s="519"/>
      <c r="E711" s="915"/>
      <c r="F711" s="520"/>
      <c r="G711" s="520"/>
      <c r="H711" s="520"/>
      <c r="I711" s="521"/>
      <c r="J711" s="521"/>
      <c r="K711" s="521"/>
      <c r="L711" s="923"/>
      <c r="M711" s="514"/>
      <c r="N711" s="514"/>
      <c r="O711" s="514"/>
      <c r="P711" s="514"/>
      <c r="Q711" s="514"/>
      <c r="R711" s="514"/>
      <c r="S711" s="923"/>
      <c r="T711" s="514"/>
      <c r="U711" s="514"/>
      <c r="V711" s="514"/>
      <c r="W711" s="514"/>
      <c r="X711" s="514"/>
      <c r="Y711" s="514"/>
      <c r="Z711" s="923"/>
      <c r="AA711" s="514"/>
      <c r="AB711" s="514"/>
      <c r="AC711" s="514"/>
      <c r="AD711" s="514"/>
      <c r="AE711" s="774"/>
      <c r="AF711" s="514"/>
      <c r="AG711" s="923"/>
      <c r="AH711" s="789"/>
      <c r="AI711" s="664">
        <f t="shared" si="47"/>
        <v>0</v>
      </c>
      <c r="AJ711" s="521">
        <v>0</v>
      </c>
      <c r="AK711" s="520">
        <f t="shared" si="48"/>
        <v>0</v>
      </c>
      <c r="AL711" s="672"/>
      <c r="AM711" s="669">
        <f t="shared" si="49"/>
        <v>0</v>
      </c>
    </row>
    <row r="712" spans="1:39" s="518" customFormat="1" hidden="1">
      <c r="A712" s="440" t="s">
        <v>43</v>
      </c>
      <c r="B712" s="543" t="s">
        <v>1155</v>
      </c>
      <c r="C712" s="605"/>
      <c r="D712" s="519"/>
      <c r="E712" s="915"/>
      <c r="F712" s="520"/>
      <c r="G712" s="520"/>
      <c r="H712" s="520"/>
      <c r="I712" s="521"/>
      <c r="J712" s="521"/>
      <c r="K712" s="521"/>
      <c r="L712" s="923"/>
      <c r="M712" s="514"/>
      <c r="N712" s="514"/>
      <c r="O712" s="514"/>
      <c r="P712" s="514"/>
      <c r="Q712" s="514"/>
      <c r="R712" s="514"/>
      <c r="S712" s="923"/>
      <c r="T712" s="514"/>
      <c r="U712" s="514"/>
      <c r="V712" s="514"/>
      <c r="W712" s="514"/>
      <c r="X712" s="514"/>
      <c r="Y712" s="514"/>
      <c r="Z712" s="923"/>
      <c r="AA712" s="514"/>
      <c r="AB712" s="514"/>
      <c r="AC712" s="514"/>
      <c r="AD712" s="514"/>
      <c r="AE712" s="774"/>
      <c r="AF712" s="514"/>
      <c r="AG712" s="923"/>
      <c r="AH712" s="789"/>
      <c r="AI712" s="664">
        <f t="shared" si="47"/>
        <v>0</v>
      </c>
      <c r="AJ712" s="521">
        <v>0</v>
      </c>
      <c r="AK712" s="520">
        <f t="shared" si="48"/>
        <v>0</v>
      </c>
      <c r="AL712" s="672"/>
      <c r="AM712" s="669">
        <f t="shared" si="49"/>
        <v>0</v>
      </c>
    </row>
    <row r="713" spans="1:39" s="500" customFormat="1" hidden="1">
      <c r="A713" s="542" t="s">
        <v>53</v>
      </c>
      <c r="B713" s="542" t="s">
        <v>46</v>
      </c>
      <c r="C713" s="605"/>
      <c r="D713" s="519"/>
      <c r="E713" s="915"/>
      <c r="F713" s="520"/>
      <c r="G713" s="520"/>
      <c r="H713" s="520"/>
      <c r="I713" s="521"/>
      <c r="J713" s="521"/>
      <c r="K713" s="521"/>
      <c r="L713" s="923"/>
      <c r="M713" s="514"/>
      <c r="N713" s="514"/>
      <c r="O713" s="514"/>
      <c r="P713" s="514"/>
      <c r="Q713" s="514"/>
      <c r="R713" s="514"/>
      <c r="S713" s="923"/>
      <c r="T713" s="514"/>
      <c r="U713" s="514"/>
      <c r="V713" s="514"/>
      <c r="W713" s="514"/>
      <c r="X713" s="514"/>
      <c r="Y713" s="514"/>
      <c r="Z713" s="923"/>
      <c r="AA713" s="514"/>
      <c r="AB713" s="514"/>
      <c r="AC713" s="514"/>
      <c r="AD713" s="514"/>
      <c r="AE713" s="774"/>
      <c r="AF713" s="514"/>
      <c r="AG713" s="923"/>
      <c r="AH713" s="789"/>
      <c r="AI713" s="664">
        <f t="shared" si="47"/>
        <v>0</v>
      </c>
      <c r="AJ713" s="521">
        <v>0</v>
      </c>
      <c r="AK713" s="520">
        <f t="shared" si="48"/>
        <v>0</v>
      </c>
      <c r="AL713" s="672"/>
      <c r="AM713" s="669">
        <f t="shared" si="49"/>
        <v>0</v>
      </c>
    </row>
    <row r="714" spans="1:39" s="500" customFormat="1" hidden="1">
      <c r="A714" s="539" t="s">
        <v>558</v>
      </c>
      <c r="B714" s="539" t="s">
        <v>1156</v>
      </c>
      <c r="C714" s="472" t="s">
        <v>40</v>
      </c>
      <c r="D714" s="519"/>
      <c r="E714" s="915"/>
      <c r="F714" s="520"/>
      <c r="G714" s="520"/>
      <c r="H714" s="520"/>
      <c r="I714" s="521"/>
      <c r="J714" s="521"/>
      <c r="K714" s="521"/>
      <c r="L714" s="923"/>
      <c r="M714" s="514"/>
      <c r="N714" s="514"/>
      <c r="O714" s="514"/>
      <c r="P714" s="514"/>
      <c r="Q714" s="514"/>
      <c r="R714" s="514"/>
      <c r="S714" s="923"/>
      <c r="T714" s="514"/>
      <c r="U714" s="514"/>
      <c r="V714" s="514"/>
      <c r="W714" s="514"/>
      <c r="X714" s="514"/>
      <c r="Y714" s="514"/>
      <c r="Z714" s="923"/>
      <c r="AA714" s="514"/>
      <c r="AB714" s="514"/>
      <c r="AC714" s="514"/>
      <c r="AD714" s="514"/>
      <c r="AE714" s="774"/>
      <c r="AF714" s="514"/>
      <c r="AG714" s="923"/>
      <c r="AH714" s="789"/>
      <c r="AI714" s="664">
        <f t="shared" si="47"/>
        <v>0</v>
      </c>
      <c r="AJ714" s="521">
        <v>0</v>
      </c>
      <c r="AK714" s="520">
        <f t="shared" si="48"/>
        <v>0</v>
      </c>
      <c r="AL714" s="672" t="s">
        <v>1460</v>
      </c>
      <c r="AM714" s="669">
        <f t="shared" si="49"/>
        <v>27.29</v>
      </c>
    </row>
    <row r="715" spans="1:39" s="500" customFormat="1" hidden="1">
      <c r="A715" s="539" t="s">
        <v>559</v>
      </c>
      <c r="B715" s="539" t="s">
        <v>1157</v>
      </c>
      <c r="C715" s="472" t="s">
        <v>40</v>
      </c>
      <c r="D715" s="519"/>
      <c r="E715" s="915"/>
      <c r="F715" s="520"/>
      <c r="G715" s="520"/>
      <c r="H715" s="520"/>
      <c r="I715" s="521"/>
      <c r="J715" s="521"/>
      <c r="K715" s="521"/>
      <c r="L715" s="923"/>
      <c r="M715" s="514"/>
      <c r="N715" s="514"/>
      <c r="O715" s="514"/>
      <c r="P715" s="514"/>
      <c r="Q715" s="514"/>
      <c r="R715" s="514"/>
      <c r="S715" s="923"/>
      <c r="T715" s="514"/>
      <c r="U715" s="514"/>
      <c r="V715" s="514"/>
      <c r="W715" s="514"/>
      <c r="X715" s="514"/>
      <c r="Y715" s="514"/>
      <c r="Z715" s="923"/>
      <c r="AA715" s="514"/>
      <c r="AB715" s="514"/>
      <c r="AC715" s="514"/>
      <c r="AD715" s="514"/>
      <c r="AE715" s="774"/>
      <c r="AF715" s="514"/>
      <c r="AG715" s="923"/>
      <c r="AH715" s="789"/>
      <c r="AI715" s="664">
        <f t="shared" si="47"/>
        <v>0</v>
      </c>
      <c r="AJ715" s="521">
        <v>0</v>
      </c>
      <c r="AK715" s="520">
        <f t="shared" si="48"/>
        <v>0</v>
      </c>
      <c r="AL715" s="672" t="s">
        <v>1461</v>
      </c>
      <c r="AM715" s="669">
        <f t="shared" si="49"/>
        <v>8.75</v>
      </c>
    </row>
    <row r="716" spans="1:39" s="500" customFormat="1" hidden="1">
      <c r="A716" s="539" t="s">
        <v>560</v>
      </c>
      <c r="B716" s="539" t="s">
        <v>1158</v>
      </c>
      <c r="C716" s="472" t="s">
        <v>40</v>
      </c>
      <c r="D716" s="519"/>
      <c r="E716" s="915"/>
      <c r="F716" s="520"/>
      <c r="G716" s="520"/>
      <c r="H716" s="520"/>
      <c r="I716" s="521"/>
      <c r="J716" s="521"/>
      <c r="K716" s="521"/>
      <c r="L716" s="923"/>
      <c r="M716" s="514"/>
      <c r="N716" s="514"/>
      <c r="O716" s="514"/>
      <c r="P716" s="514"/>
      <c r="Q716" s="514"/>
      <c r="R716" s="514"/>
      <c r="S716" s="923"/>
      <c r="T716" s="514"/>
      <c r="U716" s="514"/>
      <c r="V716" s="514"/>
      <c r="W716" s="514"/>
      <c r="X716" s="514"/>
      <c r="Y716" s="514"/>
      <c r="Z716" s="923"/>
      <c r="AA716" s="514"/>
      <c r="AB716" s="514"/>
      <c r="AC716" s="514"/>
      <c r="AD716" s="514"/>
      <c r="AE716" s="774"/>
      <c r="AF716" s="514"/>
      <c r="AG716" s="923"/>
      <c r="AH716" s="789"/>
      <c r="AI716" s="664">
        <f t="shared" si="47"/>
        <v>0</v>
      </c>
      <c r="AJ716" s="521">
        <v>0</v>
      </c>
      <c r="AK716" s="520">
        <f t="shared" si="48"/>
        <v>0</v>
      </c>
      <c r="AL716" s="672" t="s">
        <v>1462</v>
      </c>
      <c r="AM716" s="669">
        <f t="shared" si="49"/>
        <v>13.99</v>
      </c>
    </row>
    <row r="717" spans="1:39" s="500" customFormat="1" hidden="1">
      <c r="A717" s="539" t="s">
        <v>561</v>
      </c>
      <c r="B717" s="539" t="s">
        <v>1159</v>
      </c>
      <c r="C717" s="472" t="s">
        <v>37</v>
      </c>
      <c r="D717" s="519"/>
      <c r="E717" s="915"/>
      <c r="F717" s="520"/>
      <c r="G717" s="520"/>
      <c r="H717" s="520"/>
      <c r="I717" s="521"/>
      <c r="J717" s="521"/>
      <c r="K717" s="521"/>
      <c r="L717" s="923"/>
      <c r="M717" s="514"/>
      <c r="N717" s="514"/>
      <c r="O717" s="514"/>
      <c r="P717" s="514"/>
      <c r="Q717" s="514"/>
      <c r="R717" s="514"/>
      <c r="S717" s="923"/>
      <c r="T717" s="514"/>
      <c r="U717" s="514"/>
      <c r="V717" s="514"/>
      <c r="W717" s="514"/>
      <c r="X717" s="514"/>
      <c r="Y717" s="514"/>
      <c r="Z717" s="923"/>
      <c r="AA717" s="514"/>
      <c r="AB717" s="514"/>
      <c r="AC717" s="514"/>
      <c r="AD717" s="514"/>
      <c r="AE717" s="774"/>
      <c r="AF717" s="514"/>
      <c r="AG717" s="923"/>
      <c r="AH717" s="789"/>
      <c r="AI717" s="664">
        <f t="shared" si="47"/>
        <v>0</v>
      </c>
      <c r="AJ717" s="521">
        <v>0</v>
      </c>
      <c r="AK717" s="520">
        <f t="shared" si="48"/>
        <v>0</v>
      </c>
      <c r="AL717" s="672" t="s">
        <v>1463</v>
      </c>
      <c r="AM717" s="669">
        <f t="shared" si="49"/>
        <v>26.03</v>
      </c>
    </row>
    <row r="718" spans="1:39" s="500" customFormat="1" hidden="1">
      <c r="A718" s="539" t="s">
        <v>562</v>
      </c>
      <c r="B718" s="539" t="s">
        <v>1160</v>
      </c>
      <c r="C718" s="472" t="s">
        <v>40</v>
      </c>
      <c r="D718" s="525"/>
      <c r="E718" s="916"/>
      <c r="F718" s="526"/>
      <c r="G718" s="526"/>
      <c r="H718" s="526"/>
      <c r="I718" s="527"/>
      <c r="J718" s="527"/>
      <c r="K718" s="527"/>
      <c r="L718" s="923"/>
      <c r="M718" s="514"/>
      <c r="N718" s="514"/>
      <c r="O718" s="514"/>
      <c r="P718" s="514"/>
      <c r="Q718" s="514"/>
      <c r="R718" s="514"/>
      <c r="S718" s="923"/>
      <c r="T718" s="514"/>
      <c r="U718" s="514"/>
      <c r="V718" s="514"/>
      <c r="W718" s="514"/>
      <c r="X718" s="514"/>
      <c r="Y718" s="514"/>
      <c r="Z718" s="923"/>
      <c r="AA718" s="514"/>
      <c r="AB718" s="514"/>
      <c r="AC718" s="514"/>
      <c r="AD718" s="514"/>
      <c r="AE718" s="774"/>
      <c r="AF718" s="514"/>
      <c r="AG718" s="923"/>
      <c r="AH718" s="789"/>
      <c r="AI718" s="664">
        <f t="shared" si="47"/>
        <v>0</v>
      </c>
      <c r="AJ718" s="521">
        <v>0</v>
      </c>
      <c r="AK718" s="520">
        <f t="shared" si="48"/>
        <v>0</v>
      </c>
      <c r="AL718" s="673" t="s">
        <v>1464</v>
      </c>
      <c r="AM718" s="669">
        <f t="shared" si="49"/>
        <v>27.56</v>
      </c>
    </row>
    <row r="719" spans="1:39" s="500" customFormat="1" hidden="1">
      <c r="A719" s="539" t="s">
        <v>563</v>
      </c>
      <c r="B719" s="539" t="s">
        <v>1161</v>
      </c>
      <c r="C719" s="548" t="s">
        <v>40</v>
      </c>
      <c r="D719" s="519"/>
      <c r="E719" s="915"/>
      <c r="F719" s="520"/>
      <c r="G719" s="520"/>
      <c r="H719" s="520"/>
      <c r="I719" s="521"/>
      <c r="J719" s="521"/>
      <c r="K719" s="521"/>
      <c r="L719" s="923"/>
      <c r="M719" s="514"/>
      <c r="N719" s="514"/>
      <c r="O719" s="514"/>
      <c r="P719" s="514"/>
      <c r="Q719" s="514"/>
      <c r="R719" s="514"/>
      <c r="S719" s="923"/>
      <c r="T719" s="514"/>
      <c r="U719" s="514"/>
      <c r="V719" s="514"/>
      <c r="W719" s="514"/>
      <c r="X719" s="514"/>
      <c r="Y719" s="514"/>
      <c r="Z719" s="923"/>
      <c r="AA719" s="514"/>
      <c r="AB719" s="514"/>
      <c r="AC719" s="514"/>
      <c r="AD719" s="514"/>
      <c r="AE719" s="774"/>
      <c r="AF719" s="514"/>
      <c r="AG719" s="923"/>
      <c r="AH719" s="789"/>
      <c r="AI719" s="664">
        <f t="shared" si="47"/>
        <v>0</v>
      </c>
      <c r="AJ719" s="521">
        <v>0</v>
      </c>
      <c r="AK719" s="520">
        <f t="shared" si="48"/>
        <v>0</v>
      </c>
      <c r="AL719" s="672" t="s">
        <v>1464</v>
      </c>
      <c r="AM719" s="669">
        <f t="shared" si="49"/>
        <v>27.56</v>
      </c>
    </row>
    <row r="720" spans="1:39" s="500" customFormat="1" hidden="1">
      <c r="A720" s="542" t="s">
        <v>564</v>
      </c>
      <c r="B720" s="542" t="s">
        <v>1162</v>
      </c>
      <c r="C720" s="605"/>
      <c r="D720" s="519"/>
      <c r="E720" s="915"/>
      <c r="F720" s="520"/>
      <c r="G720" s="520"/>
      <c r="H720" s="520"/>
      <c r="I720" s="521"/>
      <c r="J720" s="521"/>
      <c r="K720" s="521"/>
      <c r="L720" s="923"/>
      <c r="M720" s="514"/>
      <c r="N720" s="514"/>
      <c r="O720" s="514"/>
      <c r="P720" s="514"/>
      <c r="Q720" s="514"/>
      <c r="R720" s="514"/>
      <c r="S720" s="923"/>
      <c r="T720" s="514"/>
      <c r="U720" s="514"/>
      <c r="V720" s="514"/>
      <c r="W720" s="514"/>
      <c r="X720" s="514"/>
      <c r="Y720" s="514"/>
      <c r="Z720" s="923"/>
      <c r="AA720" s="514"/>
      <c r="AB720" s="514"/>
      <c r="AC720" s="514"/>
      <c r="AD720" s="514"/>
      <c r="AE720" s="774"/>
      <c r="AF720" s="514"/>
      <c r="AG720" s="923"/>
      <c r="AH720" s="789"/>
      <c r="AI720" s="664">
        <f t="shared" si="47"/>
        <v>0</v>
      </c>
      <c r="AJ720" s="521">
        <v>0</v>
      </c>
      <c r="AK720" s="520">
        <f t="shared" si="48"/>
        <v>0</v>
      </c>
      <c r="AL720" s="672"/>
      <c r="AM720" s="669">
        <f t="shared" si="49"/>
        <v>0</v>
      </c>
    </row>
    <row r="721" spans="1:39" s="500" customFormat="1" hidden="1">
      <c r="A721" s="539" t="s">
        <v>565</v>
      </c>
      <c r="B721" s="539" t="s">
        <v>1163</v>
      </c>
      <c r="C721" s="472" t="s">
        <v>40</v>
      </c>
      <c r="D721" s="519"/>
      <c r="E721" s="915"/>
      <c r="F721" s="520"/>
      <c r="G721" s="520"/>
      <c r="H721" s="520"/>
      <c r="I721" s="521"/>
      <c r="J721" s="521"/>
      <c r="K721" s="521"/>
      <c r="L721" s="923"/>
      <c r="M721" s="514"/>
      <c r="N721" s="514"/>
      <c r="O721" s="514"/>
      <c r="P721" s="514"/>
      <c r="Q721" s="514"/>
      <c r="R721" s="514"/>
      <c r="S721" s="923"/>
      <c r="T721" s="514"/>
      <c r="U721" s="514"/>
      <c r="V721" s="514"/>
      <c r="W721" s="514"/>
      <c r="X721" s="514"/>
      <c r="Y721" s="514"/>
      <c r="Z721" s="923"/>
      <c r="AA721" s="514"/>
      <c r="AB721" s="514"/>
      <c r="AC721" s="514"/>
      <c r="AD721" s="514"/>
      <c r="AE721" s="774"/>
      <c r="AF721" s="514"/>
      <c r="AG721" s="923"/>
      <c r="AH721" s="789"/>
      <c r="AI721" s="664">
        <f t="shared" si="47"/>
        <v>0</v>
      </c>
      <c r="AJ721" s="521">
        <v>0</v>
      </c>
      <c r="AK721" s="520">
        <f t="shared" si="48"/>
        <v>0</v>
      </c>
      <c r="AL721" s="672" t="s">
        <v>1465</v>
      </c>
      <c r="AM721" s="669">
        <f t="shared" si="49"/>
        <v>7.7</v>
      </c>
    </row>
    <row r="722" spans="1:39" s="500" customFormat="1" hidden="1">
      <c r="A722" s="539" t="s">
        <v>566</v>
      </c>
      <c r="B722" s="539" t="s">
        <v>1164</v>
      </c>
      <c r="C722" s="472" t="s">
        <v>37</v>
      </c>
      <c r="D722" s="519"/>
      <c r="E722" s="915"/>
      <c r="F722" s="520"/>
      <c r="G722" s="520"/>
      <c r="H722" s="520"/>
      <c r="I722" s="521"/>
      <c r="J722" s="521"/>
      <c r="K722" s="521"/>
      <c r="L722" s="923"/>
      <c r="M722" s="514"/>
      <c r="N722" s="514"/>
      <c r="O722" s="514"/>
      <c r="P722" s="514"/>
      <c r="Q722" s="514"/>
      <c r="R722" s="514"/>
      <c r="S722" s="923"/>
      <c r="T722" s="514"/>
      <c r="U722" s="514"/>
      <c r="V722" s="514"/>
      <c r="W722" s="514"/>
      <c r="X722" s="514"/>
      <c r="Y722" s="514"/>
      <c r="Z722" s="923"/>
      <c r="AA722" s="514"/>
      <c r="AB722" s="514"/>
      <c r="AC722" s="514"/>
      <c r="AD722" s="514"/>
      <c r="AE722" s="774"/>
      <c r="AF722" s="514"/>
      <c r="AG722" s="923"/>
      <c r="AH722" s="789"/>
      <c r="AI722" s="664">
        <f t="shared" si="47"/>
        <v>0</v>
      </c>
      <c r="AJ722" s="521">
        <v>0</v>
      </c>
      <c r="AK722" s="520">
        <f t="shared" si="48"/>
        <v>0</v>
      </c>
      <c r="AL722" s="672" t="s">
        <v>1466</v>
      </c>
      <c r="AM722" s="669">
        <f t="shared" si="49"/>
        <v>13.46</v>
      </c>
    </row>
    <row r="723" spans="1:39" s="500" customFormat="1" hidden="1">
      <c r="A723" s="539" t="s">
        <v>567</v>
      </c>
      <c r="B723" s="539" t="s">
        <v>1165</v>
      </c>
      <c r="C723" s="472" t="s">
        <v>40</v>
      </c>
      <c r="D723" s="519"/>
      <c r="E723" s="915"/>
      <c r="F723" s="520"/>
      <c r="G723" s="520"/>
      <c r="H723" s="520"/>
      <c r="I723" s="521"/>
      <c r="J723" s="521"/>
      <c r="K723" s="521"/>
      <c r="L723" s="923"/>
      <c r="M723" s="514"/>
      <c r="N723" s="514"/>
      <c r="O723" s="514"/>
      <c r="P723" s="514"/>
      <c r="Q723" s="514"/>
      <c r="R723" s="514"/>
      <c r="S723" s="923"/>
      <c r="T723" s="514"/>
      <c r="U723" s="514"/>
      <c r="V723" s="514"/>
      <c r="W723" s="514"/>
      <c r="X723" s="514"/>
      <c r="Y723" s="514"/>
      <c r="Z723" s="923"/>
      <c r="AA723" s="514"/>
      <c r="AB723" s="514"/>
      <c r="AC723" s="514"/>
      <c r="AD723" s="514"/>
      <c r="AE723" s="774"/>
      <c r="AF723" s="514"/>
      <c r="AG723" s="923"/>
      <c r="AH723" s="789"/>
      <c r="AI723" s="664">
        <f t="shared" si="47"/>
        <v>0</v>
      </c>
      <c r="AJ723" s="521">
        <v>0</v>
      </c>
      <c r="AK723" s="520">
        <f t="shared" si="48"/>
        <v>0</v>
      </c>
      <c r="AL723" s="672" t="s">
        <v>1467</v>
      </c>
      <c r="AM723" s="669">
        <f t="shared" si="49"/>
        <v>2.97</v>
      </c>
    </row>
    <row r="724" spans="1:39" s="500" customFormat="1" hidden="1">
      <c r="A724" s="539" t="s">
        <v>568</v>
      </c>
      <c r="B724" s="539" t="s">
        <v>1166</v>
      </c>
      <c r="C724" s="472" t="s">
        <v>40</v>
      </c>
      <c r="D724" s="519"/>
      <c r="E724" s="915"/>
      <c r="F724" s="520"/>
      <c r="G724" s="520"/>
      <c r="H724" s="520"/>
      <c r="I724" s="521"/>
      <c r="J724" s="521"/>
      <c r="K724" s="521"/>
      <c r="L724" s="923"/>
      <c r="M724" s="514"/>
      <c r="N724" s="514"/>
      <c r="O724" s="514"/>
      <c r="P724" s="514"/>
      <c r="Q724" s="514"/>
      <c r="R724" s="514"/>
      <c r="S724" s="923"/>
      <c r="T724" s="514"/>
      <c r="U724" s="514"/>
      <c r="V724" s="514"/>
      <c r="W724" s="514"/>
      <c r="X724" s="514"/>
      <c r="Y724" s="514"/>
      <c r="Z724" s="923"/>
      <c r="AA724" s="514"/>
      <c r="AB724" s="514"/>
      <c r="AC724" s="514"/>
      <c r="AD724" s="514"/>
      <c r="AE724" s="774"/>
      <c r="AF724" s="514"/>
      <c r="AG724" s="923"/>
      <c r="AH724" s="789"/>
      <c r="AI724" s="664">
        <f t="shared" si="47"/>
        <v>0</v>
      </c>
      <c r="AJ724" s="521">
        <v>0</v>
      </c>
      <c r="AK724" s="520">
        <f t="shared" si="48"/>
        <v>0</v>
      </c>
      <c r="AL724" s="672" t="s">
        <v>1468</v>
      </c>
      <c r="AM724" s="669">
        <f t="shared" si="49"/>
        <v>0.84</v>
      </c>
    </row>
    <row r="725" spans="1:39" s="500" customFormat="1" hidden="1">
      <c r="A725" s="539" t="s">
        <v>569</v>
      </c>
      <c r="B725" s="539" t="s">
        <v>1167</v>
      </c>
      <c r="C725" s="472" t="s">
        <v>37</v>
      </c>
      <c r="D725" s="519"/>
      <c r="E725" s="915"/>
      <c r="F725" s="520"/>
      <c r="G725" s="520"/>
      <c r="H725" s="520"/>
      <c r="I725" s="521"/>
      <c r="J725" s="521"/>
      <c r="K725" s="521"/>
      <c r="L725" s="923"/>
      <c r="M725" s="514"/>
      <c r="N725" s="514"/>
      <c r="O725" s="514"/>
      <c r="P725" s="514"/>
      <c r="Q725" s="514"/>
      <c r="R725" s="514"/>
      <c r="S725" s="923"/>
      <c r="T725" s="514"/>
      <c r="U725" s="514"/>
      <c r="V725" s="514"/>
      <c r="W725" s="514"/>
      <c r="X725" s="514"/>
      <c r="Y725" s="514"/>
      <c r="Z725" s="923"/>
      <c r="AA725" s="514"/>
      <c r="AB725" s="514"/>
      <c r="AC725" s="514"/>
      <c r="AD725" s="514"/>
      <c r="AE725" s="774"/>
      <c r="AF725" s="514"/>
      <c r="AG725" s="923"/>
      <c r="AH725" s="789"/>
      <c r="AI725" s="664">
        <f t="shared" si="47"/>
        <v>0</v>
      </c>
      <c r="AJ725" s="521">
        <v>0</v>
      </c>
      <c r="AK725" s="520">
        <f t="shared" si="48"/>
        <v>0</v>
      </c>
      <c r="AL725" s="672" t="s">
        <v>1469</v>
      </c>
      <c r="AM725" s="669">
        <f t="shared" si="49"/>
        <v>23.65</v>
      </c>
    </row>
    <row r="726" spans="1:39" s="500" customFormat="1" hidden="1">
      <c r="A726" s="539" t="s">
        <v>570</v>
      </c>
      <c r="B726" s="539" t="s">
        <v>1168</v>
      </c>
      <c r="C726" s="472" t="s">
        <v>37</v>
      </c>
      <c r="D726" s="519"/>
      <c r="E726" s="915"/>
      <c r="F726" s="520"/>
      <c r="G726" s="520"/>
      <c r="H726" s="520"/>
      <c r="I726" s="521"/>
      <c r="J726" s="521"/>
      <c r="K726" s="521"/>
      <c r="L726" s="923"/>
      <c r="M726" s="514"/>
      <c r="N726" s="514"/>
      <c r="O726" s="514"/>
      <c r="P726" s="514"/>
      <c r="Q726" s="514"/>
      <c r="R726" s="514"/>
      <c r="S726" s="923"/>
      <c r="T726" s="514"/>
      <c r="U726" s="514"/>
      <c r="V726" s="514"/>
      <c r="W726" s="514"/>
      <c r="X726" s="514"/>
      <c r="Y726" s="514"/>
      <c r="Z726" s="923"/>
      <c r="AA726" s="514"/>
      <c r="AB726" s="514"/>
      <c r="AC726" s="514"/>
      <c r="AD726" s="514"/>
      <c r="AE726" s="774"/>
      <c r="AF726" s="514"/>
      <c r="AG726" s="923"/>
      <c r="AH726" s="789"/>
      <c r="AI726" s="664">
        <f t="shared" si="47"/>
        <v>0</v>
      </c>
      <c r="AJ726" s="521">
        <v>0</v>
      </c>
      <c r="AK726" s="520">
        <f t="shared" si="48"/>
        <v>0</v>
      </c>
      <c r="AL726" s="672" t="s">
        <v>1463</v>
      </c>
      <c r="AM726" s="669">
        <f t="shared" si="49"/>
        <v>26.03</v>
      </c>
    </row>
    <row r="727" spans="1:39" s="500" customFormat="1" hidden="1">
      <c r="A727" s="542" t="s">
        <v>571</v>
      </c>
      <c r="B727" s="542" t="s">
        <v>1169</v>
      </c>
      <c r="C727" s="605"/>
      <c r="D727" s="519"/>
      <c r="E727" s="915"/>
      <c r="F727" s="520"/>
      <c r="G727" s="520"/>
      <c r="H727" s="520"/>
      <c r="I727" s="521"/>
      <c r="J727" s="521"/>
      <c r="K727" s="521"/>
      <c r="L727" s="923"/>
      <c r="M727" s="514"/>
      <c r="N727" s="514"/>
      <c r="O727" s="514"/>
      <c r="P727" s="514"/>
      <c r="Q727" s="514"/>
      <c r="R727" s="514"/>
      <c r="S727" s="923"/>
      <c r="T727" s="514"/>
      <c r="U727" s="514"/>
      <c r="V727" s="514"/>
      <c r="W727" s="514"/>
      <c r="X727" s="514"/>
      <c r="Y727" s="514"/>
      <c r="Z727" s="923"/>
      <c r="AA727" s="514"/>
      <c r="AB727" s="514"/>
      <c r="AC727" s="514"/>
      <c r="AD727" s="514"/>
      <c r="AE727" s="774"/>
      <c r="AF727" s="514"/>
      <c r="AG727" s="923"/>
      <c r="AH727" s="789"/>
      <c r="AI727" s="664">
        <f t="shared" si="47"/>
        <v>0</v>
      </c>
      <c r="AJ727" s="521">
        <v>0</v>
      </c>
      <c r="AK727" s="520">
        <f t="shared" si="48"/>
        <v>0</v>
      </c>
      <c r="AL727" s="672"/>
      <c r="AM727" s="669">
        <f t="shared" si="49"/>
        <v>0</v>
      </c>
    </row>
    <row r="728" spans="1:39" s="500" customFormat="1" hidden="1">
      <c r="A728" s="539" t="s">
        <v>572</v>
      </c>
      <c r="B728" s="539" t="s">
        <v>1170</v>
      </c>
      <c r="C728" s="605"/>
      <c r="D728" s="519"/>
      <c r="E728" s="915"/>
      <c r="F728" s="520"/>
      <c r="G728" s="520"/>
      <c r="H728" s="520"/>
      <c r="I728" s="521"/>
      <c r="J728" s="521"/>
      <c r="K728" s="521"/>
      <c r="L728" s="923"/>
      <c r="M728" s="514"/>
      <c r="N728" s="514"/>
      <c r="O728" s="514"/>
      <c r="P728" s="514"/>
      <c r="Q728" s="514"/>
      <c r="R728" s="514"/>
      <c r="S728" s="923"/>
      <c r="T728" s="514"/>
      <c r="U728" s="514"/>
      <c r="V728" s="514"/>
      <c r="W728" s="514"/>
      <c r="X728" s="514"/>
      <c r="Y728" s="514"/>
      <c r="Z728" s="923"/>
      <c r="AA728" s="514"/>
      <c r="AB728" s="514"/>
      <c r="AC728" s="514"/>
      <c r="AD728" s="514"/>
      <c r="AE728" s="774"/>
      <c r="AF728" s="514"/>
      <c r="AG728" s="923"/>
      <c r="AH728" s="789"/>
      <c r="AI728" s="664">
        <f t="shared" si="47"/>
        <v>0</v>
      </c>
      <c r="AJ728" s="521">
        <v>0</v>
      </c>
      <c r="AK728" s="520">
        <f t="shared" si="48"/>
        <v>0</v>
      </c>
      <c r="AL728" s="672"/>
      <c r="AM728" s="669">
        <f t="shared" si="49"/>
        <v>0</v>
      </c>
    </row>
    <row r="729" spans="1:39" s="500" customFormat="1" hidden="1">
      <c r="A729" s="539" t="s">
        <v>573</v>
      </c>
      <c r="B729" s="539" t="s">
        <v>1171</v>
      </c>
      <c r="C729" s="472" t="s">
        <v>40</v>
      </c>
      <c r="D729" s="519"/>
      <c r="E729" s="915"/>
      <c r="F729" s="520"/>
      <c r="G729" s="520"/>
      <c r="H729" s="520"/>
      <c r="I729" s="521"/>
      <c r="J729" s="521"/>
      <c r="K729" s="521"/>
      <c r="L729" s="923"/>
      <c r="M729" s="514"/>
      <c r="N729" s="514"/>
      <c r="O729" s="514"/>
      <c r="P729" s="514"/>
      <c r="Q729" s="514"/>
      <c r="R729" s="514"/>
      <c r="S729" s="923"/>
      <c r="T729" s="514"/>
      <c r="U729" s="514"/>
      <c r="V729" s="514"/>
      <c r="W729" s="514"/>
      <c r="X729" s="514"/>
      <c r="Y729" s="514"/>
      <c r="Z729" s="923"/>
      <c r="AA729" s="514"/>
      <c r="AB729" s="514"/>
      <c r="AC729" s="514"/>
      <c r="AD729" s="514"/>
      <c r="AE729" s="774"/>
      <c r="AF729" s="514"/>
      <c r="AG729" s="923"/>
      <c r="AH729" s="789"/>
      <c r="AI729" s="664">
        <f t="shared" si="47"/>
        <v>0</v>
      </c>
      <c r="AJ729" s="521">
        <v>0</v>
      </c>
      <c r="AK729" s="520">
        <f t="shared" si="48"/>
        <v>0</v>
      </c>
      <c r="AL729" s="672" t="s">
        <v>1470</v>
      </c>
      <c r="AM729" s="669">
        <f t="shared" si="49"/>
        <v>4.6100000000000003</v>
      </c>
    </row>
    <row r="730" spans="1:39" s="500" customFormat="1" hidden="1">
      <c r="A730" s="539" t="s">
        <v>574</v>
      </c>
      <c r="B730" s="539" t="s">
        <v>1172</v>
      </c>
      <c r="C730" s="472" t="s">
        <v>48</v>
      </c>
      <c r="D730" s="519"/>
      <c r="E730" s="915"/>
      <c r="F730" s="520"/>
      <c r="G730" s="520"/>
      <c r="H730" s="520"/>
      <c r="I730" s="521"/>
      <c r="J730" s="521"/>
      <c r="K730" s="521"/>
      <c r="L730" s="923"/>
      <c r="M730" s="514"/>
      <c r="N730" s="514"/>
      <c r="O730" s="514"/>
      <c r="P730" s="514"/>
      <c r="Q730" s="514"/>
      <c r="R730" s="514"/>
      <c r="S730" s="923"/>
      <c r="T730" s="514"/>
      <c r="U730" s="514"/>
      <c r="V730" s="514"/>
      <c r="W730" s="514"/>
      <c r="X730" s="514"/>
      <c r="Y730" s="514"/>
      <c r="Z730" s="923"/>
      <c r="AA730" s="514"/>
      <c r="AB730" s="514"/>
      <c r="AC730" s="514"/>
      <c r="AD730" s="514"/>
      <c r="AE730" s="774"/>
      <c r="AF730" s="514"/>
      <c r="AG730" s="923"/>
      <c r="AH730" s="789"/>
      <c r="AI730" s="664">
        <f t="shared" si="47"/>
        <v>0</v>
      </c>
      <c r="AJ730" s="521">
        <v>0</v>
      </c>
      <c r="AK730" s="520">
        <f t="shared" si="48"/>
        <v>0</v>
      </c>
      <c r="AL730" s="672" t="s">
        <v>1471</v>
      </c>
      <c r="AM730" s="669">
        <f t="shared" si="49"/>
        <v>192.7</v>
      </c>
    </row>
    <row r="731" spans="1:39" s="500" customFormat="1" hidden="1">
      <c r="A731" s="539" t="s">
        <v>575</v>
      </c>
      <c r="B731" s="539" t="s">
        <v>1173</v>
      </c>
      <c r="C731" s="605"/>
      <c r="D731" s="519"/>
      <c r="E731" s="915"/>
      <c r="F731" s="520"/>
      <c r="G731" s="520"/>
      <c r="H731" s="520"/>
      <c r="I731" s="521"/>
      <c r="J731" s="521"/>
      <c r="K731" s="521"/>
      <c r="L731" s="923"/>
      <c r="M731" s="514"/>
      <c r="N731" s="514"/>
      <c r="O731" s="514"/>
      <c r="P731" s="514"/>
      <c r="Q731" s="514"/>
      <c r="R731" s="514"/>
      <c r="S731" s="923"/>
      <c r="T731" s="514"/>
      <c r="U731" s="514"/>
      <c r="V731" s="514"/>
      <c r="W731" s="514"/>
      <c r="X731" s="514"/>
      <c r="Y731" s="514"/>
      <c r="Z731" s="923"/>
      <c r="AA731" s="514"/>
      <c r="AB731" s="514"/>
      <c r="AC731" s="514"/>
      <c r="AD731" s="514"/>
      <c r="AE731" s="774"/>
      <c r="AF731" s="514"/>
      <c r="AG731" s="923"/>
      <c r="AH731" s="789"/>
      <c r="AI731" s="664">
        <f t="shared" si="47"/>
        <v>0</v>
      </c>
      <c r="AJ731" s="521">
        <v>0</v>
      </c>
      <c r="AK731" s="520">
        <f t="shared" si="48"/>
        <v>0</v>
      </c>
      <c r="AL731" s="672"/>
      <c r="AM731" s="669">
        <f t="shared" si="49"/>
        <v>0</v>
      </c>
    </row>
    <row r="732" spans="1:39" s="500" customFormat="1" hidden="1">
      <c r="A732" s="539" t="s">
        <v>576</v>
      </c>
      <c r="B732" s="539" t="s">
        <v>1174</v>
      </c>
      <c r="C732" s="472" t="s">
        <v>40</v>
      </c>
      <c r="D732" s="519"/>
      <c r="E732" s="915"/>
      <c r="F732" s="520"/>
      <c r="G732" s="520"/>
      <c r="H732" s="520"/>
      <c r="I732" s="521"/>
      <c r="J732" s="521"/>
      <c r="K732" s="521"/>
      <c r="L732" s="923"/>
      <c r="M732" s="514"/>
      <c r="N732" s="514"/>
      <c r="O732" s="514"/>
      <c r="P732" s="514"/>
      <c r="Q732" s="514"/>
      <c r="R732" s="514"/>
      <c r="S732" s="923"/>
      <c r="T732" s="514"/>
      <c r="U732" s="514"/>
      <c r="V732" s="514"/>
      <c r="W732" s="514"/>
      <c r="X732" s="514"/>
      <c r="Y732" s="514"/>
      <c r="Z732" s="923"/>
      <c r="AA732" s="514"/>
      <c r="AB732" s="514"/>
      <c r="AC732" s="514"/>
      <c r="AD732" s="514"/>
      <c r="AE732" s="774"/>
      <c r="AF732" s="514"/>
      <c r="AG732" s="923"/>
      <c r="AH732" s="789"/>
      <c r="AI732" s="664">
        <f t="shared" si="47"/>
        <v>0</v>
      </c>
      <c r="AJ732" s="521">
        <v>0</v>
      </c>
      <c r="AK732" s="520">
        <f t="shared" si="48"/>
        <v>0</v>
      </c>
      <c r="AL732" s="672" t="s">
        <v>1472</v>
      </c>
      <c r="AM732" s="669">
        <f t="shared" si="49"/>
        <v>1.93</v>
      </c>
    </row>
    <row r="733" spans="1:39" s="500" customFormat="1" hidden="1">
      <c r="A733" s="539" t="s">
        <v>577</v>
      </c>
      <c r="B733" s="539" t="s">
        <v>1175</v>
      </c>
      <c r="C733" s="472" t="s">
        <v>37</v>
      </c>
      <c r="D733" s="519"/>
      <c r="E733" s="915"/>
      <c r="F733" s="520"/>
      <c r="G733" s="520"/>
      <c r="H733" s="520"/>
      <c r="I733" s="521"/>
      <c r="J733" s="521"/>
      <c r="K733" s="521"/>
      <c r="L733" s="923"/>
      <c r="M733" s="514"/>
      <c r="N733" s="514"/>
      <c r="O733" s="514"/>
      <c r="P733" s="514"/>
      <c r="Q733" s="514"/>
      <c r="R733" s="514"/>
      <c r="S733" s="923"/>
      <c r="T733" s="514"/>
      <c r="U733" s="514"/>
      <c r="V733" s="514"/>
      <c r="W733" s="514"/>
      <c r="X733" s="514"/>
      <c r="Y733" s="514"/>
      <c r="Z733" s="923"/>
      <c r="AA733" s="514"/>
      <c r="AB733" s="514"/>
      <c r="AC733" s="514"/>
      <c r="AD733" s="514"/>
      <c r="AE733" s="774"/>
      <c r="AF733" s="514"/>
      <c r="AG733" s="923"/>
      <c r="AH733" s="789"/>
      <c r="AI733" s="664">
        <f t="shared" si="47"/>
        <v>0</v>
      </c>
      <c r="AJ733" s="521">
        <v>0</v>
      </c>
      <c r="AK733" s="520">
        <f t="shared" si="48"/>
        <v>0</v>
      </c>
      <c r="AL733" s="672" t="s">
        <v>1473</v>
      </c>
      <c r="AM733" s="669">
        <f t="shared" si="49"/>
        <v>15.42</v>
      </c>
    </row>
    <row r="734" spans="1:39" s="500" customFormat="1" hidden="1">
      <c r="A734" s="539" t="s">
        <v>578</v>
      </c>
      <c r="B734" s="539" t="s">
        <v>1176</v>
      </c>
      <c r="C734" s="472" t="s">
        <v>48</v>
      </c>
      <c r="D734" s="525"/>
      <c r="E734" s="916"/>
      <c r="F734" s="526"/>
      <c r="G734" s="526"/>
      <c r="H734" s="526"/>
      <c r="I734" s="527"/>
      <c r="J734" s="527"/>
      <c r="K734" s="527"/>
      <c r="L734" s="923"/>
      <c r="M734" s="514"/>
      <c r="N734" s="514"/>
      <c r="O734" s="514"/>
      <c r="P734" s="514"/>
      <c r="Q734" s="514"/>
      <c r="R734" s="514"/>
      <c r="S734" s="923"/>
      <c r="T734" s="514"/>
      <c r="U734" s="514"/>
      <c r="V734" s="514"/>
      <c r="W734" s="514"/>
      <c r="X734" s="514"/>
      <c r="Y734" s="514"/>
      <c r="Z734" s="923"/>
      <c r="AA734" s="514"/>
      <c r="AB734" s="514"/>
      <c r="AC734" s="514"/>
      <c r="AD734" s="514"/>
      <c r="AE734" s="774"/>
      <c r="AF734" s="514"/>
      <c r="AG734" s="923"/>
      <c r="AH734" s="789"/>
      <c r="AI734" s="664">
        <f t="shared" si="47"/>
        <v>0</v>
      </c>
      <c r="AJ734" s="521">
        <v>0</v>
      </c>
      <c r="AK734" s="520">
        <f t="shared" si="48"/>
        <v>0</v>
      </c>
      <c r="AL734" s="673" t="s">
        <v>1474</v>
      </c>
      <c r="AM734" s="669">
        <f t="shared" si="49"/>
        <v>275.55</v>
      </c>
    </row>
    <row r="735" spans="1:39" s="500" customFormat="1" hidden="1">
      <c r="A735" s="539" t="s">
        <v>579</v>
      </c>
      <c r="B735" s="539" t="s">
        <v>1177</v>
      </c>
      <c r="C735" s="605"/>
      <c r="D735" s="525"/>
      <c r="E735" s="916"/>
      <c r="F735" s="526"/>
      <c r="G735" s="526"/>
      <c r="H735" s="526"/>
      <c r="I735" s="527"/>
      <c r="J735" s="527"/>
      <c r="K735" s="527"/>
      <c r="L735" s="923"/>
      <c r="M735" s="514"/>
      <c r="N735" s="514"/>
      <c r="O735" s="514"/>
      <c r="P735" s="514"/>
      <c r="Q735" s="514"/>
      <c r="R735" s="514"/>
      <c r="S735" s="923"/>
      <c r="T735" s="514"/>
      <c r="U735" s="514"/>
      <c r="V735" s="514"/>
      <c r="W735" s="514"/>
      <c r="X735" s="514"/>
      <c r="Y735" s="514"/>
      <c r="Z735" s="923"/>
      <c r="AA735" s="514"/>
      <c r="AB735" s="514"/>
      <c r="AC735" s="514"/>
      <c r="AD735" s="514"/>
      <c r="AE735" s="774"/>
      <c r="AF735" s="514"/>
      <c r="AG735" s="923"/>
      <c r="AH735" s="789"/>
      <c r="AI735" s="664">
        <f t="shared" si="47"/>
        <v>0</v>
      </c>
      <c r="AJ735" s="521">
        <v>0</v>
      </c>
      <c r="AK735" s="520">
        <f t="shared" si="48"/>
        <v>0</v>
      </c>
      <c r="AL735" s="673"/>
      <c r="AM735" s="669">
        <f t="shared" si="49"/>
        <v>0</v>
      </c>
    </row>
    <row r="736" spans="1:39" s="500" customFormat="1" hidden="1">
      <c r="A736" s="539" t="s">
        <v>580</v>
      </c>
      <c r="B736" s="539" t="s">
        <v>1178</v>
      </c>
      <c r="C736" s="472" t="s">
        <v>40</v>
      </c>
      <c r="D736" s="519"/>
      <c r="E736" s="915"/>
      <c r="F736" s="520"/>
      <c r="G736" s="520"/>
      <c r="H736" s="520"/>
      <c r="I736" s="521"/>
      <c r="J736" s="521"/>
      <c r="K736" s="521"/>
      <c r="L736" s="923"/>
      <c r="M736" s="514"/>
      <c r="N736" s="514"/>
      <c r="O736" s="514"/>
      <c r="P736" s="514"/>
      <c r="Q736" s="514"/>
      <c r="R736" s="514"/>
      <c r="S736" s="923"/>
      <c r="T736" s="514"/>
      <c r="U736" s="514"/>
      <c r="V736" s="514"/>
      <c r="W736" s="514"/>
      <c r="X736" s="514"/>
      <c r="Y736" s="514"/>
      <c r="Z736" s="923"/>
      <c r="AA736" s="514"/>
      <c r="AB736" s="514"/>
      <c r="AC736" s="514"/>
      <c r="AD736" s="514"/>
      <c r="AE736" s="774"/>
      <c r="AF736" s="514"/>
      <c r="AG736" s="923"/>
      <c r="AH736" s="789"/>
      <c r="AI736" s="664">
        <f t="shared" si="47"/>
        <v>0</v>
      </c>
      <c r="AJ736" s="521">
        <v>0</v>
      </c>
      <c r="AK736" s="520">
        <f t="shared" si="48"/>
        <v>0</v>
      </c>
      <c r="AL736" s="672" t="s">
        <v>1475</v>
      </c>
      <c r="AM736" s="669">
        <f t="shared" si="49"/>
        <v>2.83</v>
      </c>
    </row>
    <row r="737" spans="1:39" s="500" customFormat="1" hidden="1">
      <c r="A737" s="539" t="s">
        <v>581</v>
      </c>
      <c r="B737" s="539" t="s">
        <v>1179</v>
      </c>
      <c r="C737" s="472" t="s">
        <v>37</v>
      </c>
      <c r="D737" s="519"/>
      <c r="E737" s="915"/>
      <c r="F737" s="520"/>
      <c r="G737" s="520"/>
      <c r="H737" s="520"/>
      <c r="I737" s="521"/>
      <c r="J737" s="521"/>
      <c r="K737" s="521"/>
      <c r="L737" s="923"/>
      <c r="M737" s="514"/>
      <c r="N737" s="514"/>
      <c r="O737" s="514"/>
      <c r="P737" s="514"/>
      <c r="Q737" s="514"/>
      <c r="R737" s="514"/>
      <c r="S737" s="923"/>
      <c r="T737" s="514"/>
      <c r="U737" s="514"/>
      <c r="V737" s="514"/>
      <c r="W737" s="514"/>
      <c r="X737" s="514"/>
      <c r="Y737" s="514"/>
      <c r="Z737" s="923"/>
      <c r="AA737" s="514"/>
      <c r="AB737" s="514"/>
      <c r="AC737" s="514"/>
      <c r="AD737" s="514"/>
      <c r="AE737" s="774"/>
      <c r="AF737" s="514"/>
      <c r="AG737" s="923"/>
      <c r="AH737" s="789"/>
      <c r="AI737" s="664">
        <f t="shared" si="47"/>
        <v>0</v>
      </c>
      <c r="AJ737" s="521">
        <v>0</v>
      </c>
      <c r="AK737" s="520">
        <f t="shared" si="48"/>
        <v>0</v>
      </c>
      <c r="AL737" s="672" t="s">
        <v>1476</v>
      </c>
      <c r="AM737" s="669">
        <f t="shared" si="49"/>
        <v>40.020000000000003</v>
      </c>
    </row>
    <row r="738" spans="1:39" s="500" customFormat="1" hidden="1">
      <c r="A738" s="539" t="s">
        <v>582</v>
      </c>
      <c r="B738" s="539" t="s">
        <v>1180</v>
      </c>
      <c r="C738" s="472" t="s">
        <v>48</v>
      </c>
      <c r="D738" s="519"/>
      <c r="E738" s="915"/>
      <c r="F738" s="520"/>
      <c r="G738" s="520"/>
      <c r="H738" s="520"/>
      <c r="I738" s="521"/>
      <c r="J738" s="521"/>
      <c r="K738" s="521"/>
      <c r="L738" s="923"/>
      <c r="M738" s="514"/>
      <c r="N738" s="514"/>
      <c r="O738" s="514"/>
      <c r="P738" s="514"/>
      <c r="Q738" s="514"/>
      <c r="R738" s="514"/>
      <c r="S738" s="923"/>
      <c r="T738" s="514"/>
      <c r="U738" s="514"/>
      <c r="V738" s="514"/>
      <c r="W738" s="514"/>
      <c r="X738" s="514"/>
      <c r="Y738" s="514"/>
      <c r="Z738" s="923"/>
      <c r="AA738" s="514"/>
      <c r="AB738" s="514"/>
      <c r="AC738" s="514"/>
      <c r="AD738" s="514"/>
      <c r="AE738" s="774"/>
      <c r="AF738" s="514"/>
      <c r="AG738" s="923"/>
      <c r="AH738" s="789"/>
      <c r="AI738" s="664">
        <f t="shared" si="47"/>
        <v>0</v>
      </c>
      <c r="AJ738" s="521">
        <v>0</v>
      </c>
      <c r="AK738" s="520">
        <f t="shared" si="48"/>
        <v>0</v>
      </c>
      <c r="AL738" s="672" t="s">
        <v>1477</v>
      </c>
      <c r="AM738" s="669">
        <f t="shared" si="49"/>
        <v>444.48</v>
      </c>
    </row>
    <row r="739" spans="1:39" s="500" customFormat="1" hidden="1">
      <c r="A739" s="539" t="s">
        <v>583</v>
      </c>
      <c r="B739" s="539" t="s">
        <v>1181</v>
      </c>
      <c r="C739" s="605"/>
      <c r="D739" s="519"/>
      <c r="E739" s="915"/>
      <c r="F739" s="520"/>
      <c r="G739" s="520"/>
      <c r="H739" s="520"/>
      <c r="I739" s="521"/>
      <c r="J739" s="521"/>
      <c r="K739" s="521"/>
      <c r="L739" s="923"/>
      <c r="M739" s="514"/>
      <c r="N739" s="514"/>
      <c r="O739" s="514"/>
      <c r="P739" s="514"/>
      <c r="Q739" s="514"/>
      <c r="R739" s="514"/>
      <c r="S739" s="923"/>
      <c r="T739" s="514"/>
      <c r="U739" s="514"/>
      <c r="V739" s="514"/>
      <c r="W739" s="514"/>
      <c r="X739" s="514"/>
      <c r="Y739" s="514"/>
      <c r="Z739" s="923"/>
      <c r="AA739" s="514"/>
      <c r="AB739" s="514"/>
      <c r="AC739" s="514"/>
      <c r="AD739" s="514"/>
      <c r="AE739" s="774"/>
      <c r="AF739" s="514"/>
      <c r="AG739" s="923"/>
      <c r="AH739" s="789"/>
      <c r="AI739" s="664">
        <f t="shared" si="47"/>
        <v>0</v>
      </c>
      <c r="AJ739" s="521">
        <v>0</v>
      </c>
      <c r="AK739" s="520">
        <f t="shared" si="48"/>
        <v>0</v>
      </c>
      <c r="AL739" s="672"/>
      <c r="AM739" s="669">
        <f t="shared" si="49"/>
        <v>0</v>
      </c>
    </row>
    <row r="740" spans="1:39" s="500" customFormat="1" hidden="1">
      <c r="A740" s="539" t="s">
        <v>584</v>
      </c>
      <c r="B740" s="539" t="s">
        <v>1182</v>
      </c>
      <c r="C740" s="472" t="s">
        <v>40</v>
      </c>
      <c r="D740" s="519"/>
      <c r="E740" s="915"/>
      <c r="F740" s="520"/>
      <c r="G740" s="520"/>
      <c r="H740" s="520"/>
      <c r="I740" s="521"/>
      <c r="J740" s="521"/>
      <c r="K740" s="521"/>
      <c r="L740" s="923"/>
      <c r="M740" s="514"/>
      <c r="N740" s="514"/>
      <c r="O740" s="514"/>
      <c r="P740" s="514"/>
      <c r="Q740" s="514"/>
      <c r="R740" s="514"/>
      <c r="S740" s="923"/>
      <c r="T740" s="514"/>
      <c r="U740" s="514"/>
      <c r="V740" s="514"/>
      <c r="W740" s="514"/>
      <c r="X740" s="514"/>
      <c r="Y740" s="514"/>
      <c r="Z740" s="923"/>
      <c r="AA740" s="514"/>
      <c r="AB740" s="514"/>
      <c r="AC740" s="514"/>
      <c r="AD740" s="514"/>
      <c r="AE740" s="774"/>
      <c r="AF740" s="514"/>
      <c r="AG740" s="923"/>
      <c r="AH740" s="789"/>
      <c r="AI740" s="664">
        <f t="shared" si="47"/>
        <v>0</v>
      </c>
      <c r="AJ740" s="521">
        <v>0</v>
      </c>
      <c r="AK740" s="520">
        <f t="shared" si="48"/>
        <v>0</v>
      </c>
      <c r="AL740" s="672" t="s">
        <v>1478</v>
      </c>
      <c r="AM740" s="669">
        <f t="shared" si="49"/>
        <v>1.49</v>
      </c>
    </row>
    <row r="741" spans="1:39" s="500" customFormat="1" hidden="1">
      <c r="A741" s="539" t="s">
        <v>585</v>
      </c>
      <c r="B741" s="539" t="s">
        <v>1183</v>
      </c>
      <c r="C741" s="548" t="s">
        <v>37</v>
      </c>
      <c r="D741" s="519"/>
      <c r="E741" s="915"/>
      <c r="F741" s="520"/>
      <c r="G741" s="520"/>
      <c r="H741" s="520"/>
      <c r="I741" s="521"/>
      <c r="J741" s="521"/>
      <c r="K741" s="521"/>
      <c r="L741" s="923"/>
      <c r="M741" s="514"/>
      <c r="N741" s="514"/>
      <c r="O741" s="514"/>
      <c r="P741" s="514"/>
      <c r="Q741" s="514"/>
      <c r="R741" s="514"/>
      <c r="S741" s="923"/>
      <c r="T741" s="514"/>
      <c r="U741" s="514"/>
      <c r="V741" s="514"/>
      <c r="W741" s="514"/>
      <c r="X741" s="514"/>
      <c r="Y741" s="514"/>
      <c r="Z741" s="923"/>
      <c r="AA741" s="514"/>
      <c r="AB741" s="514"/>
      <c r="AC741" s="514"/>
      <c r="AD741" s="514"/>
      <c r="AE741" s="774"/>
      <c r="AF741" s="514"/>
      <c r="AG741" s="923"/>
      <c r="AH741" s="789"/>
      <c r="AI741" s="664">
        <f t="shared" si="47"/>
        <v>0</v>
      </c>
      <c r="AJ741" s="521">
        <v>0</v>
      </c>
      <c r="AK741" s="520">
        <f t="shared" si="48"/>
        <v>0</v>
      </c>
      <c r="AL741" s="672" t="s">
        <v>1479</v>
      </c>
      <c r="AM741" s="669">
        <f t="shared" si="49"/>
        <v>19.71</v>
      </c>
    </row>
    <row r="742" spans="1:39" s="500" customFormat="1" hidden="1">
      <c r="A742" s="539" t="s">
        <v>586</v>
      </c>
      <c r="B742" s="539" t="s">
        <v>1184</v>
      </c>
      <c r="C742" s="472" t="s">
        <v>48</v>
      </c>
      <c r="D742" s="519"/>
      <c r="E742" s="915"/>
      <c r="F742" s="520"/>
      <c r="G742" s="520"/>
      <c r="H742" s="520"/>
      <c r="I742" s="521"/>
      <c r="J742" s="521"/>
      <c r="K742" s="521"/>
      <c r="L742" s="923"/>
      <c r="M742" s="514"/>
      <c r="N742" s="514"/>
      <c r="O742" s="514"/>
      <c r="P742" s="514"/>
      <c r="Q742" s="514"/>
      <c r="R742" s="514"/>
      <c r="S742" s="923"/>
      <c r="T742" s="514"/>
      <c r="U742" s="514"/>
      <c r="V742" s="514"/>
      <c r="W742" s="514"/>
      <c r="X742" s="514"/>
      <c r="Y742" s="514"/>
      <c r="Z742" s="923"/>
      <c r="AA742" s="514"/>
      <c r="AB742" s="514"/>
      <c r="AC742" s="514"/>
      <c r="AD742" s="514"/>
      <c r="AE742" s="774"/>
      <c r="AF742" s="514"/>
      <c r="AG742" s="923"/>
      <c r="AH742" s="789"/>
      <c r="AI742" s="664">
        <f t="shared" si="47"/>
        <v>0</v>
      </c>
      <c r="AJ742" s="521">
        <v>0</v>
      </c>
      <c r="AK742" s="520">
        <f t="shared" si="48"/>
        <v>0</v>
      </c>
      <c r="AL742" s="672" t="s">
        <v>1480</v>
      </c>
      <c r="AM742" s="669">
        <f t="shared" si="49"/>
        <v>659.98</v>
      </c>
    </row>
    <row r="743" spans="1:39" s="500" customFormat="1" hidden="1">
      <c r="A743" s="539" t="s">
        <v>587</v>
      </c>
      <c r="B743" s="539" t="s">
        <v>1185</v>
      </c>
      <c r="C743" s="605"/>
      <c r="D743" s="519"/>
      <c r="E743" s="915"/>
      <c r="F743" s="520"/>
      <c r="G743" s="520"/>
      <c r="H743" s="520"/>
      <c r="I743" s="521"/>
      <c r="J743" s="521"/>
      <c r="K743" s="521"/>
      <c r="L743" s="923"/>
      <c r="M743" s="514"/>
      <c r="N743" s="514"/>
      <c r="O743" s="514"/>
      <c r="P743" s="514"/>
      <c r="Q743" s="514"/>
      <c r="R743" s="514"/>
      <c r="S743" s="923"/>
      <c r="T743" s="514"/>
      <c r="U743" s="514"/>
      <c r="V743" s="514"/>
      <c r="W743" s="514"/>
      <c r="X743" s="514"/>
      <c r="Y743" s="514"/>
      <c r="Z743" s="923"/>
      <c r="AA743" s="514"/>
      <c r="AB743" s="514"/>
      <c r="AC743" s="514"/>
      <c r="AD743" s="514"/>
      <c r="AE743" s="774"/>
      <c r="AF743" s="514"/>
      <c r="AG743" s="923"/>
      <c r="AH743" s="789"/>
      <c r="AI743" s="664">
        <f t="shared" si="47"/>
        <v>0</v>
      </c>
      <c r="AJ743" s="521">
        <v>0</v>
      </c>
      <c r="AK743" s="520">
        <f t="shared" si="48"/>
        <v>0</v>
      </c>
      <c r="AL743" s="672"/>
      <c r="AM743" s="669">
        <f t="shared" si="49"/>
        <v>0</v>
      </c>
    </row>
    <row r="744" spans="1:39" s="500" customFormat="1" hidden="1">
      <c r="A744" s="539" t="s">
        <v>588</v>
      </c>
      <c r="B744" s="539" t="s">
        <v>1186</v>
      </c>
      <c r="C744" s="472" t="s">
        <v>40</v>
      </c>
      <c r="D744" s="519"/>
      <c r="E744" s="915"/>
      <c r="F744" s="520"/>
      <c r="G744" s="520"/>
      <c r="H744" s="520"/>
      <c r="I744" s="521"/>
      <c r="J744" s="521"/>
      <c r="K744" s="521"/>
      <c r="L744" s="923"/>
      <c r="M744" s="514"/>
      <c r="N744" s="514"/>
      <c r="O744" s="514"/>
      <c r="P744" s="514"/>
      <c r="Q744" s="514"/>
      <c r="R744" s="514"/>
      <c r="S744" s="923"/>
      <c r="T744" s="514"/>
      <c r="U744" s="514"/>
      <c r="V744" s="514"/>
      <c r="W744" s="514"/>
      <c r="X744" s="514"/>
      <c r="Y744" s="514"/>
      <c r="Z744" s="923"/>
      <c r="AA744" s="514"/>
      <c r="AB744" s="514"/>
      <c r="AC744" s="514"/>
      <c r="AD744" s="514"/>
      <c r="AE744" s="774"/>
      <c r="AF744" s="514"/>
      <c r="AG744" s="923"/>
      <c r="AH744" s="789"/>
      <c r="AI744" s="664">
        <f t="shared" si="47"/>
        <v>0</v>
      </c>
      <c r="AJ744" s="521">
        <v>0</v>
      </c>
      <c r="AK744" s="520">
        <f t="shared" si="48"/>
        <v>0</v>
      </c>
      <c r="AL744" s="672" t="s">
        <v>1481</v>
      </c>
      <c r="AM744" s="669">
        <f t="shared" si="49"/>
        <v>4.54</v>
      </c>
    </row>
    <row r="745" spans="1:39" s="500" customFormat="1" hidden="1">
      <c r="A745" s="539" t="s">
        <v>589</v>
      </c>
      <c r="B745" s="539" t="s">
        <v>1187</v>
      </c>
      <c r="C745" s="472" t="s">
        <v>37</v>
      </c>
      <c r="D745" s="519"/>
      <c r="E745" s="915"/>
      <c r="F745" s="520"/>
      <c r="G745" s="520"/>
      <c r="H745" s="520"/>
      <c r="I745" s="521"/>
      <c r="J745" s="521"/>
      <c r="K745" s="521"/>
      <c r="L745" s="923"/>
      <c r="M745" s="514"/>
      <c r="N745" s="514"/>
      <c r="O745" s="514"/>
      <c r="P745" s="514"/>
      <c r="Q745" s="514"/>
      <c r="R745" s="514"/>
      <c r="S745" s="923"/>
      <c r="T745" s="514"/>
      <c r="U745" s="514"/>
      <c r="V745" s="514"/>
      <c r="W745" s="514"/>
      <c r="X745" s="514"/>
      <c r="Y745" s="514"/>
      <c r="Z745" s="923"/>
      <c r="AA745" s="514"/>
      <c r="AB745" s="514"/>
      <c r="AC745" s="514"/>
      <c r="AD745" s="514"/>
      <c r="AE745" s="774"/>
      <c r="AF745" s="514"/>
      <c r="AG745" s="923"/>
      <c r="AH745" s="789"/>
      <c r="AI745" s="664">
        <f t="shared" si="47"/>
        <v>0</v>
      </c>
      <c r="AJ745" s="521">
        <v>0</v>
      </c>
      <c r="AK745" s="520">
        <f t="shared" si="48"/>
        <v>0</v>
      </c>
      <c r="AL745" s="672" t="s">
        <v>1482</v>
      </c>
      <c r="AM745" s="669">
        <f t="shared" si="49"/>
        <v>38.93</v>
      </c>
    </row>
    <row r="746" spans="1:39" s="500" customFormat="1" hidden="1">
      <c r="A746" s="539" t="s">
        <v>590</v>
      </c>
      <c r="B746" s="539" t="s">
        <v>1188</v>
      </c>
      <c r="C746" s="472" t="s">
        <v>48</v>
      </c>
      <c r="D746" s="519"/>
      <c r="E746" s="915"/>
      <c r="F746" s="520"/>
      <c r="G746" s="520"/>
      <c r="H746" s="520"/>
      <c r="I746" s="521"/>
      <c r="J746" s="521"/>
      <c r="K746" s="521"/>
      <c r="L746" s="923"/>
      <c r="M746" s="514"/>
      <c r="N746" s="514"/>
      <c r="O746" s="514"/>
      <c r="P746" s="514"/>
      <c r="Q746" s="514"/>
      <c r="R746" s="514"/>
      <c r="S746" s="923"/>
      <c r="T746" s="514"/>
      <c r="U746" s="514"/>
      <c r="V746" s="514"/>
      <c r="W746" s="514"/>
      <c r="X746" s="514"/>
      <c r="Y746" s="514"/>
      <c r="Z746" s="923"/>
      <c r="AA746" s="514"/>
      <c r="AB746" s="514"/>
      <c r="AC746" s="514"/>
      <c r="AD746" s="514"/>
      <c r="AE746" s="774"/>
      <c r="AF746" s="514"/>
      <c r="AG746" s="923"/>
      <c r="AH746" s="789"/>
      <c r="AI746" s="664">
        <f t="shared" si="47"/>
        <v>0</v>
      </c>
      <c r="AJ746" s="521">
        <v>0</v>
      </c>
      <c r="AK746" s="520">
        <f t="shared" si="48"/>
        <v>0</v>
      </c>
      <c r="AL746" s="672" t="s">
        <v>1483</v>
      </c>
      <c r="AM746" s="669">
        <f t="shared" si="49"/>
        <v>563.80999999999995</v>
      </c>
    </row>
    <row r="747" spans="1:39" s="500" customFormat="1" hidden="1">
      <c r="A747" s="539" t="s">
        <v>591</v>
      </c>
      <c r="B747" s="539" t="s">
        <v>1189</v>
      </c>
      <c r="C747" s="605"/>
      <c r="D747" s="525"/>
      <c r="E747" s="916"/>
      <c r="F747" s="526"/>
      <c r="G747" s="526"/>
      <c r="H747" s="526"/>
      <c r="I747" s="527"/>
      <c r="J747" s="527"/>
      <c r="K747" s="527"/>
      <c r="L747" s="923"/>
      <c r="M747" s="514"/>
      <c r="N747" s="514"/>
      <c r="O747" s="514"/>
      <c r="P747" s="514"/>
      <c r="Q747" s="514"/>
      <c r="R747" s="514"/>
      <c r="S747" s="923"/>
      <c r="T747" s="514"/>
      <c r="U747" s="514"/>
      <c r="V747" s="514"/>
      <c r="W747" s="514"/>
      <c r="X747" s="514"/>
      <c r="Y747" s="514"/>
      <c r="Z747" s="923"/>
      <c r="AA747" s="514"/>
      <c r="AB747" s="514"/>
      <c r="AC747" s="514"/>
      <c r="AD747" s="514"/>
      <c r="AE747" s="774"/>
      <c r="AF747" s="514"/>
      <c r="AG747" s="923"/>
      <c r="AH747" s="789"/>
      <c r="AI747" s="664">
        <f t="shared" si="47"/>
        <v>0</v>
      </c>
      <c r="AJ747" s="521">
        <v>0</v>
      </c>
      <c r="AK747" s="520">
        <f t="shared" si="48"/>
        <v>0</v>
      </c>
      <c r="AL747" s="673"/>
      <c r="AM747" s="669">
        <f t="shared" si="49"/>
        <v>0</v>
      </c>
    </row>
    <row r="748" spans="1:39" s="500" customFormat="1" hidden="1">
      <c r="A748" s="539" t="s">
        <v>592</v>
      </c>
      <c r="B748" s="539" t="s">
        <v>1190</v>
      </c>
      <c r="C748" s="472" t="s">
        <v>40</v>
      </c>
      <c r="D748" s="519"/>
      <c r="E748" s="915"/>
      <c r="F748" s="520"/>
      <c r="G748" s="520"/>
      <c r="H748" s="520"/>
      <c r="I748" s="521"/>
      <c r="J748" s="521"/>
      <c r="K748" s="521"/>
      <c r="L748" s="923"/>
      <c r="M748" s="514"/>
      <c r="N748" s="514"/>
      <c r="O748" s="514"/>
      <c r="P748" s="514"/>
      <c r="Q748" s="514"/>
      <c r="R748" s="514"/>
      <c r="S748" s="923"/>
      <c r="T748" s="514"/>
      <c r="U748" s="514"/>
      <c r="V748" s="514"/>
      <c r="W748" s="514"/>
      <c r="X748" s="514"/>
      <c r="Y748" s="514"/>
      <c r="Z748" s="923"/>
      <c r="AA748" s="514"/>
      <c r="AB748" s="514"/>
      <c r="AC748" s="514"/>
      <c r="AD748" s="514"/>
      <c r="AE748" s="774"/>
      <c r="AF748" s="514"/>
      <c r="AG748" s="923"/>
      <c r="AH748" s="789"/>
      <c r="AI748" s="664">
        <f t="shared" si="47"/>
        <v>0</v>
      </c>
      <c r="AJ748" s="521">
        <v>0</v>
      </c>
      <c r="AK748" s="520">
        <f t="shared" si="48"/>
        <v>0</v>
      </c>
      <c r="AL748" s="672" t="s">
        <v>1484</v>
      </c>
      <c r="AM748" s="669">
        <f t="shared" si="49"/>
        <v>3.65</v>
      </c>
    </row>
    <row r="749" spans="1:39" s="500" customFormat="1" hidden="1">
      <c r="A749" s="539" t="s">
        <v>593</v>
      </c>
      <c r="B749" s="539" t="s">
        <v>1191</v>
      </c>
      <c r="C749" s="472" t="s">
        <v>37</v>
      </c>
      <c r="D749" s="519"/>
      <c r="E749" s="915"/>
      <c r="F749" s="520"/>
      <c r="G749" s="520"/>
      <c r="H749" s="520"/>
      <c r="I749" s="521"/>
      <c r="J749" s="521"/>
      <c r="K749" s="521"/>
      <c r="L749" s="923"/>
      <c r="M749" s="514"/>
      <c r="N749" s="514"/>
      <c r="O749" s="514"/>
      <c r="P749" s="514"/>
      <c r="Q749" s="514"/>
      <c r="R749" s="514"/>
      <c r="S749" s="923"/>
      <c r="T749" s="514"/>
      <c r="U749" s="514"/>
      <c r="V749" s="514"/>
      <c r="W749" s="514"/>
      <c r="X749" s="514"/>
      <c r="Y749" s="514"/>
      <c r="Z749" s="923"/>
      <c r="AA749" s="514"/>
      <c r="AB749" s="514"/>
      <c r="AC749" s="514"/>
      <c r="AD749" s="514"/>
      <c r="AE749" s="774"/>
      <c r="AF749" s="514"/>
      <c r="AG749" s="923"/>
      <c r="AH749" s="789"/>
      <c r="AI749" s="664">
        <f t="shared" si="47"/>
        <v>0</v>
      </c>
      <c r="AJ749" s="521">
        <v>0</v>
      </c>
      <c r="AK749" s="520">
        <f t="shared" si="48"/>
        <v>0</v>
      </c>
      <c r="AL749" s="672" t="s">
        <v>1485</v>
      </c>
      <c r="AM749" s="669">
        <f t="shared" si="49"/>
        <v>41.77</v>
      </c>
    </row>
    <row r="750" spans="1:39" s="500" customFormat="1" hidden="1">
      <c r="A750" s="539" t="s">
        <v>594</v>
      </c>
      <c r="B750" s="539" t="s">
        <v>1192</v>
      </c>
      <c r="C750" s="472" t="s">
        <v>48</v>
      </c>
      <c r="D750" s="519"/>
      <c r="E750" s="915"/>
      <c r="F750" s="520"/>
      <c r="G750" s="520"/>
      <c r="H750" s="520"/>
      <c r="I750" s="521"/>
      <c r="J750" s="521"/>
      <c r="K750" s="521"/>
      <c r="L750" s="923"/>
      <c r="M750" s="514"/>
      <c r="N750" s="514"/>
      <c r="O750" s="514"/>
      <c r="P750" s="514"/>
      <c r="Q750" s="514"/>
      <c r="R750" s="514"/>
      <c r="S750" s="923"/>
      <c r="T750" s="514"/>
      <c r="U750" s="514"/>
      <c r="V750" s="514"/>
      <c r="W750" s="514"/>
      <c r="X750" s="514"/>
      <c r="Y750" s="514"/>
      <c r="Z750" s="923"/>
      <c r="AA750" s="514"/>
      <c r="AB750" s="514"/>
      <c r="AC750" s="514"/>
      <c r="AD750" s="514"/>
      <c r="AE750" s="774"/>
      <c r="AF750" s="514"/>
      <c r="AG750" s="923"/>
      <c r="AH750" s="789"/>
      <c r="AI750" s="664">
        <f t="shared" si="47"/>
        <v>0</v>
      </c>
      <c r="AJ750" s="521">
        <v>0</v>
      </c>
      <c r="AK750" s="520">
        <f t="shared" si="48"/>
        <v>0</v>
      </c>
      <c r="AL750" s="672" t="s">
        <v>1486</v>
      </c>
      <c r="AM750" s="669">
        <f t="shared" si="49"/>
        <v>298.24</v>
      </c>
    </row>
    <row r="751" spans="1:39" s="500" customFormat="1" hidden="1">
      <c r="A751" s="539" t="s">
        <v>595</v>
      </c>
      <c r="B751" s="539" t="s">
        <v>1193</v>
      </c>
      <c r="C751" s="548" t="s">
        <v>1450</v>
      </c>
      <c r="D751" s="519"/>
      <c r="E751" s="915"/>
      <c r="F751" s="520"/>
      <c r="G751" s="520"/>
      <c r="H751" s="520"/>
      <c r="I751" s="521"/>
      <c r="J751" s="521"/>
      <c r="K751" s="521"/>
      <c r="L751" s="923"/>
      <c r="M751" s="514"/>
      <c r="N751" s="514"/>
      <c r="O751" s="514"/>
      <c r="P751" s="514"/>
      <c r="Q751" s="514"/>
      <c r="R751" s="514"/>
      <c r="S751" s="923"/>
      <c r="T751" s="514"/>
      <c r="U751" s="514"/>
      <c r="V751" s="514"/>
      <c r="W751" s="514"/>
      <c r="X751" s="514"/>
      <c r="Y751" s="514"/>
      <c r="Z751" s="923"/>
      <c r="AA751" s="514"/>
      <c r="AB751" s="514"/>
      <c r="AC751" s="514"/>
      <c r="AD751" s="514"/>
      <c r="AE751" s="774"/>
      <c r="AF751" s="514"/>
      <c r="AG751" s="923"/>
      <c r="AH751" s="789"/>
      <c r="AI751" s="664">
        <f t="shared" ref="AI751:AI814" si="50">ROUND((SUM(D751:AG751)),2)</f>
        <v>0</v>
      </c>
      <c r="AJ751" s="521">
        <v>0</v>
      </c>
      <c r="AK751" s="520">
        <f t="shared" si="48"/>
        <v>0</v>
      </c>
      <c r="AL751" s="672" t="s">
        <v>1487</v>
      </c>
      <c r="AM751" s="669">
        <f t="shared" si="49"/>
        <v>347.95</v>
      </c>
    </row>
    <row r="752" spans="1:39" s="500" customFormat="1" hidden="1">
      <c r="A752" s="539" t="s">
        <v>596</v>
      </c>
      <c r="B752" s="539" t="s">
        <v>1194</v>
      </c>
      <c r="C752" s="605"/>
      <c r="D752" s="519"/>
      <c r="E752" s="915"/>
      <c r="F752" s="520"/>
      <c r="G752" s="520"/>
      <c r="H752" s="520"/>
      <c r="I752" s="521"/>
      <c r="J752" s="521"/>
      <c r="K752" s="521"/>
      <c r="L752" s="923"/>
      <c r="M752" s="514"/>
      <c r="N752" s="514"/>
      <c r="O752" s="514"/>
      <c r="P752" s="514"/>
      <c r="Q752" s="514"/>
      <c r="R752" s="514"/>
      <c r="S752" s="923"/>
      <c r="T752" s="514"/>
      <c r="U752" s="514"/>
      <c r="V752" s="514"/>
      <c r="W752" s="514"/>
      <c r="X752" s="514"/>
      <c r="Y752" s="514"/>
      <c r="Z752" s="923"/>
      <c r="AA752" s="514"/>
      <c r="AB752" s="514"/>
      <c r="AC752" s="514"/>
      <c r="AD752" s="514"/>
      <c r="AE752" s="774"/>
      <c r="AF752" s="514"/>
      <c r="AG752" s="923"/>
      <c r="AH752" s="789"/>
      <c r="AI752" s="664">
        <f t="shared" si="50"/>
        <v>0</v>
      </c>
      <c r="AJ752" s="521">
        <v>0</v>
      </c>
      <c r="AK752" s="520">
        <f t="shared" si="48"/>
        <v>0</v>
      </c>
      <c r="AL752" s="672"/>
      <c r="AM752" s="669">
        <f t="shared" si="49"/>
        <v>0</v>
      </c>
    </row>
    <row r="753" spans="1:39" s="500" customFormat="1" hidden="1">
      <c r="A753" s="539" t="s">
        <v>597</v>
      </c>
      <c r="B753" s="539" t="s">
        <v>1195</v>
      </c>
      <c r="C753" s="472" t="s">
        <v>40</v>
      </c>
      <c r="D753" s="519"/>
      <c r="E753" s="915"/>
      <c r="F753" s="520"/>
      <c r="G753" s="520"/>
      <c r="H753" s="520"/>
      <c r="I753" s="521"/>
      <c r="J753" s="521"/>
      <c r="K753" s="521"/>
      <c r="L753" s="923"/>
      <c r="M753" s="514"/>
      <c r="N753" s="514"/>
      <c r="O753" s="514"/>
      <c r="P753" s="514"/>
      <c r="Q753" s="514"/>
      <c r="R753" s="514"/>
      <c r="S753" s="923"/>
      <c r="T753" s="514"/>
      <c r="U753" s="514"/>
      <c r="V753" s="514"/>
      <c r="W753" s="514"/>
      <c r="X753" s="514"/>
      <c r="Y753" s="514"/>
      <c r="Z753" s="923"/>
      <c r="AA753" s="514"/>
      <c r="AB753" s="514"/>
      <c r="AC753" s="514"/>
      <c r="AD753" s="514"/>
      <c r="AE753" s="774"/>
      <c r="AF753" s="514"/>
      <c r="AG753" s="923"/>
      <c r="AH753" s="789"/>
      <c r="AI753" s="664">
        <f t="shared" si="50"/>
        <v>0</v>
      </c>
      <c r="AJ753" s="521">
        <v>0</v>
      </c>
      <c r="AK753" s="520">
        <f t="shared" si="48"/>
        <v>0</v>
      </c>
      <c r="AL753" s="672" t="s">
        <v>1488</v>
      </c>
      <c r="AM753" s="669">
        <f t="shared" si="49"/>
        <v>1.2</v>
      </c>
    </row>
    <row r="754" spans="1:39" s="500" customFormat="1" hidden="1">
      <c r="A754" s="539" t="s">
        <v>598</v>
      </c>
      <c r="B754" s="539" t="s">
        <v>1196</v>
      </c>
      <c r="C754" s="472" t="s">
        <v>37</v>
      </c>
      <c r="D754" s="519"/>
      <c r="E754" s="915"/>
      <c r="F754" s="520"/>
      <c r="G754" s="520"/>
      <c r="H754" s="520"/>
      <c r="I754" s="521"/>
      <c r="J754" s="521"/>
      <c r="K754" s="521"/>
      <c r="L754" s="923"/>
      <c r="M754" s="514"/>
      <c r="N754" s="514"/>
      <c r="O754" s="514"/>
      <c r="P754" s="514"/>
      <c r="Q754" s="514"/>
      <c r="R754" s="514"/>
      <c r="S754" s="923"/>
      <c r="T754" s="514"/>
      <c r="U754" s="514"/>
      <c r="V754" s="514"/>
      <c r="W754" s="514"/>
      <c r="X754" s="514"/>
      <c r="Y754" s="514"/>
      <c r="Z754" s="923"/>
      <c r="AA754" s="514"/>
      <c r="AB754" s="514"/>
      <c r="AC754" s="514"/>
      <c r="AD754" s="514"/>
      <c r="AE754" s="774"/>
      <c r="AF754" s="514"/>
      <c r="AG754" s="923"/>
      <c r="AH754" s="789"/>
      <c r="AI754" s="664">
        <f t="shared" si="50"/>
        <v>0</v>
      </c>
      <c r="AJ754" s="521">
        <v>0</v>
      </c>
      <c r="AK754" s="520">
        <f t="shared" si="48"/>
        <v>0</v>
      </c>
      <c r="AL754" s="672" t="s">
        <v>1489</v>
      </c>
      <c r="AM754" s="669">
        <f t="shared" si="49"/>
        <v>16</v>
      </c>
    </row>
    <row r="755" spans="1:39" s="500" customFormat="1" hidden="1">
      <c r="A755" s="539" t="s">
        <v>599</v>
      </c>
      <c r="B755" s="539" t="s">
        <v>1197</v>
      </c>
      <c r="C755" s="472" t="s">
        <v>48</v>
      </c>
      <c r="D755" s="519"/>
      <c r="E755" s="915"/>
      <c r="F755" s="520"/>
      <c r="G755" s="520"/>
      <c r="H755" s="520"/>
      <c r="I755" s="521"/>
      <c r="J755" s="521"/>
      <c r="K755" s="521"/>
      <c r="L755" s="923"/>
      <c r="M755" s="514"/>
      <c r="N755" s="514"/>
      <c r="O755" s="514"/>
      <c r="P755" s="514"/>
      <c r="Q755" s="514"/>
      <c r="R755" s="514"/>
      <c r="S755" s="923"/>
      <c r="T755" s="514"/>
      <c r="U755" s="514"/>
      <c r="V755" s="514"/>
      <c r="W755" s="514"/>
      <c r="X755" s="514"/>
      <c r="Y755" s="514"/>
      <c r="Z755" s="923"/>
      <c r="AA755" s="514"/>
      <c r="AB755" s="514"/>
      <c r="AC755" s="514"/>
      <c r="AD755" s="514"/>
      <c r="AE755" s="774"/>
      <c r="AF755" s="514"/>
      <c r="AG755" s="923"/>
      <c r="AH755" s="789"/>
      <c r="AI755" s="664">
        <f t="shared" si="50"/>
        <v>0</v>
      </c>
      <c r="AJ755" s="521">
        <v>0</v>
      </c>
      <c r="AK755" s="520">
        <f t="shared" si="48"/>
        <v>0</v>
      </c>
      <c r="AL755" s="672" t="s">
        <v>1490</v>
      </c>
      <c r="AM755" s="669">
        <f t="shared" si="49"/>
        <v>124.05</v>
      </c>
    </row>
    <row r="756" spans="1:39" s="500" customFormat="1" hidden="1">
      <c r="A756" s="542" t="s">
        <v>600</v>
      </c>
      <c r="B756" s="542" t="s">
        <v>1198</v>
      </c>
      <c r="C756" s="605"/>
      <c r="D756" s="519"/>
      <c r="E756" s="915"/>
      <c r="F756" s="520"/>
      <c r="G756" s="520"/>
      <c r="H756" s="520"/>
      <c r="I756" s="521"/>
      <c r="J756" s="521"/>
      <c r="K756" s="521"/>
      <c r="L756" s="923"/>
      <c r="M756" s="514"/>
      <c r="N756" s="514"/>
      <c r="O756" s="514"/>
      <c r="P756" s="514"/>
      <c r="Q756" s="514"/>
      <c r="R756" s="514"/>
      <c r="S756" s="923"/>
      <c r="T756" s="514"/>
      <c r="U756" s="514"/>
      <c r="V756" s="514"/>
      <c r="W756" s="514"/>
      <c r="X756" s="514"/>
      <c r="Y756" s="514"/>
      <c r="Z756" s="923"/>
      <c r="AA756" s="514"/>
      <c r="AB756" s="514"/>
      <c r="AC756" s="514"/>
      <c r="AD756" s="514"/>
      <c r="AE756" s="774"/>
      <c r="AF756" s="514"/>
      <c r="AG756" s="923"/>
      <c r="AH756" s="789"/>
      <c r="AI756" s="664">
        <f t="shared" si="50"/>
        <v>0</v>
      </c>
      <c r="AJ756" s="521">
        <v>0</v>
      </c>
      <c r="AK756" s="520">
        <f t="shared" si="48"/>
        <v>0</v>
      </c>
      <c r="AL756" s="672"/>
      <c r="AM756" s="669">
        <f t="shared" si="49"/>
        <v>0</v>
      </c>
    </row>
    <row r="757" spans="1:39" s="500" customFormat="1" hidden="1">
      <c r="A757" s="539" t="s">
        <v>601</v>
      </c>
      <c r="B757" s="539" t="s">
        <v>1199</v>
      </c>
      <c r="C757" s="472" t="s">
        <v>38</v>
      </c>
      <c r="D757" s="519"/>
      <c r="E757" s="915"/>
      <c r="F757" s="520"/>
      <c r="G757" s="520"/>
      <c r="H757" s="520"/>
      <c r="I757" s="521"/>
      <c r="J757" s="521"/>
      <c r="K757" s="521"/>
      <c r="L757" s="923"/>
      <c r="M757" s="514"/>
      <c r="N757" s="514"/>
      <c r="O757" s="514"/>
      <c r="P757" s="514"/>
      <c r="Q757" s="514"/>
      <c r="R757" s="514"/>
      <c r="S757" s="923"/>
      <c r="T757" s="514"/>
      <c r="U757" s="514"/>
      <c r="V757" s="514"/>
      <c r="W757" s="514"/>
      <c r="X757" s="514"/>
      <c r="Y757" s="514"/>
      <c r="Z757" s="923"/>
      <c r="AA757" s="514"/>
      <c r="AB757" s="514"/>
      <c r="AC757" s="514"/>
      <c r="AD757" s="514"/>
      <c r="AE757" s="774"/>
      <c r="AF757" s="514"/>
      <c r="AG757" s="923"/>
      <c r="AH757" s="789"/>
      <c r="AI757" s="664">
        <f t="shared" si="50"/>
        <v>0</v>
      </c>
      <c r="AJ757" s="521">
        <v>0</v>
      </c>
      <c r="AK757" s="520">
        <f t="shared" si="48"/>
        <v>0</v>
      </c>
      <c r="AL757" s="672" t="s">
        <v>1491</v>
      </c>
      <c r="AM757" s="669">
        <f t="shared" si="49"/>
        <v>59.04</v>
      </c>
    </row>
    <row r="758" spans="1:39" s="500" customFormat="1" hidden="1">
      <c r="A758" s="542" t="s">
        <v>602</v>
      </c>
      <c r="B758" s="542" t="s">
        <v>1200</v>
      </c>
      <c r="C758" s="616"/>
      <c r="D758" s="519"/>
      <c r="E758" s="915"/>
      <c r="F758" s="520"/>
      <c r="G758" s="520"/>
      <c r="H758" s="520"/>
      <c r="I758" s="521"/>
      <c r="J758" s="521"/>
      <c r="K758" s="521"/>
      <c r="L758" s="923"/>
      <c r="M758" s="514"/>
      <c r="N758" s="514"/>
      <c r="O758" s="514"/>
      <c r="P758" s="514"/>
      <c r="Q758" s="514"/>
      <c r="R758" s="514"/>
      <c r="S758" s="923"/>
      <c r="T758" s="514"/>
      <c r="U758" s="514"/>
      <c r="V758" s="514"/>
      <c r="W758" s="514"/>
      <c r="X758" s="514"/>
      <c r="Y758" s="514"/>
      <c r="Z758" s="923"/>
      <c r="AA758" s="514"/>
      <c r="AB758" s="514"/>
      <c r="AC758" s="514"/>
      <c r="AD758" s="514"/>
      <c r="AE758" s="774"/>
      <c r="AF758" s="514"/>
      <c r="AG758" s="923"/>
      <c r="AH758" s="789"/>
      <c r="AI758" s="664">
        <f t="shared" si="50"/>
        <v>0</v>
      </c>
      <c r="AJ758" s="521">
        <v>0</v>
      </c>
      <c r="AK758" s="520">
        <f t="shared" si="48"/>
        <v>0</v>
      </c>
      <c r="AL758" s="672"/>
      <c r="AM758" s="669">
        <f t="shared" si="49"/>
        <v>0</v>
      </c>
    </row>
    <row r="759" spans="1:39" s="500" customFormat="1" hidden="1">
      <c r="A759" s="539" t="s">
        <v>603</v>
      </c>
      <c r="B759" s="539" t="s">
        <v>1201</v>
      </c>
      <c r="C759" s="472" t="s">
        <v>38</v>
      </c>
      <c r="D759" s="519"/>
      <c r="E759" s="915"/>
      <c r="F759" s="520"/>
      <c r="G759" s="520"/>
      <c r="H759" s="520"/>
      <c r="I759" s="521"/>
      <c r="J759" s="521"/>
      <c r="K759" s="521"/>
      <c r="L759" s="923"/>
      <c r="M759" s="514"/>
      <c r="N759" s="514"/>
      <c r="O759" s="514"/>
      <c r="P759" s="514"/>
      <c r="Q759" s="514"/>
      <c r="R759" s="514"/>
      <c r="S759" s="923"/>
      <c r="T759" s="514"/>
      <c r="U759" s="514"/>
      <c r="V759" s="514"/>
      <c r="W759" s="514"/>
      <c r="X759" s="514"/>
      <c r="Y759" s="514"/>
      <c r="Z759" s="923"/>
      <c r="AA759" s="514"/>
      <c r="AB759" s="514"/>
      <c r="AC759" s="514"/>
      <c r="AD759" s="514"/>
      <c r="AE759" s="774"/>
      <c r="AF759" s="514"/>
      <c r="AG759" s="923"/>
      <c r="AH759" s="789"/>
      <c r="AI759" s="664">
        <f t="shared" si="50"/>
        <v>0</v>
      </c>
      <c r="AJ759" s="521">
        <v>0</v>
      </c>
      <c r="AK759" s="520">
        <f t="shared" si="48"/>
        <v>0</v>
      </c>
      <c r="AL759" s="672" t="s">
        <v>1492</v>
      </c>
      <c r="AM759" s="669">
        <f t="shared" si="49"/>
        <v>100.3</v>
      </c>
    </row>
    <row r="760" spans="1:39" s="500" customFormat="1" hidden="1">
      <c r="A760" s="539" t="s">
        <v>604</v>
      </c>
      <c r="B760" s="539" t="s">
        <v>225</v>
      </c>
      <c r="C760" s="472" t="s">
        <v>1450</v>
      </c>
      <c r="D760" s="525"/>
      <c r="E760" s="916"/>
      <c r="F760" s="526"/>
      <c r="G760" s="526"/>
      <c r="H760" s="526"/>
      <c r="I760" s="527"/>
      <c r="J760" s="527"/>
      <c r="K760" s="527"/>
      <c r="L760" s="923"/>
      <c r="M760" s="514"/>
      <c r="N760" s="514"/>
      <c r="O760" s="514"/>
      <c r="P760" s="514"/>
      <c r="Q760" s="514"/>
      <c r="R760" s="514"/>
      <c r="S760" s="923"/>
      <c r="T760" s="514"/>
      <c r="U760" s="514"/>
      <c r="V760" s="514"/>
      <c r="W760" s="514"/>
      <c r="X760" s="514"/>
      <c r="Y760" s="514"/>
      <c r="Z760" s="923"/>
      <c r="AA760" s="514"/>
      <c r="AB760" s="514"/>
      <c r="AC760" s="514"/>
      <c r="AD760" s="514"/>
      <c r="AE760" s="774"/>
      <c r="AF760" s="514"/>
      <c r="AG760" s="923"/>
      <c r="AH760" s="789"/>
      <c r="AI760" s="664">
        <f t="shared" si="50"/>
        <v>0</v>
      </c>
      <c r="AJ760" s="521">
        <v>0</v>
      </c>
      <c r="AK760" s="520">
        <f t="shared" si="48"/>
        <v>0</v>
      </c>
      <c r="AL760" s="673" t="s">
        <v>1493</v>
      </c>
      <c r="AM760" s="669">
        <f t="shared" si="49"/>
        <v>15</v>
      </c>
    </row>
    <row r="761" spans="1:39" s="500" customFormat="1">
      <c r="A761" s="440" t="s">
        <v>44</v>
      </c>
      <c r="B761" s="543" t="s">
        <v>1202</v>
      </c>
      <c r="C761" s="605"/>
      <c r="D761" s="519"/>
      <c r="E761" s="915"/>
      <c r="F761" s="520"/>
      <c r="G761" s="520"/>
      <c r="H761" s="520"/>
      <c r="I761" s="521"/>
      <c r="J761" s="521"/>
      <c r="K761" s="521"/>
      <c r="L761" s="923"/>
      <c r="M761" s="514"/>
      <c r="N761" s="514"/>
      <c r="O761" s="514"/>
      <c r="P761" s="514"/>
      <c r="Q761" s="514"/>
      <c r="R761" s="514"/>
      <c r="S761" s="923"/>
      <c r="T761" s="514"/>
      <c r="U761" s="514"/>
      <c r="V761" s="514"/>
      <c r="W761" s="514"/>
      <c r="X761" s="514"/>
      <c r="Y761" s="514"/>
      <c r="Z761" s="923"/>
      <c r="AA761" s="514"/>
      <c r="AB761" s="514"/>
      <c r="AC761" s="514"/>
      <c r="AD761" s="514"/>
      <c r="AE761" s="774"/>
      <c r="AF761" s="514"/>
      <c r="AG761" s="923"/>
      <c r="AH761" s="789"/>
      <c r="AI761" s="664">
        <f t="shared" si="50"/>
        <v>0</v>
      </c>
      <c r="AJ761" s="521">
        <v>0</v>
      </c>
      <c r="AK761" s="520">
        <f t="shared" ref="AK761:AK824" si="51">AI761+AJ761</f>
        <v>0</v>
      </c>
      <c r="AL761" s="672"/>
      <c r="AM761" s="669">
        <f t="shared" ref="AM761:AM824" si="52">AL761-AK761</f>
        <v>0</v>
      </c>
    </row>
    <row r="762" spans="1:39" s="500" customFormat="1" hidden="1">
      <c r="A762" s="542" t="s">
        <v>54</v>
      </c>
      <c r="B762" s="542" t="s">
        <v>46</v>
      </c>
      <c r="C762" s="605"/>
      <c r="D762" s="519"/>
      <c r="E762" s="915"/>
      <c r="F762" s="520"/>
      <c r="G762" s="520"/>
      <c r="H762" s="520"/>
      <c r="I762" s="521"/>
      <c r="J762" s="521"/>
      <c r="K762" s="521"/>
      <c r="L762" s="923"/>
      <c r="M762" s="514"/>
      <c r="N762" s="514"/>
      <c r="O762" s="514"/>
      <c r="P762" s="514"/>
      <c r="Q762" s="514"/>
      <c r="R762" s="514"/>
      <c r="S762" s="923"/>
      <c r="T762" s="514"/>
      <c r="U762" s="514"/>
      <c r="V762" s="514"/>
      <c r="W762" s="514"/>
      <c r="X762" s="514"/>
      <c r="Y762" s="514"/>
      <c r="Z762" s="923"/>
      <c r="AA762" s="514"/>
      <c r="AB762" s="514"/>
      <c r="AC762" s="514"/>
      <c r="AD762" s="514"/>
      <c r="AE762" s="774"/>
      <c r="AF762" s="514"/>
      <c r="AG762" s="923"/>
      <c r="AH762" s="789"/>
      <c r="AI762" s="664">
        <f t="shared" si="50"/>
        <v>0</v>
      </c>
      <c r="AJ762" s="521">
        <v>0</v>
      </c>
      <c r="AK762" s="520">
        <f t="shared" si="51"/>
        <v>0</v>
      </c>
      <c r="AL762" s="672"/>
      <c r="AM762" s="669">
        <f t="shared" si="52"/>
        <v>0</v>
      </c>
    </row>
    <row r="763" spans="1:39" s="500" customFormat="1" hidden="1">
      <c r="A763" s="539" t="s">
        <v>605</v>
      </c>
      <c r="B763" s="539" t="s">
        <v>1156</v>
      </c>
      <c r="C763" s="472" t="s">
        <v>40</v>
      </c>
      <c r="D763" s="519"/>
      <c r="E763" s="915"/>
      <c r="F763" s="520"/>
      <c r="G763" s="520"/>
      <c r="H763" s="520"/>
      <c r="I763" s="521"/>
      <c r="J763" s="521"/>
      <c r="K763" s="521"/>
      <c r="L763" s="923"/>
      <c r="M763" s="514"/>
      <c r="N763" s="514"/>
      <c r="O763" s="514"/>
      <c r="P763" s="514"/>
      <c r="Q763" s="514"/>
      <c r="R763" s="514"/>
      <c r="S763" s="923"/>
      <c r="T763" s="514"/>
      <c r="U763" s="514"/>
      <c r="V763" s="514"/>
      <c r="W763" s="514"/>
      <c r="X763" s="514"/>
      <c r="Y763" s="514"/>
      <c r="Z763" s="923"/>
      <c r="AA763" s="514"/>
      <c r="AB763" s="514"/>
      <c r="AC763" s="514"/>
      <c r="AD763" s="514"/>
      <c r="AE763" s="774"/>
      <c r="AF763" s="514"/>
      <c r="AG763" s="923"/>
      <c r="AH763" s="789"/>
      <c r="AI763" s="664">
        <f t="shared" si="50"/>
        <v>0</v>
      </c>
      <c r="AJ763" s="521">
        <v>0</v>
      </c>
      <c r="AK763" s="520">
        <f t="shared" si="51"/>
        <v>0</v>
      </c>
      <c r="AL763" s="672" t="s">
        <v>1494</v>
      </c>
      <c r="AM763" s="669">
        <f t="shared" si="52"/>
        <v>34.270000000000003</v>
      </c>
    </row>
    <row r="764" spans="1:39" s="500" customFormat="1" hidden="1">
      <c r="A764" s="539" t="s">
        <v>606</v>
      </c>
      <c r="B764" s="539" t="s">
        <v>1157</v>
      </c>
      <c r="C764" s="472" t="s">
        <v>40</v>
      </c>
      <c r="D764" s="519"/>
      <c r="E764" s="915"/>
      <c r="F764" s="520"/>
      <c r="G764" s="520"/>
      <c r="H764" s="520"/>
      <c r="I764" s="521"/>
      <c r="J764" s="521"/>
      <c r="K764" s="521"/>
      <c r="L764" s="923"/>
      <c r="M764" s="514"/>
      <c r="N764" s="514"/>
      <c r="O764" s="514"/>
      <c r="P764" s="514"/>
      <c r="Q764" s="514"/>
      <c r="R764" s="514"/>
      <c r="S764" s="923"/>
      <c r="T764" s="514"/>
      <c r="U764" s="514"/>
      <c r="V764" s="514"/>
      <c r="W764" s="514"/>
      <c r="X764" s="514"/>
      <c r="Y764" s="514"/>
      <c r="Z764" s="923"/>
      <c r="AA764" s="514"/>
      <c r="AB764" s="514"/>
      <c r="AC764" s="514"/>
      <c r="AD764" s="514"/>
      <c r="AE764" s="774"/>
      <c r="AF764" s="514"/>
      <c r="AG764" s="923"/>
      <c r="AH764" s="789"/>
      <c r="AI764" s="664">
        <f t="shared" si="50"/>
        <v>0</v>
      </c>
      <c r="AJ764" s="521">
        <v>0</v>
      </c>
      <c r="AK764" s="520">
        <f t="shared" si="51"/>
        <v>0</v>
      </c>
      <c r="AL764" s="672" t="s">
        <v>1495</v>
      </c>
      <c r="AM764" s="669">
        <f t="shared" si="52"/>
        <v>16.989999999999998</v>
      </c>
    </row>
    <row r="765" spans="1:39" s="500" customFormat="1" hidden="1">
      <c r="A765" s="539" t="s">
        <v>607</v>
      </c>
      <c r="B765" s="539" t="s">
        <v>1158</v>
      </c>
      <c r="C765" s="548" t="s">
        <v>40</v>
      </c>
      <c r="D765" s="519"/>
      <c r="E765" s="915"/>
      <c r="F765" s="520"/>
      <c r="G765" s="520"/>
      <c r="H765" s="520"/>
      <c r="I765" s="521"/>
      <c r="J765" s="521"/>
      <c r="K765" s="521"/>
      <c r="L765" s="923"/>
      <c r="M765" s="514"/>
      <c r="N765" s="514"/>
      <c r="O765" s="514"/>
      <c r="P765" s="514"/>
      <c r="Q765" s="514"/>
      <c r="R765" s="514"/>
      <c r="S765" s="923"/>
      <c r="T765" s="514"/>
      <c r="U765" s="514"/>
      <c r="V765" s="514"/>
      <c r="W765" s="514"/>
      <c r="X765" s="514"/>
      <c r="Y765" s="514"/>
      <c r="Z765" s="923"/>
      <c r="AA765" s="514"/>
      <c r="AB765" s="514"/>
      <c r="AC765" s="514"/>
      <c r="AD765" s="514"/>
      <c r="AE765" s="774"/>
      <c r="AF765" s="514"/>
      <c r="AG765" s="923"/>
      <c r="AH765" s="789"/>
      <c r="AI765" s="664">
        <f t="shared" si="50"/>
        <v>0</v>
      </c>
      <c r="AJ765" s="521">
        <v>0</v>
      </c>
      <c r="AK765" s="520">
        <f t="shared" si="51"/>
        <v>0</v>
      </c>
      <c r="AL765" s="672" t="s">
        <v>1496</v>
      </c>
      <c r="AM765" s="669">
        <f t="shared" si="52"/>
        <v>28.37</v>
      </c>
    </row>
    <row r="766" spans="1:39" s="500" customFormat="1" hidden="1">
      <c r="A766" s="539" t="s">
        <v>608</v>
      </c>
      <c r="B766" s="539" t="s">
        <v>1159</v>
      </c>
      <c r="C766" s="472" t="s">
        <v>37</v>
      </c>
      <c r="D766" s="519"/>
      <c r="E766" s="915"/>
      <c r="F766" s="520"/>
      <c r="G766" s="520"/>
      <c r="H766" s="520"/>
      <c r="I766" s="521"/>
      <c r="J766" s="521"/>
      <c r="K766" s="521"/>
      <c r="L766" s="923"/>
      <c r="M766" s="514"/>
      <c r="N766" s="514"/>
      <c r="O766" s="514"/>
      <c r="P766" s="514"/>
      <c r="Q766" s="514"/>
      <c r="R766" s="514"/>
      <c r="S766" s="923"/>
      <c r="T766" s="514"/>
      <c r="U766" s="514"/>
      <c r="V766" s="514"/>
      <c r="W766" s="514"/>
      <c r="X766" s="514"/>
      <c r="Y766" s="514"/>
      <c r="Z766" s="923"/>
      <c r="AA766" s="514"/>
      <c r="AB766" s="514"/>
      <c r="AC766" s="514"/>
      <c r="AD766" s="514"/>
      <c r="AE766" s="774"/>
      <c r="AF766" s="514"/>
      <c r="AG766" s="923"/>
      <c r="AH766" s="789"/>
      <c r="AI766" s="664">
        <f t="shared" si="50"/>
        <v>0</v>
      </c>
      <c r="AJ766" s="521">
        <v>0</v>
      </c>
      <c r="AK766" s="520">
        <f t="shared" si="51"/>
        <v>0</v>
      </c>
      <c r="AL766" s="672" t="s">
        <v>1497</v>
      </c>
      <c r="AM766" s="669">
        <f t="shared" si="52"/>
        <v>57.19</v>
      </c>
    </row>
    <row r="767" spans="1:39" s="500" customFormat="1" hidden="1">
      <c r="A767" s="539" t="s">
        <v>609</v>
      </c>
      <c r="B767" s="539" t="s">
        <v>1160</v>
      </c>
      <c r="C767" s="472" t="s">
        <v>40</v>
      </c>
      <c r="D767" s="519"/>
      <c r="E767" s="915"/>
      <c r="F767" s="520"/>
      <c r="G767" s="520"/>
      <c r="H767" s="520"/>
      <c r="I767" s="521"/>
      <c r="J767" s="521"/>
      <c r="K767" s="521"/>
      <c r="L767" s="923"/>
      <c r="M767" s="514"/>
      <c r="N767" s="514"/>
      <c r="O767" s="514"/>
      <c r="P767" s="514"/>
      <c r="Q767" s="514"/>
      <c r="R767" s="514"/>
      <c r="S767" s="923"/>
      <c r="T767" s="514"/>
      <c r="U767" s="514"/>
      <c r="V767" s="514"/>
      <c r="W767" s="514"/>
      <c r="X767" s="514"/>
      <c r="Y767" s="514"/>
      <c r="Z767" s="923"/>
      <c r="AA767" s="514"/>
      <c r="AB767" s="514"/>
      <c r="AC767" s="514"/>
      <c r="AD767" s="514"/>
      <c r="AE767" s="774"/>
      <c r="AF767" s="514"/>
      <c r="AG767" s="923"/>
      <c r="AH767" s="789"/>
      <c r="AI767" s="664">
        <f t="shared" si="50"/>
        <v>0</v>
      </c>
      <c r="AJ767" s="521">
        <v>0</v>
      </c>
      <c r="AK767" s="520">
        <f t="shared" si="51"/>
        <v>0</v>
      </c>
      <c r="AL767" s="672" t="s">
        <v>1498</v>
      </c>
      <c r="AM767" s="669">
        <f t="shared" si="52"/>
        <v>28.61</v>
      </c>
    </row>
    <row r="768" spans="1:39" s="500" customFormat="1" hidden="1">
      <c r="A768" s="539" t="s">
        <v>610</v>
      </c>
      <c r="B768" s="539" t="s">
        <v>1161</v>
      </c>
      <c r="C768" s="472" t="s">
        <v>40</v>
      </c>
      <c r="D768" s="519"/>
      <c r="E768" s="915"/>
      <c r="F768" s="520"/>
      <c r="G768" s="520"/>
      <c r="H768" s="520"/>
      <c r="I768" s="521"/>
      <c r="J768" s="521"/>
      <c r="K768" s="521"/>
      <c r="L768" s="923"/>
      <c r="M768" s="514"/>
      <c r="N768" s="514"/>
      <c r="O768" s="514"/>
      <c r="P768" s="514"/>
      <c r="Q768" s="514"/>
      <c r="R768" s="514"/>
      <c r="S768" s="923"/>
      <c r="T768" s="514"/>
      <c r="U768" s="514"/>
      <c r="V768" s="514"/>
      <c r="W768" s="514"/>
      <c r="X768" s="514"/>
      <c r="Y768" s="514"/>
      <c r="Z768" s="923"/>
      <c r="AA768" s="514"/>
      <c r="AB768" s="514"/>
      <c r="AC768" s="514"/>
      <c r="AD768" s="514"/>
      <c r="AE768" s="774"/>
      <c r="AF768" s="514"/>
      <c r="AG768" s="923"/>
      <c r="AH768" s="789"/>
      <c r="AI768" s="664">
        <f t="shared" si="50"/>
        <v>0</v>
      </c>
      <c r="AJ768" s="521">
        <v>0</v>
      </c>
      <c r="AK768" s="520">
        <f t="shared" si="51"/>
        <v>0</v>
      </c>
      <c r="AL768" s="672" t="s">
        <v>1498</v>
      </c>
      <c r="AM768" s="669">
        <f t="shared" si="52"/>
        <v>28.61</v>
      </c>
    </row>
    <row r="769" spans="1:39" s="500" customFormat="1" hidden="1">
      <c r="A769" s="542" t="s">
        <v>55</v>
      </c>
      <c r="B769" s="542" t="s">
        <v>1162</v>
      </c>
      <c r="C769" s="605"/>
      <c r="D769" s="519"/>
      <c r="E769" s="915"/>
      <c r="F769" s="520"/>
      <c r="G769" s="520"/>
      <c r="H769" s="520"/>
      <c r="I769" s="521"/>
      <c r="J769" s="521"/>
      <c r="K769" s="521"/>
      <c r="L769" s="923"/>
      <c r="M769" s="514"/>
      <c r="N769" s="514"/>
      <c r="O769" s="514"/>
      <c r="P769" s="514"/>
      <c r="Q769" s="514"/>
      <c r="R769" s="514"/>
      <c r="S769" s="923"/>
      <c r="T769" s="514"/>
      <c r="U769" s="514"/>
      <c r="V769" s="514"/>
      <c r="W769" s="514"/>
      <c r="X769" s="514"/>
      <c r="Y769" s="514"/>
      <c r="Z769" s="923"/>
      <c r="AA769" s="514"/>
      <c r="AB769" s="514"/>
      <c r="AC769" s="514"/>
      <c r="AD769" s="514"/>
      <c r="AE769" s="774"/>
      <c r="AF769" s="514"/>
      <c r="AG769" s="923"/>
      <c r="AH769" s="789"/>
      <c r="AI769" s="664">
        <f t="shared" si="50"/>
        <v>0</v>
      </c>
      <c r="AJ769" s="521">
        <v>0</v>
      </c>
      <c r="AK769" s="520">
        <f t="shared" si="51"/>
        <v>0</v>
      </c>
      <c r="AL769" s="672"/>
      <c r="AM769" s="669">
        <f t="shared" si="52"/>
        <v>0</v>
      </c>
    </row>
    <row r="770" spans="1:39" s="500" customFormat="1" hidden="1">
      <c r="A770" s="539" t="s">
        <v>611</v>
      </c>
      <c r="B770" s="539" t="s">
        <v>1203</v>
      </c>
      <c r="C770" s="472" t="s">
        <v>37</v>
      </c>
      <c r="D770" s="519"/>
      <c r="E770" s="915"/>
      <c r="F770" s="520"/>
      <c r="G770" s="520"/>
      <c r="H770" s="520"/>
      <c r="I770" s="521"/>
      <c r="J770" s="521"/>
      <c r="K770" s="521"/>
      <c r="L770" s="923"/>
      <c r="M770" s="514"/>
      <c r="N770" s="514"/>
      <c r="O770" s="514"/>
      <c r="R770" s="514"/>
      <c r="S770" s="923"/>
      <c r="T770" s="514"/>
      <c r="U770" s="514"/>
      <c r="V770" s="667"/>
      <c r="W770" s="667"/>
      <c r="X770" s="667"/>
      <c r="Y770" s="667"/>
      <c r="Z770" s="928"/>
      <c r="AA770" s="667"/>
      <c r="AB770" s="667"/>
      <c r="AD770" s="667"/>
      <c r="AE770" s="774"/>
      <c r="AF770" s="514"/>
      <c r="AG770" s="923"/>
      <c r="AH770" s="789"/>
      <c r="AI770" s="664">
        <f t="shared" si="50"/>
        <v>0</v>
      </c>
      <c r="AJ770" s="521">
        <v>0</v>
      </c>
      <c r="AK770" s="520">
        <f t="shared" si="51"/>
        <v>0</v>
      </c>
      <c r="AL770" s="672" t="s">
        <v>1499</v>
      </c>
      <c r="AM770" s="669">
        <f t="shared" si="52"/>
        <v>26.55</v>
      </c>
    </row>
    <row r="771" spans="1:39" s="843" customFormat="1" hidden="1">
      <c r="A771" s="832" t="s">
        <v>612</v>
      </c>
      <c r="B771" s="832" t="s">
        <v>1204</v>
      </c>
      <c r="C771" s="833" t="s">
        <v>40</v>
      </c>
      <c r="D771" s="834"/>
      <c r="E771" s="915"/>
      <c r="F771" s="835"/>
      <c r="G771" s="835"/>
      <c r="H771" s="835"/>
      <c r="I771" s="836"/>
      <c r="J771" s="836"/>
      <c r="K771" s="836"/>
      <c r="L771" s="923"/>
      <c r="M771" s="837"/>
      <c r="N771" s="837"/>
      <c r="O771" s="837"/>
      <c r="P771" s="837"/>
      <c r="Q771" s="837"/>
      <c r="R771" s="837"/>
      <c r="S771" s="923"/>
      <c r="T771" s="837"/>
      <c r="U771" s="837"/>
      <c r="V771" s="837"/>
      <c r="W771" s="837"/>
      <c r="X771" s="837"/>
      <c r="Y771" s="837"/>
      <c r="Z771" s="923"/>
      <c r="AA771" s="837"/>
      <c r="AB771" s="837"/>
      <c r="AC771" s="837"/>
      <c r="AD771" s="837"/>
      <c r="AE771" s="774"/>
      <c r="AF771" s="837"/>
      <c r="AG771" s="923"/>
      <c r="AH771" s="839"/>
      <c r="AI771" s="840">
        <f t="shared" si="50"/>
        <v>0</v>
      </c>
      <c r="AJ771" s="836">
        <v>0</v>
      </c>
      <c r="AK771" s="835">
        <f t="shared" si="51"/>
        <v>0</v>
      </c>
      <c r="AL771" s="841" t="s">
        <v>1500</v>
      </c>
      <c r="AM771" s="842">
        <f t="shared" si="52"/>
        <v>12.87</v>
      </c>
    </row>
    <row r="772" spans="1:39" s="843" customFormat="1" hidden="1">
      <c r="A772" s="832" t="s">
        <v>613</v>
      </c>
      <c r="B772" s="832" t="s">
        <v>1205</v>
      </c>
      <c r="C772" s="833" t="s">
        <v>40</v>
      </c>
      <c r="D772" s="834"/>
      <c r="E772" s="915"/>
      <c r="F772" s="835"/>
      <c r="G772" s="835"/>
      <c r="H772" s="835"/>
      <c r="I772" s="836"/>
      <c r="J772" s="836"/>
      <c r="K772" s="836"/>
      <c r="L772" s="923"/>
      <c r="M772" s="837"/>
      <c r="N772" s="837"/>
      <c r="O772" s="837"/>
      <c r="P772" s="837"/>
      <c r="Q772" s="837"/>
      <c r="R772" s="837"/>
      <c r="S772" s="923"/>
      <c r="T772" s="837"/>
      <c r="U772" s="837"/>
      <c r="V772" s="837"/>
      <c r="W772" s="837"/>
      <c r="X772" s="837"/>
      <c r="Y772" s="837"/>
      <c r="Z772" s="923"/>
      <c r="AA772" s="837"/>
      <c r="AB772" s="837"/>
      <c r="AC772" s="837"/>
      <c r="AD772" s="837"/>
      <c r="AE772" s="774"/>
      <c r="AF772" s="837"/>
      <c r="AG772" s="923"/>
      <c r="AH772" s="839"/>
      <c r="AI772" s="840">
        <f t="shared" si="50"/>
        <v>0</v>
      </c>
      <c r="AJ772" s="836">
        <v>0</v>
      </c>
      <c r="AK772" s="835">
        <f t="shared" si="51"/>
        <v>0</v>
      </c>
      <c r="AL772" s="841" t="s">
        <v>1501</v>
      </c>
      <c r="AM772" s="842">
        <f t="shared" si="52"/>
        <v>2.68</v>
      </c>
    </row>
    <row r="773" spans="1:39" s="843" customFormat="1" hidden="1">
      <c r="A773" s="832" t="s">
        <v>614</v>
      </c>
      <c r="B773" s="832" t="s">
        <v>1167</v>
      </c>
      <c r="C773" s="846" t="s">
        <v>37</v>
      </c>
      <c r="D773" s="834"/>
      <c r="E773" s="915"/>
      <c r="F773" s="835"/>
      <c r="G773" s="835"/>
      <c r="H773" s="835"/>
      <c r="I773" s="836"/>
      <c r="J773" s="836"/>
      <c r="K773" s="836"/>
      <c r="L773" s="923"/>
      <c r="M773" s="837"/>
      <c r="N773" s="837"/>
      <c r="O773" s="837"/>
      <c r="P773" s="837"/>
      <c r="Q773" s="837"/>
      <c r="R773" s="837"/>
      <c r="S773" s="923"/>
      <c r="T773" s="837"/>
      <c r="U773" s="837"/>
      <c r="V773" s="837"/>
      <c r="W773" s="837"/>
      <c r="X773" s="837"/>
      <c r="Y773" s="837"/>
      <c r="Z773" s="923"/>
      <c r="AA773" s="837"/>
      <c r="AB773" s="837"/>
      <c r="AC773" s="837"/>
      <c r="AD773" s="837"/>
      <c r="AE773" s="774"/>
      <c r="AF773" s="837"/>
      <c r="AG773" s="923"/>
      <c r="AH773" s="839"/>
      <c r="AI773" s="840">
        <f t="shared" si="50"/>
        <v>0</v>
      </c>
      <c r="AJ773" s="836">
        <v>0</v>
      </c>
      <c r="AK773" s="835">
        <f t="shared" si="51"/>
        <v>0</v>
      </c>
      <c r="AL773" s="841" t="s">
        <v>1502</v>
      </c>
      <c r="AM773" s="842">
        <f t="shared" si="52"/>
        <v>96.66</v>
      </c>
    </row>
    <row r="774" spans="1:39" s="500" customFormat="1" hidden="1">
      <c r="A774" s="539" t="s">
        <v>615</v>
      </c>
      <c r="B774" s="539" t="s">
        <v>1168</v>
      </c>
      <c r="C774" s="472" t="s">
        <v>37</v>
      </c>
      <c r="D774" s="519"/>
      <c r="E774" s="915"/>
      <c r="F774" s="520"/>
      <c r="G774" s="520"/>
      <c r="H774" s="520"/>
      <c r="I774" s="521"/>
      <c r="J774" s="521"/>
      <c r="K774" s="521"/>
      <c r="L774" s="923"/>
      <c r="M774" s="514"/>
      <c r="N774" s="514"/>
      <c r="O774" s="514"/>
      <c r="P774" s="514"/>
      <c r="Q774" s="514"/>
      <c r="R774" s="514"/>
      <c r="S774" s="923"/>
      <c r="T774" s="514"/>
      <c r="U774" s="514"/>
      <c r="V774" s="514"/>
      <c r="W774" s="514"/>
      <c r="X774" s="514"/>
      <c r="Y774" s="514"/>
      <c r="Z774" s="923"/>
      <c r="AA774" s="514"/>
      <c r="AB774" s="514"/>
      <c r="AC774" s="514"/>
      <c r="AD774" s="514"/>
      <c r="AE774" s="774"/>
      <c r="AF774" s="514"/>
      <c r="AG774" s="923"/>
      <c r="AH774" s="789"/>
      <c r="AI774" s="664">
        <f t="shared" si="50"/>
        <v>0</v>
      </c>
      <c r="AJ774" s="521">
        <v>0</v>
      </c>
      <c r="AK774" s="520">
        <f t="shared" si="51"/>
        <v>0</v>
      </c>
      <c r="AL774" s="672" t="s">
        <v>1497</v>
      </c>
      <c r="AM774" s="669">
        <f t="shared" si="52"/>
        <v>57.19</v>
      </c>
    </row>
    <row r="775" spans="1:39" s="500" customFormat="1">
      <c r="A775" s="542" t="s">
        <v>616</v>
      </c>
      <c r="B775" s="542" t="s">
        <v>1169</v>
      </c>
      <c r="C775" s="605"/>
      <c r="D775" s="519"/>
      <c r="E775" s="915"/>
      <c r="F775" s="520"/>
      <c r="G775" s="520"/>
      <c r="H775" s="520"/>
      <c r="I775" s="521"/>
      <c r="J775" s="521"/>
      <c r="K775" s="521"/>
      <c r="L775" s="923"/>
      <c r="M775" s="514"/>
      <c r="N775" s="514"/>
      <c r="O775" s="514"/>
      <c r="P775" s="514"/>
      <c r="Q775" s="514"/>
      <c r="R775" s="514"/>
      <c r="S775" s="923"/>
      <c r="T775" s="514"/>
      <c r="U775" s="514"/>
      <c r="V775" s="514"/>
      <c r="W775" s="514"/>
      <c r="X775" s="514"/>
      <c r="Y775" s="514"/>
      <c r="Z775" s="923"/>
      <c r="AA775" s="514"/>
      <c r="AB775" s="514"/>
      <c r="AC775" s="514"/>
      <c r="AD775" s="514"/>
      <c r="AE775" s="774"/>
      <c r="AF775" s="514"/>
      <c r="AG775" s="923"/>
      <c r="AH775" s="789"/>
      <c r="AI775" s="664">
        <f t="shared" si="50"/>
        <v>0</v>
      </c>
      <c r="AJ775" s="521">
        <v>0</v>
      </c>
      <c r="AK775" s="520">
        <f t="shared" si="51"/>
        <v>0</v>
      </c>
      <c r="AL775" s="672"/>
      <c r="AM775" s="669">
        <f t="shared" si="52"/>
        <v>0</v>
      </c>
    </row>
    <row r="776" spans="1:39" s="500" customFormat="1" hidden="1">
      <c r="A776" s="539" t="s">
        <v>617</v>
      </c>
      <c r="B776" s="539" t="s">
        <v>1170</v>
      </c>
      <c r="C776" s="605"/>
      <c r="D776" s="519"/>
      <c r="E776" s="915"/>
      <c r="F776" s="520"/>
      <c r="G776" s="520"/>
      <c r="H776" s="520"/>
      <c r="I776" s="521"/>
      <c r="J776" s="521"/>
      <c r="K776" s="521"/>
      <c r="L776" s="923"/>
      <c r="M776" s="514"/>
      <c r="N776" s="514"/>
      <c r="O776" s="514"/>
      <c r="P776" s="514"/>
      <c r="Q776" s="514"/>
      <c r="R776" s="514"/>
      <c r="S776" s="923"/>
      <c r="T776" s="514"/>
      <c r="U776" s="514"/>
      <c r="V776" s="514"/>
      <c r="W776" s="514"/>
      <c r="X776" s="514"/>
      <c r="Y776" s="514"/>
      <c r="Z776" s="923"/>
      <c r="AA776" s="514"/>
      <c r="AB776" s="514"/>
      <c r="AC776" s="514"/>
      <c r="AD776" s="514"/>
      <c r="AE776" s="774"/>
      <c r="AF776" s="514"/>
      <c r="AG776" s="923"/>
      <c r="AH776" s="789"/>
      <c r="AI776" s="664">
        <f t="shared" si="50"/>
        <v>0</v>
      </c>
      <c r="AJ776" s="521">
        <v>0</v>
      </c>
      <c r="AK776" s="520">
        <f t="shared" si="51"/>
        <v>0</v>
      </c>
      <c r="AL776" s="672"/>
      <c r="AM776" s="669">
        <f t="shared" si="52"/>
        <v>0</v>
      </c>
    </row>
    <row r="777" spans="1:39" s="500" customFormat="1" hidden="1">
      <c r="A777" s="539" t="s">
        <v>618</v>
      </c>
      <c r="B777" s="539" t="s">
        <v>1206</v>
      </c>
      <c r="C777" s="472" t="s">
        <v>40</v>
      </c>
      <c r="D777" s="519"/>
      <c r="E777" s="915"/>
      <c r="F777" s="520"/>
      <c r="G777" s="520"/>
      <c r="H777" s="520"/>
      <c r="I777" s="521"/>
      <c r="J777" s="521"/>
      <c r="K777" s="521"/>
      <c r="L777" s="923"/>
      <c r="M777" s="514"/>
      <c r="N777" s="514"/>
      <c r="O777" s="514"/>
      <c r="P777" s="514"/>
      <c r="Q777" s="514"/>
      <c r="R777" s="514"/>
      <c r="S777" s="923"/>
      <c r="T777" s="514"/>
      <c r="U777" s="514"/>
      <c r="V777" s="514"/>
      <c r="W777" s="514"/>
      <c r="X777" s="514"/>
      <c r="Y777" s="514"/>
      <c r="Z777" s="923"/>
      <c r="AA777" s="514"/>
      <c r="AB777" s="514"/>
      <c r="AC777" s="514"/>
      <c r="AD777" s="521"/>
      <c r="AE777" s="801"/>
      <c r="AF777" s="514"/>
      <c r="AG777" s="923"/>
      <c r="AH777" s="789"/>
      <c r="AI777" s="664">
        <f t="shared" si="50"/>
        <v>0</v>
      </c>
      <c r="AJ777" s="521">
        <v>0</v>
      </c>
      <c r="AK777" s="520">
        <f t="shared" si="51"/>
        <v>0</v>
      </c>
      <c r="AL777" s="672" t="s">
        <v>1503</v>
      </c>
      <c r="AM777" s="669">
        <f t="shared" si="52"/>
        <v>8.06</v>
      </c>
    </row>
    <row r="778" spans="1:39" s="500" customFormat="1" hidden="1">
      <c r="A778" s="539" t="s">
        <v>619</v>
      </c>
      <c r="B778" s="539" t="s">
        <v>1172</v>
      </c>
      <c r="C778" s="472" t="s">
        <v>48</v>
      </c>
      <c r="D778" s="519"/>
      <c r="E778" s="915"/>
      <c r="F778" s="520"/>
      <c r="G778" s="520"/>
      <c r="H778" s="520"/>
      <c r="I778" s="521"/>
      <c r="J778" s="521"/>
      <c r="K778" s="521"/>
      <c r="L778" s="923"/>
      <c r="M778" s="514"/>
      <c r="N778" s="514"/>
      <c r="O778" s="514"/>
      <c r="P778" s="514"/>
      <c r="Q778" s="514"/>
      <c r="R778" s="514"/>
      <c r="S778" s="923"/>
      <c r="T778" s="514"/>
      <c r="U778" s="514"/>
      <c r="V778" s="514"/>
      <c r="W778" s="514"/>
      <c r="X778" s="514"/>
      <c r="Y778" s="514"/>
      <c r="Z778" s="923"/>
      <c r="AA778" s="514"/>
      <c r="AB778" s="514"/>
      <c r="AC778" s="760"/>
      <c r="AD778" s="667"/>
      <c r="AE778" s="774"/>
      <c r="AF778" s="514"/>
      <c r="AG778" s="923"/>
      <c r="AH778" s="789"/>
      <c r="AI778" s="664">
        <f t="shared" si="50"/>
        <v>0</v>
      </c>
      <c r="AJ778" s="521">
        <v>0</v>
      </c>
      <c r="AK778" s="520">
        <f t="shared" si="51"/>
        <v>0</v>
      </c>
      <c r="AL778" s="672" t="s">
        <v>1504</v>
      </c>
      <c r="AM778" s="669">
        <f t="shared" si="52"/>
        <v>337.22</v>
      </c>
    </row>
    <row r="779" spans="1:39" s="500" customFormat="1">
      <c r="A779" s="539" t="s">
        <v>620</v>
      </c>
      <c r="B779" s="539" t="s">
        <v>1173</v>
      </c>
      <c r="C779" s="605"/>
      <c r="D779" s="519"/>
      <c r="E779" s="915"/>
      <c r="F779" s="520"/>
      <c r="G779" s="520"/>
      <c r="H779" s="520"/>
      <c r="I779" s="521"/>
      <c r="J779" s="521"/>
      <c r="K779" s="521"/>
      <c r="L779" s="923"/>
      <c r="M779" s="514"/>
      <c r="N779" s="514"/>
      <c r="O779" s="514"/>
      <c r="P779" s="514"/>
      <c r="Q779" s="514"/>
      <c r="R779" s="514"/>
      <c r="S779" s="923"/>
      <c r="T779" s="514"/>
      <c r="U779" s="514"/>
      <c r="V779" s="514"/>
      <c r="W779" s="514"/>
      <c r="X779" s="514"/>
      <c r="Y779" s="514"/>
      <c r="Z779" s="923"/>
      <c r="AA779" s="514"/>
      <c r="AB779" s="514"/>
      <c r="AC779" s="514"/>
      <c r="AD779" s="514"/>
      <c r="AE779" s="774"/>
      <c r="AF779" s="514"/>
      <c r="AG779" s="923"/>
      <c r="AH779" s="789"/>
      <c r="AI779" s="664">
        <f t="shared" si="50"/>
        <v>0</v>
      </c>
      <c r="AJ779" s="521">
        <v>0</v>
      </c>
      <c r="AK779" s="520">
        <f t="shared" si="51"/>
        <v>0</v>
      </c>
      <c r="AL779" s="672"/>
      <c r="AM779" s="669">
        <f t="shared" si="52"/>
        <v>0</v>
      </c>
    </row>
    <row r="780" spans="1:39" s="500" customFormat="1">
      <c r="A780" s="539" t="s">
        <v>621</v>
      </c>
      <c r="B780" s="539" t="s">
        <v>1207</v>
      </c>
      <c r="C780" s="472" t="s">
        <v>40</v>
      </c>
      <c r="D780" s="519"/>
      <c r="E780" s="915"/>
      <c r="F780" s="520"/>
      <c r="G780" s="520"/>
      <c r="H780" s="520"/>
      <c r="I780" s="864">
        <f>40.91*0.25*0.1278</f>
        <v>1.3070744999999999</v>
      </c>
      <c r="J780" s="521"/>
      <c r="K780" s="521"/>
      <c r="L780" s="923"/>
      <c r="M780" s="514"/>
      <c r="N780" s="514"/>
      <c r="O780" s="514"/>
      <c r="P780" s="514"/>
      <c r="Q780" s="514"/>
      <c r="R780" s="514"/>
      <c r="S780" s="923"/>
      <c r="T780" s="514"/>
      <c r="U780" s="514"/>
      <c r="V780" s="514"/>
      <c r="W780" s="514"/>
      <c r="X780" s="514"/>
      <c r="Y780" s="514"/>
      <c r="Z780" s="923"/>
      <c r="AA780" s="514"/>
      <c r="AB780" s="514"/>
      <c r="AC780" s="514"/>
      <c r="AD780" s="514"/>
      <c r="AE780" s="774"/>
      <c r="AF780" s="514"/>
      <c r="AG780" s="923"/>
      <c r="AH780" s="789"/>
      <c r="AI780" s="903">
        <f t="shared" si="50"/>
        <v>1.31</v>
      </c>
      <c r="AJ780" s="521">
        <v>0</v>
      </c>
      <c r="AK780" s="520">
        <f t="shared" si="51"/>
        <v>1.31</v>
      </c>
      <c r="AL780" s="672" t="s">
        <v>1505</v>
      </c>
      <c r="AM780" s="669">
        <f t="shared" si="52"/>
        <v>2.5</v>
      </c>
    </row>
    <row r="781" spans="1:39" s="500" customFormat="1">
      <c r="A781" s="539" t="s">
        <v>622</v>
      </c>
      <c r="B781" s="539" t="s">
        <v>1175</v>
      </c>
      <c r="C781" s="548" t="s">
        <v>37</v>
      </c>
      <c r="D781" s="519"/>
      <c r="E781" s="915"/>
      <c r="F781" s="520"/>
      <c r="G781" s="520"/>
      <c r="H781" s="864">
        <f>40.91*2*0.1278</f>
        <v>10.456595999999999</v>
      </c>
      <c r="I781" s="520"/>
      <c r="J781" s="521"/>
      <c r="K781" s="521"/>
      <c r="L781" s="923"/>
      <c r="M781" s="514"/>
      <c r="N781" s="514"/>
      <c r="O781" s="514"/>
      <c r="P781" s="514"/>
      <c r="Q781" s="514"/>
      <c r="R781" s="514"/>
      <c r="S781" s="923"/>
      <c r="T781" s="514"/>
      <c r="U781" s="514"/>
      <c r="V781" s="514"/>
      <c r="W781" s="514"/>
      <c r="X781" s="514"/>
      <c r="Y781" s="514"/>
      <c r="Z781" s="923"/>
      <c r="AA781" s="514"/>
      <c r="AB781" s="514"/>
      <c r="AC781" s="514"/>
      <c r="AD781" s="514"/>
      <c r="AE781" s="774"/>
      <c r="AF781" s="514"/>
      <c r="AG781" s="923"/>
      <c r="AH781" s="789"/>
      <c r="AI781" s="903">
        <f t="shared" si="50"/>
        <v>10.46</v>
      </c>
      <c r="AJ781" s="521">
        <v>0</v>
      </c>
      <c r="AK781" s="520">
        <f t="shared" si="51"/>
        <v>10.46</v>
      </c>
      <c r="AL781" s="672" t="s">
        <v>1506</v>
      </c>
      <c r="AM781" s="669">
        <f t="shared" si="52"/>
        <v>19.989999999999998</v>
      </c>
    </row>
    <row r="782" spans="1:39" s="500" customFormat="1">
      <c r="A782" s="539" t="s">
        <v>623</v>
      </c>
      <c r="B782" s="539" t="s">
        <v>1176</v>
      </c>
      <c r="C782" s="472" t="s">
        <v>48</v>
      </c>
      <c r="D782" s="519"/>
      <c r="E782" s="915"/>
      <c r="F782" s="520"/>
      <c r="G782" s="864">
        <v>205.61</v>
      </c>
      <c r="H782" s="667"/>
      <c r="I782" s="667"/>
      <c r="J782" s="521"/>
      <c r="K782" s="521"/>
      <c r="L782" s="923"/>
      <c r="M782" s="514"/>
      <c r="N782" s="514"/>
      <c r="O782" s="514"/>
      <c r="P782" s="514"/>
      <c r="Q782" s="514"/>
      <c r="R782" s="514"/>
      <c r="S782" s="923"/>
      <c r="T782" s="514"/>
      <c r="U782" s="514"/>
      <c r="V782" s="514"/>
      <c r="W782" s="514"/>
      <c r="X782" s="514"/>
      <c r="Y782" s="514"/>
      <c r="Z782" s="923"/>
      <c r="AA782" s="514"/>
      <c r="AB782" s="514"/>
      <c r="AC782" s="514"/>
      <c r="AD782" s="514"/>
      <c r="AE782" s="774"/>
      <c r="AF782" s="514"/>
      <c r="AG782" s="925"/>
      <c r="AH782" s="790"/>
      <c r="AI782" s="664">
        <f t="shared" si="50"/>
        <v>205.61</v>
      </c>
      <c r="AJ782" s="521">
        <v>0</v>
      </c>
      <c r="AK782" s="520">
        <f t="shared" si="51"/>
        <v>205.61</v>
      </c>
      <c r="AL782" s="672" t="s">
        <v>1507</v>
      </c>
      <c r="AM782" s="669">
        <f t="shared" si="52"/>
        <v>116.45999999999998</v>
      </c>
    </row>
    <row r="783" spans="1:39" s="500" customFormat="1" hidden="1">
      <c r="A783" s="539" t="s">
        <v>624</v>
      </c>
      <c r="B783" s="539" t="s">
        <v>1177</v>
      </c>
      <c r="C783" s="605"/>
      <c r="D783" s="519"/>
      <c r="E783" s="915"/>
      <c r="F783" s="520"/>
      <c r="G783" s="520"/>
      <c r="H783" s="520"/>
      <c r="I783" s="521"/>
      <c r="J783" s="521"/>
      <c r="K783" s="521"/>
      <c r="L783" s="923"/>
      <c r="M783" s="514"/>
      <c r="N783" s="514"/>
      <c r="O783" s="514"/>
      <c r="P783" s="514"/>
      <c r="Q783" s="514"/>
      <c r="R783" s="514"/>
      <c r="S783" s="923"/>
      <c r="T783" s="514"/>
      <c r="U783" s="514"/>
      <c r="V783" s="514"/>
      <c r="W783" s="514"/>
      <c r="X783" s="514"/>
      <c r="Y783" s="514"/>
      <c r="Z783" s="923"/>
      <c r="AA783" s="514"/>
      <c r="AB783" s="514"/>
      <c r="AC783" s="514"/>
      <c r="AD783" s="514"/>
      <c r="AE783" s="774"/>
      <c r="AF783" s="514"/>
      <c r="AG783" s="923"/>
      <c r="AH783" s="789"/>
      <c r="AI783" s="664">
        <f t="shared" si="50"/>
        <v>0</v>
      </c>
      <c r="AJ783" s="521">
        <v>0</v>
      </c>
      <c r="AK783" s="520">
        <f t="shared" si="51"/>
        <v>0</v>
      </c>
      <c r="AL783" s="672"/>
      <c r="AM783" s="669">
        <f t="shared" si="52"/>
        <v>0</v>
      </c>
    </row>
    <row r="784" spans="1:39" s="500" customFormat="1" hidden="1">
      <c r="A784" s="539" t="s">
        <v>625</v>
      </c>
      <c r="B784" s="539" t="s">
        <v>1208</v>
      </c>
      <c r="C784" s="472" t="s">
        <v>40</v>
      </c>
      <c r="D784" s="519"/>
      <c r="E784" s="915"/>
      <c r="F784" s="520"/>
      <c r="G784" s="520"/>
      <c r="H784" s="520"/>
      <c r="I784" s="521"/>
      <c r="J784" s="521"/>
      <c r="K784" s="521"/>
      <c r="L784" s="923"/>
      <c r="M784" s="514"/>
      <c r="N784" s="514"/>
      <c r="O784" s="514"/>
      <c r="P784" s="514"/>
      <c r="Q784" s="522"/>
      <c r="R784" s="522"/>
      <c r="S784" s="923"/>
      <c r="T784" s="522"/>
      <c r="U784" s="514"/>
      <c r="V784" s="514"/>
      <c r="W784" s="514"/>
      <c r="X784" s="514"/>
      <c r="Y784" s="514"/>
      <c r="Z784" s="923"/>
      <c r="AA784" s="514"/>
      <c r="AB784" s="514"/>
      <c r="AC784" s="514"/>
      <c r="AD784" s="514"/>
      <c r="AE784" s="774"/>
      <c r="AF784" s="514"/>
      <c r="AG784" s="923"/>
      <c r="AH784" s="789"/>
      <c r="AI784" s="664">
        <f t="shared" si="50"/>
        <v>0</v>
      </c>
      <c r="AJ784" s="521">
        <v>0</v>
      </c>
      <c r="AK784" s="520">
        <f t="shared" si="51"/>
        <v>0</v>
      </c>
      <c r="AL784" s="672" t="s">
        <v>1508</v>
      </c>
      <c r="AM784" s="669">
        <f t="shared" si="52"/>
        <v>5.95</v>
      </c>
    </row>
    <row r="785" spans="1:39" s="500" customFormat="1" hidden="1">
      <c r="A785" s="539" t="s">
        <v>626</v>
      </c>
      <c r="B785" s="539" t="s">
        <v>1179</v>
      </c>
      <c r="C785" s="472" t="s">
        <v>37</v>
      </c>
      <c r="D785" s="525"/>
      <c r="E785" s="916"/>
      <c r="F785" s="526"/>
      <c r="G785" s="526"/>
      <c r="H785" s="526"/>
      <c r="I785" s="527"/>
      <c r="J785" s="527"/>
      <c r="K785" s="527"/>
      <c r="L785" s="923"/>
      <c r="M785" s="514"/>
      <c r="N785" s="514"/>
      <c r="O785" s="514"/>
      <c r="P785" s="514"/>
      <c r="Q785" s="514"/>
      <c r="R785" s="514"/>
      <c r="S785" s="923"/>
      <c r="T785" s="514"/>
      <c r="U785" s="514"/>
      <c r="V785" s="514"/>
      <c r="W785" s="514"/>
      <c r="X785" s="514"/>
      <c r="Y785" s="514"/>
      <c r="Z785" s="923"/>
      <c r="AA785" s="514"/>
      <c r="AB785" s="514"/>
      <c r="AC785" s="514"/>
      <c r="AD785" s="514"/>
      <c r="AE785" s="774"/>
      <c r="AF785" s="757"/>
      <c r="AG785" s="923"/>
      <c r="AH785" s="789"/>
      <c r="AI785" s="664">
        <f t="shared" si="50"/>
        <v>0</v>
      </c>
      <c r="AJ785" s="521">
        <v>0</v>
      </c>
      <c r="AK785" s="520">
        <f t="shared" si="51"/>
        <v>0</v>
      </c>
      <c r="AL785" s="673" t="s">
        <v>1509</v>
      </c>
      <c r="AM785" s="669">
        <f t="shared" si="52"/>
        <v>77.91</v>
      </c>
    </row>
    <row r="786" spans="1:39" s="500" customFormat="1" hidden="1">
      <c r="A786" s="539" t="s">
        <v>627</v>
      </c>
      <c r="B786" s="539" t="s">
        <v>1180</v>
      </c>
      <c r="C786" s="472" t="s">
        <v>48</v>
      </c>
      <c r="D786" s="519"/>
      <c r="E786" s="915"/>
      <c r="F786" s="520"/>
      <c r="G786" s="520"/>
      <c r="H786" s="520"/>
      <c r="I786" s="521"/>
      <c r="J786" s="521"/>
      <c r="K786" s="521"/>
      <c r="L786" s="923"/>
      <c r="M786" s="514"/>
      <c r="N786" s="514"/>
      <c r="O786" s="514"/>
      <c r="P786" s="514"/>
      <c r="Q786" s="514"/>
      <c r="R786" s="514"/>
      <c r="S786" s="923"/>
      <c r="T786" s="514"/>
      <c r="U786" s="514"/>
      <c r="V786" s="514"/>
      <c r="W786" s="514"/>
      <c r="X786" s="514"/>
      <c r="Y786" s="514"/>
      <c r="Z786" s="923"/>
      <c r="AA786" s="514"/>
      <c r="AB786" s="514"/>
      <c r="AC786" s="514"/>
      <c r="AE786" s="802"/>
      <c r="AF786" s="757"/>
      <c r="AG786" s="923"/>
      <c r="AH786" s="789"/>
      <c r="AI786" s="664">
        <f t="shared" si="50"/>
        <v>0</v>
      </c>
      <c r="AJ786" s="521">
        <v>0</v>
      </c>
      <c r="AK786" s="520">
        <f t="shared" si="51"/>
        <v>0</v>
      </c>
      <c r="AL786" s="672" t="s">
        <v>1510</v>
      </c>
      <c r="AM786" s="669">
        <f t="shared" si="52"/>
        <v>2582.91</v>
      </c>
    </row>
    <row r="787" spans="1:39" s="500" customFormat="1" hidden="1">
      <c r="A787" s="539" t="s">
        <v>628</v>
      </c>
      <c r="B787" s="539" t="s">
        <v>1181</v>
      </c>
      <c r="C787" s="605"/>
      <c r="D787" s="519"/>
      <c r="E787" s="915"/>
      <c r="F787" s="520"/>
      <c r="G787" s="520"/>
      <c r="H787" s="520"/>
      <c r="I787" s="521"/>
      <c r="J787" s="521"/>
      <c r="K787" s="521"/>
      <c r="L787" s="923"/>
      <c r="M787" s="514"/>
      <c r="N787" s="514"/>
      <c r="O787" s="514"/>
      <c r="P787" s="514"/>
      <c r="Q787" s="514"/>
      <c r="R787" s="514"/>
      <c r="S787" s="923"/>
      <c r="T787" s="514"/>
      <c r="U787" s="514"/>
      <c r="V787" s="514"/>
      <c r="W787" s="514"/>
      <c r="X787" s="514"/>
      <c r="Y787" s="514"/>
      <c r="Z787" s="923"/>
      <c r="AA787" s="514"/>
      <c r="AB787" s="514"/>
      <c r="AC787" s="514"/>
      <c r="AD787" s="514"/>
      <c r="AE787" s="774"/>
      <c r="AF787" s="514"/>
      <c r="AG787" s="923"/>
      <c r="AH787" s="789"/>
      <c r="AI787" s="664">
        <f t="shared" si="50"/>
        <v>0</v>
      </c>
      <c r="AJ787" s="521">
        <v>0</v>
      </c>
      <c r="AK787" s="520">
        <f t="shared" si="51"/>
        <v>0</v>
      </c>
      <c r="AL787" s="672"/>
      <c r="AM787" s="669">
        <f t="shared" si="52"/>
        <v>0</v>
      </c>
    </row>
    <row r="788" spans="1:39" s="500" customFormat="1" hidden="1">
      <c r="A788" s="539" t="s">
        <v>629</v>
      </c>
      <c r="B788" s="539" t="s">
        <v>1182</v>
      </c>
      <c r="C788" s="472" t="s">
        <v>40</v>
      </c>
      <c r="D788" s="519"/>
      <c r="E788" s="915"/>
      <c r="F788" s="520"/>
      <c r="G788" s="520"/>
      <c r="H788" s="520"/>
      <c r="I788" s="521"/>
      <c r="J788" s="521"/>
      <c r="K788" s="521"/>
      <c r="L788" s="923"/>
      <c r="M788" s="514"/>
      <c r="N788" s="514"/>
      <c r="O788" s="514"/>
      <c r="P788" s="514"/>
      <c r="Q788" s="514"/>
      <c r="R788" s="514"/>
      <c r="S788" s="923"/>
      <c r="T788" s="514"/>
      <c r="U788" s="514"/>
      <c r="V788" s="514"/>
      <c r="W788" s="514"/>
      <c r="X788" s="514"/>
      <c r="Y788" s="514"/>
      <c r="Z788" s="923"/>
      <c r="AA788" s="514"/>
      <c r="AB788" s="514"/>
      <c r="AC788" s="514"/>
      <c r="AD788" s="514"/>
      <c r="AE788" s="774"/>
      <c r="AF788" s="514"/>
      <c r="AG788" s="923"/>
      <c r="AH788" s="789"/>
      <c r="AI788" s="664">
        <f t="shared" si="50"/>
        <v>0</v>
      </c>
      <c r="AJ788" s="521">
        <v>0</v>
      </c>
      <c r="AK788" s="520">
        <f t="shared" si="51"/>
        <v>0</v>
      </c>
      <c r="AL788" s="672" t="s">
        <v>1511</v>
      </c>
      <c r="AM788" s="669">
        <f t="shared" si="52"/>
        <v>2.82</v>
      </c>
    </row>
    <row r="789" spans="1:39" s="500" customFormat="1" hidden="1">
      <c r="A789" s="539" t="s">
        <v>630</v>
      </c>
      <c r="B789" s="539" t="s">
        <v>1183</v>
      </c>
      <c r="C789" s="548" t="s">
        <v>37</v>
      </c>
      <c r="D789" s="519"/>
      <c r="E789" s="915"/>
      <c r="F789" s="520"/>
      <c r="G789" s="520"/>
      <c r="H789" s="520"/>
      <c r="I789" s="521"/>
      <c r="J789" s="521"/>
      <c r="K789" s="521"/>
      <c r="L789" s="923"/>
      <c r="M789" s="514"/>
      <c r="N789" s="514"/>
      <c r="O789" s="514"/>
      <c r="P789" s="514"/>
      <c r="Q789" s="514"/>
      <c r="R789" s="514"/>
      <c r="S789" s="923"/>
      <c r="T789" s="514"/>
      <c r="U789" s="514"/>
      <c r="V789" s="514"/>
      <c r="W789" s="514"/>
      <c r="X789" s="514"/>
      <c r="Y789" s="514"/>
      <c r="Z789" s="923"/>
      <c r="AA789" s="514"/>
      <c r="AB789" s="514"/>
      <c r="AC789" s="514"/>
      <c r="AD789" s="514"/>
      <c r="AE789" s="774"/>
      <c r="AF789" s="514"/>
      <c r="AG789" s="923"/>
      <c r="AH789" s="789"/>
      <c r="AI789" s="664">
        <f t="shared" si="50"/>
        <v>0</v>
      </c>
      <c r="AJ789" s="521">
        <v>0</v>
      </c>
      <c r="AK789" s="520">
        <f t="shared" si="51"/>
        <v>0</v>
      </c>
      <c r="AL789" s="672" t="s">
        <v>1512</v>
      </c>
      <c r="AM789" s="669">
        <f t="shared" si="52"/>
        <v>35.44</v>
      </c>
    </row>
    <row r="790" spans="1:39" s="500" customFormat="1" hidden="1">
      <c r="A790" s="539" t="s">
        <v>631</v>
      </c>
      <c r="B790" s="539" t="s">
        <v>1184</v>
      </c>
      <c r="C790" s="472" t="s">
        <v>48</v>
      </c>
      <c r="D790" s="519"/>
      <c r="E790" s="915"/>
      <c r="F790" s="520"/>
      <c r="G790" s="520"/>
      <c r="H790" s="520"/>
      <c r="I790" s="521"/>
      <c r="J790" s="521"/>
      <c r="K790" s="521"/>
      <c r="L790" s="923"/>
      <c r="M790" s="514"/>
      <c r="N790" s="514"/>
      <c r="O790" s="514"/>
      <c r="P790" s="514"/>
      <c r="Q790" s="514"/>
      <c r="R790" s="514"/>
      <c r="S790" s="923"/>
      <c r="T790" s="514"/>
      <c r="U790" s="514"/>
      <c r="V790" s="514"/>
      <c r="W790" s="514"/>
      <c r="X790" s="514"/>
      <c r="Y790" s="514"/>
      <c r="Z790" s="923"/>
      <c r="AA790" s="514"/>
      <c r="AB790" s="514"/>
      <c r="AC790" s="514"/>
      <c r="AD790" s="514"/>
      <c r="AE790" s="774"/>
      <c r="AF790" s="514"/>
      <c r="AG790" s="923"/>
      <c r="AH790" s="789"/>
      <c r="AI790" s="664">
        <f t="shared" si="50"/>
        <v>0</v>
      </c>
      <c r="AJ790" s="521">
        <v>0</v>
      </c>
      <c r="AK790" s="520">
        <f t="shared" si="51"/>
        <v>0</v>
      </c>
      <c r="AL790" s="672" t="s">
        <v>1513</v>
      </c>
      <c r="AM790" s="669">
        <f t="shared" si="52"/>
        <v>536.94000000000005</v>
      </c>
    </row>
    <row r="791" spans="1:39" s="500" customFormat="1" hidden="1">
      <c r="A791" s="539" t="s">
        <v>632</v>
      </c>
      <c r="B791" s="539" t="s">
        <v>1185</v>
      </c>
      <c r="C791" s="605"/>
      <c r="D791" s="519"/>
      <c r="E791" s="915"/>
      <c r="F791" s="520"/>
      <c r="G791" s="520"/>
      <c r="H791" s="520"/>
      <c r="I791" s="521"/>
      <c r="J791" s="521"/>
      <c r="K791" s="521"/>
      <c r="L791" s="923"/>
      <c r="M791" s="514"/>
      <c r="N791" s="514"/>
      <c r="O791" s="514"/>
      <c r="P791" s="514"/>
      <c r="Q791" s="514"/>
      <c r="R791" s="514"/>
      <c r="S791" s="923"/>
      <c r="T791" s="514"/>
      <c r="U791" s="514"/>
      <c r="V791" s="514"/>
      <c r="W791" s="514"/>
      <c r="X791" s="514"/>
      <c r="Y791" s="514"/>
      <c r="Z791" s="923"/>
      <c r="AA791" s="514"/>
      <c r="AB791" s="514"/>
      <c r="AC791" s="514"/>
      <c r="AD791" s="514"/>
      <c r="AE791" s="774"/>
      <c r="AF791" s="514"/>
      <c r="AG791" s="923"/>
      <c r="AH791" s="789"/>
      <c r="AI791" s="664">
        <f t="shared" si="50"/>
        <v>0</v>
      </c>
      <c r="AJ791" s="521">
        <v>0</v>
      </c>
      <c r="AK791" s="520">
        <f t="shared" si="51"/>
        <v>0</v>
      </c>
      <c r="AL791" s="672"/>
      <c r="AM791" s="669">
        <f t="shared" si="52"/>
        <v>0</v>
      </c>
    </row>
    <row r="792" spans="1:39" s="500" customFormat="1" hidden="1">
      <c r="A792" s="539" t="s">
        <v>633</v>
      </c>
      <c r="B792" s="539" t="s">
        <v>1186</v>
      </c>
      <c r="C792" s="472" t="s">
        <v>40</v>
      </c>
      <c r="D792" s="519"/>
      <c r="E792" s="915"/>
      <c r="F792" s="520"/>
      <c r="G792" s="520"/>
      <c r="H792" s="520"/>
      <c r="I792" s="521"/>
      <c r="J792" s="521"/>
      <c r="K792" s="521"/>
      <c r="L792" s="923"/>
      <c r="M792" s="514"/>
      <c r="N792" s="514"/>
      <c r="O792" s="514"/>
      <c r="P792" s="514"/>
      <c r="Q792" s="514"/>
      <c r="R792" s="514"/>
      <c r="S792" s="923"/>
      <c r="T792" s="514"/>
      <c r="U792" s="514"/>
      <c r="V792" s="514"/>
      <c r="W792" s="514"/>
      <c r="X792" s="514"/>
      <c r="Y792" s="514"/>
      <c r="Z792" s="923"/>
      <c r="AA792" s="514"/>
      <c r="AB792" s="514"/>
      <c r="AC792" s="514"/>
      <c r="AD792" s="514"/>
      <c r="AE792" s="774"/>
      <c r="AF792" s="514"/>
      <c r="AG792" s="923"/>
      <c r="AH792" s="789"/>
      <c r="AI792" s="664">
        <f t="shared" si="50"/>
        <v>0</v>
      </c>
      <c r="AJ792" s="521">
        <v>0</v>
      </c>
      <c r="AK792" s="520">
        <f t="shared" si="51"/>
        <v>0</v>
      </c>
      <c r="AL792" s="672" t="s">
        <v>1514</v>
      </c>
      <c r="AM792" s="669">
        <f t="shared" si="52"/>
        <v>10.33</v>
      </c>
    </row>
    <row r="793" spans="1:39" s="500" customFormat="1" hidden="1">
      <c r="A793" s="539" t="s">
        <v>634</v>
      </c>
      <c r="B793" s="539" t="s">
        <v>1187</v>
      </c>
      <c r="C793" s="472" t="s">
        <v>37</v>
      </c>
      <c r="D793" s="519"/>
      <c r="E793" s="915"/>
      <c r="F793" s="520"/>
      <c r="G793" s="520"/>
      <c r="H793" s="520"/>
      <c r="I793" s="521"/>
      <c r="J793" s="521"/>
      <c r="K793" s="521"/>
      <c r="L793" s="923"/>
      <c r="M793" s="514"/>
      <c r="N793" s="514"/>
      <c r="O793" s="514"/>
      <c r="P793" s="514"/>
      <c r="Q793" s="514"/>
      <c r="R793" s="514"/>
      <c r="S793" s="923"/>
      <c r="T793" s="514"/>
      <c r="U793" s="514"/>
      <c r="V793" s="514"/>
      <c r="W793" s="514"/>
      <c r="X793" s="514"/>
      <c r="Y793" s="514"/>
      <c r="Z793" s="923"/>
      <c r="AA793" s="514"/>
      <c r="AB793" s="514"/>
      <c r="AC793" s="514"/>
      <c r="AD793" s="514"/>
      <c r="AE793" s="774"/>
      <c r="AF793" s="514"/>
      <c r="AG793" s="923"/>
      <c r="AH793" s="789"/>
      <c r="AI793" s="664">
        <f t="shared" si="50"/>
        <v>0</v>
      </c>
      <c r="AJ793" s="521">
        <v>0</v>
      </c>
      <c r="AK793" s="520">
        <f t="shared" si="51"/>
        <v>0</v>
      </c>
      <c r="AL793" s="672" t="s">
        <v>1515</v>
      </c>
      <c r="AM793" s="669">
        <f t="shared" si="52"/>
        <v>116.46</v>
      </c>
    </row>
    <row r="794" spans="1:39" s="500" customFormat="1" hidden="1">
      <c r="A794" s="539" t="s">
        <v>635</v>
      </c>
      <c r="B794" s="539" t="s">
        <v>1188</v>
      </c>
      <c r="C794" s="472" t="s">
        <v>48</v>
      </c>
      <c r="D794" s="519"/>
      <c r="E794" s="915"/>
      <c r="F794" s="520"/>
      <c r="G794" s="520"/>
      <c r="H794" s="520"/>
      <c r="I794" s="521"/>
      <c r="J794" s="521"/>
      <c r="K794" s="521"/>
      <c r="L794" s="923"/>
      <c r="M794" s="514"/>
      <c r="N794" s="514"/>
      <c r="O794" s="514"/>
      <c r="P794" s="514"/>
      <c r="Q794" s="514"/>
      <c r="R794" s="514"/>
      <c r="S794" s="923"/>
      <c r="T794" s="514"/>
      <c r="U794" s="514"/>
      <c r="V794" s="514"/>
      <c r="W794" s="514"/>
      <c r="X794" s="514"/>
      <c r="Y794" s="514"/>
      <c r="Z794" s="923"/>
      <c r="AA794" s="514"/>
      <c r="AB794" s="514"/>
      <c r="AC794" s="514"/>
      <c r="AD794" s="514"/>
      <c r="AE794" s="774"/>
      <c r="AF794" s="514"/>
      <c r="AG794" s="923"/>
      <c r="AH794" s="789"/>
      <c r="AI794" s="664">
        <f t="shared" si="50"/>
        <v>0</v>
      </c>
      <c r="AJ794" s="521">
        <v>0</v>
      </c>
      <c r="AK794" s="520">
        <f t="shared" si="51"/>
        <v>0</v>
      </c>
      <c r="AL794" s="672" t="s">
        <v>1516</v>
      </c>
      <c r="AM794" s="669">
        <f t="shared" si="52"/>
        <v>1452.85</v>
      </c>
    </row>
    <row r="795" spans="1:39" s="500" customFormat="1" hidden="1">
      <c r="A795" s="539" t="s">
        <v>636</v>
      </c>
      <c r="B795" s="539" t="s">
        <v>1189</v>
      </c>
      <c r="C795" s="472"/>
      <c r="D795" s="519"/>
      <c r="E795" s="915"/>
      <c r="F795" s="520"/>
      <c r="G795" s="520"/>
      <c r="H795" s="520"/>
      <c r="I795" s="521"/>
      <c r="J795" s="521"/>
      <c r="K795" s="521"/>
      <c r="L795" s="923"/>
      <c r="M795" s="514"/>
      <c r="N795" s="514"/>
      <c r="O795" s="514"/>
      <c r="P795" s="514"/>
      <c r="Q795" s="514"/>
      <c r="R795" s="514"/>
      <c r="S795" s="923"/>
      <c r="T795" s="514"/>
      <c r="U795" s="514"/>
      <c r="V795" s="514"/>
      <c r="W795" s="514"/>
      <c r="X795" s="514"/>
      <c r="Y795" s="514"/>
      <c r="Z795" s="923"/>
      <c r="AA795" s="514"/>
      <c r="AB795" s="514"/>
      <c r="AC795" s="514"/>
      <c r="AD795" s="514"/>
      <c r="AE795" s="774"/>
      <c r="AF795" s="514"/>
      <c r="AG795" s="923"/>
      <c r="AH795" s="789"/>
      <c r="AI795" s="664">
        <f t="shared" si="50"/>
        <v>0</v>
      </c>
      <c r="AJ795" s="521">
        <v>0</v>
      </c>
      <c r="AK795" s="520">
        <f t="shared" si="51"/>
        <v>0</v>
      </c>
      <c r="AL795" s="672"/>
      <c r="AM795" s="669">
        <f t="shared" si="52"/>
        <v>0</v>
      </c>
    </row>
    <row r="796" spans="1:39" s="500" customFormat="1" hidden="1">
      <c r="A796" s="539" t="s">
        <v>637</v>
      </c>
      <c r="B796" s="539" t="s">
        <v>1190</v>
      </c>
      <c r="C796" s="472" t="s">
        <v>40</v>
      </c>
      <c r="D796" s="519"/>
      <c r="E796" s="915"/>
      <c r="F796" s="520"/>
      <c r="G796" s="520"/>
      <c r="H796" s="520"/>
      <c r="I796" s="521"/>
      <c r="J796" s="521"/>
      <c r="K796" s="521"/>
      <c r="L796" s="923"/>
      <c r="M796" s="514"/>
      <c r="N796" s="514"/>
      <c r="O796" s="514"/>
      <c r="P796" s="514"/>
      <c r="Q796" s="514"/>
      <c r="R796" s="514"/>
      <c r="S796" s="923"/>
      <c r="T796" s="514"/>
      <c r="U796" s="514"/>
      <c r="V796" s="514"/>
      <c r="W796" s="514"/>
      <c r="X796" s="514"/>
      <c r="Y796" s="514"/>
      <c r="Z796" s="923"/>
      <c r="AA796" s="514"/>
      <c r="AB796" s="514"/>
      <c r="AC796" s="514"/>
      <c r="AD796" s="514"/>
      <c r="AE796" s="774"/>
      <c r="AF796" s="514"/>
      <c r="AG796" s="923"/>
      <c r="AH796" s="789"/>
      <c r="AI796" s="664">
        <f t="shared" si="50"/>
        <v>0</v>
      </c>
      <c r="AJ796" s="521">
        <v>0</v>
      </c>
      <c r="AK796" s="520">
        <f t="shared" si="51"/>
        <v>0</v>
      </c>
      <c r="AL796" s="672" t="s">
        <v>1517</v>
      </c>
      <c r="AM796" s="669">
        <f t="shared" si="52"/>
        <v>8.94</v>
      </c>
    </row>
    <row r="797" spans="1:39" s="500" customFormat="1" hidden="1">
      <c r="A797" s="539" t="s">
        <v>638</v>
      </c>
      <c r="B797" s="539" t="s">
        <v>1191</v>
      </c>
      <c r="C797" s="472" t="s">
        <v>37</v>
      </c>
      <c r="D797" s="519"/>
      <c r="E797" s="915"/>
      <c r="F797" s="520"/>
      <c r="G797" s="520"/>
      <c r="H797" s="520"/>
      <c r="I797" s="521"/>
      <c r="J797" s="521"/>
      <c r="K797" s="521"/>
      <c r="L797" s="923"/>
      <c r="M797" s="514"/>
      <c r="N797" s="514"/>
      <c r="O797" s="514"/>
      <c r="P797" s="514"/>
      <c r="Q797" s="514"/>
      <c r="R797" s="514"/>
      <c r="S797" s="923"/>
      <c r="T797" s="514"/>
      <c r="U797" s="514"/>
      <c r="V797" s="514"/>
      <c r="W797" s="514"/>
      <c r="X797" s="514"/>
      <c r="Y797" s="514"/>
      <c r="Z797" s="923"/>
      <c r="AA797" s="514"/>
      <c r="AB797" s="514"/>
      <c r="AC797" s="514"/>
      <c r="AD797" s="514"/>
      <c r="AE797" s="774"/>
      <c r="AF797" s="514"/>
      <c r="AG797" s="923"/>
      <c r="AH797" s="789"/>
      <c r="AI797" s="664">
        <f t="shared" si="50"/>
        <v>0</v>
      </c>
      <c r="AJ797" s="521">
        <v>0</v>
      </c>
      <c r="AK797" s="520">
        <f t="shared" si="51"/>
        <v>0</v>
      </c>
      <c r="AL797" s="672" t="s">
        <v>1518</v>
      </c>
      <c r="AM797" s="669">
        <f t="shared" si="52"/>
        <v>102.17</v>
      </c>
    </row>
    <row r="798" spans="1:39" s="500" customFormat="1" hidden="1">
      <c r="A798" s="539" t="s">
        <v>639</v>
      </c>
      <c r="B798" s="539" t="s">
        <v>1192</v>
      </c>
      <c r="C798" s="472" t="s">
        <v>48</v>
      </c>
      <c r="D798" s="519"/>
      <c r="E798" s="915"/>
      <c r="F798" s="520"/>
      <c r="G798" s="520"/>
      <c r="H798" s="520"/>
      <c r="I798" s="521"/>
      <c r="J798" s="521"/>
      <c r="K798" s="521"/>
      <c r="L798" s="923"/>
      <c r="M798" s="514"/>
      <c r="N798" s="514"/>
      <c r="O798" s="514"/>
      <c r="P798" s="514"/>
      <c r="Q798" s="514"/>
      <c r="R798" s="514"/>
      <c r="S798" s="923"/>
      <c r="T798" s="514"/>
      <c r="U798" s="514"/>
      <c r="V798" s="514"/>
      <c r="W798" s="514"/>
      <c r="X798" s="514"/>
      <c r="Y798" s="514"/>
      <c r="Z798" s="923"/>
      <c r="AA798" s="514"/>
      <c r="AB798" s="514"/>
      <c r="AC798" s="514"/>
      <c r="AD798" s="514"/>
      <c r="AE798" s="774"/>
      <c r="AF798" s="514"/>
      <c r="AG798" s="923"/>
      <c r="AH798" s="789"/>
      <c r="AI798" s="664">
        <f t="shared" si="50"/>
        <v>0</v>
      </c>
      <c r="AJ798" s="521">
        <v>0</v>
      </c>
      <c r="AK798" s="520">
        <f t="shared" si="51"/>
        <v>0</v>
      </c>
      <c r="AL798" s="672" t="s">
        <v>1519</v>
      </c>
      <c r="AM798" s="669">
        <f t="shared" si="52"/>
        <v>1062.45</v>
      </c>
    </row>
    <row r="799" spans="1:39" s="500" customFormat="1" hidden="1">
      <c r="A799" s="539" t="s">
        <v>640</v>
      </c>
      <c r="B799" s="539" t="s">
        <v>1193</v>
      </c>
      <c r="C799" s="472" t="s">
        <v>1450</v>
      </c>
      <c r="D799" s="519"/>
      <c r="E799" s="915"/>
      <c r="F799" s="520"/>
      <c r="G799" s="520"/>
      <c r="H799" s="520"/>
      <c r="I799" s="521"/>
      <c r="J799" s="521"/>
      <c r="K799" s="521"/>
      <c r="L799" s="923"/>
      <c r="M799" s="514"/>
      <c r="N799" s="514"/>
      <c r="O799" s="514"/>
      <c r="P799" s="514"/>
      <c r="Q799" s="514"/>
      <c r="R799" s="514"/>
      <c r="S799" s="923"/>
      <c r="T799" s="514"/>
      <c r="U799" s="514"/>
      <c r="V799" s="514"/>
      <c r="W799" s="514"/>
      <c r="X799" s="514"/>
      <c r="Y799" s="514"/>
      <c r="Z799" s="923"/>
      <c r="AA799" s="514"/>
      <c r="AB799" s="514"/>
      <c r="AC799" s="514"/>
      <c r="AD799" s="514"/>
      <c r="AE799" s="774"/>
      <c r="AF799" s="514"/>
      <c r="AG799" s="923"/>
      <c r="AH799" s="789"/>
      <c r="AI799" s="664">
        <f t="shared" si="50"/>
        <v>0</v>
      </c>
      <c r="AJ799" s="521">
        <v>0</v>
      </c>
      <c r="AK799" s="520">
        <f t="shared" si="51"/>
        <v>0</v>
      </c>
      <c r="AL799" s="672" t="s">
        <v>1520</v>
      </c>
      <c r="AM799" s="669">
        <f t="shared" si="52"/>
        <v>851.11</v>
      </c>
    </row>
    <row r="800" spans="1:39" s="500" customFormat="1" hidden="1">
      <c r="A800" s="539" t="s">
        <v>641</v>
      </c>
      <c r="B800" s="539" t="s">
        <v>1194</v>
      </c>
      <c r="C800" s="605"/>
      <c r="D800" s="519"/>
      <c r="E800" s="915"/>
      <c r="F800" s="520"/>
      <c r="G800" s="520"/>
      <c r="H800" s="520"/>
      <c r="I800" s="521"/>
      <c r="J800" s="521"/>
      <c r="K800" s="521"/>
      <c r="L800" s="923"/>
      <c r="M800" s="514"/>
      <c r="N800" s="514"/>
      <c r="O800" s="514"/>
      <c r="P800" s="514"/>
      <c r="Q800" s="514"/>
      <c r="R800" s="514"/>
      <c r="S800" s="923"/>
      <c r="T800" s="514"/>
      <c r="U800" s="514"/>
      <c r="V800" s="514"/>
      <c r="W800" s="514"/>
      <c r="X800" s="514"/>
      <c r="Y800" s="514"/>
      <c r="Z800" s="923"/>
      <c r="AA800" s="514"/>
      <c r="AB800" s="514"/>
      <c r="AC800" s="514"/>
      <c r="AD800" s="514"/>
      <c r="AE800" s="774"/>
      <c r="AF800" s="514"/>
      <c r="AG800" s="923"/>
      <c r="AH800" s="789"/>
      <c r="AI800" s="664">
        <f t="shared" si="50"/>
        <v>0</v>
      </c>
      <c r="AJ800" s="521">
        <v>0</v>
      </c>
      <c r="AK800" s="520">
        <f t="shared" si="51"/>
        <v>0</v>
      </c>
      <c r="AL800" s="672"/>
      <c r="AM800" s="669">
        <f t="shared" si="52"/>
        <v>0</v>
      </c>
    </row>
    <row r="801" spans="1:39" s="500" customFormat="1" hidden="1">
      <c r="A801" s="539" t="s">
        <v>642</v>
      </c>
      <c r="B801" s="539" t="s">
        <v>1195</v>
      </c>
      <c r="C801" s="472" t="s">
        <v>40</v>
      </c>
      <c r="D801" s="519"/>
      <c r="E801" s="915"/>
      <c r="F801" s="520"/>
      <c r="G801" s="520"/>
      <c r="H801" s="520"/>
      <c r="I801" s="521"/>
      <c r="J801" s="521"/>
      <c r="K801" s="521"/>
      <c r="L801" s="923"/>
      <c r="M801" s="514"/>
      <c r="N801" s="514"/>
      <c r="O801" s="514"/>
      <c r="P801" s="514"/>
      <c r="Q801" s="514"/>
      <c r="R801" s="514"/>
      <c r="S801" s="923"/>
      <c r="T801" s="514"/>
      <c r="U801" s="514"/>
      <c r="V801" s="514"/>
      <c r="W801" s="514"/>
      <c r="X801" s="514"/>
      <c r="Y801" s="514"/>
      <c r="Z801" s="923"/>
      <c r="AA801" s="514"/>
      <c r="AB801" s="514"/>
      <c r="AC801" s="514"/>
      <c r="AD801" s="514"/>
      <c r="AE801" s="774"/>
      <c r="AF801" s="514"/>
      <c r="AG801" s="923"/>
      <c r="AH801" s="789"/>
      <c r="AI801" s="664">
        <f t="shared" si="50"/>
        <v>0</v>
      </c>
      <c r="AJ801" s="521">
        <v>0</v>
      </c>
      <c r="AK801" s="520">
        <f t="shared" si="51"/>
        <v>0</v>
      </c>
      <c r="AL801" s="672" t="s">
        <v>1521</v>
      </c>
      <c r="AM801" s="669">
        <f t="shared" si="52"/>
        <v>2.66</v>
      </c>
    </row>
    <row r="802" spans="1:39" s="500" customFormat="1" hidden="1">
      <c r="A802" s="539" t="s">
        <v>643</v>
      </c>
      <c r="B802" s="539" t="s">
        <v>1196</v>
      </c>
      <c r="C802" s="472" t="s">
        <v>37</v>
      </c>
      <c r="D802" s="519"/>
      <c r="E802" s="915"/>
      <c r="F802" s="520"/>
      <c r="G802" s="520"/>
      <c r="H802" s="520"/>
      <c r="I802" s="521"/>
      <c r="J802" s="521"/>
      <c r="K802" s="521"/>
      <c r="L802" s="923"/>
      <c r="M802" s="514"/>
      <c r="N802" s="514"/>
      <c r="O802" s="514"/>
      <c r="P802" s="514"/>
      <c r="Q802" s="514"/>
      <c r="R802" s="514"/>
      <c r="S802" s="923"/>
      <c r="T802" s="514"/>
      <c r="U802" s="514"/>
      <c r="V802" s="514"/>
      <c r="W802" s="514"/>
      <c r="X802" s="514"/>
      <c r="Y802" s="514"/>
      <c r="Z802" s="923"/>
      <c r="AA802" s="514"/>
      <c r="AB802" s="514"/>
      <c r="AC802" s="514"/>
      <c r="AD802" s="514"/>
      <c r="AE802" s="774"/>
      <c r="AF802" s="514"/>
      <c r="AG802" s="923"/>
      <c r="AH802" s="789"/>
      <c r="AI802" s="664">
        <f t="shared" si="50"/>
        <v>0</v>
      </c>
      <c r="AJ802" s="521">
        <v>0</v>
      </c>
      <c r="AK802" s="520">
        <f t="shared" si="51"/>
        <v>0</v>
      </c>
      <c r="AL802" s="672" t="s">
        <v>1512</v>
      </c>
      <c r="AM802" s="669">
        <f t="shared" si="52"/>
        <v>35.44</v>
      </c>
    </row>
    <row r="803" spans="1:39" s="500" customFormat="1" hidden="1">
      <c r="A803" s="539" t="s">
        <v>644</v>
      </c>
      <c r="B803" s="539" t="s">
        <v>1197</v>
      </c>
      <c r="C803" s="472" t="s">
        <v>48</v>
      </c>
      <c r="D803" s="519"/>
      <c r="E803" s="915"/>
      <c r="F803" s="520"/>
      <c r="G803" s="520"/>
      <c r="H803" s="520"/>
      <c r="I803" s="521"/>
      <c r="J803" s="521"/>
      <c r="K803" s="521"/>
      <c r="L803" s="923"/>
      <c r="M803" s="514"/>
      <c r="N803" s="514"/>
      <c r="O803" s="514"/>
      <c r="P803" s="514"/>
      <c r="Q803" s="514"/>
      <c r="R803" s="514"/>
      <c r="S803" s="923"/>
      <c r="T803" s="514"/>
      <c r="U803" s="514"/>
      <c r="V803" s="514"/>
      <c r="W803" s="514"/>
      <c r="X803" s="514"/>
      <c r="Y803" s="514"/>
      <c r="Z803" s="923"/>
      <c r="AA803" s="514"/>
      <c r="AB803" s="514"/>
      <c r="AC803" s="514"/>
      <c r="AD803" s="514"/>
      <c r="AE803" s="774"/>
      <c r="AF803" s="514"/>
      <c r="AG803" s="923"/>
      <c r="AH803" s="789"/>
      <c r="AI803" s="664">
        <f t="shared" si="50"/>
        <v>0</v>
      </c>
      <c r="AJ803" s="521">
        <v>0</v>
      </c>
      <c r="AK803" s="520">
        <f t="shared" si="51"/>
        <v>0</v>
      </c>
      <c r="AL803" s="672" t="s">
        <v>1522</v>
      </c>
      <c r="AM803" s="669">
        <f t="shared" si="52"/>
        <v>179.59</v>
      </c>
    </row>
    <row r="804" spans="1:39" s="500" customFormat="1" hidden="1">
      <c r="A804" s="542" t="s">
        <v>645</v>
      </c>
      <c r="B804" s="542" t="s">
        <v>1198</v>
      </c>
      <c r="C804" s="605"/>
      <c r="D804" s="519"/>
      <c r="E804" s="915"/>
      <c r="F804" s="520"/>
      <c r="G804" s="520"/>
      <c r="H804" s="520"/>
      <c r="I804" s="521"/>
      <c r="J804" s="521"/>
      <c r="K804" s="521"/>
      <c r="L804" s="923"/>
      <c r="M804" s="514"/>
      <c r="N804" s="514"/>
      <c r="O804" s="514"/>
      <c r="P804" s="514"/>
      <c r="Q804" s="514"/>
      <c r="R804" s="514"/>
      <c r="S804" s="923"/>
      <c r="T804" s="514"/>
      <c r="U804" s="514"/>
      <c r="V804" s="514"/>
      <c r="W804" s="514"/>
      <c r="X804" s="514"/>
      <c r="Y804" s="514"/>
      <c r="Z804" s="923"/>
      <c r="AA804" s="514"/>
      <c r="AB804" s="514"/>
      <c r="AC804" s="514"/>
      <c r="AD804" s="514"/>
      <c r="AE804" s="774"/>
      <c r="AF804" s="514"/>
      <c r="AG804" s="923"/>
      <c r="AH804" s="789"/>
      <c r="AI804" s="664">
        <f t="shared" si="50"/>
        <v>0</v>
      </c>
      <c r="AJ804" s="521">
        <v>0</v>
      </c>
      <c r="AK804" s="520">
        <f t="shared" si="51"/>
        <v>0</v>
      </c>
      <c r="AL804" s="672"/>
      <c r="AM804" s="669">
        <f t="shared" si="52"/>
        <v>0</v>
      </c>
    </row>
    <row r="805" spans="1:39" s="500" customFormat="1" hidden="1">
      <c r="A805" s="539" t="s">
        <v>646</v>
      </c>
      <c r="B805" s="539" t="s">
        <v>1199</v>
      </c>
      <c r="C805" s="472" t="s">
        <v>38</v>
      </c>
      <c r="D805" s="519"/>
      <c r="E805" s="915"/>
      <c r="F805" s="520"/>
      <c r="G805" s="520"/>
      <c r="H805" s="520"/>
      <c r="I805" s="521"/>
      <c r="J805" s="521"/>
      <c r="K805" s="521"/>
      <c r="L805" s="923"/>
      <c r="M805" s="514"/>
      <c r="N805" s="514"/>
      <c r="O805" s="514"/>
      <c r="P805" s="514"/>
      <c r="Q805" s="514"/>
      <c r="R805" s="514"/>
      <c r="S805" s="923"/>
      <c r="T805" s="514"/>
      <c r="U805" s="514"/>
      <c r="V805" s="514"/>
      <c r="W805" s="514"/>
      <c r="X805" s="514"/>
      <c r="Y805" s="514"/>
      <c r="Z805" s="923"/>
      <c r="AA805" s="514"/>
      <c r="AB805" s="514"/>
      <c r="AC805" s="514"/>
      <c r="AD805" s="514"/>
      <c r="AE805" s="774"/>
      <c r="AF805" s="514"/>
      <c r="AG805" s="923"/>
      <c r="AH805" s="789"/>
      <c r="AI805" s="664">
        <f t="shared" si="50"/>
        <v>0</v>
      </c>
      <c r="AJ805" s="521">
        <v>0</v>
      </c>
      <c r="AK805" s="520">
        <f t="shared" si="51"/>
        <v>0</v>
      </c>
      <c r="AL805" s="672" t="s">
        <v>1523</v>
      </c>
      <c r="AM805" s="669">
        <f t="shared" si="52"/>
        <v>158.4</v>
      </c>
    </row>
    <row r="806" spans="1:39" s="500" customFormat="1" hidden="1">
      <c r="A806" s="542" t="s">
        <v>647</v>
      </c>
      <c r="B806" s="542" t="s">
        <v>1200</v>
      </c>
      <c r="C806" s="616"/>
      <c r="D806" s="525"/>
      <c r="E806" s="916"/>
      <c r="F806" s="526"/>
      <c r="G806" s="526"/>
      <c r="H806" s="526"/>
      <c r="I806" s="527"/>
      <c r="J806" s="527"/>
      <c r="K806" s="527"/>
      <c r="L806" s="923"/>
      <c r="M806" s="514"/>
      <c r="N806" s="514"/>
      <c r="O806" s="514"/>
      <c r="P806" s="514"/>
      <c r="Q806" s="514"/>
      <c r="R806" s="514"/>
      <c r="S806" s="923"/>
      <c r="T806" s="514"/>
      <c r="U806" s="514"/>
      <c r="V806" s="514"/>
      <c r="W806" s="514"/>
      <c r="X806" s="514"/>
      <c r="Y806" s="514"/>
      <c r="Z806" s="923"/>
      <c r="AA806" s="514"/>
      <c r="AB806" s="514"/>
      <c r="AC806" s="514"/>
      <c r="AD806" s="514"/>
      <c r="AE806" s="774"/>
      <c r="AF806" s="514"/>
      <c r="AG806" s="923"/>
      <c r="AH806" s="789"/>
      <c r="AI806" s="664">
        <f t="shared" si="50"/>
        <v>0</v>
      </c>
      <c r="AJ806" s="521">
        <v>0</v>
      </c>
      <c r="AK806" s="520">
        <f t="shared" si="51"/>
        <v>0</v>
      </c>
      <c r="AL806" s="673"/>
      <c r="AM806" s="669">
        <f t="shared" si="52"/>
        <v>0</v>
      </c>
    </row>
    <row r="807" spans="1:39" s="500" customFormat="1" hidden="1">
      <c r="A807" s="539" t="s">
        <v>648</v>
      </c>
      <c r="B807" s="539" t="s">
        <v>1201</v>
      </c>
      <c r="C807" s="472" t="s">
        <v>38</v>
      </c>
      <c r="D807" s="525"/>
      <c r="E807" s="916"/>
      <c r="F807" s="526"/>
      <c r="G807" s="526"/>
      <c r="H807" s="526"/>
      <c r="I807" s="527"/>
      <c r="J807" s="527"/>
      <c r="K807" s="527"/>
      <c r="L807" s="923"/>
      <c r="M807" s="514"/>
      <c r="N807" s="514"/>
      <c r="O807" s="514"/>
      <c r="P807" s="514"/>
      <c r="Q807" s="514"/>
      <c r="R807" s="514"/>
      <c r="S807" s="923"/>
      <c r="T807" s="514"/>
      <c r="U807" s="514"/>
      <c r="V807" s="514"/>
      <c r="W807" s="514"/>
      <c r="X807" s="514"/>
      <c r="Y807" s="514"/>
      <c r="Z807" s="923"/>
      <c r="AA807" s="514"/>
      <c r="AB807" s="514"/>
      <c r="AC807" s="514"/>
      <c r="AD807" s="514"/>
      <c r="AE807" s="774"/>
      <c r="AF807" s="514"/>
      <c r="AG807" s="923"/>
      <c r="AH807" s="789"/>
      <c r="AI807" s="664">
        <f t="shared" si="50"/>
        <v>0</v>
      </c>
      <c r="AJ807" s="521">
        <v>0</v>
      </c>
      <c r="AK807" s="520">
        <f t="shared" si="51"/>
        <v>0</v>
      </c>
      <c r="AL807" s="673" t="s">
        <v>1524</v>
      </c>
      <c r="AM807" s="669">
        <f t="shared" si="52"/>
        <v>83.2</v>
      </c>
    </row>
    <row r="808" spans="1:39" s="500" customFormat="1" hidden="1">
      <c r="A808" s="539" t="s">
        <v>649</v>
      </c>
      <c r="B808" s="539" t="s">
        <v>225</v>
      </c>
      <c r="C808" s="472" t="s">
        <v>1450</v>
      </c>
      <c r="D808" s="519"/>
      <c r="E808" s="915"/>
      <c r="F808" s="520"/>
      <c r="G808" s="520"/>
      <c r="H808" s="520"/>
      <c r="I808" s="521"/>
      <c r="J808" s="521"/>
      <c r="K808" s="521"/>
      <c r="L808" s="923"/>
      <c r="M808" s="514"/>
      <c r="N808" s="514"/>
      <c r="O808" s="514"/>
      <c r="P808" s="514"/>
      <c r="Q808" s="514"/>
      <c r="R808" s="514"/>
      <c r="S808" s="923"/>
      <c r="T808" s="514"/>
      <c r="U808" s="514"/>
      <c r="V808" s="514"/>
      <c r="W808" s="514"/>
      <c r="X808" s="514"/>
      <c r="Y808" s="514"/>
      <c r="Z808" s="923"/>
      <c r="AA808" s="514"/>
      <c r="AB808" s="514"/>
      <c r="AC808" s="514"/>
      <c r="AD808" s="514"/>
      <c r="AE808" s="774"/>
      <c r="AF808" s="514"/>
      <c r="AG808" s="923"/>
      <c r="AH808" s="789"/>
      <c r="AI808" s="664">
        <f t="shared" si="50"/>
        <v>0</v>
      </c>
      <c r="AJ808" s="521">
        <v>0</v>
      </c>
      <c r="AK808" s="520">
        <f t="shared" si="51"/>
        <v>0</v>
      </c>
      <c r="AL808" s="672" t="s">
        <v>1493</v>
      </c>
      <c r="AM808" s="669">
        <f t="shared" si="52"/>
        <v>15</v>
      </c>
    </row>
    <row r="809" spans="1:39" s="500" customFormat="1">
      <c r="A809" s="440" t="s">
        <v>52</v>
      </c>
      <c r="B809" s="543" t="s">
        <v>1209</v>
      </c>
      <c r="C809" s="605"/>
      <c r="D809" s="519"/>
      <c r="E809" s="915"/>
      <c r="F809" s="520"/>
      <c r="G809" s="520"/>
      <c r="H809" s="520"/>
      <c r="I809" s="521"/>
      <c r="J809" s="521"/>
      <c r="K809" s="521"/>
      <c r="L809" s="923"/>
      <c r="M809" s="514"/>
      <c r="N809" s="514"/>
      <c r="O809" s="514"/>
      <c r="P809" s="514"/>
      <c r="Q809" s="514"/>
      <c r="R809" s="514"/>
      <c r="S809" s="923"/>
      <c r="T809" s="514"/>
      <c r="U809" s="514"/>
      <c r="V809" s="514"/>
      <c r="W809" s="514"/>
      <c r="X809" s="514"/>
      <c r="Y809" s="514"/>
      <c r="Z809" s="923"/>
      <c r="AA809" s="514"/>
      <c r="AB809" s="514"/>
      <c r="AC809" s="514"/>
      <c r="AD809" s="514"/>
      <c r="AE809" s="774"/>
      <c r="AF809" s="514"/>
      <c r="AG809" s="923"/>
      <c r="AH809" s="789"/>
      <c r="AI809" s="664">
        <f t="shared" si="50"/>
        <v>0</v>
      </c>
      <c r="AJ809" s="521">
        <v>0</v>
      </c>
      <c r="AK809" s="520">
        <f t="shared" si="51"/>
        <v>0</v>
      </c>
      <c r="AL809" s="672"/>
      <c r="AM809" s="669">
        <f t="shared" si="52"/>
        <v>0</v>
      </c>
    </row>
    <row r="810" spans="1:39" s="500" customFormat="1" hidden="1">
      <c r="A810" s="542" t="s">
        <v>56</v>
      </c>
      <c r="B810" s="542" t="s">
        <v>46</v>
      </c>
      <c r="C810" s="616"/>
      <c r="D810" s="519"/>
      <c r="E810" s="915"/>
      <c r="F810" s="520"/>
      <c r="G810" s="520"/>
      <c r="H810" s="520"/>
      <c r="I810" s="521"/>
      <c r="J810" s="521"/>
      <c r="K810" s="521"/>
      <c r="L810" s="925"/>
      <c r="M810" s="522"/>
      <c r="N810" s="522"/>
      <c r="O810" s="522"/>
      <c r="P810" s="522"/>
      <c r="Q810" s="522"/>
      <c r="R810" s="522"/>
      <c r="S810" s="925"/>
      <c r="T810" s="522"/>
      <c r="U810" s="522"/>
      <c r="V810" s="522"/>
      <c r="W810" s="522"/>
      <c r="X810" s="522"/>
      <c r="Y810" s="522"/>
      <c r="Z810" s="925"/>
      <c r="AA810" s="522"/>
      <c r="AB810" s="522"/>
      <c r="AC810" s="522"/>
      <c r="AD810" s="522"/>
      <c r="AE810" s="774"/>
      <c r="AF810" s="522"/>
      <c r="AG810" s="925"/>
      <c r="AH810" s="790"/>
      <c r="AI810" s="664">
        <f t="shared" si="50"/>
        <v>0</v>
      </c>
      <c r="AJ810" s="521">
        <v>0</v>
      </c>
      <c r="AK810" s="520">
        <f t="shared" si="51"/>
        <v>0</v>
      </c>
      <c r="AL810" s="672" t="s">
        <v>1525</v>
      </c>
      <c r="AM810" s="669">
        <f t="shared" si="52"/>
        <v>28.51</v>
      </c>
    </row>
    <row r="811" spans="1:39" s="500" customFormat="1" hidden="1">
      <c r="A811" s="539" t="s">
        <v>650</v>
      </c>
      <c r="B811" s="539" t="s">
        <v>1156</v>
      </c>
      <c r="C811" s="548" t="s">
        <v>40</v>
      </c>
      <c r="D811" s="519"/>
      <c r="E811" s="915"/>
      <c r="F811" s="520"/>
      <c r="G811" s="520"/>
      <c r="H811" s="520"/>
      <c r="I811" s="521"/>
      <c r="J811" s="521"/>
      <c r="K811" s="521"/>
      <c r="L811" s="925"/>
      <c r="M811" s="522"/>
      <c r="N811" s="522"/>
      <c r="O811" s="522"/>
      <c r="P811" s="522"/>
      <c r="Q811" s="522"/>
      <c r="R811" s="522"/>
      <c r="S811" s="925"/>
      <c r="T811" s="522"/>
      <c r="U811" s="522"/>
      <c r="V811" s="522"/>
      <c r="W811" s="522"/>
      <c r="X811" s="522"/>
      <c r="Y811" s="522"/>
      <c r="Z811" s="925"/>
      <c r="AA811" s="522"/>
      <c r="AB811" s="522"/>
      <c r="AC811" s="522"/>
      <c r="AD811" s="522"/>
      <c r="AE811" s="774"/>
      <c r="AF811" s="522"/>
      <c r="AG811" s="925"/>
      <c r="AH811" s="790"/>
      <c r="AI811" s="664">
        <f t="shared" si="50"/>
        <v>0</v>
      </c>
      <c r="AJ811" s="521">
        <v>0</v>
      </c>
      <c r="AK811" s="520">
        <f t="shared" si="51"/>
        <v>0</v>
      </c>
      <c r="AL811" s="672" t="s">
        <v>1526</v>
      </c>
      <c r="AM811" s="669">
        <f t="shared" si="52"/>
        <v>19.8</v>
      </c>
    </row>
    <row r="812" spans="1:39" s="500" customFormat="1" hidden="1">
      <c r="A812" s="539" t="s">
        <v>651</v>
      </c>
      <c r="B812" s="539" t="s">
        <v>1157</v>
      </c>
      <c r="C812" s="548" t="s">
        <v>40</v>
      </c>
      <c r="D812" s="525"/>
      <c r="E812" s="916"/>
      <c r="F812" s="526"/>
      <c r="G812" s="526"/>
      <c r="H812" s="526"/>
      <c r="I812" s="527"/>
      <c r="J812" s="527"/>
      <c r="K812" s="527"/>
      <c r="L812" s="925"/>
      <c r="M812" s="522"/>
      <c r="N812" s="522"/>
      <c r="O812" s="522"/>
      <c r="P812" s="522"/>
      <c r="Q812" s="522"/>
      <c r="R812" s="522"/>
      <c r="S812" s="925"/>
      <c r="T812" s="522"/>
      <c r="U812" s="522"/>
      <c r="V812" s="522"/>
      <c r="W812" s="522"/>
      <c r="X812" s="522"/>
      <c r="Y812" s="522"/>
      <c r="Z812" s="925"/>
      <c r="AA812" s="522"/>
      <c r="AB812" s="522"/>
      <c r="AC812" s="522"/>
      <c r="AD812" s="522"/>
      <c r="AE812" s="774"/>
      <c r="AF812" s="522"/>
      <c r="AG812" s="925"/>
      <c r="AH812" s="790"/>
      <c r="AI812" s="664">
        <f t="shared" si="50"/>
        <v>0</v>
      </c>
      <c r="AJ812" s="521">
        <v>0</v>
      </c>
      <c r="AK812" s="520">
        <f t="shared" si="51"/>
        <v>0</v>
      </c>
      <c r="AL812" s="673" t="s">
        <v>1527</v>
      </c>
      <c r="AM812" s="669">
        <f t="shared" si="52"/>
        <v>34.56</v>
      </c>
    </row>
    <row r="813" spans="1:39" s="500" customFormat="1" hidden="1">
      <c r="A813" s="539" t="s">
        <v>652</v>
      </c>
      <c r="B813" s="539" t="s">
        <v>1158</v>
      </c>
      <c r="C813" s="548" t="s">
        <v>40</v>
      </c>
      <c r="D813" s="519"/>
      <c r="E813" s="915"/>
      <c r="F813" s="520"/>
      <c r="G813" s="520"/>
      <c r="H813" s="520"/>
      <c r="I813" s="521"/>
      <c r="J813" s="521"/>
      <c r="K813" s="521"/>
      <c r="L813" s="925"/>
      <c r="M813" s="522"/>
      <c r="N813" s="522"/>
      <c r="O813" s="522"/>
      <c r="P813" s="522"/>
      <c r="Q813" s="522"/>
      <c r="R813" s="522"/>
      <c r="S813" s="925"/>
      <c r="T813" s="522"/>
      <c r="U813" s="522"/>
      <c r="V813" s="522"/>
      <c r="W813" s="522"/>
      <c r="X813" s="522"/>
      <c r="Y813" s="522"/>
      <c r="Z813" s="925"/>
      <c r="AA813" s="522"/>
      <c r="AB813" s="522"/>
      <c r="AC813" s="522"/>
      <c r="AD813" s="522"/>
      <c r="AE813" s="774"/>
      <c r="AF813" s="522"/>
      <c r="AG813" s="925"/>
      <c r="AH813" s="790"/>
      <c r="AI813" s="664">
        <f t="shared" si="50"/>
        <v>0</v>
      </c>
      <c r="AJ813" s="521">
        <v>0</v>
      </c>
      <c r="AK813" s="520">
        <f t="shared" si="51"/>
        <v>0</v>
      </c>
      <c r="AL813" s="672" t="s">
        <v>1528</v>
      </c>
      <c r="AM813" s="669">
        <f t="shared" si="52"/>
        <v>72.33</v>
      </c>
    </row>
    <row r="814" spans="1:39" s="500" customFormat="1" hidden="1">
      <c r="A814" s="539" t="s">
        <v>653</v>
      </c>
      <c r="B814" s="539" t="s">
        <v>1159</v>
      </c>
      <c r="C814" s="548" t="s">
        <v>37</v>
      </c>
      <c r="D814" s="519"/>
      <c r="E814" s="915"/>
      <c r="F814" s="520"/>
      <c r="G814" s="520"/>
      <c r="H814" s="520"/>
      <c r="I814" s="521"/>
      <c r="J814" s="521"/>
      <c r="K814" s="521"/>
      <c r="L814" s="925"/>
      <c r="M814" s="522"/>
      <c r="N814" s="522"/>
      <c r="O814" s="522"/>
      <c r="P814" s="522"/>
      <c r="Q814" s="522"/>
      <c r="R814" s="522"/>
      <c r="S814" s="925"/>
      <c r="T814" s="522"/>
      <c r="U814" s="522"/>
      <c r="V814" s="522"/>
      <c r="W814" s="522"/>
      <c r="X814" s="522"/>
      <c r="Y814" s="522"/>
      <c r="Z814" s="925"/>
      <c r="AA814" s="522"/>
      <c r="AB814" s="522"/>
      <c r="AC814" s="522"/>
      <c r="AD814" s="522"/>
      <c r="AE814" s="774"/>
      <c r="AF814" s="522"/>
      <c r="AG814" s="925"/>
      <c r="AH814" s="790"/>
      <c r="AI814" s="664">
        <f t="shared" si="50"/>
        <v>0</v>
      </c>
      <c r="AJ814" s="521">
        <v>0</v>
      </c>
      <c r="AK814" s="520">
        <f t="shared" si="51"/>
        <v>0</v>
      </c>
      <c r="AL814" s="672" t="s">
        <v>1529</v>
      </c>
      <c r="AM814" s="669">
        <f t="shared" si="52"/>
        <v>17.190000000000001</v>
      </c>
    </row>
    <row r="815" spans="1:39" s="500" customFormat="1" hidden="1">
      <c r="A815" s="539" t="s">
        <v>654</v>
      </c>
      <c r="B815" s="539" t="s">
        <v>1160</v>
      </c>
      <c r="C815" s="548" t="s">
        <v>40</v>
      </c>
      <c r="D815" s="519"/>
      <c r="E815" s="915"/>
      <c r="F815" s="520"/>
      <c r="G815" s="520"/>
      <c r="H815" s="520"/>
      <c r="I815" s="521"/>
      <c r="J815" s="521"/>
      <c r="K815" s="521"/>
      <c r="L815" s="923"/>
      <c r="M815" s="514"/>
      <c r="N815" s="514"/>
      <c r="O815" s="514"/>
      <c r="P815" s="514"/>
      <c r="Q815" s="514"/>
      <c r="R815" s="514"/>
      <c r="S815" s="923"/>
      <c r="T815" s="514"/>
      <c r="U815" s="514"/>
      <c r="V815" s="514"/>
      <c r="W815" s="514"/>
      <c r="X815" s="514"/>
      <c r="Y815" s="514"/>
      <c r="Z815" s="923"/>
      <c r="AA815" s="514"/>
      <c r="AB815" s="514"/>
      <c r="AC815" s="514"/>
      <c r="AD815" s="514"/>
      <c r="AE815" s="774"/>
      <c r="AF815" s="514"/>
      <c r="AG815" s="923"/>
      <c r="AH815" s="789"/>
      <c r="AI815" s="664">
        <f t="shared" ref="AI815:AI830" si="53">ROUND((SUM(D815:AG815)),2)</f>
        <v>0</v>
      </c>
      <c r="AJ815" s="521">
        <v>0</v>
      </c>
      <c r="AK815" s="520">
        <f t="shared" si="51"/>
        <v>0</v>
      </c>
      <c r="AL815" s="672" t="s">
        <v>1529</v>
      </c>
      <c r="AM815" s="669">
        <f t="shared" si="52"/>
        <v>17.190000000000001</v>
      </c>
    </row>
    <row r="816" spans="1:39" s="500" customFormat="1" hidden="1">
      <c r="A816" s="539" t="s">
        <v>655</v>
      </c>
      <c r="B816" s="539" t="s">
        <v>1161</v>
      </c>
      <c r="C816" s="548" t="s">
        <v>40</v>
      </c>
      <c r="D816" s="519"/>
      <c r="E816" s="915"/>
      <c r="F816" s="520"/>
      <c r="G816" s="520"/>
      <c r="H816" s="520"/>
      <c r="I816" s="521"/>
      <c r="J816" s="521"/>
      <c r="K816" s="521"/>
      <c r="L816" s="923"/>
      <c r="M816" s="514"/>
      <c r="N816" s="514"/>
      <c r="O816" s="514"/>
      <c r="P816" s="514"/>
      <c r="Q816" s="514"/>
      <c r="R816" s="514"/>
      <c r="S816" s="923"/>
      <c r="T816" s="514"/>
      <c r="U816" s="514"/>
      <c r="V816" s="514"/>
      <c r="W816" s="514"/>
      <c r="X816" s="514"/>
      <c r="Y816" s="514"/>
      <c r="Z816" s="923"/>
      <c r="AA816" s="514"/>
      <c r="AB816" s="514"/>
      <c r="AC816" s="514"/>
      <c r="AD816" s="514"/>
      <c r="AE816" s="774"/>
      <c r="AF816" s="514"/>
      <c r="AG816" s="923"/>
      <c r="AH816" s="789"/>
      <c r="AI816" s="664">
        <f t="shared" si="53"/>
        <v>0</v>
      </c>
      <c r="AJ816" s="521">
        <v>0</v>
      </c>
      <c r="AK816" s="520">
        <f t="shared" si="51"/>
        <v>0</v>
      </c>
      <c r="AL816" s="672"/>
      <c r="AM816" s="669">
        <f t="shared" si="52"/>
        <v>0</v>
      </c>
    </row>
    <row r="817" spans="1:42" s="500" customFormat="1" hidden="1">
      <c r="A817" s="542" t="s">
        <v>57</v>
      </c>
      <c r="B817" s="542" t="s">
        <v>1162</v>
      </c>
      <c r="C817" s="616"/>
      <c r="D817" s="525"/>
      <c r="E817" s="916"/>
      <c r="F817" s="526"/>
      <c r="G817" s="526"/>
      <c r="H817" s="526"/>
      <c r="I817" s="527"/>
      <c r="J817" s="527"/>
      <c r="K817" s="527"/>
      <c r="L817" s="923"/>
      <c r="M817" s="514"/>
      <c r="N817" s="514"/>
      <c r="O817" s="514"/>
      <c r="P817" s="514"/>
      <c r="Q817" s="514"/>
      <c r="R817" s="514"/>
      <c r="S817" s="923"/>
      <c r="T817" s="514"/>
      <c r="U817" s="514"/>
      <c r="V817" s="514"/>
      <c r="W817" s="514"/>
      <c r="X817" s="514"/>
      <c r="Y817" s="514"/>
      <c r="Z817" s="923"/>
      <c r="AA817" s="514"/>
      <c r="AB817" s="514"/>
      <c r="AC817" s="514"/>
      <c r="AD817" s="757"/>
      <c r="AE817" s="774"/>
      <c r="AF817" s="514"/>
      <c r="AG817" s="923"/>
      <c r="AH817" s="789"/>
      <c r="AI817" s="664">
        <f t="shared" si="53"/>
        <v>0</v>
      </c>
      <c r="AJ817" s="521">
        <v>0</v>
      </c>
      <c r="AK817" s="520">
        <f t="shared" si="51"/>
        <v>0</v>
      </c>
      <c r="AL817" s="673" t="s">
        <v>1530</v>
      </c>
      <c r="AM817" s="669">
        <f t="shared" si="52"/>
        <v>23.07</v>
      </c>
    </row>
    <row r="818" spans="1:42" s="500" customFormat="1" hidden="1">
      <c r="A818" s="539" t="s">
        <v>656</v>
      </c>
      <c r="B818" s="539" t="s">
        <v>1203</v>
      </c>
      <c r="C818" s="548" t="s">
        <v>37</v>
      </c>
      <c r="D818" s="519"/>
      <c r="E818" s="915"/>
      <c r="F818" s="520"/>
      <c r="G818" s="520"/>
      <c r="H818" s="520"/>
      <c r="I818" s="521"/>
      <c r="J818" s="521"/>
      <c r="K818" s="521"/>
      <c r="L818" s="923"/>
      <c r="M818" s="514"/>
      <c r="N818" s="514"/>
      <c r="O818" s="514"/>
      <c r="P818" s="514"/>
      <c r="Q818" s="514"/>
      <c r="R818" s="514"/>
      <c r="S818" s="923"/>
      <c r="T818" s="514"/>
      <c r="U818" s="514"/>
      <c r="V818" s="514"/>
      <c r="W818" s="514"/>
      <c r="X818" s="514"/>
      <c r="Y818" s="514"/>
      <c r="Z818" s="923"/>
      <c r="AA818" s="514"/>
      <c r="AB818" s="514"/>
      <c r="AC818" s="514"/>
      <c r="AD818" s="514"/>
      <c r="AE818" s="774"/>
      <c r="AF818" s="514"/>
      <c r="AG818" s="923"/>
      <c r="AH818" s="789"/>
      <c r="AI818" s="664">
        <f t="shared" si="53"/>
        <v>0</v>
      </c>
      <c r="AJ818" s="521">
        <v>0</v>
      </c>
      <c r="AK818" s="520">
        <f t="shared" si="51"/>
        <v>0</v>
      </c>
      <c r="AL818" s="672" t="s">
        <v>1531</v>
      </c>
      <c r="AM818" s="669">
        <f t="shared" si="52"/>
        <v>10.4</v>
      </c>
    </row>
    <row r="819" spans="1:42" s="843" customFormat="1" hidden="1">
      <c r="A819" s="832" t="s">
        <v>657</v>
      </c>
      <c r="B819" s="832" t="s">
        <v>1204</v>
      </c>
      <c r="C819" s="846" t="s">
        <v>40</v>
      </c>
      <c r="D819" s="834"/>
      <c r="E819" s="915"/>
      <c r="F819" s="835"/>
      <c r="G819" s="835"/>
      <c r="H819" s="835"/>
      <c r="I819" s="836"/>
      <c r="J819" s="836"/>
      <c r="K819" s="836"/>
      <c r="L819" s="923"/>
      <c r="M819" s="837"/>
      <c r="N819" s="837"/>
      <c r="O819" s="837"/>
      <c r="P819" s="837"/>
      <c r="Q819" s="837"/>
      <c r="R819" s="837"/>
      <c r="S819" s="923"/>
      <c r="T819" s="837"/>
      <c r="U819" s="837"/>
      <c r="V819" s="837"/>
      <c r="W819" s="837"/>
      <c r="X819" s="837"/>
      <c r="Y819" s="837"/>
      <c r="Z819" s="923"/>
      <c r="AA819" s="837"/>
      <c r="AB819" s="837"/>
      <c r="AC819" s="837"/>
      <c r="AD819" s="837"/>
      <c r="AE819" s="774"/>
      <c r="AF819" s="837"/>
      <c r="AG819" s="923"/>
      <c r="AH819" s="839"/>
      <c r="AI819" s="840">
        <f t="shared" si="53"/>
        <v>0</v>
      </c>
      <c r="AJ819" s="836">
        <v>0</v>
      </c>
      <c r="AK819" s="835">
        <f t="shared" si="51"/>
        <v>0</v>
      </c>
      <c r="AL819" s="841" t="s">
        <v>1532</v>
      </c>
      <c r="AM819" s="842">
        <f t="shared" si="52"/>
        <v>2.1800000000000002</v>
      </c>
    </row>
    <row r="820" spans="1:42" s="843" customFormat="1" hidden="1">
      <c r="A820" s="832" t="s">
        <v>658</v>
      </c>
      <c r="B820" s="832" t="s">
        <v>1205</v>
      </c>
      <c r="C820" s="846" t="s">
        <v>40</v>
      </c>
      <c r="D820" s="834"/>
      <c r="E820" s="915"/>
      <c r="F820" s="835"/>
      <c r="G820" s="835"/>
      <c r="H820" s="835"/>
      <c r="I820" s="836"/>
      <c r="J820" s="836"/>
      <c r="K820" s="836"/>
      <c r="L820" s="923"/>
      <c r="M820" s="837"/>
      <c r="N820" s="837"/>
      <c r="O820" s="837"/>
      <c r="P820" s="837"/>
      <c r="Q820" s="837"/>
      <c r="R820" s="837"/>
      <c r="S820" s="923"/>
      <c r="T820" s="837"/>
      <c r="U820" s="837"/>
      <c r="V820" s="837"/>
      <c r="W820" s="837"/>
      <c r="X820" s="837"/>
      <c r="Y820" s="837"/>
      <c r="Z820" s="923"/>
      <c r="AA820" s="837"/>
      <c r="AB820" s="837"/>
      <c r="AC820" s="837"/>
      <c r="AD820" s="837"/>
      <c r="AE820" s="774"/>
      <c r="AF820" s="837"/>
      <c r="AG820" s="923"/>
      <c r="AH820" s="839"/>
      <c r="AI820" s="840">
        <f t="shared" si="53"/>
        <v>0</v>
      </c>
      <c r="AJ820" s="836">
        <v>0</v>
      </c>
      <c r="AK820" s="835">
        <f t="shared" si="51"/>
        <v>0</v>
      </c>
      <c r="AL820" s="841" t="s">
        <v>1533</v>
      </c>
      <c r="AM820" s="842">
        <f t="shared" si="52"/>
        <v>29.03</v>
      </c>
    </row>
    <row r="821" spans="1:42" s="500" customFormat="1" hidden="1">
      <c r="A821" s="539" t="s">
        <v>659</v>
      </c>
      <c r="B821" s="539" t="s">
        <v>1167</v>
      </c>
      <c r="C821" s="548" t="s">
        <v>37</v>
      </c>
      <c r="D821" s="519"/>
      <c r="E821" s="915"/>
      <c r="F821" s="520"/>
      <c r="G821" s="520"/>
      <c r="H821" s="520"/>
      <c r="I821" s="521"/>
      <c r="J821" s="521"/>
      <c r="K821" s="521"/>
      <c r="L821" s="923"/>
      <c r="M821" s="514"/>
      <c r="N821" s="514"/>
      <c r="O821" s="514"/>
      <c r="P821" s="514"/>
      <c r="Q821" s="514"/>
      <c r="R821" s="514"/>
      <c r="S821" s="923"/>
      <c r="T821" s="514"/>
      <c r="U821" s="514"/>
      <c r="V821" s="514"/>
      <c r="W821" s="514"/>
      <c r="X821" s="514"/>
      <c r="Y821" s="514"/>
      <c r="Z821" s="923"/>
      <c r="AA821" s="514"/>
      <c r="AB821" s="514"/>
      <c r="AC821" s="514"/>
      <c r="AD821" s="514"/>
      <c r="AE821" s="774"/>
      <c r="AF821" s="514"/>
      <c r="AG821" s="923"/>
      <c r="AH821" s="789"/>
      <c r="AI821" s="664">
        <f t="shared" si="53"/>
        <v>0</v>
      </c>
      <c r="AJ821" s="521">
        <v>0</v>
      </c>
      <c r="AK821" s="520">
        <f t="shared" si="51"/>
        <v>0</v>
      </c>
      <c r="AL821" s="672" t="s">
        <v>1528</v>
      </c>
      <c r="AM821" s="669">
        <f t="shared" si="52"/>
        <v>72.33</v>
      </c>
    </row>
    <row r="822" spans="1:42" s="500" customFormat="1" hidden="1">
      <c r="A822" s="539" t="s">
        <v>660</v>
      </c>
      <c r="B822" s="539" t="s">
        <v>1168</v>
      </c>
      <c r="C822" s="548" t="s">
        <v>37</v>
      </c>
      <c r="D822" s="519"/>
      <c r="E822" s="915"/>
      <c r="F822" s="520"/>
      <c r="G822" s="520"/>
      <c r="H822" s="520"/>
      <c r="I822" s="521"/>
      <c r="J822" s="521"/>
      <c r="K822" s="521"/>
      <c r="L822" s="923"/>
      <c r="M822" s="514"/>
      <c r="N822" s="514"/>
      <c r="O822" s="514"/>
      <c r="P822" s="514"/>
      <c r="Q822" s="514"/>
      <c r="R822" s="514"/>
      <c r="S822" s="923"/>
      <c r="T822" s="514"/>
      <c r="U822" s="514"/>
      <c r="V822" s="514"/>
      <c r="W822" s="514"/>
      <c r="X822" s="514"/>
      <c r="Y822" s="514"/>
      <c r="Z822" s="923"/>
      <c r="AA822" s="514"/>
      <c r="AB822" s="514"/>
      <c r="AC822" s="514"/>
      <c r="AD822" s="514"/>
      <c r="AE822" s="774"/>
      <c r="AF822" s="514"/>
      <c r="AG822" s="923"/>
      <c r="AH822" s="789"/>
      <c r="AI822" s="664">
        <f t="shared" si="53"/>
        <v>0</v>
      </c>
      <c r="AJ822" s="521">
        <v>0</v>
      </c>
      <c r="AK822" s="520">
        <f t="shared" si="51"/>
        <v>0</v>
      </c>
      <c r="AL822" s="672"/>
      <c r="AM822" s="669">
        <f t="shared" si="52"/>
        <v>0</v>
      </c>
    </row>
    <row r="823" spans="1:42" s="500" customFormat="1">
      <c r="A823" s="542" t="s">
        <v>661</v>
      </c>
      <c r="B823" s="542" t="s">
        <v>1169</v>
      </c>
      <c r="C823" s="616"/>
      <c r="D823" s="519"/>
      <c r="E823" s="915"/>
      <c r="F823" s="520"/>
      <c r="G823" s="520"/>
      <c r="H823" s="520"/>
      <c r="I823" s="521"/>
      <c r="J823" s="521"/>
      <c r="K823" s="521"/>
      <c r="L823" s="923"/>
      <c r="M823" s="514"/>
      <c r="N823" s="514"/>
      <c r="O823" s="514"/>
      <c r="P823" s="514"/>
      <c r="Q823" s="514"/>
      <c r="R823" s="514"/>
      <c r="S823" s="923"/>
      <c r="T823" s="514"/>
      <c r="U823" s="514"/>
      <c r="V823" s="514"/>
      <c r="W823" s="514"/>
      <c r="X823" s="514"/>
      <c r="Y823" s="514"/>
      <c r="Z823" s="923"/>
      <c r="AA823" s="514"/>
      <c r="AB823" s="514"/>
      <c r="AC823" s="514"/>
      <c r="AD823" s="514"/>
      <c r="AE823" s="774"/>
      <c r="AF823" s="514"/>
      <c r="AG823" s="923"/>
      <c r="AH823" s="789"/>
      <c r="AI823" s="664">
        <f t="shared" si="53"/>
        <v>0</v>
      </c>
      <c r="AJ823" s="521">
        <v>0</v>
      </c>
      <c r="AK823" s="520">
        <f t="shared" si="51"/>
        <v>0</v>
      </c>
      <c r="AL823" s="672"/>
      <c r="AM823" s="669">
        <f t="shared" si="52"/>
        <v>0</v>
      </c>
    </row>
    <row r="824" spans="1:42" s="500" customFormat="1" hidden="1">
      <c r="A824" s="539" t="s">
        <v>662</v>
      </c>
      <c r="B824" s="539" t="s">
        <v>1170</v>
      </c>
      <c r="C824" s="616"/>
      <c r="D824" s="519"/>
      <c r="E824" s="915"/>
      <c r="F824" s="520"/>
      <c r="G824" s="520"/>
      <c r="H824" s="520"/>
      <c r="I824" s="521"/>
      <c r="J824" s="521"/>
      <c r="K824" s="521"/>
      <c r="L824" s="923"/>
      <c r="M824" s="514"/>
      <c r="N824" s="514"/>
      <c r="O824" s="514"/>
      <c r="P824" s="514"/>
      <c r="Q824" s="514"/>
      <c r="R824" s="514"/>
      <c r="S824" s="923"/>
      <c r="T824" s="514"/>
      <c r="U824" s="514"/>
      <c r="V824" s="514"/>
      <c r="W824" s="514"/>
      <c r="X824" s="514"/>
      <c r="Y824" s="514"/>
      <c r="Z824" s="923"/>
      <c r="AA824" s="514"/>
      <c r="AB824" s="514"/>
      <c r="AC824" s="522"/>
      <c r="AD824" s="514"/>
      <c r="AE824" s="774"/>
      <c r="AF824" s="514"/>
      <c r="AG824" s="923"/>
      <c r="AH824" s="789"/>
      <c r="AI824" s="664">
        <f t="shared" si="53"/>
        <v>0</v>
      </c>
      <c r="AJ824" s="521">
        <v>0</v>
      </c>
      <c r="AK824" s="520">
        <f t="shared" si="51"/>
        <v>0</v>
      </c>
      <c r="AL824" s="672" t="s">
        <v>1534</v>
      </c>
      <c r="AM824" s="669">
        <f t="shared" si="52"/>
        <v>6.34</v>
      </c>
    </row>
    <row r="825" spans="1:42" s="500" customFormat="1" hidden="1">
      <c r="A825" s="539" t="s">
        <v>663</v>
      </c>
      <c r="B825" s="539" t="s">
        <v>1206</v>
      </c>
      <c r="C825" s="548" t="s">
        <v>40</v>
      </c>
      <c r="D825" s="519"/>
      <c r="E825" s="915"/>
      <c r="F825" s="520"/>
      <c r="G825" s="520"/>
      <c r="H825" s="520"/>
      <c r="I825" s="521"/>
      <c r="J825" s="521"/>
      <c r="K825" s="521"/>
      <c r="L825" s="923"/>
      <c r="M825" s="514"/>
      <c r="N825" s="514"/>
      <c r="O825" s="514"/>
      <c r="P825" s="514"/>
      <c r="Q825" s="514"/>
      <c r="R825" s="514"/>
      <c r="S825" s="923"/>
      <c r="T825" s="514"/>
      <c r="U825" s="514"/>
      <c r="V825" s="514"/>
      <c r="W825" s="514"/>
      <c r="X825" s="514"/>
      <c r="Y825" s="514"/>
      <c r="Z825" s="929"/>
      <c r="AA825" s="514"/>
      <c r="AB825" s="514"/>
      <c r="AC825" s="514"/>
      <c r="AD825" s="514"/>
      <c r="AE825" s="774"/>
      <c r="AF825" s="514"/>
      <c r="AG825" s="923"/>
      <c r="AH825" s="789"/>
      <c r="AI825" s="664">
        <f t="shared" si="53"/>
        <v>0</v>
      </c>
      <c r="AJ825" s="521">
        <v>0</v>
      </c>
      <c r="AK825" s="520">
        <f t="shared" ref="AK825:AK830" si="54">AI825+AJ825</f>
        <v>0</v>
      </c>
      <c r="AL825" s="672" t="s">
        <v>1535</v>
      </c>
      <c r="AM825" s="669">
        <f t="shared" ref="AM825:AM830" si="55">AL825-AK825</f>
        <v>264.95999999999998</v>
      </c>
    </row>
    <row r="826" spans="1:42" s="500" customFormat="1" hidden="1">
      <c r="A826" s="539" t="s">
        <v>664</v>
      </c>
      <c r="B826" s="539" t="s">
        <v>1172</v>
      </c>
      <c r="C826" s="548" t="s">
        <v>48</v>
      </c>
      <c r="D826" s="519"/>
      <c r="E826" s="915"/>
      <c r="F826" s="520"/>
      <c r="G826" s="520"/>
      <c r="H826" s="520"/>
      <c r="I826" s="521"/>
      <c r="J826" s="521"/>
      <c r="K826" s="521"/>
      <c r="L826" s="923"/>
      <c r="M826" s="514"/>
      <c r="N826" s="514"/>
      <c r="O826" s="514"/>
      <c r="P826" s="514"/>
      <c r="Q826" s="514"/>
      <c r="R826" s="514"/>
      <c r="S826" s="923"/>
      <c r="T826" s="514"/>
      <c r="U826" s="514"/>
      <c r="V826" s="514"/>
      <c r="W826" s="514"/>
      <c r="X826" s="514"/>
      <c r="Y826" s="514"/>
      <c r="Z826" s="923"/>
      <c r="AA826" s="514"/>
      <c r="AB826" s="514"/>
      <c r="AC826" s="514"/>
      <c r="AD826" s="514"/>
      <c r="AE826" s="774"/>
      <c r="AF826" s="514"/>
      <c r="AG826" s="923"/>
      <c r="AH826" s="789"/>
      <c r="AI826" s="664">
        <f t="shared" si="53"/>
        <v>0</v>
      </c>
      <c r="AJ826" s="521">
        <v>0</v>
      </c>
      <c r="AK826" s="520">
        <f t="shared" si="54"/>
        <v>0</v>
      </c>
      <c r="AL826" s="672"/>
      <c r="AM826" s="669">
        <f t="shared" si="55"/>
        <v>0</v>
      </c>
    </row>
    <row r="827" spans="1:42" s="500" customFormat="1">
      <c r="A827" s="539" t="s">
        <v>665</v>
      </c>
      <c r="B827" s="539" t="s">
        <v>1173</v>
      </c>
      <c r="C827" s="616"/>
      <c r="D827" s="519"/>
      <c r="E827" s="915"/>
      <c r="F827" s="520"/>
      <c r="G827" s="520"/>
      <c r="H827" s="520"/>
      <c r="I827" s="521"/>
      <c r="J827" s="521"/>
      <c r="K827" s="521"/>
      <c r="L827" s="923"/>
      <c r="M827" s="514"/>
      <c r="N827" s="514"/>
      <c r="O827" s="514"/>
      <c r="P827" s="514"/>
      <c r="Q827" s="514"/>
      <c r="R827" s="514"/>
      <c r="S827" s="923"/>
      <c r="T827" s="514"/>
      <c r="U827" s="514"/>
      <c r="V827" s="514"/>
      <c r="W827" s="514"/>
      <c r="X827" s="514"/>
      <c r="Y827" s="514"/>
      <c r="Z827" s="923"/>
      <c r="AA827" s="514"/>
      <c r="AB827" s="514"/>
      <c r="AC827" s="514"/>
      <c r="AD827" s="514"/>
      <c r="AE827" s="774"/>
      <c r="AF827" s="514"/>
      <c r="AG827" s="923"/>
      <c r="AH827" s="789"/>
      <c r="AI827" s="664">
        <f t="shared" si="53"/>
        <v>0</v>
      </c>
      <c r="AJ827" s="521">
        <v>0</v>
      </c>
      <c r="AK827" s="520">
        <f t="shared" si="54"/>
        <v>0</v>
      </c>
      <c r="AL827" s="672" t="s">
        <v>1536</v>
      </c>
      <c r="AM827" s="669">
        <f t="shared" si="55"/>
        <v>3.77</v>
      </c>
    </row>
    <row r="828" spans="1:42" s="500" customFormat="1">
      <c r="A828" s="539" t="s">
        <v>666</v>
      </c>
      <c r="B828" s="539" t="s">
        <v>1207</v>
      </c>
      <c r="C828" s="548" t="s">
        <v>40</v>
      </c>
      <c r="D828" s="519"/>
      <c r="E828" s="915"/>
      <c r="G828" s="864">
        <f>40.27*0.1253*0.25</f>
        <v>1.2614577500000002</v>
      </c>
      <c r="H828" s="520"/>
      <c r="I828" s="521"/>
      <c r="J828" s="521"/>
      <c r="K828" s="521"/>
      <c r="L828" s="923"/>
      <c r="M828" s="514"/>
      <c r="N828" s="514"/>
      <c r="O828" s="514"/>
      <c r="P828" s="514"/>
      <c r="Q828" s="514"/>
      <c r="R828" s="514"/>
      <c r="S828" s="923"/>
      <c r="T828" s="514"/>
      <c r="U828" s="514"/>
      <c r="V828" s="514"/>
      <c r="W828" s="514"/>
      <c r="X828" s="514"/>
      <c r="Y828" s="514"/>
      <c r="Z828" s="923"/>
      <c r="AA828" s="514"/>
      <c r="AB828" s="514"/>
      <c r="AC828" s="514"/>
      <c r="AD828" s="514"/>
      <c r="AE828" s="774"/>
      <c r="AF828" s="514"/>
      <c r="AG828" s="923"/>
      <c r="AH828" s="789"/>
      <c r="AI828" s="903">
        <f t="shared" si="53"/>
        <v>1.26</v>
      </c>
      <c r="AJ828" s="521">
        <v>0</v>
      </c>
      <c r="AK828" s="520">
        <f t="shared" si="54"/>
        <v>1.26</v>
      </c>
      <c r="AL828" s="672" t="s">
        <v>1537</v>
      </c>
      <c r="AM828" s="669">
        <f t="shared" si="55"/>
        <v>28.919999999999998</v>
      </c>
    </row>
    <row r="829" spans="1:42" s="500" customFormat="1">
      <c r="A829" s="539" t="s">
        <v>667</v>
      </c>
      <c r="B829" s="539" t="s">
        <v>1175</v>
      </c>
      <c r="C829" s="548" t="s">
        <v>37</v>
      </c>
      <c r="D829" s="519"/>
      <c r="E829" s="915"/>
      <c r="F829" s="864">
        <f>40.27*0.1253*2</f>
        <v>10.091662000000001</v>
      </c>
      <c r="G829" s="520"/>
      <c r="H829" s="520"/>
      <c r="I829" s="521"/>
      <c r="J829" s="521"/>
      <c r="K829" s="521"/>
      <c r="L829" s="923"/>
      <c r="M829" s="514"/>
      <c r="N829" s="514"/>
      <c r="O829" s="514"/>
      <c r="P829" s="514"/>
      <c r="Q829" s="514"/>
      <c r="R829" s="514"/>
      <c r="S829" s="923"/>
      <c r="T829" s="514"/>
      <c r="U829" s="514"/>
      <c r="V829" s="514"/>
      <c r="W829" s="514"/>
      <c r="X829" s="514"/>
      <c r="Y829" s="514"/>
      <c r="Z829" s="923"/>
      <c r="AA829" s="514"/>
      <c r="AB829" s="514"/>
      <c r="AC829" s="527"/>
      <c r="AD829" s="667"/>
      <c r="AE829" s="774"/>
      <c r="AF829" s="514"/>
      <c r="AG829" s="923"/>
      <c r="AH829" s="789"/>
      <c r="AI829" s="903">
        <f t="shared" si="53"/>
        <v>10.09</v>
      </c>
      <c r="AJ829" s="521">
        <v>0</v>
      </c>
      <c r="AK829" s="520">
        <f t="shared" si="54"/>
        <v>10.09</v>
      </c>
      <c r="AL829" s="672" t="s">
        <v>1538</v>
      </c>
      <c r="AM829" s="669">
        <f t="shared" si="55"/>
        <v>355.24</v>
      </c>
    </row>
    <row r="830" spans="1:42" s="500" customFormat="1" ht="13.35" customHeight="1">
      <c r="A830" s="539" t="s">
        <v>668</v>
      </c>
      <c r="B830" s="539" t="s">
        <v>1176</v>
      </c>
      <c r="C830" s="548" t="s">
        <v>48</v>
      </c>
      <c r="D830" s="519"/>
      <c r="E830" s="915"/>
      <c r="F830" s="864">
        <v>193.67</v>
      </c>
      <c r="G830" s="520"/>
      <c r="H830" s="520"/>
      <c r="I830" s="521"/>
      <c r="J830" s="521"/>
      <c r="K830" s="521"/>
      <c r="L830" s="923"/>
      <c r="M830" s="514"/>
      <c r="N830" s="514"/>
      <c r="O830" s="514"/>
      <c r="P830" s="514"/>
      <c r="Q830" s="514"/>
      <c r="R830" s="514"/>
      <c r="S830" s="923"/>
      <c r="T830" s="514"/>
      <c r="U830" s="514"/>
      <c r="V830" s="514"/>
      <c r="W830" s="514"/>
      <c r="X830" s="514"/>
      <c r="Y830" s="514"/>
      <c r="Z830" s="923"/>
      <c r="AA830" s="514"/>
      <c r="AB830" s="514"/>
      <c r="AC830" s="514"/>
      <c r="AD830" s="514"/>
      <c r="AE830" s="774"/>
      <c r="AF830" s="514"/>
      <c r="AG830" s="923"/>
      <c r="AH830" s="789"/>
      <c r="AI830" s="664">
        <f t="shared" si="53"/>
        <v>193.67</v>
      </c>
      <c r="AJ830" s="521">
        <v>0</v>
      </c>
      <c r="AK830" s="520">
        <f t="shared" si="54"/>
        <v>193.67</v>
      </c>
      <c r="AL830" s="672"/>
      <c r="AM830" s="669">
        <f t="shared" si="55"/>
        <v>-193.67</v>
      </c>
    </row>
    <row r="831" spans="1:42" s="934" customFormat="1" ht="24" thickBot="1">
      <c r="A831" s="933"/>
      <c r="B831" s="938" t="s">
        <v>258</v>
      </c>
      <c r="D831" s="2784" t="s">
        <v>258</v>
      </c>
      <c r="E831" s="2784"/>
      <c r="F831" s="2784"/>
      <c r="G831" s="2784"/>
      <c r="H831" s="2784"/>
      <c r="I831" s="2784"/>
      <c r="J831" s="2784"/>
      <c r="K831" s="2784"/>
      <c r="L831" s="2784"/>
      <c r="M831" s="2784"/>
      <c r="N831" s="2784"/>
      <c r="O831" s="2784"/>
      <c r="P831" s="2784"/>
      <c r="Q831" s="2784"/>
      <c r="R831" s="2784"/>
      <c r="S831" s="2784"/>
      <c r="T831" s="2784"/>
      <c r="U831" s="2784"/>
      <c r="V831" s="2784"/>
      <c r="W831" s="2784"/>
      <c r="X831" s="2784"/>
      <c r="Y831" s="2784"/>
      <c r="Z831" s="2784"/>
      <c r="AA831" s="2784"/>
      <c r="AB831" s="2784"/>
      <c r="AC831" s="2784"/>
      <c r="AD831" s="2784"/>
      <c r="AE831" s="2784"/>
      <c r="AF831" s="2784"/>
      <c r="AG831" s="2784"/>
      <c r="AH831" s="2784"/>
      <c r="AI831" s="2784"/>
      <c r="AJ831" s="2784"/>
      <c r="AK831" s="2784"/>
      <c r="AL831" s="2784"/>
      <c r="AM831" s="2784"/>
      <c r="AN831" s="2784"/>
      <c r="AO831" s="2784"/>
      <c r="AP831" s="2784"/>
    </row>
    <row r="832" spans="1:42" s="518" customFormat="1">
      <c r="A832" s="559" t="s">
        <v>514</v>
      </c>
      <c r="B832" s="560" t="s">
        <v>1804</v>
      </c>
      <c r="C832" s="558"/>
      <c r="D832" s="510"/>
      <c r="E832" s="914"/>
      <c r="F832" s="511"/>
      <c r="G832" s="511"/>
      <c r="H832" s="511"/>
      <c r="I832" s="512"/>
      <c r="J832" s="512"/>
      <c r="K832" s="512"/>
      <c r="L832" s="930"/>
      <c r="M832" s="512"/>
      <c r="N832" s="512"/>
      <c r="O832" s="512"/>
      <c r="P832" s="512"/>
      <c r="Q832" s="512"/>
      <c r="R832" s="512"/>
      <c r="S832" s="930"/>
      <c r="T832" s="512"/>
      <c r="U832" s="512"/>
      <c r="V832" s="512"/>
      <c r="W832" s="512"/>
      <c r="X832" s="512"/>
      <c r="Y832" s="512"/>
      <c r="Z832" s="930"/>
      <c r="AA832" s="512"/>
      <c r="AB832" s="513"/>
      <c r="AC832" s="513"/>
      <c r="AD832" s="513"/>
      <c r="AE832" s="809"/>
      <c r="AF832" s="514"/>
      <c r="AG832" s="923"/>
      <c r="AH832" s="514"/>
      <c r="AI832" s="515">
        <f>SUM(D832:AH832)</f>
        <v>0</v>
      </c>
      <c r="AJ832" s="516">
        <v>0</v>
      </c>
      <c r="AK832" s="517">
        <f>AI832-AJ832</f>
        <v>0</v>
      </c>
      <c r="AN832" s="516">
        <v>0</v>
      </c>
      <c r="AO832" s="517">
        <f>AM832-AN832</f>
        <v>0</v>
      </c>
    </row>
    <row r="833" spans="1:43" s="500" customFormat="1">
      <c r="A833" s="539" t="s">
        <v>515</v>
      </c>
      <c r="B833" s="279" t="s">
        <v>34</v>
      </c>
      <c r="C833" s="529"/>
      <c r="D833" s="519"/>
      <c r="E833" s="915"/>
      <c r="F833" s="520"/>
      <c r="G833" s="520"/>
      <c r="H833" s="520"/>
      <c r="I833" s="521"/>
      <c r="J833" s="521"/>
      <c r="K833" s="521"/>
      <c r="L833" s="899"/>
      <c r="M833" s="521"/>
      <c r="N833" s="521"/>
      <c r="O833" s="521"/>
      <c r="P833" s="521"/>
      <c r="Q833" s="521"/>
      <c r="R833" s="521"/>
      <c r="S833" s="899"/>
      <c r="T833" s="521"/>
      <c r="U833" s="521"/>
      <c r="V833" s="521"/>
      <c r="W833" s="521"/>
      <c r="X833" s="521"/>
      <c r="Y833" s="521"/>
      <c r="Z833" s="899"/>
      <c r="AA833" s="521"/>
      <c r="AB833" s="522"/>
      <c r="AC833" s="522"/>
      <c r="AD833" s="514"/>
      <c r="AE833" s="764"/>
      <c r="AF833" s="514"/>
      <c r="AG833" s="923"/>
      <c r="AH833" s="514"/>
      <c r="AI833" s="515">
        <f t="shared" ref="AI833:AI872" si="56">SUM(D833:AH833)</f>
        <v>0</v>
      </c>
      <c r="AJ833" s="523">
        <v>0</v>
      </c>
      <c r="AK833" s="517">
        <f>AI833-AJ833</f>
        <v>0</v>
      </c>
      <c r="AN833" s="523">
        <v>0</v>
      </c>
      <c r="AO833" s="517">
        <f>AM833-AN833</f>
        <v>0</v>
      </c>
    </row>
    <row r="834" spans="1:43" s="500" customFormat="1">
      <c r="A834" s="539" t="s">
        <v>1805</v>
      </c>
      <c r="B834" s="279" t="s">
        <v>1820</v>
      </c>
      <c r="C834" s="524" t="s">
        <v>40</v>
      </c>
      <c r="D834" s="771">
        <v>15</v>
      </c>
      <c r="E834" s="921"/>
      <c r="F834" s="771">
        <v>20</v>
      </c>
      <c r="G834" s="771">
        <v>20</v>
      </c>
      <c r="H834" s="771">
        <v>20</v>
      </c>
      <c r="I834" s="771">
        <v>20</v>
      </c>
      <c r="J834" s="771">
        <v>20</v>
      </c>
      <c r="K834" s="771">
        <v>15</v>
      </c>
      <c r="L834" s="921"/>
      <c r="M834" s="771">
        <v>20</v>
      </c>
      <c r="N834" s="771">
        <v>20</v>
      </c>
      <c r="O834" s="771">
        <v>20</v>
      </c>
      <c r="P834" s="771">
        <v>20</v>
      </c>
      <c r="Q834" s="771">
        <v>20</v>
      </c>
      <c r="R834" s="771">
        <v>15</v>
      </c>
      <c r="S834" s="921"/>
      <c r="T834" s="771">
        <v>20</v>
      </c>
      <c r="U834" s="771">
        <v>20</v>
      </c>
      <c r="V834" s="771">
        <v>20</v>
      </c>
      <c r="W834" s="771">
        <v>20</v>
      </c>
      <c r="X834" s="771">
        <v>20</v>
      </c>
      <c r="Y834" s="771">
        <v>15</v>
      </c>
      <c r="Z834" s="921"/>
      <c r="AA834" s="771">
        <v>20</v>
      </c>
      <c r="AB834" s="771">
        <v>20</v>
      </c>
      <c r="AC834" s="771">
        <v>20</v>
      </c>
      <c r="AD834" s="771">
        <v>20</v>
      </c>
      <c r="AE834" s="771"/>
      <c r="AF834" s="771">
        <v>15</v>
      </c>
      <c r="AG834" s="921"/>
      <c r="AH834" s="884">
        <v>21.93</v>
      </c>
      <c r="AI834" s="515">
        <f t="shared" si="56"/>
        <v>476.93</v>
      </c>
      <c r="AJ834" s="523">
        <v>1088.27</v>
      </c>
      <c r="AK834" s="517">
        <f>AI834+AJ834</f>
        <v>1565.2</v>
      </c>
      <c r="AL834" s="500">
        <f>1.3*1204</f>
        <v>1565.2</v>
      </c>
      <c r="AM834" s="517">
        <f>AL834-AK834</f>
        <v>0</v>
      </c>
      <c r="AN834" s="523">
        <v>1088.27</v>
      </c>
      <c r="AO834" s="517">
        <f>AM834+AN834</f>
        <v>1088.27</v>
      </c>
      <c r="AP834" s="500">
        <f>1.3*1204</f>
        <v>1565.2</v>
      </c>
      <c r="AQ834" s="517">
        <f>AP834-AO834</f>
        <v>476.93000000000006</v>
      </c>
    </row>
    <row r="835" spans="1:43" s="500" customFormat="1">
      <c r="A835" s="539" t="s">
        <v>1929</v>
      </c>
      <c r="B835" s="752" t="s">
        <v>1935</v>
      </c>
      <c r="C835" s="746" t="s">
        <v>40</v>
      </c>
      <c r="D835" s="520"/>
      <c r="E835" s="915"/>
      <c r="F835" s="864">
        <v>14</v>
      </c>
      <c r="G835" s="864">
        <v>14</v>
      </c>
      <c r="H835" s="520"/>
      <c r="I835" s="772">
        <v>14</v>
      </c>
      <c r="J835" s="772">
        <v>14</v>
      </c>
      <c r="K835" s="521"/>
      <c r="L835" s="899"/>
      <c r="M835" s="521"/>
      <c r="N835" s="527"/>
      <c r="O835" s="772">
        <v>14</v>
      </c>
      <c r="P835" s="772">
        <v>21</v>
      </c>
      <c r="Q835" s="772">
        <v>14</v>
      </c>
      <c r="R835" s="772">
        <v>14</v>
      </c>
      <c r="S835" s="899"/>
      <c r="T835" s="772">
        <v>14</v>
      </c>
      <c r="U835" s="772">
        <v>14</v>
      </c>
      <c r="V835" s="521"/>
      <c r="W835" s="521"/>
      <c r="X835" s="772">
        <v>14</v>
      </c>
      <c r="Y835" s="772">
        <v>14</v>
      </c>
      <c r="Z835" s="899"/>
      <c r="AA835" s="772">
        <v>14</v>
      </c>
      <c r="AB835" s="772">
        <v>14</v>
      </c>
      <c r="AC835" s="521"/>
      <c r="AD835" s="521"/>
      <c r="AE835" s="772"/>
      <c r="AF835" s="521"/>
      <c r="AG835" s="899"/>
      <c r="AH835" s="734"/>
      <c r="AI835" s="515">
        <f t="shared" si="56"/>
        <v>203</v>
      </c>
      <c r="AJ835" s="523">
        <v>339.27</v>
      </c>
      <c r="AK835" s="517">
        <f>AI835+AJ835</f>
        <v>542.27</v>
      </c>
      <c r="AL835" s="500">
        <v>1204.5</v>
      </c>
      <c r="AM835" s="517">
        <f t="shared" ref="AM835:AM838" si="57">AL835-AK835</f>
        <v>662.23</v>
      </c>
      <c r="AN835" s="523">
        <v>339.27</v>
      </c>
      <c r="AO835" s="517">
        <f>AM835+AN835</f>
        <v>1001.5</v>
      </c>
      <c r="AP835" s="500">
        <v>1204.5</v>
      </c>
      <c r="AQ835" s="517">
        <f t="shared" ref="AQ835:AQ838" si="58">AP835-AO835</f>
        <v>203</v>
      </c>
    </row>
    <row r="836" spans="1:43">
      <c r="A836" s="539" t="s">
        <v>1931</v>
      </c>
      <c r="B836" s="752" t="s">
        <v>1936</v>
      </c>
      <c r="C836" s="746" t="s">
        <v>40</v>
      </c>
      <c r="D836" s="520"/>
      <c r="E836" s="915"/>
      <c r="F836" s="520"/>
      <c r="G836" s="520"/>
      <c r="H836" s="520"/>
      <c r="I836" s="521"/>
      <c r="J836" s="521"/>
      <c r="K836" s="521"/>
      <c r="L836" s="899"/>
      <c r="M836" s="521"/>
      <c r="N836" s="772">
        <v>29</v>
      </c>
      <c r="O836" s="521"/>
      <c r="P836" s="521"/>
      <c r="Q836" s="521"/>
      <c r="R836" s="521"/>
      <c r="S836" s="899"/>
      <c r="T836" s="521"/>
      <c r="U836" s="521"/>
      <c r="V836" s="521"/>
      <c r="W836" s="521"/>
      <c r="X836" s="521"/>
      <c r="Y836" s="505"/>
      <c r="Z836" s="931"/>
      <c r="AA836" s="521"/>
      <c r="AB836" s="521"/>
      <c r="AC836" s="521"/>
      <c r="AD836" s="521"/>
      <c r="AE836" s="772"/>
      <c r="AF836" s="521"/>
      <c r="AG836" s="899"/>
      <c r="AH836" s="734"/>
      <c r="AI836" s="515">
        <f t="shared" si="56"/>
        <v>29</v>
      </c>
      <c r="AJ836" s="523">
        <v>340.27</v>
      </c>
      <c r="AK836" s="517">
        <f t="shared" ref="AK836:AK839" si="59">AI836+AJ836</f>
        <v>369.27</v>
      </c>
      <c r="AL836" s="500">
        <v>1205.5</v>
      </c>
      <c r="AM836" s="517">
        <f t="shared" si="57"/>
        <v>836.23</v>
      </c>
      <c r="AN836" s="523">
        <v>340.27</v>
      </c>
      <c r="AO836" s="517">
        <f t="shared" ref="AO836:AO839" si="60">AM836+AN836</f>
        <v>1176.5</v>
      </c>
      <c r="AP836" s="500">
        <v>1205.5</v>
      </c>
      <c r="AQ836" s="517">
        <f t="shared" si="58"/>
        <v>29</v>
      </c>
    </row>
    <row r="837" spans="1:43" s="500" customFormat="1">
      <c r="A837" s="539" t="s">
        <v>1932</v>
      </c>
      <c r="B837" s="752" t="s">
        <v>1937</v>
      </c>
      <c r="C837" s="746" t="s">
        <v>40</v>
      </c>
      <c r="D837" s="524"/>
      <c r="E837" s="915"/>
      <c r="F837" s="520"/>
      <c r="G837" s="520"/>
      <c r="H837" s="520"/>
      <c r="I837" s="521"/>
      <c r="J837" s="521"/>
      <c r="K837" s="521"/>
      <c r="L837" s="899"/>
      <c r="M837" s="521"/>
      <c r="N837" s="772">
        <v>8</v>
      </c>
      <c r="O837" s="521"/>
      <c r="P837" s="521"/>
      <c r="Q837" s="521"/>
      <c r="R837" s="521"/>
      <c r="S837" s="899"/>
      <c r="T837" s="521"/>
      <c r="U837" s="521"/>
      <c r="V837" s="521"/>
      <c r="W837" s="521"/>
      <c r="X837" s="521"/>
      <c r="Y837" s="521"/>
      <c r="Z837" s="899"/>
      <c r="AA837" s="521"/>
      <c r="AB837" s="521"/>
      <c r="AC837" s="521"/>
      <c r="AD837" s="521"/>
      <c r="AE837" s="772"/>
      <c r="AF837" s="521"/>
      <c r="AG837" s="899"/>
      <c r="AH837" s="734"/>
      <c r="AI837" s="515">
        <f t="shared" si="56"/>
        <v>8</v>
      </c>
      <c r="AJ837" s="523">
        <v>341.27</v>
      </c>
      <c r="AK837" s="517">
        <f t="shared" si="59"/>
        <v>349.27</v>
      </c>
      <c r="AL837" s="500">
        <v>1206.5</v>
      </c>
      <c r="AM837" s="517">
        <f t="shared" si="57"/>
        <v>857.23</v>
      </c>
      <c r="AN837" s="523">
        <v>341.27</v>
      </c>
      <c r="AO837" s="517">
        <f t="shared" si="60"/>
        <v>1198.5</v>
      </c>
      <c r="AP837" s="500">
        <v>1206.5</v>
      </c>
      <c r="AQ837" s="517">
        <f t="shared" si="58"/>
        <v>8</v>
      </c>
    </row>
    <row r="838" spans="1:43" s="500" customFormat="1">
      <c r="A838" s="539" t="s">
        <v>1933</v>
      </c>
      <c r="B838" s="752" t="s">
        <v>1939</v>
      </c>
      <c r="C838" s="746" t="s">
        <v>1938</v>
      </c>
      <c r="E838" s="915"/>
      <c r="F838" s="520"/>
      <c r="G838" s="520"/>
      <c r="H838" s="520"/>
      <c r="I838" s="521"/>
      <c r="J838" s="521"/>
      <c r="K838" s="521"/>
      <c r="L838" s="899"/>
      <c r="M838" s="521"/>
      <c r="N838" s="521"/>
      <c r="O838" s="521"/>
      <c r="P838" s="521"/>
      <c r="Q838" s="521"/>
      <c r="R838" s="521"/>
      <c r="S838" s="899"/>
      <c r="T838" s="521"/>
      <c r="U838" s="521"/>
      <c r="V838" s="521"/>
      <c r="W838" s="521"/>
      <c r="X838" s="521"/>
      <c r="Y838" s="521"/>
      <c r="Z838" s="899"/>
      <c r="AA838" s="521"/>
      <c r="AB838" s="521"/>
      <c r="AC838" s="521"/>
      <c r="AD838" s="521"/>
      <c r="AE838" s="810"/>
      <c r="AF838" s="521"/>
      <c r="AG838" s="899"/>
      <c r="AH838" s="734"/>
      <c r="AI838" s="515">
        <f t="shared" si="56"/>
        <v>0</v>
      </c>
      <c r="AJ838" s="523">
        <v>342.27</v>
      </c>
      <c r="AK838" s="517">
        <f t="shared" si="59"/>
        <v>342.27</v>
      </c>
      <c r="AL838" s="500">
        <v>1207.5</v>
      </c>
      <c r="AM838" s="517">
        <f t="shared" si="57"/>
        <v>865.23</v>
      </c>
      <c r="AN838" s="523">
        <v>342.27</v>
      </c>
      <c r="AO838" s="517">
        <f t="shared" si="60"/>
        <v>1207.5</v>
      </c>
      <c r="AP838" s="500">
        <v>1207.5</v>
      </c>
      <c r="AQ838" s="517">
        <f t="shared" si="58"/>
        <v>0</v>
      </c>
    </row>
    <row r="839" spans="1:43" s="500" customFormat="1">
      <c r="A839" s="539" t="s">
        <v>1934</v>
      </c>
      <c r="B839" s="752" t="s">
        <v>1930</v>
      </c>
      <c r="C839" s="747" t="s">
        <v>40</v>
      </c>
      <c r="D839" s="748"/>
      <c r="E839" s="922"/>
      <c r="F839" s="874">
        <v>7</v>
      </c>
      <c r="G839" s="874">
        <v>7</v>
      </c>
      <c r="H839" s="748"/>
      <c r="I839" s="750"/>
      <c r="J839" s="773">
        <v>7</v>
      </c>
      <c r="K839" s="750"/>
      <c r="L839" s="926"/>
      <c r="M839" s="750"/>
      <c r="N839" s="750"/>
      <c r="O839" s="750"/>
      <c r="P839" s="773">
        <v>14</v>
      </c>
      <c r="Q839" s="773">
        <v>14</v>
      </c>
      <c r="R839" s="773">
        <v>10</v>
      </c>
      <c r="S839" s="926"/>
      <c r="T839" s="773">
        <v>14</v>
      </c>
      <c r="U839" s="773">
        <v>14</v>
      </c>
      <c r="V839" s="750"/>
      <c r="W839" s="750"/>
      <c r="X839" s="773">
        <v>14</v>
      </c>
      <c r="Y839" s="773">
        <v>14</v>
      </c>
      <c r="Z839" s="899"/>
      <c r="AA839" s="773">
        <v>14</v>
      </c>
      <c r="AB839" s="773">
        <v>14</v>
      </c>
      <c r="AC839" s="750"/>
      <c r="AD839" s="750"/>
      <c r="AE839" s="773"/>
      <c r="AF839" s="750"/>
      <c r="AG839" s="926"/>
      <c r="AH839" s="734"/>
      <c r="AI839" s="515">
        <f t="shared" si="56"/>
        <v>143</v>
      </c>
      <c r="AJ839" s="523">
        <v>340.27</v>
      </c>
      <c r="AK839" s="517">
        <f t="shared" si="59"/>
        <v>483.27</v>
      </c>
      <c r="AL839" s="500">
        <v>1204.5</v>
      </c>
      <c r="AM839" s="517">
        <f>AL839-AK839</f>
        <v>721.23</v>
      </c>
      <c r="AN839" s="523">
        <v>340.27</v>
      </c>
      <c r="AO839" s="517">
        <f t="shared" si="60"/>
        <v>1061.5</v>
      </c>
      <c r="AP839" s="500">
        <v>1204.5</v>
      </c>
      <c r="AQ839" s="517">
        <f>AP839-AO839</f>
        <v>143</v>
      </c>
    </row>
    <row r="840" spans="1:43" s="500" customFormat="1">
      <c r="A840" s="539" t="s">
        <v>1940</v>
      </c>
      <c r="B840" s="752" t="s">
        <v>1944</v>
      </c>
      <c r="C840" s="747" t="s">
        <v>1943</v>
      </c>
      <c r="D840" s="748"/>
      <c r="E840" s="922"/>
      <c r="F840" s="748"/>
      <c r="G840" s="748"/>
      <c r="H840" s="748"/>
      <c r="I840" s="750"/>
      <c r="J840" s="750"/>
      <c r="K840" s="750"/>
      <c r="L840" s="926"/>
      <c r="M840" s="750"/>
      <c r="N840" s="750"/>
      <c r="O840" s="750"/>
      <c r="P840" s="750"/>
      <c r="Q840" s="521"/>
      <c r="R840" s="521"/>
      <c r="S840" s="926"/>
      <c r="T840" s="750"/>
      <c r="U840" s="750"/>
      <c r="V840" s="750"/>
      <c r="W840" s="750"/>
      <c r="X840" s="750"/>
      <c r="Y840" s="750"/>
      <c r="Z840" s="926"/>
      <c r="AB840" s="773">
        <f>((2*3*10/12)*250)+((2*4/12*10)*100)+((10*10/24)*100)+(150*(8*10/24))</f>
        <v>2833.333333333333</v>
      </c>
      <c r="AC840" s="750"/>
      <c r="AD840" s="750"/>
      <c r="AE840" s="773"/>
      <c r="AF840" s="750"/>
      <c r="AG840" s="926"/>
      <c r="AH840" s="734"/>
      <c r="AI840" s="515">
        <f t="shared" si="56"/>
        <v>2833.333333333333</v>
      </c>
      <c r="AJ840" s="758"/>
      <c r="AK840" s="517"/>
      <c r="AM840" s="517"/>
    </row>
    <row r="841" spans="1:43" s="500" customFormat="1">
      <c r="A841" s="539" t="s">
        <v>1941</v>
      </c>
      <c r="B841" s="752" t="s">
        <v>1945</v>
      </c>
      <c r="C841" s="747" t="s">
        <v>1943</v>
      </c>
      <c r="D841" s="748"/>
      <c r="E841" s="922"/>
      <c r="F841" s="748"/>
      <c r="G841" s="748"/>
      <c r="H841" s="748"/>
      <c r="I841" s="750"/>
      <c r="J841" s="750"/>
      <c r="K841" s="750"/>
      <c r="L841" s="926"/>
      <c r="M841" s="750"/>
      <c r="N841" s="750"/>
      <c r="O841" s="750"/>
      <c r="P841" s="750"/>
      <c r="Q841" s="667"/>
      <c r="R841" s="521"/>
      <c r="S841" s="926"/>
      <c r="T841" s="750"/>
      <c r="U841" s="750"/>
      <c r="V841" s="750"/>
      <c r="W841" s="750"/>
      <c r="X841" s="750"/>
      <c r="Y841" s="750"/>
      <c r="Z841" s="926"/>
      <c r="AA841" s="750"/>
      <c r="AB841" s="750"/>
      <c r="AC841" s="750"/>
      <c r="AD841" s="750"/>
      <c r="AE841" s="773"/>
      <c r="AF841" s="750"/>
      <c r="AG841" s="926"/>
      <c r="AH841" s="734"/>
      <c r="AI841" s="515">
        <f t="shared" si="56"/>
        <v>0</v>
      </c>
      <c r="AJ841" s="758"/>
      <c r="AK841" s="517"/>
      <c r="AM841" s="517"/>
    </row>
    <row r="842" spans="1:43" s="500" customFormat="1">
      <c r="A842" s="539" t="s">
        <v>1942</v>
      </c>
      <c r="B842" s="752" t="s">
        <v>1946</v>
      </c>
      <c r="C842" s="747" t="s">
        <v>37</v>
      </c>
      <c r="D842" s="748"/>
      <c r="E842" s="922"/>
      <c r="F842" s="748"/>
      <c r="G842" s="748"/>
      <c r="H842" s="748"/>
      <c r="I842" s="750"/>
      <c r="J842" s="750"/>
      <c r="K842" s="750"/>
      <c r="L842" s="926"/>
      <c r="M842" s="750"/>
      <c r="N842" s="750"/>
      <c r="O842" s="750"/>
      <c r="P842" s="750"/>
      <c r="Q842" s="667"/>
      <c r="R842" s="521"/>
      <c r="S842" s="926"/>
      <c r="T842" s="750"/>
      <c r="U842" s="750"/>
      <c r="V842" s="750"/>
      <c r="W842" s="750"/>
      <c r="X842" s="750"/>
      <c r="Y842" s="750"/>
      <c r="Z842" s="926"/>
      <c r="AA842" s="750"/>
      <c r="AB842" s="750"/>
      <c r="AC842" s="750"/>
      <c r="AD842" s="750"/>
      <c r="AE842" s="773"/>
      <c r="AF842" s="750"/>
      <c r="AG842" s="926"/>
      <c r="AH842" s="734"/>
      <c r="AI842" s="515">
        <f t="shared" si="56"/>
        <v>0</v>
      </c>
      <c r="AJ842" s="758"/>
      <c r="AK842" s="517"/>
      <c r="AM842" s="517"/>
    </row>
    <row r="843" spans="1:43" s="500" customFormat="1">
      <c r="A843" s="539" t="s">
        <v>1993</v>
      </c>
      <c r="B843" s="904" t="s">
        <v>2006</v>
      </c>
      <c r="C843" s="747" t="s">
        <v>73</v>
      </c>
      <c r="D843" s="748"/>
      <c r="E843" s="922"/>
      <c r="F843" s="748"/>
      <c r="G843" s="748"/>
      <c r="H843" s="748"/>
      <c r="I843" s="750"/>
      <c r="J843" s="773">
        <v>3035</v>
      </c>
      <c r="K843" s="773">
        <v>1965</v>
      </c>
      <c r="L843" s="926"/>
      <c r="M843" s="750"/>
      <c r="N843" s="750"/>
      <c r="O843" s="750"/>
      <c r="P843" s="750"/>
      <c r="Q843" s="670"/>
      <c r="R843" s="527"/>
      <c r="S843" s="926"/>
      <c r="T843" s="750"/>
      <c r="U843" s="750"/>
      <c r="V843" s="750"/>
      <c r="W843" s="750"/>
      <c r="X843" s="750"/>
      <c r="Y843" s="750"/>
      <c r="Z843" s="926"/>
      <c r="AA843" s="750"/>
      <c r="AB843" s="750"/>
      <c r="AC843" s="750"/>
      <c r="AD843" s="750"/>
      <c r="AE843" s="773"/>
      <c r="AF843" s="750"/>
      <c r="AG843" s="926"/>
      <c r="AH843" s="734"/>
      <c r="AI843" s="515">
        <f t="shared" si="56"/>
        <v>5000</v>
      </c>
      <c r="AJ843" s="758"/>
      <c r="AK843" s="517"/>
      <c r="AM843" s="517"/>
    </row>
    <row r="844" spans="1:43" s="500" customFormat="1">
      <c r="A844" s="539" t="s">
        <v>2004</v>
      </c>
      <c r="B844" s="904" t="s">
        <v>2095</v>
      </c>
      <c r="C844" s="747" t="s">
        <v>73</v>
      </c>
      <c r="D844" s="748"/>
      <c r="E844" s="922"/>
      <c r="F844" s="748"/>
      <c r="G844" s="748"/>
      <c r="H844" s="748"/>
      <c r="I844" s="750"/>
      <c r="J844" s="750"/>
      <c r="K844" s="750"/>
      <c r="L844" s="926"/>
      <c r="M844" s="750"/>
      <c r="N844" s="750"/>
      <c r="O844" s="773">
        <v>491</v>
      </c>
      <c r="P844" s="750"/>
      <c r="Q844" s="670"/>
      <c r="R844" s="527"/>
      <c r="S844" s="926"/>
      <c r="T844" s="750"/>
      <c r="U844" s="750"/>
      <c r="V844" s="750"/>
      <c r="W844" s="773">
        <v>1100</v>
      </c>
      <c r="X844" s="750"/>
      <c r="Y844" s="750"/>
      <c r="Z844" s="926"/>
      <c r="AA844" s="773">
        <v>609</v>
      </c>
      <c r="AB844" s="750"/>
      <c r="AC844" s="750"/>
      <c r="AD844" s="750"/>
      <c r="AE844" s="773"/>
      <c r="AF844" s="750"/>
      <c r="AG844" s="926"/>
      <c r="AH844" s="734"/>
      <c r="AI844" s="515">
        <f t="shared" si="56"/>
        <v>2200</v>
      </c>
      <c r="AJ844" s="758"/>
      <c r="AK844" s="517"/>
      <c r="AM844" s="517"/>
    </row>
    <row r="845" spans="1:43" s="500" customFormat="1">
      <c r="A845" s="539" t="s">
        <v>2008</v>
      </c>
      <c r="B845" s="904" t="s">
        <v>2009</v>
      </c>
      <c r="C845" s="747" t="s">
        <v>73</v>
      </c>
      <c r="D845" s="748"/>
      <c r="E845" s="922"/>
      <c r="F845" s="748"/>
      <c r="G845" s="748"/>
      <c r="H845" s="748"/>
      <c r="I845" s="750"/>
      <c r="J845" s="750"/>
      <c r="K845" s="750"/>
      <c r="L845" s="926"/>
      <c r="M845" s="773">
        <v>390</v>
      </c>
      <c r="N845" s="750"/>
      <c r="O845" s="750"/>
      <c r="P845" s="750"/>
      <c r="Q845" s="670"/>
      <c r="R845" s="527"/>
      <c r="S845" s="926"/>
      <c r="T845" s="750"/>
      <c r="U845" s="750"/>
      <c r="V845" s="750"/>
      <c r="W845" s="750"/>
      <c r="X845" s="750"/>
      <c r="Y845" s="750"/>
      <c r="Z845" s="926"/>
      <c r="AA845" s="750"/>
      <c r="AB845" s="750"/>
      <c r="AC845" s="750"/>
      <c r="AD845" s="750"/>
      <c r="AE845" s="773"/>
      <c r="AF845" s="750"/>
      <c r="AG845" s="926"/>
      <c r="AH845" s="734"/>
      <c r="AI845" s="515">
        <f t="shared" si="56"/>
        <v>390</v>
      </c>
      <c r="AJ845" s="758"/>
      <c r="AK845" s="517"/>
      <c r="AM845" s="517"/>
    </row>
    <row r="846" spans="1:43" s="500" customFormat="1">
      <c r="A846" s="878" t="s">
        <v>2065</v>
      </c>
      <c r="B846" s="752" t="s">
        <v>1202</v>
      </c>
      <c r="C846" s="747"/>
      <c r="D846" s="748"/>
      <c r="E846" s="922"/>
      <c r="F846" s="748"/>
      <c r="G846" s="748"/>
      <c r="H846" s="748"/>
      <c r="I846" s="750"/>
      <c r="J846" s="750"/>
      <c r="K846" s="750"/>
      <c r="L846" s="926"/>
      <c r="M846" s="750"/>
      <c r="N846" s="750"/>
      <c r="O846" s="750"/>
      <c r="P846" s="750"/>
      <c r="Q846" s="667"/>
      <c r="R846" s="521"/>
      <c r="S846" s="926"/>
      <c r="T846" s="750"/>
      <c r="U846" s="750"/>
      <c r="V846" s="750"/>
      <c r="W846" s="750"/>
      <c r="X846" s="750"/>
      <c r="Y846" s="750"/>
      <c r="Z846" s="926"/>
      <c r="AA846" s="750"/>
      <c r="AB846" s="750"/>
      <c r="AC846" s="750"/>
      <c r="AD846" s="750"/>
      <c r="AE846" s="773"/>
      <c r="AF846" s="750"/>
      <c r="AG846" s="926"/>
      <c r="AH846" s="734"/>
      <c r="AI846" s="515">
        <f t="shared" si="56"/>
        <v>0</v>
      </c>
      <c r="AJ846" s="758"/>
      <c r="AK846" s="517"/>
      <c r="AM846" s="517"/>
    </row>
    <row r="847" spans="1:43" s="500" customFormat="1">
      <c r="A847" s="879" t="s">
        <v>2066</v>
      </c>
      <c r="B847" s="752" t="s">
        <v>1949</v>
      </c>
      <c r="C847" s="747"/>
      <c r="D847" s="748"/>
      <c r="E847" s="922"/>
      <c r="F847" s="748"/>
      <c r="G847" s="748"/>
      <c r="H847" s="748"/>
      <c r="I847" s="750"/>
      <c r="J847" s="750"/>
      <c r="K847" s="750"/>
      <c r="L847" s="926"/>
      <c r="M847" s="750"/>
      <c r="N847" s="750"/>
      <c r="O847" s="750"/>
      <c r="P847" s="750"/>
      <c r="Q847" s="667"/>
      <c r="R847" s="521"/>
      <c r="S847" s="926"/>
      <c r="T847" s="750"/>
      <c r="U847" s="750"/>
      <c r="V847" s="750"/>
      <c r="W847" s="750"/>
      <c r="X847" s="750"/>
      <c r="Y847" s="750"/>
      <c r="Z847" s="926"/>
      <c r="AA847" s="750"/>
      <c r="AB847" s="750"/>
      <c r="AC847" s="750"/>
      <c r="AD847" s="750"/>
      <c r="AE847" s="773"/>
      <c r="AF847" s="750"/>
      <c r="AG847" s="926"/>
      <c r="AH847" s="734"/>
      <c r="AI847" s="515">
        <f t="shared" si="56"/>
        <v>0</v>
      </c>
      <c r="AJ847" s="758"/>
      <c r="AK847" s="517"/>
      <c r="AM847" s="517"/>
    </row>
    <row r="848" spans="1:43" s="500" customFormat="1">
      <c r="A848" s="879" t="s">
        <v>2067</v>
      </c>
      <c r="B848" s="752" t="s">
        <v>1950</v>
      </c>
      <c r="C848" s="747" t="s">
        <v>40</v>
      </c>
      <c r="D848" s="748"/>
      <c r="E848" s="922"/>
      <c r="F848" s="748"/>
      <c r="G848" s="748"/>
      <c r="H848" s="748"/>
      <c r="I848" s="750"/>
      <c r="J848" s="750"/>
      <c r="K848" s="750"/>
      <c r="L848" s="926"/>
      <c r="M848" s="750"/>
      <c r="N848" s="750"/>
      <c r="O848" s="750"/>
      <c r="Q848" s="768"/>
      <c r="R848" s="521"/>
      <c r="S848" s="926"/>
      <c r="T848" s="750"/>
      <c r="U848" s="750"/>
      <c r="V848" s="750"/>
      <c r="W848" s="750"/>
      <c r="X848" s="750"/>
      <c r="Y848" s="750"/>
      <c r="Z848" s="926"/>
      <c r="AA848" s="750"/>
      <c r="AB848" s="750"/>
      <c r="AC848" s="750"/>
      <c r="AD848" s="750"/>
      <c r="AE848" s="773"/>
      <c r="AF848" s="750"/>
      <c r="AG848" s="926"/>
      <c r="AH848" s="734"/>
      <c r="AI848" s="515">
        <f t="shared" si="56"/>
        <v>0</v>
      </c>
      <c r="AJ848" s="758"/>
      <c r="AK848" s="517"/>
      <c r="AM848" s="517"/>
    </row>
    <row r="849" spans="1:39" s="500" customFormat="1">
      <c r="A849" s="879" t="s">
        <v>2068</v>
      </c>
      <c r="B849" s="752" t="s">
        <v>1994</v>
      </c>
      <c r="C849" s="747"/>
      <c r="D849" s="748"/>
      <c r="E849" s="922"/>
      <c r="F849" s="748"/>
      <c r="G849" s="748"/>
      <c r="H849" s="748"/>
      <c r="I849" s="750"/>
      <c r="J849" s="750"/>
      <c r="K849" s="750"/>
      <c r="L849" s="926"/>
      <c r="M849" s="750"/>
      <c r="N849" s="750"/>
      <c r="O849" s="750"/>
      <c r="Q849" s="768"/>
      <c r="R849" s="521"/>
      <c r="S849" s="926"/>
      <c r="T849" s="750"/>
      <c r="U849" s="750"/>
      <c r="V849" s="750"/>
      <c r="W849" s="750"/>
      <c r="X849" s="750"/>
      <c r="Y849" s="750"/>
      <c r="Z849" s="926"/>
      <c r="AA849" s="750"/>
      <c r="AB849" s="750"/>
      <c r="AC849" s="750"/>
      <c r="AD849" s="750"/>
      <c r="AE849" s="773"/>
      <c r="AF849" s="750"/>
      <c r="AG849" s="926"/>
      <c r="AH849" s="734"/>
      <c r="AI849" s="515">
        <f t="shared" si="56"/>
        <v>0</v>
      </c>
      <c r="AJ849" s="758"/>
      <c r="AK849" s="517"/>
      <c r="AM849" s="517"/>
    </row>
    <row r="850" spans="1:39" s="500" customFormat="1">
      <c r="A850" s="879" t="s">
        <v>2069</v>
      </c>
      <c r="B850" s="752" t="s">
        <v>1995</v>
      </c>
      <c r="C850" s="747"/>
      <c r="D850" s="748"/>
      <c r="E850" s="922"/>
      <c r="F850" s="748"/>
      <c r="G850" s="748"/>
      <c r="H850" s="748"/>
      <c r="I850" s="750"/>
      <c r="J850" s="750"/>
      <c r="K850" s="750"/>
      <c r="L850" s="926"/>
      <c r="M850" s="750"/>
      <c r="N850" s="750"/>
      <c r="O850" s="750"/>
      <c r="Q850" s="768"/>
      <c r="R850" s="521"/>
      <c r="S850" s="926"/>
      <c r="T850" s="750"/>
      <c r="U850" s="750"/>
      <c r="V850" s="750"/>
      <c r="W850" s="750"/>
      <c r="X850" s="750"/>
      <c r="Y850" s="750"/>
      <c r="Z850" s="926"/>
      <c r="AA850" s="750"/>
      <c r="AB850" s="750"/>
      <c r="AC850" s="750"/>
      <c r="AD850" s="750"/>
      <c r="AE850" s="773"/>
      <c r="AF850" s="750"/>
      <c r="AG850" s="926"/>
      <c r="AH850" s="734"/>
      <c r="AI850" s="515">
        <f t="shared" si="56"/>
        <v>0</v>
      </c>
      <c r="AJ850" s="758"/>
      <c r="AK850" s="517"/>
      <c r="AM850" s="517"/>
    </row>
    <row r="851" spans="1:39" s="500" customFormat="1">
      <c r="A851" s="879" t="s">
        <v>2070</v>
      </c>
      <c r="B851" s="904" t="s">
        <v>1996</v>
      </c>
      <c r="C851" s="747" t="s">
        <v>40</v>
      </c>
      <c r="D851" s="748"/>
      <c r="E851" s="922"/>
      <c r="F851" s="748"/>
      <c r="G851" s="748"/>
      <c r="H851" s="748"/>
      <c r="I851" s="750"/>
      <c r="J851" s="521"/>
      <c r="K851" s="773">
        <f>11.53*0.25*0.6*2</f>
        <v>3.4589999999999996</v>
      </c>
      <c r="L851" s="926"/>
      <c r="M851" s="750"/>
      <c r="N851" s="773">
        <f>6.94*0.25*0.6*2</f>
        <v>2.0819999999999999</v>
      </c>
      <c r="O851" s="773">
        <f>6.94*0.12*0.6+1.585*0.12*0.6</f>
        <v>0.6137999999999999</v>
      </c>
      <c r="Q851" s="768"/>
      <c r="R851" s="521"/>
      <c r="S851" s="926"/>
      <c r="T851" s="750"/>
      <c r="U851" s="750"/>
      <c r="V851" s="750"/>
      <c r="W851" s="750"/>
      <c r="X851" s="750"/>
      <c r="Y851" s="750"/>
      <c r="Z851" s="926"/>
      <c r="AA851" s="750"/>
      <c r="AB851" s="750"/>
      <c r="AC851" s="750"/>
      <c r="AD851" s="750"/>
      <c r="AE851" s="773"/>
      <c r="AF851" s="750"/>
      <c r="AG851" s="926"/>
      <c r="AH851" s="734"/>
      <c r="AI851" s="515">
        <f t="shared" si="56"/>
        <v>6.1547999999999998</v>
      </c>
      <c r="AJ851" s="758"/>
      <c r="AK851" s="517"/>
      <c r="AM851" s="517"/>
    </row>
    <row r="852" spans="1:39" s="500" customFormat="1" ht="13.5">
      <c r="A852" s="879" t="s">
        <v>2071</v>
      </c>
      <c r="B852" s="904" t="s">
        <v>1997</v>
      </c>
      <c r="C852" s="747" t="s">
        <v>37</v>
      </c>
      <c r="D852" s="748"/>
      <c r="E852" s="922"/>
      <c r="F852" s="748"/>
      <c r="G852" s="748"/>
      <c r="H852" s="748"/>
      <c r="I852" s="750"/>
      <c r="J852" s="913">
        <f>87.87*0.6</f>
        <v>52.722000000000001</v>
      </c>
      <c r="K852" s="750"/>
      <c r="L852" s="926"/>
      <c r="M852" s="750"/>
      <c r="N852" s="750"/>
      <c r="O852" s="750"/>
      <c r="Q852" s="768"/>
      <c r="R852" s="521"/>
      <c r="S852" s="926"/>
      <c r="T852" s="750"/>
      <c r="U852" s="750"/>
      <c r="V852" s="750"/>
      <c r="W852" s="750"/>
      <c r="X852" s="750"/>
      <c r="Y852" s="750"/>
      <c r="Z852" s="926"/>
      <c r="AA852" s="750"/>
      <c r="AB852" s="750"/>
      <c r="AC852" s="750"/>
      <c r="AD852" s="750"/>
      <c r="AE852" s="773"/>
      <c r="AF852" s="750"/>
      <c r="AG852" s="926"/>
      <c r="AH852" s="734"/>
      <c r="AI852" s="515">
        <f t="shared" si="56"/>
        <v>52.722000000000001</v>
      </c>
      <c r="AJ852" s="758"/>
      <c r="AK852" s="517"/>
      <c r="AM852" s="517"/>
    </row>
    <row r="853" spans="1:39" s="500" customFormat="1">
      <c r="A853" s="879" t="s">
        <v>2072</v>
      </c>
      <c r="B853" s="904" t="s">
        <v>1998</v>
      </c>
      <c r="C853" s="747" t="s">
        <v>1938</v>
      </c>
      <c r="D853" s="748"/>
      <c r="E853" s="922"/>
      <c r="F853" s="748"/>
      <c r="G853" s="748"/>
      <c r="H853" s="748"/>
      <c r="I853" s="750"/>
      <c r="J853" s="773">
        <v>91.65</v>
      </c>
      <c r="K853" s="750"/>
      <c r="L853" s="926"/>
      <c r="M853" s="750"/>
      <c r="N853" s="750"/>
      <c r="O853" s="750"/>
      <c r="Q853" s="768"/>
      <c r="R853" s="521"/>
      <c r="S853" s="926"/>
      <c r="T853" s="750"/>
      <c r="U853" s="750"/>
      <c r="V853" s="750"/>
      <c r="W853" s="750"/>
      <c r="X853" s="750"/>
      <c r="Y853" s="750"/>
      <c r="Z853" s="926"/>
      <c r="AA853" s="750"/>
      <c r="AB853" s="750"/>
      <c r="AC853" s="750"/>
      <c r="AD853" s="750"/>
      <c r="AE853" s="773"/>
      <c r="AF853" s="750"/>
      <c r="AG853" s="926"/>
      <c r="AH853" s="734"/>
      <c r="AI853" s="515">
        <f t="shared" si="56"/>
        <v>91.65</v>
      </c>
      <c r="AJ853" s="758"/>
      <c r="AK853" s="517"/>
      <c r="AM853" s="517"/>
    </row>
    <row r="854" spans="1:39" s="500" customFormat="1">
      <c r="A854" s="879" t="s">
        <v>2073</v>
      </c>
      <c r="B854" s="752" t="s">
        <v>1999</v>
      </c>
      <c r="C854" s="747"/>
      <c r="D854" s="748"/>
      <c r="E854" s="922"/>
      <c r="F854" s="748"/>
      <c r="G854" s="748"/>
      <c r="H854" s="748"/>
      <c r="I854" s="750"/>
      <c r="J854" s="750"/>
      <c r="K854" s="750"/>
      <c r="L854" s="926"/>
      <c r="M854" s="750"/>
      <c r="N854" s="750"/>
      <c r="O854" s="750"/>
      <c r="Q854" s="768"/>
      <c r="R854" s="521"/>
      <c r="S854" s="926"/>
      <c r="T854" s="750"/>
      <c r="U854" s="750"/>
      <c r="V854" s="750"/>
      <c r="W854" s="750"/>
      <c r="X854" s="750"/>
      <c r="Y854" s="750"/>
      <c r="Z854" s="926"/>
      <c r="AA854" s="750"/>
      <c r="AB854" s="750"/>
      <c r="AC854" s="750"/>
      <c r="AD854" s="750"/>
      <c r="AE854" s="773"/>
      <c r="AF854" s="750"/>
      <c r="AG854" s="926"/>
      <c r="AH854" s="734"/>
      <c r="AI854" s="515">
        <f t="shared" si="56"/>
        <v>0</v>
      </c>
      <c r="AJ854" s="758"/>
      <c r="AK854" s="517"/>
      <c r="AM854" s="517"/>
    </row>
    <row r="855" spans="1:39" s="500" customFormat="1">
      <c r="A855" s="879" t="s">
        <v>2074</v>
      </c>
      <c r="B855" s="904" t="s">
        <v>2000</v>
      </c>
      <c r="C855" s="747" t="s">
        <v>40</v>
      </c>
      <c r="D855" s="748"/>
      <c r="E855" s="922"/>
      <c r="F855" s="748"/>
      <c r="G855" s="748"/>
      <c r="H855" s="748"/>
      <c r="I855" s="750"/>
      <c r="J855" s="750"/>
      <c r="K855" s="750"/>
      <c r="L855" s="926"/>
      <c r="M855" s="750"/>
      <c r="N855" s="773">
        <f>11.53*0.25*0.5*2</f>
        <v>2.8824999999999998</v>
      </c>
      <c r="O855" s="773">
        <f>6.94*0.25*0.5*2+6.94*0.12*0.5+1.585*0.12*0.5</f>
        <v>2.2465000000000002</v>
      </c>
      <c r="Q855" s="768"/>
      <c r="R855" s="521"/>
      <c r="S855" s="926"/>
      <c r="T855" s="750"/>
      <c r="U855" s="750"/>
      <c r="V855" s="750"/>
      <c r="W855" s="750"/>
      <c r="X855" s="750"/>
      <c r="Y855" s="750"/>
      <c r="Z855" s="926"/>
      <c r="AA855" s="750"/>
      <c r="AB855" s="750"/>
      <c r="AC855" s="750"/>
      <c r="AD855" s="750"/>
      <c r="AE855" s="773"/>
      <c r="AF855" s="750"/>
      <c r="AG855" s="926"/>
      <c r="AH855" s="734"/>
      <c r="AI855" s="515">
        <f t="shared" si="56"/>
        <v>5.1289999999999996</v>
      </c>
      <c r="AJ855" s="758"/>
      <c r="AK855" s="517"/>
      <c r="AM855" s="517"/>
    </row>
    <row r="856" spans="1:39" s="500" customFormat="1" ht="13.5">
      <c r="A856" s="879" t="s">
        <v>2075</v>
      </c>
      <c r="B856" s="904" t="s">
        <v>2001</v>
      </c>
      <c r="C856" s="747" t="s">
        <v>37</v>
      </c>
      <c r="D856" s="748"/>
      <c r="E856" s="922"/>
      <c r="F856" s="748"/>
      <c r="G856" s="748"/>
      <c r="H856" s="748"/>
      <c r="I856" s="750"/>
      <c r="J856" s="913">
        <f>87.87*0.5</f>
        <v>43.935000000000002</v>
      </c>
      <c r="K856" s="750"/>
      <c r="L856" s="926"/>
      <c r="M856" s="750"/>
      <c r="N856" s="750"/>
      <c r="O856" s="750"/>
      <c r="Q856" s="768"/>
      <c r="R856" s="521"/>
      <c r="S856" s="926"/>
      <c r="T856" s="750"/>
      <c r="U856" s="750"/>
      <c r="V856" s="750"/>
      <c r="W856" s="750"/>
      <c r="X856" s="750"/>
      <c r="Y856" s="750"/>
      <c r="Z856" s="926"/>
      <c r="AA856" s="750"/>
      <c r="AB856" s="750"/>
      <c r="AC856" s="750"/>
      <c r="AD856" s="750"/>
      <c r="AE856" s="773"/>
      <c r="AF856" s="750"/>
      <c r="AG856" s="926"/>
      <c r="AH856" s="734"/>
      <c r="AI856" s="515">
        <f t="shared" si="56"/>
        <v>43.935000000000002</v>
      </c>
      <c r="AJ856" s="758"/>
      <c r="AK856" s="517"/>
      <c r="AM856" s="517"/>
    </row>
    <row r="857" spans="1:39" s="500" customFormat="1">
      <c r="A857" s="879" t="s">
        <v>2076</v>
      </c>
      <c r="B857" s="904" t="s">
        <v>2002</v>
      </c>
      <c r="C857" s="747" t="s">
        <v>1938</v>
      </c>
      <c r="D857" s="748"/>
      <c r="E857" s="922"/>
      <c r="F857" s="748"/>
      <c r="G857" s="748"/>
      <c r="H857" s="748"/>
      <c r="I857" s="750"/>
      <c r="J857" s="773">
        <v>91.65</v>
      </c>
      <c r="K857" s="750"/>
      <c r="L857" s="926"/>
      <c r="M857" s="750"/>
      <c r="N857" s="750"/>
      <c r="O857" s="750"/>
      <c r="Q857" s="768"/>
      <c r="R857" s="521"/>
      <c r="S857" s="926"/>
      <c r="T857" s="750"/>
      <c r="U857" s="750"/>
      <c r="V857" s="750"/>
      <c r="W857" s="750"/>
      <c r="X857" s="750"/>
      <c r="Y857" s="750"/>
      <c r="Z857" s="926"/>
      <c r="AA857" s="750"/>
      <c r="AB857" s="750"/>
      <c r="AC857" s="750"/>
      <c r="AD857" s="750"/>
      <c r="AE857" s="773"/>
      <c r="AF857" s="750"/>
      <c r="AG857" s="926"/>
      <c r="AH857" s="734"/>
      <c r="AI857" s="515">
        <f t="shared" si="56"/>
        <v>91.65</v>
      </c>
      <c r="AJ857" s="758"/>
      <c r="AK857" s="517"/>
      <c r="AM857" s="517"/>
    </row>
    <row r="858" spans="1:39" s="500" customFormat="1">
      <c r="A858" s="878" t="s">
        <v>2077</v>
      </c>
      <c r="B858" s="752" t="s">
        <v>1209</v>
      </c>
      <c r="C858" s="747"/>
      <c r="D858" s="748"/>
      <c r="E858" s="922"/>
      <c r="F858" s="748"/>
      <c r="G858" s="748"/>
      <c r="H858" s="748"/>
      <c r="I858" s="750"/>
      <c r="J858" s="750"/>
      <c r="K858" s="750"/>
      <c r="L858" s="926"/>
      <c r="M858" s="750"/>
      <c r="N858" s="750"/>
      <c r="O858" s="750"/>
      <c r="P858" s="750"/>
      <c r="Q858" s="667"/>
      <c r="R858" s="521"/>
      <c r="S858" s="926"/>
      <c r="T858" s="750"/>
      <c r="U858" s="750"/>
      <c r="V858" s="750"/>
      <c r="W858" s="750"/>
      <c r="X858" s="750"/>
      <c r="Y858" s="750"/>
      <c r="Z858" s="926"/>
      <c r="AA858" s="750"/>
      <c r="AB858" s="750"/>
      <c r="AC858" s="750"/>
      <c r="AD858" s="750"/>
      <c r="AE858" s="773"/>
      <c r="AF858" s="750"/>
      <c r="AG858" s="926"/>
      <c r="AH858" s="734"/>
      <c r="AI858" s="515">
        <f t="shared" si="56"/>
        <v>0</v>
      </c>
      <c r="AJ858" s="758"/>
      <c r="AK858" s="517"/>
      <c r="AM858" s="517"/>
    </row>
    <row r="859" spans="1:39" s="500" customFormat="1">
      <c r="A859" s="879" t="s">
        <v>2078</v>
      </c>
      <c r="B859" s="752" t="s">
        <v>1949</v>
      </c>
      <c r="C859" s="747"/>
      <c r="D859" s="748"/>
      <c r="E859" s="922"/>
      <c r="F859" s="748"/>
      <c r="G859" s="748"/>
      <c r="H859" s="748"/>
      <c r="I859" s="750"/>
      <c r="J859" s="750"/>
      <c r="K859" s="750"/>
      <c r="L859" s="926"/>
      <c r="M859" s="750"/>
      <c r="N859" s="750"/>
      <c r="O859" s="750"/>
      <c r="P859" s="750"/>
      <c r="Q859" s="667"/>
      <c r="R859" s="521"/>
      <c r="S859" s="926"/>
      <c r="T859" s="750"/>
      <c r="U859" s="750"/>
      <c r="V859" s="750"/>
      <c r="W859" s="750"/>
      <c r="X859" s="750"/>
      <c r="Y859" s="750"/>
      <c r="Z859" s="926"/>
      <c r="AA859" s="750"/>
      <c r="AB859" s="750"/>
      <c r="AC859" s="750"/>
      <c r="AD859" s="750"/>
      <c r="AE859" s="773"/>
      <c r="AF859" s="750"/>
      <c r="AG859" s="926"/>
      <c r="AH859" s="734"/>
      <c r="AI859" s="515">
        <f t="shared" si="56"/>
        <v>0</v>
      </c>
      <c r="AJ859" s="758"/>
      <c r="AK859" s="517"/>
      <c r="AM859" s="517"/>
    </row>
    <row r="860" spans="1:39" s="500" customFormat="1">
      <c r="A860" s="879" t="s">
        <v>2079</v>
      </c>
      <c r="B860" s="752" t="s">
        <v>1950</v>
      </c>
      <c r="C860" s="747" t="s">
        <v>40</v>
      </c>
      <c r="D860" s="748"/>
      <c r="E860" s="922"/>
      <c r="F860" s="748"/>
      <c r="G860" s="748"/>
      <c r="H860" s="748"/>
      <c r="I860" s="750"/>
      <c r="J860" s="750"/>
      <c r="K860" s="750"/>
      <c r="L860" s="926"/>
      <c r="M860" s="750"/>
      <c r="N860" s="750"/>
      <c r="O860" s="750"/>
      <c r="P860" s="750"/>
      <c r="Q860" s="667"/>
      <c r="R860" s="521"/>
      <c r="S860" s="926"/>
      <c r="T860" s="750"/>
      <c r="U860" s="750"/>
      <c r="V860" s="750"/>
      <c r="W860" s="750"/>
      <c r="X860" s="750"/>
      <c r="Y860" s="750"/>
      <c r="Z860" s="926"/>
      <c r="AA860" s="750"/>
      <c r="AB860" s="750"/>
      <c r="AC860" s="750"/>
      <c r="AD860" s="750"/>
      <c r="AE860" s="773"/>
      <c r="AF860" s="750"/>
      <c r="AG860" s="926"/>
      <c r="AH860" s="734"/>
      <c r="AI860" s="515">
        <f t="shared" si="56"/>
        <v>0</v>
      </c>
      <c r="AJ860" s="758"/>
      <c r="AK860" s="517"/>
      <c r="AM860" s="517"/>
    </row>
    <row r="861" spans="1:39" s="500" customFormat="1">
      <c r="A861" s="879" t="s">
        <v>2080</v>
      </c>
      <c r="B861" s="752" t="s">
        <v>1994</v>
      </c>
      <c r="C861" s="747"/>
      <c r="D861" s="748"/>
      <c r="E861" s="922"/>
      <c r="F861" s="748"/>
      <c r="G861" s="748"/>
      <c r="H861" s="748"/>
      <c r="I861" s="750"/>
      <c r="J861" s="750"/>
      <c r="K861" s="750"/>
      <c r="L861" s="926"/>
      <c r="M861" s="750"/>
      <c r="N861" s="750"/>
      <c r="O861" s="750"/>
      <c r="P861" s="750"/>
      <c r="Q861" s="667"/>
      <c r="R861" s="734"/>
      <c r="S861" s="926"/>
      <c r="T861" s="750"/>
      <c r="U861" s="750"/>
      <c r="V861" s="750"/>
      <c r="W861" s="750"/>
      <c r="X861" s="750"/>
      <c r="Y861" s="750"/>
      <c r="Z861" s="926"/>
      <c r="AA861" s="750"/>
      <c r="AB861" s="750"/>
      <c r="AC861" s="750"/>
      <c r="AD861" s="750"/>
      <c r="AE861" s="773"/>
      <c r="AF861" s="750"/>
      <c r="AG861" s="926"/>
      <c r="AH861" s="734"/>
      <c r="AI861" s="515">
        <f t="shared" si="56"/>
        <v>0</v>
      </c>
      <c r="AJ861" s="758"/>
      <c r="AK861" s="517"/>
      <c r="AM861" s="517"/>
    </row>
    <row r="862" spans="1:39" s="500" customFormat="1">
      <c r="A862" s="879" t="s">
        <v>2081</v>
      </c>
      <c r="B862" s="752" t="s">
        <v>1995</v>
      </c>
      <c r="C862" s="747"/>
      <c r="D862" s="748"/>
      <c r="E862" s="922"/>
      <c r="F862" s="748"/>
      <c r="G862" s="748"/>
      <c r="H862" s="748"/>
      <c r="I862" s="521"/>
      <c r="J862" s="521"/>
      <c r="K862" s="750"/>
      <c r="L862" s="926"/>
      <c r="M862" s="750"/>
      <c r="N862" s="750"/>
      <c r="O862" s="750"/>
      <c r="P862" s="750"/>
      <c r="Q862" s="667"/>
      <c r="R862" s="734"/>
      <c r="S862" s="926"/>
      <c r="T862" s="750"/>
      <c r="U862" s="750"/>
      <c r="V862" s="750"/>
      <c r="W862" s="750"/>
      <c r="X862" s="750"/>
      <c r="Y862" s="750"/>
      <c r="Z862" s="926"/>
      <c r="AA862" s="750"/>
      <c r="AB862" s="750"/>
      <c r="AC862" s="750"/>
      <c r="AD862" s="750"/>
      <c r="AE862" s="773"/>
      <c r="AF862" s="750"/>
      <c r="AG862" s="926"/>
      <c r="AH862" s="734"/>
      <c r="AI862" s="515">
        <f t="shared" si="56"/>
        <v>0</v>
      </c>
      <c r="AJ862" s="758"/>
      <c r="AK862" s="517"/>
      <c r="AM862" s="517"/>
    </row>
    <row r="863" spans="1:39" s="500" customFormat="1">
      <c r="A863" s="879" t="s">
        <v>2082</v>
      </c>
      <c r="B863" s="904" t="s">
        <v>1996</v>
      </c>
      <c r="C863" s="747" t="s">
        <v>40</v>
      </c>
      <c r="D863" s="748"/>
      <c r="E863" s="922"/>
      <c r="F863" s="748"/>
      <c r="G863" s="748"/>
      <c r="H863" s="520"/>
      <c r="I863" s="667"/>
      <c r="J863" s="773">
        <f>11.53*0.25*0.6*2+6.94*0.25*0.6*2+6.94*0.12*0.6+1.585*0.12*0.6</f>
        <v>6.1547999999999989</v>
      </c>
      <c r="K863" s="750"/>
      <c r="L863" s="926"/>
      <c r="M863" s="750"/>
      <c r="N863" s="750"/>
      <c r="O863" s="750"/>
      <c r="P863" s="750"/>
      <c r="Q863" s="667"/>
      <c r="R863" s="734"/>
      <c r="S863" s="926"/>
      <c r="T863" s="750"/>
      <c r="U863" s="750"/>
      <c r="V863" s="750"/>
      <c r="W863" s="750"/>
      <c r="X863" s="750"/>
      <c r="Y863" s="750"/>
      <c r="Z863" s="926"/>
      <c r="AA863" s="750"/>
      <c r="AB863" s="750"/>
      <c r="AC863" s="750"/>
      <c r="AD863" s="750"/>
      <c r="AE863" s="773"/>
      <c r="AF863" s="750"/>
      <c r="AG863" s="926"/>
      <c r="AH863" s="734"/>
      <c r="AI863" s="515">
        <f t="shared" si="56"/>
        <v>6.1547999999999989</v>
      </c>
      <c r="AJ863" s="758"/>
      <c r="AK863" s="517"/>
      <c r="AM863" s="517"/>
    </row>
    <row r="864" spans="1:39" s="500" customFormat="1">
      <c r="A864" s="879" t="s">
        <v>2083</v>
      </c>
      <c r="B864" s="904" t="s">
        <v>1997</v>
      </c>
      <c r="C864" s="747" t="s">
        <v>37</v>
      </c>
      <c r="D864" s="748"/>
      <c r="E864" s="922"/>
      <c r="F864" s="748"/>
      <c r="G864" s="748"/>
      <c r="H864" s="667"/>
      <c r="I864" s="874">
        <f>89.5*0.6</f>
        <v>53.699999999999996</v>
      </c>
      <c r="J864" s="750"/>
      <c r="K864" s="750"/>
      <c r="L864" s="926"/>
      <c r="M864" s="750"/>
      <c r="N864" s="750"/>
      <c r="O864" s="750"/>
      <c r="P864" s="750"/>
      <c r="Q864" s="667"/>
      <c r="R864" s="734"/>
      <c r="S864" s="926"/>
      <c r="T864" s="750"/>
      <c r="U864" s="750"/>
      <c r="V864" s="750"/>
      <c r="W864" s="750"/>
      <c r="X864" s="750"/>
      <c r="Y864" s="750"/>
      <c r="Z864" s="926"/>
      <c r="AA864" s="750"/>
      <c r="AB864" s="750"/>
      <c r="AC864" s="750"/>
      <c r="AD864" s="750"/>
      <c r="AE864" s="773"/>
      <c r="AF864" s="750"/>
      <c r="AG864" s="926"/>
      <c r="AH864" s="734"/>
      <c r="AI864" s="515">
        <f t="shared" si="56"/>
        <v>53.699999999999996</v>
      </c>
      <c r="AJ864" s="758"/>
      <c r="AK864" s="517"/>
      <c r="AM864" s="517"/>
    </row>
    <row r="865" spans="1:39" s="500" customFormat="1">
      <c r="A865" s="879" t="s">
        <v>2084</v>
      </c>
      <c r="B865" s="904" t="s">
        <v>1998</v>
      </c>
      <c r="C865" s="747" t="s">
        <v>1938</v>
      </c>
      <c r="D865" s="748"/>
      <c r="E865" s="922"/>
      <c r="F865" s="748"/>
      <c r="G865" s="874">
        <v>88.95</v>
      </c>
      <c r="H865" s="748"/>
      <c r="I865" s="750"/>
      <c r="J865" s="750"/>
      <c r="K865" s="750"/>
      <c r="L865" s="926"/>
      <c r="M865" s="750"/>
      <c r="N865" s="750"/>
      <c r="O865" s="750"/>
      <c r="P865" s="750"/>
      <c r="Q865" s="667"/>
      <c r="R865" s="734"/>
      <c r="S865" s="926"/>
      <c r="T865" s="750"/>
      <c r="U865" s="750"/>
      <c r="V865" s="750"/>
      <c r="W865" s="750"/>
      <c r="X865" s="750"/>
      <c r="Y865" s="750"/>
      <c r="Z865" s="926"/>
      <c r="AA865" s="750"/>
      <c r="AB865" s="750"/>
      <c r="AC865" s="750"/>
      <c r="AD865" s="750"/>
      <c r="AE865" s="773"/>
      <c r="AF865" s="750"/>
      <c r="AG865" s="926"/>
      <c r="AH865" s="734"/>
      <c r="AI865" s="515">
        <f t="shared" si="56"/>
        <v>88.95</v>
      </c>
      <c r="AJ865" s="758"/>
      <c r="AK865" s="517"/>
      <c r="AM865" s="517"/>
    </row>
    <row r="866" spans="1:39" s="500" customFormat="1">
      <c r="A866" s="879" t="s">
        <v>2085</v>
      </c>
      <c r="B866" s="752" t="s">
        <v>1999</v>
      </c>
      <c r="C866" s="747"/>
      <c r="D866" s="748"/>
      <c r="E866" s="922"/>
      <c r="F866" s="748"/>
      <c r="G866" s="748"/>
      <c r="H866" s="748"/>
      <c r="I866" s="750"/>
      <c r="J866" s="750"/>
      <c r="K866" s="750"/>
      <c r="L866" s="926"/>
      <c r="M866" s="750"/>
      <c r="N866" s="750"/>
      <c r="O866" s="750"/>
      <c r="P866" s="750"/>
      <c r="Q866" s="667"/>
      <c r="R866" s="734"/>
      <c r="S866" s="926"/>
      <c r="T866" s="750"/>
      <c r="U866" s="750"/>
      <c r="V866" s="750"/>
      <c r="W866" s="750"/>
      <c r="X866" s="750"/>
      <c r="Y866" s="750"/>
      <c r="Z866" s="926"/>
      <c r="AA866" s="750"/>
      <c r="AB866" s="750"/>
      <c r="AC866" s="750"/>
      <c r="AD866" s="750"/>
      <c r="AE866" s="773"/>
      <c r="AF866" s="750"/>
      <c r="AG866" s="926"/>
      <c r="AH866" s="734"/>
      <c r="AI866" s="515">
        <f t="shared" si="56"/>
        <v>0</v>
      </c>
      <c r="AJ866" s="758"/>
      <c r="AK866" s="517"/>
      <c r="AM866" s="517"/>
    </row>
    <row r="867" spans="1:39" s="500" customFormat="1">
      <c r="A867" s="879" t="s">
        <v>2086</v>
      </c>
      <c r="B867" s="904" t="s">
        <v>2000</v>
      </c>
      <c r="C867" s="747" t="s">
        <v>40</v>
      </c>
      <c r="D867" s="748"/>
      <c r="E867" s="922"/>
      <c r="F867" s="748"/>
      <c r="G867" s="748"/>
      <c r="H867" s="748"/>
      <c r="I867" s="750"/>
      <c r="J867" s="521"/>
      <c r="K867" s="773">
        <f>11.53*0.25*0.5*2+6.94*0.25*0.5*2+6.94*0.12*0.5+1.585*0.12*0.5</f>
        <v>5.1290000000000004</v>
      </c>
      <c r="L867" s="926"/>
      <c r="M867" s="750"/>
      <c r="N867" s="750"/>
      <c r="O867" s="750"/>
      <c r="P867" s="750"/>
      <c r="Q867" s="667"/>
      <c r="R867" s="734"/>
      <c r="S867" s="926"/>
      <c r="T867" s="750"/>
      <c r="U867" s="750"/>
      <c r="V867" s="750"/>
      <c r="W867" s="750"/>
      <c r="X867" s="750"/>
      <c r="Y867" s="750"/>
      <c r="Z867" s="926"/>
      <c r="AA867" s="750"/>
      <c r="AB867" s="750"/>
      <c r="AC867" s="750"/>
      <c r="AD867" s="750"/>
      <c r="AE867" s="773"/>
      <c r="AF867" s="750"/>
      <c r="AG867" s="926"/>
      <c r="AH867" s="734"/>
      <c r="AI867" s="515">
        <f t="shared" si="56"/>
        <v>5.1290000000000004</v>
      </c>
      <c r="AJ867" s="758"/>
      <c r="AK867" s="517"/>
      <c r="AM867" s="517"/>
    </row>
    <row r="868" spans="1:39" s="500" customFormat="1">
      <c r="A868" s="879" t="s">
        <v>2087</v>
      </c>
      <c r="B868" s="904" t="s">
        <v>2001</v>
      </c>
      <c r="C868" s="747" t="s">
        <v>37</v>
      </c>
      <c r="D868" s="748"/>
      <c r="E868" s="922"/>
      <c r="F868" s="748"/>
      <c r="G868" s="748"/>
      <c r="H868" s="748"/>
      <c r="J868" s="773">
        <f>89.5*0.5</f>
        <v>44.75</v>
      </c>
      <c r="K868" s="750"/>
      <c r="L868" s="926"/>
      <c r="M868" s="750"/>
      <c r="N868" s="750"/>
      <c r="O868" s="750"/>
      <c r="P868" s="750"/>
      <c r="Q868" s="667"/>
      <c r="R868" s="734"/>
      <c r="S868" s="926"/>
      <c r="T868" s="750"/>
      <c r="U868" s="750"/>
      <c r="V868" s="750"/>
      <c r="W868" s="750"/>
      <c r="X868" s="750"/>
      <c r="Y868" s="750"/>
      <c r="Z868" s="926"/>
      <c r="AA868" s="750"/>
      <c r="AB868" s="750"/>
      <c r="AC868" s="750"/>
      <c r="AD868" s="750"/>
      <c r="AE868" s="773"/>
      <c r="AF868" s="750"/>
      <c r="AG868" s="926"/>
      <c r="AH868" s="734"/>
      <c r="AI868" s="515">
        <f t="shared" si="56"/>
        <v>44.75</v>
      </c>
      <c r="AJ868" s="758"/>
      <c r="AK868" s="517"/>
      <c r="AM868" s="517"/>
    </row>
    <row r="869" spans="1:39" s="500" customFormat="1">
      <c r="A869" s="879" t="s">
        <v>2088</v>
      </c>
      <c r="B869" s="904" t="s">
        <v>2002</v>
      </c>
      <c r="C869" s="747" t="s">
        <v>1938</v>
      </c>
      <c r="D869" s="748"/>
      <c r="E869" s="922"/>
      <c r="F869" s="748"/>
      <c r="G869" s="874">
        <v>88.95</v>
      </c>
      <c r="H869" s="748"/>
      <c r="I869" s="750"/>
      <c r="J869" s="750"/>
      <c r="K869" s="750"/>
      <c r="L869" s="926"/>
      <c r="M869" s="750"/>
      <c r="N869" s="750"/>
      <c r="O869" s="750"/>
      <c r="P869" s="750"/>
      <c r="Q869" s="667"/>
      <c r="R869" s="734"/>
      <c r="S869" s="926"/>
      <c r="T869" s="750"/>
      <c r="U869" s="750"/>
      <c r="V869" s="750"/>
      <c r="W869" s="750"/>
      <c r="X869" s="750"/>
      <c r="Y869" s="750"/>
      <c r="Z869" s="926"/>
      <c r="AA869" s="750"/>
      <c r="AB869" s="750"/>
      <c r="AC869" s="750"/>
      <c r="AD869" s="750"/>
      <c r="AE869" s="773"/>
      <c r="AF869" s="750"/>
      <c r="AG869" s="926"/>
      <c r="AH869" s="734"/>
      <c r="AI869" s="515">
        <f t="shared" si="56"/>
        <v>88.95</v>
      </c>
      <c r="AJ869" s="758"/>
      <c r="AK869" s="517"/>
      <c r="AM869" s="517"/>
    </row>
    <row r="870" spans="1:39" s="500" customFormat="1">
      <c r="A870" s="878" t="s">
        <v>2089</v>
      </c>
      <c r="B870" s="539" t="s">
        <v>1211</v>
      </c>
      <c r="C870" s="747"/>
      <c r="D870" s="748"/>
      <c r="E870" s="922"/>
      <c r="F870" s="748"/>
      <c r="G870" s="748"/>
      <c r="H870" s="748"/>
      <c r="I870" s="750"/>
      <c r="J870" s="750"/>
      <c r="K870" s="750"/>
      <c r="L870" s="926"/>
      <c r="M870" s="750"/>
      <c r="N870" s="750"/>
      <c r="O870" s="750"/>
      <c r="P870" s="750"/>
      <c r="Q870" s="667"/>
      <c r="S870" s="926"/>
      <c r="T870" s="750"/>
      <c r="U870" s="750"/>
      <c r="V870" s="750"/>
      <c r="W870" s="750"/>
      <c r="X870" s="750"/>
      <c r="Y870" s="750"/>
      <c r="Z870" s="926"/>
      <c r="AA870" s="750"/>
      <c r="AB870" s="750"/>
      <c r="AC870" s="750"/>
      <c r="AD870" s="750"/>
      <c r="AE870" s="773"/>
      <c r="AF870" s="750"/>
      <c r="AG870" s="926"/>
      <c r="AH870" s="734"/>
      <c r="AI870" s="515">
        <f t="shared" si="56"/>
        <v>0</v>
      </c>
      <c r="AJ870" s="758"/>
      <c r="AK870" s="517"/>
      <c r="AM870" s="517"/>
    </row>
    <row r="871" spans="1:39" s="500" customFormat="1">
      <c r="A871" s="879" t="s">
        <v>2090</v>
      </c>
      <c r="B871" s="752" t="s">
        <v>1949</v>
      </c>
      <c r="C871" s="747"/>
      <c r="D871" s="748"/>
      <c r="E871" s="922"/>
      <c r="F871" s="748"/>
      <c r="G871" s="748"/>
      <c r="H871" s="748"/>
      <c r="I871" s="750"/>
      <c r="J871" s="750"/>
      <c r="K871" s="750"/>
      <c r="L871" s="926"/>
      <c r="M871" s="750"/>
      <c r="N871" s="750"/>
      <c r="O871" s="750"/>
      <c r="P871" s="750"/>
      <c r="Q871" s="667"/>
      <c r="R871" s="521"/>
      <c r="S871" s="926"/>
      <c r="T871" s="750"/>
      <c r="U871" s="750"/>
      <c r="V871" s="750"/>
      <c r="W871" s="750"/>
      <c r="X871" s="750"/>
      <c r="Y871" s="750"/>
      <c r="Z871" s="926"/>
      <c r="AA871" s="750"/>
      <c r="AB871" s="750"/>
      <c r="AC871" s="750"/>
      <c r="AD871" s="750"/>
      <c r="AE871" s="773"/>
      <c r="AF871" s="750"/>
      <c r="AG871" s="926"/>
      <c r="AH871" s="734"/>
      <c r="AI871" s="515">
        <f t="shared" si="56"/>
        <v>0</v>
      </c>
      <c r="AJ871" s="758"/>
      <c r="AK871" s="517"/>
      <c r="AM871" s="517"/>
    </row>
    <row r="872" spans="1:39" s="500" customFormat="1">
      <c r="A872" s="879" t="s">
        <v>2091</v>
      </c>
      <c r="B872" s="752" t="s">
        <v>1950</v>
      </c>
      <c r="C872" s="747" t="s">
        <v>40</v>
      </c>
      <c r="D872" s="773">
        <f>9.2*0.5*1.4</f>
        <v>6.4399999999999995</v>
      </c>
      <c r="E872" s="922"/>
      <c r="F872" s="748"/>
      <c r="G872" s="748"/>
      <c r="H872" s="748"/>
      <c r="I872" s="773">
        <f>0.25*1.4*15.57</f>
        <v>5.4494999999999996</v>
      </c>
      <c r="J872" s="750"/>
      <c r="K872" s="750"/>
      <c r="L872" s="926"/>
      <c r="M872" s="750"/>
      <c r="N872" s="750"/>
      <c r="O872" s="750"/>
      <c r="P872" s="750"/>
      <c r="Q872" s="667"/>
      <c r="R872" s="773">
        <f>0.25*1.4*15.57</f>
        <v>5.4494999999999996</v>
      </c>
      <c r="S872" s="926"/>
      <c r="T872" s="773">
        <f>0.25*1.4*15.57</f>
        <v>5.4494999999999996</v>
      </c>
      <c r="U872" s="773">
        <f>0.2*1.4*15.57</f>
        <v>4.3595999999999995</v>
      </c>
      <c r="V872" s="773">
        <f>0.15*1.4*15.57</f>
        <v>3.2696999999999998</v>
      </c>
      <c r="W872" s="773">
        <f>7.51*1.4*1.2+4.38*0.6*0.6</f>
        <v>14.1936</v>
      </c>
      <c r="X872" s="773">
        <f>7.51*1.4*0.4</f>
        <v>4.2055999999999996</v>
      </c>
      <c r="Y872" s="773">
        <f>7.51*1.4*0.4</f>
        <v>4.2055999999999996</v>
      </c>
      <c r="Z872" s="926"/>
      <c r="AA872" s="773">
        <f>7.51*1.4*0.7</f>
        <v>7.359799999999999</v>
      </c>
      <c r="AB872" s="773">
        <f>3.13*2*0.6</f>
        <v>3.7559999999999998</v>
      </c>
      <c r="AC872" s="750"/>
      <c r="AD872" s="750"/>
      <c r="AE872" s="773"/>
      <c r="AF872" s="750"/>
      <c r="AG872" s="926"/>
      <c r="AH872" s="734"/>
      <c r="AI872" s="515">
        <f t="shared" si="56"/>
        <v>64.13839999999999</v>
      </c>
      <c r="AJ872" s="758"/>
      <c r="AK872" s="517"/>
      <c r="AM872" s="517"/>
    </row>
    <row r="873" spans="1:39" s="934" customFormat="1">
      <c r="A873" s="933"/>
      <c r="B873" s="937"/>
      <c r="L873" s="935"/>
      <c r="M873" s="935"/>
      <c r="N873" s="935"/>
      <c r="O873" s="935"/>
      <c r="P873" s="935"/>
      <c r="Q873" s="935"/>
      <c r="R873" s="935"/>
      <c r="S873" s="935"/>
      <c r="T873" s="935"/>
      <c r="U873" s="935"/>
      <c r="V873" s="935"/>
      <c r="W873" s="935"/>
      <c r="X873" s="935"/>
      <c r="Y873" s="935"/>
      <c r="Z873" s="935"/>
      <c r="AA873" s="935"/>
      <c r="AB873" s="935"/>
      <c r="AC873" s="935"/>
      <c r="AD873" s="935"/>
      <c r="AE873" s="936"/>
      <c r="AF873" s="935"/>
      <c r="AG873" s="935"/>
      <c r="AH873" s="935"/>
    </row>
  </sheetData>
  <mergeCells count="8">
    <mergeCell ref="A687:AH687"/>
    <mergeCell ref="D831:AP831"/>
    <mergeCell ref="A1:K1"/>
    <mergeCell ref="A2:K2"/>
    <mergeCell ref="B4:K4"/>
    <mergeCell ref="B5:K5"/>
    <mergeCell ref="A9:A10"/>
    <mergeCell ref="B9:B10"/>
  </mergeCells>
  <pageMargins left="0.7" right="0.7" top="0.75" bottom="0.75" header="0.3" footer="0.3"/>
  <pageSetup scale="24"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002060"/>
  </sheetPr>
  <dimension ref="A1:AN160"/>
  <sheetViews>
    <sheetView workbookViewId="0">
      <selection sqref="A1:K1"/>
    </sheetView>
  </sheetViews>
  <sheetFormatPr baseColWidth="10" defaultColWidth="11.42578125" defaultRowHeight="12.75"/>
  <cols>
    <col min="1" max="1" width="12.5703125" style="552" customWidth="1"/>
    <col min="2" max="2" width="74.5703125" style="550" customWidth="1"/>
    <col min="3" max="3" width="7" style="498" customWidth="1"/>
    <col min="4" max="4" width="7" style="735" customWidth="1"/>
    <col min="5" max="5" width="9.42578125" style="498" customWidth="1"/>
    <col min="6" max="10" width="7" style="498" customWidth="1"/>
    <col min="11" max="11" width="9.5703125" style="735" customWidth="1"/>
    <col min="12" max="14" width="7" style="499" customWidth="1"/>
    <col min="15" max="15" width="7" style="755" customWidth="1"/>
    <col min="16" max="16" width="7" style="499" customWidth="1"/>
    <col min="17" max="17" width="7" style="498" customWidth="1"/>
    <col min="18" max="18" width="7" style="735" customWidth="1"/>
    <col min="19" max="22" width="7" style="499" customWidth="1"/>
    <col min="23" max="23" width="10.5703125" style="498" customWidth="1"/>
    <col min="24" max="24" width="9.42578125" style="499" customWidth="1"/>
    <col min="25" max="25" width="7" style="735" customWidth="1"/>
    <col min="26" max="26" width="10.42578125" style="498" customWidth="1"/>
    <col min="27" max="27" width="8.5703125" style="498" customWidth="1"/>
    <col min="28" max="28" width="7" style="498" customWidth="1"/>
    <col min="29" max="29" width="9.42578125" style="498" customWidth="1"/>
    <col min="30" max="30" width="7" style="735" customWidth="1"/>
    <col min="31" max="31" width="9.5703125" style="498" customWidth="1"/>
    <col min="32" max="32" width="7" style="735" customWidth="1"/>
    <col min="33" max="33" width="9.42578125" style="1049" customWidth="1"/>
    <col min="34" max="34" width="9.42578125" style="499" hidden="1" customWidth="1"/>
    <col min="35" max="37" width="9.42578125" style="498" customWidth="1"/>
    <col min="38" max="38" width="11.42578125" style="498"/>
    <col min="39" max="39" width="14.42578125" style="498" customWidth="1"/>
    <col min="40" max="257" width="11.42578125" style="498"/>
    <col min="258" max="258" width="6.42578125" style="498" customWidth="1"/>
    <col min="259" max="259" width="47.5703125" style="498" customWidth="1"/>
    <col min="260" max="261" width="5" style="498" customWidth="1"/>
    <col min="262" max="262" width="5.42578125" style="498" customWidth="1"/>
    <col min="263" max="263" width="4.5703125" style="498" customWidth="1"/>
    <col min="264" max="265" width="4.42578125" style="498" customWidth="1"/>
    <col min="266" max="266" width="3.5703125" style="498" customWidth="1"/>
    <col min="267" max="267" width="5" style="498" customWidth="1"/>
    <col min="268" max="268" width="4" style="498" customWidth="1"/>
    <col min="269" max="270" width="4.5703125" style="498" customWidth="1"/>
    <col min="271" max="271" width="4.42578125" style="498" customWidth="1"/>
    <col min="272" max="272" width="4" style="498" customWidth="1"/>
    <col min="273" max="273" width="3.5703125" style="498" customWidth="1"/>
    <col min="274" max="275" width="4.5703125" style="498" customWidth="1"/>
    <col min="276" max="276" width="4" style="498" customWidth="1"/>
    <col min="277" max="278" width="4.42578125" style="498" customWidth="1"/>
    <col min="279" max="279" width="3.5703125" style="498" customWidth="1"/>
    <col min="280" max="280" width="4.42578125" style="498" customWidth="1"/>
    <col min="281" max="281" width="5.5703125" style="498" customWidth="1"/>
    <col min="282" max="282" width="3.5703125" style="498" customWidth="1"/>
    <col min="283" max="283" width="4" style="498" customWidth="1"/>
    <col min="284" max="284" width="4.5703125" style="498" customWidth="1"/>
    <col min="285" max="287" width="4.42578125" style="498" customWidth="1"/>
    <col min="288" max="289" width="4.5703125" style="498" customWidth="1"/>
    <col min="290" max="290" width="4" style="498" customWidth="1"/>
    <col min="291" max="291" width="4.5703125" style="498" customWidth="1"/>
    <col min="292" max="292" width="6" style="498" customWidth="1"/>
    <col min="293" max="293" width="8.5703125" style="498" customWidth="1"/>
    <col min="294" max="513" width="11.42578125" style="498"/>
    <col min="514" max="514" width="6.42578125" style="498" customWidth="1"/>
    <col min="515" max="515" width="47.5703125" style="498" customWidth="1"/>
    <col min="516" max="517" width="5" style="498" customWidth="1"/>
    <col min="518" max="518" width="5.42578125" style="498" customWidth="1"/>
    <col min="519" max="519" width="4.5703125" style="498" customWidth="1"/>
    <col min="520" max="521" width="4.42578125" style="498" customWidth="1"/>
    <col min="522" max="522" width="3.5703125" style="498" customWidth="1"/>
    <col min="523" max="523" width="5" style="498" customWidth="1"/>
    <col min="524" max="524" width="4" style="498" customWidth="1"/>
    <col min="525" max="526" width="4.5703125" style="498" customWidth="1"/>
    <col min="527" max="527" width="4.42578125" style="498" customWidth="1"/>
    <col min="528" max="528" width="4" style="498" customWidth="1"/>
    <col min="529" max="529" width="3.5703125" style="498" customWidth="1"/>
    <col min="530" max="531" width="4.5703125" style="498" customWidth="1"/>
    <col min="532" max="532" width="4" style="498" customWidth="1"/>
    <col min="533" max="534" width="4.42578125" style="498" customWidth="1"/>
    <col min="535" max="535" width="3.5703125" style="498" customWidth="1"/>
    <col min="536" max="536" width="4.42578125" style="498" customWidth="1"/>
    <col min="537" max="537" width="5.5703125" style="498" customWidth="1"/>
    <col min="538" max="538" width="3.5703125" style="498" customWidth="1"/>
    <col min="539" max="539" width="4" style="498" customWidth="1"/>
    <col min="540" max="540" width="4.5703125" style="498" customWidth="1"/>
    <col min="541" max="543" width="4.42578125" style="498" customWidth="1"/>
    <col min="544" max="545" width="4.5703125" style="498" customWidth="1"/>
    <col min="546" max="546" width="4" style="498" customWidth="1"/>
    <col min="547" max="547" width="4.5703125" style="498" customWidth="1"/>
    <col min="548" max="548" width="6" style="498" customWidth="1"/>
    <col min="549" max="549" width="8.5703125" style="498" customWidth="1"/>
    <col min="550" max="769" width="11.42578125" style="498"/>
    <col min="770" max="770" width="6.42578125" style="498" customWidth="1"/>
    <col min="771" max="771" width="47.5703125" style="498" customWidth="1"/>
    <col min="772" max="773" width="5" style="498" customWidth="1"/>
    <col min="774" max="774" width="5.42578125" style="498" customWidth="1"/>
    <col min="775" max="775" width="4.5703125" style="498" customWidth="1"/>
    <col min="776" max="777" width="4.42578125" style="498" customWidth="1"/>
    <col min="778" max="778" width="3.5703125" style="498" customWidth="1"/>
    <col min="779" max="779" width="5" style="498" customWidth="1"/>
    <col min="780" max="780" width="4" style="498" customWidth="1"/>
    <col min="781" max="782" width="4.5703125" style="498" customWidth="1"/>
    <col min="783" max="783" width="4.42578125" style="498" customWidth="1"/>
    <col min="784" max="784" width="4" style="498" customWidth="1"/>
    <col min="785" max="785" width="3.5703125" style="498" customWidth="1"/>
    <col min="786" max="787" width="4.5703125" style="498" customWidth="1"/>
    <col min="788" max="788" width="4" style="498" customWidth="1"/>
    <col min="789" max="790" width="4.42578125" style="498" customWidth="1"/>
    <col min="791" max="791" width="3.5703125" style="498" customWidth="1"/>
    <col min="792" max="792" width="4.42578125" style="498" customWidth="1"/>
    <col min="793" max="793" width="5.5703125" style="498" customWidth="1"/>
    <col min="794" max="794" width="3.5703125" style="498" customWidth="1"/>
    <col min="795" max="795" width="4" style="498" customWidth="1"/>
    <col min="796" max="796" width="4.5703125" style="498" customWidth="1"/>
    <col min="797" max="799" width="4.42578125" style="498" customWidth="1"/>
    <col min="800" max="801" width="4.5703125" style="498" customWidth="1"/>
    <col min="802" max="802" width="4" style="498" customWidth="1"/>
    <col min="803" max="803" width="4.5703125" style="498" customWidth="1"/>
    <col min="804" max="804" width="6" style="498" customWidth="1"/>
    <col min="805" max="805" width="8.5703125" style="498" customWidth="1"/>
    <col min="806" max="1025" width="11.42578125" style="498"/>
    <col min="1026" max="1026" width="6.42578125" style="498" customWidth="1"/>
    <col min="1027" max="1027" width="47.5703125" style="498" customWidth="1"/>
    <col min="1028" max="1029" width="5" style="498" customWidth="1"/>
    <col min="1030" max="1030" width="5.42578125" style="498" customWidth="1"/>
    <col min="1031" max="1031" width="4.5703125" style="498" customWidth="1"/>
    <col min="1032" max="1033" width="4.42578125" style="498" customWidth="1"/>
    <col min="1034" max="1034" width="3.5703125" style="498" customWidth="1"/>
    <col min="1035" max="1035" width="5" style="498" customWidth="1"/>
    <col min="1036" max="1036" width="4" style="498" customWidth="1"/>
    <col min="1037" max="1038" width="4.5703125" style="498" customWidth="1"/>
    <col min="1039" max="1039" width="4.42578125" style="498" customWidth="1"/>
    <col min="1040" max="1040" width="4" style="498" customWidth="1"/>
    <col min="1041" max="1041" width="3.5703125" style="498" customWidth="1"/>
    <col min="1042" max="1043" width="4.5703125" style="498" customWidth="1"/>
    <col min="1044" max="1044" width="4" style="498" customWidth="1"/>
    <col min="1045" max="1046" width="4.42578125" style="498" customWidth="1"/>
    <col min="1047" max="1047" width="3.5703125" style="498" customWidth="1"/>
    <col min="1048" max="1048" width="4.42578125" style="498" customWidth="1"/>
    <col min="1049" max="1049" width="5.5703125" style="498" customWidth="1"/>
    <col min="1050" max="1050" width="3.5703125" style="498" customWidth="1"/>
    <col min="1051" max="1051" width="4" style="498" customWidth="1"/>
    <col min="1052" max="1052" width="4.5703125" style="498" customWidth="1"/>
    <col min="1053" max="1055" width="4.42578125" style="498" customWidth="1"/>
    <col min="1056" max="1057" width="4.5703125" style="498" customWidth="1"/>
    <col min="1058" max="1058" width="4" style="498" customWidth="1"/>
    <col min="1059" max="1059" width="4.5703125" style="498" customWidth="1"/>
    <col min="1060" max="1060" width="6" style="498" customWidth="1"/>
    <col min="1061" max="1061" width="8.5703125" style="498" customWidth="1"/>
    <col min="1062" max="1281" width="11.42578125" style="498"/>
    <col min="1282" max="1282" width="6.42578125" style="498" customWidth="1"/>
    <col min="1283" max="1283" width="47.5703125" style="498" customWidth="1"/>
    <col min="1284" max="1285" width="5" style="498" customWidth="1"/>
    <col min="1286" max="1286" width="5.42578125" style="498" customWidth="1"/>
    <col min="1287" max="1287" width="4.5703125" style="498" customWidth="1"/>
    <col min="1288" max="1289" width="4.42578125" style="498" customWidth="1"/>
    <col min="1290" max="1290" width="3.5703125" style="498" customWidth="1"/>
    <col min="1291" max="1291" width="5" style="498" customWidth="1"/>
    <col min="1292" max="1292" width="4" style="498" customWidth="1"/>
    <col min="1293" max="1294" width="4.5703125" style="498" customWidth="1"/>
    <col min="1295" max="1295" width="4.42578125" style="498" customWidth="1"/>
    <col min="1296" max="1296" width="4" style="498" customWidth="1"/>
    <col min="1297" max="1297" width="3.5703125" style="498" customWidth="1"/>
    <col min="1298" max="1299" width="4.5703125" style="498" customWidth="1"/>
    <col min="1300" max="1300" width="4" style="498" customWidth="1"/>
    <col min="1301" max="1302" width="4.42578125" style="498" customWidth="1"/>
    <col min="1303" max="1303" width="3.5703125" style="498" customWidth="1"/>
    <col min="1304" max="1304" width="4.42578125" style="498" customWidth="1"/>
    <col min="1305" max="1305" width="5.5703125" style="498" customWidth="1"/>
    <col min="1306" max="1306" width="3.5703125" style="498" customWidth="1"/>
    <col min="1307" max="1307" width="4" style="498" customWidth="1"/>
    <col min="1308" max="1308" width="4.5703125" style="498" customWidth="1"/>
    <col min="1309" max="1311" width="4.42578125" style="498" customWidth="1"/>
    <col min="1312" max="1313" width="4.5703125" style="498" customWidth="1"/>
    <col min="1314" max="1314" width="4" style="498" customWidth="1"/>
    <col min="1315" max="1315" width="4.5703125" style="498" customWidth="1"/>
    <col min="1316" max="1316" width="6" style="498" customWidth="1"/>
    <col min="1317" max="1317" width="8.5703125" style="498" customWidth="1"/>
    <col min="1318" max="1537" width="11.42578125" style="498"/>
    <col min="1538" max="1538" width="6.42578125" style="498" customWidth="1"/>
    <col min="1539" max="1539" width="47.5703125" style="498" customWidth="1"/>
    <col min="1540" max="1541" width="5" style="498" customWidth="1"/>
    <col min="1542" max="1542" width="5.42578125" style="498" customWidth="1"/>
    <col min="1543" max="1543" width="4.5703125" style="498" customWidth="1"/>
    <col min="1544" max="1545" width="4.42578125" style="498" customWidth="1"/>
    <col min="1546" max="1546" width="3.5703125" style="498" customWidth="1"/>
    <col min="1547" max="1547" width="5" style="498" customWidth="1"/>
    <col min="1548" max="1548" width="4" style="498" customWidth="1"/>
    <col min="1549" max="1550" width="4.5703125" style="498" customWidth="1"/>
    <col min="1551" max="1551" width="4.42578125" style="498" customWidth="1"/>
    <col min="1552" max="1552" width="4" style="498" customWidth="1"/>
    <col min="1553" max="1553" width="3.5703125" style="498" customWidth="1"/>
    <col min="1554" max="1555" width="4.5703125" style="498" customWidth="1"/>
    <col min="1556" max="1556" width="4" style="498" customWidth="1"/>
    <col min="1557" max="1558" width="4.42578125" style="498" customWidth="1"/>
    <col min="1559" max="1559" width="3.5703125" style="498" customWidth="1"/>
    <col min="1560" max="1560" width="4.42578125" style="498" customWidth="1"/>
    <col min="1561" max="1561" width="5.5703125" style="498" customWidth="1"/>
    <col min="1562" max="1562" width="3.5703125" style="498" customWidth="1"/>
    <col min="1563" max="1563" width="4" style="498" customWidth="1"/>
    <col min="1564" max="1564" width="4.5703125" style="498" customWidth="1"/>
    <col min="1565" max="1567" width="4.42578125" style="498" customWidth="1"/>
    <col min="1568" max="1569" width="4.5703125" style="498" customWidth="1"/>
    <col min="1570" max="1570" width="4" style="498" customWidth="1"/>
    <col min="1571" max="1571" width="4.5703125" style="498" customWidth="1"/>
    <col min="1572" max="1572" width="6" style="498" customWidth="1"/>
    <col min="1573" max="1573" width="8.5703125" style="498" customWidth="1"/>
    <col min="1574" max="1793" width="11.42578125" style="498"/>
    <col min="1794" max="1794" width="6.42578125" style="498" customWidth="1"/>
    <col min="1795" max="1795" width="47.5703125" style="498" customWidth="1"/>
    <col min="1796" max="1797" width="5" style="498" customWidth="1"/>
    <col min="1798" max="1798" width="5.42578125" style="498" customWidth="1"/>
    <col min="1799" max="1799" width="4.5703125" style="498" customWidth="1"/>
    <col min="1800" max="1801" width="4.42578125" style="498" customWidth="1"/>
    <col min="1802" max="1802" width="3.5703125" style="498" customWidth="1"/>
    <col min="1803" max="1803" width="5" style="498" customWidth="1"/>
    <col min="1804" max="1804" width="4" style="498" customWidth="1"/>
    <col min="1805" max="1806" width="4.5703125" style="498" customWidth="1"/>
    <col min="1807" max="1807" width="4.42578125" style="498" customWidth="1"/>
    <col min="1808" max="1808" width="4" style="498" customWidth="1"/>
    <col min="1809" max="1809" width="3.5703125" style="498" customWidth="1"/>
    <col min="1810" max="1811" width="4.5703125" style="498" customWidth="1"/>
    <col min="1812" max="1812" width="4" style="498" customWidth="1"/>
    <col min="1813" max="1814" width="4.42578125" style="498" customWidth="1"/>
    <col min="1815" max="1815" width="3.5703125" style="498" customWidth="1"/>
    <col min="1816" max="1816" width="4.42578125" style="498" customWidth="1"/>
    <col min="1817" max="1817" width="5.5703125" style="498" customWidth="1"/>
    <col min="1818" max="1818" width="3.5703125" style="498" customWidth="1"/>
    <col min="1819" max="1819" width="4" style="498" customWidth="1"/>
    <col min="1820" max="1820" width="4.5703125" style="498" customWidth="1"/>
    <col min="1821" max="1823" width="4.42578125" style="498" customWidth="1"/>
    <col min="1824" max="1825" width="4.5703125" style="498" customWidth="1"/>
    <col min="1826" max="1826" width="4" style="498" customWidth="1"/>
    <col min="1827" max="1827" width="4.5703125" style="498" customWidth="1"/>
    <col min="1828" max="1828" width="6" style="498" customWidth="1"/>
    <col min="1829" max="1829" width="8.5703125" style="498" customWidth="1"/>
    <col min="1830" max="2049" width="11.42578125" style="498"/>
    <col min="2050" max="2050" width="6.42578125" style="498" customWidth="1"/>
    <col min="2051" max="2051" width="47.5703125" style="498" customWidth="1"/>
    <col min="2052" max="2053" width="5" style="498" customWidth="1"/>
    <col min="2054" max="2054" width="5.42578125" style="498" customWidth="1"/>
    <col min="2055" max="2055" width="4.5703125" style="498" customWidth="1"/>
    <col min="2056" max="2057" width="4.42578125" style="498" customWidth="1"/>
    <col min="2058" max="2058" width="3.5703125" style="498" customWidth="1"/>
    <col min="2059" max="2059" width="5" style="498" customWidth="1"/>
    <col min="2060" max="2060" width="4" style="498" customWidth="1"/>
    <col min="2061" max="2062" width="4.5703125" style="498" customWidth="1"/>
    <col min="2063" max="2063" width="4.42578125" style="498" customWidth="1"/>
    <col min="2064" max="2064" width="4" style="498" customWidth="1"/>
    <col min="2065" max="2065" width="3.5703125" style="498" customWidth="1"/>
    <col min="2066" max="2067" width="4.5703125" style="498" customWidth="1"/>
    <col min="2068" max="2068" width="4" style="498" customWidth="1"/>
    <col min="2069" max="2070" width="4.42578125" style="498" customWidth="1"/>
    <col min="2071" max="2071" width="3.5703125" style="498" customWidth="1"/>
    <col min="2072" max="2072" width="4.42578125" style="498" customWidth="1"/>
    <col min="2073" max="2073" width="5.5703125" style="498" customWidth="1"/>
    <col min="2074" max="2074" width="3.5703125" style="498" customWidth="1"/>
    <col min="2075" max="2075" width="4" style="498" customWidth="1"/>
    <col min="2076" max="2076" width="4.5703125" style="498" customWidth="1"/>
    <col min="2077" max="2079" width="4.42578125" style="498" customWidth="1"/>
    <col min="2080" max="2081" width="4.5703125" style="498" customWidth="1"/>
    <col min="2082" max="2082" width="4" style="498" customWidth="1"/>
    <col min="2083" max="2083" width="4.5703125" style="498" customWidth="1"/>
    <col min="2084" max="2084" width="6" style="498" customWidth="1"/>
    <col min="2085" max="2085" width="8.5703125" style="498" customWidth="1"/>
    <col min="2086" max="2305" width="11.42578125" style="498"/>
    <col min="2306" max="2306" width="6.42578125" style="498" customWidth="1"/>
    <col min="2307" max="2307" width="47.5703125" style="498" customWidth="1"/>
    <col min="2308" max="2309" width="5" style="498" customWidth="1"/>
    <col min="2310" max="2310" width="5.42578125" style="498" customWidth="1"/>
    <col min="2311" max="2311" width="4.5703125" style="498" customWidth="1"/>
    <col min="2312" max="2313" width="4.42578125" style="498" customWidth="1"/>
    <col min="2314" max="2314" width="3.5703125" style="498" customWidth="1"/>
    <col min="2315" max="2315" width="5" style="498" customWidth="1"/>
    <col min="2316" max="2316" width="4" style="498" customWidth="1"/>
    <col min="2317" max="2318" width="4.5703125" style="498" customWidth="1"/>
    <col min="2319" max="2319" width="4.42578125" style="498" customWidth="1"/>
    <col min="2320" max="2320" width="4" style="498" customWidth="1"/>
    <col min="2321" max="2321" width="3.5703125" style="498" customWidth="1"/>
    <col min="2322" max="2323" width="4.5703125" style="498" customWidth="1"/>
    <col min="2324" max="2324" width="4" style="498" customWidth="1"/>
    <col min="2325" max="2326" width="4.42578125" style="498" customWidth="1"/>
    <col min="2327" max="2327" width="3.5703125" style="498" customWidth="1"/>
    <col min="2328" max="2328" width="4.42578125" style="498" customWidth="1"/>
    <col min="2329" max="2329" width="5.5703125" style="498" customWidth="1"/>
    <col min="2330" max="2330" width="3.5703125" style="498" customWidth="1"/>
    <col min="2331" max="2331" width="4" style="498" customWidth="1"/>
    <col min="2332" max="2332" width="4.5703125" style="498" customWidth="1"/>
    <col min="2333" max="2335" width="4.42578125" style="498" customWidth="1"/>
    <col min="2336" max="2337" width="4.5703125" style="498" customWidth="1"/>
    <col min="2338" max="2338" width="4" style="498" customWidth="1"/>
    <col min="2339" max="2339" width="4.5703125" style="498" customWidth="1"/>
    <col min="2340" max="2340" width="6" style="498" customWidth="1"/>
    <col min="2341" max="2341" width="8.5703125" style="498" customWidth="1"/>
    <col min="2342" max="2561" width="11.42578125" style="498"/>
    <col min="2562" max="2562" width="6.42578125" style="498" customWidth="1"/>
    <col min="2563" max="2563" width="47.5703125" style="498" customWidth="1"/>
    <col min="2564" max="2565" width="5" style="498" customWidth="1"/>
    <col min="2566" max="2566" width="5.42578125" style="498" customWidth="1"/>
    <col min="2567" max="2567" width="4.5703125" style="498" customWidth="1"/>
    <col min="2568" max="2569" width="4.42578125" style="498" customWidth="1"/>
    <col min="2570" max="2570" width="3.5703125" style="498" customWidth="1"/>
    <col min="2571" max="2571" width="5" style="498" customWidth="1"/>
    <col min="2572" max="2572" width="4" style="498" customWidth="1"/>
    <col min="2573" max="2574" width="4.5703125" style="498" customWidth="1"/>
    <col min="2575" max="2575" width="4.42578125" style="498" customWidth="1"/>
    <col min="2576" max="2576" width="4" style="498" customWidth="1"/>
    <col min="2577" max="2577" width="3.5703125" style="498" customWidth="1"/>
    <col min="2578" max="2579" width="4.5703125" style="498" customWidth="1"/>
    <col min="2580" max="2580" width="4" style="498" customWidth="1"/>
    <col min="2581" max="2582" width="4.42578125" style="498" customWidth="1"/>
    <col min="2583" max="2583" width="3.5703125" style="498" customWidth="1"/>
    <col min="2584" max="2584" width="4.42578125" style="498" customWidth="1"/>
    <col min="2585" max="2585" width="5.5703125" style="498" customWidth="1"/>
    <col min="2586" max="2586" width="3.5703125" style="498" customWidth="1"/>
    <col min="2587" max="2587" width="4" style="498" customWidth="1"/>
    <col min="2588" max="2588" width="4.5703125" style="498" customWidth="1"/>
    <col min="2589" max="2591" width="4.42578125" style="498" customWidth="1"/>
    <col min="2592" max="2593" width="4.5703125" style="498" customWidth="1"/>
    <col min="2594" max="2594" width="4" style="498" customWidth="1"/>
    <col min="2595" max="2595" width="4.5703125" style="498" customWidth="1"/>
    <col min="2596" max="2596" width="6" style="498" customWidth="1"/>
    <col min="2597" max="2597" width="8.5703125" style="498" customWidth="1"/>
    <col min="2598" max="2817" width="11.42578125" style="498"/>
    <col min="2818" max="2818" width="6.42578125" style="498" customWidth="1"/>
    <col min="2819" max="2819" width="47.5703125" style="498" customWidth="1"/>
    <col min="2820" max="2821" width="5" style="498" customWidth="1"/>
    <col min="2822" max="2822" width="5.42578125" style="498" customWidth="1"/>
    <col min="2823" max="2823" width="4.5703125" style="498" customWidth="1"/>
    <col min="2824" max="2825" width="4.42578125" style="498" customWidth="1"/>
    <col min="2826" max="2826" width="3.5703125" style="498" customWidth="1"/>
    <col min="2827" max="2827" width="5" style="498" customWidth="1"/>
    <col min="2828" max="2828" width="4" style="498" customWidth="1"/>
    <col min="2829" max="2830" width="4.5703125" style="498" customWidth="1"/>
    <col min="2831" max="2831" width="4.42578125" style="498" customWidth="1"/>
    <col min="2832" max="2832" width="4" style="498" customWidth="1"/>
    <col min="2833" max="2833" width="3.5703125" style="498" customWidth="1"/>
    <col min="2834" max="2835" width="4.5703125" style="498" customWidth="1"/>
    <col min="2836" max="2836" width="4" style="498" customWidth="1"/>
    <col min="2837" max="2838" width="4.42578125" style="498" customWidth="1"/>
    <col min="2839" max="2839" width="3.5703125" style="498" customWidth="1"/>
    <col min="2840" max="2840" width="4.42578125" style="498" customWidth="1"/>
    <col min="2841" max="2841" width="5.5703125" style="498" customWidth="1"/>
    <col min="2842" max="2842" width="3.5703125" style="498" customWidth="1"/>
    <col min="2843" max="2843" width="4" style="498" customWidth="1"/>
    <col min="2844" max="2844" width="4.5703125" style="498" customWidth="1"/>
    <col min="2845" max="2847" width="4.42578125" style="498" customWidth="1"/>
    <col min="2848" max="2849" width="4.5703125" style="498" customWidth="1"/>
    <col min="2850" max="2850" width="4" style="498" customWidth="1"/>
    <col min="2851" max="2851" width="4.5703125" style="498" customWidth="1"/>
    <col min="2852" max="2852" width="6" style="498" customWidth="1"/>
    <col min="2853" max="2853" width="8.5703125" style="498" customWidth="1"/>
    <col min="2854" max="3073" width="11.42578125" style="498"/>
    <col min="3074" max="3074" width="6.42578125" style="498" customWidth="1"/>
    <col min="3075" max="3075" width="47.5703125" style="498" customWidth="1"/>
    <col min="3076" max="3077" width="5" style="498" customWidth="1"/>
    <col min="3078" max="3078" width="5.42578125" style="498" customWidth="1"/>
    <col min="3079" max="3079" width="4.5703125" style="498" customWidth="1"/>
    <col min="3080" max="3081" width="4.42578125" style="498" customWidth="1"/>
    <col min="3082" max="3082" width="3.5703125" style="498" customWidth="1"/>
    <col min="3083" max="3083" width="5" style="498" customWidth="1"/>
    <col min="3084" max="3084" width="4" style="498" customWidth="1"/>
    <col min="3085" max="3086" width="4.5703125" style="498" customWidth="1"/>
    <col min="3087" max="3087" width="4.42578125" style="498" customWidth="1"/>
    <col min="3088" max="3088" width="4" style="498" customWidth="1"/>
    <col min="3089" max="3089" width="3.5703125" style="498" customWidth="1"/>
    <col min="3090" max="3091" width="4.5703125" style="498" customWidth="1"/>
    <col min="3092" max="3092" width="4" style="498" customWidth="1"/>
    <col min="3093" max="3094" width="4.42578125" style="498" customWidth="1"/>
    <col min="3095" max="3095" width="3.5703125" style="498" customWidth="1"/>
    <col min="3096" max="3096" width="4.42578125" style="498" customWidth="1"/>
    <col min="3097" max="3097" width="5.5703125" style="498" customWidth="1"/>
    <col min="3098" max="3098" width="3.5703125" style="498" customWidth="1"/>
    <col min="3099" max="3099" width="4" style="498" customWidth="1"/>
    <col min="3100" max="3100" width="4.5703125" style="498" customWidth="1"/>
    <col min="3101" max="3103" width="4.42578125" style="498" customWidth="1"/>
    <col min="3104" max="3105" width="4.5703125" style="498" customWidth="1"/>
    <col min="3106" max="3106" width="4" style="498" customWidth="1"/>
    <col min="3107" max="3107" width="4.5703125" style="498" customWidth="1"/>
    <col min="3108" max="3108" width="6" style="498" customWidth="1"/>
    <col min="3109" max="3109" width="8.5703125" style="498" customWidth="1"/>
    <col min="3110" max="3329" width="11.42578125" style="498"/>
    <col min="3330" max="3330" width="6.42578125" style="498" customWidth="1"/>
    <col min="3331" max="3331" width="47.5703125" style="498" customWidth="1"/>
    <col min="3332" max="3333" width="5" style="498" customWidth="1"/>
    <col min="3334" max="3334" width="5.42578125" style="498" customWidth="1"/>
    <col min="3335" max="3335" width="4.5703125" style="498" customWidth="1"/>
    <col min="3336" max="3337" width="4.42578125" style="498" customWidth="1"/>
    <col min="3338" max="3338" width="3.5703125" style="498" customWidth="1"/>
    <col min="3339" max="3339" width="5" style="498" customWidth="1"/>
    <col min="3340" max="3340" width="4" style="498" customWidth="1"/>
    <col min="3341" max="3342" width="4.5703125" style="498" customWidth="1"/>
    <col min="3343" max="3343" width="4.42578125" style="498" customWidth="1"/>
    <col min="3344" max="3344" width="4" style="498" customWidth="1"/>
    <col min="3345" max="3345" width="3.5703125" style="498" customWidth="1"/>
    <col min="3346" max="3347" width="4.5703125" style="498" customWidth="1"/>
    <col min="3348" max="3348" width="4" style="498" customWidth="1"/>
    <col min="3349" max="3350" width="4.42578125" style="498" customWidth="1"/>
    <col min="3351" max="3351" width="3.5703125" style="498" customWidth="1"/>
    <col min="3352" max="3352" width="4.42578125" style="498" customWidth="1"/>
    <col min="3353" max="3353" width="5.5703125" style="498" customWidth="1"/>
    <col min="3354" max="3354" width="3.5703125" style="498" customWidth="1"/>
    <col min="3355" max="3355" width="4" style="498" customWidth="1"/>
    <col min="3356" max="3356" width="4.5703125" style="498" customWidth="1"/>
    <col min="3357" max="3359" width="4.42578125" style="498" customWidth="1"/>
    <col min="3360" max="3361" width="4.5703125" style="498" customWidth="1"/>
    <col min="3362" max="3362" width="4" style="498" customWidth="1"/>
    <col min="3363" max="3363" width="4.5703125" style="498" customWidth="1"/>
    <col min="3364" max="3364" width="6" style="498" customWidth="1"/>
    <col min="3365" max="3365" width="8.5703125" style="498" customWidth="1"/>
    <col min="3366" max="3585" width="11.42578125" style="498"/>
    <col min="3586" max="3586" width="6.42578125" style="498" customWidth="1"/>
    <col min="3587" max="3587" width="47.5703125" style="498" customWidth="1"/>
    <col min="3588" max="3589" width="5" style="498" customWidth="1"/>
    <col min="3590" max="3590" width="5.42578125" style="498" customWidth="1"/>
    <col min="3591" max="3591" width="4.5703125" style="498" customWidth="1"/>
    <col min="3592" max="3593" width="4.42578125" style="498" customWidth="1"/>
    <col min="3594" max="3594" width="3.5703125" style="498" customWidth="1"/>
    <col min="3595" max="3595" width="5" style="498" customWidth="1"/>
    <col min="3596" max="3596" width="4" style="498" customWidth="1"/>
    <col min="3597" max="3598" width="4.5703125" style="498" customWidth="1"/>
    <col min="3599" max="3599" width="4.42578125" style="498" customWidth="1"/>
    <col min="3600" max="3600" width="4" style="498" customWidth="1"/>
    <col min="3601" max="3601" width="3.5703125" style="498" customWidth="1"/>
    <col min="3602" max="3603" width="4.5703125" style="498" customWidth="1"/>
    <col min="3604" max="3604" width="4" style="498" customWidth="1"/>
    <col min="3605" max="3606" width="4.42578125" style="498" customWidth="1"/>
    <col min="3607" max="3607" width="3.5703125" style="498" customWidth="1"/>
    <col min="3608" max="3608" width="4.42578125" style="498" customWidth="1"/>
    <col min="3609" max="3609" width="5.5703125" style="498" customWidth="1"/>
    <col min="3610" max="3610" width="3.5703125" style="498" customWidth="1"/>
    <col min="3611" max="3611" width="4" style="498" customWidth="1"/>
    <col min="3612" max="3612" width="4.5703125" style="498" customWidth="1"/>
    <col min="3613" max="3615" width="4.42578125" style="498" customWidth="1"/>
    <col min="3616" max="3617" width="4.5703125" style="498" customWidth="1"/>
    <col min="3618" max="3618" width="4" style="498" customWidth="1"/>
    <col min="3619" max="3619" width="4.5703125" style="498" customWidth="1"/>
    <col min="3620" max="3620" width="6" style="498" customWidth="1"/>
    <col min="3621" max="3621" width="8.5703125" style="498" customWidth="1"/>
    <col min="3622" max="3841" width="11.42578125" style="498"/>
    <col min="3842" max="3842" width="6.42578125" style="498" customWidth="1"/>
    <col min="3843" max="3843" width="47.5703125" style="498" customWidth="1"/>
    <col min="3844" max="3845" width="5" style="498" customWidth="1"/>
    <col min="3846" max="3846" width="5.42578125" style="498" customWidth="1"/>
    <col min="3847" max="3847" width="4.5703125" style="498" customWidth="1"/>
    <col min="3848" max="3849" width="4.42578125" style="498" customWidth="1"/>
    <col min="3850" max="3850" width="3.5703125" style="498" customWidth="1"/>
    <col min="3851" max="3851" width="5" style="498" customWidth="1"/>
    <col min="3852" max="3852" width="4" style="498" customWidth="1"/>
    <col min="3853" max="3854" width="4.5703125" style="498" customWidth="1"/>
    <col min="3855" max="3855" width="4.42578125" style="498" customWidth="1"/>
    <col min="3856" max="3856" width="4" style="498" customWidth="1"/>
    <col min="3857" max="3857" width="3.5703125" style="498" customWidth="1"/>
    <col min="3858" max="3859" width="4.5703125" style="498" customWidth="1"/>
    <col min="3860" max="3860" width="4" style="498" customWidth="1"/>
    <col min="3861" max="3862" width="4.42578125" style="498" customWidth="1"/>
    <col min="3863" max="3863" width="3.5703125" style="498" customWidth="1"/>
    <col min="3864" max="3864" width="4.42578125" style="498" customWidth="1"/>
    <col min="3865" max="3865" width="5.5703125" style="498" customWidth="1"/>
    <col min="3866" max="3866" width="3.5703125" style="498" customWidth="1"/>
    <col min="3867" max="3867" width="4" style="498" customWidth="1"/>
    <col min="3868" max="3868" width="4.5703125" style="498" customWidth="1"/>
    <col min="3869" max="3871" width="4.42578125" style="498" customWidth="1"/>
    <col min="3872" max="3873" width="4.5703125" style="498" customWidth="1"/>
    <col min="3874" max="3874" width="4" style="498" customWidth="1"/>
    <col min="3875" max="3875" width="4.5703125" style="498" customWidth="1"/>
    <col min="3876" max="3876" width="6" style="498" customWidth="1"/>
    <col min="3877" max="3877" width="8.5703125" style="498" customWidth="1"/>
    <col min="3878" max="4097" width="11.42578125" style="498"/>
    <col min="4098" max="4098" width="6.42578125" style="498" customWidth="1"/>
    <col min="4099" max="4099" width="47.5703125" style="498" customWidth="1"/>
    <col min="4100" max="4101" width="5" style="498" customWidth="1"/>
    <col min="4102" max="4102" width="5.42578125" style="498" customWidth="1"/>
    <col min="4103" max="4103" width="4.5703125" style="498" customWidth="1"/>
    <col min="4104" max="4105" width="4.42578125" style="498" customWidth="1"/>
    <col min="4106" max="4106" width="3.5703125" style="498" customWidth="1"/>
    <col min="4107" max="4107" width="5" style="498" customWidth="1"/>
    <col min="4108" max="4108" width="4" style="498" customWidth="1"/>
    <col min="4109" max="4110" width="4.5703125" style="498" customWidth="1"/>
    <col min="4111" max="4111" width="4.42578125" style="498" customWidth="1"/>
    <col min="4112" max="4112" width="4" style="498" customWidth="1"/>
    <col min="4113" max="4113" width="3.5703125" style="498" customWidth="1"/>
    <col min="4114" max="4115" width="4.5703125" style="498" customWidth="1"/>
    <col min="4116" max="4116" width="4" style="498" customWidth="1"/>
    <col min="4117" max="4118" width="4.42578125" style="498" customWidth="1"/>
    <col min="4119" max="4119" width="3.5703125" style="498" customWidth="1"/>
    <col min="4120" max="4120" width="4.42578125" style="498" customWidth="1"/>
    <col min="4121" max="4121" width="5.5703125" style="498" customWidth="1"/>
    <col min="4122" max="4122" width="3.5703125" style="498" customWidth="1"/>
    <col min="4123" max="4123" width="4" style="498" customWidth="1"/>
    <col min="4124" max="4124" width="4.5703125" style="498" customWidth="1"/>
    <col min="4125" max="4127" width="4.42578125" style="498" customWidth="1"/>
    <col min="4128" max="4129" width="4.5703125" style="498" customWidth="1"/>
    <col min="4130" max="4130" width="4" style="498" customWidth="1"/>
    <col min="4131" max="4131" width="4.5703125" style="498" customWidth="1"/>
    <col min="4132" max="4132" width="6" style="498" customWidth="1"/>
    <col min="4133" max="4133" width="8.5703125" style="498" customWidth="1"/>
    <col min="4134" max="4353" width="11.42578125" style="498"/>
    <col min="4354" max="4354" width="6.42578125" style="498" customWidth="1"/>
    <col min="4355" max="4355" width="47.5703125" style="498" customWidth="1"/>
    <col min="4356" max="4357" width="5" style="498" customWidth="1"/>
    <col min="4358" max="4358" width="5.42578125" style="498" customWidth="1"/>
    <col min="4359" max="4359" width="4.5703125" style="498" customWidth="1"/>
    <col min="4360" max="4361" width="4.42578125" style="498" customWidth="1"/>
    <col min="4362" max="4362" width="3.5703125" style="498" customWidth="1"/>
    <col min="4363" max="4363" width="5" style="498" customWidth="1"/>
    <col min="4364" max="4364" width="4" style="498" customWidth="1"/>
    <col min="4365" max="4366" width="4.5703125" style="498" customWidth="1"/>
    <col min="4367" max="4367" width="4.42578125" style="498" customWidth="1"/>
    <col min="4368" max="4368" width="4" style="498" customWidth="1"/>
    <col min="4369" max="4369" width="3.5703125" style="498" customWidth="1"/>
    <col min="4370" max="4371" width="4.5703125" style="498" customWidth="1"/>
    <col min="4372" max="4372" width="4" style="498" customWidth="1"/>
    <col min="4373" max="4374" width="4.42578125" style="498" customWidth="1"/>
    <col min="4375" max="4375" width="3.5703125" style="498" customWidth="1"/>
    <col min="4376" max="4376" width="4.42578125" style="498" customWidth="1"/>
    <col min="4377" max="4377" width="5.5703125" style="498" customWidth="1"/>
    <col min="4378" max="4378" width="3.5703125" style="498" customWidth="1"/>
    <col min="4379" max="4379" width="4" style="498" customWidth="1"/>
    <col min="4380" max="4380" width="4.5703125" style="498" customWidth="1"/>
    <col min="4381" max="4383" width="4.42578125" style="498" customWidth="1"/>
    <col min="4384" max="4385" width="4.5703125" style="498" customWidth="1"/>
    <col min="4386" max="4386" width="4" style="498" customWidth="1"/>
    <col min="4387" max="4387" width="4.5703125" style="498" customWidth="1"/>
    <col min="4388" max="4388" width="6" style="498" customWidth="1"/>
    <col min="4389" max="4389" width="8.5703125" style="498" customWidth="1"/>
    <col min="4390" max="4609" width="11.42578125" style="498"/>
    <col min="4610" max="4610" width="6.42578125" style="498" customWidth="1"/>
    <col min="4611" max="4611" width="47.5703125" style="498" customWidth="1"/>
    <col min="4612" max="4613" width="5" style="498" customWidth="1"/>
    <col min="4614" max="4614" width="5.42578125" style="498" customWidth="1"/>
    <col min="4615" max="4615" width="4.5703125" style="498" customWidth="1"/>
    <col min="4616" max="4617" width="4.42578125" style="498" customWidth="1"/>
    <col min="4618" max="4618" width="3.5703125" style="498" customWidth="1"/>
    <col min="4619" max="4619" width="5" style="498" customWidth="1"/>
    <col min="4620" max="4620" width="4" style="498" customWidth="1"/>
    <col min="4621" max="4622" width="4.5703125" style="498" customWidth="1"/>
    <col min="4623" max="4623" width="4.42578125" style="498" customWidth="1"/>
    <col min="4624" max="4624" width="4" style="498" customWidth="1"/>
    <col min="4625" max="4625" width="3.5703125" style="498" customWidth="1"/>
    <col min="4626" max="4627" width="4.5703125" style="498" customWidth="1"/>
    <col min="4628" max="4628" width="4" style="498" customWidth="1"/>
    <col min="4629" max="4630" width="4.42578125" style="498" customWidth="1"/>
    <col min="4631" max="4631" width="3.5703125" style="498" customWidth="1"/>
    <col min="4632" max="4632" width="4.42578125" style="498" customWidth="1"/>
    <col min="4633" max="4633" width="5.5703125" style="498" customWidth="1"/>
    <col min="4634" max="4634" width="3.5703125" style="498" customWidth="1"/>
    <col min="4635" max="4635" width="4" style="498" customWidth="1"/>
    <col min="4636" max="4636" width="4.5703125" style="498" customWidth="1"/>
    <col min="4637" max="4639" width="4.42578125" style="498" customWidth="1"/>
    <col min="4640" max="4641" width="4.5703125" style="498" customWidth="1"/>
    <col min="4642" max="4642" width="4" style="498" customWidth="1"/>
    <col min="4643" max="4643" width="4.5703125" style="498" customWidth="1"/>
    <col min="4644" max="4644" width="6" style="498" customWidth="1"/>
    <col min="4645" max="4645" width="8.5703125" style="498" customWidth="1"/>
    <col min="4646" max="4865" width="11.42578125" style="498"/>
    <col min="4866" max="4866" width="6.42578125" style="498" customWidth="1"/>
    <col min="4867" max="4867" width="47.5703125" style="498" customWidth="1"/>
    <col min="4868" max="4869" width="5" style="498" customWidth="1"/>
    <col min="4870" max="4870" width="5.42578125" style="498" customWidth="1"/>
    <col min="4871" max="4871" width="4.5703125" style="498" customWidth="1"/>
    <col min="4872" max="4873" width="4.42578125" style="498" customWidth="1"/>
    <col min="4874" max="4874" width="3.5703125" style="498" customWidth="1"/>
    <col min="4875" max="4875" width="5" style="498" customWidth="1"/>
    <col min="4876" max="4876" width="4" style="498" customWidth="1"/>
    <col min="4877" max="4878" width="4.5703125" style="498" customWidth="1"/>
    <col min="4879" max="4879" width="4.42578125" style="498" customWidth="1"/>
    <col min="4880" max="4880" width="4" style="498" customWidth="1"/>
    <col min="4881" max="4881" width="3.5703125" style="498" customWidth="1"/>
    <col min="4882" max="4883" width="4.5703125" style="498" customWidth="1"/>
    <col min="4884" max="4884" width="4" style="498" customWidth="1"/>
    <col min="4885" max="4886" width="4.42578125" style="498" customWidth="1"/>
    <col min="4887" max="4887" width="3.5703125" style="498" customWidth="1"/>
    <col min="4888" max="4888" width="4.42578125" style="498" customWidth="1"/>
    <col min="4889" max="4889" width="5.5703125" style="498" customWidth="1"/>
    <col min="4890" max="4890" width="3.5703125" style="498" customWidth="1"/>
    <col min="4891" max="4891" width="4" style="498" customWidth="1"/>
    <col min="4892" max="4892" width="4.5703125" style="498" customWidth="1"/>
    <col min="4893" max="4895" width="4.42578125" style="498" customWidth="1"/>
    <col min="4896" max="4897" width="4.5703125" style="498" customWidth="1"/>
    <col min="4898" max="4898" width="4" style="498" customWidth="1"/>
    <col min="4899" max="4899" width="4.5703125" style="498" customWidth="1"/>
    <col min="4900" max="4900" width="6" style="498" customWidth="1"/>
    <col min="4901" max="4901" width="8.5703125" style="498" customWidth="1"/>
    <col min="4902" max="5121" width="11.42578125" style="498"/>
    <col min="5122" max="5122" width="6.42578125" style="498" customWidth="1"/>
    <col min="5123" max="5123" width="47.5703125" style="498" customWidth="1"/>
    <col min="5124" max="5125" width="5" style="498" customWidth="1"/>
    <col min="5126" max="5126" width="5.42578125" style="498" customWidth="1"/>
    <col min="5127" max="5127" width="4.5703125" style="498" customWidth="1"/>
    <col min="5128" max="5129" width="4.42578125" style="498" customWidth="1"/>
    <col min="5130" max="5130" width="3.5703125" style="498" customWidth="1"/>
    <col min="5131" max="5131" width="5" style="498" customWidth="1"/>
    <col min="5132" max="5132" width="4" style="498" customWidth="1"/>
    <col min="5133" max="5134" width="4.5703125" style="498" customWidth="1"/>
    <col min="5135" max="5135" width="4.42578125" style="498" customWidth="1"/>
    <col min="5136" max="5136" width="4" style="498" customWidth="1"/>
    <col min="5137" max="5137" width="3.5703125" style="498" customWidth="1"/>
    <col min="5138" max="5139" width="4.5703125" style="498" customWidth="1"/>
    <col min="5140" max="5140" width="4" style="498" customWidth="1"/>
    <col min="5141" max="5142" width="4.42578125" style="498" customWidth="1"/>
    <col min="5143" max="5143" width="3.5703125" style="498" customWidth="1"/>
    <col min="5144" max="5144" width="4.42578125" style="498" customWidth="1"/>
    <col min="5145" max="5145" width="5.5703125" style="498" customWidth="1"/>
    <col min="5146" max="5146" width="3.5703125" style="498" customWidth="1"/>
    <col min="5147" max="5147" width="4" style="498" customWidth="1"/>
    <col min="5148" max="5148" width="4.5703125" style="498" customWidth="1"/>
    <col min="5149" max="5151" width="4.42578125" style="498" customWidth="1"/>
    <col min="5152" max="5153" width="4.5703125" style="498" customWidth="1"/>
    <col min="5154" max="5154" width="4" style="498" customWidth="1"/>
    <col min="5155" max="5155" width="4.5703125" style="498" customWidth="1"/>
    <col min="5156" max="5156" width="6" style="498" customWidth="1"/>
    <col min="5157" max="5157" width="8.5703125" style="498" customWidth="1"/>
    <col min="5158" max="5377" width="11.42578125" style="498"/>
    <col min="5378" max="5378" width="6.42578125" style="498" customWidth="1"/>
    <col min="5379" max="5379" width="47.5703125" style="498" customWidth="1"/>
    <col min="5380" max="5381" width="5" style="498" customWidth="1"/>
    <col min="5382" max="5382" width="5.42578125" style="498" customWidth="1"/>
    <col min="5383" max="5383" width="4.5703125" style="498" customWidth="1"/>
    <col min="5384" max="5385" width="4.42578125" style="498" customWidth="1"/>
    <col min="5386" max="5386" width="3.5703125" style="498" customWidth="1"/>
    <col min="5387" max="5387" width="5" style="498" customWidth="1"/>
    <col min="5388" max="5388" width="4" style="498" customWidth="1"/>
    <col min="5389" max="5390" width="4.5703125" style="498" customWidth="1"/>
    <col min="5391" max="5391" width="4.42578125" style="498" customWidth="1"/>
    <col min="5392" max="5392" width="4" style="498" customWidth="1"/>
    <col min="5393" max="5393" width="3.5703125" style="498" customWidth="1"/>
    <col min="5394" max="5395" width="4.5703125" style="498" customWidth="1"/>
    <col min="5396" max="5396" width="4" style="498" customWidth="1"/>
    <col min="5397" max="5398" width="4.42578125" style="498" customWidth="1"/>
    <col min="5399" max="5399" width="3.5703125" style="498" customWidth="1"/>
    <col min="5400" max="5400" width="4.42578125" style="498" customWidth="1"/>
    <col min="5401" max="5401" width="5.5703125" style="498" customWidth="1"/>
    <col min="5402" max="5402" width="3.5703125" style="498" customWidth="1"/>
    <col min="5403" max="5403" width="4" style="498" customWidth="1"/>
    <col min="5404" max="5404" width="4.5703125" style="498" customWidth="1"/>
    <col min="5405" max="5407" width="4.42578125" style="498" customWidth="1"/>
    <col min="5408" max="5409" width="4.5703125" style="498" customWidth="1"/>
    <col min="5410" max="5410" width="4" style="498" customWidth="1"/>
    <col min="5411" max="5411" width="4.5703125" style="498" customWidth="1"/>
    <col min="5412" max="5412" width="6" style="498" customWidth="1"/>
    <col min="5413" max="5413" width="8.5703125" style="498" customWidth="1"/>
    <col min="5414" max="5633" width="11.42578125" style="498"/>
    <col min="5634" max="5634" width="6.42578125" style="498" customWidth="1"/>
    <col min="5635" max="5635" width="47.5703125" style="498" customWidth="1"/>
    <col min="5636" max="5637" width="5" style="498" customWidth="1"/>
    <col min="5638" max="5638" width="5.42578125" style="498" customWidth="1"/>
    <col min="5639" max="5639" width="4.5703125" style="498" customWidth="1"/>
    <col min="5640" max="5641" width="4.42578125" style="498" customWidth="1"/>
    <col min="5642" max="5642" width="3.5703125" style="498" customWidth="1"/>
    <col min="5643" max="5643" width="5" style="498" customWidth="1"/>
    <col min="5644" max="5644" width="4" style="498" customWidth="1"/>
    <col min="5645" max="5646" width="4.5703125" style="498" customWidth="1"/>
    <col min="5647" max="5647" width="4.42578125" style="498" customWidth="1"/>
    <col min="5648" max="5648" width="4" style="498" customWidth="1"/>
    <col min="5649" max="5649" width="3.5703125" style="498" customWidth="1"/>
    <col min="5650" max="5651" width="4.5703125" style="498" customWidth="1"/>
    <col min="5652" max="5652" width="4" style="498" customWidth="1"/>
    <col min="5653" max="5654" width="4.42578125" style="498" customWidth="1"/>
    <col min="5655" max="5655" width="3.5703125" style="498" customWidth="1"/>
    <col min="5656" max="5656" width="4.42578125" style="498" customWidth="1"/>
    <col min="5657" max="5657" width="5.5703125" style="498" customWidth="1"/>
    <col min="5658" max="5658" width="3.5703125" style="498" customWidth="1"/>
    <col min="5659" max="5659" width="4" style="498" customWidth="1"/>
    <col min="5660" max="5660" width="4.5703125" style="498" customWidth="1"/>
    <col min="5661" max="5663" width="4.42578125" style="498" customWidth="1"/>
    <col min="5664" max="5665" width="4.5703125" style="498" customWidth="1"/>
    <col min="5666" max="5666" width="4" style="498" customWidth="1"/>
    <col min="5667" max="5667" width="4.5703125" style="498" customWidth="1"/>
    <col min="5668" max="5668" width="6" style="498" customWidth="1"/>
    <col min="5669" max="5669" width="8.5703125" style="498" customWidth="1"/>
    <col min="5670" max="5889" width="11.42578125" style="498"/>
    <col min="5890" max="5890" width="6.42578125" style="498" customWidth="1"/>
    <col min="5891" max="5891" width="47.5703125" style="498" customWidth="1"/>
    <col min="5892" max="5893" width="5" style="498" customWidth="1"/>
    <col min="5894" max="5894" width="5.42578125" style="498" customWidth="1"/>
    <col min="5895" max="5895" width="4.5703125" style="498" customWidth="1"/>
    <col min="5896" max="5897" width="4.42578125" style="498" customWidth="1"/>
    <col min="5898" max="5898" width="3.5703125" style="498" customWidth="1"/>
    <col min="5899" max="5899" width="5" style="498" customWidth="1"/>
    <col min="5900" max="5900" width="4" style="498" customWidth="1"/>
    <col min="5901" max="5902" width="4.5703125" style="498" customWidth="1"/>
    <col min="5903" max="5903" width="4.42578125" style="498" customWidth="1"/>
    <col min="5904" max="5904" width="4" style="498" customWidth="1"/>
    <col min="5905" max="5905" width="3.5703125" style="498" customWidth="1"/>
    <col min="5906" max="5907" width="4.5703125" style="498" customWidth="1"/>
    <col min="5908" max="5908" width="4" style="498" customWidth="1"/>
    <col min="5909" max="5910" width="4.42578125" style="498" customWidth="1"/>
    <col min="5911" max="5911" width="3.5703125" style="498" customWidth="1"/>
    <col min="5912" max="5912" width="4.42578125" style="498" customWidth="1"/>
    <col min="5913" max="5913" width="5.5703125" style="498" customWidth="1"/>
    <col min="5914" max="5914" width="3.5703125" style="498" customWidth="1"/>
    <col min="5915" max="5915" width="4" style="498" customWidth="1"/>
    <col min="5916" max="5916" width="4.5703125" style="498" customWidth="1"/>
    <col min="5917" max="5919" width="4.42578125" style="498" customWidth="1"/>
    <col min="5920" max="5921" width="4.5703125" style="498" customWidth="1"/>
    <col min="5922" max="5922" width="4" style="498" customWidth="1"/>
    <col min="5923" max="5923" width="4.5703125" style="498" customWidth="1"/>
    <col min="5924" max="5924" width="6" style="498" customWidth="1"/>
    <col min="5925" max="5925" width="8.5703125" style="498" customWidth="1"/>
    <col min="5926" max="6145" width="11.42578125" style="498"/>
    <col min="6146" max="6146" width="6.42578125" style="498" customWidth="1"/>
    <col min="6147" max="6147" width="47.5703125" style="498" customWidth="1"/>
    <col min="6148" max="6149" width="5" style="498" customWidth="1"/>
    <col min="6150" max="6150" width="5.42578125" style="498" customWidth="1"/>
    <col min="6151" max="6151" width="4.5703125" style="498" customWidth="1"/>
    <col min="6152" max="6153" width="4.42578125" style="498" customWidth="1"/>
    <col min="6154" max="6154" width="3.5703125" style="498" customWidth="1"/>
    <col min="6155" max="6155" width="5" style="498" customWidth="1"/>
    <col min="6156" max="6156" width="4" style="498" customWidth="1"/>
    <col min="6157" max="6158" width="4.5703125" style="498" customWidth="1"/>
    <col min="6159" max="6159" width="4.42578125" style="498" customWidth="1"/>
    <col min="6160" max="6160" width="4" style="498" customWidth="1"/>
    <col min="6161" max="6161" width="3.5703125" style="498" customWidth="1"/>
    <col min="6162" max="6163" width="4.5703125" style="498" customWidth="1"/>
    <col min="6164" max="6164" width="4" style="498" customWidth="1"/>
    <col min="6165" max="6166" width="4.42578125" style="498" customWidth="1"/>
    <col min="6167" max="6167" width="3.5703125" style="498" customWidth="1"/>
    <col min="6168" max="6168" width="4.42578125" style="498" customWidth="1"/>
    <col min="6169" max="6169" width="5.5703125" style="498" customWidth="1"/>
    <col min="6170" max="6170" width="3.5703125" style="498" customWidth="1"/>
    <col min="6171" max="6171" width="4" style="498" customWidth="1"/>
    <col min="6172" max="6172" width="4.5703125" style="498" customWidth="1"/>
    <col min="6173" max="6175" width="4.42578125" style="498" customWidth="1"/>
    <col min="6176" max="6177" width="4.5703125" style="498" customWidth="1"/>
    <col min="6178" max="6178" width="4" style="498" customWidth="1"/>
    <col min="6179" max="6179" width="4.5703125" style="498" customWidth="1"/>
    <col min="6180" max="6180" width="6" style="498" customWidth="1"/>
    <col min="6181" max="6181" width="8.5703125" style="498" customWidth="1"/>
    <col min="6182" max="6401" width="11.42578125" style="498"/>
    <col min="6402" max="6402" width="6.42578125" style="498" customWidth="1"/>
    <col min="6403" max="6403" width="47.5703125" style="498" customWidth="1"/>
    <col min="6404" max="6405" width="5" style="498" customWidth="1"/>
    <col min="6406" max="6406" width="5.42578125" style="498" customWidth="1"/>
    <col min="6407" max="6407" width="4.5703125" style="498" customWidth="1"/>
    <col min="6408" max="6409" width="4.42578125" style="498" customWidth="1"/>
    <col min="6410" max="6410" width="3.5703125" style="498" customWidth="1"/>
    <col min="6411" max="6411" width="5" style="498" customWidth="1"/>
    <col min="6412" max="6412" width="4" style="498" customWidth="1"/>
    <col min="6413" max="6414" width="4.5703125" style="498" customWidth="1"/>
    <col min="6415" max="6415" width="4.42578125" style="498" customWidth="1"/>
    <col min="6416" max="6416" width="4" style="498" customWidth="1"/>
    <col min="6417" max="6417" width="3.5703125" style="498" customWidth="1"/>
    <col min="6418" max="6419" width="4.5703125" style="498" customWidth="1"/>
    <col min="6420" max="6420" width="4" style="498" customWidth="1"/>
    <col min="6421" max="6422" width="4.42578125" style="498" customWidth="1"/>
    <col min="6423" max="6423" width="3.5703125" style="498" customWidth="1"/>
    <col min="6424" max="6424" width="4.42578125" style="498" customWidth="1"/>
    <col min="6425" max="6425" width="5.5703125" style="498" customWidth="1"/>
    <col min="6426" max="6426" width="3.5703125" style="498" customWidth="1"/>
    <col min="6427" max="6427" width="4" style="498" customWidth="1"/>
    <col min="6428" max="6428" width="4.5703125" style="498" customWidth="1"/>
    <col min="6429" max="6431" width="4.42578125" style="498" customWidth="1"/>
    <col min="6432" max="6433" width="4.5703125" style="498" customWidth="1"/>
    <col min="6434" max="6434" width="4" style="498" customWidth="1"/>
    <col min="6435" max="6435" width="4.5703125" style="498" customWidth="1"/>
    <col min="6436" max="6436" width="6" style="498" customWidth="1"/>
    <col min="6437" max="6437" width="8.5703125" style="498" customWidth="1"/>
    <col min="6438" max="6657" width="11.42578125" style="498"/>
    <col min="6658" max="6658" width="6.42578125" style="498" customWidth="1"/>
    <col min="6659" max="6659" width="47.5703125" style="498" customWidth="1"/>
    <col min="6660" max="6661" width="5" style="498" customWidth="1"/>
    <col min="6662" max="6662" width="5.42578125" style="498" customWidth="1"/>
    <col min="6663" max="6663" width="4.5703125" style="498" customWidth="1"/>
    <col min="6664" max="6665" width="4.42578125" style="498" customWidth="1"/>
    <col min="6666" max="6666" width="3.5703125" style="498" customWidth="1"/>
    <col min="6667" max="6667" width="5" style="498" customWidth="1"/>
    <col min="6668" max="6668" width="4" style="498" customWidth="1"/>
    <col min="6669" max="6670" width="4.5703125" style="498" customWidth="1"/>
    <col min="6671" max="6671" width="4.42578125" style="498" customWidth="1"/>
    <col min="6672" max="6672" width="4" style="498" customWidth="1"/>
    <col min="6673" max="6673" width="3.5703125" style="498" customWidth="1"/>
    <col min="6674" max="6675" width="4.5703125" style="498" customWidth="1"/>
    <col min="6676" max="6676" width="4" style="498" customWidth="1"/>
    <col min="6677" max="6678" width="4.42578125" style="498" customWidth="1"/>
    <col min="6679" max="6679" width="3.5703125" style="498" customWidth="1"/>
    <col min="6680" max="6680" width="4.42578125" style="498" customWidth="1"/>
    <col min="6681" max="6681" width="5.5703125" style="498" customWidth="1"/>
    <col min="6682" max="6682" width="3.5703125" style="498" customWidth="1"/>
    <col min="6683" max="6683" width="4" style="498" customWidth="1"/>
    <col min="6684" max="6684" width="4.5703125" style="498" customWidth="1"/>
    <col min="6685" max="6687" width="4.42578125" style="498" customWidth="1"/>
    <col min="6688" max="6689" width="4.5703125" style="498" customWidth="1"/>
    <col min="6690" max="6690" width="4" style="498" customWidth="1"/>
    <col min="6691" max="6691" width="4.5703125" style="498" customWidth="1"/>
    <col min="6692" max="6692" width="6" style="498" customWidth="1"/>
    <col min="6693" max="6693" width="8.5703125" style="498" customWidth="1"/>
    <col min="6694" max="6913" width="11.42578125" style="498"/>
    <col min="6914" max="6914" width="6.42578125" style="498" customWidth="1"/>
    <col min="6915" max="6915" width="47.5703125" style="498" customWidth="1"/>
    <col min="6916" max="6917" width="5" style="498" customWidth="1"/>
    <col min="6918" max="6918" width="5.42578125" style="498" customWidth="1"/>
    <col min="6919" max="6919" width="4.5703125" style="498" customWidth="1"/>
    <col min="6920" max="6921" width="4.42578125" style="498" customWidth="1"/>
    <col min="6922" max="6922" width="3.5703125" style="498" customWidth="1"/>
    <col min="6923" max="6923" width="5" style="498" customWidth="1"/>
    <col min="6924" max="6924" width="4" style="498" customWidth="1"/>
    <col min="6925" max="6926" width="4.5703125" style="498" customWidth="1"/>
    <col min="6927" max="6927" width="4.42578125" style="498" customWidth="1"/>
    <col min="6928" max="6928" width="4" style="498" customWidth="1"/>
    <col min="6929" max="6929" width="3.5703125" style="498" customWidth="1"/>
    <col min="6930" max="6931" width="4.5703125" style="498" customWidth="1"/>
    <col min="6932" max="6932" width="4" style="498" customWidth="1"/>
    <col min="6933" max="6934" width="4.42578125" style="498" customWidth="1"/>
    <col min="6935" max="6935" width="3.5703125" style="498" customWidth="1"/>
    <col min="6936" max="6936" width="4.42578125" style="498" customWidth="1"/>
    <col min="6937" max="6937" width="5.5703125" style="498" customWidth="1"/>
    <col min="6938" max="6938" width="3.5703125" style="498" customWidth="1"/>
    <col min="6939" max="6939" width="4" style="498" customWidth="1"/>
    <col min="6940" max="6940" width="4.5703125" style="498" customWidth="1"/>
    <col min="6941" max="6943" width="4.42578125" style="498" customWidth="1"/>
    <col min="6944" max="6945" width="4.5703125" style="498" customWidth="1"/>
    <col min="6946" max="6946" width="4" style="498" customWidth="1"/>
    <col min="6947" max="6947" width="4.5703125" style="498" customWidth="1"/>
    <col min="6948" max="6948" width="6" style="498" customWidth="1"/>
    <col min="6949" max="6949" width="8.5703125" style="498" customWidth="1"/>
    <col min="6950" max="7169" width="11.42578125" style="498"/>
    <col min="7170" max="7170" width="6.42578125" style="498" customWidth="1"/>
    <col min="7171" max="7171" width="47.5703125" style="498" customWidth="1"/>
    <col min="7172" max="7173" width="5" style="498" customWidth="1"/>
    <col min="7174" max="7174" width="5.42578125" style="498" customWidth="1"/>
    <col min="7175" max="7175" width="4.5703125" style="498" customWidth="1"/>
    <col min="7176" max="7177" width="4.42578125" style="498" customWidth="1"/>
    <col min="7178" max="7178" width="3.5703125" style="498" customWidth="1"/>
    <col min="7179" max="7179" width="5" style="498" customWidth="1"/>
    <col min="7180" max="7180" width="4" style="498" customWidth="1"/>
    <col min="7181" max="7182" width="4.5703125" style="498" customWidth="1"/>
    <col min="7183" max="7183" width="4.42578125" style="498" customWidth="1"/>
    <col min="7184" max="7184" width="4" style="498" customWidth="1"/>
    <col min="7185" max="7185" width="3.5703125" style="498" customWidth="1"/>
    <col min="7186" max="7187" width="4.5703125" style="498" customWidth="1"/>
    <col min="7188" max="7188" width="4" style="498" customWidth="1"/>
    <col min="7189" max="7190" width="4.42578125" style="498" customWidth="1"/>
    <col min="7191" max="7191" width="3.5703125" style="498" customWidth="1"/>
    <col min="7192" max="7192" width="4.42578125" style="498" customWidth="1"/>
    <col min="7193" max="7193" width="5.5703125" style="498" customWidth="1"/>
    <col min="7194" max="7194" width="3.5703125" style="498" customWidth="1"/>
    <col min="7195" max="7195" width="4" style="498" customWidth="1"/>
    <col min="7196" max="7196" width="4.5703125" style="498" customWidth="1"/>
    <col min="7197" max="7199" width="4.42578125" style="498" customWidth="1"/>
    <col min="7200" max="7201" width="4.5703125" style="498" customWidth="1"/>
    <col min="7202" max="7202" width="4" style="498" customWidth="1"/>
    <col min="7203" max="7203" width="4.5703125" style="498" customWidth="1"/>
    <col min="7204" max="7204" width="6" style="498" customWidth="1"/>
    <col min="7205" max="7205" width="8.5703125" style="498" customWidth="1"/>
    <col min="7206" max="7425" width="11.42578125" style="498"/>
    <col min="7426" max="7426" width="6.42578125" style="498" customWidth="1"/>
    <col min="7427" max="7427" width="47.5703125" style="498" customWidth="1"/>
    <col min="7428" max="7429" width="5" style="498" customWidth="1"/>
    <col min="7430" max="7430" width="5.42578125" style="498" customWidth="1"/>
    <col min="7431" max="7431" width="4.5703125" style="498" customWidth="1"/>
    <col min="7432" max="7433" width="4.42578125" style="498" customWidth="1"/>
    <col min="7434" max="7434" width="3.5703125" style="498" customWidth="1"/>
    <col min="7435" max="7435" width="5" style="498" customWidth="1"/>
    <col min="7436" max="7436" width="4" style="498" customWidth="1"/>
    <col min="7437" max="7438" width="4.5703125" style="498" customWidth="1"/>
    <col min="7439" max="7439" width="4.42578125" style="498" customWidth="1"/>
    <col min="7440" max="7440" width="4" style="498" customWidth="1"/>
    <col min="7441" max="7441" width="3.5703125" style="498" customWidth="1"/>
    <col min="7442" max="7443" width="4.5703125" style="498" customWidth="1"/>
    <col min="7444" max="7444" width="4" style="498" customWidth="1"/>
    <col min="7445" max="7446" width="4.42578125" style="498" customWidth="1"/>
    <col min="7447" max="7447" width="3.5703125" style="498" customWidth="1"/>
    <col min="7448" max="7448" width="4.42578125" style="498" customWidth="1"/>
    <col min="7449" max="7449" width="5.5703125" style="498" customWidth="1"/>
    <col min="7450" max="7450" width="3.5703125" style="498" customWidth="1"/>
    <col min="7451" max="7451" width="4" style="498" customWidth="1"/>
    <col min="7452" max="7452" width="4.5703125" style="498" customWidth="1"/>
    <col min="7453" max="7455" width="4.42578125" style="498" customWidth="1"/>
    <col min="7456" max="7457" width="4.5703125" style="498" customWidth="1"/>
    <col min="7458" max="7458" width="4" style="498" customWidth="1"/>
    <col min="7459" max="7459" width="4.5703125" style="498" customWidth="1"/>
    <col min="7460" max="7460" width="6" style="498" customWidth="1"/>
    <col min="7461" max="7461" width="8.5703125" style="498" customWidth="1"/>
    <col min="7462" max="7681" width="11.42578125" style="498"/>
    <col min="7682" max="7682" width="6.42578125" style="498" customWidth="1"/>
    <col min="7683" max="7683" width="47.5703125" style="498" customWidth="1"/>
    <col min="7684" max="7685" width="5" style="498" customWidth="1"/>
    <col min="7686" max="7686" width="5.42578125" style="498" customWidth="1"/>
    <col min="7687" max="7687" width="4.5703125" style="498" customWidth="1"/>
    <col min="7688" max="7689" width="4.42578125" style="498" customWidth="1"/>
    <col min="7690" max="7690" width="3.5703125" style="498" customWidth="1"/>
    <col min="7691" max="7691" width="5" style="498" customWidth="1"/>
    <col min="7692" max="7692" width="4" style="498" customWidth="1"/>
    <col min="7693" max="7694" width="4.5703125" style="498" customWidth="1"/>
    <col min="7695" max="7695" width="4.42578125" style="498" customWidth="1"/>
    <col min="7696" max="7696" width="4" style="498" customWidth="1"/>
    <col min="7697" max="7697" width="3.5703125" style="498" customWidth="1"/>
    <col min="7698" max="7699" width="4.5703125" style="498" customWidth="1"/>
    <col min="7700" max="7700" width="4" style="498" customWidth="1"/>
    <col min="7701" max="7702" width="4.42578125" style="498" customWidth="1"/>
    <col min="7703" max="7703" width="3.5703125" style="498" customWidth="1"/>
    <col min="7704" max="7704" width="4.42578125" style="498" customWidth="1"/>
    <col min="7705" max="7705" width="5.5703125" style="498" customWidth="1"/>
    <col min="7706" max="7706" width="3.5703125" style="498" customWidth="1"/>
    <col min="7707" max="7707" width="4" style="498" customWidth="1"/>
    <col min="7708" max="7708" width="4.5703125" style="498" customWidth="1"/>
    <col min="7709" max="7711" width="4.42578125" style="498" customWidth="1"/>
    <col min="7712" max="7713" width="4.5703125" style="498" customWidth="1"/>
    <col min="7714" max="7714" width="4" style="498" customWidth="1"/>
    <col min="7715" max="7715" width="4.5703125" style="498" customWidth="1"/>
    <col min="7716" max="7716" width="6" style="498" customWidth="1"/>
    <col min="7717" max="7717" width="8.5703125" style="498" customWidth="1"/>
    <col min="7718" max="7937" width="11.42578125" style="498"/>
    <col min="7938" max="7938" width="6.42578125" style="498" customWidth="1"/>
    <col min="7939" max="7939" width="47.5703125" style="498" customWidth="1"/>
    <col min="7940" max="7941" width="5" style="498" customWidth="1"/>
    <col min="7942" max="7942" width="5.42578125" style="498" customWidth="1"/>
    <col min="7943" max="7943" width="4.5703125" style="498" customWidth="1"/>
    <col min="7944" max="7945" width="4.42578125" style="498" customWidth="1"/>
    <col min="7946" max="7946" width="3.5703125" style="498" customWidth="1"/>
    <col min="7947" max="7947" width="5" style="498" customWidth="1"/>
    <col min="7948" max="7948" width="4" style="498" customWidth="1"/>
    <col min="7949" max="7950" width="4.5703125" style="498" customWidth="1"/>
    <col min="7951" max="7951" width="4.42578125" style="498" customWidth="1"/>
    <col min="7952" max="7952" width="4" style="498" customWidth="1"/>
    <col min="7953" max="7953" width="3.5703125" style="498" customWidth="1"/>
    <col min="7954" max="7955" width="4.5703125" style="498" customWidth="1"/>
    <col min="7956" max="7956" width="4" style="498" customWidth="1"/>
    <col min="7957" max="7958" width="4.42578125" style="498" customWidth="1"/>
    <col min="7959" max="7959" width="3.5703125" style="498" customWidth="1"/>
    <col min="7960" max="7960" width="4.42578125" style="498" customWidth="1"/>
    <col min="7961" max="7961" width="5.5703125" style="498" customWidth="1"/>
    <col min="7962" max="7962" width="3.5703125" style="498" customWidth="1"/>
    <col min="7963" max="7963" width="4" style="498" customWidth="1"/>
    <col min="7964" max="7964" width="4.5703125" style="498" customWidth="1"/>
    <col min="7965" max="7967" width="4.42578125" style="498" customWidth="1"/>
    <col min="7968" max="7969" width="4.5703125" style="498" customWidth="1"/>
    <col min="7970" max="7970" width="4" style="498" customWidth="1"/>
    <col min="7971" max="7971" width="4.5703125" style="498" customWidth="1"/>
    <col min="7972" max="7972" width="6" style="498" customWidth="1"/>
    <col min="7973" max="7973" width="8.5703125" style="498" customWidth="1"/>
    <col min="7974" max="8193" width="11.42578125" style="498"/>
    <col min="8194" max="8194" width="6.42578125" style="498" customWidth="1"/>
    <col min="8195" max="8195" width="47.5703125" style="498" customWidth="1"/>
    <col min="8196" max="8197" width="5" style="498" customWidth="1"/>
    <col min="8198" max="8198" width="5.42578125" style="498" customWidth="1"/>
    <col min="8199" max="8199" width="4.5703125" style="498" customWidth="1"/>
    <col min="8200" max="8201" width="4.42578125" style="498" customWidth="1"/>
    <col min="8202" max="8202" width="3.5703125" style="498" customWidth="1"/>
    <col min="8203" max="8203" width="5" style="498" customWidth="1"/>
    <col min="8204" max="8204" width="4" style="498" customWidth="1"/>
    <col min="8205" max="8206" width="4.5703125" style="498" customWidth="1"/>
    <col min="8207" max="8207" width="4.42578125" style="498" customWidth="1"/>
    <col min="8208" max="8208" width="4" style="498" customWidth="1"/>
    <col min="8209" max="8209" width="3.5703125" style="498" customWidth="1"/>
    <col min="8210" max="8211" width="4.5703125" style="498" customWidth="1"/>
    <col min="8212" max="8212" width="4" style="498" customWidth="1"/>
    <col min="8213" max="8214" width="4.42578125" style="498" customWidth="1"/>
    <col min="8215" max="8215" width="3.5703125" style="498" customWidth="1"/>
    <col min="8216" max="8216" width="4.42578125" style="498" customWidth="1"/>
    <col min="8217" max="8217" width="5.5703125" style="498" customWidth="1"/>
    <col min="8218" max="8218" width="3.5703125" style="498" customWidth="1"/>
    <col min="8219" max="8219" width="4" style="498" customWidth="1"/>
    <col min="8220" max="8220" width="4.5703125" style="498" customWidth="1"/>
    <col min="8221" max="8223" width="4.42578125" style="498" customWidth="1"/>
    <col min="8224" max="8225" width="4.5703125" style="498" customWidth="1"/>
    <col min="8226" max="8226" width="4" style="498" customWidth="1"/>
    <col min="8227" max="8227" width="4.5703125" style="498" customWidth="1"/>
    <col min="8228" max="8228" width="6" style="498" customWidth="1"/>
    <col min="8229" max="8229" width="8.5703125" style="498" customWidth="1"/>
    <col min="8230" max="8449" width="11.42578125" style="498"/>
    <col min="8450" max="8450" width="6.42578125" style="498" customWidth="1"/>
    <col min="8451" max="8451" width="47.5703125" style="498" customWidth="1"/>
    <col min="8452" max="8453" width="5" style="498" customWidth="1"/>
    <col min="8454" max="8454" width="5.42578125" style="498" customWidth="1"/>
    <col min="8455" max="8455" width="4.5703125" style="498" customWidth="1"/>
    <col min="8456" max="8457" width="4.42578125" style="498" customWidth="1"/>
    <col min="8458" max="8458" width="3.5703125" style="498" customWidth="1"/>
    <col min="8459" max="8459" width="5" style="498" customWidth="1"/>
    <col min="8460" max="8460" width="4" style="498" customWidth="1"/>
    <col min="8461" max="8462" width="4.5703125" style="498" customWidth="1"/>
    <col min="8463" max="8463" width="4.42578125" style="498" customWidth="1"/>
    <col min="8464" max="8464" width="4" style="498" customWidth="1"/>
    <col min="8465" max="8465" width="3.5703125" style="498" customWidth="1"/>
    <col min="8466" max="8467" width="4.5703125" style="498" customWidth="1"/>
    <col min="8468" max="8468" width="4" style="498" customWidth="1"/>
    <col min="8469" max="8470" width="4.42578125" style="498" customWidth="1"/>
    <col min="8471" max="8471" width="3.5703125" style="498" customWidth="1"/>
    <col min="8472" max="8472" width="4.42578125" style="498" customWidth="1"/>
    <col min="8473" max="8473" width="5.5703125" style="498" customWidth="1"/>
    <col min="8474" max="8474" width="3.5703125" style="498" customWidth="1"/>
    <col min="8475" max="8475" width="4" style="498" customWidth="1"/>
    <col min="8476" max="8476" width="4.5703125" style="498" customWidth="1"/>
    <col min="8477" max="8479" width="4.42578125" style="498" customWidth="1"/>
    <col min="8480" max="8481" width="4.5703125" style="498" customWidth="1"/>
    <col min="8482" max="8482" width="4" style="498" customWidth="1"/>
    <col min="8483" max="8483" width="4.5703125" style="498" customWidth="1"/>
    <col min="8484" max="8484" width="6" style="498" customWidth="1"/>
    <col min="8485" max="8485" width="8.5703125" style="498" customWidth="1"/>
    <col min="8486" max="8705" width="11.42578125" style="498"/>
    <col min="8706" max="8706" width="6.42578125" style="498" customWidth="1"/>
    <col min="8707" max="8707" width="47.5703125" style="498" customWidth="1"/>
    <col min="8708" max="8709" width="5" style="498" customWidth="1"/>
    <col min="8710" max="8710" width="5.42578125" style="498" customWidth="1"/>
    <col min="8711" max="8711" width="4.5703125" style="498" customWidth="1"/>
    <col min="8712" max="8713" width="4.42578125" style="498" customWidth="1"/>
    <col min="8714" max="8714" width="3.5703125" style="498" customWidth="1"/>
    <col min="8715" max="8715" width="5" style="498" customWidth="1"/>
    <col min="8716" max="8716" width="4" style="498" customWidth="1"/>
    <col min="8717" max="8718" width="4.5703125" style="498" customWidth="1"/>
    <col min="8719" max="8719" width="4.42578125" style="498" customWidth="1"/>
    <col min="8720" max="8720" width="4" style="498" customWidth="1"/>
    <col min="8721" max="8721" width="3.5703125" style="498" customWidth="1"/>
    <col min="8722" max="8723" width="4.5703125" style="498" customWidth="1"/>
    <col min="8724" max="8724" width="4" style="498" customWidth="1"/>
    <col min="8725" max="8726" width="4.42578125" style="498" customWidth="1"/>
    <col min="8727" max="8727" width="3.5703125" style="498" customWidth="1"/>
    <col min="8728" max="8728" width="4.42578125" style="498" customWidth="1"/>
    <col min="8729" max="8729" width="5.5703125" style="498" customWidth="1"/>
    <col min="8730" max="8730" width="3.5703125" style="498" customWidth="1"/>
    <col min="8731" max="8731" width="4" style="498" customWidth="1"/>
    <col min="8732" max="8732" width="4.5703125" style="498" customWidth="1"/>
    <col min="8733" max="8735" width="4.42578125" style="498" customWidth="1"/>
    <col min="8736" max="8737" width="4.5703125" style="498" customWidth="1"/>
    <col min="8738" max="8738" width="4" style="498" customWidth="1"/>
    <col min="8739" max="8739" width="4.5703125" style="498" customWidth="1"/>
    <col min="8740" max="8740" width="6" style="498" customWidth="1"/>
    <col min="8741" max="8741" width="8.5703125" style="498" customWidth="1"/>
    <col min="8742" max="8961" width="11.42578125" style="498"/>
    <col min="8962" max="8962" width="6.42578125" style="498" customWidth="1"/>
    <col min="8963" max="8963" width="47.5703125" style="498" customWidth="1"/>
    <col min="8964" max="8965" width="5" style="498" customWidth="1"/>
    <col min="8966" max="8966" width="5.42578125" style="498" customWidth="1"/>
    <col min="8967" max="8967" width="4.5703125" style="498" customWidth="1"/>
    <col min="8968" max="8969" width="4.42578125" style="498" customWidth="1"/>
    <col min="8970" max="8970" width="3.5703125" style="498" customWidth="1"/>
    <col min="8971" max="8971" width="5" style="498" customWidth="1"/>
    <col min="8972" max="8972" width="4" style="498" customWidth="1"/>
    <col min="8973" max="8974" width="4.5703125" style="498" customWidth="1"/>
    <col min="8975" max="8975" width="4.42578125" style="498" customWidth="1"/>
    <col min="8976" max="8976" width="4" style="498" customWidth="1"/>
    <col min="8977" max="8977" width="3.5703125" style="498" customWidth="1"/>
    <col min="8978" max="8979" width="4.5703125" style="498" customWidth="1"/>
    <col min="8980" max="8980" width="4" style="498" customWidth="1"/>
    <col min="8981" max="8982" width="4.42578125" style="498" customWidth="1"/>
    <col min="8983" max="8983" width="3.5703125" style="498" customWidth="1"/>
    <col min="8984" max="8984" width="4.42578125" style="498" customWidth="1"/>
    <col min="8985" max="8985" width="5.5703125" style="498" customWidth="1"/>
    <col min="8986" max="8986" width="3.5703125" style="498" customWidth="1"/>
    <col min="8987" max="8987" width="4" style="498" customWidth="1"/>
    <col min="8988" max="8988" width="4.5703125" style="498" customWidth="1"/>
    <col min="8989" max="8991" width="4.42578125" style="498" customWidth="1"/>
    <col min="8992" max="8993" width="4.5703125" style="498" customWidth="1"/>
    <col min="8994" max="8994" width="4" style="498" customWidth="1"/>
    <col min="8995" max="8995" width="4.5703125" style="498" customWidth="1"/>
    <col min="8996" max="8996" width="6" style="498" customWidth="1"/>
    <col min="8997" max="8997" width="8.5703125" style="498" customWidth="1"/>
    <col min="8998" max="9217" width="11.42578125" style="498"/>
    <col min="9218" max="9218" width="6.42578125" style="498" customWidth="1"/>
    <col min="9219" max="9219" width="47.5703125" style="498" customWidth="1"/>
    <col min="9220" max="9221" width="5" style="498" customWidth="1"/>
    <col min="9222" max="9222" width="5.42578125" style="498" customWidth="1"/>
    <col min="9223" max="9223" width="4.5703125" style="498" customWidth="1"/>
    <col min="9224" max="9225" width="4.42578125" style="498" customWidth="1"/>
    <col min="9226" max="9226" width="3.5703125" style="498" customWidth="1"/>
    <col min="9227" max="9227" width="5" style="498" customWidth="1"/>
    <col min="9228" max="9228" width="4" style="498" customWidth="1"/>
    <col min="9229" max="9230" width="4.5703125" style="498" customWidth="1"/>
    <col min="9231" max="9231" width="4.42578125" style="498" customWidth="1"/>
    <col min="9232" max="9232" width="4" style="498" customWidth="1"/>
    <col min="9233" max="9233" width="3.5703125" style="498" customWidth="1"/>
    <col min="9234" max="9235" width="4.5703125" style="498" customWidth="1"/>
    <col min="9236" max="9236" width="4" style="498" customWidth="1"/>
    <col min="9237" max="9238" width="4.42578125" style="498" customWidth="1"/>
    <col min="9239" max="9239" width="3.5703125" style="498" customWidth="1"/>
    <col min="9240" max="9240" width="4.42578125" style="498" customWidth="1"/>
    <col min="9241" max="9241" width="5.5703125" style="498" customWidth="1"/>
    <col min="9242" max="9242" width="3.5703125" style="498" customWidth="1"/>
    <col min="9243" max="9243" width="4" style="498" customWidth="1"/>
    <col min="9244" max="9244" width="4.5703125" style="498" customWidth="1"/>
    <col min="9245" max="9247" width="4.42578125" style="498" customWidth="1"/>
    <col min="9248" max="9249" width="4.5703125" style="498" customWidth="1"/>
    <col min="9250" max="9250" width="4" style="498" customWidth="1"/>
    <col min="9251" max="9251" width="4.5703125" style="498" customWidth="1"/>
    <col min="9252" max="9252" width="6" style="498" customWidth="1"/>
    <col min="9253" max="9253" width="8.5703125" style="498" customWidth="1"/>
    <col min="9254" max="9473" width="11.42578125" style="498"/>
    <col min="9474" max="9474" width="6.42578125" style="498" customWidth="1"/>
    <col min="9475" max="9475" width="47.5703125" style="498" customWidth="1"/>
    <col min="9476" max="9477" width="5" style="498" customWidth="1"/>
    <col min="9478" max="9478" width="5.42578125" style="498" customWidth="1"/>
    <col min="9479" max="9479" width="4.5703125" style="498" customWidth="1"/>
    <col min="9480" max="9481" width="4.42578125" style="498" customWidth="1"/>
    <col min="9482" max="9482" width="3.5703125" style="498" customWidth="1"/>
    <col min="9483" max="9483" width="5" style="498" customWidth="1"/>
    <col min="9484" max="9484" width="4" style="498" customWidth="1"/>
    <col min="9485" max="9486" width="4.5703125" style="498" customWidth="1"/>
    <col min="9487" max="9487" width="4.42578125" style="498" customWidth="1"/>
    <col min="9488" max="9488" width="4" style="498" customWidth="1"/>
    <col min="9489" max="9489" width="3.5703125" style="498" customWidth="1"/>
    <col min="9490" max="9491" width="4.5703125" style="498" customWidth="1"/>
    <col min="9492" max="9492" width="4" style="498" customWidth="1"/>
    <col min="9493" max="9494" width="4.42578125" style="498" customWidth="1"/>
    <col min="9495" max="9495" width="3.5703125" style="498" customWidth="1"/>
    <col min="9496" max="9496" width="4.42578125" style="498" customWidth="1"/>
    <col min="9497" max="9497" width="5.5703125" style="498" customWidth="1"/>
    <col min="9498" max="9498" width="3.5703125" style="498" customWidth="1"/>
    <col min="9499" max="9499" width="4" style="498" customWidth="1"/>
    <col min="9500" max="9500" width="4.5703125" style="498" customWidth="1"/>
    <col min="9501" max="9503" width="4.42578125" style="498" customWidth="1"/>
    <col min="9504" max="9505" width="4.5703125" style="498" customWidth="1"/>
    <col min="9506" max="9506" width="4" style="498" customWidth="1"/>
    <col min="9507" max="9507" width="4.5703125" style="498" customWidth="1"/>
    <col min="9508" max="9508" width="6" style="498" customWidth="1"/>
    <col min="9509" max="9509" width="8.5703125" style="498" customWidth="1"/>
    <col min="9510" max="9729" width="11.42578125" style="498"/>
    <col min="9730" max="9730" width="6.42578125" style="498" customWidth="1"/>
    <col min="9731" max="9731" width="47.5703125" style="498" customWidth="1"/>
    <col min="9732" max="9733" width="5" style="498" customWidth="1"/>
    <col min="9734" max="9734" width="5.42578125" style="498" customWidth="1"/>
    <col min="9735" max="9735" width="4.5703125" style="498" customWidth="1"/>
    <col min="9736" max="9737" width="4.42578125" style="498" customWidth="1"/>
    <col min="9738" max="9738" width="3.5703125" style="498" customWidth="1"/>
    <col min="9739" max="9739" width="5" style="498" customWidth="1"/>
    <col min="9740" max="9740" width="4" style="498" customWidth="1"/>
    <col min="9741" max="9742" width="4.5703125" style="498" customWidth="1"/>
    <col min="9743" max="9743" width="4.42578125" style="498" customWidth="1"/>
    <col min="9744" max="9744" width="4" style="498" customWidth="1"/>
    <col min="9745" max="9745" width="3.5703125" style="498" customWidth="1"/>
    <col min="9746" max="9747" width="4.5703125" style="498" customWidth="1"/>
    <col min="9748" max="9748" width="4" style="498" customWidth="1"/>
    <col min="9749" max="9750" width="4.42578125" style="498" customWidth="1"/>
    <col min="9751" max="9751" width="3.5703125" style="498" customWidth="1"/>
    <col min="9752" max="9752" width="4.42578125" style="498" customWidth="1"/>
    <col min="9753" max="9753" width="5.5703125" style="498" customWidth="1"/>
    <col min="9754" max="9754" width="3.5703125" style="498" customWidth="1"/>
    <col min="9755" max="9755" width="4" style="498" customWidth="1"/>
    <col min="9756" max="9756" width="4.5703125" style="498" customWidth="1"/>
    <col min="9757" max="9759" width="4.42578125" style="498" customWidth="1"/>
    <col min="9760" max="9761" width="4.5703125" style="498" customWidth="1"/>
    <col min="9762" max="9762" width="4" style="498" customWidth="1"/>
    <col min="9763" max="9763" width="4.5703125" style="498" customWidth="1"/>
    <col min="9764" max="9764" width="6" style="498" customWidth="1"/>
    <col min="9765" max="9765" width="8.5703125" style="498" customWidth="1"/>
    <col min="9766" max="9985" width="11.42578125" style="498"/>
    <col min="9986" max="9986" width="6.42578125" style="498" customWidth="1"/>
    <col min="9987" max="9987" width="47.5703125" style="498" customWidth="1"/>
    <col min="9988" max="9989" width="5" style="498" customWidth="1"/>
    <col min="9990" max="9990" width="5.42578125" style="498" customWidth="1"/>
    <col min="9991" max="9991" width="4.5703125" style="498" customWidth="1"/>
    <col min="9992" max="9993" width="4.42578125" style="498" customWidth="1"/>
    <col min="9994" max="9994" width="3.5703125" style="498" customWidth="1"/>
    <col min="9995" max="9995" width="5" style="498" customWidth="1"/>
    <col min="9996" max="9996" width="4" style="498" customWidth="1"/>
    <col min="9997" max="9998" width="4.5703125" style="498" customWidth="1"/>
    <col min="9999" max="9999" width="4.42578125" style="498" customWidth="1"/>
    <col min="10000" max="10000" width="4" style="498" customWidth="1"/>
    <col min="10001" max="10001" width="3.5703125" style="498" customWidth="1"/>
    <col min="10002" max="10003" width="4.5703125" style="498" customWidth="1"/>
    <col min="10004" max="10004" width="4" style="498" customWidth="1"/>
    <col min="10005" max="10006" width="4.42578125" style="498" customWidth="1"/>
    <col min="10007" max="10007" width="3.5703125" style="498" customWidth="1"/>
    <col min="10008" max="10008" width="4.42578125" style="498" customWidth="1"/>
    <col min="10009" max="10009" width="5.5703125" style="498" customWidth="1"/>
    <col min="10010" max="10010" width="3.5703125" style="498" customWidth="1"/>
    <col min="10011" max="10011" width="4" style="498" customWidth="1"/>
    <col min="10012" max="10012" width="4.5703125" style="498" customWidth="1"/>
    <col min="10013" max="10015" width="4.42578125" style="498" customWidth="1"/>
    <col min="10016" max="10017" width="4.5703125" style="498" customWidth="1"/>
    <col min="10018" max="10018" width="4" style="498" customWidth="1"/>
    <col min="10019" max="10019" width="4.5703125" style="498" customWidth="1"/>
    <col min="10020" max="10020" width="6" style="498" customWidth="1"/>
    <col min="10021" max="10021" width="8.5703125" style="498" customWidth="1"/>
    <col min="10022" max="10241" width="11.42578125" style="498"/>
    <col min="10242" max="10242" width="6.42578125" style="498" customWidth="1"/>
    <col min="10243" max="10243" width="47.5703125" style="498" customWidth="1"/>
    <col min="10244" max="10245" width="5" style="498" customWidth="1"/>
    <col min="10246" max="10246" width="5.42578125" style="498" customWidth="1"/>
    <col min="10247" max="10247" width="4.5703125" style="498" customWidth="1"/>
    <col min="10248" max="10249" width="4.42578125" style="498" customWidth="1"/>
    <col min="10250" max="10250" width="3.5703125" style="498" customWidth="1"/>
    <col min="10251" max="10251" width="5" style="498" customWidth="1"/>
    <col min="10252" max="10252" width="4" style="498" customWidth="1"/>
    <col min="10253" max="10254" width="4.5703125" style="498" customWidth="1"/>
    <col min="10255" max="10255" width="4.42578125" style="498" customWidth="1"/>
    <col min="10256" max="10256" width="4" style="498" customWidth="1"/>
    <col min="10257" max="10257" width="3.5703125" style="498" customWidth="1"/>
    <col min="10258" max="10259" width="4.5703125" style="498" customWidth="1"/>
    <col min="10260" max="10260" width="4" style="498" customWidth="1"/>
    <col min="10261" max="10262" width="4.42578125" style="498" customWidth="1"/>
    <col min="10263" max="10263" width="3.5703125" style="498" customWidth="1"/>
    <col min="10264" max="10264" width="4.42578125" style="498" customWidth="1"/>
    <col min="10265" max="10265" width="5.5703125" style="498" customWidth="1"/>
    <col min="10266" max="10266" width="3.5703125" style="498" customWidth="1"/>
    <col min="10267" max="10267" width="4" style="498" customWidth="1"/>
    <col min="10268" max="10268" width="4.5703125" style="498" customWidth="1"/>
    <col min="10269" max="10271" width="4.42578125" style="498" customWidth="1"/>
    <col min="10272" max="10273" width="4.5703125" style="498" customWidth="1"/>
    <col min="10274" max="10274" width="4" style="498" customWidth="1"/>
    <col min="10275" max="10275" width="4.5703125" style="498" customWidth="1"/>
    <col min="10276" max="10276" width="6" style="498" customWidth="1"/>
    <col min="10277" max="10277" width="8.5703125" style="498" customWidth="1"/>
    <col min="10278" max="10497" width="11.42578125" style="498"/>
    <col min="10498" max="10498" width="6.42578125" style="498" customWidth="1"/>
    <col min="10499" max="10499" width="47.5703125" style="498" customWidth="1"/>
    <col min="10500" max="10501" width="5" style="498" customWidth="1"/>
    <col min="10502" max="10502" width="5.42578125" style="498" customWidth="1"/>
    <col min="10503" max="10503" width="4.5703125" style="498" customWidth="1"/>
    <col min="10504" max="10505" width="4.42578125" style="498" customWidth="1"/>
    <col min="10506" max="10506" width="3.5703125" style="498" customWidth="1"/>
    <col min="10507" max="10507" width="5" style="498" customWidth="1"/>
    <col min="10508" max="10508" width="4" style="498" customWidth="1"/>
    <col min="10509" max="10510" width="4.5703125" style="498" customWidth="1"/>
    <col min="10511" max="10511" width="4.42578125" style="498" customWidth="1"/>
    <col min="10512" max="10512" width="4" style="498" customWidth="1"/>
    <col min="10513" max="10513" width="3.5703125" style="498" customWidth="1"/>
    <col min="10514" max="10515" width="4.5703125" style="498" customWidth="1"/>
    <col min="10516" max="10516" width="4" style="498" customWidth="1"/>
    <col min="10517" max="10518" width="4.42578125" style="498" customWidth="1"/>
    <col min="10519" max="10519" width="3.5703125" style="498" customWidth="1"/>
    <col min="10520" max="10520" width="4.42578125" style="498" customWidth="1"/>
    <col min="10521" max="10521" width="5.5703125" style="498" customWidth="1"/>
    <col min="10522" max="10522" width="3.5703125" style="498" customWidth="1"/>
    <col min="10523" max="10523" width="4" style="498" customWidth="1"/>
    <col min="10524" max="10524" width="4.5703125" style="498" customWidth="1"/>
    <col min="10525" max="10527" width="4.42578125" style="498" customWidth="1"/>
    <col min="10528" max="10529" width="4.5703125" style="498" customWidth="1"/>
    <col min="10530" max="10530" width="4" style="498" customWidth="1"/>
    <col min="10531" max="10531" width="4.5703125" style="498" customWidth="1"/>
    <col min="10532" max="10532" width="6" style="498" customWidth="1"/>
    <col min="10533" max="10533" width="8.5703125" style="498" customWidth="1"/>
    <col min="10534" max="10753" width="11.42578125" style="498"/>
    <col min="10754" max="10754" width="6.42578125" style="498" customWidth="1"/>
    <col min="10755" max="10755" width="47.5703125" style="498" customWidth="1"/>
    <col min="10756" max="10757" width="5" style="498" customWidth="1"/>
    <col min="10758" max="10758" width="5.42578125" style="498" customWidth="1"/>
    <col min="10759" max="10759" width="4.5703125" style="498" customWidth="1"/>
    <col min="10760" max="10761" width="4.42578125" style="498" customWidth="1"/>
    <col min="10762" max="10762" width="3.5703125" style="498" customWidth="1"/>
    <col min="10763" max="10763" width="5" style="498" customWidth="1"/>
    <col min="10764" max="10764" width="4" style="498" customWidth="1"/>
    <col min="10765" max="10766" width="4.5703125" style="498" customWidth="1"/>
    <col min="10767" max="10767" width="4.42578125" style="498" customWidth="1"/>
    <col min="10768" max="10768" width="4" style="498" customWidth="1"/>
    <col min="10769" max="10769" width="3.5703125" style="498" customWidth="1"/>
    <col min="10770" max="10771" width="4.5703125" style="498" customWidth="1"/>
    <col min="10772" max="10772" width="4" style="498" customWidth="1"/>
    <col min="10773" max="10774" width="4.42578125" style="498" customWidth="1"/>
    <col min="10775" max="10775" width="3.5703125" style="498" customWidth="1"/>
    <col min="10776" max="10776" width="4.42578125" style="498" customWidth="1"/>
    <col min="10777" max="10777" width="5.5703125" style="498" customWidth="1"/>
    <col min="10778" max="10778" width="3.5703125" style="498" customWidth="1"/>
    <col min="10779" max="10779" width="4" style="498" customWidth="1"/>
    <col min="10780" max="10780" width="4.5703125" style="498" customWidth="1"/>
    <col min="10781" max="10783" width="4.42578125" style="498" customWidth="1"/>
    <col min="10784" max="10785" width="4.5703125" style="498" customWidth="1"/>
    <col min="10786" max="10786" width="4" style="498" customWidth="1"/>
    <col min="10787" max="10787" width="4.5703125" style="498" customWidth="1"/>
    <col min="10788" max="10788" width="6" style="498" customWidth="1"/>
    <col min="10789" max="10789" width="8.5703125" style="498" customWidth="1"/>
    <col min="10790" max="11009" width="11.42578125" style="498"/>
    <col min="11010" max="11010" width="6.42578125" style="498" customWidth="1"/>
    <col min="11011" max="11011" width="47.5703125" style="498" customWidth="1"/>
    <col min="11012" max="11013" width="5" style="498" customWidth="1"/>
    <col min="11014" max="11014" width="5.42578125" style="498" customWidth="1"/>
    <col min="11015" max="11015" width="4.5703125" style="498" customWidth="1"/>
    <col min="11016" max="11017" width="4.42578125" style="498" customWidth="1"/>
    <col min="11018" max="11018" width="3.5703125" style="498" customWidth="1"/>
    <col min="11019" max="11019" width="5" style="498" customWidth="1"/>
    <col min="11020" max="11020" width="4" style="498" customWidth="1"/>
    <col min="11021" max="11022" width="4.5703125" style="498" customWidth="1"/>
    <col min="11023" max="11023" width="4.42578125" style="498" customWidth="1"/>
    <col min="11024" max="11024" width="4" style="498" customWidth="1"/>
    <col min="11025" max="11025" width="3.5703125" style="498" customWidth="1"/>
    <col min="11026" max="11027" width="4.5703125" style="498" customWidth="1"/>
    <col min="11028" max="11028" width="4" style="498" customWidth="1"/>
    <col min="11029" max="11030" width="4.42578125" style="498" customWidth="1"/>
    <col min="11031" max="11031" width="3.5703125" style="498" customWidth="1"/>
    <col min="11032" max="11032" width="4.42578125" style="498" customWidth="1"/>
    <col min="11033" max="11033" width="5.5703125" style="498" customWidth="1"/>
    <col min="11034" max="11034" width="3.5703125" style="498" customWidth="1"/>
    <col min="11035" max="11035" width="4" style="498" customWidth="1"/>
    <col min="11036" max="11036" width="4.5703125" style="498" customWidth="1"/>
    <col min="11037" max="11039" width="4.42578125" style="498" customWidth="1"/>
    <col min="11040" max="11041" width="4.5703125" style="498" customWidth="1"/>
    <col min="11042" max="11042" width="4" style="498" customWidth="1"/>
    <col min="11043" max="11043" width="4.5703125" style="498" customWidth="1"/>
    <col min="11044" max="11044" width="6" style="498" customWidth="1"/>
    <col min="11045" max="11045" width="8.5703125" style="498" customWidth="1"/>
    <col min="11046" max="11265" width="11.42578125" style="498"/>
    <col min="11266" max="11266" width="6.42578125" style="498" customWidth="1"/>
    <col min="11267" max="11267" width="47.5703125" style="498" customWidth="1"/>
    <col min="11268" max="11269" width="5" style="498" customWidth="1"/>
    <col min="11270" max="11270" width="5.42578125" style="498" customWidth="1"/>
    <col min="11271" max="11271" width="4.5703125" style="498" customWidth="1"/>
    <col min="11272" max="11273" width="4.42578125" style="498" customWidth="1"/>
    <col min="11274" max="11274" width="3.5703125" style="498" customWidth="1"/>
    <col min="11275" max="11275" width="5" style="498" customWidth="1"/>
    <col min="11276" max="11276" width="4" style="498" customWidth="1"/>
    <col min="11277" max="11278" width="4.5703125" style="498" customWidth="1"/>
    <col min="11279" max="11279" width="4.42578125" style="498" customWidth="1"/>
    <col min="11280" max="11280" width="4" style="498" customWidth="1"/>
    <col min="11281" max="11281" width="3.5703125" style="498" customWidth="1"/>
    <col min="11282" max="11283" width="4.5703125" style="498" customWidth="1"/>
    <col min="11284" max="11284" width="4" style="498" customWidth="1"/>
    <col min="11285" max="11286" width="4.42578125" style="498" customWidth="1"/>
    <col min="11287" max="11287" width="3.5703125" style="498" customWidth="1"/>
    <col min="11288" max="11288" width="4.42578125" style="498" customWidth="1"/>
    <col min="11289" max="11289" width="5.5703125" style="498" customWidth="1"/>
    <col min="11290" max="11290" width="3.5703125" style="498" customWidth="1"/>
    <col min="11291" max="11291" width="4" style="498" customWidth="1"/>
    <col min="11292" max="11292" width="4.5703125" style="498" customWidth="1"/>
    <col min="11293" max="11295" width="4.42578125" style="498" customWidth="1"/>
    <col min="11296" max="11297" width="4.5703125" style="498" customWidth="1"/>
    <col min="11298" max="11298" width="4" style="498" customWidth="1"/>
    <col min="11299" max="11299" width="4.5703125" style="498" customWidth="1"/>
    <col min="11300" max="11300" width="6" style="498" customWidth="1"/>
    <col min="11301" max="11301" width="8.5703125" style="498" customWidth="1"/>
    <col min="11302" max="11521" width="11.42578125" style="498"/>
    <col min="11522" max="11522" width="6.42578125" style="498" customWidth="1"/>
    <col min="11523" max="11523" width="47.5703125" style="498" customWidth="1"/>
    <col min="11524" max="11525" width="5" style="498" customWidth="1"/>
    <col min="11526" max="11526" width="5.42578125" style="498" customWidth="1"/>
    <col min="11527" max="11527" width="4.5703125" style="498" customWidth="1"/>
    <col min="11528" max="11529" width="4.42578125" style="498" customWidth="1"/>
    <col min="11530" max="11530" width="3.5703125" style="498" customWidth="1"/>
    <col min="11531" max="11531" width="5" style="498" customWidth="1"/>
    <col min="11532" max="11532" width="4" style="498" customWidth="1"/>
    <col min="11533" max="11534" width="4.5703125" style="498" customWidth="1"/>
    <col min="11535" max="11535" width="4.42578125" style="498" customWidth="1"/>
    <col min="11536" max="11536" width="4" style="498" customWidth="1"/>
    <col min="11537" max="11537" width="3.5703125" style="498" customWidth="1"/>
    <col min="11538" max="11539" width="4.5703125" style="498" customWidth="1"/>
    <col min="11540" max="11540" width="4" style="498" customWidth="1"/>
    <col min="11541" max="11542" width="4.42578125" style="498" customWidth="1"/>
    <col min="11543" max="11543" width="3.5703125" style="498" customWidth="1"/>
    <col min="11544" max="11544" width="4.42578125" style="498" customWidth="1"/>
    <col min="11545" max="11545" width="5.5703125" style="498" customWidth="1"/>
    <col min="11546" max="11546" width="3.5703125" style="498" customWidth="1"/>
    <col min="11547" max="11547" width="4" style="498" customWidth="1"/>
    <col min="11548" max="11548" width="4.5703125" style="498" customWidth="1"/>
    <col min="11549" max="11551" width="4.42578125" style="498" customWidth="1"/>
    <col min="11552" max="11553" width="4.5703125" style="498" customWidth="1"/>
    <col min="11554" max="11554" width="4" style="498" customWidth="1"/>
    <col min="11555" max="11555" width="4.5703125" style="498" customWidth="1"/>
    <col min="11556" max="11556" width="6" style="498" customWidth="1"/>
    <col min="11557" max="11557" width="8.5703125" style="498" customWidth="1"/>
    <col min="11558" max="11777" width="11.42578125" style="498"/>
    <col min="11778" max="11778" width="6.42578125" style="498" customWidth="1"/>
    <col min="11779" max="11779" width="47.5703125" style="498" customWidth="1"/>
    <col min="11780" max="11781" width="5" style="498" customWidth="1"/>
    <col min="11782" max="11782" width="5.42578125" style="498" customWidth="1"/>
    <col min="11783" max="11783" width="4.5703125" style="498" customWidth="1"/>
    <col min="11784" max="11785" width="4.42578125" style="498" customWidth="1"/>
    <col min="11786" max="11786" width="3.5703125" style="498" customWidth="1"/>
    <col min="11787" max="11787" width="5" style="498" customWidth="1"/>
    <col min="11788" max="11788" width="4" style="498" customWidth="1"/>
    <col min="11789" max="11790" width="4.5703125" style="498" customWidth="1"/>
    <col min="11791" max="11791" width="4.42578125" style="498" customWidth="1"/>
    <col min="11792" max="11792" width="4" style="498" customWidth="1"/>
    <col min="11793" max="11793" width="3.5703125" style="498" customWidth="1"/>
    <col min="11794" max="11795" width="4.5703125" style="498" customWidth="1"/>
    <col min="11796" max="11796" width="4" style="498" customWidth="1"/>
    <col min="11797" max="11798" width="4.42578125" style="498" customWidth="1"/>
    <col min="11799" max="11799" width="3.5703125" style="498" customWidth="1"/>
    <col min="11800" max="11800" width="4.42578125" style="498" customWidth="1"/>
    <col min="11801" max="11801" width="5.5703125" style="498" customWidth="1"/>
    <col min="11802" max="11802" width="3.5703125" style="498" customWidth="1"/>
    <col min="11803" max="11803" width="4" style="498" customWidth="1"/>
    <col min="11804" max="11804" width="4.5703125" style="498" customWidth="1"/>
    <col min="11805" max="11807" width="4.42578125" style="498" customWidth="1"/>
    <col min="11808" max="11809" width="4.5703125" style="498" customWidth="1"/>
    <col min="11810" max="11810" width="4" style="498" customWidth="1"/>
    <col min="11811" max="11811" width="4.5703125" style="498" customWidth="1"/>
    <col min="11812" max="11812" width="6" style="498" customWidth="1"/>
    <col min="11813" max="11813" width="8.5703125" style="498" customWidth="1"/>
    <col min="11814" max="12033" width="11.42578125" style="498"/>
    <col min="12034" max="12034" width="6.42578125" style="498" customWidth="1"/>
    <col min="12035" max="12035" width="47.5703125" style="498" customWidth="1"/>
    <col min="12036" max="12037" width="5" style="498" customWidth="1"/>
    <col min="12038" max="12038" width="5.42578125" style="498" customWidth="1"/>
    <col min="12039" max="12039" width="4.5703125" style="498" customWidth="1"/>
    <col min="12040" max="12041" width="4.42578125" style="498" customWidth="1"/>
    <col min="12042" max="12042" width="3.5703125" style="498" customWidth="1"/>
    <col min="12043" max="12043" width="5" style="498" customWidth="1"/>
    <col min="12044" max="12044" width="4" style="498" customWidth="1"/>
    <col min="12045" max="12046" width="4.5703125" style="498" customWidth="1"/>
    <col min="12047" max="12047" width="4.42578125" style="498" customWidth="1"/>
    <col min="12048" max="12048" width="4" style="498" customWidth="1"/>
    <col min="12049" max="12049" width="3.5703125" style="498" customWidth="1"/>
    <col min="12050" max="12051" width="4.5703125" style="498" customWidth="1"/>
    <col min="12052" max="12052" width="4" style="498" customWidth="1"/>
    <col min="12053" max="12054" width="4.42578125" style="498" customWidth="1"/>
    <col min="12055" max="12055" width="3.5703125" style="498" customWidth="1"/>
    <col min="12056" max="12056" width="4.42578125" style="498" customWidth="1"/>
    <col min="12057" max="12057" width="5.5703125" style="498" customWidth="1"/>
    <col min="12058" max="12058" width="3.5703125" style="498" customWidth="1"/>
    <col min="12059" max="12059" width="4" style="498" customWidth="1"/>
    <col min="12060" max="12060" width="4.5703125" style="498" customWidth="1"/>
    <col min="12061" max="12063" width="4.42578125" style="498" customWidth="1"/>
    <col min="12064" max="12065" width="4.5703125" style="498" customWidth="1"/>
    <col min="12066" max="12066" width="4" style="498" customWidth="1"/>
    <col min="12067" max="12067" width="4.5703125" style="498" customWidth="1"/>
    <col min="12068" max="12068" width="6" style="498" customWidth="1"/>
    <col min="12069" max="12069" width="8.5703125" style="498" customWidth="1"/>
    <col min="12070" max="12289" width="11.42578125" style="498"/>
    <col min="12290" max="12290" width="6.42578125" style="498" customWidth="1"/>
    <col min="12291" max="12291" width="47.5703125" style="498" customWidth="1"/>
    <col min="12292" max="12293" width="5" style="498" customWidth="1"/>
    <col min="12294" max="12294" width="5.42578125" style="498" customWidth="1"/>
    <col min="12295" max="12295" width="4.5703125" style="498" customWidth="1"/>
    <col min="12296" max="12297" width="4.42578125" style="498" customWidth="1"/>
    <col min="12298" max="12298" width="3.5703125" style="498" customWidth="1"/>
    <col min="12299" max="12299" width="5" style="498" customWidth="1"/>
    <col min="12300" max="12300" width="4" style="498" customWidth="1"/>
    <col min="12301" max="12302" width="4.5703125" style="498" customWidth="1"/>
    <col min="12303" max="12303" width="4.42578125" style="498" customWidth="1"/>
    <col min="12304" max="12304" width="4" style="498" customWidth="1"/>
    <col min="12305" max="12305" width="3.5703125" style="498" customWidth="1"/>
    <col min="12306" max="12307" width="4.5703125" style="498" customWidth="1"/>
    <col min="12308" max="12308" width="4" style="498" customWidth="1"/>
    <col min="12309" max="12310" width="4.42578125" style="498" customWidth="1"/>
    <col min="12311" max="12311" width="3.5703125" style="498" customWidth="1"/>
    <col min="12312" max="12312" width="4.42578125" style="498" customWidth="1"/>
    <col min="12313" max="12313" width="5.5703125" style="498" customWidth="1"/>
    <col min="12314" max="12314" width="3.5703125" style="498" customWidth="1"/>
    <col min="12315" max="12315" width="4" style="498" customWidth="1"/>
    <col min="12316" max="12316" width="4.5703125" style="498" customWidth="1"/>
    <col min="12317" max="12319" width="4.42578125" style="498" customWidth="1"/>
    <col min="12320" max="12321" width="4.5703125" style="498" customWidth="1"/>
    <col min="12322" max="12322" width="4" style="498" customWidth="1"/>
    <col min="12323" max="12323" width="4.5703125" style="498" customWidth="1"/>
    <col min="12324" max="12324" width="6" style="498" customWidth="1"/>
    <col min="12325" max="12325" width="8.5703125" style="498" customWidth="1"/>
    <col min="12326" max="12545" width="11.42578125" style="498"/>
    <col min="12546" max="12546" width="6.42578125" style="498" customWidth="1"/>
    <col min="12547" max="12547" width="47.5703125" style="498" customWidth="1"/>
    <col min="12548" max="12549" width="5" style="498" customWidth="1"/>
    <col min="12550" max="12550" width="5.42578125" style="498" customWidth="1"/>
    <col min="12551" max="12551" width="4.5703125" style="498" customWidth="1"/>
    <col min="12552" max="12553" width="4.42578125" style="498" customWidth="1"/>
    <col min="12554" max="12554" width="3.5703125" style="498" customWidth="1"/>
    <col min="12555" max="12555" width="5" style="498" customWidth="1"/>
    <col min="12556" max="12556" width="4" style="498" customWidth="1"/>
    <col min="12557" max="12558" width="4.5703125" style="498" customWidth="1"/>
    <col min="12559" max="12559" width="4.42578125" style="498" customWidth="1"/>
    <col min="12560" max="12560" width="4" style="498" customWidth="1"/>
    <col min="12561" max="12561" width="3.5703125" style="498" customWidth="1"/>
    <col min="12562" max="12563" width="4.5703125" style="498" customWidth="1"/>
    <col min="12564" max="12564" width="4" style="498" customWidth="1"/>
    <col min="12565" max="12566" width="4.42578125" style="498" customWidth="1"/>
    <col min="12567" max="12567" width="3.5703125" style="498" customWidth="1"/>
    <col min="12568" max="12568" width="4.42578125" style="498" customWidth="1"/>
    <col min="12569" max="12569" width="5.5703125" style="498" customWidth="1"/>
    <col min="12570" max="12570" width="3.5703125" style="498" customWidth="1"/>
    <col min="12571" max="12571" width="4" style="498" customWidth="1"/>
    <col min="12572" max="12572" width="4.5703125" style="498" customWidth="1"/>
    <col min="12573" max="12575" width="4.42578125" style="498" customWidth="1"/>
    <col min="12576" max="12577" width="4.5703125" style="498" customWidth="1"/>
    <col min="12578" max="12578" width="4" style="498" customWidth="1"/>
    <col min="12579" max="12579" width="4.5703125" style="498" customWidth="1"/>
    <col min="12580" max="12580" width="6" style="498" customWidth="1"/>
    <col min="12581" max="12581" width="8.5703125" style="498" customWidth="1"/>
    <col min="12582" max="12801" width="11.42578125" style="498"/>
    <col min="12802" max="12802" width="6.42578125" style="498" customWidth="1"/>
    <col min="12803" max="12803" width="47.5703125" style="498" customWidth="1"/>
    <col min="12804" max="12805" width="5" style="498" customWidth="1"/>
    <col min="12806" max="12806" width="5.42578125" style="498" customWidth="1"/>
    <col min="12807" max="12807" width="4.5703125" style="498" customWidth="1"/>
    <col min="12808" max="12809" width="4.42578125" style="498" customWidth="1"/>
    <col min="12810" max="12810" width="3.5703125" style="498" customWidth="1"/>
    <col min="12811" max="12811" width="5" style="498" customWidth="1"/>
    <col min="12812" max="12812" width="4" style="498" customWidth="1"/>
    <col min="12813" max="12814" width="4.5703125" style="498" customWidth="1"/>
    <col min="12815" max="12815" width="4.42578125" style="498" customWidth="1"/>
    <col min="12816" max="12816" width="4" style="498" customWidth="1"/>
    <col min="12817" max="12817" width="3.5703125" style="498" customWidth="1"/>
    <col min="12818" max="12819" width="4.5703125" style="498" customWidth="1"/>
    <col min="12820" max="12820" width="4" style="498" customWidth="1"/>
    <col min="12821" max="12822" width="4.42578125" style="498" customWidth="1"/>
    <col min="12823" max="12823" width="3.5703125" style="498" customWidth="1"/>
    <col min="12824" max="12824" width="4.42578125" style="498" customWidth="1"/>
    <col min="12825" max="12825" width="5.5703125" style="498" customWidth="1"/>
    <col min="12826" max="12826" width="3.5703125" style="498" customWidth="1"/>
    <col min="12827" max="12827" width="4" style="498" customWidth="1"/>
    <col min="12828" max="12828" width="4.5703125" style="498" customWidth="1"/>
    <col min="12829" max="12831" width="4.42578125" style="498" customWidth="1"/>
    <col min="12832" max="12833" width="4.5703125" style="498" customWidth="1"/>
    <col min="12834" max="12834" width="4" style="498" customWidth="1"/>
    <col min="12835" max="12835" width="4.5703125" style="498" customWidth="1"/>
    <col min="12836" max="12836" width="6" style="498" customWidth="1"/>
    <col min="12837" max="12837" width="8.5703125" style="498" customWidth="1"/>
    <col min="12838" max="13057" width="11.42578125" style="498"/>
    <col min="13058" max="13058" width="6.42578125" style="498" customWidth="1"/>
    <col min="13059" max="13059" width="47.5703125" style="498" customWidth="1"/>
    <col min="13060" max="13061" width="5" style="498" customWidth="1"/>
    <col min="13062" max="13062" width="5.42578125" style="498" customWidth="1"/>
    <col min="13063" max="13063" width="4.5703125" style="498" customWidth="1"/>
    <col min="13064" max="13065" width="4.42578125" style="498" customWidth="1"/>
    <col min="13066" max="13066" width="3.5703125" style="498" customWidth="1"/>
    <col min="13067" max="13067" width="5" style="498" customWidth="1"/>
    <col min="13068" max="13068" width="4" style="498" customWidth="1"/>
    <col min="13069" max="13070" width="4.5703125" style="498" customWidth="1"/>
    <col min="13071" max="13071" width="4.42578125" style="498" customWidth="1"/>
    <col min="13072" max="13072" width="4" style="498" customWidth="1"/>
    <col min="13073" max="13073" width="3.5703125" style="498" customWidth="1"/>
    <col min="13074" max="13075" width="4.5703125" style="498" customWidth="1"/>
    <col min="13076" max="13076" width="4" style="498" customWidth="1"/>
    <col min="13077" max="13078" width="4.42578125" style="498" customWidth="1"/>
    <col min="13079" max="13079" width="3.5703125" style="498" customWidth="1"/>
    <col min="13080" max="13080" width="4.42578125" style="498" customWidth="1"/>
    <col min="13081" max="13081" width="5.5703125" style="498" customWidth="1"/>
    <col min="13082" max="13082" width="3.5703125" style="498" customWidth="1"/>
    <col min="13083" max="13083" width="4" style="498" customWidth="1"/>
    <col min="13084" max="13084" width="4.5703125" style="498" customWidth="1"/>
    <col min="13085" max="13087" width="4.42578125" style="498" customWidth="1"/>
    <col min="13088" max="13089" width="4.5703125" style="498" customWidth="1"/>
    <col min="13090" max="13090" width="4" style="498" customWidth="1"/>
    <col min="13091" max="13091" width="4.5703125" style="498" customWidth="1"/>
    <col min="13092" max="13092" width="6" style="498" customWidth="1"/>
    <col min="13093" max="13093" width="8.5703125" style="498" customWidth="1"/>
    <col min="13094" max="13313" width="11.42578125" style="498"/>
    <col min="13314" max="13314" width="6.42578125" style="498" customWidth="1"/>
    <col min="13315" max="13315" width="47.5703125" style="498" customWidth="1"/>
    <col min="13316" max="13317" width="5" style="498" customWidth="1"/>
    <col min="13318" max="13318" width="5.42578125" style="498" customWidth="1"/>
    <col min="13319" max="13319" width="4.5703125" style="498" customWidth="1"/>
    <col min="13320" max="13321" width="4.42578125" style="498" customWidth="1"/>
    <col min="13322" max="13322" width="3.5703125" style="498" customWidth="1"/>
    <col min="13323" max="13323" width="5" style="498" customWidth="1"/>
    <col min="13324" max="13324" width="4" style="498" customWidth="1"/>
    <col min="13325" max="13326" width="4.5703125" style="498" customWidth="1"/>
    <col min="13327" max="13327" width="4.42578125" style="498" customWidth="1"/>
    <col min="13328" max="13328" width="4" style="498" customWidth="1"/>
    <col min="13329" max="13329" width="3.5703125" style="498" customWidth="1"/>
    <col min="13330" max="13331" width="4.5703125" style="498" customWidth="1"/>
    <col min="13332" max="13332" width="4" style="498" customWidth="1"/>
    <col min="13333" max="13334" width="4.42578125" style="498" customWidth="1"/>
    <col min="13335" max="13335" width="3.5703125" style="498" customWidth="1"/>
    <col min="13336" max="13336" width="4.42578125" style="498" customWidth="1"/>
    <col min="13337" max="13337" width="5.5703125" style="498" customWidth="1"/>
    <col min="13338" max="13338" width="3.5703125" style="498" customWidth="1"/>
    <col min="13339" max="13339" width="4" style="498" customWidth="1"/>
    <col min="13340" max="13340" width="4.5703125" style="498" customWidth="1"/>
    <col min="13341" max="13343" width="4.42578125" style="498" customWidth="1"/>
    <col min="13344" max="13345" width="4.5703125" style="498" customWidth="1"/>
    <col min="13346" max="13346" width="4" style="498" customWidth="1"/>
    <col min="13347" max="13347" width="4.5703125" style="498" customWidth="1"/>
    <col min="13348" max="13348" width="6" style="498" customWidth="1"/>
    <col min="13349" max="13349" width="8.5703125" style="498" customWidth="1"/>
    <col min="13350" max="13569" width="11.42578125" style="498"/>
    <col min="13570" max="13570" width="6.42578125" style="498" customWidth="1"/>
    <col min="13571" max="13571" width="47.5703125" style="498" customWidth="1"/>
    <col min="13572" max="13573" width="5" style="498" customWidth="1"/>
    <col min="13574" max="13574" width="5.42578125" style="498" customWidth="1"/>
    <col min="13575" max="13575" width="4.5703125" style="498" customWidth="1"/>
    <col min="13576" max="13577" width="4.42578125" style="498" customWidth="1"/>
    <col min="13578" max="13578" width="3.5703125" style="498" customWidth="1"/>
    <col min="13579" max="13579" width="5" style="498" customWidth="1"/>
    <col min="13580" max="13580" width="4" style="498" customWidth="1"/>
    <col min="13581" max="13582" width="4.5703125" style="498" customWidth="1"/>
    <col min="13583" max="13583" width="4.42578125" style="498" customWidth="1"/>
    <col min="13584" max="13584" width="4" style="498" customWidth="1"/>
    <col min="13585" max="13585" width="3.5703125" style="498" customWidth="1"/>
    <col min="13586" max="13587" width="4.5703125" style="498" customWidth="1"/>
    <col min="13588" max="13588" width="4" style="498" customWidth="1"/>
    <col min="13589" max="13590" width="4.42578125" style="498" customWidth="1"/>
    <col min="13591" max="13591" width="3.5703125" style="498" customWidth="1"/>
    <col min="13592" max="13592" width="4.42578125" style="498" customWidth="1"/>
    <col min="13593" max="13593" width="5.5703125" style="498" customWidth="1"/>
    <col min="13594" max="13594" width="3.5703125" style="498" customWidth="1"/>
    <col min="13595" max="13595" width="4" style="498" customWidth="1"/>
    <col min="13596" max="13596" width="4.5703125" style="498" customWidth="1"/>
    <col min="13597" max="13599" width="4.42578125" style="498" customWidth="1"/>
    <col min="13600" max="13601" width="4.5703125" style="498" customWidth="1"/>
    <col min="13602" max="13602" width="4" style="498" customWidth="1"/>
    <col min="13603" max="13603" width="4.5703125" style="498" customWidth="1"/>
    <col min="13604" max="13604" width="6" style="498" customWidth="1"/>
    <col min="13605" max="13605" width="8.5703125" style="498" customWidth="1"/>
    <col min="13606" max="13825" width="11.42578125" style="498"/>
    <col min="13826" max="13826" width="6.42578125" style="498" customWidth="1"/>
    <col min="13827" max="13827" width="47.5703125" style="498" customWidth="1"/>
    <col min="13828" max="13829" width="5" style="498" customWidth="1"/>
    <col min="13830" max="13830" width="5.42578125" style="498" customWidth="1"/>
    <col min="13831" max="13831" width="4.5703125" style="498" customWidth="1"/>
    <col min="13832" max="13833" width="4.42578125" style="498" customWidth="1"/>
    <col min="13834" max="13834" width="3.5703125" style="498" customWidth="1"/>
    <col min="13835" max="13835" width="5" style="498" customWidth="1"/>
    <col min="13836" max="13836" width="4" style="498" customWidth="1"/>
    <col min="13837" max="13838" width="4.5703125" style="498" customWidth="1"/>
    <col min="13839" max="13839" width="4.42578125" style="498" customWidth="1"/>
    <col min="13840" max="13840" width="4" style="498" customWidth="1"/>
    <col min="13841" max="13841" width="3.5703125" style="498" customWidth="1"/>
    <col min="13842" max="13843" width="4.5703125" style="498" customWidth="1"/>
    <col min="13844" max="13844" width="4" style="498" customWidth="1"/>
    <col min="13845" max="13846" width="4.42578125" style="498" customWidth="1"/>
    <col min="13847" max="13847" width="3.5703125" style="498" customWidth="1"/>
    <col min="13848" max="13848" width="4.42578125" style="498" customWidth="1"/>
    <col min="13849" max="13849" width="5.5703125" style="498" customWidth="1"/>
    <col min="13850" max="13850" width="3.5703125" style="498" customWidth="1"/>
    <col min="13851" max="13851" width="4" style="498" customWidth="1"/>
    <col min="13852" max="13852" width="4.5703125" style="498" customWidth="1"/>
    <col min="13853" max="13855" width="4.42578125" style="498" customWidth="1"/>
    <col min="13856" max="13857" width="4.5703125" style="498" customWidth="1"/>
    <col min="13858" max="13858" width="4" style="498" customWidth="1"/>
    <col min="13859" max="13859" width="4.5703125" style="498" customWidth="1"/>
    <col min="13860" max="13860" width="6" style="498" customWidth="1"/>
    <col min="13861" max="13861" width="8.5703125" style="498" customWidth="1"/>
    <col min="13862" max="14081" width="11.42578125" style="498"/>
    <col min="14082" max="14082" width="6.42578125" style="498" customWidth="1"/>
    <col min="14083" max="14083" width="47.5703125" style="498" customWidth="1"/>
    <col min="14084" max="14085" width="5" style="498" customWidth="1"/>
    <col min="14086" max="14086" width="5.42578125" style="498" customWidth="1"/>
    <col min="14087" max="14087" width="4.5703125" style="498" customWidth="1"/>
    <col min="14088" max="14089" width="4.42578125" style="498" customWidth="1"/>
    <col min="14090" max="14090" width="3.5703125" style="498" customWidth="1"/>
    <col min="14091" max="14091" width="5" style="498" customWidth="1"/>
    <col min="14092" max="14092" width="4" style="498" customWidth="1"/>
    <col min="14093" max="14094" width="4.5703125" style="498" customWidth="1"/>
    <col min="14095" max="14095" width="4.42578125" style="498" customWidth="1"/>
    <col min="14096" max="14096" width="4" style="498" customWidth="1"/>
    <col min="14097" max="14097" width="3.5703125" style="498" customWidth="1"/>
    <col min="14098" max="14099" width="4.5703125" style="498" customWidth="1"/>
    <col min="14100" max="14100" width="4" style="498" customWidth="1"/>
    <col min="14101" max="14102" width="4.42578125" style="498" customWidth="1"/>
    <col min="14103" max="14103" width="3.5703125" style="498" customWidth="1"/>
    <col min="14104" max="14104" width="4.42578125" style="498" customWidth="1"/>
    <col min="14105" max="14105" width="5.5703125" style="498" customWidth="1"/>
    <col min="14106" max="14106" width="3.5703125" style="498" customWidth="1"/>
    <col min="14107" max="14107" width="4" style="498" customWidth="1"/>
    <col min="14108" max="14108" width="4.5703125" style="498" customWidth="1"/>
    <col min="14109" max="14111" width="4.42578125" style="498" customWidth="1"/>
    <col min="14112" max="14113" width="4.5703125" style="498" customWidth="1"/>
    <col min="14114" max="14114" width="4" style="498" customWidth="1"/>
    <col min="14115" max="14115" width="4.5703125" style="498" customWidth="1"/>
    <col min="14116" max="14116" width="6" style="498" customWidth="1"/>
    <col min="14117" max="14117" width="8.5703125" style="498" customWidth="1"/>
    <col min="14118" max="14337" width="11.42578125" style="498"/>
    <col min="14338" max="14338" width="6.42578125" style="498" customWidth="1"/>
    <col min="14339" max="14339" width="47.5703125" style="498" customWidth="1"/>
    <col min="14340" max="14341" width="5" style="498" customWidth="1"/>
    <col min="14342" max="14342" width="5.42578125" style="498" customWidth="1"/>
    <col min="14343" max="14343" width="4.5703125" style="498" customWidth="1"/>
    <col min="14344" max="14345" width="4.42578125" style="498" customWidth="1"/>
    <col min="14346" max="14346" width="3.5703125" style="498" customWidth="1"/>
    <col min="14347" max="14347" width="5" style="498" customWidth="1"/>
    <col min="14348" max="14348" width="4" style="498" customWidth="1"/>
    <col min="14349" max="14350" width="4.5703125" style="498" customWidth="1"/>
    <col min="14351" max="14351" width="4.42578125" style="498" customWidth="1"/>
    <col min="14352" max="14352" width="4" style="498" customWidth="1"/>
    <col min="14353" max="14353" width="3.5703125" style="498" customWidth="1"/>
    <col min="14354" max="14355" width="4.5703125" style="498" customWidth="1"/>
    <col min="14356" max="14356" width="4" style="498" customWidth="1"/>
    <col min="14357" max="14358" width="4.42578125" style="498" customWidth="1"/>
    <col min="14359" max="14359" width="3.5703125" style="498" customWidth="1"/>
    <col min="14360" max="14360" width="4.42578125" style="498" customWidth="1"/>
    <col min="14361" max="14361" width="5.5703125" style="498" customWidth="1"/>
    <col min="14362" max="14362" width="3.5703125" style="498" customWidth="1"/>
    <col min="14363" max="14363" width="4" style="498" customWidth="1"/>
    <col min="14364" max="14364" width="4.5703125" style="498" customWidth="1"/>
    <col min="14365" max="14367" width="4.42578125" style="498" customWidth="1"/>
    <col min="14368" max="14369" width="4.5703125" style="498" customWidth="1"/>
    <col min="14370" max="14370" width="4" style="498" customWidth="1"/>
    <col min="14371" max="14371" width="4.5703125" style="498" customWidth="1"/>
    <col min="14372" max="14372" width="6" style="498" customWidth="1"/>
    <col min="14373" max="14373" width="8.5703125" style="498" customWidth="1"/>
    <col min="14374" max="14593" width="11.42578125" style="498"/>
    <col min="14594" max="14594" width="6.42578125" style="498" customWidth="1"/>
    <col min="14595" max="14595" width="47.5703125" style="498" customWidth="1"/>
    <col min="14596" max="14597" width="5" style="498" customWidth="1"/>
    <col min="14598" max="14598" width="5.42578125" style="498" customWidth="1"/>
    <col min="14599" max="14599" width="4.5703125" style="498" customWidth="1"/>
    <col min="14600" max="14601" width="4.42578125" style="498" customWidth="1"/>
    <col min="14602" max="14602" width="3.5703125" style="498" customWidth="1"/>
    <col min="14603" max="14603" width="5" style="498" customWidth="1"/>
    <col min="14604" max="14604" width="4" style="498" customWidth="1"/>
    <col min="14605" max="14606" width="4.5703125" style="498" customWidth="1"/>
    <col min="14607" max="14607" width="4.42578125" style="498" customWidth="1"/>
    <col min="14608" max="14608" width="4" style="498" customWidth="1"/>
    <col min="14609" max="14609" width="3.5703125" style="498" customWidth="1"/>
    <col min="14610" max="14611" width="4.5703125" style="498" customWidth="1"/>
    <col min="14612" max="14612" width="4" style="498" customWidth="1"/>
    <col min="14613" max="14614" width="4.42578125" style="498" customWidth="1"/>
    <col min="14615" max="14615" width="3.5703125" style="498" customWidth="1"/>
    <col min="14616" max="14616" width="4.42578125" style="498" customWidth="1"/>
    <col min="14617" max="14617" width="5.5703125" style="498" customWidth="1"/>
    <col min="14618" max="14618" width="3.5703125" style="498" customWidth="1"/>
    <col min="14619" max="14619" width="4" style="498" customWidth="1"/>
    <col min="14620" max="14620" width="4.5703125" style="498" customWidth="1"/>
    <col min="14621" max="14623" width="4.42578125" style="498" customWidth="1"/>
    <col min="14624" max="14625" width="4.5703125" style="498" customWidth="1"/>
    <col min="14626" max="14626" width="4" style="498" customWidth="1"/>
    <col min="14627" max="14627" width="4.5703125" style="498" customWidth="1"/>
    <col min="14628" max="14628" width="6" style="498" customWidth="1"/>
    <col min="14629" max="14629" width="8.5703125" style="498" customWidth="1"/>
    <col min="14630" max="14849" width="11.42578125" style="498"/>
    <col min="14850" max="14850" width="6.42578125" style="498" customWidth="1"/>
    <col min="14851" max="14851" width="47.5703125" style="498" customWidth="1"/>
    <col min="14852" max="14853" width="5" style="498" customWidth="1"/>
    <col min="14854" max="14854" width="5.42578125" style="498" customWidth="1"/>
    <col min="14855" max="14855" width="4.5703125" style="498" customWidth="1"/>
    <col min="14856" max="14857" width="4.42578125" style="498" customWidth="1"/>
    <col min="14858" max="14858" width="3.5703125" style="498" customWidth="1"/>
    <col min="14859" max="14859" width="5" style="498" customWidth="1"/>
    <col min="14860" max="14860" width="4" style="498" customWidth="1"/>
    <col min="14861" max="14862" width="4.5703125" style="498" customWidth="1"/>
    <col min="14863" max="14863" width="4.42578125" style="498" customWidth="1"/>
    <col min="14864" max="14864" width="4" style="498" customWidth="1"/>
    <col min="14865" max="14865" width="3.5703125" style="498" customWidth="1"/>
    <col min="14866" max="14867" width="4.5703125" style="498" customWidth="1"/>
    <col min="14868" max="14868" width="4" style="498" customWidth="1"/>
    <col min="14869" max="14870" width="4.42578125" style="498" customWidth="1"/>
    <col min="14871" max="14871" width="3.5703125" style="498" customWidth="1"/>
    <col min="14872" max="14872" width="4.42578125" style="498" customWidth="1"/>
    <col min="14873" max="14873" width="5.5703125" style="498" customWidth="1"/>
    <col min="14874" max="14874" width="3.5703125" style="498" customWidth="1"/>
    <col min="14875" max="14875" width="4" style="498" customWidth="1"/>
    <col min="14876" max="14876" width="4.5703125" style="498" customWidth="1"/>
    <col min="14877" max="14879" width="4.42578125" style="498" customWidth="1"/>
    <col min="14880" max="14881" width="4.5703125" style="498" customWidth="1"/>
    <col min="14882" max="14882" width="4" style="498" customWidth="1"/>
    <col min="14883" max="14883" width="4.5703125" style="498" customWidth="1"/>
    <col min="14884" max="14884" width="6" style="498" customWidth="1"/>
    <col min="14885" max="14885" width="8.5703125" style="498" customWidth="1"/>
    <col min="14886" max="15105" width="11.42578125" style="498"/>
    <col min="15106" max="15106" width="6.42578125" style="498" customWidth="1"/>
    <col min="15107" max="15107" width="47.5703125" style="498" customWidth="1"/>
    <col min="15108" max="15109" width="5" style="498" customWidth="1"/>
    <col min="15110" max="15110" width="5.42578125" style="498" customWidth="1"/>
    <col min="15111" max="15111" width="4.5703125" style="498" customWidth="1"/>
    <col min="15112" max="15113" width="4.42578125" style="498" customWidth="1"/>
    <col min="15114" max="15114" width="3.5703125" style="498" customWidth="1"/>
    <col min="15115" max="15115" width="5" style="498" customWidth="1"/>
    <col min="15116" max="15116" width="4" style="498" customWidth="1"/>
    <col min="15117" max="15118" width="4.5703125" style="498" customWidth="1"/>
    <col min="15119" max="15119" width="4.42578125" style="498" customWidth="1"/>
    <col min="15120" max="15120" width="4" style="498" customWidth="1"/>
    <col min="15121" max="15121" width="3.5703125" style="498" customWidth="1"/>
    <col min="15122" max="15123" width="4.5703125" style="498" customWidth="1"/>
    <col min="15124" max="15124" width="4" style="498" customWidth="1"/>
    <col min="15125" max="15126" width="4.42578125" style="498" customWidth="1"/>
    <col min="15127" max="15127" width="3.5703125" style="498" customWidth="1"/>
    <col min="15128" max="15128" width="4.42578125" style="498" customWidth="1"/>
    <col min="15129" max="15129" width="5.5703125" style="498" customWidth="1"/>
    <col min="15130" max="15130" width="3.5703125" style="498" customWidth="1"/>
    <col min="15131" max="15131" width="4" style="498" customWidth="1"/>
    <col min="15132" max="15132" width="4.5703125" style="498" customWidth="1"/>
    <col min="15133" max="15135" width="4.42578125" style="498" customWidth="1"/>
    <col min="15136" max="15137" width="4.5703125" style="498" customWidth="1"/>
    <col min="15138" max="15138" width="4" style="498" customWidth="1"/>
    <col min="15139" max="15139" width="4.5703125" style="498" customWidth="1"/>
    <col min="15140" max="15140" width="6" style="498" customWidth="1"/>
    <col min="15141" max="15141" width="8.5703125" style="498" customWidth="1"/>
    <col min="15142" max="15361" width="11.42578125" style="498"/>
    <col min="15362" max="15362" width="6.42578125" style="498" customWidth="1"/>
    <col min="15363" max="15363" width="47.5703125" style="498" customWidth="1"/>
    <col min="15364" max="15365" width="5" style="498" customWidth="1"/>
    <col min="15366" max="15366" width="5.42578125" style="498" customWidth="1"/>
    <col min="15367" max="15367" width="4.5703125" style="498" customWidth="1"/>
    <col min="15368" max="15369" width="4.42578125" style="498" customWidth="1"/>
    <col min="15370" max="15370" width="3.5703125" style="498" customWidth="1"/>
    <col min="15371" max="15371" width="5" style="498" customWidth="1"/>
    <col min="15372" max="15372" width="4" style="498" customWidth="1"/>
    <col min="15373" max="15374" width="4.5703125" style="498" customWidth="1"/>
    <col min="15375" max="15375" width="4.42578125" style="498" customWidth="1"/>
    <col min="15376" max="15376" width="4" style="498" customWidth="1"/>
    <col min="15377" max="15377" width="3.5703125" style="498" customWidth="1"/>
    <col min="15378" max="15379" width="4.5703125" style="498" customWidth="1"/>
    <col min="15380" max="15380" width="4" style="498" customWidth="1"/>
    <col min="15381" max="15382" width="4.42578125" style="498" customWidth="1"/>
    <col min="15383" max="15383" width="3.5703125" style="498" customWidth="1"/>
    <col min="15384" max="15384" width="4.42578125" style="498" customWidth="1"/>
    <col min="15385" max="15385" width="5.5703125" style="498" customWidth="1"/>
    <col min="15386" max="15386" width="3.5703125" style="498" customWidth="1"/>
    <col min="15387" max="15387" width="4" style="498" customWidth="1"/>
    <col min="15388" max="15388" width="4.5703125" style="498" customWidth="1"/>
    <col min="15389" max="15391" width="4.42578125" style="498" customWidth="1"/>
    <col min="15392" max="15393" width="4.5703125" style="498" customWidth="1"/>
    <col min="15394" max="15394" width="4" style="498" customWidth="1"/>
    <col min="15395" max="15395" width="4.5703125" style="498" customWidth="1"/>
    <col min="15396" max="15396" width="6" style="498" customWidth="1"/>
    <col min="15397" max="15397" width="8.5703125" style="498" customWidth="1"/>
    <col min="15398" max="15617" width="11.42578125" style="498"/>
    <col min="15618" max="15618" width="6.42578125" style="498" customWidth="1"/>
    <col min="15619" max="15619" width="47.5703125" style="498" customWidth="1"/>
    <col min="15620" max="15621" width="5" style="498" customWidth="1"/>
    <col min="15622" max="15622" width="5.42578125" style="498" customWidth="1"/>
    <col min="15623" max="15623" width="4.5703125" style="498" customWidth="1"/>
    <col min="15624" max="15625" width="4.42578125" style="498" customWidth="1"/>
    <col min="15626" max="15626" width="3.5703125" style="498" customWidth="1"/>
    <col min="15627" max="15627" width="5" style="498" customWidth="1"/>
    <col min="15628" max="15628" width="4" style="498" customWidth="1"/>
    <col min="15629" max="15630" width="4.5703125" style="498" customWidth="1"/>
    <col min="15631" max="15631" width="4.42578125" style="498" customWidth="1"/>
    <col min="15632" max="15632" width="4" style="498" customWidth="1"/>
    <col min="15633" max="15633" width="3.5703125" style="498" customWidth="1"/>
    <col min="15634" max="15635" width="4.5703125" style="498" customWidth="1"/>
    <col min="15636" max="15636" width="4" style="498" customWidth="1"/>
    <col min="15637" max="15638" width="4.42578125" style="498" customWidth="1"/>
    <col min="15639" max="15639" width="3.5703125" style="498" customWidth="1"/>
    <col min="15640" max="15640" width="4.42578125" style="498" customWidth="1"/>
    <col min="15641" max="15641" width="5.5703125" style="498" customWidth="1"/>
    <col min="15642" max="15642" width="3.5703125" style="498" customWidth="1"/>
    <col min="15643" max="15643" width="4" style="498" customWidth="1"/>
    <col min="15644" max="15644" width="4.5703125" style="498" customWidth="1"/>
    <col min="15645" max="15647" width="4.42578125" style="498" customWidth="1"/>
    <col min="15648" max="15649" width="4.5703125" style="498" customWidth="1"/>
    <col min="15650" max="15650" width="4" style="498" customWidth="1"/>
    <col min="15651" max="15651" width="4.5703125" style="498" customWidth="1"/>
    <col min="15652" max="15652" width="6" style="498" customWidth="1"/>
    <col min="15653" max="15653" width="8.5703125" style="498" customWidth="1"/>
    <col min="15654" max="15873" width="11.42578125" style="498"/>
    <col min="15874" max="15874" width="6.42578125" style="498" customWidth="1"/>
    <col min="15875" max="15875" width="47.5703125" style="498" customWidth="1"/>
    <col min="15876" max="15877" width="5" style="498" customWidth="1"/>
    <col min="15878" max="15878" width="5.42578125" style="498" customWidth="1"/>
    <col min="15879" max="15879" width="4.5703125" style="498" customWidth="1"/>
    <col min="15880" max="15881" width="4.42578125" style="498" customWidth="1"/>
    <col min="15882" max="15882" width="3.5703125" style="498" customWidth="1"/>
    <col min="15883" max="15883" width="5" style="498" customWidth="1"/>
    <col min="15884" max="15884" width="4" style="498" customWidth="1"/>
    <col min="15885" max="15886" width="4.5703125" style="498" customWidth="1"/>
    <col min="15887" max="15887" width="4.42578125" style="498" customWidth="1"/>
    <col min="15888" max="15888" width="4" style="498" customWidth="1"/>
    <col min="15889" max="15889" width="3.5703125" style="498" customWidth="1"/>
    <col min="15890" max="15891" width="4.5703125" style="498" customWidth="1"/>
    <col min="15892" max="15892" width="4" style="498" customWidth="1"/>
    <col min="15893" max="15894" width="4.42578125" style="498" customWidth="1"/>
    <col min="15895" max="15895" width="3.5703125" style="498" customWidth="1"/>
    <col min="15896" max="15896" width="4.42578125" style="498" customWidth="1"/>
    <col min="15897" max="15897" width="5.5703125" style="498" customWidth="1"/>
    <col min="15898" max="15898" width="3.5703125" style="498" customWidth="1"/>
    <col min="15899" max="15899" width="4" style="498" customWidth="1"/>
    <col min="15900" max="15900" width="4.5703125" style="498" customWidth="1"/>
    <col min="15901" max="15903" width="4.42578125" style="498" customWidth="1"/>
    <col min="15904" max="15905" width="4.5703125" style="498" customWidth="1"/>
    <col min="15906" max="15906" width="4" style="498" customWidth="1"/>
    <col min="15907" max="15907" width="4.5703125" style="498" customWidth="1"/>
    <col min="15908" max="15908" width="6" style="498" customWidth="1"/>
    <col min="15909" max="15909" width="8.5703125" style="498" customWidth="1"/>
    <col min="15910" max="16129" width="11.42578125" style="498"/>
    <col min="16130" max="16130" width="6.42578125" style="498" customWidth="1"/>
    <col min="16131" max="16131" width="47.5703125" style="498" customWidth="1"/>
    <col min="16132" max="16133" width="5" style="498" customWidth="1"/>
    <col min="16134" max="16134" width="5.42578125" style="498" customWidth="1"/>
    <col min="16135" max="16135" width="4.5703125" style="498" customWidth="1"/>
    <col min="16136" max="16137" width="4.42578125" style="498" customWidth="1"/>
    <col min="16138" max="16138" width="3.5703125" style="498" customWidth="1"/>
    <col min="16139" max="16139" width="5" style="498" customWidth="1"/>
    <col min="16140" max="16140" width="4" style="498" customWidth="1"/>
    <col min="16141" max="16142" width="4.5703125" style="498" customWidth="1"/>
    <col min="16143" max="16143" width="4.42578125" style="498" customWidth="1"/>
    <col min="16144" max="16144" width="4" style="498" customWidth="1"/>
    <col min="16145" max="16145" width="3.5703125" style="498" customWidth="1"/>
    <col min="16146" max="16147" width="4.5703125" style="498" customWidth="1"/>
    <col min="16148" max="16148" width="4" style="498" customWidth="1"/>
    <col min="16149" max="16150" width="4.42578125" style="498" customWidth="1"/>
    <col min="16151" max="16151" width="3.5703125" style="498" customWidth="1"/>
    <col min="16152" max="16152" width="4.42578125" style="498" customWidth="1"/>
    <col min="16153" max="16153" width="5.5703125" style="498" customWidth="1"/>
    <col min="16154" max="16154" width="3.5703125" style="498" customWidth="1"/>
    <col min="16155" max="16155" width="4" style="498" customWidth="1"/>
    <col min="16156" max="16156" width="4.5703125" style="498" customWidth="1"/>
    <col min="16157" max="16159" width="4.42578125" style="498" customWidth="1"/>
    <col min="16160" max="16161" width="4.5703125" style="498" customWidth="1"/>
    <col min="16162" max="16162" width="4" style="498" customWidth="1"/>
    <col min="16163" max="16163" width="4.5703125" style="498" customWidth="1"/>
    <col min="16164" max="16164" width="6" style="498" customWidth="1"/>
    <col min="16165" max="16165" width="8.5703125" style="498" customWidth="1"/>
    <col min="16166" max="16384" width="11.42578125" style="498"/>
  </cols>
  <sheetData>
    <row r="1" spans="1:40">
      <c r="A1" s="2213" t="s">
        <v>283</v>
      </c>
      <c r="B1" s="2213"/>
      <c r="C1" s="2213"/>
      <c r="D1" s="2213"/>
      <c r="E1" s="2213"/>
      <c r="F1" s="2213"/>
      <c r="G1" s="2213"/>
      <c r="H1" s="2213"/>
      <c r="I1" s="2213"/>
      <c r="J1" s="2213"/>
      <c r="K1" s="2213"/>
      <c r="R1" s="498"/>
      <c r="Y1" s="498"/>
      <c r="AD1" s="498"/>
      <c r="AF1" s="498"/>
      <c r="AG1" s="498"/>
    </row>
    <row r="2" spans="1:40">
      <c r="A2" s="2214" t="s">
        <v>1802</v>
      </c>
      <c r="B2" s="2214"/>
      <c r="C2" s="2214"/>
      <c r="D2" s="2214"/>
      <c r="E2" s="2214"/>
      <c r="F2" s="2214"/>
      <c r="G2" s="2214"/>
      <c r="H2" s="2214"/>
      <c r="I2" s="2214"/>
      <c r="J2" s="2214"/>
      <c r="K2" s="2214"/>
      <c r="R2" s="498"/>
      <c r="Y2" s="498"/>
      <c r="AD2" s="498"/>
      <c r="AF2" s="498"/>
      <c r="AG2" s="498"/>
    </row>
    <row r="3" spans="1:40">
      <c r="A3" s="549"/>
      <c r="D3" s="498"/>
      <c r="K3" s="498"/>
      <c r="R3" s="498"/>
      <c r="Y3" s="498"/>
      <c r="AD3" s="498"/>
      <c r="AF3" s="498"/>
      <c r="AG3" s="498"/>
    </row>
    <row r="4" spans="1:40">
      <c r="A4" s="551"/>
      <c r="B4" s="2215" t="s">
        <v>1800</v>
      </c>
      <c r="C4" s="2215"/>
      <c r="D4" s="2215"/>
      <c r="E4" s="2215"/>
      <c r="F4" s="2215"/>
      <c r="G4" s="2215"/>
      <c r="H4" s="2215"/>
      <c r="I4" s="2215"/>
      <c r="J4" s="2215"/>
      <c r="K4" s="2215"/>
      <c r="R4" s="498"/>
      <c r="Y4" s="498"/>
      <c r="AD4" s="498"/>
      <c r="AF4" s="498"/>
      <c r="AG4" s="498"/>
    </row>
    <row r="5" spans="1:40" ht="12.75" customHeight="1">
      <c r="A5" s="551"/>
      <c r="B5" s="2216" t="e">
        <f>#REF!</f>
        <v>#REF!</v>
      </c>
      <c r="C5" s="2217"/>
      <c r="D5" s="2217"/>
      <c r="E5" s="2217"/>
      <c r="F5" s="2217"/>
      <c r="G5" s="2217"/>
      <c r="H5" s="2217"/>
      <c r="I5" s="2217"/>
      <c r="J5" s="2217"/>
      <c r="K5" s="2217"/>
      <c r="R5" s="498"/>
      <c r="Y5" s="498"/>
      <c r="AD5" s="498"/>
      <c r="AF5" s="498"/>
      <c r="AG5" s="498"/>
    </row>
    <row r="6" spans="1:40" ht="13.5" customHeight="1">
      <c r="B6" s="553"/>
      <c r="C6" s="500"/>
      <c r="D6" s="498"/>
      <c r="K6" s="498"/>
      <c r="R6" s="498"/>
      <c r="Y6" s="498"/>
      <c r="AD6" s="498"/>
      <c r="AF6" s="498"/>
      <c r="AG6" s="498"/>
    </row>
    <row r="7" spans="1:40" ht="13.5" customHeight="1">
      <c r="B7" s="553"/>
      <c r="C7" s="500"/>
      <c r="D7" s="498"/>
      <c r="K7" s="498"/>
      <c r="R7" s="498"/>
      <c r="Y7" s="498"/>
      <c r="AD7" s="498"/>
      <c r="AF7" s="498"/>
      <c r="AG7" s="498"/>
    </row>
    <row r="8" spans="1:40" ht="13.5" customHeight="1" thickBot="1">
      <c r="B8" s="553"/>
      <c r="C8" s="500"/>
      <c r="D8" s="983" t="s">
        <v>2183</v>
      </c>
      <c r="E8" s="983" t="s">
        <v>2161</v>
      </c>
      <c r="F8" s="983" t="s">
        <v>2162</v>
      </c>
      <c r="G8" s="983" t="s">
        <v>2163</v>
      </c>
      <c r="H8" s="983" t="s">
        <v>2157</v>
      </c>
      <c r="I8" s="983" t="s">
        <v>2158</v>
      </c>
      <c r="J8" s="983" t="s">
        <v>2159</v>
      </c>
      <c r="K8" s="983" t="s">
        <v>2160</v>
      </c>
      <c r="L8" s="983" t="s">
        <v>2161</v>
      </c>
      <c r="M8" s="983" t="s">
        <v>2162</v>
      </c>
      <c r="N8" s="983" t="s">
        <v>2163</v>
      </c>
      <c r="O8" s="1042" t="s">
        <v>2157</v>
      </c>
      <c r="P8" s="983" t="s">
        <v>2158</v>
      </c>
      <c r="Q8" s="983" t="s">
        <v>2159</v>
      </c>
      <c r="R8" s="983" t="s">
        <v>2160</v>
      </c>
      <c r="S8" s="983" t="s">
        <v>2161</v>
      </c>
      <c r="T8" s="983" t="s">
        <v>2162</v>
      </c>
      <c r="U8" s="983" t="s">
        <v>2163</v>
      </c>
      <c r="V8" s="983" t="s">
        <v>2157</v>
      </c>
      <c r="W8" s="983" t="s">
        <v>2158</v>
      </c>
      <c r="X8" s="983" t="s">
        <v>2159</v>
      </c>
      <c r="Y8" s="983" t="s">
        <v>2160</v>
      </c>
      <c r="Z8" s="983" t="s">
        <v>2161</v>
      </c>
      <c r="AA8" s="983" t="s">
        <v>2162</v>
      </c>
      <c r="AB8" s="983" t="s">
        <v>2163</v>
      </c>
      <c r="AC8" s="983" t="s">
        <v>2157</v>
      </c>
      <c r="AD8" s="983" t="s">
        <v>2158</v>
      </c>
      <c r="AE8" s="983" t="s">
        <v>2159</v>
      </c>
      <c r="AF8" s="983" t="s">
        <v>2160</v>
      </c>
      <c r="AG8" s="983" t="s">
        <v>2161</v>
      </c>
      <c r="AH8" s="871" t="s">
        <v>2162</v>
      </c>
      <c r="AI8" s="871"/>
    </row>
    <row r="9" spans="1:40" ht="13.5" thickBot="1">
      <c r="A9" s="2218" t="s">
        <v>285</v>
      </c>
      <c r="B9" s="2218" t="s">
        <v>20</v>
      </c>
      <c r="C9" s="501"/>
      <c r="D9" s="502">
        <v>1</v>
      </c>
      <c r="E9" s="502">
        <f t="shared" ref="E9:AH9" si="0">+D9+1</f>
        <v>2</v>
      </c>
      <c r="F9" s="502">
        <f t="shared" si="0"/>
        <v>3</v>
      </c>
      <c r="G9" s="502">
        <f t="shared" si="0"/>
        <v>4</v>
      </c>
      <c r="H9" s="502">
        <f t="shared" si="0"/>
        <v>5</v>
      </c>
      <c r="I9" s="502">
        <f t="shared" si="0"/>
        <v>6</v>
      </c>
      <c r="J9" s="502">
        <f t="shared" si="0"/>
        <v>7</v>
      </c>
      <c r="K9" s="502">
        <f t="shared" si="0"/>
        <v>8</v>
      </c>
      <c r="L9" s="502">
        <f t="shared" si="0"/>
        <v>9</v>
      </c>
      <c r="M9" s="502">
        <f t="shared" si="0"/>
        <v>10</v>
      </c>
      <c r="N9" s="502">
        <f t="shared" si="0"/>
        <v>11</v>
      </c>
      <c r="O9" s="736">
        <f t="shared" si="0"/>
        <v>12</v>
      </c>
      <c r="P9" s="502">
        <f t="shared" si="0"/>
        <v>13</v>
      </c>
      <c r="Q9" s="502">
        <f t="shared" si="0"/>
        <v>14</v>
      </c>
      <c r="R9" s="502">
        <f t="shared" si="0"/>
        <v>15</v>
      </c>
      <c r="S9" s="502">
        <f t="shared" si="0"/>
        <v>16</v>
      </c>
      <c r="T9" s="502">
        <f t="shared" si="0"/>
        <v>17</v>
      </c>
      <c r="U9" s="502">
        <f t="shared" si="0"/>
        <v>18</v>
      </c>
      <c r="V9" s="502">
        <f t="shared" si="0"/>
        <v>19</v>
      </c>
      <c r="W9" s="502">
        <f t="shared" si="0"/>
        <v>20</v>
      </c>
      <c r="X9" s="502">
        <f t="shared" si="0"/>
        <v>21</v>
      </c>
      <c r="Y9" s="502">
        <f t="shared" si="0"/>
        <v>22</v>
      </c>
      <c r="Z9" s="502">
        <f t="shared" si="0"/>
        <v>23</v>
      </c>
      <c r="AA9" s="502">
        <f t="shared" si="0"/>
        <v>24</v>
      </c>
      <c r="AB9" s="502">
        <f t="shared" si="0"/>
        <v>25</v>
      </c>
      <c r="AC9" s="502">
        <f t="shared" si="0"/>
        <v>26</v>
      </c>
      <c r="AD9" s="502">
        <f t="shared" si="0"/>
        <v>27</v>
      </c>
      <c r="AE9" s="502">
        <f t="shared" si="0"/>
        <v>28</v>
      </c>
      <c r="AF9" s="502">
        <f t="shared" si="0"/>
        <v>29</v>
      </c>
      <c r="AG9" s="502">
        <f t="shared" si="0"/>
        <v>30</v>
      </c>
      <c r="AH9" s="502">
        <f t="shared" si="0"/>
        <v>31</v>
      </c>
      <c r="AI9" s="504" t="s">
        <v>359</v>
      </c>
      <c r="AJ9" s="500"/>
      <c r="AK9" s="672" t="s">
        <v>26</v>
      </c>
      <c r="AL9" s="671" t="s">
        <v>1822</v>
      </c>
      <c r="AM9" s="671" t="s">
        <v>1821</v>
      </c>
      <c r="AN9" s="505" t="s">
        <v>25</v>
      </c>
    </row>
    <row r="10" spans="1:40" ht="13.5" thickBot="1">
      <c r="A10" s="2219"/>
      <c r="B10" s="2219"/>
      <c r="C10" s="888" t="s">
        <v>73</v>
      </c>
      <c r="D10" s="957" t="s">
        <v>305</v>
      </c>
      <c r="E10" s="507" t="s">
        <v>305</v>
      </c>
      <c r="F10" s="507" t="s">
        <v>305</v>
      </c>
      <c r="G10" s="507" t="s">
        <v>305</v>
      </c>
      <c r="H10" s="507" t="s">
        <v>305</v>
      </c>
      <c r="I10" s="507" t="s">
        <v>305</v>
      </c>
      <c r="J10" s="507" t="s">
        <v>305</v>
      </c>
      <c r="K10" s="507" t="s">
        <v>305</v>
      </c>
      <c r="L10" s="507" t="s">
        <v>305</v>
      </c>
      <c r="M10" s="507" t="s">
        <v>305</v>
      </c>
      <c r="N10" s="507" t="s">
        <v>305</v>
      </c>
      <c r="O10" s="737" t="s">
        <v>305</v>
      </c>
      <c r="P10" s="507" t="s">
        <v>305</v>
      </c>
      <c r="Q10" s="507" t="s">
        <v>305</v>
      </c>
      <c r="R10" s="507" t="s">
        <v>305</v>
      </c>
      <c r="S10" s="507" t="s">
        <v>305</v>
      </c>
      <c r="T10" s="507" t="s">
        <v>305</v>
      </c>
      <c r="U10" s="507" t="s">
        <v>305</v>
      </c>
      <c r="V10" s="507" t="s">
        <v>305</v>
      </c>
      <c r="W10" s="507" t="s">
        <v>305</v>
      </c>
      <c r="X10" s="507" t="s">
        <v>305</v>
      </c>
      <c r="Y10" s="507" t="s">
        <v>305</v>
      </c>
      <c r="Z10" s="507" t="s">
        <v>305</v>
      </c>
      <c r="AA10" s="507" t="s">
        <v>305</v>
      </c>
      <c r="AB10" s="507" t="s">
        <v>305</v>
      </c>
      <c r="AC10" s="507" t="s">
        <v>305</v>
      </c>
      <c r="AD10" s="507" t="s">
        <v>305</v>
      </c>
      <c r="AE10" s="507" t="s">
        <v>305</v>
      </c>
      <c r="AF10" s="507" t="s">
        <v>305</v>
      </c>
      <c r="AG10" s="957" t="s">
        <v>305</v>
      </c>
      <c r="AH10" s="507" t="s">
        <v>305</v>
      </c>
      <c r="AI10" s="509" t="s">
        <v>287</v>
      </c>
      <c r="AJ10" s="1016"/>
      <c r="AK10" s="668" t="s">
        <v>287</v>
      </c>
      <c r="AL10" s="671"/>
      <c r="AM10" s="671"/>
      <c r="AN10" s="505"/>
    </row>
    <row r="11" spans="1:40" s="518" customFormat="1">
      <c r="A11" s="541" t="s">
        <v>33</v>
      </c>
      <c r="B11" s="541" t="s">
        <v>1132</v>
      </c>
      <c r="C11" s="1035"/>
      <c r="D11" s="670"/>
      <c r="E11" s="1037"/>
      <c r="F11" s="510"/>
      <c r="G11" s="510"/>
      <c r="H11" s="510"/>
      <c r="I11" s="955"/>
      <c r="J11" s="512"/>
      <c r="K11" s="512"/>
      <c r="L11" s="514"/>
      <c r="M11" s="510"/>
      <c r="N11" s="514"/>
      <c r="O11" s="756"/>
      <c r="P11" s="514"/>
      <c r="Q11" s="522"/>
      <c r="R11" s="522"/>
      <c r="S11" s="514"/>
      <c r="T11" s="510"/>
      <c r="U11" s="514"/>
      <c r="V11" s="514"/>
      <c r="W11" s="522"/>
      <c r="X11" s="514"/>
      <c r="Y11" s="522"/>
      <c r="Z11" s="522"/>
      <c r="AA11" s="955"/>
      <c r="AB11" s="522"/>
      <c r="AC11" s="522"/>
      <c r="AD11" s="522"/>
      <c r="AE11" s="522"/>
      <c r="AF11" s="522"/>
      <c r="AG11" s="521"/>
      <c r="AH11" s="789"/>
      <c r="AI11" s="664">
        <f t="shared" ref="AI11:AI25" si="1">ROUND((SUM(E11:AH11)),2)</f>
        <v>0</v>
      </c>
      <c r="AJ11" s="790"/>
      <c r="AK11" s="521"/>
      <c r="AL11" s="520"/>
      <c r="AM11" s="673"/>
      <c r="AN11" s="670"/>
    </row>
    <row r="12" spans="1:40" s="500" customFormat="1">
      <c r="A12" s="440" t="s">
        <v>35</v>
      </c>
      <c r="B12" s="543" t="s">
        <v>1133</v>
      </c>
      <c r="C12" s="1036"/>
      <c r="D12" s="667"/>
      <c r="E12" s="944"/>
      <c r="F12" s="520"/>
      <c r="G12" s="520"/>
      <c r="H12" s="520"/>
      <c r="I12" s="521"/>
      <c r="J12" s="521"/>
      <c r="K12" s="521"/>
      <c r="L12" s="514"/>
      <c r="M12" s="520"/>
      <c r="N12" s="514"/>
      <c r="O12" s="756"/>
      <c r="P12" s="514"/>
      <c r="Q12" s="522"/>
      <c r="R12" s="522"/>
      <c r="S12" s="514"/>
      <c r="T12" s="520"/>
      <c r="U12" s="514"/>
      <c r="V12" s="514"/>
      <c r="W12" s="522"/>
      <c r="X12" s="514"/>
      <c r="Y12" s="522"/>
      <c r="Z12" s="522"/>
      <c r="AA12" s="520"/>
      <c r="AB12" s="522"/>
      <c r="AC12" s="522"/>
      <c r="AD12" s="522"/>
      <c r="AE12" s="522"/>
      <c r="AF12" s="522"/>
      <c r="AG12" s="521"/>
      <c r="AH12" s="789"/>
      <c r="AI12" s="664">
        <f t="shared" si="1"/>
        <v>0</v>
      </c>
      <c r="AJ12" s="790"/>
      <c r="AK12" s="521"/>
      <c r="AL12" s="520"/>
      <c r="AM12" s="672"/>
      <c r="AN12" s="667"/>
    </row>
    <row r="13" spans="1:40" s="500" customFormat="1">
      <c r="A13" s="539" t="s">
        <v>539</v>
      </c>
      <c r="B13" s="539" t="s">
        <v>1921</v>
      </c>
      <c r="C13" s="974" t="s">
        <v>64</v>
      </c>
      <c r="D13" s="667"/>
      <c r="E13" s="1044">
        <v>0.25</v>
      </c>
      <c r="F13" s="520"/>
      <c r="G13" s="520"/>
      <c r="H13" s="520"/>
      <c r="I13" s="521"/>
      <c r="J13" s="521"/>
      <c r="K13" s="521"/>
      <c r="L13" s="514"/>
      <c r="M13" s="520"/>
      <c r="N13" s="522"/>
      <c r="O13" s="756"/>
      <c r="P13" s="514"/>
      <c r="Q13" s="522"/>
      <c r="R13" s="522"/>
      <c r="S13" s="514"/>
      <c r="T13" s="520"/>
      <c r="U13" s="514"/>
      <c r="V13" s="514"/>
      <c r="W13" s="522"/>
      <c r="X13" s="514"/>
      <c r="Y13" s="522"/>
      <c r="Z13" s="522"/>
      <c r="AA13" s="520"/>
      <c r="AB13" s="522"/>
      <c r="AC13" s="522"/>
      <c r="AD13" s="522"/>
      <c r="AE13" s="522"/>
      <c r="AF13" s="522"/>
      <c r="AG13" s="521"/>
      <c r="AH13" s="789"/>
      <c r="AI13" s="996">
        <f t="shared" si="1"/>
        <v>0.25</v>
      </c>
      <c r="AJ13" s="790"/>
      <c r="AK13" s="521">
        <v>0</v>
      </c>
      <c r="AL13" s="520">
        <f t="shared" ref="AL13:AL26" si="2">AI13+AK13</f>
        <v>0.25</v>
      </c>
      <c r="AM13" s="672" t="s">
        <v>1455</v>
      </c>
      <c r="AN13" s="669">
        <f t="shared" ref="AN13:AN26" si="3">AM13-AL13</f>
        <v>0.75</v>
      </c>
    </row>
    <row r="14" spans="1:40" s="500" customFormat="1">
      <c r="A14" s="440" t="s">
        <v>551</v>
      </c>
      <c r="B14" s="543" t="s">
        <v>1147</v>
      </c>
      <c r="C14" s="975"/>
      <c r="D14" s="667"/>
      <c r="E14" s="944"/>
      <c r="F14" s="520"/>
      <c r="G14" s="520"/>
      <c r="H14" s="520"/>
      <c r="I14" s="667"/>
      <c r="J14" s="521"/>
      <c r="K14" s="521"/>
      <c r="L14" s="514"/>
      <c r="M14" s="520"/>
      <c r="N14" s="514"/>
      <c r="O14" s="756"/>
      <c r="P14" s="521"/>
      <c r="Q14" s="522"/>
      <c r="R14" s="522"/>
      <c r="S14" s="514"/>
      <c r="T14" s="520"/>
      <c r="U14" s="514"/>
      <c r="V14" s="514"/>
      <c r="W14" s="522"/>
      <c r="X14" s="514"/>
      <c r="Y14" s="522"/>
      <c r="Z14" s="522"/>
      <c r="AA14" s="520"/>
      <c r="AB14" s="522"/>
      <c r="AC14" s="522"/>
      <c r="AD14" s="522"/>
      <c r="AE14" s="522"/>
      <c r="AF14" s="522"/>
      <c r="AG14" s="521"/>
      <c r="AH14" s="789"/>
      <c r="AI14" s="664">
        <f t="shared" si="1"/>
        <v>0</v>
      </c>
      <c r="AJ14" s="790"/>
      <c r="AK14" s="521">
        <v>0</v>
      </c>
      <c r="AL14" s="520">
        <f t="shared" si="2"/>
        <v>0</v>
      </c>
      <c r="AM14" s="672"/>
      <c r="AN14" s="669">
        <f t="shared" si="3"/>
        <v>0</v>
      </c>
    </row>
    <row r="15" spans="1:40" s="500" customFormat="1">
      <c r="A15" s="539" t="s">
        <v>556</v>
      </c>
      <c r="B15" s="539" t="s">
        <v>1152</v>
      </c>
      <c r="C15" s="973" t="s">
        <v>64</v>
      </c>
      <c r="D15" s="667"/>
      <c r="E15" s="1043">
        <v>0.25</v>
      </c>
      <c r="F15" s="521"/>
      <c r="G15" s="521"/>
      <c r="H15" s="520"/>
      <c r="I15" s="667"/>
      <c r="J15" s="521"/>
      <c r="K15" s="521"/>
      <c r="L15" s="514"/>
      <c r="M15" s="521"/>
      <c r="N15" s="514"/>
      <c r="O15" s="756"/>
      <c r="P15" s="521"/>
      <c r="Q15" s="522"/>
      <c r="R15" s="522"/>
      <c r="S15" s="514"/>
      <c r="T15" s="521"/>
      <c r="U15" s="514"/>
      <c r="V15" s="514"/>
      <c r="W15" s="522"/>
      <c r="X15" s="514"/>
      <c r="Y15" s="522"/>
      <c r="Z15" s="522"/>
      <c r="AA15" s="521"/>
      <c r="AB15" s="522"/>
      <c r="AC15" s="522"/>
      <c r="AD15" s="522"/>
      <c r="AE15" s="522"/>
      <c r="AF15" s="522"/>
      <c r="AG15" s="521"/>
      <c r="AH15" s="790"/>
      <c r="AI15" s="996">
        <f t="shared" si="1"/>
        <v>0.25</v>
      </c>
      <c r="AJ15" s="790"/>
      <c r="AK15" s="521">
        <v>0</v>
      </c>
      <c r="AL15" s="520">
        <f t="shared" si="2"/>
        <v>0.25</v>
      </c>
      <c r="AM15" s="672" t="s">
        <v>1455</v>
      </c>
      <c r="AN15" s="669">
        <f t="shared" si="3"/>
        <v>0.75</v>
      </c>
    </row>
    <row r="16" spans="1:40" s="518" customFormat="1" ht="13.5" thickBot="1">
      <c r="A16" s="539" t="s">
        <v>557</v>
      </c>
      <c r="B16" s="539" t="s">
        <v>1153</v>
      </c>
      <c r="C16" s="973" t="s">
        <v>64</v>
      </c>
      <c r="D16" s="670"/>
      <c r="E16" s="1043">
        <v>0.25</v>
      </c>
      <c r="F16" s="521"/>
      <c r="G16" s="527"/>
      <c r="H16" s="526"/>
      <c r="I16" s="667"/>
      <c r="J16" s="527"/>
      <c r="K16" s="527"/>
      <c r="L16" s="514"/>
      <c r="M16" s="521"/>
      <c r="N16" s="514"/>
      <c r="O16" s="756"/>
      <c r="P16" s="527"/>
      <c r="Q16" s="522"/>
      <c r="R16" s="522"/>
      <c r="S16" s="514"/>
      <c r="T16" s="521"/>
      <c r="U16" s="514"/>
      <c r="V16" s="514"/>
      <c r="W16" s="522"/>
      <c r="X16" s="514"/>
      <c r="Y16" s="522"/>
      <c r="Z16" s="522"/>
      <c r="AA16" s="521"/>
      <c r="AB16" s="522"/>
      <c r="AC16" s="522"/>
      <c r="AD16" s="522"/>
      <c r="AE16" s="522"/>
      <c r="AF16" s="522"/>
      <c r="AG16" s="521"/>
      <c r="AH16" s="790"/>
      <c r="AI16" s="996">
        <f t="shared" si="1"/>
        <v>0.25</v>
      </c>
      <c r="AJ16" s="790"/>
      <c r="AK16" s="521">
        <v>0</v>
      </c>
      <c r="AL16" s="520">
        <f t="shared" si="2"/>
        <v>0.25</v>
      </c>
      <c r="AM16" s="673" t="s">
        <v>1455</v>
      </c>
      <c r="AN16" s="669">
        <f t="shared" si="3"/>
        <v>0.75</v>
      </c>
    </row>
    <row r="17" spans="1:40" s="843" customFormat="1">
      <c r="A17" s="541" t="s">
        <v>42</v>
      </c>
      <c r="B17" s="541" t="s">
        <v>1154</v>
      </c>
      <c r="C17" s="975"/>
      <c r="D17" s="667"/>
      <c r="E17" s="944"/>
      <c r="F17" s="520"/>
      <c r="G17" s="520"/>
      <c r="H17" s="520"/>
      <c r="I17" s="521"/>
      <c r="J17" s="521"/>
      <c r="K17" s="521"/>
      <c r="L17" s="514"/>
      <c r="M17" s="520"/>
      <c r="N17" s="514"/>
      <c r="O17" s="756"/>
      <c r="P17" s="514"/>
      <c r="Q17" s="522"/>
      <c r="R17" s="522"/>
      <c r="S17" s="514"/>
      <c r="T17" s="520"/>
      <c r="U17" s="514"/>
      <c r="V17" s="514"/>
      <c r="W17" s="522"/>
      <c r="X17" s="514"/>
      <c r="Y17" s="522"/>
      <c r="Z17" s="522"/>
      <c r="AA17" s="520"/>
      <c r="AB17" s="522"/>
      <c r="AC17" s="522"/>
      <c r="AD17" s="522"/>
      <c r="AE17" s="522"/>
      <c r="AF17" s="522"/>
      <c r="AG17" s="521"/>
      <c r="AH17" s="789"/>
      <c r="AI17" s="664">
        <f t="shared" si="1"/>
        <v>0</v>
      </c>
      <c r="AJ17" s="790"/>
      <c r="AK17" s="836">
        <v>0</v>
      </c>
      <c r="AL17" s="835">
        <f t="shared" si="2"/>
        <v>0</v>
      </c>
      <c r="AM17" s="841"/>
      <c r="AN17" s="842">
        <f t="shared" si="3"/>
        <v>0</v>
      </c>
    </row>
    <row r="18" spans="1:40" s="500" customFormat="1">
      <c r="A18" s="440" t="s">
        <v>43</v>
      </c>
      <c r="B18" s="543" t="s">
        <v>1155</v>
      </c>
      <c r="C18" s="975"/>
      <c r="D18" s="667"/>
      <c r="E18" s="944"/>
      <c r="F18" s="520"/>
      <c r="G18" s="520"/>
      <c r="H18" s="520"/>
      <c r="I18" s="521"/>
      <c r="J18" s="521"/>
      <c r="K18" s="521"/>
      <c r="L18" s="514"/>
      <c r="M18" s="520"/>
      <c r="N18" s="514"/>
      <c r="O18" s="756"/>
      <c r="P18" s="514"/>
      <c r="Q18" s="522"/>
      <c r="R18" s="522"/>
      <c r="S18" s="514"/>
      <c r="T18" s="520"/>
      <c r="U18" s="514"/>
      <c r="V18" s="514"/>
      <c r="W18" s="522"/>
      <c r="X18" s="514"/>
      <c r="Y18" s="522"/>
      <c r="Z18" s="522"/>
      <c r="AA18" s="520"/>
      <c r="AB18" s="522"/>
      <c r="AC18" s="522"/>
      <c r="AD18" s="522"/>
      <c r="AE18" s="522"/>
      <c r="AF18" s="522"/>
      <c r="AG18" s="521"/>
      <c r="AH18" s="789"/>
      <c r="AI18" s="664">
        <f t="shared" si="1"/>
        <v>0</v>
      </c>
      <c r="AJ18" s="790"/>
      <c r="AK18" s="521">
        <v>0</v>
      </c>
      <c r="AL18" s="520">
        <f t="shared" si="2"/>
        <v>0</v>
      </c>
      <c r="AM18" s="672"/>
      <c r="AN18" s="669">
        <f t="shared" si="3"/>
        <v>0</v>
      </c>
    </row>
    <row r="19" spans="1:40" s="500" customFormat="1">
      <c r="A19" s="542" t="s">
        <v>53</v>
      </c>
      <c r="B19" s="542" t="s">
        <v>46</v>
      </c>
      <c r="C19" s="975"/>
      <c r="D19" s="667"/>
      <c r="E19" s="944"/>
      <c r="F19" s="520"/>
      <c r="G19" s="520"/>
      <c r="H19" s="520"/>
      <c r="I19" s="521"/>
      <c r="J19" s="521"/>
      <c r="K19" s="521"/>
      <c r="L19" s="514"/>
      <c r="M19" s="520"/>
      <c r="N19" s="514"/>
      <c r="O19" s="756"/>
      <c r="P19" s="514"/>
      <c r="Q19" s="522"/>
      <c r="R19" s="522"/>
      <c r="S19" s="514"/>
      <c r="T19" s="520"/>
      <c r="U19" s="514"/>
      <c r="V19" s="514"/>
      <c r="W19" s="522"/>
      <c r="X19" s="514"/>
      <c r="Y19" s="522"/>
      <c r="Z19" s="522"/>
      <c r="AA19" s="520"/>
      <c r="AB19" s="522"/>
      <c r="AC19" s="522"/>
      <c r="AD19" s="522"/>
      <c r="AE19" s="522"/>
      <c r="AF19" s="522"/>
      <c r="AG19" s="521"/>
      <c r="AH19" s="789"/>
      <c r="AI19" s="664">
        <f t="shared" si="1"/>
        <v>0</v>
      </c>
      <c r="AJ19" s="790"/>
      <c r="AK19" s="521">
        <v>0</v>
      </c>
      <c r="AL19" s="520">
        <f t="shared" si="2"/>
        <v>0</v>
      </c>
      <c r="AM19" s="672"/>
      <c r="AN19" s="669">
        <f t="shared" si="3"/>
        <v>0</v>
      </c>
    </row>
    <row r="20" spans="1:40" s="500" customFormat="1">
      <c r="A20" s="539" t="s">
        <v>561</v>
      </c>
      <c r="B20" s="539" t="s">
        <v>1159</v>
      </c>
      <c r="C20" s="973" t="s">
        <v>37</v>
      </c>
      <c r="D20" s="667"/>
      <c r="E20" s="1039"/>
      <c r="F20" s="667"/>
      <c r="G20" s="667"/>
      <c r="H20" s="520"/>
      <c r="I20" s="521"/>
      <c r="J20" s="521"/>
      <c r="K20" s="521"/>
      <c r="L20" s="514"/>
      <c r="M20" s="520"/>
      <c r="N20" s="514"/>
      <c r="O20" s="756"/>
      <c r="P20" s="514"/>
      <c r="Q20" s="522"/>
      <c r="R20" s="522"/>
      <c r="S20" s="514"/>
      <c r="T20" s="520"/>
      <c r="U20" s="514"/>
      <c r="V20" s="514"/>
      <c r="W20" s="522"/>
      <c r="X20" s="514"/>
      <c r="Y20" s="522"/>
      <c r="Z20" s="522"/>
      <c r="AA20" s="520"/>
      <c r="AB20" s="1026">
        <v>13.03</v>
      </c>
      <c r="AC20" s="522"/>
      <c r="AD20" s="522"/>
      <c r="AE20" s="522"/>
      <c r="AF20" s="522"/>
      <c r="AG20" s="1022">
        <v>13</v>
      </c>
      <c r="AH20" s="789"/>
      <c r="AI20" s="996">
        <f t="shared" si="1"/>
        <v>26.03</v>
      </c>
      <c r="AJ20" s="790"/>
      <c r="AK20" s="521">
        <v>0</v>
      </c>
      <c r="AL20" s="520">
        <f t="shared" si="2"/>
        <v>26.03</v>
      </c>
      <c r="AM20" s="672" t="s">
        <v>1463</v>
      </c>
      <c r="AN20" s="669">
        <f t="shared" si="3"/>
        <v>0</v>
      </c>
    </row>
    <row r="21" spans="1:40" s="500" customFormat="1" ht="11.25" customHeight="1">
      <c r="A21" s="542" t="s">
        <v>564</v>
      </c>
      <c r="B21" s="542" t="s">
        <v>1162</v>
      </c>
      <c r="C21" s="975"/>
      <c r="D21" s="667"/>
      <c r="E21" s="1039"/>
      <c r="F21" s="667"/>
      <c r="G21" s="667"/>
      <c r="H21" s="520"/>
      <c r="I21" s="521"/>
      <c r="J21" s="521"/>
      <c r="K21" s="521"/>
      <c r="L21" s="514"/>
      <c r="M21" s="520"/>
      <c r="N21" s="514"/>
      <c r="O21" s="756"/>
      <c r="P21" s="514"/>
      <c r="Q21" s="522"/>
      <c r="R21" s="522"/>
      <c r="S21" s="514"/>
      <c r="T21" s="520"/>
      <c r="U21" s="514"/>
      <c r="V21" s="514"/>
      <c r="W21" s="522"/>
      <c r="X21" s="514"/>
      <c r="Y21" s="522"/>
      <c r="Z21" s="522"/>
      <c r="AA21" s="520"/>
      <c r="AB21" s="522"/>
      <c r="AC21" s="522"/>
      <c r="AD21" s="522"/>
      <c r="AE21" s="522"/>
      <c r="AF21" s="522"/>
      <c r="AG21" s="521"/>
      <c r="AH21" s="789"/>
      <c r="AI21" s="664">
        <f t="shared" si="1"/>
        <v>0</v>
      </c>
      <c r="AJ21" s="790"/>
      <c r="AK21" s="521">
        <v>0</v>
      </c>
      <c r="AL21" s="520">
        <f t="shared" si="2"/>
        <v>0</v>
      </c>
      <c r="AM21" s="672"/>
      <c r="AN21" s="669">
        <f t="shared" si="3"/>
        <v>0</v>
      </c>
    </row>
    <row r="22" spans="1:40" s="500" customFormat="1">
      <c r="A22" s="539" t="s">
        <v>568</v>
      </c>
      <c r="B22" s="539" t="s">
        <v>1166</v>
      </c>
      <c r="C22" s="973" t="s">
        <v>40</v>
      </c>
      <c r="D22" s="667"/>
      <c r="E22" s="1053">
        <v>0.37</v>
      </c>
      <c r="F22" s="667"/>
      <c r="G22" s="667"/>
      <c r="H22" s="520"/>
      <c r="I22" s="521"/>
      <c r="J22" s="521"/>
      <c r="K22" s="521"/>
      <c r="L22" s="514"/>
      <c r="M22" s="520"/>
      <c r="N22" s="514"/>
      <c r="O22" s="756"/>
      <c r="P22" s="514"/>
      <c r="Q22" s="522"/>
      <c r="R22" s="522"/>
      <c r="S22" s="514"/>
      <c r="T22" s="520"/>
      <c r="U22" s="514"/>
      <c r="V22" s="514"/>
      <c r="W22" s="522"/>
      <c r="X22" s="514"/>
      <c r="Y22" s="522"/>
      <c r="Z22" s="522"/>
      <c r="AA22" s="520"/>
      <c r="AB22" s="522"/>
      <c r="AC22" s="522"/>
      <c r="AD22" s="522"/>
      <c r="AE22" s="522"/>
      <c r="AF22" s="522"/>
      <c r="AG22" s="521"/>
      <c r="AH22" s="789"/>
      <c r="AI22" s="996">
        <f t="shared" si="1"/>
        <v>0.37</v>
      </c>
      <c r="AJ22" s="790"/>
      <c r="AK22" s="521">
        <v>0</v>
      </c>
      <c r="AL22" s="520">
        <f t="shared" si="2"/>
        <v>0.37</v>
      </c>
      <c r="AM22" s="672" t="s">
        <v>1468</v>
      </c>
      <c r="AN22" s="669">
        <f t="shared" si="3"/>
        <v>0.47</v>
      </c>
    </row>
    <row r="23" spans="1:40" s="500" customFormat="1">
      <c r="A23" s="539" t="s">
        <v>569</v>
      </c>
      <c r="B23" s="539" t="s">
        <v>1167</v>
      </c>
      <c r="C23" s="973" t="s">
        <v>37</v>
      </c>
      <c r="D23" s="667"/>
      <c r="E23" s="1053">
        <v>19.329999999999998</v>
      </c>
      <c r="F23" s="667"/>
      <c r="G23" s="667"/>
      <c r="H23" s="520"/>
      <c r="I23" s="521"/>
      <c r="J23" s="521"/>
      <c r="K23" s="521"/>
      <c r="L23" s="514"/>
      <c r="M23" s="520"/>
      <c r="N23" s="514"/>
      <c r="O23" s="756"/>
      <c r="P23" s="514"/>
      <c r="Q23" s="522"/>
      <c r="R23" s="522"/>
      <c r="S23" s="514"/>
      <c r="T23" s="520"/>
      <c r="U23" s="514"/>
      <c r="V23" s="514"/>
      <c r="W23" s="522"/>
      <c r="X23" s="514"/>
      <c r="Y23" s="522"/>
      <c r="Z23" s="522"/>
      <c r="AA23" s="520"/>
      <c r="AB23" s="522"/>
      <c r="AC23" s="522"/>
      <c r="AD23" s="522"/>
      <c r="AE23" s="522"/>
      <c r="AF23" s="522"/>
      <c r="AG23" s="521"/>
      <c r="AH23" s="789"/>
      <c r="AI23" s="996">
        <f t="shared" si="1"/>
        <v>19.329999999999998</v>
      </c>
      <c r="AJ23" s="790"/>
      <c r="AK23" s="521">
        <v>0</v>
      </c>
      <c r="AL23" s="520">
        <f t="shared" si="2"/>
        <v>19.329999999999998</v>
      </c>
      <c r="AM23" s="672" t="s">
        <v>1469</v>
      </c>
      <c r="AN23" s="669">
        <f t="shared" si="3"/>
        <v>4.32</v>
      </c>
    </row>
    <row r="24" spans="1:40" s="500" customFormat="1">
      <c r="A24" s="539" t="s">
        <v>570</v>
      </c>
      <c r="B24" s="539" t="s">
        <v>1168</v>
      </c>
      <c r="C24" s="973" t="s">
        <v>37</v>
      </c>
      <c r="D24" s="667"/>
      <c r="E24" s="1039"/>
      <c r="F24" s="667"/>
      <c r="G24" s="667"/>
      <c r="H24" s="520"/>
      <c r="I24" s="521"/>
      <c r="J24" s="521"/>
      <c r="K24" s="521"/>
      <c r="L24" s="514"/>
      <c r="M24" s="520"/>
      <c r="N24" s="514"/>
      <c r="O24" s="756"/>
      <c r="P24" s="514"/>
      <c r="Q24" s="522"/>
      <c r="R24" s="522"/>
      <c r="S24" s="514"/>
      <c r="T24" s="520"/>
      <c r="U24" s="514"/>
      <c r="V24" s="514"/>
      <c r="W24" s="522"/>
      <c r="X24" s="514"/>
      <c r="Y24" s="522"/>
      <c r="Z24" s="522"/>
      <c r="AA24" s="520"/>
      <c r="AB24" s="522"/>
      <c r="AC24" s="522"/>
      <c r="AD24" s="522"/>
      <c r="AE24" s="522"/>
      <c r="AF24" s="522"/>
      <c r="AG24" s="1022">
        <f>4.8*5.3+0.59</f>
        <v>26.029999999999998</v>
      </c>
      <c r="AH24" s="789"/>
      <c r="AI24" s="996">
        <f t="shared" si="1"/>
        <v>26.03</v>
      </c>
      <c r="AJ24" s="790"/>
      <c r="AK24" s="521">
        <v>0</v>
      </c>
      <c r="AL24" s="520">
        <f t="shared" si="2"/>
        <v>26.03</v>
      </c>
      <c r="AM24" s="672" t="s">
        <v>1463</v>
      </c>
      <c r="AN24" s="669">
        <f t="shared" si="3"/>
        <v>0</v>
      </c>
    </row>
    <row r="25" spans="1:40" s="500" customFormat="1">
      <c r="A25" s="542" t="s">
        <v>571</v>
      </c>
      <c r="B25" s="542" t="s">
        <v>1169</v>
      </c>
      <c r="C25" s="975"/>
      <c r="D25" s="667"/>
      <c r="E25" s="1039"/>
      <c r="F25" s="667"/>
      <c r="G25" s="667"/>
      <c r="H25" s="520"/>
      <c r="I25" s="521"/>
      <c r="J25" s="521"/>
      <c r="K25" s="521"/>
      <c r="L25" s="514"/>
      <c r="M25" s="520"/>
      <c r="N25" s="514"/>
      <c r="O25" s="756"/>
      <c r="P25" s="514"/>
      <c r="Q25" s="522"/>
      <c r="R25" s="522"/>
      <c r="S25" s="514"/>
      <c r="T25" s="520"/>
      <c r="U25" s="514"/>
      <c r="V25" s="514"/>
      <c r="W25" s="522"/>
      <c r="X25" s="514"/>
      <c r="Y25" s="522"/>
      <c r="Z25" s="522"/>
      <c r="AA25" s="520"/>
      <c r="AB25" s="522"/>
      <c r="AC25" s="522"/>
      <c r="AD25" s="522"/>
      <c r="AE25" s="522"/>
      <c r="AF25" s="522"/>
      <c r="AG25" s="521"/>
      <c r="AH25" s="789"/>
      <c r="AI25" s="664">
        <f t="shared" si="1"/>
        <v>0</v>
      </c>
      <c r="AJ25" s="790"/>
      <c r="AK25" s="521">
        <v>0</v>
      </c>
      <c r="AL25" s="520">
        <f t="shared" si="2"/>
        <v>0</v>
      </c>
      <c r="AM25" s="672"/>
      <c r="AN25" s="669">
        <f t="shared" si="3"/>
        <v>0</v>
      </c>
    </row>
    <row r="26" spans="1:40" s="500" customFormat="1">
      <c r="A26" s="539" t="s">
        <v>596</v>
      </c>
      <c r="B26" s="539" t="s">
        <v>1194</v>
      </c>
      <c r="C26" s="975"/>
      <c r="D26" s="667"/>
      <c r="E26" s="944"/>
      <c r="F26" s="520"/>
      <c r="G26" s="520"/>
      <c r="H26" s="520"/>
      <c r="I26" s="521"/>
      <c r="J26" s="521"/>
      <c r="K26" s="521"/>
      <c r="L26" s="514"/>
      <c r="M26" s="520"/>
      <c r="N26" s="514"/>
      <c r="O26" s="756"/>
      <c r="P26" s="514"/>
      <c r="Q26" s="522"/>
      <c r="R26" s="522"/>
      <c r="S26" s="514"/>
      <c r="T26" s="520"/>
      <c r="U26" s="514"/>
      <c r="V26" s="514"/>
      <c r="W26" s="522"/>
      <c r="X26" s="514"/>
      <c r="Y26" s="522"/>
      <c r="Z26" s="522"/>
      <c r="AA26" s="520"/>
      <c r="AB26" s="522"/>
      <c r="AC26" s="522"/>
      <c r="AD26" s="522"/>
      <c r="AE26" s="522"/>
      <c r="AF26" s="522"/>
      <c r="AG26" s="521"/>
      <c r="AH26" s="789"/>
      <c r="AI26" s="664">
        <f t="shared" ref="AI26:AI39" si="4">ROUND((SUM(E26:AH26)),2)</f>
        <v>0</v>
      </c>
      <c r="AJ26" s="790"/>
      <c r="AK26" s="521">
        <v>0</v>
      </c>
      <c r="AL26" s="520">
        <f t="shared" si="2"/>
        <v>0</v>
      </c>
      <c r="AM26" s="672"/>
      <c r="AN26" s="669">
        <f t="shared" si="3"/>
        <v>0</v>
      </c>
    </row>
    <row r="27" spans="1:40" s="500" customFormat="1">
      <c r="A27" s="539" t="s">
        <v>597</v>
      </c>
      <c r="B27" s="539" t="s">
        <v>1195</v>
      </c>
      <c r="C27" s="973" t="s">
        <v>40</v>
      </c>
      <c r="D27" s="667"/>
      <c r="E27" s="944"/>
      <c r="F27" s="968">
        <f>9.8*0.5*0.1+10.4*0.5*0.1</f>
        <v>1.01</v>
      </c>
      <c r="G27" s="520"/>
      <c r="H27" s="520"/>
      <c r="I27" s="521"/>
      <c r="J27" s="521"/>
      <c r="K27" s="521"/>
      <c r="L27" s="514"/>
      <c r="M27" s="520"/>
      <c r="N27" s="514"/>
      <c r="O27" s="756"/>
      <c r="P27" s="514"/>
      <c r="Q27" s="522"/>
      <c r="R27" s="522"/>
      <c r="S27" s="514"/>
      <c r="U27" s="514"/>
      <c r="V27" s="514"/>
      <c r="W27" s="522"/>
      <c r="X27" s="514"/>
      <c r="Y27" s="522"/>
      <c r="Z27" s="522"/>
      <c r="AA27" s="520"/>
      <c r="AB27" s="522"/>
      <c r="AC27" s="522"/>
      <c r="AD27" s="522"/>
      <c r="AE27" s="522"/>
      <c r="AF27" s="522"/>
      <c r="AG27" s="521"/>
      <c r="AH27" s="789"/>
      <c r="AI27" s="996">
        <f t="shared" si="4"/>
        <v>1.01</v>
      </c>
      <c r="AJ27" s="790"/>
      <c r="AK27" s="521">
        <v>0</v>
      </c>
      <c r="AL27" s="520">
        <f t="shared" ref="AL27:AL40" si="5">AI27+AK27</f>
        <v>1.01</v>
      </c>
      <c r="AM27" s="672" t="s">
        <v>1488</v>
      </c>
      <c r="AN27" s="669">
        <f t="shared" ref="AN27:AN40" si="6">AM27-AL27</f>
        <v>0.18999999999999995</v>
      </c>
    </row>
    <row r="28" spans="1:40" s="500" customFormat="1">
      <c r="A28" s="539" t="s">
        <v>598</v>
      </c>
      <c r="B28" s="539" t="s">
        <v>1196</v>
      </c>
      <c r="C28" s="973" t="s">
        <v>37</v>
      </c>
      <c r="D28" s="667"/>
      <c r="E28" s="944"/>
      <c r="F28" s="968">
        <f>9.8*0.5*2+10.4*0.5*2-4.2</f>
        <v>16.000000000000004</v>
      </c>
      <c r="G28" s="520"/>
      <c r="H28" s="520"/>
      <c r="I28" s="521"/>
      <c r="J28" s="521"/>
      <c r="K28" s="521"/>
      <c r="L28" s="514"/>
      <c r="M28" s="520"/>
      <c r="N28" s="514"/>
      <c r="O28" s="756"/>
      <c r="P28" s="514"/>
      <c r="Q28" s="522"/>
      <c r="R28" s="522"/>
      <c r="S28" s="514"/>
      <c r="T28" s="520"/>
      <c r="U28" s="514"/>
      <c r="V28" s="514"/>
      <c r="W28" s="522"/>
      <c r="X28" s="514"/>
      <c r="Y28" s="522"/>
      <c r="Z28" s="522"/>
      <c r="AA28" s="520"/>
      <c r="AB28" s="522"/>
      <c r="AC28" s="522"/>
      <c r="AD28" s="522"/>
      <c r="AE28" s="522"/>
      <c r="AF28" s="522"/>
      <c r="AG28" s="521"/>
      <c r="AH28" s="789"/>
      <c r="AI28" s="996">
        <f t="shared" si="4"/>
        <v>16</v>
      </c>
      <c r="AJ28" s="790"/>
      <c r="AK28" s="521">
        <v>0</v>
      </c>
      <c r="AL28" s="520">
        <f t="shared" si="5"/>
        <v>16</v>
      </c>
      <c r="AM28" s="672" t="s">
        <v>1489</v>
      </c>
      <c r="AN28" s="669">
        <f t="shared" si="6"/>
        <v>0</v>
      </c>
    </row>
    <row r="29" spans="1:40" s="500" customFormat="1">
      <c r="A29" s="542" t="s">
        <v>602</v>
      </c>
      <c r="B29" s="542" t="s">
        <v>1200</v>
      </c>
      <c r="C29" s="792"/>
      <c r="D29" s="667"/>
      <c r="E29" s="944"/>
      <c r="F29" s="520"/>
      <c r="G29" s="520"/>
      <c r="H29" s="520"/>
      <c r="I29" s="521"/>
      <c r="J29" s="521"/>
      <c r="K29" s="521"/>
      <c r="L29" s="514"/>
      <c r="M29" s="520"/>
      <c r="N29" s="514"/>
      <c r="O29" s="756"/>
      <c r="P29" s="514"/>
      <c r="Q29" s="522"/>
      <c r="R29" s="522"/>
      <c r="S29" s="514"/>
      <c r="T29" s="520"/>
      <c r="U29" s="514"/>
      <c r="V29" s="514"/>
      <c r="W29" s="522"/>
      <c r="X29" s="514"/>
      <c r="Y29" s="522"/>
      <c r="Z29" s="522"/>
      <c r="AA29" s="520"/>
      <c r="AB29" s="522"/>
      <c r="AC29" s="522"/>
      <c r="AD29" s="522"/>
      <c r="AE29" s="522"/>
      <c r="AF29" s="522"/>
      <c r="AG29" s="521"/>
      <c r="AH29" s="789"/>
      <c r="AI29" s="664">
        <f t="shared" si="4"/>
        <v>0</v>
      </c>
      <c r="AJ29" s="790"/>
      <c r="AK29" s="521">
        <v>0</v>
      </c>
      <c r="AL29" s="520">
        <f t="shared" si="5"/>
        <v>0</v>
      </c>
      <c r="AM29" s="672"/>
      <c r="AN29" s="669">
        <f t="shared" si="6"/>
        <v>0</v>
      </c>
    </row>
    <row r="30" spans="1:40" s="518" customFormat="1">
      <c r="A30" s="539" t="s">
        <v>604</v>
      </c>
      <c r="B30" s="539" t="s">
        <v>225</v>
      </c>
      <c r="C30" s="973" t="s">
        <v>1450</v>
      </c>
      <c r="D30" s="670"/>
      <c r="E30" s="1038"/>
      <c r="F30" s="526"/>
      <c r="G30" s="526"/>
      <c r="H30" s="526"/>
      <c r="I30" s="521"/>
      <c r="J30" s="527"/>
      <c r="K30" s="527"/>
      <c r="L30" s="514"/>
      <c r="M30" s="526"/>
      <c r="N30" s="514"/>
      <c r="O30" s="756"/>
      <c r="P30" s="514"/>
      <c r="Q30" s="522"/>
      <c r="R30" s="522"/>
      <c r="S30" s="514"/>
      <c r="T30" s="526"/>
      <c r="U30" s="514"/>
      <c r="V30" s="514"/>
      <c r="W30" s="522"/>
      <c r="X30" s="514"/>
      <c r="Y30" s="522"/>
      <c r="Z30" s="522"/>
      <c r="AA30" s="520"/>
      <c r="AB30" s="522"/>
      <c r="AC30" s="522"/>
      <c r="AD30" s="522"/>
      <c r="AE30" s="522"/>
      <c r="AF30" s="522"/>
      <c r="AG30" s="1022">
        <v>5</v>
      </c>
      <c r="AH30" s="790"/>
      <c r="AI30" s="996">
        <f t="shared" si="4"/>
        <v>5</v>
      </c>
      <c r="AJ30" s="790"/>
      <c r="AK30" s="521">
        <v>0</v>
      </c>
      <c r="AL30" s="520">
        <f t="shared" si="5"/>
        <v>5</v>
      </c>
      <c r="AM30" s="673" t="s">
        <v>1493</v>
      </c>
      <c r="AN30" s="669">
        <f t="shared" si="6"/>
        <v>10</v>
      </c>
    </row>
    <row r="31" spans="1:40" s="730" customFormat="1">
      <c r="A31" s="440" t="s">
        <v>44</v>
      </c>
      <c r="B31" s="543" t="s">
        <v>1202</v>
      </c>
      <c r="C31" s="975"/>
      <c r="D31" s="667"/>
      <c r="E31" s="944"/>
      <c r="F31" s="520"/>
      <c r="G31" s="520"/>
      <c r="H31" s="520"/>
      <c r="I31" s="521"/>
      <c r="J31" s="521"/>
      <c r="K31" s="521"/>
      <c r="L31" s="514"/>
      <c r="M31" s="520"/>
      <c r="N31" s="514"/>
      <c r="O31" s="756"/>
      <c r="P31" s="514"/>
      <c r="Q31" s="522"/>
      <c r="R31" s="522"/>
      <c r="S31" s="514"/>
      <c r="T31" s="520"/>
      <c r="U31" s="514"/>
      <c r="V31" s="514"/>
      <c r="W31" s="522"/>
      <c r="X31" s="514"/>
      <c r="Y31" s="522"/>
      <c r="Z31" s="522"/>
      <c r="AA31" s="520"/>
      <c r="AB31" s="522"/>
      <c r="AC31" s="522"/>
      <c r="AD31" s="522"/>
      <c r="AE31" s="522"/>
      <c r="AF31" s="522"/>
      <c r="AG31" s="521"/>
      <c r="AH31" s="789"/>
      <c r="AI31" s="664">
        <f t="shared" si="4"/>
        <v>0</v>
      </c>
      <c r="AJ31" s="790"/>
      <c r="AK31" s="725">
        <v>0</v>
      </c>
      <c r="AL31" s="726">
        <f t="shared" si="5"/>
        <v>0</v>
      </c>
      <c r="AM31" s="728"/>
      <c r="AN31" s="729">
        <f t="shared" si="6"/>
        <v>0</v>
      </c>
    </row>
    <row r="32" spans="1:40" s="500" customFormat="1">
      <c r="A32" s="542" t="s">
        <v>54</v>
      </c>
      <c r="B32" s="542" t="s">
        <v>46</v>
      </c>
      <c r="C32" s="975"/>
      <c r="D32" s="667"/>
      <c r="E32" s="944"/>
      <c r="F32" s="520"/>
      <c r="G32" s="520"/>
      <c r="H32" s="520"/>
      <c r="I32" s="521"/>
      <c r="J32" s="521"/>
      <c r="K32" s="521"/>
      <c r="L32" s="514"/>
      <c r="M32" s="520"/>
      <c r="N32" s="514"/>
      <c r="O32" s="756"/>
      <c r="P32" s="514"/>
      <c r="Q32" s="522"/>
      <c r="R32" s="522"/>
      <c r="S32" s="514"/>
      <c r="T32" s="520"/>
      <c r="U32" s="514"/>
      <c r="V32" s="514"/>
      <c r="W32" s="522"/>
      <c r="X32" s="514"/>
      <c r="Y32" s="522"/>
      <c r="Z32" s="522"/>
      <c r="AA32" s="520"/>
      <c r="AB32" s="522"/>
      <c r="AC32" s="522"/>
      <c r="AD32" s="522"/>
      <c r="AE32" s="522"/>
      <c r="AF32" s="522"/>
      <c r="AG32" s="521"/>
      <c r="AH32" s="789"/>
      <c r="AI32" s="664">
        <f t="shared" si="4"/>
        <v>0</v>
      </c>
      <c r="AJ32" s="790"/>
      <c r="AK32" s="521">
        <v>0</v>
      </c>
      <c r="AL32" s="520">
        <f t="shared" si="5"/>
        <v>0</v>
      </c>
      <c r="AM32" s="672"/>
      <c r="AN32" s="669">
        <f t="shared" si="6"/>
        <v>0</v>
      </c>
    </row>
    <row r="33" spans="1:40" s="500" customFormat="1">
      <c r="A33" s="539" t="s">
        <v>607</v>
      </c>
      <c r="B33" s="539" t="s">
        <v>1158</v>
      </c>
      <c r="C33" s="974" t="s">
        <v>40</v>
      </c>
      <c r="D33" s="667"/>
      <c r="E33" s="944"/>
      <c r="F33" s="520"/>
      <c r="G33" s="520"/>
      <c r="H33" s="520"/>
      <c r="I33" s="521"/>
      <c r="J33" s="521"/>
      <c r="K33" s="521"/>
      <c r="L33" s="514"/>
      <c r="M33" s="520"/>
      <c r="N33" s="514"/>
      <c r="O33" s="756"/>
      <c r="P33" s="514"/>
      <c r="Q33" s="522"/>
      <c r="R33" s="522"/>
      <c r="S33" s="514"/>
      <c r="T33" s="520"/>
      <c r="U33" s="514"/>
      <c r="V33" s="514"/>
      <c r="W33" s="522"/>
      <c r="X33" s="514"/>
      <c r="Y33" s="522"/>
      <c r="Z33" s="522"/>
      <c r="AA33" s="520"/>
      <c r="AB33" s="1026">
        <v>1.49</v>
      </c>
      <c r="AC33" s="522"/>
      <c r="AD33" s="522"/>
      <c r="AE33" s="522"/>
      <c r="AF33" s="522"/>
      <c r="AG33" s="521"/>
      <c r="AH33" s="790"/>
      <c r="AI33" s="996">
        <f t="shared" si="4"/>
        <v>1.49</v>
      </c>
      <c r="AJ33" s="790">
        <v>26.490000000000002</v>
      </c>
      <c r="AK33" s="521">
        <v>0</v>
      </c>
      <c r="AL33" s="520">
        <f t="shared" si="5"/>
        <v>1.49</v>
      </c>
      <c r="AM33" s="672" t="s">
        <v>1496</v>
      </c>
      <c r="AN33" s="669">
        <f t="shared" si="6"/>
        <v>26.880000000000003</v>
      </c>
    </row>
    <row r="34" spans="1:40" s="500" customFormat="1">
      <c r="A34" s="539" t="s">
        <v>608</v>
      </c>
      <c r="B34" s="539" t="s">
        <v>1159</v>
      </c>
      <c r="C34" s="973" t="s">
        <v>37</v>
      </c>
      <c r="D34" s="667"/>
      <c r="E34" s="944"/>
      <c r="F34" s="520"/>
      <c r="G34" s="520"/>
      <c r="H34" s="520"/>
      <c r="I34" s="521"/>
      <c r="J34" s="521"/>
      <c r="K34" s="521"/>
      <c r="L34" s="514"/>
      <c r="M34" s="520"/>
      <c r="N34" s="514"/>
      <c r="O34" s="756"/>
      <c r="P34" s="514"/>
      <c r="Q34" s="1026">
        <v>0.81</v>
      </c>
      <c r="R34" s="522"/>
      <c r="S34" s="514"/>
      <c r="T34" s="520"/>
      <c r="U34" s="514"/>
      <c r="V34" s="514"/>
      <c r="W34" s="522"/>
      <c r="X34" s="514"/>
      <c r="Y34" s="522"/>
      <c r="Z34" s="522"/>
      <c r="AA34" s="520"/>
      <c r="AB34" s="1026">
        <v>5.19</v>
      </c>
      <c r="AC34" s="522"/>
      <c r="AD34" s="522"/>
      <c r="AE34" s="522"/>
      <c r="AF34" s="522"/>
      <c r="AG34" s="521"/>
      <c r="AH34" s="790"/>
      <c r="AI34" s="996">
        <f t="shared" si="4"/>
        <v>6</v>
      </c>
      <c r="AJ34" s="790"/>
      <c r="AK34" s="521">
        <v>0</v>
      </c>
      <c r="AL34" s="520">
        <f t="shared" si="5"/>
        <v>6</v>
      </c>
      <c r="AM34" s="672" t="s">
        <v>1497</v>
      </c>
      <c r="AN34" s="669">
        <f t="shared" si="6"/>
        <v>51.19</v>
      </c>
    </row>
    <row r="35" spans="1:40" s="500" customFormat="1">
      <c r="A35" s="542" t="s">
        <v>55</v>
      </c>
      <c r="B35" s="542" t="s">
        <v>1162</v>
      </c>
      <c r="C35" s="975"/>
      <c r="D35" s="667"/>
      <c r="E35" s="944"/>
      <c r="F35" s="520"/>
      <c r="G35" s="520"/>
      <c r="H35" s="520"/>
      <c r="I35" s="521"/>
      <c r="J35" s="521"/>
      <c r="K35" s="521"/>
      <c r="L35" s="514"/>
      <c r="M35" s="520"/>
      <c r="N35" s="514"/>
      <c r="O35" s="756"/>
      <c r="P35" s="514"/>
      <c r="Q35" s="522"/>
      <c r="R35" s="522"/>
      <c r="S35" s="514"/>
      <c r="T35" s="520"/>
      <c r="U35" s="514"/>
      <c r="V35" s="514"/>
      <c r="W35" s="522"/>
      <c r="X35" s="514"/>
      <c r="Y35" s="522"/>
      <c r="Z35" s="522"/>
      <c r="AA35" s="520"/>
      <c r="AB35" s="522"/>
      <c r="AC35" s="522"/>
      <c r="AD35" s="522"/>
      <c r="AE35" s="522"/>
      <c r="AF35" s="522"/>
      <c r="AG35" s="521"/>
      <c r="AH35" s="789"/>
      <c r="AI35" s="664">
        <f t="shared" si="4"/>
        <v>0</v>
      </c>
      <c r="AJ35" s="790"/>
      <c r="AK35" s="521">
        <v>0</v>
      </c>
      <c r="AL35" s="520">
        <f t="shared" si="5"/>
        <v>0</v>
      </c>
      <c r="AM35" s="672"/>
      <c r="AN35" s="669">
        <f t="shared" si="6"/>
        <v>0</v>
      </c>
    </row>
    <row r="36" spans="1:40" s="500" customFormat="1">
      <c r="A36" s="539" t="s">
        <v>612</v>
      </c>
      <c r="B36" s="539" t="s">
        <v>1204</v>
      </c>
      <c r="C36" s="973" t="s">
        <v>40</v>
      </c>
      <c r="D36" s="667"/>
      <c r="E36" s="944"/>
      <c r="F36" s="520"/>
      <c r="G36" s="520"/>
      <c r="H36" s="520"/>
      <c r="I36" s="521"/>
      <c r="J36" s="521"/>
      <c r="K36" s="521"/>
      <c r="L36" s="514"/>
      <c r="M36" s="520"/>
      <c r="N36" s="514"/>
      <c r="O36" s="756"/>
      <c r="P36" s="514"/>
      <c r="Q36" s="522"/>
      <c r="R36" s="522"/>
      <c r="S36" s="514"/>
      <c r="T36" s="520"/>
      <c r="U36" s="514"/>
      <c r="V36" s="514"/>
      <c r="W36" s="522"/>
      <c r="X36" s="514"/>
      <c r="Y36" s="1026">
        <f>1.67*0.35*0.35*2</f>
        <v>0.4091499999999999</v>
      </c>
      <c r="AA36" s="520"/>
      <c r="AB36" s="522"/>
      <c r="AC36" s="522"/>
      <c r="AD36" s="522"/>
      <c r="AE36" s="522"/>
      <c r="AF36" s="522"/>
      <c r="AG36" s="521"/>
      <c r="AH36" s="789"/>
      <c r="AI36" s="996">
        <f t="shared" si="4"/>
        <v>0.41</v>
      </c>
      <c r="AJ36" s="790"/>
      <c r="AK36" s="521">
        <v>0</v>
      </c>
      <c r="AL36" s="520">
        <f t="shared" si="5"/>
        <v>0.41</v>
      </c>
      <c r="AM36" s="672" t="s">
        <v>1500</v>
      </c>
      <c r="AN36" s="669">
        <f t="shared" si="6"/>
        <v>12.459999999999999</v>
      </c>
    </row>
    <row r="37" spans="1:40" s="500" customFormat="1">
      <c r="A37" s="539" t="s">
        <v>613</v>
      </c>
      <c r="B37" s="539" t="s">
        <v>1205</v>
      </c>
      <c r="C37" s="973" t="s">
        <v>40</v>
      </c>
      <c r="D37" s="667"/>
      <c r="E37" s="944"/>
      <c r="F37" s="520"/>
      <c r="G37" s="520"/>
      <c r="H37" s="520"/>
      <c r="I37" s="521"/>
      <c r="J37" s="521"/>
      <c r="K37" s="521"/>
      <c r="L37" s="514"/>
      <c r="M37" s="520"/>
      <c r="N37" s="514"/>
      <c r="O37" s="756"/>
      <c r="P37" s="514"/>
      <c r="Q37" s="522"/>
      <c r="R37" s="522"/>
      <c r="S37" s="514"/>
      <c r="T37" s="520"/>
      <c r="U37" s="514"/>
      <c r="V37" s="514"/>
      <c r="W37" s="522"/>
      <c r="X37" s="514"/>
      <c r="Y37" s="522"/>
      <c r="Z37" s="1026">
        <f>1.67*0.4*0.15*2</f>
        <v>0.20039999999999999</v>
      </c>
      <c r="AA37" s="520"/>
      <c r="AB37" s="522"/>
      <c r="AC37" s="522"/>
      <c r="AD37" s="522"/>
      <c r="AE37" s="522"/>
      <c r="AF37" s="522"/>
      <c r="AG37" s="521"/>
      <c r="AH37" s="789"/>
      <c r="AI37" s="996">
        <f t="shared" si="4"/>
        <v>0.2</v>
      </c>
      <c r="AJ37" s="790"/>
      <c r="AK37" s="521">
        <v>0</v>
      </c>
      <c r="AL37" s="520">
        <f t="shared" si="5"/>
        <v>0.2</v>
      </c>
      <c r="AM37" s="672" t="s">
        <v>1501</v>
      </c>
      <c r="AN37" s="669">
        <f t="shared" si="6"/>
        <v>2.48</v>
      </c>
    </row>
    <row r="38" spans="1:40" s="500" customFormat="1">
      <c r="A38" s="539" t="s">
        <v>614</v>
      </c>
      <c r="B38" s="539" t="s">
        <v>1167</v>
      </c>
      <c r="C38" s="974" t="s">
        <v>37</v>
      </c>
      <c r="D38" s="667"/>
      <c r="E38" s="944"/>
      <c r="F38" s="520"/>
      <c r="G38" s="520"/>
      <c r="H38" s="520"/>
      <c r="I38" s="521"/>
      <c r="J38" s="521"/>
      <c r="K38" s="521"/>
      <c r="L38" s="514"/>
      <c r="M38" s="520"/>
      <c r="N38" s="514"/>
      <c r="O38" s="756"/>
      <c r="P38" s="514"/>
      <c r="Q38" s="522"/>
      <c r="R38" s="522"/>
      <c r="S38" s="514"/>
      <c r="T38" s="520"/>
      <c r="U38" s="514"/>
      <c r="V38" s="514"/>
      <c r="W38" s="522"/>
      <c r="X38" s="514"/>
      <c r="Y38" s="1026">
        <f>1.75*2*0.4</f>
        <v>1.4000000000000001</v>
      </c>
      <c r="AA38" s="520"/>
      <c r="AB38" s="522"/>
      <c r="AC38" s="522"/>
      <c r="AD38" s="522"/>
      <c r="AE38" s="522"/>
      <c r="AF38" s="522"/>
      <c r="AG38" s="521"/>
      <c r="AH38" s="789"/>
      <c r="AI38" s="996">
        <f t="shared" si="4"/>
        <v>1.4</v>
      </c>
      <c r="AJ38" s="790"/>
      <c r="AK38" s="521">
        <v>0</v>
      </c>
      <c r="AL38" s="520">
        <f t="shared" si="5"/>
        <v>1.4</v>
      </c>
      <c r="AM38" s="672" t="s">
        <v>1502</v>
      </c>
      <c r="AN38" s="669">
        <f t="shared" si="6"/>
        <v>95.259999999999991</v>
      </c>
    </row>
    <row r="39" spans="1:40" s="500" customFormat="1">
      <c r="A39" s="539" t="s">
        <v>615</v>
      </c>
      <c r="B39" s="539" t="s">
        <v>1168</v>
      </c>
      <c r="C39" s="973" t="s">
        <v>37</v>
      </c>
      <c r="D39" s="667"/>
      <c r="E39" s="944"/>
      <c r="F39" s="520"/>
      <c r="G39" s="520"/>
      <c r="H39" s="520"/>
      <c r="I39" s="521"/>
      <c r="J39" s="521"/>
      <c r="K39" s="521"/>
      <c r="L39" s="514"/>
      <c r="M39" s="520"/>
      <c r="N39" s="514"/>
      <c r="O39" s="756"/>
      <c r="P39" s="514"/>
      <c r="Q39" s="522"/>
      <c r="R39" s="522"/>
      <c r="S39" s="514"/>
      <c r="T39" s="520"/>
      <c r="U39" s="514"/>
      <c r="V39" s="514"/>
      <c r="W39" s="522"/>
      <c r="X39" s="514"/>
      <c r="Y39" s="522"/>
      <c r="Z39" s="522"/>
      <c r="AA39" s="520"/>
      <c r="AB39" s="522"/>
      <c r="AC39" s="522"/>
      <c r="AD39" s="522"/>
      <c r="AE39" s="522"/>
      <c r="AF39" s="1026">
        <f>8*8-6.81</f>
        <v>57.19</v>
      </c>
      <c r="AG39" s="521"/>
      <c r="AH39" s="789"/>
      <c r="AI39" s="996">
        <f t="shared" si="4"/>
        <v>57.19</v>
      </c>
      <c r="AJ39" s="790"/>
      <c r="AK39" s="521">
        <v>0</v>
      </c>
      <c r="AL39" s="520">
        <f t="shared" si="5"/>
        <v>57.19</v>
      </c>
      <c r="AM39" s="672" t="s">
        <v>1497</v>
      </c>
      <c r="AN39" s="669">
        <f t="shared" si="6"/>
        <v>0</v>
      </c>
    </row>
    <row r="40" spans="1:40" s="730" customFormat="1">
      <c r="A40" s="440" t="s">
        <v>52</v>
      </c>
      <c r="B40" s="543" t="s">
        <v>1209</v>
      </c>
      <c r="C40" s="975"/>
      <c r="D40" s="667"/>
      <c r="E40" s="944"/>
      <c r="F40" s="520"/>
      <c r="G40" s="520"/>
      <c r="H40" s="520"/>
      <c r="I40" s="521"/>
      <c r="J40" s="521"/>
      <c r="K40" s="521"/>
      <c r="L40" s="514"/>
      <c r="M40" s="520"/>
      <c r="N40" s="514"/>
      <c r="O40" s="756"/>
      <c r="P40" s="514"/>
      <c r="Q40" s="522"/>
      <c r="R40" s="522"/>
      <c r="S40" s="514"/>
      <c r="T40" s="520"/>
      <c r="U40" s="514"/>
      <c r="V40" s="514"/>
      <c r="W40" s="522"/>
      <c r="X40" s="514"/>
      <c r="Y40" s="522"/>
      <c r="Z40" s="522"/>
      <c r="AA40" s="520"/>
      <c r="AB40" s="522"/>
      <c r="AC40" s="522"/>
      <c r="AD40" s="522"/>
      <c r="AE40" s="522"/>
      <c r="AF40" s="522"/>
      <c r="AG40" s="521"/>
      <c r="AH40" s="789"/>
      <c r="AI40" s="664">
        <f t="shared" ref="AI40:AI43" si="7">ROUND((SUM(E40:AH40)),2)</f>
        <v>0</v>
      </c>
      <c r="AJ40" s="790"/>
      <c r="AK40" s="725">
        <v>0</v>
      </c>
      <c r="AL40" s="726">
        <f t="shared" si="5"/>
        <v>0</v>
      </c>
      <c r="AM40" s="728"/>
      <c r="AN40" s="729">
        <f t="shared" si="6"/>
        <v>0</v>
      </c>
    </row>
    <row r="41" spans="1:40" s="518" customFormat="1">
      <c r="A41" s="542" t="s">
        <v>57</v>
      </c>
      <c r="B41" s="542" t="s">
        <v>1162</v>
      </c>
      <c r="C41" s="792"/>
      <c r="D41" s="670"/>
      <c r="E41" s="1038"/>
      <c r="F41" s="526"/>
      <c r="G41" s="526"/>
      <c r="H41" s="526"/>
      <c r="I41" s="521"/>
      <c r="J41" s="527"/>
      <c r="K41" s="527"/>
      <c r="L41" s="514"/>
      <c r="M41" s="526"/>
      <c r="N41" s="514"/>
      <c r="O41" s="756"/>
      <c r="P41" s="514"/>
      <c r="Q41" s="522"/>
      <c r="R41" s="522"/>
      <c r="S41" s="514"/>
      <c r="T41" s="526"/>
      <c r="U41" s="514"/>
      <c r="V41" s="514"/>
      <c r="W41" s="522"/>
      <c r="X41" s="514"/>
      <c r="Y41" s="522"/>
      <c r="Z41" s="522"/>
      <c r="AA41" s="520"/>
      <c r="AB41" s="522"/>
      <c r="AC41" s="522"/>
      <c r="AD41" s="757"/>
      <c r="AE41" s="522"/>
      <c r="AF41" s="522"/>
      <c r="AG41" s="521"/>
      <c r="AH41" s="789"/>
      <c r="AI41" s="664">
        <f t="shared" si="7"/>
        <v>0</v>
      </c>
      <c r="AJ41" s="790"/>
      <c r="AK41" s="521">
        <v>0</v>
      </c>
      <c r="AL41" s="520">
        <f t="shared" ref="AL41:AL43" si="8">AI41+AK41</f>
        <v>0</v>
      </c>
      <c r="AM41" s="673"/>
      <c r="AN41" s="669">
        <f t="shared" ref="AN41:AN43" si="9">AM41-AL41</f>
        <v>0</v>
      </c>
    </row>
    <row r="42" spans="1:40" s="500" customFormat="1">
      <c r="A42" s="539" t="s">
        <v>660</v>
      </c>
      <c r="B42" s="539" t="s">
        <v>1168</v>
      </c>
      <c r="C42" s="974" t="s">
        <v>37</v>
      </c>
      <c r="D42" s="667"/>
      <c r="E42" s="944"/>
      <c r="F42" s="520"/>
      <c r="G42" s="520"/>
      <c r="H42" s="520"/>
      <c r="I42" s="521"/>
      <c r="J42" s="521"/>
      <c r="K42" s="521"/>
      <c r="L42" s="514"/>
      <c r="M42" s="520"/>
      <c r="N42" s="1026">
        <f>8.3*6.3</f>
        <v>52.290000000000006</v>
      </c>
      <c r="O42" s="756"/>
      <c r="P42" s="514"/>
      <c r="Q42" s="522"/>
      <c r="R42" s="522"/>
      <c r="S42" s="514"/>
      <c r="T42" s="520"/>
      <c r="U42" s="514"/>
      <c r="V42" s="514"/>
      <c r="W42" s="522"/>
      <c r="X42" s="514"/>
      <c r="Y42" s="522"/>
      <c r="Z42" s="522"/>
      <c r="AA42" s="520"/>
      <c r="AB42" s="522"/>
      <c r="AC42" s="522"/>
      <c r="AD42" s="522"/>
      <c r="AE42" s="522"/>
      <c r="AF42" s="1026">
        <f>5.3*2.5+2.56*1.45+3.08</f>
        <v>20.042000000000002</v>
      </c>
      <c r="AG42" s="521"/>
      <c r="AH42" s="789"/>
      <c r="AI42" s="996">
        <f t="shared" si="7"/>
        <v>72.33</v>
      </c>
      <c r="AJ42" s="790"/>
      <c r="AK42" s="521">
        <v>0</v>
      </c>
      <c r="AL42" s="520">
        <f t="shared" si="8"/>
        <v>72.33</v>
      </c>
      <c r="AM42" s="672" t="s">
        <v>1528</v>
      </c>
      <c r="AN42" s="669">
        <f t="shared" si="9"/>
        <v>0</v>
      </c>
    </row>
    <row r="43" spans="1:40" s="500" customFormat="1">
      <c r="A43" s="440" t="s">
        <v>516</v>
      </c>
      <c r="B43" s="543" t="s">
        <v>1210</v>
      </c>
      <c r="C43" s="792"/>
      <c r="D43" s="667"/>
      <c r="E43" s="944"/>
      <c r="F43" s="520"/>
      <c r="G43" s="520"/>
      <c r="H43" s="520"/>
      <c r="I43" s="521"/>
      <c r="J43" s="521"/>
      <c r="K43" s="521"/>
      <c r="L43" s="514"/>
      <c r="M43" s="520"/>
      <c r="N43" s="514"/>
      <c r="O43" s="756"/>
      <c r="P43" s="514"/>
      <c r="Q43" s="522"/>
      <c r="R43" s="522"/>
      <c r="S43" s="514"/>
      <c r="T43" s="520"/>
      <c r="U43" s="514"/>
      <c r="V43" s="514"/>
      <c r="W43" s="522"/>
      <c r="X43" s="514"/>
      <c r="Y43" s="522"/>
      <c r="Z43" s="522"/>
      <c r="AA43" s="520"/>
      <c r="AB43" s="522"/>
      <c r="AC43" s="522"/>
      <c r="AD43" s="522"/>
      <c r="AE43" s="522"/>
      <c r="AF43" s="522"/>
      <c r="AG43" s="521"/>
      <c r="AH43" s="789"/>
      <c r="AI43" s="664">
        <f t="shared" si="7"/>
        <v>0</v>
      </c>
      <c r="AJ43" s="790"/>
      <c r="AK43" s="725">
        <v>0</v>
      </c>
      <c r="AL43" s="520">
        <f t="shared" si="8"/>
        <v>0</v>
      </c>
      <c r="AM43" s="672"/>
      <c r="AN43" s="669">
        <f t="shared" si="9"/>
        <v>0</v>
      </c>
    </row>
    <row r="44" spans="1:40" s="500" customFormat="1">
      <c r="A44" s="542" t="s">
        <v>739</v>
      </c>
      <c r="B44" s="542" t="s">
        <v>1200</v>
      </c>
      <c r="C44" s="974"/>
      <c r="D44" s="667"/>
      <c r="E44" s="944"/>
      <c r="F44" s="520"/>
      <c r="G44" s="520"/>
      <c r="H44" s="520"/>
      <c r="I44" s="521"/>
      <c r="J44" s="521"/>
      <c r="K44" s="521"/>
      <c r="L44" s="514"/>
      <c r="M44" s="520"/>
      <c r="N44" s="514"/>
      <c r="O44" s="756"/>
      <c r="P44" s="514"/>
      <c r="Q44" s="522"/>
      <c r="R44" s="522"/>
      <c r="S44" s="514"/>
      <c r="T44" s="520"/>
      <c r="U44" s="514"/>
      <c r="V44" s="514"/>
      <c r="W44" s="522"/>
      <c r="X44" s="514"/>
      <c r="Y44" s="522"/>
      <c r="Z44" s="522"/>
      <c r="AA44" s="520"/>
      <c r="AB44" s="522"/>
      <c r="AC44" s="522"/>
      <c r="AD44" s="522"/>
      <c r="AE44" s="522"/>
      <c r="AF44" s="522"/>
      <c r="AG44" s="521"/>
      <c r="AH44" s="789"/>
      <c r="AI44" s="664">
        <f t="shared" ref="AI44:AI64" si="10">ROUND((SUM(E44:AH44)),2)</f>
        <v>0</v>
      </c>
      <c r="AJ44" s="790"/>
      <c r="AK44" s="521">
        <v>0</v>
      </c>
      <c r="AL44" s="520">
        <f t="shared" ref="AL44:AL74" si="11">AI44+AK44</f>
        <v>0</v>
      </c>
      <c r="AM44" s="672"/>
      <c r="AN44" s="669">
        <f t="shared" ref="AN44:AN74" si="12">AM44-AL44</f>
        <v>0</v>
      </c>
    </row>
    <row r="45" spans="1:40" s="500" customFormat="1">
      <c r="A45" s="539" t="s">
        <v>741</v>
      </c>
      <c r="B45" s="539" t="s">
        <v>225</v>
      </c>
      <c r="C45" s="974" t="s">
        <v>1450</v>
      </c>
      <c r="D45" s="667"/>
      <c r="E45" s="944"/>
      <c r="F45" s="520"/>
      <c r="G45" s="520"/>
      <c r="H45" s="520"/>
      <c r="I45" s="521"/>
      <c r="J45" s="521"/>
      <c r="K45" s="521"/>
      <c r="L45" s="514"/>
      <c r="M45" s="520"/>
      <c r="N45" s="514"/>
      <c r="O45" s="756"/>
      <c r="P45" s="514"/>
      <c r="Q45" s="522"/>
      <c r="R45" s="522"/>
      <c r="S45" s="514"/>
      <c r="T45" s="520"/>
      <c r="U45" s="514"/>
      <c r="V45" s="514"/>
      <c r="W45" s="522"/>
      <c r="X45" s="514"/>
      <c r="Y45" s="522"/>
      <c r="Z45" s="522"/>
      <c r="AA45" s="520"/>
      <c r="AB45" s="522"/>
      <c r="AC45" s="522"/>
      <c r="AD45" s="522"/>
      <c r="AE45" s="522"/>
      <c r="AF45" s="522"/>
      <c r="AG45" s="1022">
        <v>5</v>
      </c>
      <c r="AH45" s="790"/>
      <c r="AI45" s="996">
        <f t="shared" si="10"/>
        <v>5</v>
      </c>
      <c r="AJ45" s="790"/>
      <c r="AK45" s="521">
        <v>0</v>
      </c>
      <c r="AL45" s="520">
        <f t="shared" si="11"/>
        <v>5</v>
      </c>
      <c r="AM45" s="672" t="s">
        <v>1493</v>
      </c>
      <c r="AN45" s="669">
        <f t="shared" si="12"/>
        <v>10</v>
      </c>
    </row>
    <row r="46" spans="1:40" s="730" customFormat="1">
      <c r="A46" s="440" t="s">
        <v>742</v>
      </c>
      <c r="B46" s="543" t="s">
        <v>1211</v>
      </c>
      <c r="C46" s="792"/>
      <c r="D46" s="667"/>
      <c r="E46" s="944"/>
      <c r="F46" s="520"/>
      <c r="G46" s="520"/>
      <c r="H46" s="520"/>
      <c r="I46" s="521"/>
      <c r="J46" s="521"/>
      <c r="K46" s="521"/>
      <c r="L46" s="514"/>
      <c r="M46" s="520"/>
      <c r="N46" s="514"/>
      <c r="O46" s="756"/>
      <c r="P46" s="514"/>
      <c r="Q46" s="522"/>
      <c r="R46" s="522"/>
      <c r="S46" s="514"/>
      <c r="T46" s="520"/>
      <c r="U46" s="514"/>
      <c r="V46" s="514"/>
      <c r="W46" s="522"/>
      <c r="X46" s="514"/>
      <c r="Y46" s="522"/>
      <c r="Z46" s="522"/>
      <c r="AA46" s="520"/>
      <c r="AB46" s="522"/>
      <c r="AC46" s="522"/>
      <c r="AD46" s="522"/>
      <c r="AE46" s="522"/>
      <c r="AF46" s="522"/>
      <c r="AG46" s="521"/>
      <c r="AH46" s="789"/>
      <c r="AI46" s="664">
        <f t="shared" si="10"/>
        <v>0</v>
      </c>
      <c r="AJ46" s="790"/>
      <c r="AK46" s="725">
        <v>0</v>
      </c>
      <c r="AL46" s="726">
        <f t="shared" si="11"/>
        <v>0</v>
      </c>
      <c r="AM46" s="728"/>
      <c r="AN46" s="729">
        <f t="shared" si="12"/>
        <v>0</v>
      </c>
    </row>
    <row r="47" spans="1:40" s="500" customFormat="1">
      <c r="A47" s="542" t="s">
        <v>743</v>
      </c>
      <c r="B47" s="542" t="s">
        <v>46</v>
      </c>
      <c r="C47" s="792"/>
      <c r="D47" s="667"/>
      <c r="E47" s="944"/>
      <c r="F47" s="520"/>
      <c r="G47" s="520"/>
      <c r="H47" s="520"/>
      <c r="I47" s="521"/>
      <c r="J47" s="521"/>
      <c r="K47" s="521"/>
      <c r="L47" s="514"/>
      <c r="M47" s="520"/>
      <c r="N47" s="514"/>
      <c r="O47" s="756"/>
      <c r="P47" s="514"/>
      <c r="Q47" s="522"/>
      <c r="R47" s="522"/>
      <c r="S47" s="514"/>
      <c r="T47" s="520"/>
      <c r="U47" s="514"/>
      <c r="V47" s="514"/>
      <c r="W47" s="522"/>
      <c r="X47" s="514"/>
      <c r="Y47" s="522"/>
      <c r="Z47" s="522"/>
      <c r="AA47" s="520"/>
      <c r="AB47" s="522"/>
      <c r="AC47" s="522"/>
      <c r="AD47" s="522"/>
      <c r="AE47" s="522"/>
      <c r="AF47" s="522"/>
      <c r="AG47" s="521"/>
      <c r="AH47" s="789"/>
      <c r="AI47" s="664">
        <f t="shared" si="10"/>
        <v>0</v>
      </c>
      <c r="AJ47" s="790"/>
      <c r="AK47" s="521">
        <v>0</v>
      </c>
      <c r="AL47" s="520">
        <f t="shared" si="11"/>
        <v>0</v>
      </c>
      <c r="AM47" s="672"/>
      <c r="AN47" s="669">
        <f t="shared" si="12"/>
        <v>0</v>
      </c>
    </row>
    <row r="48" spans="1:40" s="500" customFormat="1">
      <c r="A48" s="539" t="s">
        <v>744</v>
      </c>
      <c r="B48" s="539" t="s">
        <v>1212</v>
      </c>
      <c r="C48" s="974" t="s">
        <v>40</v>
      </c>
      <c r="D48" s="667"/>
      <c r="E48" s="944"/>
      <c r="F48" s="968">
        <f>5.4*0.5*1</f>
        <v>2.7</v>
      </c>
      <c r="G48" s="520"/>
      <c r="H48" s="520"/>
      <c r="I48" s="521"/>
      <c r="J48" s="1022">
        <f>8.5*1.2*0.55</f>
        <v>5.61</v>
      </c>
      <c r="K48" s="521"/>
      <c r="L48" s="522"/>
      <c r="M48" s="520"/>
      <c r="N48" s="522"/>
      <c r="O48" s="745"/>
      <c r="P48" s="1026">
        <f>5.2*1.7*0.6+4.2*1*0.6</f>
        <v>7.8239999999999998</v>
      </c>
      <c r="Q48" s="522"/>
      <c r="R48" s="522"/>
      <c r="S48" s="522"/>
      <c r="T48" s="520"/>
      <c r="U48" s="1026">
        <v>20</v>
      </c>
      <c r="V48" s="522"/>
      <c r="W48" s="522"/>
      <c r="X48" s="522"/>
      <c r="Y48" s="522"/>
      <c r="Z48" s="1026">
        <f>6.73*6.5*1.2+0.38</f>
        <v>52.874000000000009</v>
      </c>
      <c r="AA48" s="520"/>
      <c r="AB48" s="522"/>
      <c r="AC48" s="522"/>
      <c r="AD48" s="522"/>
      <c r="AE48" s="522"/>
      <c r="AF48" s="522"/>
      <c r="AG48" s="522"/>
      <c r="AH48" s="522"/>
      <c r="AI48" s="996">
        <f t="shared" si="10"/>
        <v>89.01</v>
      </c>
      <c r="AJ48" s="790"/>
      <c r="AK48" s="521">
        <v>0</v>
      </c>
      <c r="AL48" s="520">
        <f t="shared" si="11"/>
        <v>89.01</v>
      </c>
      <c r="AM48" s="695" t="s">
        <v>1583</v>
      </c>
      <c r="AN48" s="669">
        <f t="shared" si="12"/>
        <v>378.38</v>
      </c>
    </row>
    <row r="49" spans="1:40" s="500" customFormat="1">
      <c r="A49" s="542" t="s">
        <v>746</v>
      </c>
      <c r="B49" s="542" t="s">
        <v>1162</v>
      </c>
      <c r="C49" s="974"/>
      <c r="D49" s="667"/>
      <c r="E49" s="944"/>
      <c r="F49" s="520"/>
      <c r="G49" s="520"/>
      <c r="H49" s="520"/>
      <c r="I49" s="521"/>
      <c r="J49" s="521"/>
      <c r="K49" s="521"/>
      <c r="L49" s="514"/>
      <c r="M49" s="520"/>
      <c r="N49" s="514"/>
      <c r="O49" s="756"/>
      <c r="P49" s="514"/>
      <c r="Q49" s="522"/>
      <c r="R49" s="522"/>
      <c r="S49" s="514"/>
      <c r="T49" s="520"/>
      <c r="U49" s="514"/>
      <c r="V49" s="514"/>
      <c r="W49" s="522"/>
      <c r="X49" s="514"/>
      <c r="Y49" s="522"/>
      <c r="Z49" s="522"/>
      <c r="AA49" s="520"/>
      <c r="AB49" s="522"/>
      <c r="AC49" s="522"/>
      <c r="AD49" s="522"/>
      <c r="AE49" s="522"/>
      <c r="AF49" s="522"/>
      <c r="AG49" s="521"/>
      <c r="AH49" s="789"/>
      <c r="AI49" s="664">
        <f t="shared" si="10"/>
        <v>0</v>
      </c>
      <c r="AJ49" s="790"/>
      <c r="AK49" s="521">
        <v>0</v>
      </c>
      <c r="AL49" s="520">
        <f t="shared" si="11"/>
        <v>0</v>
      </c>
      <c r="AM49" s="695"/>
      <c r="AN49" s="669">
        <f t="shared" si="12"/>
        <v>0</v>
      </c>
    </row>
    <row r="50" spans="1:40" s="500" customFormat="1">
      <c r="A50" s="539" t="s">
        <v>747</v>
      </c>
      <c r="B50" s="539" t="s">
        <v>1204</v>
      </c>
      <c r="C50" s="974" t="s">
        <v>40</v>
      </c>
      <c r="D50" s="667"/>
      <c r="E50" s="944"/>
      <c r="F50" s="520"/>
      <c r="G50" s="968">
        <f>3.25*0.7*1.45</f>
        <v>3.2987499999999996</v>
      </c>
      <c r="H50" s="520"/>
      <c r="I50" s="967">
        <f>2.15*0.7*1</f>
        <v>1.5049999999999999</v>
      </c>
      <c r="J50" s="521"/>
      <c r="K50" s="1022">
        <f>3.25*1*0.7</f>
        <v>2.2749999999999999</v>
      </c>
      <c r="L50" s="1026">
        <f>3.8*1.2*0.024</f>
        <v>0.10944</v>
      </c>
      <c r="M50" s="520"/>
      <c r="T50" s="520"/>
      <c r="U50" s="514"/>
      <c r="V50" s="514"/>
      <c r="W50" s="522"/>
      <c r="X50" s="514"/>
      <c r="Y50" s="522"/>
      <c r="Z50" s="522"/>
      <c r="AA50" s="520"/>
      <c r="AB50" s="522"/>
      <c r="AC50" s="522"/>
      <c r="AD50" s="522"/>
      <c r="AE50" s="522"/>
      <c r="AF50" s="522"/>
      <c r="AG50" s="521"/>
      <c r="AH50" s="789"/>
      <c r="AI50" s="996">
        <f t="shared" si="10"/>
        <v>7.19</v>
      </c>
      <c r="AJ50" s="790"/>
      <c r="AK50" s="521">
        <v>0</v>
      </c>
      <c r="AL50" s="520">
        <f t="shared" si="11"/>
        <v>7.19</v>
      </c>
      <c r="AM50" s="695" t="s">
        <v>1585</v>
      </c>
      <c r="AN50" s="669">
        <f t="shared" si="12"/>
        <v>6.64</v>
      </c>
    </row>
    <row r="51" spans="1:40" s="500" customFormat="1">
      <c r="A51" s="542" t="s">
        <v>748</v>
      </c>
      <c r="B51" s="542" t="s">
        <v>1169</v>
      </c>
      <c r="C51" s="792"/>
      <c r="D51" s="667"/>
      <c r="E51" s="944"/>
      <c r="F51" s="520"/>
      <c r="G51" s="520"/>
      <c r="H51" s="520"/>
      <c r="I51" s="521"/>
      <c r="J51" s="521"/>
      <c r="K51" s="521"/>
      <c r="L51" s="514"/>
      <c r="M51" s="520"/>
      <c r="N51" s="522"/>
      <c r="O51" s="745"/>
      <c r="P51" s="514"/>
      <c r="Q51" s="522"/>
      <c r="R51" s="522"/>
      <c r="S51" s="514"/>
      <c r="T51" s="520"/>
      <c r="U51" s="514"/>
      <c r="V51" s="514"/>
      <c r="W51" s="522"/>
      <c r="X51" s="514"/>
      <c r="Y51" s="522"/>
      <c r="Z51" s="522"/>
      <c r="AA51" s="520"/>
      <c r="AB51" s="522"/>
      <c r="AC51" s="522"/>
      <c r="AD51" s="522"/>
      <c r="AE51" s="522"/>
      <c r="AF51" s="522"/>
      <c r="AG51" s="521"/>
      <c r="AH51" s="789"/>
      <c r="AI51" s="664">
        <f t="shared" si="10"/>
        <v>0</v>
      </c>
      <c r="AJ51" s="790"/>
      <c r="AK51" s="521">
        <v>0</v>
      </c>
      <c r="AL51" s="520">
        <f t="shared" si="11"/>
        <v>0</v>
      </c>
      <c r="AM51" s="695"/>
      <c r="AN51" s="669">
        <f t="shared" si="12"/>
        <v>0</v>
      </c>
    </row>
    <row r="52" spans="1:40" s="500" customFormat="1">
      <c r="A52" s="539" t="s">
        <v>749</v>
      </c>
      <c r="B52" s="539" t="s">
        <v>1177</v>
      </c>
      <c r="C52" s="792"/>
      <c r="D52" s="667"/>
      <c r="E52" s="944"/>
      <c r="F52" s="520"/>
      <c r="G52" s="520"/>
      <c r="H52" s="520"/>
      <c r="I52" s="521"/>
      <c r="J52" s="521"/>
      <c r="K52" s="521"/>
      <c r="L52" s="514"/>
      <c r="M52" s="520"/>
      <c r="N52" s="522"/>
      <c r="O52" s="745"/>
      <c r="P52" s="514"/>
      <c r="Q52" s="522"/>
      <c r="R52" s="522"/>
      <c r="S52" s="514"/>
      <c r="T52" s="520"/>
      <c r="U52" s="514"/>
      <c r="V52" s="514"/>
      <c r="W52" s="522"/>
      <c r="X52" s="514"/>
      <c r="Y52" s="522"/>
      <c r="Z52" s="522"/>
      <c r="AA52" s="520"/>
      <c r="AB52" s="522"/>
      <c r="AC52" s="522"/>
      <c r="AD52" s="522"/>
      <c r="AE52" s="522"/>
      <c r="AF52" s="522"/>
      <c r="AG52" s="521"/>
      <c r="AH52" s="789"/>
      <c r="AI52" s="664">
        <f t="shared" si="10"/>
        <v>0</v>
      </c>
      <c r="AJ52" s="790"/>
      <c r="AK52" s="521">
        <v>0</v>
      </c>
      <c r="AL52" s="520">
        <f t="shared" si="11"/>
        <v>0</v>
      </c>
      <c r="AM52" s="695"/>
      <c r="AN52" s="669">
        <f t="shared" si="12"/>
        <v>0</v>
      </c>
    </row>
    <row r="53" spans="1:40" s="500" customFormat="1">
      <c r="A53" s="539" t="s">
        <v>750</v>
      </c>
      <c r="B53" s="539" t="s">
        <v>1208</v>
      </c>
      <c r="C53" s="974" t="s">
        <v>40</v>
      </c>
      <c r="D53" s="667"/>
      <c r="E53" s="944"/>
      <c r="F53" s="520"/>
      <c r="G53" s="520"/>
      <c r="H53" s="520"/>
      <c r="I53" s="521"/>
      <c r="J53" s="521"/>
      <c r="K53" s="521"/>
      <c r="L53" s="522"/>
      <c r="M53" s="520"/>
      <c r="N53" s="521"/>
      <c r="O53" s="730"/>
      <c r="P53" s="667"/>
      <c r="Q53" s="667"/>
      <c r="R53" s="667"/>
      <c r="S53" s="522"/>
      <c r="T53" s="520"/>
      <c r="U53" s="522"/>
      <c r="V53" s="522"/>
      <c r="W53" s="667"/>
      <c r="X53" s="1048">
        <f>6*0.25*0.15*2.6</f>
        <v>0.58499999999999996</v>
      </c>
      <c r="Y53" s="522"/>
      <c r="Z53" s="667"/>
      <c r="AA53" s="520"/>
      <c r="AB53" s="667"/>
      <c r="AC53" s="667"/>
      <c r="AD53" s="667"/>
      <c r="AE53" s="521"/>
      <c r="AF53" s="521"/>
      <c r="AG53" s="521"/>
      <c r="AH53" s="790"/>
      <c r="AI53" s="996">
        <f t="shared" si="10"/>
        <v>0.59</v>
      </c>
      <c r="AJ53" s="790"/>
      <c r="AK53" s="521">
        <v>0</v>
      </c>
      <c r="AL53" s="520">
        <f t="shared" si="11"/>
        <v>0.59</v>
      </c>
      <c r="AM53" s="695" t="s">
        <v>1586</v>
      </c>
      <c r="AN53" s="669">
        <f t="shared" si="12"/>
        <v>4.3</v>
      </c>
    </row>
    <row r="54" spans="1:40" s="500" customFormat="1">
      <c r="A54" s="539" t="s">
        <v>751</v>
      </c>
      <c r="B54" s="539" t="s">
        <v>1179</v>
      </c>
      <c r="C54" s="974" t="s">
        <v>37</v>
      </c>
      <c r="D54" s="667"/>
      <c r="E54" s="944"/>
      <c r="F54" s="520"/>
      <c r="G54" s="520"/>
      <c r="H54" s="520"/>
      <c r="I54" s="521"/>
      <c r="J54" s="521"/>
      <c r="K54" s="521"/>
      <c r="L54" s="514"/>
      <c r="M54" s="520"/>
      <c r="N54" s="522"/>
      <c r="O54" s="725"/>
      <c r="P54" s="527"/>
      <c r="Q54" s="521"/>
      <c r="R54" s="521"/>
      <c r="S54" s="521"/>
      <c r="T54" s="520"/>
      <c r="U54" s="521"/>
      <c r="V54" s="521"/>
      <c r="W54" s="521"/>
      <c r="X54" s="1026">
        <f>6*(0.25+0.25+0.15)*2.6</f>
        <v>10.14</v>
      </c>
      <c r="Y54" s="1022">
        <f>2*(0.5)*2.6</f>
        <v>2.6</v>
      </c>
      <c r="Z54" s="521"/>
      <c r="AA54" s="520"/>
      <c r="AB54" s="521"/>
      <c r="AC54" s="521"/>
      <c r="AD54" s="521"/>
      <c r="AE54" s="521"/>
      <c r="AF54" s="521"/>
      <c r="AG54" s="521"/>
      <c r="AH54" s="789"/>
      <c r="AI54" s="996">
        <f t="shared" si="10"/>
        <v>12.74</v>
      </c>
      <c r="AJ54" s="790"/>
      <c r="AK54" s="521">
        <v>0</v>
      </c>
      <c r="AL54" s="520">
        <f t="shared" si="11"/>
        <v>12.74</v>
      </c>
      <c r="AM54" s="695" t="s">
        <v>1587</v>
      </c>
      <c r="AN54" s="669">
        <f t="shared" si="12"/>
        <v>63.949999999999996</v>
      </c>
    </row>
    <row r="55" spans="1:40" s="500" customFormat="1">
      <c r="A55" s="539" t="s">
        <v>753</v>
      </c>
      <c r="B55" s="539" t="s">
        <v>1185</v>
      </c>
      <c r="C55" s="792"/>
      <c r="D55" s="667"/>
      <c r="E55" s="944"/>
      <c r="F55" s="520"/>
      <c r="G55" s="520"/>
      <c r="H55" s="520"/>
      <c r="I55" s="521"/>
      <c r="J55" s="521"/>
      <c r="K55" s="521"/>
      <c r="L55" s="514"/>
      <c r="M55" s="520"/>
      <c r="N55" s="522"/>
      <c r="O55" s="745"/>
      <c r="P55" s="514"/>
      <c r="Q55" s="522"/>
      <c r="R55" s="522"/>
      <c r="S55" s="514"/>
      <c r="T55" s="520"/>
      <c r="U55" s="514"/>
      <c r="V55" s="514"/>
      <c r="W55" s="522"/>
      <c r="X55" s="514"/>
      <c r="Y55" s="522"/>
      <c r="Z55" s="522"/>
      <c r="AA55" s="520"/>
      <c r="AB55" s="522"/>
      <c r="AC55" s="522"/>
      <c r="AD55" s="522"/>
      <c r="AE55" s="522"/>
      <c r="AF55" s="522"/>
      <c r="AG55" s="521"/>
      <c r="AH55" s="789"/>
      <c r="AI55" s="664">
        <f t="shared" si="10"/>
        <v>0</v>
      </c>
      <c r="AJ55" s="790"/>
      <c r="AK55" s="521">
        <v>0</v>
      </c>
      <c r="AL55" s="520">
        <f t="shared" si="11"/>
        <v>0</v>
      </c>
      <c r="AM55" s="695"/>
      <c r="AN55" s="669">
        <f t="shared" si="12"/>
        <v>0</v>
      </c>
    </row>
    <row r="56" spans="1:40" s="500" customFormat="1">
      <c r="A56" s="539" t="s">
        <v>754</v>
      </c>
      <c r="B56" s="539" t="s">
        <v>1186</v>
      </c>
      <c r="C56" s="974" t="s">
        <v>40</v>
      </c>
      <c r="D56" s="667"/>
      <c r="E56" s="944"/>
      <c r="F56" s="520"/>
      <c r="G56" s="520"/>
      <c r="H56" s="520"/>
      <c r="I56" s="521"/>
      <c r="J56" s="1022">
        <f>2*0.7*0.25</f>
        <v>0.35</v>
      </c>
      <c r="K56" s="521"/>
      <c r="L56" s="514"/>
      <c r="M56" s="520"/>
      <c r="N56" s="514"/>
      <c r="O56" s="756"/>
      <c r="P56" s="514"/>
      <c r="Q56" s="522"/>
      <c r="R56" s="522"/>
      <c r="S56" s="514"/>
      <c r="T56" s="520"/>
      <c r="U56" s="514"/>
      <c r="V56" s="522"/>
      <c r="W56" s="522"/>
      <c r="X56" s="522"/>
      <c r="Y56" s="522"/>
      <c r="Z56" s="1026">
        <f>0.18*0.25*3+0.18*0.25*2.25</f>
        <v>0.23625000000000002</v>
      </c>
      <c r="AA56" s="1041">
        <f>6.3*0.18*0.25</f>
        <v>0.28349999999999997</v>
      </c>
      <c r="AB56" s="522"/>
      <c r="AC56" s="522"/>
      <c r="AD56" s="522"/>
      <c r="AE56" s="522"/>
      <c r="AF56" s="522"/>
      <c r="AG56" s="521"/>
      <c r="AH56" s="789"/>
      <c r="AI56" s="996">
        <f t="shared" si="10"/>
        <v>0.87</v>
      </c>
      <c r="AJ56" s="790"/>
      <c r="AK56" s="521">
        <v>0</v>
      </c>
      <c r="AL56" s="520">
        <f t="shared" si="11"/>
        <v>0.87</v>
      </c>
      <c r="AM56" s="695" t="s">
        <v>1589</v>
      </c>
      <c r="AN56" s="669">
        <f t="shared" si="12"/>
        <v>3.3600000000000003</v>
      </c>
    </row>
    <row r="57" spans="1:40" s="500" customFormat="1">
      <c r="A57" s="539" t="s">
        <v>755</v>
      </c>
      <c r="B57" s="539" t="s">
        <v>1187</v>
      </c>
      <c r="C57" s="974" t="s">
        <v>37</v>
      </c>
      <c r="D57" s="667"/>
      <c r="E57" s="944"/>
      <c r="F57" s="520"/>
      <c r="G57" s="520"/>
      <c r="H57" s="520"/>
      <c r="I57" s="521"/>
      <c r="J57" s="1022">
        <f>2*0.7*2</f>
        <v>2.8</v>
      </c>
      <c r="K57" s="521"/>
      <c r="L57" s="514"/>
      <c r="M57" s="520"/>
      <c r="N57" s="514"/>
      <c r="O57" s="756"/>
      <c r="P57" s="514"/>
      <c r="Q57" s="522"/>
      <c r="R57" s="522"/>
      <c r="S57" s="514"/>
      <c r="T57" s="520"/>
      <c r="U57" s="522"/>
      <c r="V57" s="522"/>
      <c r="W57" s="522"/>
      <c r="X57" s="522"/>
      <c r="Y57" s="522"/>
      <c r="Z57" s="1026">
        <f>3*(0.25+0.1+0.1)+2.25*(0.25+0.1+0.1)</f>
        <v>2.3624999999999998</v>
      </c>
      <c r="AA57" s="1041">
        <f>6.3*(0.25+0.1+0.1)</f>
        <v>2.8349999999999995</v>
      </c>
      <c r="AB57" s="522"/>
      <c r="AC57" s="522"/>
      <c r="AD57" s="522"/>
      <c r="AE57" s="522"/>
      <c r="AF57" s="522"/>
      <c r="AG57" s="521"/>
      <c r="AH57" s="789"/>
      <c r="AI57" s="996">
        <f t="shared" si="10"/>
        <v>8</v>
      </c>
      <c r="AJ57" s="790"/>
      <c r="AK57" s="521">
        <v>0</v>
      </c>
      <c r="AL57" s="520">
        <f t="shared" si="11"/>
        <v>8</v>
      </c>
      <c r="AM57" s="695" t="s">
        <v>1590</v>
      </c>
      <c r="AN57" s="669">
        <f t="shared" si="12"/>
        <v>41.66</v>
      </c>
    </row>
    <row r="58" spans="1:40" s="500" customFormat="1">
      <c r="A58" s="539" t="s">
        <v>756</v>
      </c>
      <c r="B58" s="539" t="s">
        <v>1188</v>
      </c>
      <c r="C58" s="974" t="s">
        <v>48</v>
      </c>
      <c r="D58" s="667"/>
      <c r="E58" s="944"/>
      <c r="F58" s="520"/>
      <c r="G58" s="520"/>
      <c r="H58" s="520"/>
      <c r="I58" s="521"/>
      <c r="J58" s="1022">
        <v>20</v>
      </c>
      <c r="K58" s="521"/>
      <c r="L58" s="514"/>
      <c r="M58" s="1041">
        <f>89*0.99</f>
        <v>88.11</v>
      </c>
      <c r="N58" s="514"/>
      <c r="O58" s="756"/>
      <c r="P58" s="514"/>
      <c r="Q58" s="522"/>
      <c r="R58" s="522"/>
      <c r="S58" s="514"/>
      <c r="T58" s="520"/>
      <c r="U58" s="522"/>
      <c r="V58" s="522"/>
      <c r="W58" s="522"/>
      <c r="X58" s="522"/>
      <c r="Y58" s="1026">
        <f>4*9*0.99+4*9*0.559</f>
        <v>55.764000000000003</v>
      </c>
      <c r="Z58" s="522"/>
      <c r="AA58" s="520"/>
      <c r="AB58" s="522"/>
      <c r="AC58" s="522"/>
      <c r="AD58" s="522"/>
      <c r="AE58" s="522"/>
      <c r="AF58" s="522"/>
      <c r="AG58" s="521"/>
      <c r="AH58" s="789"/>
      <c r="AI58" s="996">
        <f t="shared" si="10"/>
        <v>163.87</v>
      </c>
      <c r="AJ58" s="790"/>
      <c r="AK58" s="521">
        <v>0</v>
      </c>
      <c r="AL58" s="520">
        <f t="shared" si="11"/>
        <v>163.87</v>
      </c>
      <c r="AM58" s="695" t="s">
        <v>1591</v>
      </c>
      <c r="AN58" s="669">
        <f t="shared" si="12"/>
        <v>319.14999999999998</v>
      </c>
    </row>
    <row r="59" spans="1:40" s="500" customFormat="1">
      <c r="A59" s="539" t="s">
        <v>757</v>
      </c>
      <c r="B59" s="539" t="s">
        <v>1213</v>
      </c>
      <c r="C59" s="792"/>
      <c r="D59" s="667"/>
      <c r="E59" s="944"/>
      <c r="F59" s="520"/>
      <c r="G59" s="520"/>
      <c r="H59" s="520"/>
      <c r="I59" s="521"/>
      <c r="J59" s="521"/>
      <c r="K59" s="521"/>
      <c r="L59" s="514"/>
      <c r="M59" s="520"/>
      <c r="N59" s="514"/>
      <c r="O59" s="756"/>
      <c r="P59" s="514"/>
      <c r="Q59" s="522"/>
      <c r="R59" s="522"/>
      <c r="S59" s="514"/>
      <c r="T59" s="520"/>
      <c r="U59" s="514"/>
      <c r="V59" s="514"/>
      <c r="W59" s="522"/>
      <c r="X59" s="514"/>
      <c r="Y59" s="522"/>
      <c r="Z59" s="522"/>
      <c r="AA59" s="520"/>
      <c r="AB59" s="522"/>
      <c r="AC59" s="522"/>
      <c r="AD59" s="522"/>
      <c r="AE59" s="522"/>
      <c r="AF59" s="522"/>
      <c r="AG59" s="521"/>
      <c r="AH59" s="789"/>
      <c r="AI59" s="664">
        <f t="shared" si="10"/>
        <v>0</v>
      </c>
      <c r="AJ59" s="790"/>
      <c r="AK59" s="521">
        <v>0</v>
      </c>
      <c r="AL59" s="520">
        <f t="shared" si="11"/>
        <v>0</v>
      </c>
      <c r="AM59" s="695"/>
      <c r="AN59" s="669">
        <f t="shared" si="12"/>
        <v>0</v>
      </c>
    </row>
    <row r="60" spans="1:40" s="500" customFormat="1">
      <c r="A60" s="539" t="s">
        <v>758</v>
      </c>
      <c r="B60" s="539" t="s">
        <v>1205</v>
      </c>
      <c r="C60" s="974" t="s">
        <v>40</v>
      </c>
      <c r="D60" s="667"/>
      <c r="E60" s="944"/>
      <c r="F60" s="520"/>
      <c r="G60" s="520"/>
      <c r="H60" s="520"/>
      <c r="I60" s="521"/>
      <c r="J60" s="1022">
        <f>3.25*0.6*0.15+1.9*1.45*0.15</f>
        <v>0.70574999999999988</v>
      </c>
      <c r="K60" s="521"/>
      <c r="L60" s="514"/>
      <c r="M60" s="520"/>
      <c r="N60" s="514"/>
      <c r="O60" s="756"/>
      <c r="P60" s="514"/>
      <c r="Q60" s="522"/>
      <c r="R60" s="522"/>
      <c r="S60" s="514"/>
      <c r="T60" s="520"/>
      <c r="U60" s="514"/>
      <c r="V60" s="514"/>
      <c r="W60" s="522"/>
      <c r="X60" s="514"/>
      <c r="Y60" s="1026">
        <f>4.2*1.1*0.15</f>
        <v>0.69300000000000017</v>
      </c>
      <c r="Z60" s="522"/>
      <c r="AA60" s="520"/>
      <c r="AB60" s="522"/>
      <c r="AC60" s="522"/>
      <c r="AD60" s="522"/>
      <c r="AE60" s="522"/>
      <c r="AF60" s="522"/>
      <c r="AG60" s="521"/>
      <c r="AH60" s="789"/>
      <c r="AI60" s="996">
        <f t="shared" si="10"/>
        <v>1.4</v>
      </c>
      <c r="AJ60" s="790"/>
      <c r="AK60" s="521">
        <v>0</v>
      </c>
      <c r="AL60" s="520">
        <f t="shared" si="11"/>
        <v>1.4</v>
      </c>
      <c r="AM60" s="695" t="s">
        <v>1592</v>
      </c>
      <c r="AN60" s="669">
        <f t="shared" si="12"/>
        <v>2.8400000000000003</v>
      </c>
    </row>
    <row r="61" spans="1:40" s="500" customFormat="1">
      <c r="A61" s="539" t="s">
        <v>759</v>
      </c>
      <c r="B61" s="539" t="s">
        <v>1214</v>
      </c>
      <c r="C61" s="974" t="s">
        <v>37</v>
      </c>
      <c r="D61" s="667"/>
      <c r="E61" s="944"/>
      <c r="F61" s="520"/>
      <c r="G61" s="520"/>
      <c r="H61" s="520"/>
      <c r="I61" s="521"/>
      <c r="J61" s="1022">
        <f>3.25*0.6*2+1.9*1.45*2</f>
        <v>9.41</v>
      </c>
      <c r="K61" s="521"/>
      <c r="L61" s="514"/>
      <c r="M61" s="520"/>
      <c r="N61" s="514"/>
      <c r="O61" s="756"/>
      <c r="P61" s="1026">
        <f>3.25*1.15*2+3.25*0.9*2+3.25*0.7*2</f>
        <v>17.875</v>
      </c>
      <c r="Q61" s="1045">
        <v>0.78</v>
      </c>
      <c r="R61" s="522"/>
      <c r="S61" s="514"/>
      <c r="T61" s="520"/>
      <c r="U61" s="514"/>
      <c r="V61" s="514"/>
      <c r="W61" s="522"/>
      <c r="Z61" s="522"/>
      <c r="AA61" s="520"/>
      <c r="AB61" s="522"/>
      <c r="AC61" s="522"/>
      <c r="AD61" s="522"/>
      <c r="AE61" s="522"/>
      <c r="AF61" s="522"/>
      <c r="AG61" s="521"/>
      <c r="AH61" s="789"/>
      <c r="AI61" s="996">
        <f t="shared" si="10"/>
        <v>28.07</v>
      </c>
      <c r="AJ61" s="790"/>
      <c r="AK61" s="521">
        <v>0</v>
      </c>
      <c r="AL61" s="520">
        <f t="shared" si="11"/>
        <v>28.07</v>
      </c>
      <c r="AM61" s="695" t="s">
        <v>1593</v>
      </c>
      <c r="AN61" s="669">
        <f t="shared" si="12"/>
        <v>28.5</v>
      </c>
    </row>
    <row r="62" spans="1:40" s="500" customFormat="1">
      <c r="A62" s="539" t="s">
        <v>760</v>
      </c>
      <c r="B62" s="539" t="s">
        <v>1215</v>
      </c>
      <c r="C62" s="1046" t="s">
        <v>48</v>
      </c>
      <c r="D62" s="667"/>
      <c r="E62" s="944"/>
      <c r="F62" s="520"/>
      <c r="G62" s="520"/>
      <c r="H62" s="520"/>
      <c r="I62" s="521"/>
      <c r="J62" s="1022">
        <f>7*9*0.99</f>
        <v>62.37</v>
      </c>
      <c r="K62" s="521"/>
      <c r="L62" s="514"/>
      <c r="M62" s="520"/>
      <c r="N62" s="514"/>
      <c r="O62" s="756"/>
      <c r="P62" s="514"/>
      <c r="Q62" s="522"/>
      <c r="R62" s="522"/>
      <c r="S62" s="1026">
        <f>4*9*0.99-29.29</f>
        <v>6.3500000000000014</v>
      </c>
      <c r="T62" s="520"/>
      <c r="U62" s="514"/>
      <c r="V62" s="514"/>
      <c r="W62" s="522"/>
      <c r="X62" s="514"/>
      <c r="Y62" s="522"/>
      <c r="Z62" s="522"/>
      <c r="AA62" s="520"/>
      <c r="AB62" s="522"/>
      <c r="AC62" s="522"/>
      <c r="AD62" s="522"/>
      <c r="AE62" s="522"/>
      <c r="AF62" s="522"/>
      <c r="AG62" s="521"/>
      <c r="AH62" s="789"/>
      <c r="AI62" s="996">
        <f t="shared" si="10"/>
        <v>68.72</v>
      </c>
      <c r="AJ62" s="790"/>
      <c r="AK62" s="521">
        <v>0</v>
      </c>
      <c r="AL62" s="520">
        <f t="shared" si="11"/>
        <v>68.72</v>
      </c>
      <c r="AM62" s="695" t="s">
        <v>1594</v>
      </c>
      <c r="AN62" s="669">
        <f t="shared" si="12"/>
        <v>370.01</v>
      </c>
    </row>
    <row r="63" spans="1:40" s="500" customFormat="1">
      <c r="A63" s="542" t="s">
        <v>761</v>
      </c>
      <c r="B63" s="542" t="s">
        <v>1200</v>
      </c>
      <c r="C63" s="792"/>
      <c r="D63" s="667"/>
      <c r="E63" s="944"/>
      <c r="F63" s="520"/>
      <c r="G63" s="520"/>
      <c r="H63" s="520"/>
      <c r="I63" s="521"/>
      <c r="J63" s="521"/>
      <c r="K63" s="521"/>
      <c r="L63" s="514"/>
      <c r="M63" s="520"/>
      <c r="N63" s="514"/>
      <c r="O63" s="756"/>
      <c r="P63" s="514"/>
      <c r="Q63" s="522"/>
      <c r="R63" s="522"/>
      <c r="S63" s="514"/>
      <c r="T63" s="520"/>
      <c r="U63" s="514"/>
      <c r="V63" s="514"/>
      <c r="W63" s="522"/>
      <c r="X63" s="514"/>
      <c r="Y63" s="522"/>
      <c r="Z63" s="522"/>
      <c r="AA63" s="520"/>
      <c r="AB63" s="522"/>
      <c r="AC63" s="522"/>
      <c r="AD63" s="522"/>
      <c r="AE63" s="522"/>
      <c r="AF63" s="522"/>
      <c r="AG63" s="521"/>
      <c r="AH63" s="789"/>
      <c r="AI63" s="664">
        <f t="shared" si="10"/>
        <v>0</v>
      </c>
      <c r="AJ63" s="790"/>
      <c r="AK63" s="521">
        <v>0</v>
      </c>
      <c r="AL63" s="520">
        <f t="shared" si="11"/>
        <v>0</v>
      </c>
      <c r="AM63" s="695"/>
      <c r="AN63" s="669">
        <f t="shared" si="12"/>
        <v>0</v>
      </c>
    </row>
    <row r="64" spans="1:40" s="500" customFormat="1">
      <c r="A64" s="539" t="s">
        <v>762</v>
      </c>
      <c r="B64" s="539" t="s">
        <v>1216</v>
      </c>
      <c r="C64" s="974" t="s">
        <v>38</v>
      </c>
      <c r="D64" s="667"/>
      <c r="E64" s="944"/>
      <c r="F64" s="520"/>
      <c r="G64" s="520"/>
      <c r="H64" s="520"/>
      <c r="I64" s="521"/>
      <c r="J64" s="521"/>
      <c r="K64" s="521"/>
      <c r="L64" s="514"/>
      <c r="M64" s="520"/>
      <c r="N64" s="514"/>
      <c r="O64" s="756"/>
      <c r="P64" s="514"/>
      <c r="Q64" s="522"/>
      <c r="R64" s="522"/>
      <c r="S64" s="514"/>
      <c r="T64" s="520"/>
      <c r="U64" s="514"/>
      <c r="V64" s="514"/>
      <c r="W64" s="522"/>
      <c r="X64" s="514"/>
      <c r="Y64" s="522"/>
      <c r="Z64" s="522"/>
      <c r="AA64" s="520"/>
      <c r="AB64" s="522"/>
      <c r="AC64" s="522"/>
      <c r="AD64" s="522"/>
      <c r="AE64" s="522"/>
      <c r="AF64" s="522"/>
      <c r="AG64" s="1022">
        <v>16</v>
      </c>
      <c r="AH64" s="790"/>
      <c r="AI64" s="996">
        <f t="shared" si="10"/>
        <v>16</v>
      </c>
      <c r="AJ64" s="790"/>
      <c r="AK64" s="521">
        <v>0</v>
      </c>
      <c r="AL64" s="520">
        <f t="shared" si="11"/>
        <v>16</v>
      </c>
      <c r="AM64" s="695" t="s">
        <v>1595</v>
      </c>
      <c r="AN64" s="669">
        <f t="shared" si="12"/>
        <v>20</v>
      </c>
    </row>
    <row r="65" spans="1:40" s="730" customFormat="1">
      <c r="A65" s="440" t="s">
        <v>763</v>
      </c>
      <c r="B65" s="543" t="s">
        <v>1217</v>
      </c>
      <c r="C65" s="792"/>
      <c r="D65" s="667"/>
      <c r="E65" s="944"/>
      <c r="F65" s="520"/>
      <c r="G65" s="520"/>
      <c r="H65" s="520"/>
      <c r="I65" s="521"/>
      <c r="J65" s="521"/>
      <c r="K65" s="521"/>
      <c r="L65" s="514"/>
      <c r="M65" s="520"/>
      <c r="N65" s="514"/>
      <c r="O65" s="756"/>
      <c r="P65" s="514"/>
      <c r="Q65" s="522"/>
      <c r="R65" s="522"/>
      <c r="S65" s="514"/>
      <c r="T65" s="520"/>
      <c r="U65" s="514"/>
      <c r="V65" s="514"/>
      <c r="W65" s="522"/>
      <c r="X65" s="514"/>
      <c r="Y65" s="522"/>
      <c r="Z65" s="522"/>
      <c r="AA65" s="520"/>
      <c r="AB65" s="522"/>
      <c r="AC65" s="522"/>
      <c r="AD65" s="522"/>
      <c r="AE65" s="522"/>
      <c r="AF65" s="522"/>
      <c r="AG65" s="521"/>
      <c r="AH65" s="789"/>
      <c r="AI65" s="664">
        <f t="shared" ref="AI65:AI84" si="13">ROUND((SUM(E65:AH65)),2)</f>
        <v>0</v>
      </c>
      <c r="AJ65" s="790"/>
      <c r="AK65" s="725">
        <v>0</v>
      </c>
      <c r="AL65" s="726">
        <f t="shared" si="11"/>
        <v>0</v>
      </c>
      <c r="AM65" s="847"/>
      <c r="AN65" s="729">
        <f t="shared" si="12"/>
        <v>0</v>
      </c>
    </row>
    <row r="66" spans="1:40" s="500" customFormat="1">
      <c r="A66" s="542" t="s">
        <v>764</v>
      </c>
      <c r="B66" s="542" t="s">
        <v>46</v>
      </c>
      <c r="C66" s="792"/>
      <c r="D66" s="667"/>
      <c r="E66" s="944"/>
      <c r="F66" s="520"/>
      <c r="G66" s="520"/>
      <c r="H66" s="520"/>
      <c r="I66" s="521"/>
      <c r="J66" s="521"/>
      <c r="K66" s="521"/>
      <c r="L66" s="514"/>
      <c r="M66" s="520"/>
      <c r="N66" s="514"/>
      <c r="O66" s="756"/>
      <c r="P66" s="514"/>
      <c r="Q66" s="522"/>
      <c r="R66" s="522"/>
      <c r="S66" s="514"/>
      <c r="T66" s="520"/>
      <c r="U66" s="514"/>
      <c r="V66" s="514"/>
      <c r="W66" s="522"/>
      <c r="X66" s="514"/>
      <c r="Y66" s="522"/>
      <c r="Z66" s="522"/>
      <c r="AA66" s="520"/>
      <c r="AB66" s="522"/>
      <c r="AC66" s="522"/>
      <c r="AD66" s="522"/>
      <c r="AE66" s="522"/>
      <c r="AF66" s="522"/>
      <c r="AG66" s="521"/>
      <c r="AH66" s="789"/>
      <c r="AI66" s="664">
        <f t="shared" si="13"/>
        <v>0</v>
      </c>
      <c r="AJ66" s="790"/>
      <c r="AK66" s="521">
        <v>0</v>
      </c>
      <c r="AL66" s="520">
        <f t="shared" si="11"/>
        <v>0</v>
      </c>
      <c r="AM66" s="695"/>
      <c r="AN66" s="669">
        <f t="shared" si="12"/>
        <v>0</v>
      </c>
    </row>
    <row r="67" spans="1:40" s="500" customFormat="1">
      <c r="A67" s="539" t="s">
        <v>765</v>
      </c>
      <c r="B67" s="539" t="s">
        <v>1212</v>
      </c>
      <c r="C67" s="974" t="s">
        <v>40</v>
      </c>
      <c r="D67" s="667"/>
      <c r="E67" s="944"/>
      <c r="F67" s="968">
        <f>4.1*1.8*1.2</f>
        <v>8.8559999999999999</v>
      </c>
      <c r="G67" s="968">
        <f>3.3*0.6*1.2</f>
        <v>2.3759999999999994</v>
      </c>
      <c r="H67" s="520"/>
      <c r="I67" s="967">
        <f>4.5*1.5*0.7</f>
        <v>4.7249999999999996</v>
      </c>
      <c r="J67" s="521"/>
      <c r="K67" s="521"/>
      <c r="L67" s="522"/>
      <c r="M67" s="520"/>
      <c r="N67" s="514"/>
      <c r="O67" s="756"/>
      <c r="P67" s="1026">
        <f>3*4*1.5</f>
        <v>18</v>
      </c>
      <c r="Q67" s="1026">
        <f>4*1*1.5</f>
        <v>6</v>
      </c>
      <c r="R67" s="522"/>
      <c r="S67" s="522"/>
      <c r="T67" s="520"/>
      <c r="U67" s="1026">
        <v>15</v>
      </c>
      <c r="V67" s="522"/>
      <c r="W67" s="522"/>
      <c r="X67" s="514"/>
      <c r="Y67" s="522"/>
      <c r="Z67" s="1045">
        <v>10</v>
      </c>
      <c r="AA67" s="1041">
        <v>10</v>
      </c>
      <c r="AB67" s="1026">
        <v>20</v>
      </c>
      <c r="AC67" s="522"/>
      <c r="AD67" s="1026">
        <v>10.52</v>
      </c>
      <c r="AE67" s="522"/>
      <c r="AF67" s="522"/>
      <c r="AG67" s="521"/>
      <c r="AH67" s="956"/>
      <c r="AI67" s="996">
        <f t="shared" si="13"/>
        <v>105.48</v>
      </c>
      <c r="AJ67" s="790"/>
      <c r="AK67" s="521">
        <v>0</v>
      </c>
      <c r="AL67" s="520">
        <f t="shared" si="11"/>
        <v>105.48</v>
      </c>
      <c r="AM67" s="695" t="s">
        <v>1596</v>
      </c>
      <c r="AN67" s="669">
        <f t="shared" si="12"/>
        <v>336.15999999999997</v>
      </c>
    </row>
    <row r="68" spans="1:40" s="500" customFormat="1">
      <c r="A68" s="542" t="s">
        <v>767</v>
      </c>
      <c r="B68" s="542" t="s">
        <v>1218</v>
      </c>
      <c r="C68" s="792"/>
      <c r="D68" s="667"/>
      <c r="E68" s="944"/>
      <c r="F68" s="520"/>
      <c r="G68" s="520"/>
      <c r="H68" s="520"/>
      <c r="I68" s="521"/>
      <c r="J68" s="521"/>
      <c r="K68" s="521"/>
      <c r="L68" s="514"/>
      <c r="M68" s="520"/>
      <c r="N68" s="514"/>
      <c r="O68" s="756"/>
      <c r="P68" s="514"/>
      <c r="Q68" s="522"/>
      <c r="R68" s="522"/>
      <c r="S68" s="514"/>
      <c r="T68" s="520"/>
      <c r="U68" s="514"/>
      <c r="V68" s="514"/>
      <c r="W68" s="522"/>
      <c r="X68" s="514"/>
      <c r="Y68" s="522"/>
      <c r="Z68" s="522"/>
      <c r="AA68" s="520"/>
      <c r="AB68" s="522"/>
      <c r="AC68" s="522"/>
      <c r="AD68" s="522"/>
      <c r="AE68" s="522"/>
      <c r="AF68" s="522"/>
      <c r="AG68" s="521"/>
      <c r="AH68" s="789"/>
      <c r="AI68" s="664">
        <f t="shared" si="13"/>
        <v>0</v>
      </c>
      <c r="AJ68" s="790"/>
      <c r="AK68" s="521">
        <v>0</v>
      </c>
      <c r="AL68" s="520">
        <f t="shared" si="11"/>
        <v>0</v>
      </c>
      <c r="AM68" s="695"/>
      <c r="AN68" s="669">
        <f t="shared" si="12"/>
        <v>0</v>
      </c>
    </row>
    <row r="69" spans="1:40" s="500" customFormat="1">
      <c r="A69" s="539" t="s">
        <v>768</v>
      </c>
      <c r="B69" s="539" t="s">
        <v>1219</v>
      </c>
      <c r="C69" s="974" t="s">
        <v>40</v>
      </c>
      <c r="D69" s="667"/>
      <c r="E69" s="1040">
        <f>10.5*1.1*0.25</f>
        <v>2.8875000000000002</v>
      </c>
      <c r="F69" s="520"/>
      <c r="G69" s="520"/>
      <c r="H69" s="520"/>
      <c r="I69" s="521"/>
      <c r="J69" s="521"/>
      <c r="K69" s="1022">
        <f>4.5*1.5*0.5</f>
        <v>3.375</v>
      </c>
      <c r="L69" s="514"/>
      <c r="M69" s="1041">
        <f>5*2.1*0.3</f>
        <v>3.15</v>
      </c>
      <c r="N69" s="522"/>
      <c r="O69" s="745"/>
      <c r="P69" s="514"/>
      <c r="Q69" s="522"/>
      <c r="R69" s="522"/>
      <c r="S69" s="1026">
        <f>4.5*1.5*0.5</f>
        <v>3.375</v>
      </c>
      <c r="T69" s="1041">
        <f>6.7*1.8*0.35</f>
        <v>4.2210000000000001</v>
      </c>
      <c r="U69" s="514"/>
      <c r="V69" s="514"/>
      <c r="W69" s="522"/>
      <c r="X69" s="1026">
        <f>4.5*2.1*0.35</f>
        <v>3.3075000000000001</v>
      </c>
      <c r="Y69" s="1026">
        <f>0.25*6.3*0.25</f>
        <v>0.39374999999999999</v>
      </c>
      <c r="Z69" s="522"/>
      <c r="AA69" s="520"/>
      <c r="AB69" s="1026">
        <f>7.8*0.7*0.4</f>
        <v>2.1840000000000002</v>
      </c>
      <c r="AC69" s="522"/>
      <c r="AE69" s="1026">
        <f>5.5*2.5*0.3+1.95*2.3*0.3</f>
        <v>5.4704999999999995</v>
      </c>
      <c r="AF69" s="522"/>
      <c r="AG69" s="521"/>
      <c r="AH69" s="521"/>
      <c r="AI69" s="996">
        <f t="shared" si="13"/>
        <v>28.36</v>
      </c>
      <c r="AJ69" s="790"/>
      <c r="AK69" s="521">
        <v>0</v>
      </c>
      <c r="AL69" s="520">
        <f t="shared" si="11"/>
        <v>28.36</v>
      </c>
      <c r="AM69" s="695" t="s">
        <v>1598</v>
      </c>
      <c r="AN69" s="669">
        <f t="shared" si="12"/>
        <v>175.64999999999998</v>
      </c>
    </row>
    <row r="70" spans="1:40" s="500" customFormat="1">
      <c r="A70" s="539" t="s">
        <v>769</v>
      </c>
      <c r="B70" s="539" t="s">
        <v>1220</v>
      </c>
      <c r="C70" s="974" t="s">
        <v>37</v>
      </c>
      <c r="D70" s="667"/>
      <c r="E70" s="1040">
        <f>10.5*1.1*2</f>
        <v>23.1</v>
      </c>
      <c r="F70" s="520"/>
      <c r="G70" s="520"/>
      <c r="I70" s="521"/>
      <c r="J70" s="521"/>
      <c r="K70" s="521"/>
      <c r="L70" s="1026">
        <f>5*1.8*2</f>
        <v>18</v>
      </c>
      <c r="M70" s="520"/>
      <c r="N70" s="522"/>
      <c r="O70" s="756"/>
      <c r="P70" s="514"/>
      <c r="Q70" s="522"/>
      <c r="R70" s="522"/>
      <c r="S70" s="514"/>
      <c r="T70" s="1041">
        <f>6.7*1.8*2</f>
        <v>24.12</v>
      </c>
      <c r="U70" s="514"/>
      <c r="V70" s="514"/>
      <c r="W70" s="522"/>
      <c r="X70" s="1026">
        <f>4.5*2.1*2</f>
        <v>18.900000000000002</v>
      </c>
      <c r="Y70" s="522"/>
      <c r="Z70" s="522"/>
      <c r="AA70" s="520"/>
      <c r="AB70" s="522"/>
      <c r="AC70" s="522"/>
      <c r="AD70" s="1026">
        <f>2.5*7.8*0.3</f>
        <v>5.85</v>
      </c>
      <c r="AE70" s="522"/>
      <c r="AF70" s="522"/>
      <c r="AG70" s="521"/>
      <c r="AH70" s="789"/>
      <c r="AI70" s="996">
        <f t="shared" si="13"/>
        <v>89.97</v>
      </c>
      <c r="AJ70" s="790"/>
      <c r="AK70" s="521">
        <v>0</v>
      </c>
      <c r="AL70" s="520">
        <f t="shared" si="11"/>
        <v>89.97</v>
      </c>
      <c r="AM70" s="695" t="s">
        <v>1599</v>
      </c>
      <c r="AN70" s="669">
        <f t="shared" si="12"/>
        <v>460.47</v>
      </c>
    </row>
    <row r="71" spans="1:40" s="500" customFormat="1">
      <c r="A71" s="539" t="s">
        <v>770</v>
      </c>
      <c r="B71" s="539" t="s">
        <v>1221</v>
      </c>
      <c r="C71" s="974" t="s">
        <v>48</v>
      </c>
      <c r="D71" s="667"/>
      <c r="E71" s="944"/>
      <c r="F71" s="520"/>
      <c r="G71" s="520"/>
      <c r="H71" s="520"/>
      <c r="I71" s="521"/>
      <c r="J71" s="1022">
        <f>44*1.8*1.552+9*9*0.99+6*9*1.552+12*9*0.559+6*9*1.552+54*0.56*0.559</f>
        <v>448.00056000000001</v>
      </c>
      <c r="K71" s="1022">
        <f>25*9*1.552+8*9*0.99</f>
        <v>420.48</v>
      </c>
      <c r="L71" s="522"/>
      <c r="M71" s="1041">
        <f>14*9*0.99</f>
        <v>124.74</v>
      </c>
      <c r="N71" s="522"/>
      <c r="O71" s="745"/>
      <c r="P71" s="522"/>
      <c r="Q71" s="522"/>
      <c r="R71" s="1026">
        <f>40*1.8*1.552+4*9*0.559+7*9*0.99</f>
        <v>194.238</v>
      </c>
      <c r="S71" s="1026">
        <f>21*9*0.99+17*9*1.552</f>
        <v>424.56600000000003</v>
      </c>
      <c r="T71" s="520"/>
      <c r="U71" s="522"/>
      <c r="V71" s="522"/>
      <c r="W71" s="1026">
        <f>11*9*0.99</f>
        <v>98.01</v>
      </c>
      <c r="X71" s="522"/>
      <c r="Y71" s="522"/>
      <c r="Z71" s="522"/>
      <c r="AA71" s="1041">
        <f>75*1*0.99+4*9*1.552</f>
        <v>130.12200000000001</v>
      </c>
      <c r="AB71" s="1026">
        <f>16*1.522+13*9*0.99</f>
        <v>140.18199999999999</v>
      </c>
      <c r="AC71" s="522"/>
      <c r="AD71" s="1026">
        <f>16*9*0.99</f>
        <v>142.56</v>
      </c>
      <c r="AE71" s="522"/>
      <c r="AF71" s="522"/>
      <c r="AG71" s="521"/>
      <c r="AH71" s="790"/>
      <c r="AI71" s="996">
        <f t="shared" si="13"/>
        <v>2122.9</v>
      </c>
      <c r="AJ71" s="790"/>
      <c r="AK71" s="521">
        <v>0</v>
      </c>
      <c r="AL71" s="520">
        <f t="shared" si="11"/>
        <v>2122.9</v>
      </c>
      <c r="AM71" s="695" t="s">
        <v>1600</v>
      </c>
      <c r="AN71" s="669">
        <f t="shared" si="12"/>
        <v>13325.84</v>
      </c>
    </row>
    <row r="72" spans="1:40" s="500" customFormat="1">
      <c r="A72" s="542" t="s">
        <v>771</v>
      </c>
      <c r="B72" s="542" t="s">
        <v>1200</v>
      </c>
      <c r="C72" s="792"/>
      <c r="D72" s="667"/>
      <c r="E72" s="944"/>
      <c r="F72" s="520"/>
      <c r="G72" s="520"/>
      <c r="H72" s="520"/>
      <c r="I72" s="521"/>
      <c r="J72" s="521"/>
      <c r="K72" s="521"/>
      <c r="L72" s="514"/>
      <c r="M72" s="520"/>
      <c r="N72" s="514"/>
      <c r="O72" s="756"/>
      <c r="P72" s="514"/>
      <c r="Q72" s="522"/>
      <c r="R72" s="522"/>
      <c r="S72" s="514"/>
      <c r="T72" s="520"/>
      <c r="U72" s="514"/>
      <c r="V72" s="514"/>
      <c r="W72" s="522"/>
      <c r="X72" s="514"/>
      <c r="Y72" s="522"/>
      <c r="Z72" s="522"/>
      <c r="AA72" s="520"/>
      <c r="AB72" s="522"/>
      <c r="AC72" s="522"/>
      <c r="AD72" s="522"/>
      <c r="AE72" s="522"/>
      <c r="AF72" s="522"/>
      <c r="AG72" s="521"/>
      <c r="AH72" s="789"/>
      <c r="AI72" s="664">
        <f t="shared" si="13"/>
        <v>0</v>
      </c>
      <c r="AJ72" s="790"/>
      <c r="AK72" s="521">
        <v>0</v>
      </c>
      <c r="AL72" s="520">
        <f t="shared" si="11"/>
        <v>0</v>
      </c>
      <c r="AM72" s="695"/>
      <c r="AN72" s="669">
        <f t="shared" si="12"/>
        <v>0</v>
      </c>
    </row>
    <row r="73" spans="1:40" s="500" customFormat="1">
      <c r="A73" s="539" t="s">
        <v>772</v>
      </c>
      <c r="B73" s="539" t="s">
        <v>1222</v>
      </c>
      <c r="C73" s="974" t="s">
        <v>38</v>
      </c>
      <c r="D73" s="667"/>
      <c r="E73" s="944"/>
      <c r="F73" s="520"/>
      <c r="G73" s="520"/>
      <c r="H73" s="520"/>
      <c r="I73" s="521"/>
      <c r="J73" s="521"/>
      <c r="K73" s="521"/>
      <c r="L73" s="514"/>
      <c r="M73" s="520"/>
      <c r="N73" s="514"/>
      <c r="O73" s="756"/>
      <c r="P73" s="514"/>
      <c r="Q73" s="522"/>
      <c r="R73" s="522"/>
      <c r="S73" s="522"/>
      <c r="T73" s="520"/>
      <c r="U73" s="514"/>
      <c r="V73" s="514"/>
      <c r="W73" s="522"/>
      <c r="X73" s="514"/>
      <c r="Y73" s="522"/>
      <c r="Z73" s="522"/>
      <c r="AA73" s="520"/>
      <c r="AB73" s="522"/>
      <c r="AC73" s="522"/>
      <c r="AD73" s="522"/>
      <c r="AE73" s="522"/>
      <c r="AF73" s="522"/>
      <c r="AG73" s="1022">
        <v>94.93</v>
      </c>
      <c r="AH73" s="789"/>
      <c r="AI73" s="996">
        <f t="shared" si="13"/>
        <v>94.93</v>
      </c>
      <c r="AJ73" s="790"/>
      <c r="AK73" s="521">
        <v>0</v>
      </c>
      <c r="AL73" s="520">
        <f t="shared" si="11"/>
        <v>94.93</v>
      </c>
      <c r="AM73" s="695" t="s">
        <v>1601</v>
      </c>
      <c r="AN73" s="669">
        <f t="shared" si="12"/>
        <v>17</v>
      </c>
    </row>
    <row r="74" spans="1:40" s="500" customFormat="1">
      <c r="A74" s="539" t="s">
        <v>773</v>
      </c>
      <c r="B74" s="539" t="s">
        <v>225</v>
      </c>
      <c r="C74" s="974" t="s">
        <v>1450</v>
      </c>
      <c r="D74" s="667"/>
      <c r="E74" s="944"/>
      <c r="F74" s="520"/>
      <c r="G74" s="520"/>
      <c r="H74" s="520"/>
      <c r="I74" s="521"/>
      <c r="J74" s="521"/>
      <c r="K74" s="521"/>
      <c r="L74" s="514"/>
      <c r="M74" s="520"/>
      <c r="N74" s="514"/>
      <c r="O74" s="756"/>
      <c r="P74" s="514"/>
      <c r="Q74" s="522"/>
      <c r="R74" s="522"/>
      <c r="S74" s="514"/>
      <c r="T74" s="520"/>
      <c r="U74" s="514"/>
      <c r="V74" s="514"/>
      <c r="W74" s="522"/>
      <c r="X74" s="514"/>
      <c r="Y74" s="522"/>
      <c r="Z74" s="522"/>
      <c r="AA74" s="520"/>
      <c r="AB74" s="522"/>
      <c r="AC74" s="522"/>
      <c r="AD74" s="522"/>
      <c r="AE74" s="522"/>
      <c r="AF74" s="522"/>
      <c r="AG74" s="1022">
        <v>9</v>
      </c>
      <c r="AH74" s="790"/>
      <c r="AI74" s="996">
        <f t="shared" si="13"/>
        <v>9</v>
      </c>
      <c r="AJ74" s="790"/>
      <c r="AK74" s="521">
        <v>0</v>
      </c>
      <c r="AL74" s="520">
        <f t="shared" si="11"/>
        <v>9</v>
      </c>
      <c r="AM74" s="695" t="s">
        <v>1602</v>
      </c>
      <c r="AN74" s="669">
        <f t="shared" si="12"/>
        <v>15</v>
      </c>
    </row>
    <row r="75" spans="1:40" s="500" customFormat="1">
      <c r="A75" s="440" t="s">
        <v>781</v>
      </c>
      <c r="B75" s="543" t="s">
        <v>1225</v>
      </c>
      <c r="C75" s="792"/>
      <c r="D75" s="667"/>
      <c r="E75" s="944"/>
      <c r="F75" s="520"/>
      <c r="G75" s="520"/>
      <c r="H75" s="520"/>
      <c r="I75" s="521"/>
      <c r="J75" s="521"/>
      <c r="K75" s="521"/>
      <c r="L75" s="514"/>
      <c r="M75" s="520"/>
      <c r="N75" s="514"/>
      <c r="O75" s="756"/>
      <c r="P75" s="514"/>
      <c r="Q75" s="522"/>
      <c r="R75" s="522"/>
      <c r="S75" s="514"/>
      <c r="T75" s="520"/>
      <c r="U75" s="514"/>
      <c r="V75" s="514"/>
      <c r="W75" s="522"/>
      <c r="X75" s="514"/>
      <c r="Y75" s="522"/>
      <c r="Z75" s="522"/>
      <c r="AA75" s="520"/>
      <c r="AB75" s="522"/>
      <c r="AC75" s="522"/>
      <c r="AD75" s="522"/>
      <c r="AE75" s="522"/>
      <c r="AF75" s="522"/>
      <c r="AG75" s="521"/>
      <c r="AH75" s="789"/>
      <c r="AI75" s="664">
        <f t="shared" si="13"/>
        <v>0</v>
      </c>
      <c r="AJ75" s="790"/>
      <c r="AK75" s="521">
        <v>0</v>
      </c>
      <c r="AL75" s="520">
        <f t="shared" ref="AL75:AL84" si="14">AI75+AK75</f>
        <v>0</v>
      </c>
      <c r="AM75" s="695"/>
      <c r="AN75" s="669">
        <f t="shared" ref="AN75:AN84" si="15">AM75-AL75</f>
        <v>0</v>
      </c>
    </row>
    <row r="76" spans="1:40" s="500" customFormat="1">
      <c r="A76" s="542" t="s">
        <v>782</v>
      </c>
      <c r="B76" s="542" t="s">
        <v>46</v>
      </c>
      <c r="C76" s="792"/>
      <c r="D76" s="667"/>
      <c r="E76" s="944"/>
      <c r="F76" s="520"/>
      <c r="G76" s="520"/>
      <c r="H76" s="520"/>
      <c r="I76" s="521"/>
      <c r="J76" s="521"/>
      <c r="K76" s="521"/>
      <c r="L76" s="514"/>
      <c r="M76" s="520"/>
      <c r="N76" s="514"/>
      <c r="O76" s="756"/>
      <c r="P76" s="514"/>
      <c r="Q76" s="522"/>
      <c r="R76" s="522"/>
      <c r="S76" s="514"/>
      <c r="T76" s="520"/>
      <c r="U76" s="514"/>
      <c r="V76" s="514"/>
      <c r="W76" s="522"/>
      <c r="X76" s="514"/>
      <c r="Y76" s="522"/>
      <c r="Z76" s="522"/>
      <c r="AA76" s="520"/>
      <c r="AB76" s="522"/>
      <c r="AC76" s="522"/>
      <c r="AD76" s="522"/>
      <c r="AE76" s="522"/>
      <c r="AF76" s="522"/>
      <c r="AG76" s="521"/>
      <c r="AH76" s="789"/>
      <c r="AI76" s="664">
        <f t="shared" si="13"/>
        <v>0</v>
      </c>
      <c r="AJ76" s="790"/>
      <c r="AK76" s="521">
        <v>0</v>
      </c>
      <c r="AL76" s="520">
        <f t="shared" si="14"/>
        <v>0</v>
      </c>
      <c r="AM76" s="695"/>
      <c r="AN76" s="669">
        <f t="shared" si="15"/>
        <v>0</v>
      </c>
    </row>
    <row r="77" spans="1:40" s="500" customFormat="1" ht="13.5" thickBot="1">
      <c r="A77" s="539" t="s">
        <v>784</v>
      </c>
      <c r="B77" s="539" t="s">
        <v>269</v>
      </c>
      <c r="C77" s="974" t="s">
        <v>37</v>
      </c>
      <c r="D77" s="667"/>
      <c r="E77" s="1040">
        <f>10.25*6*0.2</f>
        <v>12.3</v>
      </c>
      <c r="F77" s="520"/>
      <c r="G77" s="520"/>
      <c r="H77" s="520"/>
      <c r="I77" s="521"/>
      <c r="J77" s="521"/>
      <c r="K77" s="521"/>
      <c r="L77" s="514"/>
      <c r="M77" s="520"/>
      <c r="N77" s="514"/>
      <c r="O77" s="756"/>
      <c r="P77" s="514"/>
      <c r="Q77" s="522"/>
      <c r="R77" s="522"/>
      <c r="S77" s="514"/>
      <c r="T77" s="520"/>
      <c r="U77" s="514"/>
      <c r="V77" s="514"/>
      <c r="W77" s="522"/>
      <c r="X77" s="514"/>
      <c r="Y77" s="522"/>
      <c r="Z77" s="522"/>
      <c r="AA77" s="520"/>
      <c r="AB77" s="522"/>
      <c r="AC77" s="522"/>
      <c r="AD77" s="1026">
        <v>10</v>
      </c>
      <c r="AE77" s="1026">
        <v>10</v>
      </c>
      <c r="AF77" s="1026">
        <v>10</v>
      </c>
      <c r="AG77" s="1022">
        <v>17.7</v>
      </c>
      <c r="AH77" s="789"/>
      <c r="AI77" s="996">
        <f t="shared" si="13"/>
        <v>60</v>
      </c>
      <c r="AJ77" s="790"/>
      <c r="AK77" s="521">
        <v>0</v>
      </c>
      <c r="AL77" s="520">
        <f t="shared" si="14"/>
        <v>60</v>
      </c>
      <c r="AM77" s="695" t="s">
        <v>1608</v>
      </c>
      <c r="AN77" s="669">
        <f t="shared" si="15"/>
        <v>0</v>
      </c>
    </row>
    <row r="78" spans="1:40" s="843" customFormat="1">
      <c r="A78" s="541" t="s">
        <v>45</v>
      </c>
      <c r="B78" s="541" t="s">
        <v>1234</v>
      </c>
      <c r="C78" s="792"/>
      <c r="D78" s="667"/>
      <c r="E78" s="944"/>
      <c r="F78" s="520"/>
      <c r="G78" s="520"/>
      <c r="H78" s="520"/>
      <c r="I78" s="521"/>
      <c r="J78" s="521"/>
      <c r="K78" s="521"/>
      <c r="L78" s="514"/>
      <c r="M78" s="520"/>
      <c r="N78" s="514"/>
      <c r="O78" s="756"/>
      <c r="P78" s="514"/>
      <c r="Q78" s="522"/>
      <c r="R78" s="522"/>
      <c r="S78" s="514"/>
      <c r="T78" s="520"/>
      <c r="U78" s="514"/>
      <c r="V78" s="514"/>
      <c r="W78" s="522"/>
      <c r="X78" s="514"/>
      <c r="Y78" s="522"/>
      <c r="Z78" s="522"/>
      <c r="AA78" s="520"/>
      <c r="AB78" s="522"/>
      <c r="AC78" s="522"/>
      <c r="AD78" s="522"/>
      <c r="AE78" s="522"/>
      <c r="AF78" s="522"/>
      <c r="AG78" s="521"/>
      <c r="AH78" s="789"/>
      <c r="AI78" s="664">
        <f t="shared" si="13"/>
        <v>0</v>
      </c>
      <c r="AJ78" s="790"/>
      <c r="AK78" s="836">
        <v>0</v>
      </c>
      <c r="AL78" s="835">
        <f t="shared" si="14"/>
        <v>0</v>
      </c>
      <c r="AM78" s="848"/>
      <c r="AN78" s="842">
        <f t="shared" si="15"/>
        <v>0</v>
      </c>
    </row>
    <row r="79" spans="1:40" s="500" customFormat="1">
      <c r="A79" s="440" t="s">
        <v>47</v>
      </c>
      <c r="B79" s="543" t="s">
        <v>1235</v>
      </c>
      <c r="C79" s="792"/>
      <c r="D79" s="667"/>
      <c r="E79" s="944"/>
      <c r="F79" s="520"/>
      <c r="G79" s="520"/>
      <c r="H79" s="520"/>
      <c r="I79" s="521"/>
      <c r="J79" s="521"/>
      <c r="K79" s="521"/>
      <c r="L79" s="514"/>
      <c r="M79" s="520"/>
      <c r="N79" s="514"/>
      <c r="O79" s="756"/>
      <c r="P79" s="514"/>
      <c r="Q79" s="522"/>
      <c r="R79" s="522"/>
      <c r="S79" s="514"/>
      <c r="T79" s="520"/>
      <c r="U79" s="514"/>
      <c r="V79" s="514"/>
      <c r="W79" s="522"/>
      <c r="X79" s="514"/>
      <c r="Y79" s="522"/>
      <c r="Z79" s="522"/>
      <c r="AA79" s="520"/>
      <c r="AB79" s="522"/>
      <c r="AC79" s="522"/>
      <c r="AD79" s="522"/>
      <c r="AE79" s="522"/>
      <c r="AF79" s="522"/>
      <c r="AG79" s="521"/>
      <c r="AH79" s="789"/>
      <c r="AI79" s="664">
        <f t="shared" si="13"/>
        <v>0</v>
      </c>
      <c r="AJ79" s="790"/>
      <c r="AK79" s="521">
        <v>0</v>
      </c>
      <c r="AL79" s="520">
        <f t="shared" si="14"/>
        <v>0</v>
      </c>
      <c r="AM79" s="695"/>
      <c r="AN79" s="669">
        <f t="shared" si="15"/>
        <v>0</v>
      </c>
    </row>
    <row r="80" spans="1:40" s="500" customFormat="1">
      <c r="A80" s="542" t="s">
        <v>50</v>
      </c>
      <c r="B80" s="542" t="s">
        <v>1239</v>
      </c>
      <c r="C80" s="792"/>
      <c r="D80" s="667"/>
      <c r="E80" s="944"/>
      <c r="F80" s="520"/>
      <c r="G80" s="520"/>
      <c r="H80" s="520"/>
      <c r="I80" s="521"/>
      <c r="J80" s="521"/>
      <c r="K80" s="521"/>
      <c r="L80" s="514"/>
      <c r="M80" s="520"/>
      <c r="N80" s="514"/>
      <c r="O80" s="756"/>
      <c r="P80" s="514"/>
      <c r="Q80" s="522"/>
      <c r="R80" s="522"/>
      <c r="S80" s="514"/>
      <c r="T80" s="520"/>
      <c r="U80" s="514"/>
      <c r="V80" s="514"/>
      <c r="W80" s="522"/>
      <c r="X80" s="514"/>
      <c r="Y80" s="522"/>
      <c r="Z80" s="522"/>
      <c r="AA80" s="520"/>
      <c r="AB80" s="522"/>
      <c r="AC80" s="522"/>
      <c r="AD80" s="522"/>
      <c r="AE80" s="522"/>
      <c r="AF80" s="522"/>
      <c r="AG80" s="521"/>
      <c r="AH80" s="789"/>
      <c r="AI80" s="664">
        <f t="shared" si="13"/>
        <v>0</v>
      </c>
      <c r="AJ80" s="790"/>
      <c r="AK80" s="521">
        <v>0</v>
      </c>
      <c r="AL80" s="520">
        <f t="shared" si="14"/>
        <v>0</v>
      </c>
      <c r="AM80" s="695"/>
      <c r="AN80" s="669">
        <f t="shared" si="15"/>
        <v>0</v>
      </c>
    </row>
    <row r="81" spans="1:40" s="500" customFormat="1">
      <c r="A81" s="539" t="s">
        <v>804</v>
      </c>
      <c r="B81" s="539" t="s">
        <v>1241</v>
      </c>
      <c r="C81" s="974" t="s">
        <v>37</v>
      </c>
      <c r="D81" s="667"/>
      <c r="E81" s="944"/>
      <c r="F81" s="520"/>
      <c r="G81" s="520"/>
      <c r="H81" s="520"/>
      <c r="J81" s="521"/>
      <c r="K81" s="521"/>
      <c r="L81" s="514"/>
      <c r="M81" s="520"/>
      <c r="N81" s="514"/>
      <c r="O81" s="756"/>
      <c r="P81" s="514"/>
      <c r="Q81" s="522"/>
      <c r="R81" s="522"/>
      <c r="S81" s="1047">
        <f>3.05*2.6+3.05*2.6+4.4*1.5+3.32*0.3+4.4*0.3+0.42*2.6+0.42*2.6+0.42*2.6+0.27*2.6+0.52*2.6</f>
        <v>30.105999999999998</v>
      </c>
      <c r="T81" s="1041">
        <f>2.43*2.6+1.55*2.6+1.3*1.2+2.2*2+0.53*2.6+0.28*2.6+0.24*2.6+7.5*0.3</f>
        <v>21.288</v>
      </c>
      <c r="U81" s="514"/>
      <c r="V81" s="514"/>
      <c r="W81" s="1026">
        <f>2.99</f>
        <v>2.99</v>
      </c>
      <c r="X81" s="514"/>
      <c r="Y81" s="522"/>
      <c r="Z81" s="522"/>
      <c r="AA81" s="520"/>
      <c r="AB81" s="522"/>
      <c r="AC81" s="522"/>
      <c r="AD81" s="522"/>
      <c r="AE81" s="522"/>
      <c r="AF81" s="522"/>
      <c r="AG81" s="521"/>
      <c r="AH81" s="789"/>
      <c r="AI81" s="996">
        <f t="shared" si="13"/>
        <v>54.38</v>
      </c>
      <c r="AJ81" s="790"/>
      <c r="AK81" s="521">
        <v>0</v>
      </c>
      <c r="AL81" s="520">
        <f t="shared" si="14"/>
        <v>54.38</v>
      </c>
      <c r="AM81" s="695" t="s">
        <v>1622</v>
      </c>
      <c r="AN81" s="669">
        <f t="shared" si="15"/>
        <v>0</v>
      </c>
    </row>
    <row r="82" spans="1:40" s="500" customFormat="1">
      <c r="A82" s="539" t="s">
        <v>807</v>
      </c>
      <c r="B82" s="539" t="s">
        <v>1244</v>
      </c>
      <c r="C82" s="974" t="s">
        <v>37</v>
      </c>
      <c r="D82" s="667"/>
      <c r="E82" s="944"/>
      <c r="F82" s="520"/>
      <c r="G82" s="520"/>
      <c r="H82" s="520"/>
      <c r="J82" s="521"/>
      <c r="K82" s="521"/>
      <c r="L82" s="514"/>
      <c r="M82" s="520"/>
      <c r="N82" s="514"/>
      <c r="O82" s="756"/>
      <c r="P82" s="514"/>
      <c r="Q82" s="522"/>
      <c r="R82" s="522"/>
      <c r="S82" s="514"/>
      <c r="T82" s="520"/>
      <c r="U82" s="514"/>
      <c r="V82" s="514"/>
      <c r="W82" s="522"/>
      <c r="X82" s="514"/>
      <c r="Y82" s="522"/>
      <c r="Z82" s="522"/>
      <c r="AA82" s="520"/>
      <c r="AB82" s="522"/>
      <c r="AC82" s="522"/>
      <c r="AD82" s="1026">
        <f>20*0.62-3.53</f>
        <v>8.870000000000001</v>
      </c>
      <c r="AE82" s="522"/>
      <c r="AF82" s="522"/>
      <c r="AG82" s="521"/>
      <c r="AH82" s="789"/>
      <c r="AI82" s="996">
        <f t="shared" si="13"/>
        <v>8.8699999999999992</v>
      </c>
      <c r="AJ82" s="790"/>
      <c r="AK82" s="521">
        <v>0</v>
      </c>
      <c r="AL82" s="520">
        <f t="shared" si="14"/>
        <v>8.8699999999999992</v>
      </c>
      <c r="AM82" s="695" t="s">
        <v>1625</v>
      </c>
      <c r="AN82" s="669">
        <f t="shared" si="15"/>
        <v>30.300000000000004</v>
      </c>
    </row>
    <row r="83" spans="1:40" s="500" customFormat="1">
      <c r="A83" s="542" t="s">
        <v>277</v>
      </c>
      <c r="B83" s="542" t="s">
        <v>1249</v>
      </c>
      <c r="C83" s="792"/>
      <c r="D83" s="667"/>
      <c r="E83" s="944"/>
      <c r="F83" s="520"/>
      <c r="G83" s="520"/>
      <c r="H83" s="520"/>
      <c r="I83" s="521"/>
      <c r="J83" s="521"/>
      <c r="K83" s="521"/>
      <c r="L83" s="514"/>
      <c r="M83" s="520"/>
      <c r="N83" s="514"/>
      <c r="O83" s="756"/>
      <c r="P83" s="514"/>
      <c r="Q83" s="522"/>
      <c r="R83" s="522"/>
      <c r="S83" s="514"/>
      <c r="T83" s="520"/>
      <c r="U83" s="514"/>
      <c r="V83" s="514"/>
      <c r="W83" s="522"/>
      <c r="X83" s="514"/>
      <c r="Y83" s="522"/>
      <c r="Z83" s="522"/>
      <c r="AA83" s="520"/>
      <c r="AB83" s="522"/>
      <c r="AC83" s="522"/>
      <c r="AD83" s="522"/>
      <c r="AE83" s="522"/>
      <c r="AF83" s="522"/>
      <c r="AG83" s="521"/>
      <c r="AH83" s="789"/>
      <c r="AI83" s="664">
        <f t="shared" si="13"/>
        <v>0</v>
      </c>
      <c r="AJ83" s="790"/>
      <c r="AK83" s="521">
        <v>0</v>
      </c>
      <c r="AL83" s="520">
        <f t="shared" si="14"/>
        <v>0</v>
      </c>
      <c r="AM83" s="695"/>
      <c r="AN83" s="669">
        <f t="shared" si="15"/>
        <v>0</v>
      </c>
    </row>
    <row r="84" spans="1:40" s="500" customFormat="1">
      <c r="A84" s="539" t="s">
        <v>811</v>
      </c>
      <c r="B84" s="539" t="s">
        <v>1250</v>
      </c>
      <c r="C84" s="974" t="s">
        <v>37</v>
      </c>
      <c r="D84" s="667"/>
      <c r="E84" s="944"/>
      <c r="F84" s="520"/>
      <c r="G84" s="520"/>
      <c r="H84" s="520"/>
      <c r="I84" s="521"/>
      <c r="J84" s="521"/>
      <c r="K84" s="521"/>
      <c r="L84" s="514"/>
      <c r="M84" s="520"/>
      <c r="N84" s="514"/>
      <c r="O84" s="756"/>
      <c r="P84" s="514"/>
      <c r="Q84" s="522"/>
      <c r="R84" s="522"/>
      <c r="S84" s="514"/>
      <c r="T84" s="520"/>
      <c r="U84" s="514"/>
      <c r="V84" s="514"/>
      <c r="W84" s="522"/>
      <c r="X84" s="514"/>
      <c r="Y84" s="522"/>
      <c r="Z84" s="522"/>
      <c r="AA84" s="520"/>
      <c r="AB84" s="522"/>
      <c r="AC84" s="522"/>
      <c r="AD84" s="522"/>
      <c r="AE84" s="522"/>
      <c r="AF84" s="522"/>
      <c r="AG84" s="1022">
        <v>72.22</v>
      </c>
      <c r="AH84" s="789"/>
      <c r="AI84" s="996">
        <f t="shared" si="13"/>
        <v>72.22</v>
      </c>
      <c r="AJ84" s="790"/>
      <c r="AK84" s="521">
        <v>0</v>
      </c>
      <c r="AL84" s="520">
        <f t="shared" si="14"/>
        <v>72.22</v>
      </c>
      <c r="AM84" s="695" t="s">
        <v>1629</v>
      </c>
      <c r="AN84" s="669">
        <f t="shared" si="15"/>
        <v>0</v>
      </c>
    </row>
    <row r="85" spans="1:40" s="500" customFormat="1">
      <c r="A85" s="440" t="s">
        <v>475</v>
      </c>
      <c r="B85" s="543" t="s">
        <v>1284</v>
      </c>
      <c r="C85" s="792"/>
      <c r="D85" s="667"/>
      <c r="E85" s="944"/>
      <c r="F85" s="520"/>
      <c r="G85" s="520"/>
      <c r="H85" s="520"/>
      <c r="I85" s="521"/>
      <c r="J85" s="521"/>
      <c r="K85" s="521"/>
      <c r="L85" s="514"/>
      <c r="M85" s="520"/>
      <c r="N85" s="514"/>
      <c r="O85" s="756"/>
      <c r="P85" s="514"/>
      <c r="Q85" s="522"/>
      <c r="R85" s="522"/>
      <c r="S85" s="514"/>
      <c r="T85" s="520"/>
      <c r="U85" s="514"/>
      <c r="V85" s="514"/>
      <c r="W85" s="522"/>
      <c r="X85" s="514"/>
      <c r="Y85" s="522"/>
      <c r="Z85" s="522"/>
      <c r="AA85" s="520"/>
      <c r="AB85" s="522"/>
      <c r="AC85" s="522"/>
      <c r="AD85" s="522"/>
      <c r="AE85" s="522"/>
      <c r="AF85" s="522"/>
      <c r="AG85" s="521"/>
      <c r="AH85" s="789"/>
      <c r="AI85" s="664">
        <f t="shared" ref="AI85:AI96" si="16">ROUND((SUM(E85:AH85)),2)</f>
        <v>0</v>
      </c>
      <c r="AJ85" s="790"/>
      <c r="AK85" s="521">
        <v>0</v>
      </c>
      <c r="AL85" s="520">
        <f t="shared" ref="AL85:AL98" si="17">AI85+AK85</f>
        <v>0</v>
      </c>
      <c r="AM85" s="695"/>
      <c r="AN85" s="669">
        <f t="shared" ref="AN85:AN98" si="18">AM85-AL85</f>
        <v>0</v>
      </c>
    </row>
    <row r="86" spans="1:40" s="500" customFormat="1">
      <c r="A86" s="542" t="s">
        <v>476</v>
      </c>
      <c r="B86" s="542" t="s">
        <v>1236</v>
      </c>
      <c r="C86" s="792"/>
      <c r="D86" s="667"/>
      <c r="E86" s="944"/>
      <c r="F86" s="520"/>
      <c r="G86" s="520"/>
      <c r="H86" s="520"/>
      <c r="I86" s="521"/>
      <c r="J86" s="521"/>
      <c r="K86" s="521"/>
      <c r="L86" s="514"/>
      <c r="M86" s="520"/>
      <c r="N86" s="514"/>
      <c r="O86" s="756"/>
      <c r="P86" s="514"/>
      <c r="Q86" s="522"/>
      <c r="R86" s="522"/>
      <c r="S86" s="514"/>
      <c r="T86" s="520"/>
      <c r="U86" s="514"/>
      <c r="V86" s="514"/>
      <c r="W86" s="522"/>
      <c r="X86" s="514"/>
      <c r="Y86" s="522"/>
      <c r="Z86" s="522"/>
      <c r="AA86" s="520"/>
      <c r="AB86" s="522"/>
      <c r="AC86" s="522"/>
      <c r="AD86" s="522"/>
      <c r="AE86" s="522"/>
      <c r="AF86" s="522"/>
      <c r="AG86" s="521"/>
      <c r="AH86" s="789"/>
      <c r="AI86" s="664">
        <f t="shared" si="16"/>
        <v>0</v>
      </c>
      <c r="AJ86" s="790"/>
      <c r="AK86" s="521">
        <v>0</v>
      </c>
      <c r="AL86" s="520">
        <f t="shared" si="17"/>
        <v>0</v>
      </c>
      <c r="AM86" s="695"/>
      <c r="AN86" s="669">
        <f t="shared" si="18"/>
        <v>0</v>
      </c>
    </row>
    <row r="87" spans="1:40" s="500" customFormat="1">
      <c r="A87" s="539" t="s">
        <v>843</v>
      </c>
      <c r="B87" s="539" t="s">
        <v>1238</v>
      </c>
      <c r="C87" s="974" t="s">
        <v>37</v>
      </c>
      <c r="D87" s="667"/>
      <c r="E87" s="944"/>
      <c r="F87" s="520"/>
      <c r="G87" s="520"/>
      <c r="H87" s="520"/>
      <c r="I87" s="521"/>
      <c r="J87" s="521"/>
      <c r="K87" s="521"/>
      <c r="L87" s="514"/>
      <c r="M87" s="520"/>
      <c r="N87" s="514"/>
      <c r="O87" s="756"/>
      <c r="P87" s="514"/>
      <c r="Q87" s="522"/>
      <c r="R87" s="522"/>
      <c r="S87" s="514"/>
      <c r="T87" s="520"/>
      <c r="U87" s="514"/>
      <c r="V87" s="514"/>
      <c r="W87" s="522"/>
      <c r="X87" s="514"/>
      <c r="Y87" s="522"/>
      <c r="Z87" s="522"/>
      <c r="AA87" s="520"/>
      <c r="AB87" s="522"/>
      <c r="AC87" s="522"/>
      <c r="AD87" s="522"/>
      <c r="AE87" s="1026">
        <f>1.85*1.2+1.85*1.2</f>
        <v>4.4400000000000004</v>
      </c>
      <c r="AF87" s="522"/>
      <c r="AG87" s="521"/>
      <c r="AH87" s="789"/>
      <c r="AI87" s="996">
        <f t="shared" si="16"/>
        <v>4.4400000000000004</v>
      </c>
      <c r="AJ87" s="790"/>
      <c r="AK87" s="521">
        <v>0</v>
      </c>
      <c r="AL87" s="520">
        <f t="shared" si="17"/>
        <v>4.4400000000000004</v>
      </c>
      <c r="AM87" s="695" t="s">
        <v>1647</v>
      </c>
      <c r="AN87" s="669">
        <f t="shared" si="18"/>
        <v>2</v>
      </c>
    </row>
    <row r="88" spans="1:40" s="500" customFormat="1">
      <c r="A88" s="542" t="s">
        <v>477</v>
      </c>
      <c r="B88" s="542" t="s">
        <v>1239</v>
      </c>
      <c r="C88" s="792"/>
      <c r="D88" s="667"/>
      <c r="E88" s="944"/>
      <c r="F88" s="520"/>
      <c r="G88" s="520"/>
      <c r="H88" s="520"/>
      <c r="I88" s="521"/>
      <c r="J88" s="521"/>
      <c r="K88" s="521"/>
      <c r="L88" s="514"/>
      <c r="M88" s="520"/>
      <c r="N88" s="514"/>
      <c r="O88" s="756"/>
      <c r="P88" s="514"/>
      <c r="Q88" s="522"/>
      <c r="R88" s="522"/>
      <c r="S88" s="514"/>
      <c r="T88" s="520"/>
      <c r="U88" s="514"/>
      <c r="V88" s="514"/>
      <c r="W88" s="522"/>
      <c r="X88" s="514"/>
      <c r="Y88" s="522"/>
      <c r="Z88" s="522"/>
      <c r="AA88" s="520"/>
      <c r="AB88" s="522"/>
      <c r="AC88" s="522"/>
      <c r="AD88" s="522"/>
      <c r="AE88" s="522"/>
      <c r="AF88" s="522"/>
      <c r="AG88" s="521"/>
      <c r="AH88" s="789"/>
      <c r="AI88" s="664">
        <f t="shared" si="16"/>
        <v>0</v>
      </c>
      <c r="AJ88" s="790"/>
      <c r="AK88" s="521">
        <v>0</v>
      </c>
      <c r="AL88" s="520">
        <f t="shared" si="17"/>
        <v>0</v>
      </c>
      <c r="AM88" s="695"/>
      <c r="AN88" s="669">
        <f t="shared" si="18"/>
        <v>0</v>
      </c>
    </row>
    <row r="89" spans="1:40" s="500" customFormat="1">
      <c r="A89" s="539" t="s">
        <v>844</v>
      </c>
      <c r="B89" s="539" t="s">
        <v>1240</v>
      </c>
      <c r="C89" s="974" t="s">
        <v>37</v>
      </c>
      <c r="D89" s="667"/>
      <c r="E89" s="944"/>
      <c r="F89" s="520"/>
      <c r="G89" s="520"/>
      <c r="H89" s="520"/>
      <c r="I89" s="1022">
        <f>2.6*2.2</f>
        <v>5.7200000000000006</v>
      </c>
      <c r="J89" s="1022">
        <f>2.35*2.6+1.7*2.6</f>
        <v>10.530000000000001</v>
      </c>
      <c r="K89" s="1022">
        <f>2.17*1.95</f>
        <v>4.2314999999999996</v>
      </c>
      <c r="L89" s="514"/>
      <c r="M89" s="520"/>
      <c r="N89" s="522"/>
      <c r="O89" s="745"/>
      <c r="P89" s="514"/>
      <c r="Q89" s="522"/>
      <c r="R89" s="522"/>
      <c r="S89" s="514"/>
      <c r="T89" s="520"/>
      <c r="U89" s="514"/>
      <c r="V89" s="514"/>
      <c r="W89" s="522"/>
      <c r="Y89" s="522"/>
      <c r="Z89" s="522"/>
      <c r="AA89" s="520"/>
      <c r="AB89" s="522"/>
      <c r="AC89" s="522"/>
      <c r="AD89" s="1026">
        <v>1.24</v>
      </c>
      <c r="AE89" s="522"/>
      <c r="AF89" s="522"/>
      <c r="AG89" s="521"/>
      <c r="AH89" s="789"/>
      <c r="AI89" s="996">
        <f t="shared" si="16"/>
        <v>21.72</v>
      </c>
      <c r="AJ89" s="790"/>
      <c r="AK89" s="521">
        <v>0</v>
      </c>
      <c r="AL89" s="520">
        <f t="shared" si="17"/>
        <v>21.72</v>
      </c>
      <c r="AM89" s="695" t="s">
        <v>1648</v>
      </c>
      <c r="AN89" s="669">
        <f t="shared" si="18"/>
        <v>78.27</v>
      </c>
    </row>
    <row r="90" spans="1:40" s="500" customFormat="1">
      <c r="A90" s="539" t="s">
        <v>845</v>
      </c>
      <c r="B90" s="539" t="s">
        <v>1241</v>
      </c>
      <c r="C90" s="974" t="s">
        <v>37</v>
      </c>
      <c r="D90" s="667"/>
      <c r="E90" s="944"/>
      <c r="F90" s="520"/>
      <c r="G90" s="520"/>
      <c r="I90" s="521"/>
      <c r="J90" s="1022">
        <f>3.1*0.2+4.95*0.2+2.6*0.3+2.6*0.25+2.6*0.26+2.6*0.26+1.55*2.6+1.4*2.2+1.42*2.2-4.52333</f>
        <v>10.102670000000002</v>
      </c>
      <c r="K90" s="1022">
        <f>2.25*2.6+2.3*2.36+2.1*2.1+0.44*2.6+0.44*2.6+0.28*2.6+0.28*2.6+3.12*0.2+5*0.2-4.52333333</f>
        <v>16.532666670000001</v>
      </c>
      <c r="L90" s="1026">
        <f>0.75*1.4*2.55*1.2+0.75*1.4+2.57*1.2+0.75*1.4+2.55*1.2+3.1*0.2+3.12*0.2+3.1*0.2+0.25*2.6+0.28*2.6+0.26*2.6+0.27*2.6+0.26*2.6+0.28*2.6-4.52333</f>
        <v>12.957669999999998</v>
      </c>
      <c r="M90" s="1041">
        <f>2.16*2.6+0.75*1.4+1.22*2.6+0.26*2.6+0.25*2.6+0.27*2.6+0.2*2.45+0.2*3.13-4.52333</f>
        <v>8.4586700000000015</v>
      </c>
      <c r="N90" s="1026">
        <f>3.15*0.2+2.5*0.2+2.3*2.6+0.7*1.4+2.5*1.2+0.45*2.6+0.46*2.6+0.27*2.6+0.28*2.6-4.5233</f>
        <v>10.3627</v>
      </c>
      <c r="O90" s="756"/>
      <c r="P90" s="1026">
        <f>0.75*1.4+2.58*1.2+3.12*0.2+0.27*2.6+0.27*2.6-4.5233</f>
        <v>1.6506999999999996</v>
      </c>
      <c r="Q90" s="522"/>
      <c r="R90" s="522"/>
      <c r="S90" s="514"/>
      <c r="T90" s="520"/>
      <c r="U90" s="514"/>
      <c r="V90" s="514"/>
      <c r="W90" s="522"/>
      <c r="X90" s="514"/>
      <c r="Y90" s="522"/>
      <c r="Z90" s="522"/>
      <c r="AA90" s="520"/>
      <c r="AB90" s="522"/>
      <c r="AC90" s="522"/>
      <c r="AD90" s="522"/>
      <c r="AE90" s="522"/>
      <c r="AF90" s="522"/>
      <c r="AG90" s="521"/>
      <c r="AH90" s="789"/>
      <c r="AI90" s="996">
        <f t="shared" si="16"/>
        <v>60.07</v>
      </c>
      <c r="AJ90" s="790"/>
      <c r="AK90" s="521">
        <v>0</v>
      </c>
      <c r="AL90" s="520">
        <f t="shared" si="17"/>
        <v>60.07</v>
      </c>
      <c r="AM90" s="695" t="s">
        <v>1649</v>
      </c>
      <c r="AN90" s="669">
        <f t="shared" si="18"/>
        <v>0</v>
      </c>
    </row>
    <row r="91" spans="1:40" s="500" customFormat="1">
      <c r="A91" s="539" t="s">
        <v>846</v>
      </c>
      <c r="B91" s="539" t="s">
        <v>1242</v>
      </c>
      <c r="C91" s="974" t="s">
        <v>37</v>
      </c>
      <c r="D91" s="667"/>
      <c r="E91" s="944"/>
      <c r="F91" s="520"/>
      <c r="G91" s="520"/>
      <c r="H91" s="520"/>
      <c r="I91" s="1022">
        <v>2.96</v>
      </c>
      <c r="J91" s="1022">
        <v>2</v>
      </c>
      <c r="K91" s="1022">
        <f>2.6*0.28</f>
        <v>0.72800000000000009</v>
      </c>
      <c r="L91" s="522"/>
      <c r="M91" s="520"/>
      <c r="N91" s="514"/>
      <c r="O91" s="756"/>
      <c r="P91" s="522"/>
      <c r="Q91" s="522"/>
      <c r="R91" s="522"/>
      <c r="S91" s="514"/>
      <c r="T91" s="520"/>
      <c r="U91" s="514"/>
      <c r="V91" s="522"/>
      <c r="W91" s="522"/>
      <c r="X91" s="514"/>
      <c r="Y91" s="522"/>
      <c r="Z91" s="522"/>
      <c r="AA91" s="520"/>
      <c r="AB91" s="522"/>
      <c r="AC91" s="522"/>
      <c r="AD91" s="522"/>
      <c r="AE91" s="522"/>
      <c r="AF91" s="522"/>
      <c r="AG91" s="521"/>
      <c r="AH91" s="789"/>
      <c r="AI91" s="996">
        <f t="shared" si="16"/>
        <v>5.69</v>
      </c>
      <c r="AJ91" s="790"/>
      <c r="AK91" s="521">
        <v>0</v>
      </c>
      <c r="AL91" s="520">
        <f t="shared" si="17"/>
        <v>5.69</v>
      </c>
      <c r="AM91" s="695" t="s">
        <v>1650</v>
      </c>
      <c r="AN91" s="669">
        <f t="shared" si="18"/>
        <v>27.91</v>
      </c>
    </row>
    <row r="92" spans="1:40" s="500" customFormat="1">
      <c r="A92" s="539" t="s">
        <v>847</v>
      </c>
      <c r="B92" s="539" t="s">
        <v>1243</v>
      </c>
      <c r="C92" s="974" t="s">
        <v>37</v>
      </c>
      <c r="D92" s="667"/>
      <c r="E92" s="944"/>
      <c r="F92" s="520"/>
      <c r="G92" s="520"/>
      <c r="H92" s="520"/>
      <c r="I92" s="1022">
        <f>0.2*2.2</f>
        <v>0.44000000000000006</v>
      </c>
      <c r="J92" s="1022">
        <f>2.6*0.2+2.6*0.2</f>
        <v>1.04</v>
      </c>
      <c r="K92" s="1022">
        <f>2.17*0.2-0.27</f>
        <v>0.16399999999999998</v>
      </c>
      <c r="L92" s="514"/>
      <c r="M92" s="520"/>
      <c r="N92" s="514"/>
      <c r="O92" s="756"/>
      <c r="P92" s="514"/>
      <c r="Q92" s="522"/>
      <c r="R92" s="522"/>
      <c r="S92" s="514"/>
      <c r="T92" s="520"/>
      <c r="U92" s="514"/>
      <c r="V92" s="522"/>
      <c r="W92" s="522"/>
      <c r="X92" s="514"/>
      <c r="Y92" s="522"/>
      <c r="Z92" s="522"/>
      <c r="AA92" s="520"/>
      <c r="AB92" s="522"/>
      <c r="AC92" s="522"/>
      <c r="AD92" s="522"/>
      <c r="AE92" s="522"/>
      <c r="AF92" s="522"/>
      <c r="AG92" s="521"/>
      <c r="AH92" s="789"/>
      <c r="AI92" s="996">
        <f t="shared" si="16"/>
        <v>1.64</v>
      </c>
      <c r="AJ92" s="790"/>
      <c r="AK92" s="521">
        <v>0</v>
      </c>
      <c r="AL92" s="520">
        <f t="shared" si="17"/>
        <v>1.64</v>
      </c>
      <c r="AM92" s="695" t="s">
        <v>1651</v>
      </c>
      <c r="AN92" s="669">
        <f t="shared" si="18"/>
        <v>25.78</v>
      </c>
    </row>
    <row r="93" spans="1:40" s="500" customFormat="1">
      <c r="A93" s="539" t="s">
        <v>848</v>
      </c>
      <c r="B93" s="539" t="s">
        <v>1244</v>
      </c>
      <c r="C93" s="974" t="s">
        <v>37</v>
      </c>
      <c r="D93" s="667"/>
      <c r="E93" s="944"/>
      <c r="F93" s="520"/>
      <c r="G93" s="520"/>
      <c r="H93" s="520"/>
      <c r="I93" s="521"/>
      <c r="J93" s="521"/>
      <c r="K93" s="521"/>
      <c r="L93" s="514"/>
      <c r="M93" s="520"/>
      <c r="N93" s="514"/>
      <c r="O93" s="756"/>
      <c r="P93" s="514"/>
      <c r="Q93" s="522"/>
      <c r="R93" s="522"/>
      <c r="S93" s="514"/>
      <c r="T93" s="520"/>
      <c r="U93" s="514"/>
      <c r="V93" s="514"/>
      <c r="W93" s="522"/>
      <c r="X93" s="514"/>
      <c r="Y93" s="522"/>
      <c r="Z93" s="522"/>
      <c r="AA93" s="520"/>
      <c r="AB93" s="522"/>
      <c r="AC93" s="522"/>
      <c r="AD93" s="1026">
        <f>17*0.62</f>
        <v>10.54</v>
      </c>
      <c r="AE93" s="1026">
        <f>9.95*0.62+24.09</f>
        <v>30.259</v>
      </c>
      <c r="AF93" s="1026">
        <f>12*0.62</f>
        <v>7.4399999999999995</v>
      </c>
      <c r="AG93" s="521"/>
      <c r="AH93" s="789"/>
      <c r="AI93" s="996">
        <f t="shared" si="16"/>
        <v>48.24</v>
      </c>
      <c r="AJ93" s="790"/>
      <c r="AK93" s="521">
        <v>0</v>
      </c>
      <c r="AL93" s="520">
        <f t="shared" si="17"/>
        <v>48.24</v>
      </c>
      <c r="AM93" s="695" t="s">
        <v>1652</v>
      </c>
      <c r="AN93" s="669">
        <f t="shared" si="18"/>
        <v>31.219999999999992</v>
      </c>
    </row>
    <row r="94" spans="1:40" s="500" customFormat="1">
      <c r="A94" s="539" t="s">
        <v>850</v>
      </c>
      <c r="B94" s="539" t="s">
        <v>1246</v>
      </c>
      <c r="C94" s="974" t="s">
        <v>38</v>
      </c>
      <c r="D94" s="667"/>
      <c r="E94" s="944"/>
      <c r="F94" s="520"/>
      <c r="G94" s="520"/>
      <c r="H94" s="520"/>
      <c r="I94" s="521"/>
      <c r="J94" s="521"/>
      <c r="K94" s="521"/>
      <c r="L94" s="514"/>
      <c r="M94" s="520"/>
      <c r="N94" s="1026">
        <v>18.2</v>
      </c>
      <c r="O94" s="745"/>
      <c r="P94" s="522"/>
      <c r="Q94" s="522"/>
      <c r="R94" s="522"/>
      <c r="S94" s="514"/>
      <c r="T94" s="520"/>
      <c r="U94" s="514"/>
      <c r="V94" s="514"/>
      <c r="W94" s="522"/>
      <c r="X94" s="514"/>
      <c r="Y94" s="522"/>
      <c r="Z94" s="522"/>
      <c r="AA94" s="520"/>
      <c r="AB94" s="522"/>
      <c r="AC94" s="522"/>
      <c r="AD94" s="522"/>
      <c r="AE94" s="522"/>
      <c r="AF94" s="522"/>
      <c r="AG94" s="521"/>
      <c r="AH94" s="789"/>
      <c r="AI94" s="996">
        <f t="shared" si="16"/>
        <v>18.2</v>
      </c>
      <c r="AJ94" s="790"/>
      <c r="AK94" s="521">
        <v>0</v>
      </c>
      <c r="AL94" s="520">
        <f t="shared" si="17"/>
        <v>18.2</v>
      </c>
      <c r="AM94" s="695" t="s">
        <v>1654</v>
      </c>
      <c r="AN94" s="669">
        <f t="shared" si="18"/>
        <v>227.32000000000002</v>
      </c>
    </row>
    <row r="95" spans="1:40" s="500" customFormat="1">
      <c r="A95" s="542" t="s">
        <v>479</v>
      </c>
      <c r="B95" s="542" t="s">
        <v>1249</v>
      </c>
      <c r="C95" s="792"/>
      <c r="D95" s="667"/>
      <c r="E95" s="944"/>
      <c r="F95" s="520"/>
      <c r="G95" s="1004"/>
      <c r="H95" s="520"/>
      <c r="I95" s="521"/>
      <c r="J95" s="521"/>
      <c r="K95" s="521"/>
      <c r="L95" s="514"/>
      <c r="M95" s="520"/>
      <c r="N95" s="514"/>
      <c r="O95" s="756"/>
      <c r="P95" s="514"/>
      <c r="Q95" s="522"/>
      <c r="R95" s="522"/>
      <c r="S95" s="514"/>
      <c r="T95" s="520"/>
      <c r="U95" s="514"/>
      <c r="V95" s="514"/>
      <c r="W95" s="522"/>
      <c r="X95" s="514"/>
      <c r="Y95" s="522"/>
      <c r="Z95" s="522"/>
      <c r="AA95" s="520"/>
      <c r="AB95" s="522"/>
      <c r="AC95" s="522"/>
      <c r="AD95" s="522"/>
      <c r="AE95" s="522"/>
      <c r="AF95" s="522"/>
      <c r="AG95" s="521"/>
      <c r="AH95" s="789"/>
      <c r="AI95" s="664">
        <f t="shared" si="16"/>
        <v>0</v>
      </c>
      <c r="AJ95" s="790"/>
      <c r="AK95" s="521">
        <v>0</v>
      </c>
      <c r="AL95" s="520">
        <f t="shared" si="17"/>
        <v>0</v>
      </c>
      <c r="AM95" s="695"/>
      <c r="AN95" s="669">
        <f t="shared" si="18"/>
        <v>0</v>
      </c>
    </row>
    <row r="96" spans="1:40" s="500" customFormat="1">
      <c r="A96" s="539" t="s">
        <v>852</v>
      </c>
      <c r="B96" s="539" t="s">
        <v>1250</v>
      </c>
      <c r="C96" s="974" t="s">
        <v>37</v>
      </c>
      <c r="D96" s="667"/>
      <c r="E96" s="944"/>
      <c r="F96" s="520"/>
      <c r="G96" s="520"/>
      <c r="H96" s="520"/>
      <c r="I96" s="521"/>
      <c r="J96" s="521"/>
      <c r="K96" s="521"/>
      <c r="L96" s="514"/>
      <c r="M96" s="520"/>
      <c r="N96" s="514"/>
      <c r="O96" s="756"/>
      <c r="P96" s="514"/>
      <c r="Q96" s="522"/>
      <c r="R96" s="522"/>
      <c r="S96" s="514"/>
      <c r="T96" s="520"/>
      <c r="U96" s="514"/>
      <c r="V96" s="514"/>
      <c r="W96" s="522"/>
      <c r="X96" s="514"/>
      <c r="Y96" s="522"/>
      <c r="Z96" s="522"/>
      <c r="AA96" s="520"/>
      <c r="AB96" s="522"/>
      <c r="AC96" s="522"/>
      <c r="AD96" s="522"/>
      <c r="AE96" s="522"/>
      <c r="AF96" s="1026">
        <v>57.88</v>
      </c>
      <c r="AG96" s="521"/>
      <c r="AH96" s="789"/>
      <c r="AI96" s="996">
        <f t="shared" si="16"/>
        <v>57.88</v>
      </c>
      <c r="AJ96" s="790"/>
      <c r="AK96" s="521">
        <v>0</v>
      </c>
      <c r="AL96" s="520">
        <f t="shared" si="17"/>
        <v>57.88</v>
      </c>
      <c r="AM96" s="695" t="s">
        <v>1656</v>
      </c>
      <c r="AN96" s="669">
        <f t="shared" si="18"/>
        <v>0</v>
      </c>
    </row>
    <row r="97" spans="1:40" s="500" customFormat="1">
      <c r="A97" s="440" t="s">
        <v>484</v>
      </c>
      <c r="B97" s="543" t="s">
        <v>1155</v>
      </c>
      <c r="C97" s="792"/>
      <c r="D97" s="667"/>
      <c r="E97" s="944"/>
      <c r="F97" s="520"/>
      <c r="G97" s="520"/>
      <c r="H97" s="520"/>
      <c r="I97" s="521"/>
      <c r="J97" s="521"/>
      <c r="K97" s="521"/>
      <c r="L97" s="514"/>
      <c r="M97" s="520"/>
      <c r="N97" s="514"/>
      <c r="O97" s="756"/>
      <c r="P97" s="514"/>
      <c r="Q97" s="522"/>
      <c r="R97" s="522"/>
      <c r="S97" s="514"/>
      <c r="T97" s="520"/>
      <c r="U97" s="514"/>
      <c r="V97" s="514"/>
      <c r="W97" s="522"/>
      <c r="X97" s="514"/>
      <c r="Y97" s="522"/>
      <c r="Z97" s="522"/>
      <c r="AA97" s="520"/>
      <c r="AB97" s="522"/>
      <c r="AC97" s="522"/>
      <c r="AD97" s="522"/>
      <c r="AE97" s="522"/>
      <c r="AF97" s="522"/>
      <c r="AG97" s="521"/>
      <c r="AH97" s="789"/>
      <c r="AI97" s="664">
        <f t="shared" ref="AI97:AI110" si="19">ROUND((SUM(E97:AH97)),2)</f>
        <v>0</v>
      </c>
      <c r="AJ97" s="790"/>
      <c r="AK97" s="521">
        <v>0</v>
      </c>
      <c r="AL97" s="520">
        <f t="shared" si="17"/>
        <v>0</v>
      </c>
      <c r="AM97" s="695"/>
      <c r="AN97" s="669">
        <f t="shared" si="18"/>
        <v>0</v>
      </c>
    </row>
    <row r="98" spans="1:40" s="500" customFormat="1">
      <c r="A98" s="542" t="s">
        <v>485</v>
      </c>
      <c r="B98" s="542" t="s">
        <v>1236</v>
      </c>
      <c r="C98" s="792"/>
      <c r="D98" s="667"/>
      <c r="E98" s="944"/>
      <c r="F98" s="520"/>
      <c r="G98" s="520"/>
      <c r="H98" s="520"/>
      <c r="I98" s="521"/>
      <c r="J98" s="521"/>
      <c r="K98" s="521"/>
      <c r="L98" s="514"/>
      <c r="M98" s="520"/>
      <c r="N98" s="514"/>
      <c r="O98" s="756"/>
      <c r="P98" s="514"/>
      <c r="Q98" s="522"/>
      <c r="R98" s="522"/>
      <c r="S98" s="514"/>
      <c r="T98" s="520"/>
      <c r="U98" s="514"/>
      <c r="V98" s="514"/>
      <c r="W98" s="522"/>
      <c r="X98" s="514"/>
      <c r="Y98" s="522"/>
      <c r="Z98" s="522"/>
      <c r="AA98" s="520"/>
      <c r="AB98" s="522"/>
      <c r="AC98" s="522"/>
      <c r="AD98" s="522"/>
      <c r="AE98" s="522"/>
      <c r="AF98" s="522"/>
      <c r="AG98" s="521"/>
      <c r="AH98" s="789"/>
      <c r="AI98" s="664">
        <f t="shared" si="19"/>
        <v>0</v>
      </c>
      <c r="AJ98" s="790"/>
      <c r="AK98" s="521">
        <v>0</v>
      </c>
      <c r="AL98" s="520">
        <f t="shared" si="17"/>
        <v>0</v>
      </c>
      <c r="AM98" s="695"/>
      <c r="AN98" s="669">
        <f t="shared" si="18"/>
        <v>0</v>
      </c>
    </row>
    <row r="99" spans="1:40" s="500" customFormat="1">
      <c r="A99" s="539" t="s">
        <v>888</v>
      </c>
      <c r="B99" s="539" t="s">
        <v>1238</v>
      </c>
      <c r="C99" s="974" t="s">
        <v>37</v>
      </c>
      <c r="D99" s="667"/>
      <c r="E99" s="944"/>
      <c r="F99" s="968">
        <f>2.45*1.85+1.85*0.85</f>
        <v>6.1050000000000004</v>
      </c>
      <c r="G99" s="968">
        <f>2.2*2.12+1.3*1.45+1.45*0.95</f>
        <v>7.9265000000000008</v>
      </c>
      <c r="H99" s="520"/>
      <c r="I99" s="1022">
        <f>0.65*9.5*0.65*1.3-0.33</f>
        <v>4.8878750000000002</v>
      </c>
      <c r="J99" s="521"/>
      <c r="K99" s="521"/>
      <c r="L99" s="514"/>
      <c r="M99" s="520"/>
      <c r="N99" s="514"/>
      <c r="O99" s="756"/>
      <c r="P99" s="514"/>
      <c r="Q99" s="522"/>
      <c r="R99" s="522"/>
      <c r="S99" s="514"/>
      <c r="T99" s="520"/>
      <c r="U99" s="514"/>
      <c r="V99" s="514"/>
      <c r="W99" s="522"/>
      <c r="X99" s="514"/>
      <c r="Y99" s="522"/>
      <c r="Z99" s="522"/>
      <c r="AA99" s="520"/>
      <c r="AB99" s="522"/>
      <c r="AC99" s="522"/>
      <c r="AD99" s="522"/>
      <c r="AE99" s="522"/>
      <c r="AF99" s="522"/>
      <c r="AG99" s="521"/>
      <c r="AH99" s="789"/>
      <c r="AI99" s="996">
        <f t="shared" si="19"/>
        <v>18.920000000000002</v>
      </c>
      <c r="AJ99" s="790"/>
      <c r="AK99" s="521">
        <v>0</v>
      </c>
      <c r="AL99" s="520">
        <f t="shared" ref="AL99:AL122" si="20">AI99+AK99</f>
        <v>18.920000000000002</v>
      </c>
      <c r="AM99" s="695" t="s">
        <v>1678</v>
      </c>
      <c r="AN99" s="669">
        <f t="shared" ref="AN99:AN122" si="21">AM99-AL99</f>
        <v>0</v>
      </c>
    </row>
    <row r="100" spans="1:40" s="500" customFormat="1">
      <c r="A100" s="542" t="s">
        <v>486</v>
      </c>
      <c r="B100" s="542" t="s">
        <v>1239</v>
      </c>
      <c r="C100" s="792"/>
      <c r="D100" s="667"/>
      <c r="E100" s="944"/>
      <c r="F100" s="520"/>
      <c r="G100" s="520"/>
      <c r="H100" s="520"/>
      <c r="I100" s="521"/>
      <c r="J100" s="521"/>
      <c r="K100" s="521"/>
      <c r="L100" s="514"/>
      <c r="M100" s="520"/>
      <c r="N100" s="514"/>
      <c r="O100" s="756"/>
      <c r="P100" s="514"/>
      <c r="Q100" s="522"/>
      <c r="R100" s="522"/>
      <c r="S100" s="514"/>
      <c r="T100" s="520"/>
      <c r="U100" s="514"/>
      <c r="V100" s="514"/>
      <c r="W100" s="522"/>
      <c r="X100" s="514"/>
      <c r="Y100" s="522"/>
      <c r="Z100" s="522"/>
      <c r="AA100" s="520"/>
      <c r="AB100" s="522"/>
      <c r="AC100" s="522"/>
      <c r="AD100" s="522"/>
      <c r="AE100" s="522"/>
      <c r="AF100" s="522"/>
      <c r="AG100" s="521"/>
      <c r="AH100" s="789"/>
      <c r="AI100" s="664">
        <f t="shared" si="19"/>
        <v>0</v>
      </c>
      <c r="AJ100" s="790"/>
      <c r="AK100" s="521">
        <v>0</v>
      </c>
      <c r="AL100" s="520">
        <f t="shared" si="20"/>
        <v>0</v>
      </c>
      <c r="AM100" s="695"/>
      <c r="AN100" s="669">
        <f t="shared" si="21"/>
        <v>0</v>
      </c>
    </row>
    <row r="101" spans="1:40" s="500" customFormat="1">
      <c r="A101" s="539" t="s">
        <v>889</v>
      </c>
      <c r="B101" s="539" t="s">
        <v>1240</v>
      </c>
      <c r="C101" s="974" t="s">
        <v>37</v>
      </c>
      <c r="D101" s="667"/>
      <c r="E101" s="944"/>
      <c r="F101" s="968">
        <f>4.7*2.9</f>
        <v>13.63</v>
      </c>
      <c r="G101" s="968">
        <f>3.6*4.65</f>
        <v>16.740000000000002</v>
      </c>
      <c r="H101" s="520"/>
      <c r="I101" s="967">
        <f>2.68*1.2+2.6*2.7+2.6*2.7</f>
        <v>17.256</v>
      </c>
      <c r="J101" s="521"/>
      <c r="K101" s="521"/>
      <c r="L101" s="514"/>
      <c r="M101" s="520"/>
      <c r="N101" s="514"/>
      <c r="O101" s="756"/>
      <c r="P101" s="514"/>
      <c r="Q101" s="522"/>
      <c r="R101" s="522"/>
      <c r="S101" s="514"/>
      <c r="T101" s="520"/>
      <c r="U101" s="514"/>
      <c r="V101" s="514"/>
      <c r="W101" s="1026">
        <f>3.6*4.25+3.2*2.55</f>
        <v>23.46</v>
      </c>
      <c r="X101" s="1026">
        <f>3.8*1.26+0.55*2.6+3.8*1.26+1.53*3.8-4.33</f>
        <v>12.49</v>
      </c>
      <c r="Y101" s="522"/>
      <c r="Z101" s="522"/>
      <c r="AC101" s="522"/>
      <c r="AD101" s="522"/>
      <c r="AE101" s="522"/>
      <c r="AF101" s="522"/>
      <c r="AG101" s="521"/>
      <c r="AH101" s="789"/>
      <c r="AI101" s="996">
        <f t="shared" si="19"/>
        <v>83.58</v>
      </c>
      <c r="AJ101" s="790"/>
      <c r="AK101" s="521">
        <v>0</v>
      </c>
      <c r="AL101" s="520">
        <f t="shared" si="20"/>
        <v>83.58</v>
      </c>
      <c r="AM101" s="695" t="s">
        <v>1679</v>
      </c>
      <c r="AN101" s="669">
        <f t="shared" si="21"/>
        <v>0</v>
      </c>
    </row>
    <row r="102" spans="1:40" s="500" customFormat="1">
      <c r="A102" s="539" t="s">
        <v>890</v>
      </c>
      <c r="B102" s="539" t="s">
        <v>1241</v>
      </c>
      <c r="C102" s="974" t="s">
        <v>37</v>
      </c>
      <c r="D102" s="667"/>
      <c r="E102" s="944"/>
      <c r="F102" s="520"/>
      <c r="G102" s="520"/>
      <c r="H102" s="520"/>
      <c r="I102" s="521"/>
      <c r="J102" s="521"/>
      <c r="K102" s="521"/>
      <c r="L102" s="514"/>
      <c r="M102" s="520"/>
      <c r="N102" s="514"/>
      <c r="O102" s="756"/>
      <c r="P102" s="514"/>
      <c r="Q102" s="522"/>
      <c r="R102" s="522"/>
      <c r="S102" s="514"/>
      <c r="T102" s="520"/>
      <c r="U102" s="514"/>
      <c r="V102" s="514"/>
      <c r="W102" s="522"/>
      <c r="X102" s="514"/>
      <c r="Y102" s="522"/>
      <c r="Z102" s="522"/>
      <c r="AA102" s="1041">
        <f>6.2*0.2+0.27*2.6+0.27*2.6+0.27*2.6+0.27*2.6+0.5*2.6+0.35*2.6+1.83*1.2+0.86*2.6</f>
        <v>10.690000000000001</v>
      </c>
      <c r="AB102" s="1026">
        <f>3.5*1.15+0.25*9.4</f>
        <v>6.375</v>
      </c>
      <c r="AC102" s="522"/>
      <c r="AD102" s="522"/>
      <c r="AE102" s="522"/>
      <c r="AF102" s="522"/>
      <c r="AG102" s="521"/>
      <c r="AH102" s="789"/>
      <c r="AI102" s="996">
        <f t="shared" si="19"/>
        <v>17.07</v>
      </c>
      <c r="AJ102" s="790"/>
      <c r="AK102" s="521">
        <v>0</v>
      </c>
      <c r="AL102" s="520">
        <f t="shared" si="20"/>
        <v>17.07</v>
      </c>
      <c r="AM102" s="695" t="s">
        <v>1677</v>
      </c>
      <c r="AN102" s="669">
        <f t="shared" si="21"/>
        <v>28.68</v>
      </c>
    </row>
    <row r="103" spans="1:40" s="500" customFormat="1">
      <c r="A103" s="539" t="s">
        <v>891</v>
      </c>
      <c r="B103" s="539" t="s">
        <v>1242</v>
      </c>
      <c r="C103" s="974" t="s">
        <v>37</v>
      </c>
      <c r="D103" s="667"/>
      <c r="E103" s="944"/>
      <c r="F103" s="520"/>
      <c r="G103" s="520"/>
      <c r="H103" s="520"/>
      <c r="I103" s="967">
        <f>2.6*0.28+2.6*0.28</f>
        <v>1.4560000000000002</v>
      </c>
      <c r="J103" s="521"/>
      <c r="K103" s="521"/>
      <c r="L103" s="514"/>
      <c r="M103" s="520"/>
      <c r="N103" s="514"/>
      <c r="O103" s="756"/>
      <c r="P103" s="514"/>
      <c r="Q103" s="522"/>
      <c r="R103" s="522"/>
      <c r="S103" s="514"/>
      <c r="T103" s="520"/>
      <c r="U103" s="514"/>
      <c r="V103" s="514"/>
      <c r="W103" s="522"/>
      <c r="X103" s="514"/>
      <c r="Y103" s="522"/>
      <c r="Z103" s="522"/>
      <c r="AA103" s="520"/>
      <c r="AB103" s="522"/>
      <c r="AC103" s="522"/>
      <c r="AD103" s="522"/>
      <c r="AE103" s="522"/>
      <c r="AF103" s="522"/>
      <c r="AG103" s="521"/>
      <c r="AH103" s="789"/>
      <c r="AI103" s="996">
        <f t="shared" si="19"/>
        <v>1.46</v>
      </c>
      <c r="AJ103" s="790"/>
      <c r="AK103" s="521">
        <v>0</v>
      </c>
      <c r="AL103" s="520">
        <f t="shared" si="20"/>
        <v>1.46</v>
      </c>
      <c r="AM103" s="695" t="s">
        <v>1680</v>
      </c>
      <c r="AN103" s="669">
        <f t="shared" si="21"/>
        <v>11.489999999999998</v>
      </c>
    </row>
    <row r="104" spans="1:40" s="500" customFormat="1">
      <c r="A104" s="539" t="s">
        <v>892</v>
      </c>
      <c r="B104" s="539" t="s">
        <v>1243</v>
      </c>
      <c r="C104" s="974" t="s">
        <v>37</v>
      </c>
      <c r="D104" s="667"/>
      <c r="E104" s="944"/>
      <c r="F104" s="520"/>
      <c r="G104" s="520"/>
      <c r="H104" s="520"/>
      <c r="I104" s="967">
        <f>1.95*0.25+2.6*0.42+3.4*0.33+5.64*0.34</f>
        <v>4.6191000000000004</v>
      </c>
      <c r="J104" s="521"/>
      <c r="K104" s="521"/>
      <c r="L104" s="514"/>
      <c r="M104" s="520"/>
      <c r="N104" s="514"/>
      <c r="O104" s="756"/>
      <c r="P104" s="514"/>
      <c r="Q104" s="522"/>
      <c r="R104" s="522"/>
      <c r="S104" s="514"/>
      <c r="T104" s="520"/>
      <c r="U104" s="514"/>
      <c r="V104" s="514"/>
      <c r="W104" s="522"/>
      <c r="X104" s="514"/>
      <c r="Y104" s="522"/>
      <c r="Z104" s="522"/>
      <c r="AA104" s="520"/>
      <c r="AB104" s="522"/>
      <c r="AC104" s="522"/>
      <c r="AD104" s="522"/>
      <c r="AE104" s="522"/>
      <c r="AF104" s="522"/>
      <c r="AG104" s="521"/>
      <c r="AH104" s="789"/>
      <c r="AI104" s="996">
        <f t="shared" si="19"/>
        <v>4.62</v>
      </c>
      <c r="AJ104" s="790"/>
      <c r="AK104" s="521">
        <v>0</v>
      </c>
      <c r="AL104" s="520">
        <f t="shared" si="20"/>
        <v>4.62</v>
      </c>
      <c r="AM104" s="695" t="s">
        <v>1681</v>
      </c>
      <c r="AN104" s="669">
        <f t="shared" si="21"/>
        <v>20.25</v>
      </c>
    </row>
    <row r="105" spans="1:40" s="500" customFormat="1">
      <c r="A105" s="539" t="s">
        <v>894</v>
      </c>
      <c r="B105" s="539" t="s">
        <v>1245</v>
      </c>
      <c r="C105" s="974" t="s">
        <v>38</v>
      </c>
      <c r="D105" s="667"/>
      <c r="E105" s="944"/>
      <c r="F105" s="520"/>
      <c r="G105" s="520"/>
      <c r="H105" s="520"/>
      <c r="I105" s="521"/>
      <c r="J105" s="521"/>
      <c r="K105" s="521"/>
      <c r="L105" s="514"/>
      <c r="M105" s="520"/>
      <c r="N105" s="514"/>
      <c r="O105" s="756"/>
      <c r="Q105" s="522"/>
      <c r="R105" s="522"/>
      <c r="S105" s="514"/>
      <c r="T105" s="520"/>
      <c r="U105" s="514"/>
      <c r="V105" s="514"/>
      <c r="W105" s="522"/>
      <c r="X105" s="514"/>
      <c r="Y105" s="1026">
        <f>3.4*0.27+1.7*0.27+2.4*0.27+3.6*0.27</f>
        <v>2.9969999999999999</v>
      </c>
      <c r="Z105" s="1026">
        <f>2.4*0.15+3.2*0.27+3.4*0.27+7.4*0.7</f>
        <v>7.3220000000000001</v>
      </c>
      <c r="AA105" s="520"/>
      <c r="AB105" s="522"/>
      <c r="AC105" s="522"/>
      <c r="AD105" s="522"/>
      <c r="AE105" s="522"/>
      <c r="AF105" s="522"/>
      <c r="AG105" s="667"/>
      <c r="AH105" s="789"/>
      <c r="AI105" s="996">
        <f t="shared" si="19"/>
        <v>10.32</v>
      </c>
      <c r="AJ105" s="790"/>
      <c r="AK105" s="521">
        <v>0</v>
      </c>
      <c r="AL105" s="520">
        <f t="shared" si="20"/>
        <v>10.32</v>
      </c>
      <c r="AM105" s="695" t="s">
        <v>1683</v>
      </c>
      <c r="AN105" s="669">
        <f t="shared" si="21"/>
        <v>38.380000000000003</v>
      </c>
    </row>
    <row r="106" spans="1:40" s="500" customFormat="1">
      <c r="A106" s="539" t="s">
        <v>895</v>
      </c>
      <c r="B106" s="539" t="s">
        <v>1246</v>
      </c>
      <c r="C106" s="974" t="s">
        <v>38</v>
      </c>
      <c r="D106" s="667"/>
      <c r="E106" s="944"/>
      <c r="F106" s="968">
        <f>2.25+2.6</f>
        <v>4.8499999999999996</v>
      </c>
      <c r="G106" s="968">
        <f>8+7.6</f>
        <v>15.6</v>
      </c>
      <c r="H106" s="520"/>
      <c r="I106" s="967">
        <f>2.4+3.9+5.3+5.3</f>
        <v>16.899999999999999</v>
      </c>
      <c r="J106" s="521"/>
      <c r="K106" s="521"/>
      <c r="L106" s="514"/>
      <c r="M106" s="520"/>
      <c r="N106" s="514"/>
      <c r="O106" s="756"/>
      <c r="P106" s="514"/>
      <c r="Q106" s="522"/>
      <c r="R106" s="522"/>
      <c r="S106" s="514"/>
      <c r="T106" s="520"/>
      <c r="U106" s="514"/>
      <c r="V106" s="514"/>
      <c r="W106" s="1026">
        <v>15.2</v>
      </c>
      <c r="X106" s="514"/>
      <c r="Y106" s="522"/>
      <c r="Z106" s="522"/>
      <c r="AA106" s="1041">
        <f>14.25</f>
        <v>14.25</v>
      </c>
      <c r="AB106" s="1026">
        <f>9.4</f>
        <v>9.4</v>
      </c>
      <c r="AC106" s="522"/>
      <c r="AD106" s="522"/>
      <c r="AE106" s="522"/>
      <c r="AF106" s="522"/>
      <c r="AG106" s="521"/>
      <c r="AH106" s="789"/>
      <c r="AI106" s="996">
        <f t="shared" si="19"/>
        <v>76.2</v>
      </c>
      <c r="AJ106" s="790"/>
      <c r="AK106" s="521">
        <v>0</v>
      </c>
      <c r="AL106" s="520">
        <f t="shared" si="20"/>
        <v>76.2</v>
      </c>
      <c r="AM106" s="695" t="s">
        <v>1684</v>
      </c>
      <c r="AN106" s="669">
        <f t="shared" si="21"/>
        <v>96.279999999999987</v>
      </c>
    </row>
    <row r="107" spans="1:40" s="500" customFormat="1">
      <c r="A107" s="542" t="s">
        <v>487</v>
      </c>
      <c r="B107" s="542" t="s">
        <v>1247</v>
      </c>
      <c r="C107" s="792"/>
      <c r="D107" s="667"/>
      <c r="E107" s="944"/>
      <c r="F107" s="520"/>
      <c r="G107" s="520"/>
      <c r="H107" s="520"/>
      <c r="I107" s="521"/>
      <c r="J107" s="521"/>
      <c r="K107" s="521"/>
      <c r="L107" s="514"/>
      <c r="M107" s="520"/>
      <c r="N107" s="514"/>
      <c r="O107" s="756"/>
      <c r="P107" s="514"/>
      <c r="Q107" s="522"/>
      <c r="R107" s="522"/>
      <c r="S107" s="514"/>
      <c r="T107" s="520"/>
      <c r="U107" s="514"/>
      <c r="V107" s="514"/>
      <c r="W107" s="522"/>
      <c r="X107" s="514"/>
      <c r="Y107" s="522"/>
      <c r="Z107" s="522"/>
      <c r="AA107" s="520"/>
      <c r="AB107" s="522"/>
      <c r="AC107" s="522"/>
      <c r="AD107" s="522"/>
      <c r="AE107" s="522"/>
      <c r="AF107" s="522"/>
      <c r="AG107" s="521"/>
      <c r="AH107" s="789"/>
      <c r="AI107" s="664">
        <f t="shared" si="19"/>
        <v>0</v>
      </c>
      <c r="AJ107" s="790"/>
      <c r="AK107" s="521">
        <v>0</v>
      </c>
      <c r="AL107" s="520">
        <f t="shared" si="20"/>
        <v>0</v>
      </c>
      <c r="AM107" s="695"/>
      <c r="AN107" s="669">
        <f t="shared" si="21"/>
        <v>0</v>
      </c>
    </row>
    <row r="108" spans="1:40" s="500" customFormat="1">
      <c r="A108" s="539" t="s">
        <v>896</v>
      </c>
      <c r="B108" s="539" t="s">
        <v>1248</v>
      </c>
      <c r="C108" s="974" t="s">
        <v>37</v>
      </c>
      <c r="D108" s="667"/>
      <c r="E108" s="944"/>
      <c r="F108" s="520"/>
      <c r="H108" s="520"/>
      <c r="I108" s="521"/>
      <c r="J108" s="521"/>
      <c r="K108" s="521"/>
      <c r="L108" s="514"/>
      <c r="M108" s="520"/>
      <c r="N108" s="514"/>
      <c r="O108" s="756"/>
      <c r="P108" s="514"/>
      <c r="Q108" s="522"/>
      <c r="R108" s="522"/>
      <c r="S108" s="514"/>
      <c r="T108" s="520"/>
      <c r="U108" s="514"/>
      <c r="V108" s="514"/>
      <c r="W108" s="522"/>
      <c r="X108" s="514"/>
      <c r="Y108" s="522"/>
      <c r="Z108" s="522"/>
      <c r="AA108" s="1041">
        <f>7.2*0.6</f>
        <v>4.32</v>
      </c>
      <c r="AB108" s="1026">
        <f>2.85*0.6+2.85*0.6+2.85*0.4+2.85*0.6-0.43</f>
        <v>5.8400000000000007</v>
      </c>
      <c r="AC108" s="522"/>
      <c r="AD108" s="522"/>
      <c r="AE108" s="522"/>
      <c r="AF108" s="522"/>
      <c r="AG108" s="521"/>
      <c r="AH108" s="789"/>
      <c r="AI108" s="996">
        <f t="shared" si="19"/>
        <v>10.16</v>
      </c>
      <c r="AJ108" s="790"/>
      <c r="AK108" s="521">
        <v>0</v>
      </c>
      <c r="AL108" s="520">
        <f t="shared" si="20"/>
        <v>10.16</v>
      </c>
      <c r="AM108" s="695" t="s">
        <v>1685</v>
      </c>
      <c r="AN108" s="669">
        <f t="shared" si="21"/>
        <v>28.080000000000002</v>
      </c>
    </row>
    <row r="109" spans="1:40" s="500" customFormat="1">
      <c r="A109" s="542" t="s">
        <v>897</v>
      </c>
      <c r="B109" s="542" t="s">
        <v>1249</v>
      </c>
      <c r="C109" s="792"/>
      <c r="D109" s="667"/>
      <c r="E109" s="944"/>
      <c r="F109" s="520"/>
      <c r="G109" s="520"/>
      <c r="H109" s="520"/>
      <c r="I109" s="521"/>
      <c r="J109" s="521"/>
      <c r="K109" s="521"/>
      <c r="L109" s="514"/>
      <c r="M109" s="520"/>
      <c r="N109" s="514"/>
      <c r="O109" s="756"/>
      <c r="P109" s="514"/>
      <c r="Q109" s="522"/>
      <c r="R109" s="522"/>
      <c r="S109" s="514"/>
      <c r="T109" s="520"/>
      <c r="U109" s="514"/>
      <c r="V109" s="514"/>
      <c r="W109" s="522"/>
      <c r="X109" s="514"/>
      <c r="Y109" s="522"/>
      <c r="Z109" s="522"/>
      <c r="AA109" s="520"/>
      <c r="AB109" s="522"/>
      <c r="AC109" s="522"/>
      <c r="AD109" s="522"/>
      <c r="AE109" s="522"/>
      <c r="AF109" s="522"/>
      <c r="AG109" s="521"/>
      <c r="AH109" s="789"/>
      <c r="AI109" s="664">
        <f t="shared" si="19"/>
        <v>0</v>
      </c>
      <c r="AJ109" s="790"/>
      <c r="AK109" s="521">
        <v>0</v>
      </c>
      <c r="AL109" s="520">
        <f t="shared" si="20"/>
        <v>0</v>
      </c>
      <c r="AM109" s="695"/>
      <c r="AN109" s="669">
        <f t="shared" si="21"/>
        <v>0</v>
      </c>
    </row>
    <row r="110" spans="1:40" s="500" customFormat="1">
      <c r="A110" s="539" t="s">
        <v>898</v>
      </c>
      <c r="B110" s="539" t="s">
        <v>1250</v>
      </c>
      <c r="C110" s="974" t="s">
        <v>37</v>
      </c>
      <c r="D110" s="667"/>
      <c r="E110" s="944"/>
      <c r="F110" s="520"/>
      <c r="G110" s="520"/>
      <c r="H110" s="520"/>
      <c r="I110" s="521"/>
      <c r="J110" s="521"/>
      <c r="K110" s="521"/>
      <c r="L110" s="514"/>
      <c r="M110" s="520"/>
      <c r="N110" s="514"/>
      <c r="O110" s="756"/>
      <c r="P110" s="514"/>
      <c r="Q110" s="522"/>
      <c r="R110" s="522"/>
      <c r="S110" s="514"/>
      <c r="T110" s="520"/>
      <c r="U110" s="514"/>
      <c r="V110" s="514"/>
      <c r="W110" s="522"/>
      <c r="X110" s="514"/>
      <c r="Y110" s="522"/>
      <c r="Z110" s="522"/>
      <c r="AA110" s="520"/>
      <c r="AB110" s="522"/>
      <c r="AC110" s="522"/>
      <c r="AD110" s="522"/>
      <c r="AE110" s="522"/>
      <c r="AF110" s="522"/>
      <c r="AG110" s="1022">
        <v>33.03</v>
      </c>
      <c r="AH110" s="789"/>
      <c r="AI110" s="996">
        <f t="shared" si="19"/>
        <v>33.03</v>
      </c>
      <c r="AJ110" s="790"/>
      <c r="AK110" s="521">
        <v>0</v>
      </c>
      <c r="AL110" s="520">
        <f t="shared" si="20"/>
        <v>33.03</v>
      </c>
      <c r="AM110" s="695" t="s">
        <v>1686</v>
      </c>
      <c r="AN110" s="669">
        <f t="shared" si="21"/>
        <v>0</v>
      </c>
    </row>
    <row r="111" spans="1:40" s="500" customFormat="1">
      <c r="A111" s="440" t="s">
        <v>518</v>
      </c>
      <c r="B111" s="543" t="s">
        <v>1297</v>
      </c>
      <c r="C111" s="792"/>
      <c r="D111" s="667"/>
      <c r="E111" s="944"/>
      <c r="F111" s="520"/>
      <c r="G111" s="520"/>
      <c r="H111" s="520"/>
      <c r="I111" s="521"/>
      <c r="J111" s="521"/>
      <c r="K111" s="521"/>
      <c r="L111" s="514"/>
      <c r="M111" s="520"/>
      <c r="N111" s="514"/>
      <c r="O111" s="756"/>
      <c r="P111" s="514"/>
      <c r="Q111" s="522"/>
      <c r="R111" s="522"/>
      <c r="S111" s="514"/>
      <c r="T111" s="520"/>
      <c r="U111" s="514"/>
      <c r="V111" s="514"/>
      <c r="W111" s="522"/>
      <c r="X111" s="514"/>
      <c r="Y111" s="522"/>
      <c r="Z111" s="522"/>
      <c r="AA111" s="520"/>
      <c r="AB111" s="522"/>
      <c r="AC111" s="522"/>
      <c r="AD111" s="522"/>
      <c r="AE111" s="522"/>
      <c r="AF111" s="522"/>
      <c r="AG111" s="521"/>
      <c r="AH111" s="789"/>
      <c r="AI111" s="664">
        <f t="shared" ref="AI111:AI128" si="22">ROUND((SUM(E111:AH111)),2)</f>
        <v>0</v>
      </c>
      <c r="AJ111" s="790"/>
      <c r="AK111" s="521">
        <v>0</v>
      </c>
      <c r="AL111" s="520">
        <f t="shared" si="20"/>
        <v>0</v>
      </c>
      <c r="AM111" s="695"/>
      <c r="AN111" s="669">
        <f t="shared" si="21"/>
        <v>0</v>
      </c>
    </row>
    <row r="112" spans="1:40" s="500" customFormat="1">
      <c r="A112" s="542" t="s">
        <v>519</v>
      </c>
      <c r="B112" s="542" t="s">
        <v>1236</v>
      </c>
      <c r="C112" s="792"/>
      <c r="D112" s="667"/>
      <c r="E112" s="944"/>
      <c r="F112" s="520"/>
      <c r="G112" s="520"/>
      <c r="H112" s="520"/>
      <c r="I112" s="521"/>
      <c r="J112" s="521"/>
      <c r="K112" s="521"/>
      <c r="L112" s="514"/>
      <c r="M112" s="520"/>
      <c r="N112" s="514"/>
      <c r="O112" s="756"/>
      <c r="P112" s="514"/>
      <c r="Q112" s="522"/>
      <c r="R112" s="522"/>
      <c r="S112" s="514"/>
      <c r="T112" s="520"/>
      <c r="U112" s="514"/>
      <c r="V112" s="514"/>
      <c r="W112" s="522"/>
      <c r="X112" s="514"/>
      <c r="Y112" s="522"/>
      <c r="Z112" s="522"/>
      <c r="AA112" s="520"/>
      <c r="AB112" s="522"/>
      <c r="AC112" s="522"/>
      <c r="AD112" s="522"/>
      <c r="AE112" s="522"/>
      <c r="AF112" s="522"/>
      <c r="AG112" s="521"/>
      <c r="AH112" s="789"/>
      <c r="AI112" s="664">
        <f t="shared" si="22"/>
        <v>0</v>
      </c>
      <c r="AJ112" s="790"/>
      <c r="AK112" s="521">
        <v>0</v>
      </c>
      <c r="AL112" s="520">
        <f t="shared" si="20"/>
        <v>0</v>
      </c>
      <c r="AM112" s="695"/>
      <c r="AN112" s="669">
        <f t="shared" si="21"/>
        <v>0</v>
      </c>
    </row>
    <row r="113" spans="1:40" s="500" customFormat="1">
      <c r="A113" s="539" t="s">
        <v>520</v>
      </c>
      <c r="B113" s="539" t="s">
        <v>1237</v>
      </c>
      <c r="C113" s="974" t="s">
        <v>37</v>
      </c>
      <c r="D113" s="667"/>
      <c r="E113" s="944"/>
      <c r="F113" s="520"/>
      <c r="G113" s="520"/>
      <c r="H113" s="520"/>
      <c r="I113" s="521"/>
      <c r="J113" s="521"/>
      <c r="K113" s="521"/>
      <c r="L113" s="1026">
        <f>1.35*1.35</f>
        <v>1.8225000000000002</v>
      </c>
      <c r="M113" s="520"/>
      <c r="N113" s="514"/>
      <c r="O113" s="756"/>
      <c r="P113" s="514"/>
      <c r="Q113" s="522"/>
      <c r="R113" s="522"/>
      <c r="S113" s="514"/>
      <c r="T113" s="520"/>
      <c r="U113" s="522"/>
      <c r="V113" s="522"/>
      <c r="W113" s="522"/>
      <c r="X113" s="522"/>
      <c r="Y113" s="522"/>
      <c r="Z113" s="522"/>
      <c r="AA113" s="520"/>
      <c r="AB113" s="522"/>
      <c r="AC113" s="522"/>
      <c r="AD113" s="522"/>
      <c r="AE113" s="522"/>
      <c r="AF113" s="522"/>
      <c r="AG113" s="521"/>
      <c r="AH113" s="789"/>
      <c r="AI113" s="996">
        <f t="shared" si="22"/>
        <v>1.82</v>
      </c>
      <c r="AJ113" s="790"/>
      <c r="AK113" s="521">
        <v>0</v>
      </c>
      <c r="AL113" s="520">
        <f t="shared" si="20"/>
        <v>1.82</v>
      </c>
      <c r="AM113" s="695" t="s">
        <v>1703</v>
      </c>
      <c r="AN113" s="669">
        <f t="shared" si="21"/>
        <v>54.839999999999996</v>
      </c>
    </row>
    <row r="114" spans="1:40" s="500" customFormat="1">
      <c r="A114" s="539" t="s">
        <v>521</v>
      </c>
      <c r="B114" s="539" t="s">
        <v>1238</v>
      </c>
      <c r="C114" s="974" t="s">
        <v>37</v>
      </c>
      <c r="D114" s="667"/>
      <c r="E114" s="944"/>
      <c r="F114" s="520"/>
      <c r="G114" s="520"/>
      <c r="H114" s="520"/>
      <c r="I114" s="521"/>
      <c r="J114" s="521"/>
      <c r="K114" s="521"/>
      <c r="L114" s="1026">
        <f>1.55*1.5+1*1.21+1.21*2.34</f>
        <v>6.3664000000000005</v>
      </c>
      <c r="M114" s="520"/>
      <c r="N114" s="1026">
        <f>1.64*0.7</f>
        <v>1.1479999999999999</v>
      </c>
      <c r="O114" s="756"/>
      <c r="P114" s="514"/>
      <c r="Q114" s="522"/>
      <c r="R114" s="522"/>
      <c r="S114" s="514"/>
      <c r="T114" s="520"/>
      <c r="U114" s="514"/>
      <c r="V114" s="514"/>
      <c r="W114" s="522"/>
      <c r="X114" s="514"/>
      <c r="Y114" s="522"/>
      <c r="Z114" s="522"/>
      <c r="AA114" s="520"/>
      <c r="AB114" s="522"/>
      <c r="AC114" s="522"/>
      <c r="AD114" s="522"/>
      <c r="AE114" s="522"/>
      <c r="AF114" s="522"/>
      <c r="AG114" s="521"/>
      <c r="AH114" s="789"/>
      <c r="AI114" s="996">
        <f t="shared" si="22"/>
        <v>7.51</v>
      </c>
      <c r="AJ114" s="790"/>
      <c r="AK114" s="521">
        <v>0</v>
      </c>
      <c r="AL114" s="520">
        <f t="shared" si="20"/>
        <v>7.51</v>
      </c>
      <c r="AM114" s="695" t="s">
        <v>1704</v>
      </c>
      <c r="AN114" s="669">
        <f t="shared" si="21"/>
        <v>0.66000000000000014</v>
      </c>
    </row>
    <row r="115" spans="1:40" s="500" customFormat="1">
      <c r="A115" s="542" t="s">
        <v>522</v>
      </c>
      <c r="B115" s="542" t="s">
        <v>1239</v>
      </c>
      <c r="C115" s="792"/>
      <c r="D115" s="667"/>
      <c r="E115" s="944"/>
      <c r="F115" s="520"/>
      <c r="G115" s="520"/>
      <c r="H115" s="520"/>
      <c r="I115" s="521"/>
      <c r="J115" s="521"/>
      <c r="K115" s="521"/>
      <c r="L115" s="514"/>
      <c r="M115" s="520"/>
      <c r="N115" s="514"/>
      <c r="O115" s="756"/>
      <c r="P115" s="514"/>
      <c r="Q115" s="522"/>
      <c r="R115" s="522"/>
      <c r="S115" s="514"/>
      <c r="T115" s="520"/>
      <c r="U115" s="514"/>
      <c r="V115" s="514"/>
      <c r="W115" s="522"/>
      <c r="X115" s="514"/>
      <c r="Y115" s="522"/>
      <c r="Z115" s="522"/>
      <c r="AA115" s="520"/>
      <c r="AB115" s="522"/>
      <c r="AC115" s="522"/>
      <c r="AD115" s="522"/>
      <c r="AE115" s="522"/>
      <c r="AF115" s="522"/>
      <c r="AG115" s="521"/>
      <c r="AH115" s="789"/>
      <c r="AI115" s="664">
        <f t="shared" si="22"/>
        <v>0</v>
      </c>
      <c r="AJ115" s="790"/>
      <c r="AK115" s="521">
        <v>0</v>
      </c>
      <c r="AL115" s="520">
        <f t="shared" si="20"/>
        <v>0</v>
      </c>
      <c r="AM115" s="695"/>
      <c r="AN115" s="669">
        <f t="shared" si="21"/>
        <v>0</v>
      </c>
    </row>
    <row r="116" spans="1:40" s="500" customFormat="1">
      <c r="A116" s="539" t="s">
        <v>523</v>
      </c>
      <c r="B116" s="539" t="s">
        <v>1240</v>
      </c>
      <c r="C116" s="974" t="s">
        <v>37</v>
      </c>
      <c r="D116" s="667"/>
      <c r="E116" s="944"/>
      <c r="F116" s="520"/>
      <c r="G116" s="520"/>
      <c r="H116" s="520"/>
      <c r="I116" s="521"/>
      <c r="J116" s="521"/>
      <c r="K116" s="521"/>
      <c r="L116" s="514"/>
      <c r="M116" s="1041">
        <f>2.2*2.7</f>
        <v>5.9400000000000013</v>
      </c>
      <c r="N116" s="514"/>
      <c r="O116" s="756"/>
      <c r="P116" s="1026">
        <f>2.25*2.7</f>
        <v>6.0750000000000002</v>
      </c>
      <c r="Q116" s="1026">
        <f>1.19*2.6+0.68*2.6+0.95*0.8+0.4*1.31+2.7*1.3+5.54*0.27+2.62*0.27</f>
        <v>11.859200000000001</v>
      </c>
      <c r="R116" s="1026">
        <f>1.8*2.6+3*2+2.6*2.6+0.68*2.6</f>
        <v>19.208000000000002</v>
      </c>
      <c r="S116" s="1026">
        <f>2.2*2.6+2.2*2.6</f>
        <v>11.440000000000001</v>
      </c>
      <c r="T116" s="1041">
        <f>3.3*1.85+1.75*2.1+1.35*1.15+1.75*2.1</f>
        <v>15.0075</v>
      </c>
      <c r="U116" s="514"/>
      <c r="V116" s="514"/>
      <c r="W116" s="522"/>
      <c r="X116" s="514"/>
      <c r="Y116" s="522"/>
      <c r="Z116" s="522"/>
      <c r="AA116" s="520"/>
      <c r="AB116" s="522"/>
      <c r="AC116" s="522"/>
      <c r="AD116" s="522"/>
      <c r="AE116" s="522"/>
      <c r="AF116" s="522"/>
      <c r="AG116" s="521"/>
      <c r="AH116" s="789"/>
      <c r="AI116" s="996">
        <f t="shared" si="22"/>
        <v>69.53</v>
      </c>
      <c r="AJ116" s="790"/>
      <c r="AK116" s="521">
        <v>0</v>
      </c>
      <c r="AL116" s="520">
        <f t="shared" si="20"/>
        <v>69.53</v>
      </c>
      <c r="AM116" s="695" t="s">
        <v>1705</v>
      </c>
      <c r="AN116" s="669">
        <f t="shared" si="21"/>
        <v>8.1500000000000057</v>
      </c>
    </row>
    <row r="117" spans="1:40" s="500" customFormat="1">
      <c r="A117" s="539" t="s">
        <v>936</v>
      </c>
      <c r="B117" s="539" t="s">
        <v>1242</v>
      </c>
      <c r="C117" s="974" t="s">
        <v>37</v>
      </c>
      <c r="D117" s="667"/>
      <c r="E117" s="944"/>
      <c r="F117" s="520"/>
      <c r="G117" s="520"/>
      <c r="H117" s="520"/>
      <c r="I117" s="521"/>
      <c r="J117" s="521"/>
      <c r="K117" s="521"/>
      <c r="L117" s="514"/>
      <c r="M117" s="520"/>
      <c r="N117" s="514"/>
      <c r="O117" s="756"/>
      <c r="P117" s="514"/>
      <c r="Q117" s="1026">
        <f>0.25*2.6</f>
        <v>0.65</v>
      </c>
      <c r="R117" s="1026">
        <f>2.6*0.28</f>
        <v>0.72800000000000009</v>
      </c>
      <c r="S117" s="1026">
        <f>5.64*0.25</f>
        <v>1.41</v>
      </c>
      <c r="T117" s="1041">
        <f>0.28*2.6</f>
        <v>0.72800000000000009</v>
      </c>
      <c r="U117" s="514"/>
      <c r="V117" s="514"/>
      <c r="W117" s="522"/>
      <c r="X117" s="514"/>
      <c r="Y117" s="522"/>
      <c r="Z117" s="522"/>
      <c r="AA117" s="520"/>
      <c r="AB117" s="522"/>
      <c r="AC117" s="522"/>
      <c r="AD117" s="522"/>
      <c r="AE117" s="522"/>
      <c r="AF117" s="522"/>
      <c r="AG117" s="521"/>
      <c r="AH117" s="789"/>
      <c r="AI117" s="996">
        <f t="shared" si="22"/>
        <v>3.52</v>
      </c>
      <c r="AJ117" s="790"/>
      <c r="AK117" s="521">
        <v>0</v>
      </c>
      <c r="AL117" s="520">
        <f t="shared" si="20"/>
        <v>3.52</v>
      </c>
      <c r="AM117" s="695" t="s">
        <v>1707</v>
      </c>
      <c r="AN117" s="669">
        <f t="shared" si="21"/>
        <v>8.48</v>
      </c>
    </row>
    <row r="118" spans="1:40" s="500" customFormat="1">
      <c r="A118" s="539" t="s">
        <v>937</v>
      </c>
      <c r="B118" s="539" t="s">
        <v>1243</v>
      </c>
      <c r="C118" s="974" t="s">
        <v>37</v>
      </c>
      <c r="D118" s="667"/>
      <c r="E118" s="944"/>
      <c r="F118" s="520"/>
      <c r="G118" s="520"/>
      <c r="H118" s="520"/>
      <c r="I118" s="521"/>
      <c r="J118" s="521"/>
      <c r="K118" s="521"/>
      <c r="L118" s="514"/>
      <c r="M118" s="1041">
        <f>2.7*0.2</f>
        <v>0.54</v>
      </c>
      <c r="N118" s="514"/>
      <c r="O118" s="756"/>
      <c r="P118" s="1026">
        <f>2.7*0.2</f>
        <v>0.54</v>
      </c>
      <c r="Q118" s="1026">
        <f>2.75*0.25</f>
        <v>0.6875</v>
      </c>
      <c r="R118" s="1026">
        <f>2.68*0.2+4.45*0.3</f>
        <v>1.871</v>
      </c>
      <c r="S118" s="1026">
        <f>0.27*2.6</f>
        <v>0.70200000000000007</v>
      </c>
      <c r="T118" s="520"/>
      <c r="U118" s="514"/>
      <c r="V118" s="514"/>
      <c r="W118" s="522"/>
      <c r="X118" s="514"/>
      <c r="Y118" s="522"/>
      <c r="Z118" s="522"/>
      <c r="AA118" s="520"/>
      <c r="AB118" s="522"/>
      <c r="AC118" s="522"/>
      <c r="AD118" s="522"/>
      <c r="AE118" s="522"/>
      <c r="AF118" s="522"/>
      <c r="AG118" s="521"/>
      <c r="AH118" s="789"/>
      <c r="AI118" s="996">
        <f t="shared" si="22"/>
        <v>4.34</v>
      </c>
      <c r="AJ118" s="790"/>
      <c r="AK118" s="521">
        <v>0</v>
      </c>
      <c r="AL118" s="520">
        <f t="shared" si="20"/>
        <v>4.34</v>
      </c>
      <c r="AM118" s="695" t="s">
        <v>1708</v>
      </c>
      <c r="AN118" s="669">
        <f t="shared" si="21"/>
        <v>15.629999999999999</v>
      </c>
    </row>
    <row r="119" spans="1:40" s="500" customFormat="1">
      <c r="A119" s="539" t="s">
        <v>939</v>
      </c>
      <c r="B119" s="539" t="s">
        <v>1245</v>
      </c>
      <c r="C119" s="974" t="s">
        <v>38</v>
      </c>
      <c r="D119" s="667"/>
      <c r="E119" s="944"/>
      <c r="F119" s="520"/>
      <c r="G119" s="520"/>
      <c r="H119" s="520"/>
      <c r="I119" s="521"/>
      <c r="J119" s="521"/>
      <c r="K119" s="521"/>
      <c r="L119" s="514"/>
      <c r="M119" s="520"/>
      <c r="N119" s="514"/>
      <c r="O119" s="756"/>
      <c r="P119" s="1026">
        <f>5.9+2.7</f>
        <v>8.6000000000000014</v>
      </c>
      <c r="Q119" s="1026">
        <f>3.3</f>
        <v>3.3</v>
      </c>
      <c r="R119" s="1026">
        <f>0.9+3.1</f>
        <v>4</v>
      </c>
      <c r="S119" s="522"/>
      <c r="T119" s="1041">
        <f>5.54+3</f>
        <v>8.5399999999999991</v>
      </c>
      <c r="U119" s="514"/>
      <c r="V119" s="514"/>
      <c r="W119" s="522"/>
      <c r="X119" s="514"/>
      <c r="Z119" s="522"/>
      <c r="AA119" s="520"/>
      <c r="AB119" s="522"/>
      <c r="AC119" s="522"/>
      <c r="AD119" s="522"/>
      <c r="AE119" s="522"/>
      <c r="AF119" s="522"/>
      <c r="AG119" s="521"/>
      <c r="AH119" s="789"/>
      <c r="AI119" s="996">
        <f t="shared" si="22"/>
        <v>24.44</v>
      </c>
      <c r="AJ119" s="790"/>
      <c r="AK119" s="521">
        <v>0</v>
      </c>
      <c r="AL119" s="520">
        <f t="shared" si="20"/>
        <v>24.44</v>
      </c>
      <c r="AM119" s="695" t="s">
        <v>1710</v>
      </c>
      <c r="AN119" s="669">
        <f t="shared" si="21"/>
        <v>11.459999999999997</v>
      </c>
    </row>
    <row r="120" spans="1:40" s="500" customFormat="1">
      <c r="A120" s="539" t="s">
        <v>940</v>
      </c>
      <c r="B120" s="539" t="s">
        <v>1246</v>
      </c>
      <c r="C120" s="974" t="s">
        <v>38</v>
      </c>
      <c r="D120" s="667"/>
      <c r="E120" s="944"/>
      <c r="F120" s="520"/>
      <c r="G120" s="520"/>
      <c r="H120" s="520"/>
      <c r="I120" s="521"/>
      <c r="J120" s="521"/>
      <c r="K120" s="521"/>
      <c r="L120" s="514"/>
      <c r="M120" s="520"/>
      <c r="N120" s="514"/>
      <c r="O120" s="756"/>
      <c r="P120" s="514"/>
      <c r="Q120" s="522"/>
      <c r="R120" s="1026">
        <f>5.85+2.6</f>
        <v>8.4499999999999993</v>
      </c>
      <c r="S120" s="1026">
        <v>14.3</v>
      </c>
      <c r="T120" s="1041">
        <v>5.25</v>
      </c>
      <c r="U120" s="514"/>
      <c r="V120" s="514"/>
      <c r="W120" s="522"/>
      <c r="X120" s="514"/>
      <c r="Y120" s="522"/>
      <c r="Z120" s="522"/>
      <c r="AA120" s="520"/>
      <c r="AB120" s="522"/>
      <c r="AC120" s="522"/>
      <c r="AD120" s="522"/>
      <c r="AE120" s="522"/>
      <c r="AF120" s="522"/>
      <c r="AG120" s="521"/>
      <c r="AH120" s="789"/>
      <c r="AI120" s="996">
        <f t="shared" si="22"/>
        <v>28</v>
      </c>
      <c r="AJ120" s="790"/>
      <c r="AK120" s="521">
        <v>0</v>
      </c>
      <c r="AL120" s="520">
        <f t="shared" si="20"/>
        <v>28</v>
      </c>
      <c r="AM120" s="695" t="s">
        <v>1711</v>
      </c>
      <c r="AN120" s="669">
        <f t="shared" si="21"/>
        <v>123.28</v>
      </c>
    </row>
    <row r="121" spans="1:40" s="500" customFormat="1">
      <c r="A121" s="542" t="s">
        <v>524</v>
      </c>
      <c r="B121" s="542" t="s">
        <v>1247</v>
      </c>
      <c r="C121" s="792"/>
      <c r="D121" s="667"/>
      <c r="E121" s="944"/>
      <c r="F121" s="520"/>
      <c r="G121" s="520"/>
      <c r="H121" s="520"/>
      <c r="I121" s="521"/>
      <c r="J121" s="521"/>
      <c r="K121" s="521"/>
      <c r="L121" s="514"/>
      <c r="M121" s="520"/>
      <c r="N121" s="514"/>
      <c r="O121" s="756"/>
      <c r="P121" s="514"/>
      <c r="Q121" s="522"/>
      <c r="R121" s="522"/>
      <c r="S121" s="514"/>
      <c r="T121" s="520"/>
      <c r="U121" s="514"/>
      <c r="V121" s="514"/>
      <c r="W121" s="522"/>
      <c r="X121" s="514"/>
      <c r="Y121" s="522"/>
      <c r="Z121" s="522"/>
      <c r="AA121" s="520"/>
      <c r="AB121" s="522"/>
      <c r="AC121" s="522"/>
      <c r="AD121" s="522"/>
      <c r="AE121" s="522"/>
      <c r="AF121" s="522"/>
      <c r="AG121" s="521"/>
      <c r="AH121" s="789"/>
      <c r="AI121" s="664">
        <f t="shared" si="22"/>
        <v>0</v>
      </c>
      <c r="AJ121" s="790"/>
      <c r="AK121" s="521">
        <v>0</v>
      </c>
      <c r="AL121" s="520">
        <f t="shared" si="20"/>
        <v>0</v>
      </c>
      <c r="AM121" s="695"/>
      <c r="AN121" s="669">
        <f t="shared" si="21"/>
        <v>0</v>
      </c>
    </row>
    <row r="122" spans="1:40" s="500" customFormat="1">
      <c r="A122" s="539" t="s">
        <v>525</v>
      </c>
      <c r="B122" s="539" t="s">
        <v>1248</v>
      </c>
      <c r="C122" s="974" t="s">
        <v>37</v>
      </c>
      <c r="D122" s="667"/>
      <c r="E122" s="1040">
        <f>2.75*2.75+2.9*2.6+2.9*0.65</f>
        <v>16.987500000000001</v>
      </c>
      <c r="F122" s="520"/>
      <c r="G122" s="520"/>
      <c r="H122" s="520"/>
      <c r="I122" s="521"/>
      <c r="J122" s="521"/>
      <c r="K122" s="521"/>
      <c r="L122" s="514"/>
      <c r="M122" s="520"/>
      <c r="N122" s="514"/>
      <c r="O122" s="756"/>
      <c r="P122" s="514"/>
      <c r="Q122" s="522"/>
      <c r="R122" s="522"/>
      <c r="S122" s="514"/>
      <c r="T122" s="520"/>
      <c r="U122" s="514"/>
      <c r="V122" s="514"/>
      <c r="W122" s="522"/>
      <c r="X122" s="514"/>
      <c r="Y122" s="522"/>
      <c r="Z122" s="522"/>
      <c r="AA122" s="1041">
        <v>9.1300000000000008</v>
      </c>
      <c r="AB122" s="522"/>
      <c r="AC122" s="522"/>
      <c r="AD122" s="522"/>
      <c r="AE122" s="522"/>
      <c r="AF122" s="522"/>
      <c r="AG122" s="521"/>
      <c r="AH122" s="790"/>
      <c r="AI122" s="996">
        <f t="shared" si="22"/>
        <v>26.12</v>
      </c>
      <c r="AJ122" s="790"/>
      <c r="AK122" s="521">
        <v>0</v>
      </c>
      <c r="AL122" s="520">
        <f t="shared" si="20"/>
        <v>26.12</v>
      </c>
      <c r="AM122" s="695" t="s">
        <v>1712</v>
      </c>
      <c r="AN122" s="669">
        <f t="shared" si="21"/>
        <v>7.8300000000000018</v>
      </c>
    </row>
    <row r="123" spans="1:40" s="730" customFormat="1">
      <c r="A123" s="440" t="s">
        <v>526</v>
      </c>
      <c r="B123" s="543" t="s">
        <v>1298</v>
      </c>
      <c r="C123" s="792"/>
      <c r="D123" s="667"/>
      <c r="E123" s="944"/>
      <c r="F123" s="520"/>
      <c r="G123" s="520"/>
      <c r="H123" s="520"/>
      <c r="I123" s="521"/>
      <c r="J123" s="521"/>
      <c r="K123" s="521"/>
      <c r="L123" s="514"/>
      <c r="M123" s="520"/>
      <c r="N123" s="514"/>
      <c r="O123" s="756"/>
      <c r="P123" s="514"/>
      <c r="Q123" s="522"/>
      <c r="R123" s="522"/>
      <c r="S123" s="514"/>
      <c r="T123" s="520"/>
      <c r="U123" s="514"/>
      <c r="V123" s="514"/>
      <c r="W123" s="522"/>
      <c r="X123" s="514"/>
      <c r="Y123" s="522"/>
      <c r="Z123" s="522"/>
      <c r="AA123" s="520"/>
      <c r="AB123" s="522"/>
      <c r="AC123" s="522"/>
      <c r="AD123" s="522"/>
      <c r="AE123" s="522"/>
      <c r="AF123" s="522"/>
      <c r="AG123" s="521"/>
      <c r="AH123" s="789"/>
      <c r="AI123" s="664">
        <f t="shared" si="22"/>
        <v>0</v>
      </c>
      <c r="AJ123" s="790"/>
      <c r="AK123" s="725">
        <v>0</v>
      </c>
      <c r="AL123" s="726">
        <f t="shared" ref="AL123:AL128" si="23">AI123+AK123</f>
        <v>0</v>
      </c>
      <c r="AM123" s="847"/>
      <c r="AN123" s="729">
        <f t="shared" ref="AN123:AN128" si="24">AM123-AL123</f>
        <v>0</v>
      </c>
    </row>
    <row r="124" spans="1:40" s="500" customFormat="1">
      <c r="A124" s="542" t="s">
        <v>527</v>
      </c>
      <c r="B124" s="542" t="s">
        <v>1236</v>
      </c>
      <c r="C124" s="792"/>
      <c r="D124" s="667"/>
      <c r="E124" s="944"/>
      <c r="F124" s="520"/>
      <c r="G124" s="520"/>
      <c r="H124" s="520"/>
      <c r="I124" s="521"/>
      <c r="J124" s="521"/>
      <c r="K124" s="521"/>
      <c r="L124" s="514"/>
      <c r="M124" s="520"/>
      <c r="N124" s="514"/>
      <c r="O124" s="756"/>
      <c r="P124" s="514"/>
      <c r="Q124" s="522"/>
      <c r="R124" s="522"/>
      <c r="S124" s="514"/>
      <c r="T124" s="520"/>
      <c r="U124" s="514"/>
      <c r="V124" s="514"/>
      <c r="W124" s="522"/>
      <c r="X124" s="514"/>
      <c r="Y124" s="522"/>
      <c r="Z124" s="522"/>
      <c r="AA124" s="520"/>
      <c r="AB124" s="522"/>
      <c r="AC124" s="522"/>
      <c r="AD124" s="522"/>
      <c r="AE124" s="522"/>
      <c r="AF124" s="522"/>
      <c r="AG124" s="521"/>
      <c r="AH124" s="789"/>
      <c r="AI124" s="664">
        <f t="shared" si="22"/>
        <v>0</v>
      </c>
      <c r="AJ124" s="790"/>
      <c r="AK124" s="521">
        <v>0</v>
      </c>
      <c r="AL124" s="520">
        <f t="shared" si="23"/>
        <v>0</v>
      </c>
      <c r="AM124" s="695"/>
      <c r="AN124" s="669">
        <f t="shared" si="24"/>
        <v>0</v>
      </c>
    </row>
    <row r="125" spans="1:40" s="500" customFormat="1">
      <c r="A125" s="539" t="s">
        <v>528</v>
      </c>
      <c r="B125" s="539" t="s">
        <v>1299</v>
      </c>
      <c r="C125" s="974" t="s">
        <v>37</v>
      </c>
      <c r="D125" s="667"/>
      <c r="E125" s="944"/>
      <c r="F125" s="520"/>
      <c r="G125" s="520"/>
      <c r="H125" s="520"/>
      <c r="I125" s="521"/>
      <c r="J125" s="521"/>
      <c r="K125" s="521"/>
      <c r="L125" s="522"/>
      <c r="M125" s="520"/>
      <c r="N125" s="522"/>
      <c r="O125" s="745"/>
      <c r="P125" s="522"/>
      <c r="Q125" s="1026">
        <f>2.7*1.1+1.4*0.77</f>
        <v>4.048</v>
      </c>
      <c r="R125" s="1026">
        <f>1.55*1.45+1.55*2.75</f>
        <v>6.51</v>
      </c>
      <c r="S125" s="1026">
        <f>1.7*2.4+1.3*2.8</f>
        <v>7.72</v>
      </c>
      <c r="T125" s="1041">
        <f>0.9*2.4+1.3*2.8</f>
        <v>5.8</v>
      </c>
      <c r="U125" s="514"/>
      <c r="V125" s="514"/>
      <c r="W125" s="522"/>
      <c r="X125" s="514"/>
      <c r="Y125" s="522"/>
      <c r="Z125" s="522"/>
      <c r="AA125" s="1041">
        <f>1.5*1.65+1.5*1.75</f>
        <v>5.0999999999999996</v>
      </c>
      <c r="AB125" s="1026">
        <f>1.62*1.85+1.62*2.8</f>
        <v>7.5329999999999995</v>
      </c>
      <c r="AC125" s="522"/>
      <c r="AD125" s="1026">
        <f>0.65*1.85+0.65*2.8</f>
        <v>3.0225</v>
      </c>
      <c r="AE125" s="1026">
        <f>0.65*1.85+0.65*2.8</f>
        <v>3.0225</v>
      </c>
      <c r="AF125" s="522"/>
      <c r="AG125" s="521"/>
      <c r="AH125" s="789"/>
      <c r="AI125" s="996">
        <f t="shared" si="22"/>
        <v>42.76</v>
      </c>
      <c r="AJ125" s="790"/>
      <c r="AK125" s="521">
        <v>0</v>
      </c>
      <c r="AL125" s="520">
        <f t="shared" si="23"/>
        <v>42.76</v>
      </c>
      <c r="AM125" s="695" t="s">
        <v>1728</v>
      </c>
      <c r="AN125" s="669">
        <f t="shared" si="24"/>
        <v>197.22</v>
      </c>
    </row>
    <row r="126" spans="1:40" s="500" customFormat="1">
      <c r="A126" s="542" t="s">
        <v>977</v>
      </c>
      <c r="B126" s="542" t="s">
        <v>1239</v>
      </c>
      <c r="C126" s="792"/>
      <c r="D126" s="667"/>
      <c r="E126" s="944"/>
      <c r="F126" s="520"/>
      <c r="G126" s="520"/>
      <c r="H126" s="520"/>
      <c r="I126" s="521"/>
      <c r="J126" s="521"/>
      <c r="K126" s="521"/>
      <c r="L126" s="514"/>
      <c r="M126" s="520"/>
      <c r="N126" s="514"/>
      <c r="O126" s="756"/>
      <c r="P126" s="514"/>
      <c r="Q126" s="522"/>
      <c r="R126" s="522"/>
      <c r="S126" s="514"/>
      <c r="T126" s="520"/>
      <c r="U126" s="514"/>
      <c r="V126" s="514"/>
      <c r="W126" s="522"/>
      <c r="X126" s="514"/>
      <c r="Y126" s="522"/>
      <c r="Z126" s="522"/>
      <c r="AA126" s="520"/>
      <c r="AB126" s="522"/>
      <c r="AC126" s="522"/>
      <c r="AD126" s="522"/>
      <c r="AE126" s="522"/>
      <c r="AF126" s="522"/>
      <c r="AG126" s="521"/>
      <c r="AH126" s="789"/>
      <c r="AI126" s="664">
        <f t="shared" si="22"/>
        <v>0</v>
      </c>
      <c r="AJ126" s="790"/>
      <c r="AK126" s="521">
        <v>0</v>
      </c>
      <c r="AL126" s="520">
        <f t="shared" si="23"/>
        <v>0</v>
      </c>
      <c r="AM126" s="695"/>
      <c r="AN126" s="669">
        <f t="shared" si="24"/>
        <v>0</v>
      </c>
    </row>
    <row r="127" spans="1:40" s="500" customFormat="1">
      <c r="A127" s="539" t="s">
        <v>978</v>
      </c>
      <c r="B127" s="539" t="s">
        <v>1300</v>
      </c>
      <c r="C127" s="974" t="s">
        <v>37</v>
      </c>
      <c r="D127" s="667"/>
      <c r="E127" s="944"/>
      <c r="F127" s="520"/>
      <c r="G127" s="520"/>
      <c r="H127" s="520"/>
      <c r="I127" s="521"/>
      <c r="L127" s="521"/>
      <c r="M127" s="520"/>
      <c r="N127" s="514"/>
      <c r="O127" s="756"/>
      <c r="P127" s="514"/>
      <c r="Q127" s="522"/>
      <c r="R127" s="522"/>
      <c r="S127" s="514"/>
      <c r="T127" s="520"/>
      <c r="U127" s="514"/>
      <c r="V127" s="514"/>
      <c r="W127" s="522"/>
      <c r="X127" s="514"/>
      <c r="AA127" s="520"/>
      <c r="AB127" s="522"/>
      <c r="AC127" s="522"/>
      <c r="AD127" s="522"/>
      <c r="AE127" s="522"/>
      <c r="AF127" s="522"/>
      <c r="AG127" s="521"/>
      <c r="AH127" s="698"/>
      <c r="AI127" s="664">
        <f t="shared" si="22"/>
        <v>0</v>
      </c>
      <c r="AJ127" s="790"/>
      <c r="AK127" s="521">
        <v>0</v>
      </c>
      <c r="AL127" s="520">
        <f t="shared" si="23"/>
        <v>0</v>
      </c>
      <c r="AM127" s="695" t="s">
        <v>1729</v>
      </c>
      <c r="AN127" s="669">
        <f t="shared" si="24"/>
        <v>117.85</v>
      </c>
    </row>
    <row r="128" spans="1:40" s="500" customFormat="1" ht="13.5" thickBot="1">
      <c r="A128" s="539" t="s">
        <v>979</v>
      </c>
      <c r="B128" s="539" t="s">
        <v>1301</v>
      </c>
      <c r="C128" s="974" t="s">
        <v>37</v>
      </c>
      <c r="D128" s="667"/>
      <c r="E128" s="944"/>
      <c r="F128" s="520"/>
      <c r="G128" s="520"/>
      <c r="H128" s="520"/>
      <c r="I128" s="521"/>
      <c r="J128" s="520"/>
      <c r="K128" s="520"/>
      <c r="L128" s="520"/>
      <c r="M128" s="520"/>
      <c r="N128" s="514"/>
      <c r="O128" s="756"/>
      <c r="P128" s="514"/>
      <c r="Q128" s="522"/>
      <c r="R128" s="522"/>
      <c r="S128" s="514"/>
      <c r="T128" s="520"/>
      <c r="U128" s="514"/>
      <c r="V128" s="514"/>
      <c r="W128" s="522"/>
      <c r="X128" s="514"/>
      <c r="Y128" s="1051">
        <f>2.74*6.25+9.25*0.1</f>
        <v>18.05</v>
      </c>
      <c r="Z128" s="1052">
        <f>3.25*2.7+0.3*3+0.3*3+0.52*2+0.52*2+1*2</f>
        <v>14.655000000000001</v>
      </c>
      <c r="AA128" s="1041">
        <f>0.27*3+0.55*2.8+0.65*2.8+0.27*3</f>
        <v>4.9800000000000004</v>
      </c>
      <c r="AB128" s="522"/>
      <c r="AC128" s="522"/>
      <c r="AD128" s="522"/>
      <c r="AE128" s="522"/>
      <c r="AF128" s="522"/>
      <c r="AG128" s="521"/>
      <c r="AH128" s="698"/>
      <c r="AI128" s="996">
        <f t="shared" si="22"/>
        <v>37.69</v>
      </c>
      <c r="AJ128" s="790"/>
      <c r="AK128" s="521">
        <v>0</v>
      </c>
      <c r="AL128" s="520">
        <f t="shared" si="23"/>
        <v>37.69</v>
      </c>
      <c r="AM128" s="695" t="s">
        <v>1730</v>
      </c>
      <c r="AN128" s="669">
        <f t="shared" si="24"/>
        <v>28.25</v>
      </c>
    </row>
    <row r="129" spans="1:40" s="843" customFormat="1">
      <c r="A129" s="541" t="s">
        <v>488</v>
      </c>
      <c r="B129" s="541" t="s">
        <v>1327</v>
      </c>
      <c r="C129" s="792"/>
      <c r="D129" s="667"/>
      <c r="E129" s="944"/>
      <c r="F129" s="520"/>
      <c r="G129" s="520"/>
      <c r="H129" s="520"/>
      <c r="I129" s="521"/>
      <c r="J129" s="521"/>
      <c r="K129" s="521"/>
      <c r="L129" s="514"/>
      <c r="M129" s="520"/>
      <c r="N129" s="514"/>
      <c r="O129" s="756"/>
      <c r="P129" s="514"/>
      <c r="Q129" s="522"/>
      <c r="R129" s="522"/>
      <c r="S129" s="514"/>
      <c r="T129" s="520"/>
      <c r="U129" s="514"/>
      <c r="V129" s="514"/>
      <c r="W129" s="522"/>
      <c r="X129" s="514"/>
      <c r="Y129" s="522"/>
      <c r="Z129" s="522"/>
      <c r="AA129" s="520"/>
      <c r="AB129" s="522"/>
      <c r="AC129" s="522"/>
      <c r="AD129" s="522"/>
      <c r="AE129" s="522"/>
      <c r="AF129" s="522"/>
      <c r="AG129" s="521"/>
      <c r="AH129" s="789"/>
      <c r="AI129" s="664">
        <f t="shared" ref="AI129:AI134" si="25">ROUND((SUM(E129:AH129)),2)</f>
        <v>0</v>
      </c>
      <c r="AJ129" s="790"/>
      <c r="AK129" s="836">
        <v>0</v>
      </c>
      <c r="AL129" s="835">
        <f t="shared" ref="AL129:AL137" si="26">AI129+AK129</f>
        <v>0</v>
      </c>
      <c r="AM129" s="848"/>
      <c r="AN129" s="842">
        <f t="shared" ref="AN129:AN137" si="27">AM129-AL129</f>
        <v>0</v>
      </c>
    </row>
    <row r="130" spans="1:40" s="500" customFormat="1">
      <c r="A130" s="440" t="s">
        <v>493</v>
      </c>
      <c r="B130" s="543" t="s">
        <v>1340</v>
      </c>
      <c r="C130" s="792"/>
      <c r="D130" s="667"/>
      <c r="E130" s="944"/>
      <c r="F130" s="520"/>
      <c r="G130" s="520"/>
      <c r="H130" s="520"/>
      <c r="I130" s="521"/>
      <c r="J130" s="521"/>
      <c r="K130" s="521"/>
      <c r="L130" s="514"/>
      <c r="M130" s="520"/>
      <c r="N130" s="514"/>
      <c r="O130" s="756"/>
      <c r="P130" s="514"/>
      <c r="Q130" s="522"/>
      <c r="R130" s="522"/>
      <c r="S130" s="514"/>
      <c r="T130" s="520"/>
      <c r="U130" s="514"/>
      <c r="V130" s="514"/>
      <c r="W130" s="522"/>
      <c r="X130" s="514"/>
      <c r="Y130" s="522"/>
      <c r="Z130" s="522"/>
      <c r="AA130" s="520"/>
      <c r="AB130" s="522"/>
      <c r="AC130" s="522"/>
      <c r="AD130" s="522"/>
      <c r="AE130" s="522"/>
      <c r="AF130" s="522"/>
      <c r="AG130" s="521"/>
      <c r="AH130" s="789"/>
      <c r="AI130" s="664">
        <f t="shared" si="25"/>
        <v>0</v>
      </c>
      <c r="AJ130" s="790"/>
      <c r="AK130" s="521">
        <v>0</v>
      </c>
      <c r="AL130" s="520">
        <f t="shared" si="26"/>
        <v>0</v>
      </c>
      <c r="AM130" s="695"/>
      <c r="AN130" s="669">
        <f t="shared" si="27"/>
        <v>0</v>
      </c>
    </row>
    <row r="131" spans="1:40" s="500" customFormat="1">
      <c r="A131" s="542" t="s">
        <v>1031</v>
      </c>
      <c r="B131" s="542" t="s">
        <v>1350</v>
      </c>
      <c r="C131" s="974" t="s">
        <v>1451</v>
      </c>
      <c r="D131" s="667"/>
      <c r="E131" s="944"/>
      <c r="F131" s="520"/>
      <c r="G131" s="520"/>
      <c r="H131" s="520"/>
      <c r="I131" s="521"/>
      <c r="J131" s="521"/>
      <c r="K131" s="521"/>
      <c r="L131" s="514"/>
      <c r="M131" s="520"/>
      <c r="N131" s="514"/>
      <c r="O131" s="756"/>
      <c r="P131" s="514"/>
      <c r="Q131" s="522"/>
      <c r="R131" s="522"/>
      <c r="S131" s="514"/>
      <c r="T131" s="520"/>
      <c r="U131" s="514"/>
      <c r="V131" s="514"/>
      <c r="W131" s="522"/>
      <c r="X131" s="514"/>
      <c r="Y131" s="522"/>
      <c r="Z131" s="522"/>
      <c r="AA131" s="520"/>
      <c r="AB131" s="522"/>
      <c r="AC131" s="522"/>
      <c r="AD131" s="522"/>
      <c r="AE131" s="522"/>
      <c r="AF131" s="522"/>
      <c r="AG131" s="1022">
        <v>6</v>
      </c>
      <c r="AH131" s="789"/>
      <c r="AI131" s="996">
        <f t="shared" si="25"/>
        <v>6</v>
      </c>
      <c r="AJ131" s="790"/>
      <c r="AK131" s="521">
        <v>0</v>
      </c>
      <c r="AL131" s="520">
        <f t="shared" si="26"/>
        <v>6</v>
      </c>
      <c r="AM131" s="695" t="s">
        <v>1617</v>
      </c>
      <c r="AN131" s="669">
        <f t="shared" si="27"/>
        <v>0</v>
      </c>
    </row>
    <row r="132" spans="1:40" s="500" customFormat="1">
      <c r="A132" s="440" t="s">
        <v>497</v>
      </c>
      <c r="B132" s="543" t="s">
        <v>1351</v>
      </c>
      <c r="C132" s="792"/>
      <c r="D132" s="667"/>
      <c r="E132" s="944"/>
      <c r="F132" s="520"/>
      <c r="G132" s="520"/>
      <c r="H132" s="520"/>
      <c r="I132" s="521"/>
      <c r="J132" s="521"/>
      <c r="K132" s="521"/>
      <c r="L132" s="514"/>
      <c r="M132" s="520"/>
      <c r="N132" s="514"/>
      <c r="O132" s="756"/>
      <c r="P132" s="514"/>
      <c r="Q132" s="522"/>
      <c r="R132" s="522"/>
      <c r="S132" s="514"/>
      <c r="T132" s="520"/>
      <c r="U132" s="514"/>
      <c r="V132" s="514"/>
      <c r="W132" s="522"/>
      <c r="X132" s="514"/>
      <c r="Y132" s="522"/>
      <c r="Z132" s="522"/>
      <c r="AA132" s="520"/>
      <c r="AB132" s="522"/>
      <c r="AC132" s="522"/>
      <c r="AD132" s="522"/>
      <c r="AE132" s="522"/>
      <c r="AF132" s="522"/>
      <c r="AG132" s="521"/>
      <c r="AH132" s="789"/>
      <c r="AI132" s="664">
        <f t="shared" si="25"/>
        <v>0</v>
      </c>
      <c r="AJ132" s="790"/>
      <c r="AK132" s="521">
        <v>0</v>
      </c>
      <c r="AL132" s="520">
        <f t="shared" si="26"/>
        <v>0</v>
      </c>
      <c r="AM132" s="695"/>
      <c r="AN132" s="669">
        <f t="shared" si="27"/>
        <v>0</v>
      </c>
    </row>
    <row r="133" spans="1:40" s="500" customFormat="1">
      <c r="A133" s="542" t="s">
        <v>498</v>
      </c>
      <c r="B133" s="542" t="s">
        <v>1352</v>
      </c>
      <c r="C133" s="974" t="s">
        <v>40</v>
      </c>
      <c r="D133" s="667"/>
      <c r="E133" s="944"/>
      <c r="F133" s="520"/>
      <c r="G133" s="520"/>
      <c r="H133" s="520"/>
      <c r="I133" s="521"/>
      <c r="J133" s="521"/>
      <c r="K133" s="521"/>
      <c r="L133" s="514"/>
      <c r="M133" s="520"/>
      <c r="N133" s="514"/>
      <c r="O133" s="756"/>
      <c r="P133" s="514"/>
      <c r="Q133" s="522"/>
      <c r="R133" s="1026">
        <f>2*2*2.5</f>
        <v>10</v>
      </c>
      <c r="S133" s="514"/>
      <c r="T133" s="520"/>
      <c r="U133" s="514"/>
      <c r="V133" s="514"/>
      <c r="W133" s="522"/>
      <c r="X133" s="514"/>
      <c r="Y133" s="522"/>
      <c r="Z133" s="522"/>
      <c r="AA133" s="520"/>
      <c r="AB133" s="522"/>
      <c r="AC133" s="522"/>
      <c r="AD133" s="522"/>
      <c r="AE133" s="522"/>
      <c r="AF133" s="522"/>
      <c r="AG133" s="521"/>
      <c r="AH133" s="789"/>
      <c r="AI133" s="996">
        <f t="shared" si="25"/>
        <v>10</v>
      </c>
      <c r="AJ133" s="790"/>
      <c r="AK133" s="521">
        <v>0</v>
      </c>
      <c r="AL133" s="520">
        <f t="shared" si="26"/>
        <v>10</v>
      </c>
      <c r="AM133" s="695" t="s">
        <v>1746</v>
      </c>
      <c r="AN133" s="669">
        <f t="shared" si="27"/>
        <v>8.0399999999999991</v>
      </c>
    </row>
    <row r="134" spans="1:40" s="500" customFormat="1">
      <c r="A134" s="542" t="s">
        <v>499</v>
      </c>
      <c r="B134" s="542" t="s">
        <v>1353</v>
      </c>
      <c r="C134" s="974" t="s">
        <v>40</v>
      </c>
      <c r="D134" s="667"/>
      <c r="E134" s="944"/>
      <c r="F134" s="520"/>
      <c r="G134" s="520"/>
      <c r="H134" s="520"/>
      <c r="I134" s="521"/>
      <c r="J134" s="521"/>
      <c r="K134" s="521"/>
      <c r="L134" s="514"/>
      <c r="M134" s="520"/>
      <c r="N134" s="514"/>
      <c r="O134" s="756"/>
      <c r="P134" s="514"/>
      <c r="Q134" s="522"/>
      <c r="R134" s="1026">
        <v>10</v>
      </c>
      <c r="S134" s="514"/>
      <c r="T134" s="520"/>
      <c r="U134" s="514"/>
      <c r="V134" s="514"/>
      <c r="W134" s="522"/>
      <c r="X134" s="514"/>
      <c r="Y134" s="522"/>
      <c r="Z134" s="522"/>
      <c r="AA134" s="520"/>
      <c r="AB134" s="522"/>
      <c r="AC134" s="522"/>
      <c r="AD134" s="522"/>
      <c r="AE134" s="522"/>
      <c r="AF134" s="522"/>
      <c r="AG134" s="521"/>
      <c r="AH134" s="789"/>
      <c r="AI134" s="996">
        <f t="shared" si="25"/>
        <v>10</v>
      </c>
      <c r="AJ134" s="790"/>
      <c r="AK134" s="521">
        <v>0</v>
      </c>
      <c r="AL134" s="520">
        <f t="shared" si="26"/>
        <v>10</v>
      </c>
      <c r="AM134" s="695" t="s">
        <v>1746</v>
      </c>
      <c r="AN134" s="669">
        <f t="shared" si="27"/>
        <v>8.0399999999999991</v>
      </c>
    </row>
    <row r="135" spans="1:40" s="500" customFormat="1">
      <c r="A135" s="440" t="s">
        <v>1039</v>
      </c>
      <c r="B135" s="543" t="s">
        <v>1370</v>
      </c>
      <c r="C135" s="974"/>
      <c r="D135" s="667"/>
      <c r="E135" s="944"/>
      <c r="F135" s="520"/>
      <c r="G135" s="520"/>
      <c r="H135" s="520"/>
      <c r="I135" s="521"/>
      <c r="J135" s="521"/>
      <c r="K135" s="521"/>
      <c r="L135" s="514"/>
      <c r="M135" s="520"/>
      <c r="N135" s="514"/>
      <c r="O135" s="756"/>
      <c r="P135" s="514"/>
      <c r="Q135" s="522"/>
      <c r="R135" s="522"/>
      <c r="S135" s="514"/>
      <c r="T135" s="520"/>
      <c r="U135" s="514"/>
      <c r="V135" s="514"/>
      <c r="W135" s="522"/>
      <c r="X135" s="514"/>
      <c r="Y135" s="522"/>
      <c r="Z135" s="522"/>
      <c r="AA135" s="520"/>
      <c r="AB135" s="522"/>
      <c r="AC135" s="522"/>
      <c r="AD135" s="522"/>
      <c r="AE135" s="522"/>
      <c r="AF135" s="522"/>
      <c r="AG135" s="521"/>
      <c r="AH135" s="789"/>
      <c r="AI135" s="664">
        <f t="shared" ref="AI135:AI138" si="28">ROUND((SUM(E135:AH135)),2)</f>
        <v>0</v>
      </c>
      <c r="AJ135" s="790"/>
      <c r="AK135" s="521">
        <v>0</v>
      </c>
      <c r="AL135" s="520">
        <f t="shared" si="26"/>
        <v>0</v>
      </c>
      <c r="AM135" s="695"/>
      <c r="AN135" s="669">
        <f t="shared" si="27"/>
        <v>0</v>
      </c>
    </row>
    <row r="136" spans="1:40" s="500" customFormat="1">
      <c r="A136" s="542" t="s">
        <v>1042</v>
      </c>
      <c r="B136" s="542" t="s">
        <v>1373</v>
      </c>
      <c r="C136" s="974" t="s">
        <v>37</v>
      </c>
      <c r="D136" s="667"/>
      <c r="E136" s="944"/>
      <c r="F136" s="520"/>
      <c r="G136" s="520"/>
      <c r="H136" s="520"/>
      <c r="I136" s="521"/>
      <c r="J136" s="521"/>
      <c r="K136" s="521"/>
      <c r="L136" s="514"/>
      <c r="M136" s="520"/>
      <c r="N136" s="514"/>
      <c r="O136" s="756"/>
      <c r="P136" s="514"/>
      <c r="Q136" s="522"/>
      <c r="R136" s="522"/>
      <c r="S136" s="514"/>
      <c r="T136" s="520"/>
      <c r="U136" s="514"/>
      <c r="V136" s="514"/>
      <c r="W136" s="522"/>
      <c r="X136" s="514"/>
      <c r="Y136" s="522"/>
      <c r="Z136" s="522"/>
      <c r="AA136" s="520"/>
      <c r="AB136" s="522"/>
      <c r="AC136" s="522"/>
      <c r="AD136" s="522"/>
      <c r="AE136" s="1026">
        <f>2.2*0.25*3+3.85*0.25*3</f>
        <v>4.5375000000000005</v>
      </c>
      <c r="AF136" s="522"/>
      <c r="AG136" s="521"/>
      <c r="AH136" s="789"/>
      <c r="AI136" s="996">
        <f t="shared" si="28"/>
        <v>4.54</v>
      </c>
      <c r="AJ136" s="790"/>
      <c r="AK136" s="521">
        <v>0</v>
      </c>
      <c r="AL136" s="520">
        <f t="shared" si="26"/>
        <v>4.54</v>
      </c>
      <c r="AM136" s="695" t="s">
        <v>1754</v>
      </c>
      <c r="AN136" s="669">
        <f t="shared" si="27"/>
        <v>30.660000000000004</v>
      </c>
    </row>
    <row r="137" spans="1:40" s="500" customFormat="1">
      <c r="A137" s="542" t="s">
        <v>1043</v>
      </c>
      <c r="B137" s="542" t="s">
        <v>1374</v>
      </c>
      <c r="C137" s="974" t="s">
        <v>40</v>
      </c>
      <c r="D137" s="667"/>
      <c r="E137" s="944"/>
      <c r="F137" s="520"/>
      <c r="G137" s="520"/>
      <c r="H137" s="520"/>
      <c r="I137" s="521"/>
      <c r="J137" s="521"/>
      <c r="K137" s="521"/>
      <c r="L137" s="514"/>
      <c r="M137" s="520"/>
      <c r="N137" s="514"/>
      <c r="O137" s="756"/>
      <c r="P137" s="514"/>
      <c r="Q137" s="522"/>
      <c r="R137" s="522"/>
      <c r="S137" s="514"/>
      <c r="T137" s="520"/>
      <c r="U137" s="514"/>
      <c r="V137" s="514"/>
      <c r="W137" s="522"/>
      <c r="X137" s="514"/>
      <c r="Y137" s="522"/>
      <c r="Z137" s="522"/>
      <c r="AA137" s="520"/>
      <c r="AB137" s="522"/>
      <c r="AC137" s="522"/>
      <c r="AD137" s="522"/>
      <c r="AE137" s="1026">
        <f>2.2*0.25*0.25+3.85*0.25*0.25</f>
        <v>0.37812500000000004</v>
      </c>
      <c r="AF137" s="522"/>
      <c r="AG137" s="521"/>
      <c r="AH137" s="789"/>
      <c r="AI137" s="996">
        <f t="shared" si="28"/>
        <v>0.38</v>
      </c>
      <c r="AJ137" s="790"/>
      <c r="AK137" s="521">
        <v>0</v>
      </c>
      <c r="AL137" s="520">
        <f t="shared" si="26"/>
        <v>0.38</v>
      </c>
      <c r="AM137" s="695" t="s">
        <v>1755</v>
      </c>
      <c r="AN137" s="669">
        <f t="shared" si="27"/>
        <v>0.94000000000000006</v>
      </c>
    </row>
    <row r="138" spans="1:40" s="500" customFormat="1" ht="13.5" thickBot="1">
      <c r="A138" s="542" t="s">
        <v>1044</v>
      </c>
      <c r="B138" s="542" t="s">
        <v>1375</v>
      </c>
      <c r="C138" s="974" t="s">
        <v>48</v>
      </c>
      <c r="D138" s="667"/>
      <c r="E138" s="944"/>
      <c r="F138" s="520"/>
      <c r="G138" s="520"/>
      <c r="H138" s="520"/>
      <c r="I138" s="521"/>
      <c r="J138" s="521"/>
      <c r="K138" s="521"/>
      <c r="L138" s="514"/>
      <c r="M138" s="520"/>
      <c r="N138" s="514"/>
      <c r="O138" s="756"/>
      <c r="P138" s="514"/>
      <c r="Q138" s="522"/>
      <c r="R138" s="522"/>
      <c r="S138" s="514"/>
      <c r="T138" s="520"/>
      <c r="U138" s="514"/>
      <c r="V138" s="514"/>
      <c r="W138" s="522"/>
      <c r="X138" s="514"/>
      <c r="Y138" s="522"/>
      <c r="Z138" s="522"/>
      <c r="AA138" s="520"/>
      <c r="AB138" s="522"/>
      <c r="AC138" s="522"/>
      <c r="AD138" s="522"/>
      <c r="AE138" s="1026">
        <f>2*9*0.99</f>
        <v>17.82</v>
      </c>
      <c r="AF138" s="522"/>
      <c r="AG138" s="521"/>
      <c r="AH138" s="789"/>
      <c r="AI138" s="996">
        <f t="shared" si="28"/>
        <v>17.82</v>
      </c>
      <c r="AJ138" s="790"/>
      <c r="AK138" s="521">
        <v>0</v>
      </c>
      <c r="AL138" s="520">
        <f t="shared" ref="AL138" si="29">AI138+AK138</f>
        <v>17.82</v>
      </c>
      <c r="AM138" s="695" t="s">
        <v>1756</v>
      </c>
      <c r="AN138" s="669">
        <f t="shared" ref="AN138" si="30">AM138-AL138</f>
        <v>96.580000000000013</v>
      </c>
    </row>
    <row r="139" spans="1:40" ht="13.5" thickBot="1">
      <c r="A139" s="556"/>
      <c r="B139" s="557" t="s">
        <v>2</v>
      </c>
      <c r="C139" s="531"/>
      <c r="D139" s="794"/>
      <c r="E139" s="794"/>
      <c r="F139" s="794"/>
      <c r="G139" s="795"/>
      <c r="H139" s="795"/>
      <c r="I139" s="794"/>
      <c r="J139" s="795"/>
      <c r="K139" s="795"/>
      <c r="L139" s="791"/>
      <c r="M139" s="794"/>
      <c r="N139" s="791"/>
      <c r="O139" s="798"/>
      <c r="P139" s="791"/>
      <c r="Q139" s="983"/>
      <c r="R139" s="983"/>
      <c r="S139" s="791"/>
      <c r="T139" s="794"/>
      <c r="U139" s="791"/>
      <c r="V139" s="791"/>
      <c r="W139" s="983"/>
      <c r="X139" s="791"/>
      <c r="Y139" s="983"/>
      <c r="Z139" s="983"/>
      <c r="AA139" s="794"/>
      <c r="AB139" s="983"/>
      <c r="AC139" s="983"/>
      <c r="AD139" s="983"/>
      <c r="AE139" s="983"/>
      <c r="AF139" s="983"/>
      <c r="AG139" s="983"/>
      <c r="AH139" s="791"/>
      <c r="AI139" s="664">
        <f t="shared" ref="AI139" si="31">ROUND((SUM(D139:AH139)),2)</f>
        <v>0</v>
      </c>
      <c r="AJ139" s="790"/>
      <c r="AK139" s="671"/>
      <c r="AL139" s="671"/>
      <c r="AM139" s="696">
        <f>AL139/10</f>
        <v>0</v>
      </c>
      <c r="AN139" s="669">
        <f t="shared" ref="AN139" si="32">AM139-AL139</f>
        <v>0</v>
      </c>
    </row>
    <row r="140" spans="1:40">
      <c r="A140" s="552" t="s">
        <v>288</v>
      </c>
    </row>
    <row r="142" spans="1:40">
      <c r="B142" s="550" t="s">
        <v>1801</v>
      </c>
    </row>
    <row r="143" spans="1:40">
      <c r="B143" s="550" t="s">
        <v>289</v>
      </c>
    </row>
    <row r="144" spans="1:40">
      <c r="L144" s="699"/>
      <c r="M144" s="699"/>
      <c r="N144" s="699"/>
      <c r="O144" s="799"/>
      <c r="P144" s="699"/>
      <c r="Q144" s="671"/>
      <c r="R144" s="806"/>
      <c r="S144" s="699"/>
      <c r="T144" s="699"/>
      <c r="U144" s="699"/>
      <c r="V144" s="699"/>
      <c r="W144" s="671"/>
      <c r="X144" s="699"/>
      <c r="Y144" s="806"/>
      <c r="Z144" s="671"/>
      <c r="AA144" s="671"/>
      <c r="AB144" s="671"/>
      <c r="AC144" s="671"/>
      <c r="AD144" s="806"/>
      <c r="AE144" s="671"/>
      <c r="AF144" s="806"/>
      <c r="AG144" s="1050"/>
      <c r="AH144" s="699"/>
      <c r="AI144" s="671"/>
      <c r="AJ144" s="671"/>
      <c r="AK144" s="671">
        <v>416.4</v>
      </c>
    </row>
    <row r="145" spans="2:38">
      <c r="L145" s="527" t="e">
        <f>#REF!-#REF!</f>
        <v>#REF!</v>
      </c>
      <c r="M145" s="527"/>
      <c r="N145" s="527"/>
      <c r="O145" s="727"/>
      <c r="P145" s="527"/>
      <c r="Q145" s="521"/>
      <c r="R145" s="725"/>
      <c r="S145" s="527"/>
      <c r="T145" s="527"/>
      <c r="U145" s="527"/>
      <c r="V145" s="527"/>
      <c r="W145" s="521"/>
      <c r="X145" s="527"/>
      <c r="Y145" s="725"/>
      <c r="Z145" s="521"/>
      <c r="AA145" s="521"/>
      <c r="AB145" s="521"/>
      <c r="AC145" s="521"/>
      <c r="AD145" s="725"/>
      <c r="AE145" s="521"/>
      <c r="AF145" s="725"/>
      <c r="AG145" s="772"/>
      <c r="AH145" s="527"/>
      <c r="AI145" s="521" t="e">
        <f>SUM(L145:L145)</f>
        <v>#REF!</v>
      </c>
      <c r="AJ145" s="521"/>
      <c r="AK145" s="521" t="e">
        <f>AK144-AI145</f>
        <v>#REF!</v>
      </c>
      <c r="AL145" s="498" t="s">
        <v>1925</v>
      </c>
    </row>
    <row r="160" spans="2:38">
      <c r="B160" s="552"/>
    </row>
  </sheetData>
  <mergeCells count="6">
    <mergeCell ref="A1:K1"/>
    <mergeCell ref="A2:K2"/>
    <mergeCell ref="B4:K4"/>
    <mergeCell ref="B5:K5"/>
    <mergeCell ref="A9:A10"/>
    <mergeCell ref="B9:B10"/>
  </mergeCells>
  <pageMargins left="0.7" right="0.7" top="0.75" bottom="0.75" header="0.3" footer="0.3"/>
  <pageSetup paperSize="9" scale="24" orientation="portrait"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002060"/>
  </sheetPr>
  <dimension ref="F21:G21"/>
  <sheetViews>
    <sheetView workbookViewId="0"/>
  </sheetViews>
  <sheetFormatPr baseColWidth="10" defaultRowHeight="12.75"/>
  <sheetData>
    <row r="21" spans="6:7">
      <c r="F21" s="879" t="s">
        <v>2085</v>
      </c>
      <c r="G21" s="752" t="s">
        <v>1999</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002060"/>
  </sheetPr>
  <dimension ref="A1:AM582"/>
  <sheetViews>
    <sheetView workbookViewId="0">
      <selection sqref="A1:K1"/>
    </sheetView>
  </sheetViews>
  <sheetFormatPr baseColWidth="10" defaultColWidth="11.42578125" defaultRowHeight="12.75"/>
  <cols>
    <col min="1" max="1" width="12.42578125" style="552" customWidth="1"/>
    <col min="2" max="2" width="99.42578125" style="550" customWidth="1"/>
    <col min="3" max="3" width="5" style="498" customWidth="1"/>
    <col min="4" max="4" width="7" style="498" customWidth="1"/>
    <col min="5" max="5" width="9.42578125" style="498" customWidth="1"/>
    <col min="6" max="6" width="7" style="498" customWidth="1"/>
    <col min="7" max="7" width="7" style="735" customWidth="1"/>
    <col min="8" max="11" width="7" style="498" customWidth="1"/>
    <col min="12" max="13" width="7" style="499" customWidth="1"/>
    <col min="14" max="14" width="7" style="755" customWidth="1"/>
    <col min="15" max="20" width="7" style="499" customWidth="1"/>
    <col min="21" max="21" width="7" style="755" customWidth="1"/>
    <col min="22" max="22" width="7" style="499" customWidth="1"/>
    <col min="23" max="23" width="10.5703125" style="499" customWidth="1"/>
    <col min="24" max="24" width="9.42578125" style="499" customWidth="1"/>
    <col min="25" max="27" width="7" style="499" customWidth="1"/>
    <col min="28" max="28" width="7" style="755" customWidth="1"/>
    <col min="29" max="31" width="7" style="499" customWidth="1"/>
    <col min="32" max="32" width="7" style="761" customWidth="1"/>
    <col min="33" max="33" width="7" style="499" customWidth="1"/>
    <col min="34" max="34" width="7" style="499" hidden="1" customWidth="1"/>
    <col min="35" max="36" width="9.42578125" style="498" customWidth="1"/>
    <col min="37" max="37" width="11.42578125" style="498"/>
    <col min="38" max="38" width="14.42578125" style="498" customWidth="1"/>
    <col min="39" max="256" width="11.42578125" style="498"/>
    <col min="257" max="257" width="6.42578125" style="498" customWidth="1"/>
    <col min="258" max="258" width="47.5703125" style="498" customWidth="1"/>
    <col min="259" max="260" width="5" style="498" customWidth="1"/>
    <col min="261" max="261" width="5.42578125" style="498" customWidth="1"/>
    <col min="262" max="262" width="4.5703125" style="498" customWidth="1"/>
    <col min="263" max="264" width="4.42578125" style="498" customWidth="1"/>
    <col min="265" max="265" width="3.5703125" style="498" customWidth="1"/>
    <col min="266" max="266" width="5" style="498" customWidth="1"/>
    <col min="267" max="267" width="4" style="498" customWidth="1"/>
    <col min="268" max="269" width="4.5703125" style="498" customWidth="1"/>
    <col min="270" max="270" width="4.42578125" style="498" customWidth="1"/>
    <col min="271" max="271" width="4" style="498" customWidth="1"/>
    <col min="272" max="272" width="3.5703125" style="498" customWidth="1"/>
    <col min="273" max="274" width="4.5703125" style="498" customWidth="1"/>
    <col min="275" max="275" width="4" style="498" customWidth="1"/>
    <col min="276" max="277" width="4.42578125" style="498" customWidth="1"/>
    <col min="278" max="278" width="3.5703125" style="498" customWidth="1"/>
    <col min="279" max="279" width="4.42578125" style="498" customWidth="1"/>
    <col min="280" max="280" width="5.5703125" style="498" customWidth="1"/>
    <col min="281" max="281" width="3.5703125" style="498" customWidth="1"/>
    <col min="282" max="282" width="4" style="498" customWidth="1"/>
    <col min="283" max="283" width="4.5703125" style="498" customWidth="1"/>
    <col min="284" max="286" width="4.42578125" style="498" customWidth="1"/>
    <col min="287" max="288" width="4.5703125" style="498" customWidth="1"/>
    <col min="289" max="289" width="4" style="498" customWidth="1"/>
    <col min="290" max="290" width="4.5703125" style="498" customWidth="1"/>
    <col min="291" max="291" width="6" style="498" customWidth="1"/>
    <col min="292" max="292" width="8.5703125" style="498" customWidth="1"/>
    <col min="293" max="512" width="11.42578125" style="498"/>
    <col min="513" max="513" width="6.42578125" style="498" customWidth="1"/>
    <col min="514" max="514" width="47.5703125" style="498" customWidth="1"/>
    <col min="515" max="516" width="5" style="498" customWidth="1"/>
    <col min="517" max="517" width="5.42578125" style="498" customWidth="1"/>
    <col min="518" max="518" width="4.5703125" style="498" customWidth="1"/>
    <col min="519" max="520" width="4.42578125" style="498" customWidth="1"/>
    <col min="521" max="521" width="3.5703125" style="498" customWidth="1"/>
    <col min="522" max="522" width="5" style="498" customWidth="1"/>
    <col min="523" max="523" width="4" style="498" customWidth="1"/>
    <col min="524" max="525" width="4.5703125" style="498" customWidth="1"/>
    <col min="526" max="526" width="4.42578125" style="498" customWidth="1"/>
    <col min="527" max="527" width="4" style="498" customWidth="1"/>
    <col min="528" max="528" width="3.5703125" style="498" customWidth="1"/>
    <col min="529" max="530" width="4.5703125" style="498" customWidth="1"/>
    <col min="531" max="531" width="4" style="498" customWidth="1"/>
    <col min="532" max="533" width="4.42578125" style="498" customWidth="1"/>
    <col min="534" max="534" width="3.5703125" style="498" customWidth="1"/>
    <col min="535" max="535" width="4.42578125" style="498" customWidth="1"/>
    <col min="536" max="536" width="5.5703125" style="498" customWidth="1"/>
    <col min="537" max="537" width="3.5703125" style="498" customWidth="1"/>
    <col min="538" max="538" width="4" style="498" customWidth="1"/>
    <col min="539" max="539" width="4.5703125" style="498" customWidth="1"/>
    <col min="540" max="542" width="4.42578125" style="498" customWidth="1"/>
    <col min="543" max="544" width="4.5703125" style="498" customWidth="1"/>
    <col min="545" max="545" width="4" style="498" customWidth="1"/>
    <col min="546" max="546" width="4.5703125" style="498" customWidth="1"/>
    <col min="547" max="547" width="6" style="498" customWidth="1"/>
    <col min="548" max="548" width="8.5703125" style="498" customWidth="1"/>
    <col min="549" max="768" width="11.42578125" style="498"/>
    <col min="769" max="769" width="6.42578125" style="498" customWidth="1"/>
    <col min="770" max="770" width="47.5703125" style="498" customWidth="1"/>
    <col min="771" max="772" width="5" style="498" customWidth="1"/>
    <col min="773" max="773" width="5.42578125" style="498" customWidth="1"/>
    <col min="774" max="774" width="4.5703125" style="498" customWidth="1"/>
    <col min="775" max="776" width="4.42578125" style="498" customWidth="1"/>
    <col min="777" max="777" width="3.5703125" style="498" customWidth="1"/>
    <col min="778" max="778" width="5" style="498" customWidth="1"/>
    <col min="779" max="779" width="4" style="498" customWidth="1"/>
    <col min="780" max="781" width="4.5703125" style="498" customWidth="1"/>
    <col min="782" max="782" width="4.42578125" style="498" customWidth="1"/>
    <col min="783" max="783" width="4" style="498" customWidth="1"/>
    <col min="784" max="784" width="3.5703125" style="498" customWidth="1"/>
    <col min="785" max="786" width="4.5703125" style="498" customWidth="1"/>
    <col min="787" max="787" width="4" style="498" customWidth="1"/>
    <col min="788" max="789" width="4.42578125" style="498" customWidth="1"/>
    <col min="790" max="790" width="3.5703125" style="498" customWidth="1"/>
    <col min="791" max="791" width="4.42578125" style="498" customWidth="1"/>
    <col min="792" max="792" width="5.5703125" style="498" customWidth="1"/>
    <col min="793" max="793" width="3.5703125" style="498" customWidth="1"/>
    <col min="794" max="794" width="4" style="498" customWidth="1"/>
    <col min="795" max="795" width="4.5703125" style="498" customWidth="1"/>
    <col min="796" max="798" width="4.42578125" style="498" customWidth="1"/>
    <col min="799" max="800" width="4.5703125" style="498" customWidth="1"/>
    <col min="801" max="801" width="4" style="498" customWidth="1"/>
    <col min="802" max="802" width="4.5703125" style="498" customWidth="1"/>
    <col min="803" max="803" width="6" style="498" customWidth="1"/>
    <col min="804" max="804" width="8.5703125" style="498" customWidth="1"/>
    <col min="805" max="1024" width="11.42578125" style="498"/>
    <col min="1025" max="1025" width="6.42578125" style="498" customWidth="1"/>
    <col min="1026" max="1026" width="47.5703125" style="498" customWidth="1"/>
    <col min="1027" max="1028" width="5" style="498" customWidth="1"/>
    <col min="1029" max="1029" width="5.42578125" style="498" customWidth="1"/>
    <col min="1030" max="1030" width="4.5703125" style="498" customWidth="1"/>
    <col min="1031" max="1032" width="4.42578125" style="498" customWidth="1"/>
    <col min="1033" max="1033" width="3.5703125" style="498" customWidth="1"/>
    <col min="1034" max="1034" width="5" style="498" customWidth="1"/>
    <col min="1035" max="1035" width="4" style="498" customWidth="1"/>
    <col min="1036" max="1037" width="4.5703125" style="498" customWidth="1"/>
    <col min="1038" max="1038" width="4.42578125" style="498" customWidth="1"/>
    <col min="1039" max="1039" width="4" style="498" customWidth="1"/>
    <col min="1040" max="1040" width="3.5703125" style="498" customWidth="1"/>
    <col min="1041" max="1042" width="4.5703125" style="498" customWidth="1"/>
    <col min="1043" max="1043" width="4" style="498" customWidth="1"/>
    <col min="1044" max="1045" width="4.42578125" style="498" customWidth="1"/>
    <col min="1046" max="1046" width="3.5703125" style="498" customWidth="1"/>
    <col min="1047" max="1047" width="4.42578125" style="498" customWidth="1"/>
    <col min="1048" max="1048" width="5.5703125" style="498" customWidth="1"/>
    <col min="1049" max="1049" width="3.5703125" style="498" customWidth="1"/>
    <col min="1050" max="1050" width="4" style="498" customWidth="1"/>
    <col min="1051" max="1051" width="4.5703125" style="498" customWidth="1"/>
    <col min="1052" max="1054" width="4.42578125" style="498" customWidth="1"/>
    <col min="1055" max="1056" width="4.5703125" style="498" customWidth="1"/>
    <col min="1057" max="1057" width="4" style="498" customWidth="1"/>
    <col min="1058" max="1058" width="4.5703125" style="498" customWidth="1"/>
    <col min="1059" max="1059" width="6" style="498" customWidth="1"/>
    <col min="1060" max="1060" width="8.5703125" style="498" customWidth="1"/>
    <col min="1061" max="1280" width="11.42578125" style="498"/>
    <col min="1281" max="1281" width="6.42578125" style="498" customWidth="1"/>
    <col min="1282" max="1282" width="47.5703125" style="498" customWidth="1"/>
    <col min="1283" max="1284" width="5" style="498" customWidth="1"/>
    <col min="1285" max="1285" width="5.42578125" style="498" customWidth="1"/>
    <col min="1286" max="1286" width="4.5703125" style="498" customWidth="1"/>
    <col min="1287" max="1288" width="4.42578125" style="498" customWidth="1"/>
    <col min="1289" max="1289" width="3.5703125" style="498" customWidth="1"/>
    <col min="1290" max="1290" width="5" style="498" customWidth="1"/>
    <col min="1291" max="1291" width="4" style="498" customWidth="1"/>
    <col min="1292" max="1293" width="4.5703125" style="498" customWidth="1"/>
    <col min="1294" max="1294" width="4.42578125" style="498" customWidth="1"/>
    <col min="1295" max="1295" width="4" style="498" customWidth="1"/>
    <col min="1296" max="1296" width="3.5703125" style="498" customWidth="1"/>
    <col min="1297" max="1298" width="4.5703125" style="498" customWidth="1"/>
    <col min="1299" max="1299" width="4" style="498" customWidth="1"/>
    <col min="1300" max="1301" width="4.42578125" style="498" customWidth="1"/>
    <col min="1302" max="1302" width="3.5703125" style="498" customWidth="1"/>
    <col min="1303" max="1303" width="4.42578125" style="498" customWidth="1"/>
    <col min="1304" max="1304" width="5.5703125" style="498" customWidth="1"/>
    <col min="1305" max="1305" width="3.5703125" style="498" customWidth="1"/>
    <col min="1306" max="1306" width="4" style="498" customWidth="1"/>
    <col min="1307" max="1307" width="4.5703125" style="498" customWidth="1"/>
    <col min="1308" max="1310" width="4.42578125" style="498" customWidth="1"/>
    <col min="1311" max="1312" width="4.5703125" style="498" customWidth="1"/>
    <col min="1313" max="1313" width="4" style="498" customWidth="1"/>
    <col min="1314" max="1314" width="4.5703125" style="498" customWidth="1"/>
    <col min="1315" max="1315" width="6" style="498" customWidth="1"/>
    <col min="1316" max="1316" width="8.5703125" style="498" customWidth="1"/>
    <col min="1317" max="1536" width="11.42578125" style="498"/>
    <col min="1537" max="1537" width="6.42578125" style="498" customWidth="1"/>
    <col min="1538" max="1538" width="47.5703125" style="498" customWidth="1"/>
    <col min="1539" max="1540" width="5" style="498" customWidth="1"/>
    <col min="1541" max="1541" width="5.42578125" style="498" customWidth="1"/>
    <col min="1542" max="1542" width="4.5703125" style="498" customWidth="1"/>
    <col min="1543" max="1544" width="4.42578125" style="498" customWidth="1"/>
    <col min="1545" max="1545" width="3.5703125" style="498" customWidth="1"/>
    <col min="1546" max="1546" width="5" style="498" customWidth="1"/>
    <col min="1547" max="1547" width="4" style="498" customWidth="1"/>
    <col min="1548" max="1549" width="4.5703125" style="498" customWidth="1"/>
    <col min="1550" max="1550" width="4.42578125" style="498" customWidth="1"/>
    <col min="1551" max="1551" width="4" style="498" customWidth="1"/>
    <col min="1552" max="1552" width="3.5703125" style="498" customWidth="1"/>
    <col min="1553" max="1554" width="4.5703125" style="498" customWidth="1"/>
    <col min="1555" max="1555" width="4" style="498" customWidth="1"/>
    <col min="1556" max="1557" width="4.42578125" style="498" customWidth="1"/>
    <col min="1558" max="1558" width="3.5703125" style="498" customWidth="1"/>
    <col min="1559" max="1559" width="4.42578125" style="498" customWidth="1"/>
    <col min="1560" max="1560" width="5.5703125" style="498" customWidth="1"/>
    <col min="1561" max="1561" width="3.5703125" style="498" customWidth="1"/>
    <col min="1562" max="1562" width="4" style="498" customWidth="1"/>
    <col min="1563" max="1563" width="4.5703125" style="498" customWidth="1"/>
    <col min="1564" max="1566" width="4.42578125" style="498" customWidth="1"/>
    <col min="1567" max="1568" width="4.5703125" style="498" customWidth="1"/>
    <col min="1569" max="1569" width="4" style="498" customWidth="1"/>
    <col min="1570" max="1570" width="4.5703125" style="498" customWidth="1"/>
    <col min="1571" max="1571" width="6" style="498" customWidth="1"/>
    <col min="1572" max="1572" width="8.5703125" style="498" customWidth="1"/>
    <col min="1573" max="1792" width="11.42578125" style="498"/>
    <col min="1793" max="1793" width="6.42578125" style="498" customWidth="1"/>
    <col min="1794" max="1794" width="47.5703125" style="498" customWidth="1"/>
    <col min="1795" max="1796" width="5" style="498" customWidth="1"/>
    <col min="1797" max="1797" width="5.42578125" style="498" customWidth="1"/>
    <col min="1798" max="1798" width="4.5703125" style="498" customWidth="1"/>
    <col min="1799" max="1800" width="4.42578125" style="498" customWidth="1"/>
    <col min="1801" max="1801" width="3.5703125" style="498" customWidth="1"/>
    <col min="1802" max="1802" width="5" style="498" customWidth="1"/>
    <col min="1803" max="1803" width="4" style="498" customWidth="1"/>
    <col min="1804" max="1805" width="4.5703125" style="498" customWidth="1"/>
    <col min="1806" max="1806" width="4.42578125" style="498" customWidth="1"/>
    <col min="1807" max="1807" width="4" style="498" customWidth="1"/>
    <col min="1808" max="1808" width="3.5703125" style="498" customWidth="1"/>
    <col min="1809" max="1810" width="4.5703125" style="498" customWidth="1"/>
    <col min="1811" max="1811" width="4" style="498" customWidth="1"/>
    <col min="1812" max="1813" width="4.42578125" style="498" customWidth="1"/>
    <col min="1814" max="1814" width="3.5703125" style="498" customWidth="1"/>
    <col min="1815" max="1815" width="4.42578125" style="498" customWidth="1"/>
    <col min="1816" max="1816" width="5.5703125" style="498" customWidth="1"/>
    <col min="1817" max="1817" width="3.5703125" style="498" customWidth="1"/>
    <col min="1818" max="1818" width="4" style="498" customWidth="1"/>
    <col min="1819" max="1819" width="4.5703125" style="498" customWidth="1"/>
    <col min="1820" max="1822" width="4.42578125" style="498" customWidth="1"/>
    <col min="1823" max="1824" width="4.5703125" style="498" customWidth="1"/>
    <col min="1825" max="1825" width="4" style="498" customWidth="1"/>
    <col min="1826" max="1826" width="4.5703125" style="498" customWidth="1"/>
    <col min="1827" max="1827" width="6" style="498" customWidth="1"/>
    <col min="1828" max="1828" width="8.5703125" style="498" customWidth="1"/>
    <col min="1829" max="2048" width="11.42578125" style="498"/>
    <col min="2049" max="2049" width="6.42578125" style="498" customWidth="1"/>
    <col min="2050" max="2050" width="47.5703125" style="498" customWidth="1"/>
    <col min="2051" max="2052" width="5" style="498" customWidth="1"/>
    <col min="2053" max="2053" width="5.42578125" style="498" customWidth="1"/>
    <col min="2054" max="2054" width="4.5703125" style="498" customWidth="1"/>
    <col min="2055" max="2056" width="4.42578125" style="498" customWidth="1"/>
    <col min="2057" max="2057" width="3.5703125" style="498" customWidth="1"/>
    <col min="2058" max="2058" width="5" style="498" customWidth="1"/>
    <col min="2059" max="2059" width="4" style="498" customWidth="1"/>
    <col min="2060" max="2061" width="4.5703125" style="498" customWidth="1"/>
    <col min="2062" max="2062" width="4.42578125" style="498" customWidth="1"/>
    <col min="2063" max="2063" width="4" style="498" customWidth="1"/>
    <col min="2064" max="2064" width="3.5703125" style="498" customWidth="1"/>
    <col min="2065" max="2066" width="4.5703125" style="498" customWidth="1"/>
    <col min="2067" max="2067" width="4" style="498" customWidth="1"/>
    <col min="2068" max="2069" width="4.42578125" style="498" customWidth="1"/>
    <col min="2070" max="2070" width="3.5703125" style="498" customWidth="1"/>
    <col min="2071" max="2071" width="4.42578125" style="498" customWidth="1"/>
    <col min="2072" max="2072" width="5.5703125" style="498" customWidth="1"/>
    <col min="2073" max="2073" width="3.5703125" style="498" customWidth="1"/>
    <col min="2074" max="2074" width="4" style="498" customWidth="1"/>
    <col min="2075" max="2075" width="4.5703125" style="498" customWidth="1"/>
    <col min="2076" max="2078" width="4.42578125" style="498" customWidth="1"/>
    <col min="2079" max="2080" width="4.5703125" style="498" customWidth="1"/>
    <col min="2081" max="2081" width="4" style="498" customWidth="1"/>
    <col min="2082" max="2082" width="4.5703125" style="498" customWidth="1"/>
    <col min="2083" max="2083" width="6" style="498" customWidth="1"/>
    <col min="2084" max="2084" width="8.5703125" style="498" customWidth="1"/>
    <col min="2085" max="2304" width="11.42578125" style="498"/>
    <col min="2305" max="2305" width="6.42578125" style="498" customWidth="1"/>
    <col min="2306" max="2306" width="47.5703125" style="498" customWidth="1"/>
    <col min="2307" max="2308" width="5" style="498" customWidth="1"/>
    <col min="2309" max="2309" width="5.42578125" style="498" customWidth="1"/>
    <col min="2310" max="2310" width="4.5703125" style="498" customWidth="1"/>
    <col min="2311" max="2312" width="4.42578125" style="498" customWidth="1"/>
    <col min="2313" max="2313" width="3.5703125" style="498" customWidth="1"/>
    <col min="2314" max="2314" width="5" style="498" customWidth="1"/>
    <col min="2315" max="2315" width="4" style="498" customWidth="1"/>
    <col min="2316" max="2317" width="4.5703125" style="498" customWidth="1"/>
    <col min="2318" max="2318" width="4.42578125" style="498" customWidth="1"/>
    <col min="2319" max="2319" width="4" style="498" customWidth="1"/>
    <col min="2320" max="2320" width="3.5703125" style="498" customWidth="1"/>
    <col min="2321" max="2322" width="4.5703125" style="498" customWidth="1"/>
    <col min="2323" max="2323" width="4" style="498" customWidth="1"/>
    <col min="2324" max="2325" width="4.42578125" style="498" customWidth="1"/>
    <col min="2326" max="2326" width="3.5703125" style="498" customWidth="1"/>
    <col min="2327" max="2327" width="4.42578125" style="498" customWidth="1"/>
    <col min="2328" max="2328" width="5.5703125" style="498" customWidth="1"/>
    <col min="2329" max="2329" width="3.5703125" style="498" customWidth="1"/>
    <col min="2330" max="2330" width="4" style="498" customWidth="1"/>
    <col min="2331" max="2331" width="4.5703125" style="498" customWidth="1"/>
    <col min="2332" max="2334" width="4.42578125" style="498" customWidth="1"/>
    <col min="2335" max="2336" width="4.5703125" style="498" customWidth="1"/>
    <col min="2337" max="2337" width="4" style="498" customWidth="1"/>
    <col min="2338" max="2338" width="4.5703125" style="498" customWidth="1"/>
    <col min="2339" max="2339" width="6" style="498" customWidth="1"/>
    <col min="2340" max="2340" width="8.5703125" style="498" customWidth="1"/>
    <col min="2341" max="2560" width="11.42578125" style="498"/>
    <col min="2561" max="2561" width="6.42578125" style="498" customWidth="1"/>
    <col min="2562" max="2562" width="47.5703125" style="498" customWidth="1"/>
    <col min="2563" max="2564" width="5" style="498" customWidth="1"/>
    <col min="2565" max="2565" width="5.42578125" style="498" customWidth="1"/>
    <col min="2566" max="2566" width="4.5703125" style="498" customWidth="1"/>
    <col min="2567" max="2568" width="4.42578125" style="498" customWidth="1"/>
    <col min="2569" max="2569" width="3.5703125" style="498" customWidth="1"/>
    <col min="2570" max="2570" width="5" style="498" customWidth="1"/>
    <col min="2571" max="2571" width="4" style="498" customWidth="1"/>
    <col min="2572" max="2573" width="4.5703125" style="498" customWidth="1"/>
    <col min="2574" max="2574" width="4.42578125" style="498" customWidth="1"/>
    <col min="2575" max="2575" width="4" style="498" customWidth="1"/>
    <col min="2576" max="2576" width="3.5703125" style="498" customWidth="1"/>
    <col min="2577" max="2578" width="4.5703125" style="498" customWidth="1"/>
    <col min="2579" max="2579" width="4" style="498" customWidth="1"/>
    <col min="2580" max="2581" width="4.42578125" style="498" customWidth="1"/>
    <col min="2582" max="2582" width="3.5703125" style="498" customWidth="1"/>
    <col min="2583" max="2583" width="4.42578125" style="498" customWidth="1"/>
    <col min="2584" max="2584" width="5.5703125" style="498" customWidth="1"/>
    <col min="2585" max="2585" width="3.5703125" style="498" customWidth="1"/>
    <col min="2586" max="2586" width="4" style="498" customWidth="1"/>
    <col min="2587" max="2587" width="4.5703125" style="498" customWidth="1"/>
    <col min="2588" max="2590" width="4.42578125" style="498" customWidth="1"/>
    <col min="2591" max="2592" width="4.5703125" style="498" customWidth="1"/>
    <col min="2593" max="2593" width="4" style="498" customWidth="1"/>
    <col min="2594" max="2594" width="4.5703125" style="498" customWidth="1"/>
    <col min="2595" max="2595" width="6" style="498" customWidth="1"/>
    <col min="2596" max="2596" width="8.5703125" style="498" customWidth="1"/>
    <col min="2597" max="2816" width="11.42578125" style="498"/>
    <col min="2817" max="2817" width="6.42578125" style="498" customWidth="1"/>
    <col min="2818" max="2818" width="47.5703125" style="498" customWidth="1"/>
    <col min="2819" max="2820" width="5" style="498" customWidth="1"/>
    <col min="2821" max="2821" width="5.42578125" style="498" customWidth="1"/>
    <col min="2822" max="2822" width="4.5703125" style="498" customWidth="1"/>
    <col min="2823" max="2824" width="4.42578125" style="498" customWidth="1"/>
    <col min="2825" max="2825" width="3.5703125" style="498" customWidth="1"/>
    <col min="2826" max="2826" width="5" style="498" customWidth="1"/>
    <col min="2827" max="2827" width="4" style="498" customWidth="1"/>
    <col min="2828" max="2829" width="4.5703125" style="498" customWidth="1"/>
    <col min="2830" max="2830" width="4.42578125" style="498" customWidth="1"/>
    <col min="2831" max="2831" width="4" style="498" customWidth="1"/>
    <col min="2832" max="2832" width="3.5703125" style="498" customWidth="1"/>
    <col min="2833" max="2834" width="4.5703125" style="498" customWidth="1"/>
    <col min="2835" max="2835" width="4" style="498" customWidth="1"/>
    <col min="2836" max="2837" width="4.42578125" style="498" customWidth="1"/>
    <col min="2838" max="2838" width="3.5703125" style="498" customWidth="1"/>
    <col min="2839" max="2839" width="4.42578125" style="498" customWidth="1"/>
    <col min="2840" max="2840" width="5.5703125" style="498" customWidth="1"/>
    <col min="2841" max="2841" width="3.5703125" style="498" customWidth="1"/>
    <col min="2842" max="2842" width="4" style="498" customWidth="1"/>
    <col min="2843" max="2843" width="4.5703125" style="498" customWidth="1"/>
    <col min="2844" max="2846" width="4.42578125" style="498" customWidth="1"/>
    <col min="2847" max="2848" width="4.5703125" style="498" customWidth="1"/>
    <col min="2849" max="2849" width="4" style="498" customWidth="1"/>
    <col min="2850" max="2850" width="4.5703125" style="498" customWidth="1"/>
    <col min="2851" max="2851" width="6" style="498" customWidth="1"/>
    <col min="2852" max="2852" width="8.5703125" style="498" customWidth="1"/>
    <col min="2853" max="3072" width="11.42578125" style="498"/>
    <col min="3073" max="3073" width="6.42578125" style="498" customWidth="1"/>
    <col min="3074" max="3074" width="47.5703125" style="498" customWidth="1"/>
    <col min="3075" max="3076" width="5" style="498" customWidth="1"/>
    <col min="3077" max="3077" width="5.42578125" style="498" customWidth="1"/>
    <col min="3078" max="3078" width="4.5703125" style="498" customWidth="1"/>
    <col min="3079" max="3080" width="4.42578125" style="498" customWidth="1"/>
    <col min="3081" max="3081" width="3.5703125" style="498" customWidth="1"/>
    <col min="3082" max="3082" width="5" style="498" customWidth="1"/>
    <col min="3083" max="3083" width="4" style="498" customWidth="1"/>
    <col min="3084" max="3085" width="4.5703125" style="498" customWidth="1"/>
    <col min="3086" max="3086" width="4.42578125" style="498" customWidth="1"/>
    <col min="3087" max="3087" width="4" style="498" customWidth="1"/>
    <col min="3088" max="3088" width="3.5703125" style="498" customWidth="1"/>
    <col min="3089" max="3090" width="4.5703125" style="498" customWidth="1"/>
    <col min="3091" max="3091" width="4" style="498" customWidth="1"/>
    <col min="3092" max="3093" width="4.42578125" style="498" customWidth="1"/>
    <col min="3094" max="3094" width="3.5703125" style="498" customWidth="1"/>
    <col min="3095" max="3095" width="4.42578125" style="498" customWidth="1"/>
    <col min="3096" max="3096" width="5.5703125" style="498" customWidth="1"/>
    <col min="3097" max="3097" width="3.5703125" style="498" customWidth="1"/>
    <col min="3098" max="3098" width="4" style="498" customWidth="1"/>
    <col min="3099" max="3099" width="4.5703125" style="498" customWidth="1"/>
    <col min="3100" max="3102" width="4.42578125" style="498" customWidth="1"/>
    <col min="3103" max="3104" width="4.5703125" style="498" customWidth="1"/>
    <col min="3105" max="3105" width="4" style="498" customWidth="1"/>
    <col min="3106" max="3106" width="4.5703125" style="498" customWidth="1"/>
    <col min="3107" max="3107" width="6" style="498" customWidth="1"/>
    <col min="3108" max="3108" width="8.5703125" style="498" customWidth="1"/>
    <col min="3109" max="3328" width="11.42578125" style="498"/>
    <col min="3329" max="3329" width="6.42578125" style="498" customWidth="1"/>
    <col min="3330" max="3330" width="47.5703125" style="498" customWidth="1"/>
    <col min="3331" max="3332" width="5" style="498" customWidth="1"/>
    <col min="3333" max="3333" width="5.42578125" style="498" customWidth="1"/>
    <col min="3334" max="3334" width="4.5703125" style="498" customWidth="1"/>
    <col min="3335" max="3336" width="4.42578125" style="498" customWidth="1"/>
    <col min="3337" max="3337" width="3.5703125" style="498" customWidth="1"/>
    <col min="3338" max="3338" width="5" style="498" customWidth="1"/>
    <col min="3339" max="3339" width="4" style="498" customWidth="1"/>
    <col min="3340" max="3341" width="4.5703125" style="498" customWidth="1"/>
    <col min="3342" max="3342" width="4.42578125" style="498" customWidth="1"/>
    <col min="3343" max="3343" width="4" style="498" customWidth="1"/>
    <col min="3344" max="3344" width="3.5703125" style="498" customWidth="1"/>
    <col min="3345" max="3346" width="4.5703125" style="498" customWidth="1"/>
    <col min="3347" max="3347" width="4" style="498" customWidth="1"/>
    <col min="3348" max="3349" width="4.42578125" style="498" customWidth="1"/>
    <col min="3350" max="3350" width="3.5703125" style="498" customWidth="1"/>
    <col min="3351" max="3351" width="4.42578125" style="498" customWidth="1"/>
    <col min="3352" max="3352" width="5.5703125" style="498" customWidth="1"/>
    <col min="3353" max="3353" width="3.5703125" style="498" customWidth="1"/>
    <col min="3354" max="3354" width="4" style="498" customWidth="1"/>
    <col min="3355" max="3355" width="4.5703125" style="498" customWidth="1"/>
    <col min="3356" max="3358" width="4.42578125" style="498" customWidth="1"/>
    <col min="3359" max="3360" width="4.5703125" style="498" customWidth="1"/>
    <col min="3361" max="3361" width="4" style="498" customWidth="1"/>
    <col min="3362" max="3362" width="4.5703125" style="498" customWidth="1"/>
    <col min="3363" max="3363" width="6" style="498" customWidth="1"/>
    <col min="3364" max="3364" width="8.5703125" style="498" customWidth="1"/>
    <col min="3365" max="3584" width="11.42578125" style="498"/>
    <col min="3585" max="3585" width="6.42578125" style="498" customWidth="1"/>
    <col min="3586" max="3586" width="47.5703125" style="498" customWidth="1"/>
    <col min="3587" max="3588" width="5" style="498" customWidth="1"/>
    <col min="3589" max="3589" width="5.42578125" style="498" customWidth="1"/>
    <col min="3590" max="3590" width="4.5703125" style="498" customWidth="1"/>
    <col min="3591" max="3592" width="4.42578125" style="498" customWidth="1"/>
    <col min="3593" max="3593" width="3.5703125" style="498" customWidth="1"/>
    <col min="3594" max="3594" width="5" style="498" customWidth="1"/>
    <col min="3595" max="3595" width="4" style="498" customWidth="1"/>
    <col min="3596" max="3597" width="4.5703125" style="498" customWidth="1"/>
    <col min="3598" max="3598" width="4.42578125" style="498" customWidth="1"/>
    <col min="3599" max="3599" width="4" style="498" customWidth="1"/>
    <col min="3600" max="3600" width="3.5703125" style="498" customWidth="1"/>
    <col min="3601" max="3602" width="4.5703125" style="498" customWidth="1"/>
    <col min="3603" max="3603" width="4" style="498" customWidth="1"/>
    <col min="3604" max="3605" width="4.42578125" style="498" customWidth="1"/>
    <col min="3606" max="3606" width="3.5703125" style="498" customWidth="1"/>
    <col min="3607" max="3607" width="4.42578125" style="498" customWidth="1"/>
    <col min="3608" max="3608" width="5.5703125" style="498" customWidth="1"/>
    <col min="3609" max="3609" width="3.5703125" style="498" customWidth="1"/>
    <col min="3610" max="3610" width="4" style="498" customWidth="1"/>
    <col min="3611" max="3611" width="4.5703125" style="498" customWidth="1"/>
    <col min="3612" max="3614" width="4.42578125" style="498" customWidth="1"/>
    <col min="3615" max="3616" width="4.5703125" style="498" customWidth="1"/>
    <col min="3617" max="3617" width="4" style="498" customWidth="1"/>
    <col min="3618" max="3618" width="4.5703125" style="498" customWidth="1"/>
    <col min="3619" max="3619" width="6" style="498" customWidth="1"/>
    <col min="3620" max="3620" width="8.5703125" style="498" customWidth="1"/>
    <col min="3621" max="3840" width="11.42578125" style="498"/>
    <col min="3841" max="3841" width="6.42578125" style="498" customWidth="1"/>
    <col min="3842" max="3842" width="47.5703125" style="498" customWidth="1"/>
    <col min="3843" max="3844" width="5" style="498" customWidth="1"/>
    <col min="3845" max="3845" width="5.42578125" style="498" customWidth="1"/>
    <col min="3846" max="3846" width="4.5703125" style="498" customWidth="1"/>
    <col min="3847" max="3848" width="4.42578125" style="498" customWidth="1"/>
    <col min="3849" max="3849" width="3.5703125" style="498" customWidth="1"/>
    <col min="3850" max="3850" width="5" style="498" customWidth="1"/>
    <col min="3851" max="3851" width="4" style="498" customWidth="1"/>
    <col min="3852" max="3853" width="4.5703125" style="498" customWidth="1"/>
    <col min="3854" max="3854" width="4.42578125" style="498" customWidth="1"/>
    <col min="3855" max="3855" width="4" style="498" customWidth="1"/>
    <col min="3856" max="3856" width="3.5703125" style="498" customWidth="1"/>
    <col min="3857" max="3858" width="4.5703125" style="498" customWidth="1"/>
    <col min="3859" max="3859" width="4" style="498" customWidth="1"/>
    <col min="3860" max="3861" width="4.42578125" style="498" customWidth="1"/>
    <col min="3862" max="3862" width="3.5703125" style="498" customWidth="1"/>
    <col min="3863" max="3863" width="4.42578125" style="498" customWidth="1"/>
    <col min="3864" max="3864" width="5.5703125" style="498" customWidth="1"/>
    <col min="3865" max="3865" width="3.5703125" style="498" customWidth="1"/>
    <col min="3866" max="3866" width="4" style="498" customWidth="1"/>
    <col min="3867" max="3867" width="4.5703125" style="498" customWidth="1"/>
    <col min="3868" max="3870" width="4.42578125" style="498" customWidth="1"/>
    <col min="3871" max="3872" width="4.5703125" style="498" customWidth="1"/>
    <col min="3873" max="3873" width="4" style="498" customWidth="1"/>
    <col min="3874" max="3874" width="4.5703125" style="498" customWidth="1"/>
    <col min="3875" max="3875" width="6" style="498" customWidth="1"/>
    <col min="3876" max="3876" width="8.5703125" style="498" customWidth="1"/>
    <col min="3877" max="4096" width="11.42578125" style="498"/>
    <col min="4097" max="4097" width="6.42578125" style="498" customWidth="1"/>
    <col min="4098" max="4098" width="47.5703125" style="498" customWidth="1"/>
    <col min="4099" max="4100" width="5" style="498" customWidth="1"/>
    <col min="4101" max="4101" width="5.42578125" style="498" customWidth="1"/>
    <col min="4102" max="4102" width="4.5703125" style="498" customWidth="1"/>
    <col min="4103" max="4104" width="4.42578125" style="498" customWidth="1"/>
    <col min="4105" max="4105" width="3.5703125" style="498" customWidth="1"/>
    <col min="4106" max="4106" width="5" style="498" customWidth="1"/>
    <col min="4107" max="4107" width="4" style="498" customWidth="1"/>
    <col min="4108" max="4109" width="4.5703125" style="498" customWidth="1"/>
    <col min="4110" max="4110" width="4.42578125" style="498" customWidth="1"/>
    <col min="4111" max="4111" width="4" style="498" customWidth="1"/>
    <col min="4112" max="4112" width="3.5703125" style="498" customWidth="1"/>
    <col min="4113" max="4114" width="4.5703125" style="498" customWidth="1"/>
    <col min="4115" max="4115" width="4" style="498" customWidth="1"/>
    <col min="4116" max="4117" width="4.42578125" style="498" customWidth="1"/>
    <col min="4118" max="4118" width="3.5703125" style="498" customWidth="1"/>
    <col min="4119" max="4119" width="4.42578125" style="498" customWidth="1"/>
    <col min="4120" max="4120" width="5.5703125" style="498" customWidth="1"/>
    <col min="4121" max="4121" width="3.5703125" style="498" customWidth="1"/>
    <col min="4122" max="4122" width="4" style="498" customWidth="1"/>
    <col min="4123" max="4123" width="4.5703125" style="498" customWidth="1"/>
    <col min="4124" max="4126" width="4.42578125" style="498" customWidth="1"/>
    <col min="4127" max="4128" width="4.5703125" style="498" customWidth="1"/>
    <col min="4129" max="4129" width="4" style="498" customWidth="1"/>
    <col min="4130" max="4130" width="4.5703125" style="498" customWidth="1"/>
    <col min="4131" max="4131" width="6" style="498" customWidth="1"/>
    <col min="4132" max="4132" width="8.5703125" style="498" customWidth="1"/>
    <col min="4133" max="4352" width="11.42578125" style="498"/>
    <col min="4353" max="4353" width="6.42578125" style="498" customWidth="1"/>
    <col min="4354" max="4354" width="47.5703125" style="498" customWidth="1"/>
    <col min="4355" max="4356" width="5" style="498" customWidth="1"/>
    <col min="4357" max="4357" width="5.42578125" style="498" customWidth="1"/>
    <col min="4358" max="4358" width="4.5703125" style="498" customWidth="1"/>
    <col min="4359" max="4360" width="4.42578125" style="498" customWidth="1"/>
    <col min="4361" max="4361" width="3.5703125" style="498" customWidth="1"/>
    <col min="4362" max="4362" width="5" style="498" customWidth="1"/>
    <col min="4363" max="4363" width="4" style="498" customWidth="1"/>
    <col min="4364" max="4365" width="4.5703125" style="498" customWidth="1"/>
    <col min="4366" max="4366" width="4.42578125" style="498" customWidth="1"/>
    <col min="4367" max="4367" width="4" style="498" customWidth="1"/>
    <col min="4368" max="4368" width="3.5703125" style="498" customWidth="1"/>
    <col min="4369" max="4370" width="4.5703125" style="498" customWidth="1"/>
    <col min="4371" max="4371" width="4" style="498" customWidth="1"/>
    <col min="4372" max="4373" width="4.42578125" style="498" customWidth="1"/>
    <col min="4374" max="4374" width="3.5703125" style="498" customWidth="1"/>
    <col min="4375" max="4375" width="4.42578125" style="498" customWidth="1"/>
    <col min="4376" max="4376" width="5.5703125" style="498" customWidth="1"/>
    <col min="4377" max="4377" width="3.5703125" style="498" customWidth="1"/>
    <col min="4378" max="4378" width="4" style="498" customWidth="1"/>
    <col min="4379" max="4379" width="4.5703125" style="498" customWidth="1"/>
    <col min="4380" max="4382" width="4.42578125" style="498" customWidth="1"/>
    <col min="4383" max="4384" width="4.5703125" style="498" customWidth="1"/>
    <col min="4385" max="4385" width="4" style="498" customWidth="1"/>
    <col min="4386" max="4386" width="4.5703125" style="498" customWidth="1"/>
    <col min="4387" max="4387" width="6" style="498" customWidth="1"/>
    <col min="4388" max="4388" width="8.5703125" style="498" customWidth="1"/>
    <col min="4389" max="4608" width="11.42578125" style="498"/>
    <col min="4609" max="4609" width="6.42578125" style="498" customWidth="1"/>
    <col min="4610" max="4610" width="47.5703125" style="498" customWidth="1"/>
    <col min="4611" max="4612" width="5" style="498" customWidth="1"/>
    <col min="4613" max="4613" width="5.42578125" style="498" customWidth="1"/>
    <col min="4614" max="4614" width="4.5703125" style="498" customWidth="1"/>
    <col min="4615" max="4616" width="4.42578125" style="498" customWidth="1"/>
    <col min="4617" max="4617" width="3.5703125" style="498" customWidth="1"/>
    <col min="4618" max="4618" width="5" style="498" customWidth="1"/>
    <col min="4619" max="4619" width="4" style="498" customWidth="1"/>
    <col min="4620" max="4621" width="4.5703125" style="498" customWidth="1"/>
    <col min="4622" max="4622" width="4.42578125" style="498" customWidth="1"/>
    <col min="4623" max="4623" width="4" style="498" customWidth="1"/>
    <col min="4624" max="4624" width="3.5703125" style="498" customWidth="1"/>
    <col min="4625" max="4626" width="4.5703125" style="498" customWidth="1"/>
    <col min="4627" max="4627" width="4" style="498" customWidth="1"/>
    <col min="4628" max="4629" width="4.42578125" style="498" customWidth="1"/>
    <col min="4630" max="4630" width="3.5703125" style="498" customWidth="1"/>
    <col min="4631" max="4631" width="4.42578125" style="498" customWidth="1"/>
    <col min="4632" max="4632" width="5.5703125" style="498" customWidth="1"/>
    <col min="4633" max="4633" width="3.5703125" style="498" customWidth="1"/>
    <col min="4634" max="4634" width="4" style="498" customWidth="1"/>
    <col min="4635" max="4635" width="4.5703125" style="498" customWidth="1"/>
    <col min="4636" max="4638" width="4.42578125" style="498" customWidth="1"/>
    <col min="4639" max="4640" width="4.5703125" style="498" customWidth="1"/>
    <col min="4641" max="4641" width="4" style="498" customWidth="1"/>
    <col min="4642" max="4642" width="4.5703125" style="498" customWidth="1"/>
    <col min="4643" max="4643" width="6" style="498" customWidth="1"/>
    <col min="4644" max="4644" width="8.5703125" style="498" customWidth="1"/>
    <col min="4645" max="4864" width="11.42578125" style="498"/>
    <col min="4865" max="4865" width="6.42578125" style="498" customWidth="1"/>
    <col min="4866" max="4866" width="47.5703125" style="498" customWidth="1"/>
    <col min="4867" max="4868" width="5" style="498" customWidth="1"/>
    <col min="4869" max="4869" width="5.42578125" style="498" customWidth="1"/>
    <col min="4870" max="4870" width="4.5703125" style="498" customWidth="1"/>
    <col min="4871" max="4872" width="4.42578125" style="498" customWidth="1"/>
    <col min="4873" max="4873" width="3.5703125" style="498" customWidth="1"/>
    <col min="4874" max="4874" width="5" style="498" customWidth="1"/>
    <col min="4875" max="4875" width="4" style="498" customWidth="1"/>
    <col min="4876" max="4877" width="4.5703125" style="498" customWidth="1"/>
    <col min="4878" max="4878" width="4.42578125" style="498" customWidth="1"/>
    <col min="4879" max="4879" width="4" style="498" customWidth="1"/>
    <col min="4880" max="4880" width="3.5703125" style="498" customWidth="1"/>
    <col min="4881" max="4882" width="4.5703125" style="498" customWidth="1"/>
    <col min="4883" max="4883" width="4" style="498" customWidth="1"/>
    <col min="4884" max="4885" width="4.42578125" style="498" customWidth="1"/>
    <col min="4886" max="4886" width="3.5703125" style="498" customWidth="1"/>
    <col min="4887" max="4887" width="4.42578125" style="498" customWidth="1"/>
    <col min="4888" max="4888" width="5.5703125" style="498" customWidth="1"/>
    <col min="4889" max="4889" width="3.5703125" style="498" customWidth="1"/>
    <col min="4890" max="4890" width="4" style="498" customWidth="1"/>
    <col min="4891" max="4891" width="4.5703125" style="498" customWidth="1"/>
    <col min="4892" max="4894" width="4.42578125" style="498" customWidth="1"/>
    <col min="4895" max="4896" width="4.5703125" style="498" customWidth="1"/>
    <col min="4897" max="4897" width="4" style="498" customWidth="1"/>
    <col min="4898" max="4898" width="4.5703125" style="498" customWidth="1"/>
    <col min="4899" max="4899" width="6" style="498" customWidth="1"/>
    <col min="4900" max="4900" width="8.5703125" style="498" customWidth="1"/>
    <col min="4901" max="5120" width="11.42578125" style="498"/>
    <col min="5121" max="5121" width="6.42578125" style="498" customWidth="1"/>
    <col min="5122" max="5122" width="47.5703125" style="498" customWidth="1"/>
    <col min="5123" max="5124" width="5" style="498" customWidth="1"/>
    <col min="5125" max="5125" width="5.42578125" style="498" customWidth="1"/>
    <col min="5126" max="5126" width="4.5703125" style="498" customWidth="1"/>
    <col min="5127" max="5128" width="4.42578125" style="498" customWidth="1"/>
    <col min="5129" max="5129" width="3.5703125" style="498" customWidth="1"/>
    <col min="5130" max="5130" width="5" style="498" customWidth="1"/>
    <col min="5131" max="5131" width="4" style="498" customWidth="1"/>
    <col min="5132" max="5133" width="4.5703125" style="498" customWidth="1"/>
    <col min="5134" max="5134" width="4.42578125" style="498" customWidth="1"/>
    <col min="5135" max="5135" width="4" style="498" customWidth="1"/>
    <col min="5136" max="5136" width="3.5703125" style="498" customWidth="1"/>
    <col min="5137" max="5138" width="4.5703125" style="498" customWidth="1"/>
    <col min="5139" max="5139" width="4" style="498" customWidth="1"/>
    <col min="5140" max="5141" width="4.42578125" style="498" customWidth="1"/>
    <col min="5142" max="5142" width="3.5703125" style="498" customWidth="1"/>
    <col min="5143" max="5143" width="4.42578125" style="498" customWidth="1"/>
    <col min="5144" max="5144" width="5.5703125" style="498" customWidth="1"/>
    <col min="5145" max="5145" width="3.5703125" style="498" customWidth="1"/>
    <col min="5146" max="5146" width="4" style="498" customWidth="1"/>
    <col min="5147" max="5147" width="4.5703125" style="498" customWidth="1"/>
    <col min="5148" max="5150" width="4.42578125" style="498" customWidth="1"/>
    <col min="5151" max="5152" width="4.5703125" style="498" customWidth="1"/>
    <col min="5153" max="5153" width="4" style="498" customWidth="1"/>
    <col min="5154" max="5154" width="4.5703125" style="498" customWidth="1"/>
    <col min="5155" max="5155" width="6" style="498" customWidth="1"/>
    <col min="5156" max="5156" width="8.5703125" style="498" customWidth="1"/>
    <col min="5157" max="5376" width="11.42578125" style="498"/>
    <col min="5377" max="5377" width="6.42578125" style="498" customWidth="1"/>
    <col min="5378" max="5378" width="47.5703125" style="498" customWidth="1"/>
    <col min="5379" max="5380" width="5" style="498" customWidth="1"/>
    <col min="5381" max="5381" width="5.42578125" style="498" customWidth="1"/>
    <col min="5382" max="5382" width="4.5703125" style="498" customWidth="1"/>
    <col min="5383" max="5384" width="4.42578125" style="498" customWidth="1"/>
    <col min="5385" max="5385" width="3.5703125" style="498" customWidth="1"/>
    <col min="5386" max="5386" width="5" style="498" customWidth="1"/>
    <col min="5387" max="5387" width="4" style="498" customWidth="1"/>
    <col min="5388" max="5389" width="4.5703125" style="498" customWidth="1"/>
    <col min="5390" max="5390" width="4.42578125" style="498" customWidth="1"/>
    <col min="5391" max="5391" width="4" style="498" customWidth="1"/>
    <col min="5392" max="5392" width="3.5703125" style="498" customWidth="1"/>
    <col min="5393" max="5394" width="4.5703125" style="498" customWidth="1"/>
    <col min="5395" max="5395" width="4" style="498" customWidth="1"/>
    <col min="5396" max="5397" width="4.42578125" style="498" customWidth="1"/>
    <col min="5398" max="5398" width="3.5703125" style="498" customWidth="1"/>
    <col min="5399" max="5399" width="4.42578125" style="498" customWidth="1"/>
    <col min="5400" max="5400" width="5.5703125" style="498" customWidth="1"/>
    <col min="5401" max="5401" width="3.5703125" style="498" customWidth="1"/>
    <col min="5402" max="5402" width="4" style="498" customWidth="1"/>
    <col min="5403" max="5403" width="4.5703125" style="498" customWidth="1"/>
    <col min="5404" max="5406" width="4.42578125" style="498" customWidth="1"/>
    <col min="5407" max="5408" width="4.5703125" style="498" customWidth="1"/>
    <col min="5409" max="5409" width="4" style="498" customWidth="1"/>
    <col min="5410" max="5410" width="4.5703125" style="498" customWidth="1"/>
    <col min="5411" max="5411" width="6" style="498" customWidth="1"/>
    <col min="5412" max="5412" width="8.5703125" style="498" customWidth="1"/>
    <col min="5413" max="5632" width="11.42578125" style="498"/>
    <col min="5633" max="5633" width="6.42578125" style="498" customWidth="1"/>
    <col min="5634" max="5634" width="47.5703125" style="498" customWidth="1"/>
    <col min="5635" max="5636" width="5" style="498" customWidth="1"/>
    <col min="5637" max="5637" width="5.42578125" style="498" customWidth="1"/>
    <col min="5638" max="5638" width="4.5703125" style="498" customWidth="1"/>
    <col min="5639" max="5640" width="4.42578125" style="498" customWidth="1"/>
    <col min="5641" max="5641" width="3.5703125" style="498" customWidth="1"/>
    <col min="5642" max="5642" width="5" style="498" customWidth="1"/>
    <col min="5643" max="5643" width="4" style="498" customWidth="1"/>
    <col min="5644" max="5645" width="4.5703125" style="498" customWidth="1"/>
    <col min="5646" max="5646" width="4.42578125" style="498" customWidth="1"/>
    <col min="5647" max="5647" width="4" style="498" customWidth="1"/>
    <col min="5648" max="5648" width="3.5703125" style="498" customWidth="1"/>
    <col min="5649" max="5650" width="4.5703125" style="498" customWidth="1"/>
    <col min="5651" max="5651" width="4" style="498" customWidth="1"/>
    <col min="5652" max="5653" width="4.42578125" style="498" customWidth="1"/>
    <col min="5654" max="5654" width="3.5703125" style="498" customWidth="1"/>
    <col min="5655" max="5655" width="4.42578125" style="498" customWidth="1"/>
    <col min="5656" max="5656" width="5.5703125" style="498" customWidth="1"/>
    <col min="5657" max="5657" width="3.5703125" style="498" customWidth="1"/>
    <col min="5658" max="5658" width="4" style="498" customWidth="1"/>
    <col min="5659" max="5659" width="4.5703125" style="498" customWidth="1"/>
    <col min="5660" max="5662" width="4.42578125" style="498" customWidth="1"/>
    <col min="5663" max="5664" width="4.5703125" style="498" customWidth="1"/>
    <col min="5665" max="5665" width="4" style="498" customWidth="1"/>
    <col min="5666" max="5666" width="4.5703125" style="498" customWidth="1"/>
    <col min="5667" max="5667" width="6" style="498" customWidth="1"/>
    <col min="5668" max="5668" width="8.5703125" style="498" customWidth="1"/>
    <col min="5669" max="5888" width="11.42578125" style="498"/>
    <col min="5889" max="5889" width="6.42578125" style="498" customWidth="1"/>
    <col min="5890" max="5890" width="47.5703125" style="498" customWidth="1"/>
    <col min="5891" max="5892" width="5" style="498" customWidth="1"/>
    <col min="5893" max="5893" width="5.42578125" style="498" customWidth="1"/>
    <col min="5894" max="5894" width="4.5703125" style="498" customWidth="1"/>
    <col min="5895" max="5896" width="4.42578125" style="498" customWidth="1"/>
    <col min="5897" max="5897" width="3.5703125" style="498" customWidth="1"/>
    <col min="5898" max="5898" width="5" style="498" customWidth="1"/>
    <col min="5899" max="5899" width="4" style="498" customWidth="1"/>
    <col min="5900" max="5901" width="4.5703125" style="498" customWidth="1"/>
    <col min="5902" max="5902" width="4.42578125" style="498" customWidth="1"/>
    <col min="5903" max="5903" width="4" style="498" customWidth="1"/>
    <col min="5904" max="5904" width="3.5703125" style="498" customWidth="1"/>
    <col min="5905" max="5906" width="4.5703125" style="498" customWidth="1"/>
    <col min="5907" max="5907" width="4" style="498" customWidth="1"/>
    <col min="5908" max="5909" width="4.42578125" style="498" customWidth="1"/>
    <col min="5910" max="5910" width="3.5703125" style="498" customWidth="1"/>
    <col min="5911" max="5911" width="4.42578125" style="498" customWidth="1"/>
    <col min="5912" max="5912" width="5.5703125" style="498" customWidth="1"/>
    <col min="5913" max="5913" width="3.5703125" style="498" customWidth="1"/>
    <col min="5914" max="5914" width="4" style="498" customWidth="1"/>
    <col min="5915" max="5915" width="4.5703125" style="498" customWidth="1"/>
    <col min="5916" max="5918" width="4.42578125" style="498" customWidth="1"/>
    <col min="5919" max="5920" width="4.5703125" style="498" customWidth="1"/>
    <col min="5921" max="5921" width="4" style="498" customWidth="1"/>
    <col min="5922" max="5922" width="4.5703125" style="498" customWidth="1"/>
    <col min="5923" max="5923" width="6" style="498" customWidth="1"/>
    <col min="5924" max="5924" width="8.5703125" style="498" customWidth="1"/>
    <col min="5925" max="6144" width="11.42578125" style="498"/>
    <col min="6145" max="6145" width="6.42578125" style="498" customWidth="1"/>
    <col min="6146" max="6146" width="47.5703125" style="498" customWidth="1"/>
    <col min="6147" max="6148" width="5" style="498" customWidth="1"/>
    <col min="6149" max="6149" width="5.42578125" style="498" customWidth="1"/>
    <col min="6150" max="6150" width="4.5703125" style="498" customWidth="1"/>
    <col min="6151" max="6152" width="4.42578125" style="498" customWidth="1"/>
    <col min="6153" max="6153" width="3.5703125" style="498" customWidth="1"/>
    <col min="6154" max="6154" width="5" style="498" customWidth="1"/>
    <col min="6155" max="6155" width="4" style="498" customWidth="1"/>
    <col min="6156" max="6157" width="4.5703125" style="498" customWidth="1"/>
    <col min="6158" max="6158" width="4.42578125" style="498" customWidth="1"/>
    <col min="6159" max="6159" width="4" style="498" customWidth="1"/>
    <col min="6160" max="6160" width="3.5703125" style="498" customWidth="1"/>
    <col min="6161" max="6162" width="4.5703125" style="498" customWidth="1"/>
    <col min="6163" max="6163" width="4" style="498" customWidth="1"/>
    <col min="6164" max="6165" width="4.42578125" style="498" customWidth="1"/>
    <col min="6166" max="6166" width="3.5703125" style="498" customWidth="1"/>
    <col min="6167" max="6167" width="4.42578125" style="498" customWidth="1"/>
    <col min="6168" max="6168" width="5.5703125" style="498" customWidth="1"/>
    <col min="6169" max="6169" width="3.5703125" style="498" customWidth="1"/>
    <col min="6170" max="6170" width="4" style="498" customWidth="1"/>
    <col min="6171" max="6171" width="4.5703125" style="498" customWidth="1"/>
    <col min="6172" max="6174" width="4.42578125" style="498" customWidth="1"/>
    <col min="6175" max="6176" width="4.5703125" style="498" customWidth="1"/>
    <col min="6177" max="6177" width="4" style="498" customWidth="1"/>
    <col min="6178" max="6178" width="4.5703125" style="498" customWidth="1"/>
    <col min="6179" max="6179" width="6" style="498" customWidth="1"/>
    <col min="6180" max="6180" width="8.5703125" style="498" customWidth="1"/>
    <col min="6181" max="6400" width="11.42578125" style="498"/>
    <col min="6401" max="6401" width="6.42578125" style="498" customWidth="1"/>
    <col min="6402" max="6402" width="47.5703125" style="498" customWidth="1"/>
    <col min="6403" max="6404" width="5" style="498" customWidth="1"/>
    <col min="6405" max="6405" width="5.42578125" style="498" customWidth="1"/>
    <col min="6406" max="6406" width="4.5703125" style="498" customWidth="1"/>
    <col min="6407" max="6408" width="4.42578125" style="498" customWidth="1"/>
    <col min="6409" max="6409" width="3.5703125" style="498" customWidth="1"/>
    <col min="6410" max="6410" width="5" style="498" customWidth="1"/>
    <col min="6411" max="6411" width="4" style="498" customWidth="1"/>
    <col min="6412" max="6413" width="4.5703125" style="498" customWidth="1"/>
    <col min="6414" max="6414" width="4.42578125" style="498" customWidth="1"/>
    <col min="6415" max="6415" width="4" style="498" customWidth="1"/>
    <col min="6416" max="6416" width="3.5703125" style="498" customWidth="1"/>
    <col min="6417" max="6418" width="4.5703125" style="498" customWidth="1"/>
    <col min="6419" max="6419" width="4" style="498" customWidth="1"/>
    <col min="6420" max="6421" width="4.42578125" style="498" customWidth="1"/>
    <col min="6422" max="6422" width="3.5703125" style="498" customWidth="1"/>
    <col min="6423" max="6423" width="4.42578125" style="498" customWidth="1"/>
    <col min="6424" max="6424" width="5.5703125" style="498" customWidth="1"/>
    <col min="6425" max="6425" width="3.5703125" style="498" customWidth="1"/>
    <col min="6426" max="6426" width="4" style="498" customWidth="1"/>
    <col min="6427" max="6427" width="4.5703125" style="498" customWidth="1"/>
    <col min="6428" max="6430" width="4.42578125" style="498" customWidth="1"/>
    <col min="6431" max="6432" width="4.5703125" style="498" customWidth="1"/>
    <col min="6433" max="6433" width="4" style="498" customWidth="1"/>
    <col min="6434" max="6434" width="4.5703125" style="498" customWidth="1"/>
    <col min="6435" max="6435" width="6" style="498" customWidth="1"/>
    <col min="6436" max="6436" width="8.5703125" style="498" customWidth="1"/>
    <col min="6437" max="6656" width="11.42578125" style="498"/>
    <col min="6657" max="6657" width="6.42578125" style="498" customWidth="1"/>
    <col min="6658" max="6658" width="47.5703125" style="498" customWidth="1"/>
    <col min="6659" max="6660" width="5" style="498" customWidth="1"/>
    <col min="6661" max="6661" width="5.42578125" style="498" customWidth="1"/>
    <col min="6662" max="6662" width="4.5703125" style="498" customWidth="1"/>
    <col min="6663" max="6664" width="4.42578125" style="498" customWidth="1"/>
    <col min="6665" max="6665" width="3.5703125" style="498" customWidth="1"/>
    <col min="6666" max="6666" width="5" style="498" customWidth="1"/>
    <col min="6667" max="6667" width="4" style="498" customWidth="1"/>
    <col min="6668" max="6669" width="4.5703125" style="498" customWidth="1"/>
    <col min="6670" max="6670" width="4.42578125" style="498" customWidth="1"/>
    <col min="6671" max="6671" width="4" style="498" customWidth="1"/>
    <col min="6672" max="6672" width="3.5703125" style="498" customWidth="1"/>
    <col min="6673" max="6674" width="4.5703125" style="498" customWidth="1"/>
    <col min="6675" max="6675" width="4" style="498" customWidth="1"/>
    <col min="6676" max="6677" width="4.42578125" style="498" customWidth="1"/>
    <col min="6678" max="6678" width="3.5703125" style="498" customWidth="1"/>
    <col min="6679" max="6679" width="4.42578125" style="498" customWidth="1"/>
    <col min="6680" max="6680" width="5.5703125" style="498" customWidth="1"/>
    <col min="6681" max="6681" width="3.5703125" style="498" customWidth="1"/>
    <col min="6682" max="6682" width="4" style="498" customWidth="1"/>
    <col min="6683" max="6683" width="4.5703125" style="498" customWidth="1"/>
    <col min="6684" max="6686" width="4.42578125" style="498" customWidth="1"/>
    <col min="6687" max="6688" width="4.5703125" style="498" customWidth="1"/>
    <col min="6689" max="6689" width="4" style="498" customWidth="1"/>
    <col min="6690" max="6690" width="4.5703125" style="498" customWidth="1"/>
    <col min="6691" max="6691" width="6" style="498" customWidth="1"/>
    <col min="6692" max="6692" width="8.5703125" style="498" customWidth="1"/>
    <col min="6693" max="6912" width="11.42578125" style="498"/>
    <col min="6913" max="6913" width="6.42578125" style="498" customWidth="1"/>
    <col min="6914" max="6914" width="47.5703125" style="498" customWidth="1"/>
    <col min="6915" max="6916" width="5" style="498" customWidth="1"/>
    <col min="6917" max="6917" width="5.42578125" style="498" customWidth="1"/>
    <col min="6918" max="6918" width="4.5703125" style="498" customWidth="1"/>
    <col min="6919" max="6920" width="4.42578125" style="498" customWidth="1"/>
    <col min="6921" max="6921" width="3.5703125" style="498" customWidth="1"/>
    <col min="6922" max="6922" width="5" style="498" customWidth="1"/>
    <col min="6923" max="6923" width="4" style="498" customWidth="1"/>
    <col min="6924" max="6925" width="4.5703125" style="498" customWidth="1"/>
    <col min="6926" max="6926" width="4.42578125" style="498" customWidth="1"/>
    <col min="6927" max="6927" width="4" style="498" customWidth="1"/>
    <col min="6928" max="6928" width="3.5703125" style="498" customWidth="1"/>
    <col min="6929" max="6930" width="4.5703125" style="498" customWidth="1"/>
    <col min="6931" max="6931" width="4" style="498" customWidth="1"/>
    <col min="6932" max="6933" width="4.42578125" style="498" customWidth="1"/>
    <col min="6934" max="6934" width="3.5703125" style="498" customWidth="1"/>
    <col min="6935" max="6935" width="4.42578125" style="498" customWidth="1"/>
    <col min="6936" max="6936" width="5.5703125" style="498" customWidth="1"/>
    <col min="6937" max="6937" width="3.5703125" style="498" customWidth="1"/>
    <col min="6938" max="6938" width="4" style="498" customWidth="1"/>
    <col min="6939" max="6939" width="4.5703125" style="498" customWidth="1"/>
    <col min="6940" max="6942" width="4.42578125" style="498" customWidth="1"/>
    <col min="6943" max="6944" width="4.5703125" style="498" customWidth="1"/>
    <col min="6945" max="6945" width="4" style="498" customWidth="1"/>
    <col min="6946" max="6946" width="4.5703125" style="498" customWidth="1"/>
    <col min="6947" max="6947" width="6" style="498" customWidth="1"/>
    <col min="6948" max="6948" width="8.5703125" style="498" customWidth="1"/>
    <col min="6949" max="7168" width="11.42578125" style="498"/>
    <col min="7169" max="7169" width="6.42578125" style="498" customWidth="1"/>
    <col min="7170" max="7170" width="47.5703125" style="498" customWidth="1"/>
    <col min="7171" max="7172" width="5" style="498" customWidth="1"/>
    <col min="7173" max="7173" width="5.42578125" style="498" customWidth="1"/>
    <col min="7174" max="7174" width="4.5703125" style="498" customWidth="1"/>
    <col min="7175" max="7176" width="4.42578125" style="498" customWidth="1"/>
    <col min="7177" max="7177" width="3.5703125" style="498" customWidth="1"/>
    <col min="7178" max="7178" width="5" style="498" customWidth="1"/>
    <col min="7179" max="7179" width="4" style="498" customWidth="1"/>
    <col min="7180" max="7181" width="4.5703125" style="498" customWidth="1"/>
    <col min="7182" max="7182" width="4.42578125" style="498" customWidth="1"/>
    <col min="7183" max="7183" width="4" style="498" customWidth="1"/>
    <col min="7184" max="7184" width="3.5703125" style="498" customWidth="1"/>
    <col min="7185" max="7186" width="4.5703125" style="498" customWidth="1"/>
    <col min="7187" max="7187" width="4" style="498" customWidth="1"/>
    <col min="7188" max="7189" width="4.42578125" style="498" customWidth="1"/>
    <col min="7190" max="7190" width="3.5703125" style="498" customWidth="1"/>
    <col min="7191" max="7191" width="4.42578125" style="498" customWidth="1"/>
    <col min="7192" max="7192" width="5.5703125" style="498" customWidth="1"/>
    <col min="7193" max="7193" width="3.5703125" style="498" customWidth="1"/>
    <col min="7194" max="7194" width="4" style="498" customWidth="1"/>
    <col min="7195" max="7195" width="4.5703125" style="498" customWidth="1"/>
    <col min="7196" max="7198" width="4.42578125" style="498" customWidth="1"/>
    <col min="7199" max="7200" width="4.5703125" style="498" customWidth="1"/>
    <col min="7201" max="7201" width="4" style="498" customWidth="1"/>
    <col min="7202" max="7202" width="4.5703125" style="498" customWidth="1"/>
    <col min="7203" max="7203" width="6" style="498" customWidth="1"/>
    <col min="7204" max="7204" width="8.5703125" style="498" customWidth="1"/>
    <col min="7205" max="7424" width="11.42578125" style="498"/>
    <col min="7425" max="7425" width="6.42578125" style="498" customWidth="1"/>
    <col min="7426" max="7426" width="47.5703125" style="498" customWidth="1"/>
    <col min="7427" max="7428" width="5" style="498" customWidth="1"/>
    <col min="7429" max="7429" width="5.42578125" style="498" customWidth="1"/>
    <col min="7430" max="7430" width="4.5703125" style="498" customWidth="1"/>
    <col min="7431" max="7432" width="4.42578125" style="498" customWidth="1"/>
    <col min="7433" max="7433" width="3.5703125" style="498" customWidth="1"/>
    <col min="7434" max="7434" width="5" style="498" customWidth="1"/>
    <col min="7435" max="7435" width="4" style="498" customWidth="1"/>
    <col min="7436" max="7437" width="4.5703125" style="498" customWidth="1"/>
    <col min="7438" max="7438" width="4.42578125" style="498" customWidth="1"/>
    <col min="7439" max="7439" width="4" style="498" customWidth="1"/>
    <col min="7440" max="7440" width="3.5703125" style="498" customWidth="1"/>
    <col min="7441" max="7442" width="4.5703125" style="498" customWidth="1"/>
    <col min="7443" max="7443" width="4" style="498" customWidth="1"/>
    <col min="7444" max="7445" width="4.42578125" style="498" customWidth="1"/>
    <col min="7446" max="7446" width="3.5703125" style="498" customWidth="1"/>
    <col min="7447" max="7447" width="4.42578125" style="498" customWidth="1"/>
    <col min="7448" max="7448" width="5.5703125" style="498" customWidth="1"/>
    <col min="7449" max="7449" width="3.5703125" style="498" customWidth="1"/>
    <col min="7450" max="7450" width="4" style="498" customWidth="1"/>
    <col min="7451" max="7451" width="4.5703125" style="498" customWidth="1"/>
    <col min="7452" max="7454" width="4.42578125" style="498" customWidth="1"/>
    <col min="7455" max="7456" width="4.5703125" style="498" customWidth="1"/>
    <col min="7457" max="7457" width="4" style="498" customWidth="1"/>
    <col min="7458" max="7458" width="4.5703125" style="498" customWidth="1"/>
    <col min="7459" max="7459" width="6" style="498" customWidth="1"/>
    <col min="7460" max="7460" width="8.5703125" style="498" customWidth="1"/>
    <col min="7461" max="7680" width="11.42578125" style="498"/>
    <col min="7681" max="7681" width="6.42578125" style="498" customWidth="1"/>
    <col min="7682" max="7682" width="47.5703125" style="498" customWidth="1"/>
    <col min="7683" max="7684" width="5" style="498" customWidth="1"/>
    <col min="7685" max="7685" width="5.42578125" style="498" customWidth="1"/>
    <col min="7686" max="7686" width="4.5703125" style="498" customWidth="1"/>
    <col min="7687" max="7688" width="4.42578125" style="498" customWidth="1"/>
    <col min="7689" max="7689" width="3.5703125" style="498" customWidth="1"/>
    <col min="7690" max="7690" width="5" style="498" customWidth="1"/>
    <col min="7691" max="7691" width="4" style="498" customWidth="1"/>
    <col min="7692" max="7693" width="4.5703125" style="498" customWidth="1"/>
    <col min="7694" max="7694" width="4.42578125" style="498" customWidth="1"/>
    <col min="7695" max="7695" width="4" style="498" customWidth="1"/>
    <col min="7696" max="7696" width="3.5703125" style="498" customWidth="1"/>
    <col min="7697" max="7698" width="4.5703125" style="498" customWidth="1"/>
    <col min="7699" max="7699" width="4" style="498" customWidth="1"/>
    <col min="7700" max="7701" width="4.42578125" style="498" customWidth="1"/>
    <col min="7702" max="7702" width="3.5703125" style="498" customWidth="1"/>
    <col min="7703" max="7703" width="4.42578125" style="498" customWidth="1"/>
    <col min="7704" max="7704" width="5.5703125" style="498" customWidth="1"/>
    <col min="7705" max="7705" width="3.5703125" style="498" customWidth="1"/>
    <col min="7706" max="7706" width="4" style="498" customWidth="1"/>
    <col min="7707" max="7707" width="4.5703125" style="498" customWidth="1"/>
    <col min="7708" max="7710" width="4.42578125" style="498" customWidth="1"/>
    <col min="7711" max="7712" width="4.5703125" style="498" customWidth="1"/>
    <col min="7713" max="7713" width="4" style="498" customWidth="1"/>
    <col min="7714" max="7714" width="4.5703125" style="498" customWidth="1"/>
    <col min="7715" max="7715" width="6" style="498" customWidth="1"/>
    <col min="7716" max="7716" width="8.5703125" style="498" customWidth="1"/>
    <col min="7717" max="7936" width="11.42578125" style="498"/>
    <col min="7937" max="7937" width="6.42578125" style="498" customWidth="1"/>
    <col min="7938" max="7938" width="47.5703125" style="498" customWidth="1"/>
    <col min="7939" max="7940" width="5" style="498" customWidth="1"/>
    <col min="7941" max="7941" width="5.42578125" style="498" customWidth="1"/>
    <col min="7942" max="7942" width="4.5703125" style="498" customWidth="1"/>
    <col min="7943" max="7944" width="4.42578125" style="498" customWidth="1"/>
    <col min="7945" max="7945" width="3.5703125" style="498" customWidth="1"/>
    <col min="7946" max="7946" width="5" style="498" customWidth="1"/>
    <col min="7947" max="7947" width="4" style="498" customWidth="1"/>
    <col min="7948" max="7949" width="4.5703125" style="498" customWidth="1"/>
    <col min="7950" max="7950" width="4.42578125" style="498" customWidth="1"/>
    <col min="7951" max="7951" width="4" style="498" customWidth="1"/>
    <col min="7952" max="7952" width="3.5703125" style="498" customWidth="1"/>
    <col min="7953" max="7954" width="4.5703125" style="498" customWidth="1"/>
    <col min="7955" max="7955" width="4" style="498" customWidth="1"/>
    <col min="7956" max="7957" width="4.42578125" style="498" customWidth="1"/>
    <col min="7958" max="7958" width="3.5703125" style="498" customWidth="1"/>
    <col min="7959" max="7959" width="4.42578125" style="498" customWidth="1"/>
    <col min="7960" max="7960" width="5.5703125" style="498" customWidth="1"/>
    <col min="7961" max="7961" width="3.5703125" style="498" customWidth="1"/>
    <col min="7962" max="7962" width="4" style="498" customWidth="1"/>
    <col min="7963" max="7963" width="4.5703125" style="498" customWidth="1"/>
    <col min="7964" max="7966" width="4.42578125" style="498" customWidth="1"/>
    <col min="7967" max="7968" width="4.5703125" style="498" customWidth="1"/>
    <col min="7969" max="7969" width="4" style="498" customWidth="1"/>
    <col min="7970" max="7970" width="4.5703125" style="498" customWidth="1"/>
    <col min="7971" max="7971" width="6" style="498" customWidth="1"/>
    <col min="7972" max="7972" width="8.5703125" style="498" customWidth="1"/>
    <col min="7973" max="8192" width="11.42578125" style="498"/>
    <col min="8193" max="8193" width="6.42578125" style="498" customWidth="1"/>
    <col min="8194" max="8194" width="47.5703125" style="498" customWidth="1"/>
    <col min="8195" max="8196" width="5" style="498" customWidth="1"/>
    <col min="8197" max="8197" width="5.42578125" style="498" customWidth="1"/>
    <col min="8198" max="8198" width="4.5703125" style="498" customWidth="1"/>
    <col min="8199" max="8200" width="4.42578125" style="498" customWidth="1"/>
    <col min="8201" max="8201" width="3.5703125" style="498" customWidth="1"/>
    <col min="8202" max="8202" width="5" style="498" customWidth="1"/>
    <col min="8203" max="8203" width="4" style="498" customWidth="1"/>
    <col min="8204" max="8205" width="4.5703125" style="498" customWidth="1"/>
    <col min="8206" max="8206" width="4.42578125" style="498" customWidth="1"/>
    <col min="8207" max="8207" width="4" style="498" customWidth="1"/>
    <col min="8208" max="8208" width="3.5703125" style="498" customWidth="1"/>
    <col min="8209" max="8210" width="4.5703125" style="498" customWidth="1"/>
    <col min="8211" max="8211" width="4" style="498" customWidth="1"/>
    <col min="8212" max="8213" width="4.42578125" style="498" customWidth="1"/>
    <col min="8214" max="8214" width="3.5703125" style="498" customWidth="1"/>
    <col min="8215" max="8215" width="4.42578125" style="498" customWidth="1"/>
    <col min="8216" max="8216" width="5.5703125" style="498" customWidth="1"/>
    <col min="8217" max="8217" width="3.5703125" style="498" customWidth="1"/>
    <col min="8218" max="8218" width="4" style="498" customWidth="1"/>
    <col min="8219" max="8219" width="4.5703125" style="498" customWidth="1"/>
    <col min="8220" max="8222" width="4.42578125" style="498" customWidth="1"/>
    <col min="8223" max="8224" width="4.5703125" style="498" customWidth="1"/>
    <col min="8225" max="8225" width="4" style="498" customWidth="1"/>
    <col min="8226" max="8226" width="4.5703125" style="498" customWidth="1"/>
    <col min="8227" max="8227" width="6" style="498" customWidth="1"/>
    <col min="8228" max="8228" width="8.5703125" style="498" customWidth="1"/>
    <col min="8229" max="8448" width="11.42578125" style="498"/>
    <col min="8449" max="8449" width="6.42578125" style="498" customWidth="1"/>
    <col min="8450" max="8450" width="47.5703125" style="498" customWidth="1"/>
    <col min="8451" max="8452" width="5" style="498" customWidth="1"/>
    <col min="8453" max="8453" width="5.42578125" style="498" customWidth="1"/>
    <col min="8454" max="8454" width="4.5703125" style="498" customWidth="1"/>
    <col min="8455" max="8456" width="4.42578125" style="498" customWidth="1"/>
    <col min="8457" max="8457" width="3.5703125" style="498" customWidth="1"/>
    <col min="8458" max="8458" width="5" style="498" customWidth="1"/>
    <col min="8459" max="8459" width="4" style="498" customWidth="1"/>
    <col min="8460" max="8461" width="4.5703125" style="498" customWidth="1"/>
    <col min="8462" max="8462" width="4.42578125" style="498" customWidth="1"/>
    <col min="8463" max="8463" width="4" style="498" customWidth="1"/>
    <col min="8464" max="8464" width="3.5703125" style="498" customWidth="1"/>
    <col min="8465" max="8466" width="4.5703125" style="498" customWidth="1"/>
    <col min="8467" max="8467" width="4" style="498" customWidth="1"/>
    <col min="8468" max="8469" width="4.42578125" style="498" customWidth="1"/>
    <col min="8470" max="8470" width="3.5703125" style="498" customWidth="1"/>
    <col min="8471" max="8471" width="4.42578125" style="498" customWidth="1"/>
    <col min="8472" max="8472" width="5.5703125" style="498" customWidth="1"/>
    <col min="8473" max="8473" width="3.5703125" style="498" customWidth="1"/>
    <col min="8474" max="8474" width="4" style="498" customWidth="1"/>
    <col min="8475" max="8475" width="4.5703125" style="498" customWidth="1"/>
    <col min="8476" max="8478" width="4.42578125" style="498" customWidth="1"/>
    <col min="8479" max="8480" width="4.5703125" style="498" customWidth="1"/>
    <col min="8481" max="8481" width="4" style="498" customWidth="1"/>
    <col min="8482" max="8482" width="4.5703125" style="498" customWidth="1"/>
    <col min="8483" max="8483" width="6" style="498" customWidth="1"/>
    <col min="8484" max="8484" width="8.5703125" style="498" customWidth="1"/>
    <col min="8485" max="8704" width="11.42578125" style="498"/>
    <col min="8705" max="8705" width="6.42578125" style="498" customWidth="1"/>
    <col min="8706" max="8706" width="47.5703125" style="498" customWidth="1"/>
    <col min="8707" max="8708" width="5" style="498" customWidth="1"/>
    <col min="8709" max="8709" width="5.42578125" style="498" customWidth="1"/>
    <col min="8710" max="8710" width="4.5703125" style="498" customWidth="1"/>
    <col min="8711" max="8712" width="4.42578125" style="498" customWidth="1"/>
    <col min="8713" max="8713" width="3.5703125" style="498" customWidth="1"/>
    <col min="8714" max="8714" width="5" style="498" customWidth="1"/>
    <col min="8715" max="8715" width="4" style="498" customWidth="1"/>
    <col min="8716" max="8717" width="4.5703125" style="498" customWidth="1"/>
    <col min="8718" max="8718" width="4.42578125" style="498" customWidth="1"/>
    <col min="8719" max="8719" width="4" style="498" customWidth="1"/>
    <col min="8720" max="8720" width="3.5703125" style="498" customWidth="1"/>
    <col min="8721" max="8722" width="4.5703125" style="498" customWidth="1"/>
    <col min="8723" max="8723" width="4" style="498" customWidth="1"/>
    <col min="8724" max="8725" width="4.42578125" style="498" customWidth="1"/>
    <col min="8726" max="8726" width="3.5703125" style="498" customWidth="1"/>
    <col min="8727" max="8727" width="4.42578125" style="498" customWidth="1"/>
    <col min="8728" max="8728" width="5.5703125" style="498" customWidth="1"/>
    <col min="8729" max="8729" width="3.5703125" style="498" customWidth="1"/>
    <col min="8730" max="8730" width="4" style="498" customWidth="1"/>
    <col min="8731" max="8731" width="4.5703125" style="498" customWidth="1"/>
    <col min="8732" max="8734" width="4.42578125" style="498" customWidth="1"/>
    <col min="8735" max="8736" width="4.5703125" style="498" customWidth="1"/>
    <col min="8737" max="8737" width="4" style="498" customWidth="1"/>
    <col min="8738" max="8738" width="4.5703125" style="498" customWidth="1"/>
    <col min="8739" max="8739" width="6" style="498" customWidth="1"/>
    <col min="8740" max="8740" width="8.5703125" style="498" customWidth="1"/>
    <col min="8741" max="8960" width="11.42578125" style="498"/>
    <col min="8961" max="8961" width="6.42578125" style="498" customWidth="1"/>
    <col min="8962" max="8962" width="47.5703125" style="498" customWidth="1"/>
    <col min="8963" max="8964" width="5" style="498" customWidth="1"/>
    <col min="8965" max="8965" width="5.42578125" style="498" customWidth="1"/>
    <col min="8966" max="8966" width="4.5703125" style="498" customWidth="1"/>
    <col min="8967" max="8968" width="4.42578125" style="498" customWidth="1"/>
    <col min="8969" max="8969" width="3.5703125" style="498" customWidth="1"/>
    <col min="8970" max="8970" width="5" style="498" customWidth="1"/>
    <col min="8971" max="8971" width="4" style="498" customWidth="1"/>
    <col min="8972" max="8973" width="4.5703125" style="498" customWidth="1"/>
    <col min="8974" max="8974" width="4.42578125" style="498" customWidth="1"/>
    <col min="8975" max="8975" width="4" style="498" customWidth="1"/>
    <col min="8976" max="8976" width="3.5703125" style="498" customWidth="1"/>
    <col min="8977" max="8978" width="4.5703125" style="498" customWidth="1"/>
    <col min="8979" max="8979" width="4" style="498" customWidth="1"/>
    <col min="8980" max="8981" width="4.42578125" style="498" customWidth="1"/>
    <col min="8982" max="8982" width="3.5703125" style="498" customWidth="1"/>
    <col min="8983" max="8983" width="4.42578125" style="498" customWidth="1"/>
    <col min="8984" max="8984" width="5.5703125" style="498" customWidth="1"/>
    <col min="8985" max="8985" width="3.5703125" style="498" customWidth="1"/>
    <col min="8986" max="8986" width="4" style="498" customWidth="1"/>
    <col min="8987" max="8987" width="4.5703125" style="498" customWidth="1"/>
    <col min="8988" max="8990" width="4.42578125" style="498" customWidth="1"/>
    <col min="8991" max="8992" width="4.5703125" style="498" customWidth="1"/>
    <col min="8993" max="8993" width="4" style="498" customWidth="1"/>
    <col min="8994" max="8994" width="4.5703125" style="498" customWidth="1"/>
    <col min="8995" max="8995" width="6" style="498" customWidth="1"/>
    <col min="8996" max="8996" width="8.5703125" style="498" customWidth="1"/>
    <col min="8997" max="9216" width="11.42578125" style="498"/>
    <col min="9217" max="9217" width="6.42578125" style="498" customWidth="1"/>
    <col min="9218" max="9218" width="47.5703125" style="498" customWidth="1"/>
    <col min="9219" max="9220" width="5" style="498" customWidth="1"/>
    <col min="9221" max="9221" width="5.42578125" style="498" customWidth="1"/>
    <col min="9222" max="9222" width="4.5703125" style="498" customWidth="1"/>
    <col min="9223" max="9224" width="4.42578125" style="498" customWidth="1"/>
    <col min="9225" max="9225" width="3.5703125" style="498" customWidth="1"/>
    <col min="9226" max="9226" width="5" style="498" customWidth="1"/>
    <col min="9227" max="9227" width="4" style="498" customWidth="1"/>
    <col min="9228" max="9229" width="4.5703125" style="498" customWidth="1"/>
    <col min="9230" max="9230" width="4.42578125" style="498" customWidth="1"/>
    <col min="9231" max="9231" width="4" style="498" customWidth="1"/>
    <col min="9232" max="9232" width="3.5703125" style="498" customWidth="1"/>
    <col min="9233" max="9234" width="4.5703125" style="498" customWidth="1"/>
    <col min="9235" max="9235" width="4" style="498" customWidth="1"/>
    <col min="9236" max="9237" width="4.42578125" style="498" customWidth="1"/>
    <col min="9238" max="9238" width="3.5703125" style="498" customWidth="1"/>
    <col min="9239" max="9239" width="4.42578125" style="498" customWidth="1"/>
    <col min="9240" max="9240" width="5.5703125" style="498" customWidth="1"/>
    <col min="9241" max="9241" width="3.5703125" style="498" customWidth="1"/>
    <col min="9242" max="9242" width="4" style="498" customWidth="1"/>
    <col min="9243" max="9243" width="4.5703125" style="498" customWidth="1"/>
    <col min="9244" max="9246" width="4.42578125" style="498" customWidth="1"/>
    <col min="9247" max="9248" width="4.5703125" style="498" customWidth="1"/>
    <col min="9249" max="9249" width="4" style="498" customWidth="1"/>
    <col min="9250" max="9250" width="4.5703125" style="498" customWidth="1"/>
    <col min="9251" max="9251" width="6" style="498" customWidth="1"/>
    <col min="9252" max="9252" width="8.5703125" style="498" customWidth="1"/>
    <col min="9253" max="9472" width="11.42578125" style="498"/>
    <col min="9473" max="9473" width="6.42578125" style="498" customWidth="1"/>
    <col min="9474" max="9474" width="47.5703125" style="498" customWidth="1"/>
    <col min="9475" max="9476" width="5" style="498" customWidth="1"/>
    <col min="9477" max="9477" width="5.42578125" style="498" customWidth="1"/>
    <col min="9478" max="9478" width="4.5703125" style="498" customWidth="1"/>
    <col min="9479" max="9480" width="4.42578125" style="498" customWidth="1"/>
    <col min="9481" max="9481" width="3.5703125" style="498" customWidth="1"/>
    <col min="9482" max="9482" width="5" style="498" customWidth="1"/>
    <col min="9483" max="9483" width="4" style="498" customWidth="1"/>
    <col min="9484" max="9485" width="4.5703125" style="498" customWidth="1"/>
    <col min="9486" max="9486" width="4.42578125" style="498" customWidth="1"/>
    <col min="9487" max="9487" width="4" style="498" customWidth="1"/>
    <col min="9488" max="9488" width="3.5703125" style="498" customWidth="1"/>
    <col min="9489" max="9490" width="4.5703125" style="498" customWidth="1"/>
    <col min="9491" max="9491" width="4" style="498" customWidth="1"/>
    <col min="9492" max="9493" width="4.42578125" style="498" customWidth="1"/>
    <col min="9494" max="9494" width="3.5703125" style="498" customWidth="1"/>
    <col min="9495" max="9495" width="4.42578125" style="498" customWidth="1"/>
    <col min="9496" max="9496" width="5.5703125" style="498" customWidth="1"/>
    <col min="9497" max="9497" width="3.5703125" style="498" customWidth="1"/>
    <col min="9498" max="9498" width="4" style="498" customWidth="1"/>
    <col min="9499" max="9499" width="4.5703125" style="498" customWidth="1"/>
    <col min="9500" max="9502" width="4.42578125" style="498" customWidth="1"/>
    <col min="9503" max="9504" width="4.5703125" style="498" customWidth="1"/>
    <col min="9505" max="9505" width="4" style="498" customWidth="1"/>
    <col min="9506" max="9506" width="4.5703125" style="498" customWidth="1"/>
    <col min="9507" max="9507" width="6" style="498" customWidth="1"/>
    <col min="9508" max="9508" width="8.5703125" style="498" customWidth="1"/>
    <col min="9509" max="9728" width="11.42578125" style="498"/>
    <col min="9729" max="9729" width="6.42578125" style="498" customWidth="1"/>
    <col min="9730" max="9730" width="47.5703125" style="498" customWidth="1"/>
    <col min="9731" max="9732" width="5" style="498" customWidth="1"/>
    <col min="9733" max="9733" width="5.42578125" style="498" customWidth="1"/>
    <col min="9734" max="9734" width="4.5703125" style="498" customWidth="1"/>
    <col min="9735" max="9736" width="4.42578125" style="498" customWidth="1"/>
    <col min="9737" max="9737" width="3.5703125" style="498" customWidth="1"/>
    <col min="9738" max="9738" width="5" style="498" customWidth="1"/>
    <col min="9739" max="9739" width="4" style="498" customWidth="1"/>
    <col min="9740" max="9741" width="4.5703125" style="498" customWidth="1"/>
    <col min="9742" max="9742" width="4.42578125" style="498" customWidth="1"/>
    <col min="9743" max="9743" width="4" style="498" customWidth="1"/>
    <col min="9744" max="9744" width="3.5703125" style="498" customWidth="1"/>
    <col min="9745" max="9746" width="4.5703125" style="498" customWidth="1"/>
    <col min="9747" max="9747" width="4" style="498" customWidth="1"/>
    <col min="9748" max="9749" width="4.42578125" style="498" customWidth="1"/>
    <col min="9750" max="9750" width="3.5703125" style="498" customWidth="1"/>
    <col min="9751" max="9751" width="4.42578125" style="498" customWidth="1"/>
    <col min="9752" max="9752" width="5.5703125" style="498" customWidth="1"/>
    <col min="9753" max="9753" width="3.5703125" style="498" customWidth="1"/>
    <col min="9754" max="9754" width="4" style="498" customWidth="1"/>
    <col min="9755" max="9755" width="4.5703125" style="498" customWidth="1"/>
    <col min="9756" max="9758" width="4.42578125" style="498" customWidth="1"/>
    <col min="9759" max="9760" width="4.5703125" style="498" customWidth="1"/>
    <col min="9761" max="9761" width="4" style="498" customWidth="1"/>
    <col min="9762" max="9762" width="4.5703125" style="498" customWidth="1"/>
    <col min="9763" max="9763" width="6" style="498" customWidth="1"/>
    <col min="9764" max="9764" width="8.5703125" style="498" customWidth="1"/>
    <col min="9765" max="9984" width="11.42578125" style="498"/>
    <col min="9985" max="9985" width="6.42578125" style="498" customWidth="1"/>
    <col min="9986" max="9986" width="47.5703125" style="498" customWidth="1"/>
    <col min="9987" max="9988" width="5" style="498" customWidth="1"/>
    <col min="9989" max="9989" width="5.42578125" style="498" customWidth="1"/>
    <col min="9990" max="9990" width="4.5703125" style="498" customWidth="1"/>
    <col min="9991" max="9992" width="4.42578125" style="498" customWidth="1"/>
    <col min="9993" max="9993" width="3.5703125" style="498" customWidth="1"/>
    <col min="9994" max="9994" width="5" style="498" customWidth="1"/>
    <col min="9995" max="9995" width="4" style="498" customWidth="1"/>
    <col min="9996" max="9997" width="4.5703125" style="498" customWidth="1"/>
    <col min="9998" max="9998" width="4.42578125" style="498" customWidth="1"/>
    <col min="9999" max="9999" width="4" style="498" customWidth="1"/>
    <col min="10000" max="10000" width="3.5703125" style="498" customWidth="1"/>
    <col min="10001" max="10002" width="4.5703125" style="498" customWidth="1"/>
    <col min="10003" max="10003" width="4" style="498" customWidth="1"/>
    <col min="10004" max="10005" width="4.42578125" style="498" customWidth="1"/>
    <col min="10006" max="10006" width="3.5703125" style="498" customWidth="1"/>
    <col min="10007" max="10007" width="4.42578125" style="498" customWidth="1"/>
    <col min="10008" max="10008" width="5.5703125" style="498" customWidth="1"/>
    <col min="10009" max="10009" width="3.5703125" style="498" customWidth="1"/>
    <col min="10010" max="10010" width="4" style="498" customWidth="1"/>
    <col min="10011" max="10011" width="4.5703125" style="498" customWidth="1"/>
    <col min="10012" max="10014" width="4.42578125" style="498" customWidth="1"/>
    <col min="10015" max="10016" width="4.5703125" style="498" customWidth="1"/>
    <col min="10017" max="10017" width="4" style="498" customWidth="1"/>
    <col min="10018" max="10018" width="4.5703125" style="498" customWidth="1"/>
    <col min="10019" max="10019" width="6" style="498" customWidth="1"/>
    <col min="10020" max="10020" width="8.5703125" style="498" customWidth="1"/>
    <col min="10021" max="10240" width="11.42578125" style="498"/>
    <col min="10241" max="10241" width="6.42578125" style="498" customWidth="1"/>
    <col min="10242" max="10242" width="47.5703125" style="498" customWidth="1"/>
    <col min="10243" max="10244" width="5" style="498" customWidth="1"/>
    <col min="10245" max="10245" width="5.42578125" style="498" customWidth="1"/>
    <col min="10246" max="10246" width="4.5703125" style="498" customWidth="1"/>
    <col min="10247" max="10248" width="4.42578125" style="498" customWidth="1"/>
    <col min="10249" max="10249" width="3.5703125" style="498" customWidth="1"/>
    <col min="10250" max="10250" width="5" style="498" customWidth="1"/>
    <col min="10251" max="10251" width="4" style="498" customWidth="1"/>
    <col min="10252" max="10253" width="4.5703125" style="498" customWidth="1"/>
    <col min="10254" max="10254" width="4.42578125" style="498" customWidth="1"/>
    <col min="10255" max="10255" width="4" style="498" customWidth="1"/>
    <col min="10256" max="10256" width="3.5703125" style="498" customWidth="1"/>
    <col min="10257" max="10258" width="4.5703125" style="498" customWidth="1"/>
    <col min="10259" max="10259" width="4" style="498" customWidth="1"/>
    <col min="10260" max="10261" width="4.42578125" style="498" customWidth="1"/>
    <col min="10262" max="10262" width="3.5703125" style="498" customWidth="1"/>
    <col min="10263" max="10263" width="4.42578125" style="498" customWidth="1"/>
    <col min="10264" max="10264" width="5.5703125" style="498" customWidth="1"/>
    <col min="10265" max="10265" width="3.5703125" style="498" customWidth="1"/>
    <col min="10266" max="10266" width="4" style="498" customWidth="1"/>
    <col min="10267" max="10267" width="4.5703125" style="498" customWidth="1"/>
    <col min="10268" max="10270" width="4.42578125" style="498" customWidth="1"/>
    <col min="10271" max="10272" width="4.5703125" style="498" customWidth="1"/>
    <col min="10273" max="10273" width="4" style="498" customWidth="1"/>
    <col min="10274" max="10274" width="4.5703125" style="498" customWidth="1"/>
    <col min="10275" max="10275" width="6" style="498" customWidth="1"/>
    <col min="10276" max="10276" width="8.5703125" style="498" customWidth="1"/>
    <col min="10277" max="10496" width="11.42578125" style="498"/>
    <col min="10497" max="10497" width="6.42578125" style="498" customWidth="1"/>
    <col min="10498" max="10498" width="47.5703125" style="498" customWidth="1"/>
    <col min="10499" max="10500" width="5" style="498" customWidth="1"/>
    <col min="10501" max="10501" width="5.42578125" style="498" customWidth="1"/>
    <col min="10502" max="10502" width="4.5703125" style="498" customWidth="1"/>
    <col min="10503" max="10504" width="4.42578125" style="498" customWidth="1"/>
    <col min="10505" max="10505" width="3.5703125" style="498" customWidth="1"/>
    <col min="10506" max="10506" width="5" style="498" customWidth="1"/>
    <col min="10507" max="10507" width="4" style="498" customWidth="1"/>
    <col min="10508" max="10509" width="4.5703125" style="498" customWidth="1"/>
    <col min="10510" max="10510" width="4.42578125" style="498" customWidth="1"/>
    <col min="10511" max="10511" width="4" style="498" customWidth="1"/>
    <col min="10512" max="10512" width="3.5703125" style="498" customWidth="1"/>
    <col min="10513" max="10514" width="4.5703125" style="498" customWidth="1"/>
    <col min="10515" max="10515" width="4" style="498" customWidth="1"/>
    <col min="10516" max="10517" width="4.42578125" style="498" customWidth="1"/>
    <col min="10518" max="10518" width="3.5703125" style="498" customWidth="1"/>
    <col min="10519" max="10519" width="4.42578125" style="498" customWidth="1"/>
    <col min="10520" max="10520" width="5.5703125" style="498" customWidth="1"/>
    <col min="10521" max="10521" width="3.5703125" style="498" customWidth="1"/>
    <col min="10522" max="10522" width="4" style="498" customWidth="1"/>
    <col min="10523" max="10523" width="4.5703125" style="498" customWidth="1"/>
    <col min="10524" max="10526" width="4.42578125" style="498" customWidth="1"/>
    <col min="10527" max="10528" width="4.5703125" style="498" customWidth="1"/>
    <col min="10529" max="10529" width="4" style="498" customWidth="1"/>
    <col min="10530" max="10530" width="4.5703125" style="498" customWidth="1"/>
    <col min="10531" max="10531" width="6" style="498" customWidth="1"/>
    <col min="10532" max="10532" width="8.5703125" style="498" customWidth="1"/>
    <col min="10533" max="10752" width="11.42578125" style="498"/>
    <col min="10753" max="10753" width="6.42578125" style="498" customWidth="1"/>
    <col min="10754" max="10754" width="47.5703125" style="498" customWidth="1"/>
    <col min="10755" max="10756" width="5" style="498" customWidth="1"/>
    <col min="10757" max="10757" width="5.42578125" style="498" customWidth="1"/>
    <col min="10758" max="10758" width="4.5703125" style="498" customWidth="1"/>
    <col min="10759" max="10760" width="4.42578125" style="498" customWidth="1"/>
    <col min="10761" max="10761" width="3.5703125" style="498" customWidth="1"/>
    <col min="10762" max="10762" width="5" style="498" customWidth="1"/>
    <col min="10763" max="10763" width="4" style="498" customWidth="1"/>
    <col min="10764" max="10765" width="4.5703125" style="498" customWidth="1"/>
    <col min="10766" max="10766" width="4.42578125" style="498" customWidth="1"/>
    <col min="10767" max="10767" width="4" style="498" customWidth="1"/>
    <col min="10768" max="10768" width="3.5703125" style="498" customWidth="1"/>
    <col min="10769" max="10770" width="4.5703125" style="498" customWidth="1"/>
    <col min="10771" max="10771" width="4" style="498" customWidth="1"/>
    <col min="10772" max="10773" width="4.42578125" style="498" customWidth="1"/>
    <col min="10774" max="10774" width="3.5703125" style="498" customWidth="1"/>
    <col min="10775" max="10775" width="4.42578125" style="498" customWidth="1"/>
    <col min="10776" max="10776" width="5.5703125" style="498" customWidth="1"/>
    <col min="10777" max="10777" width="3.5703125" style="498" customWidth="1"/>
    <col min="10778" max="10778" width="4" style="498" customWidth="1"/>
    <col min="10779" max="10779" width="4.5703125" style="498" customWidth="1"/>
    <col min="10780" max="10782" width="4.42578125" style="498" customWidth="1"/>
    <col min="10783" max="10784" width="4.5703125" style="498" customWidth="1"/>
    <col min="10785" max="10785" width="4" style="498" customWidth="1"/>
    <col min="10786" max="10786" width="4.5703125" style="498" customWidth="1"/>
    <col min="10787" max="10787" width="6" style="498" customWidth="1"/>
    <col min="10788" max="10788" width="8.5703125" style="498" customWidth="1"/>
    <col min="10789" max="11008" width="11.42578125" style="498"/>
    <col min="11009" max="11009" width="6.42578125" style="498" customWidth="1"/>
    <col min="11010" max="11010" width="47.5703125" style="498" customWidth="1"/>
    <col min="11011" max="11012" width="5" style="498" customWidth="1"/>
    <col min="11013" max="11013" width="5.42578125" style="498" customWidth="1"/>
    <col min="11014" max="11014" width="4.5703125" style="498" customWidth="1"/>
    <col min="11015" max="11016" width="4.42578125" style="498" customWidth="1"/>
    <col min="11017" max="11017" width="3.5703125" style="498" customWidth="1"/>
    <col min="11018" max="11018" width="5" style="498" customWidth="1"/>
    <col min="11019" max="11019" width="4" style="498" customWidth="1"/>
    <col min="11020" max="11021" width="4.5703125" style="498" customWidth="1"/>
    <col min="11022" max="11022" width="4.42578125" style="498" customWidth="1"/>
    <col min="11023" max="11023" width="4" style="498" customWidth="1"/>
    <col min="11024" max="11024" width="3.5703125" style="498" customWidth="1"/>
    <col min="11025" max="11026" width="4.5703125" style="498" customWidth="1"/>
    <col min="11027" max="11027" width="4" style="498" customWidth="1"/>
    <col min="11028" max="11029" width="4.42578125" style="498" customWidth="1"/>
    <col min="11030" max="11030" width="3.5703125" style="498" customWidth="1"/>
    <col min="11031" max="11031" width="4.42578125" style="498" customWidth="1"/>
    <col min="11032" max="11032" width="5.5703125" style="498" customWidth="1"/>
    <col min="11033" max="11033" width="3.5703125" style="498" customWidth="1"/>
    <col min="11034" max="11034" width="4" style="498" customWidth="1"/>
    <col min="11035" max="11035" width="4.5703125" style="498" customWidth="1"/>
    <col min="11036" max="11038" width="4.42578125" style="498" customWidth="1"/>
    <col min="11039" max="11040" width="4.5703125" style="498" customWidth="1"/>
    <col min="11041" max="11041" width="4" style="498" customWidth="1"/>
    <col min="11042" max="11042" width="4.5703125" style="498" customWidth="1"/>
    <col min="11043" max="11043" width="6" style="498" customWidth="1"/>
    <col min="11044" max="11044" width="8.5703125" style="498" customWidth="1"/>
    <col min="11045" max="11264" width="11.42578125" style="498"/>
    <col min="11265" max="11265" width="6.42578125" style="498" customWidth="1"/>
    <col min="11266" max="11266" width="47.5703125" style="498" customWidth="1"/>
    <col min="11267" max="11268" width="5" style="498" customWidth="1"/>
    <col min="11269" max="11269" width="5.42578125" style="498" customWidth="1"/>
    <col min="11270" max="11270" width="4.5703125" style="498" customWidth="1"/>
    <col min="11271" max="11272" width="4.42578125" style="498" customWidth="1"/>
    <col min="11273" max="11273" width="3.5703125" style="498" customWidth="1"/>
    <col min="11274" max="11274" width="5" style="498" customWidth="1"/>
    <col min="11275" max="11275" width="4" style="498" customWidth="1"/>
    <col min="11276" max="11277" width="4.5703125" style="498" customWidth="1"/>
    <col min="11278" max="11278" width="4.42578125" style="498" customWidth="1"/>
    <col min="11279" max="11279" width="4" style="498" customWidth="1"/>
    <col min="11280" max="11280" width="3.5703125" style="498" customWidth="1"/>
    <col min="11281" max="11282" width="4.5703125" style="498" customWidth="1"/>
    <col min="11283" max="11283" width="4" style="498" customWidth="1"/>
    <col min="11284" max="11285" width="4.42578125" style="498" customWidth="1"/>
    <col min="11286" max="11286" width="3.5703125" style="498" customWidth="1"/>
    <col min="11287" max="11287" width="4.42578125" style="498" customWidth="1"/>
    <col min="11288" max="11288" width="5.5703125" style="498" customWidth="1"/>
    <col min="11289" max="11289" width="3.5703125" style="498" customWidth="1"/>
    <col min="11290" max="11290" width="4" style="498" customWidth="1"/>
    <col min="11291" max="11291" width="4.5703125" style="498" customWidth="1"/>
    <col min="11292" max="11294" width="4.42578125" style="498" customWidth="1"/>
    <col min="11295" max="11296" width="4.5703125" style="498" customWidth="1"/>
    <col min="11297" max="11297" width="4" style="498" customWidth="1"/>
    <col min="11298" max="11298" width="4.5703125" style="498" customWidth="1"/>
    <col min="11299" max="11299" width="6" style="498" customWidth="1"/>
    <col min="11300" max="11300" width="8.5703125" style="498" customWidth="1"/>
    <col min="11301" max="11520" width="11.42578125" style="498"/>
    <col min="11521" max="11521" width="6.42578125" style="498" customWidth="1"/>
    <col min="11522" max="11522" width="47.5703125" style="498" customWidth="1"/>
    <col min="11523" max="11524" width="5" style="498" customWidth="1"/>
    <col min="11525" max="11525" width="5.42578125" style="498" customWidth="1"/>
    <col min="11526" max="11526" width="4.5703125" style="498" customWidth="1"/>
    <col min="11527" max="11528" width="4.42578125" style="498" customWidth="1"/>
    <col min="11529" max="11529" width="3.5703125" style="498" customWidth="1"/>
    <col min="11530" max="11530" width="5" style="498" customWidth="1"/>
    <col min="11531" max="11531" width="4" style="498" customWidth="1"/>
    <col min="11532" max="11533" width="4.5703125" style="498" customWidth="1"/>
    <col min="11534" max="11534" width="4.42578125" style="498" customWidth="1"/>
    <col min="11535" max="11535" width="4" style="498" customWidth="1"/>
    <col min="11536" max="11536" width="3.5703125" style="498" customWidth="1"/>
    <col min="11537" max="11538" width="4.5703125" style="498" customWidth="1"/>
    <col min="11539" max="11539" width="4" style="498" customWidth="1"/>
    <col min="11540" max="11541" width="4.42578125" style="498" customWidth="1"/>
    <col min="11542" max="11542" width="3.5703125" style="498" customWidth="1"/>
    <col min="11543" max="11543" width="4.42578125" style="498" customWidth="1"/>
    <col min="11544" max="11544" width="5.5703125" style="498" customWidth="1"/>
    <col min="11545" max="11545" width="3.5703125" style="498" customWidth="1"/>
    <col min="11546" max="11546" width="4" style="498" customWidth="1"/>
    <col min="11547" max="11547" width="4.5703125" style="498" customWidth="1"/>
    <col min="11548" max="11550" width="4.42578125" style="498" customWidth="1"/>
    <col min="11551" max="11552" width="4.5703125" style="498" customWidth="1"/>
    <col min="11553" max="11553" width="4" style="498" customWidth="1"/>
    <col min="11554" max="11554" width="4.5703125" style="498" customWidth="1"/>
    <col min="11555" max="11555" width="6" style="498" customWidth="1"/>
    <col min="11556" max="11556" width="8.5703125" style="498" customWidth="1"/>
    <col min="11557" max="11776" width="11.42578125" style="498"/>
    <col min="11777" max="11777" width="6.42578125" style="498" customWidth="1"/>
    <col min="11778" max="11778" width="47.5703125" style="498" customWidth="1"/>
    <col min="11779" max="11780" width="5" style="498" customWidth="1"/>
    <col min="11781" max="11781" width="5.42578125" style="498" customWidth="1"/>
    <col min="11782" max="11782" width="4.5703125" style="498" customWidth="1"/>
    <col min="11783" max="11784" width="4.42578125" style="498" customWidth="1"/>
    <col min="11785" max="11785" width="3.5703125" style="498" customWidth="1"/>
    <col min="11786" max="11786" width="5" style="498" customWidth="1"/>
    <col min="11787" max="11787" width="4" style="498" customWidth="1"/>
    <col min="11788" max="11789" width="4.5703125" style="498" customWidth="1"/>
    <col min="11790" max="11790" width="4.42578125" style="498" customWidth="1"/>
    <col min="11791" max="11791" width="4" style="498" customWidth="1"/>
    <col min="11792" max="11792" width="3.5703125" style="498" customWidth="1"/>
    <col min="11793" max="11794" width="4.5703125" style="498" customWidth="1"/>
    <col min="11795" max="11795" width="4" style="498" customWidth="1"/>
    <col min="11796" max="11797" width="4.42578125" style="498" customWidth="1"/>
    <col min="11798" max="11798" width="3.5703125" style="498" customWidth="1"/>
    <col min="11799" max="11799" width="4.42578125" style="498" customWidth="1"/>
    <col min="11800" max="11800" width="5.5703125" style="498" customWidth="1"/>
    <col min="11801" max="11801" width="3.5703125" style="498" customWidth="1"/>
    <col min="11802" max="11802" width="4" style="498" customWidth="1"/>
    <col min="11803" max="11803" width="4.5703125" style="498" customWidth="1"/>
    <col min="11804" max="11806" width="4.42578125" style="498" customWidth="1"/>
    <col min="11807" max="11808" width="4.5703125" style="498" customWidth="1"/>
    <col min="11809" max="11809" width="4" style="498" customWidth="1"/>
    <col min="11810" max="11810" width="4.5703125" style="498" customWidth="1"/>
    <col min="11811" max="11811" width="6" style="498" customWidth="1"/>
    <col min="11812" max="11812" width="8.5703125" style="498" customWidth="1"/>
    <col min="11813" max="12032" width="11.42578125" style="498"/>
    <col min="12033" max="12033" width="6.42578125" style="498" customWidth="1"/>
    <col min="12034" max="12034" width="47.5703125" style="498" customWidth="1"/>
    <col min="12035" max="12036" width="5" style="498" customWidth="1"/>
    <col min="12037" max="12037" width="5.42578125" style="498" customWidth="1"/>
    <col min="12038" max="12038" width="4.5703125" style="498" customWidth="1"/>
    <col min="12039" max="12040" width="4.42578125" style="498" customWidth="1"/>
    <col min="12041" max="12041" width="3.5703125" style="498" customWidth="1"/>
    <col min="12042" max="12042" width="5" style="498" customWidth="1"/>
    <col min="12043" max="12043" width="4" style="498" customWidth="1"/>
    <col min="12044" max="12045" width="4.5703125" style="498" customWidth="1"/>
    <col min="12046" max="12046" width="4.42578125" style="498" customWidth="1"/>
    <col min="12047" max="12047" width="4" style="498" customWidth="1"/>
    <col min="12048" max="12048" width="3.5703125" style="498" customWidth="1"/>
    <col min="12049" max="12050" width="4.5703125" style="498" customWidth="1"/>
    <col min="12051" max="12051" width="4" style="498" customWidth="1"/>
    <col min="12052" max="12053" width="4.42578125" style="498" customWidth="1"/>
    <col min="12054" max="12054" width="3.5703125" style="498" customWidth="1"/>
    <col min="12055" max="12055" width="4.42578125" style="498" customWidth="1"/>
    <col min="12056" max="12056" width="5.5703125" style="498" customWidth="1"/>
    <col min="12057" max="12057" width="3.5703125" style="498" customWidth="1"/>
    <col min="12058" max="12058" width="4" style="498" customWidth="1"/>
    <col min="12059" max="12059" width="4.5703125" style="498" customWidth="1"/>
    <col min="12060" max="12062" width="4.42578125" style="498" customWidth="1"/>
    <col min="12063" max="12064" width="4.5703125" style="498" customWidth="1"/>
    <col min="12065" max="12065" width="4" style="498" customWidth="1"/>
    <col min="12066" max="12066" width="4.5703125" style="498" customWidth="1"/>
    <col min="12067" max="12067" width="6" style="498" customWidth="1"/>
    <col min="12068" max="12068" width="8.5703125" style="498" customWidth="1"/>
    <col min="12069" max="12288" width="11.42578125" style="498"/>
    <col min="12289" max="12289" width="6.42578125" style="498" customWidth="1"/>
    <col min="12290" max="12290" width="47.5703125" style="498" customWidth="1"/>
    <col min="12291" max="12292" width="5" style="498" customWidth="1"/>
    <col min="12293" max="12293" width="5.42578125" style="498" customWidth="1"/>
    <col min="12294" max="12294" width="4.5703125" style="498" customWidth="1"/>
    <col min="12295" max="12296" width="4.42578125" style="498" customWidth="1"/>
    <col min="12297" max="12297" width="3.5703125" style="498" customWidth="1"/>
    <col min="12298" max="12298" width="5" style="498" customWidth="1"/>
    <col min="12299" max="12299" width="4" style="498" customWidth="1"/>
    <col min="12300" max="12301" width="4.5703125" style="498" customWidth="1"/>
    <col min="12302" max="12302" width="4.42578125" style="498" customWidth="1"/>
    <col min="12303" max="12303" width="4" style="498" customWidth="1"/>
    <col min="12304" max="12304" width="3.5703125" style="498" customWidth="1"/>
    <col min="12305" max="12306" width="4.5703125" style="498" customWidth="1"/>
    <col min="12307" max="12307" width="4" style="498" customWidth="1"/>
    <col min="12308" max="12309" width="4.42578125" style="498" customWidth="1"/>
    <col min="12310" max="12310" width="3.5703125" style="498" customWidth="1"/>
    <col min="12311" max="12311" width="4.42578125" style="498" customWidth="1"/>
    <col min="12312" max="12312" width="5.5703125" style="498" customWidth="1"/>
    <col min="12313" max="12313" width="3.5703125" style="498" customWidth="1"/>
    <col min="12314" max="12314" width="4" style="498" customWidth="1"/>
    <col min="12315" max="12315" width="4.5703125" style="498" customWidth="1"/>
    <col min="12316" max="12318" width="4.42578125" style="498" customWidth="1"/>
    <col min="12319" max="12320" width="4.5703125" style="498" customWidth="1"/>
    <col min="12321" max="12321" width="4" style="498" customWidth="1"/>
    <col min="12322" max="12322" width="4.5703125" style="498" customWidth="1"/>
    <col min="12323" max="12323" width="6" style="498" customWidth="1"/>
    <col min="12324" max="12324" width="8.5703125" style="498" customWidth="1"/>
    <col min="12325" max="12544" width="11.42578125" style="498"/>
    <col min="12545" max="12545" width="6.42578125" style="498" customWidth="1"/>
    <col min="12546" max="12546" width="47.5703125" style="498" customWidth="1"/>
    <col min="12547" max="12548" width="5" style="498" customWidth="1"/>
    <col min="12549" max="12549" width="5.42578125" style="498" customWidth="1"/>
    <col min="12550" max="12550" width="4.5703125" style="498" customWidth="1"/>
    <col min="12551" max="12552" width="4.42578125" style="498" customWidth="1"/>
    <col min="12553" max="12553" width="3.5703125" style="498" customWidth="1"/>
    <col min="12554" max="12554" width="5" style="498" customWidth="1"/>
    <col min="12555" max="12555" width="4" style="498" customWidth="1"/>
    <col min="12556" max="12557" width="4.5703125" style="498" customWidth="1"/>
    <col min="12558" max="12558" width="4.42578125" style="498" customWidth="1"/>
    <col min="12559" max="12559" width="4" style="498" customWidth="1"/>
    <col min="12560" max="12560" width="3.5703125" style="498" customWidth="1"/>
    <col min="12561" max="12562" width="4.5703125" style="498" customWidth="1"/>
    <col min="12563" max="12563" width="4" style="498" customWidth="1"/>
    <col min="12564" max="12565" width="4.42578125" style="498" customWidth="1"/>
    <col min="12566" max="12566" width="3.5703125" style="498" customWidth="1"/>
    <col min="12567" max="12567" width="4.42578125" style="498" customWidth="1"/>
    <col min="12568" max="12568" width="5.5703125" style="498" customWidth="1"/>
    <col min="12569" max="12569" width="3.5703125" style="498" customWidth="1"/>
    <col min="12570" max="12570" width="4" style="498" customWidth="1"/>
    <col min="12571" max="12571" width="4.5703125" style="498" customWidth="1"/>
    <col min="12572" max="12574" width="4.42578125" style="498" customWidth="1"/>
    <col min="12575" max="12576" width="4.5703125" style="498" customWidth="1"/>
    <col min="12577" max="12577" width="4" style="498" customWidth="1"/>
    <col min="12578" max="12578" width="4.5703125" style="498" customWidth="1"/>
    <col min="12579" max="12579" width="6" style="498" customWidth="1"/>
    <col min="12580" max="12580" width="8.5703125" style="498" customWidth="1"/>
    <col min="12581" max="12800" width="11.42578125" style="498"/>
    <col min="12801" max="12801" width="6.42578125" style="498" customWidth="1"/>
    <col min="12802" max="12802" width="47.5703125" style="498" customWidth="1"/>
    <col min="12803" max="12804" width="5" style="498" customWidth="1"/>
    <col min="12805" max="12805" width="5.42578125" style="498" customWidth="1"/>
    <col min="12806" max="12806" width="4.5703125" style="498" customWidth="1"/>
    <col min="12807" max="12808" width="4.42578125" style="498" customWidth="1"/>
    <col min="12809" max="12809" width="3.5703125" style="498" customWidth="1"/>
    <col min="12810" max="12810" width="5" style="498" customWidth="1"/>
    <col min="12811" max="12811" width="4" style="498" customWidth="1"/>
    <col min="12812" max="12813" width="4.5703125" style="498" customWidth="1"/>
    <col min="12814" max="12814" width="4.42578125" style="498" customWidth="1"/>
    <col min="12815" max="12815" width="4" style="498" customWidth="1"/>
    <col min="12816" max="12816" width="3.5703125" style="498" customWidth="1"/>
    <col min="12817" max="12818" width="4.5703125" style="498" customWidth="1"/>
    <col min="12819" max="12819" width="4" style="498" customWidth="1"/>
    <col min="12820" max="12821" width="4.42578125" style="498" customWidth="1"/>
    <col min="12822" max="12822" width="3.5703125" style="498" customWidth="1"/>
    <col min="12823" max="12823" width="4.42578125" style="498" customWidth="1"/>
    <col min="12824" max="12824" width="5.5703125" style="498" customWidth="1"/>
    <col min="12825" max="12825" width="3.5703125" style="498" customWidth="1"/>
    <col min="12826" max="12826" width="4" style="498" customWidth="1"/>
    <col min="12827" max="12827" width="4.5703125" style="498" customWidth="1"/>
    <col min="12828" max="12830" width="4.42578125" style="498" customWidth="1"/>
    <col min="12831" max="12832" width="4.5703125" style="498" customWidth="1"/>
    <col min="12833" max="12833" width="4" style="498" customWidth="1"/>
    <col min="12834" max="12834" width="4.5703125" style="498" customWidth="1"/>
    <col min="12835" max="12835" width="6" style="498" customWidth="1"/>
    <col min="12836" max="12836" width="8.5703125" style="498" customWidth="1"/>
    <col min="12837" max="13056" width="11.42578125" style="498"/>
    <col min="13057" max="13057" width="6.42578125" style="498" customWidth="1"/>
    <col min="13058" max="13058" width="47.5703125" style="498" customWidth="1"/>
    <col min="13059" max="13060" width="5" style="498" customWidth="1"/>
    <col min="13061" max="13061" width="5.42578125" style="498" customWidth="1"/>
    <col min="13062" max="13062" width="4.5703125" style="498" customWidth="1"/>
    <col min="13063" max="13064" width="4.42578125" style="498" customWidth="1"/>
    <col min="13065" max="13065" width="3.5703125" style="498" customWidth="1"/>
    <col min="13066" max="13066" width="5" style="498" customWidth="1"/>
    <col min="13067" max="13067" width="4" style="498" customWidth="1"/>
    <col min="13068" max="13069" width="4.5703125" style="498" customWidth="1"/>
    <col min="13070" max="13070" width="4.42578125" style="498" customWidth="1"/>
    <col min="13071" max="13071" width="4" style="498" customWidth="1"/>
    <col min="13072" max="13072" width="3.5703125" style="498" customWidth="1"/>
    <col min="13073" max="13074" width="4.5703125" style="498" customWidth="1"/>
    <col min="13075" max="13075" width="4" style="498" customWidth="1"/>
    <col min="13076" max="13077" width="4.42578125" style="498" customWidth="1"/>
    <col min="13078" max="13078" width="3.5703125" style="498" customWidth="1"/>
    <col min="13079" max="13079" width="4.42578125" style="498" customWidth="1"/>
    <col min="13080" max="13080" width="5.5703125" style="498" customWidth="1"/>
    <col min="13081" max="13081" width="3.5703125" style="498" customWidth="1"/>
    <col min="13082" max="13082" width="4" style="498" customWidth="1"/>
    <col min="13083" max="13083" width="4.5703125" style="498" customWidth="1"/>
    <col min="13084" max="13086" width="4.42578125" style="498" customWidth="1"/>
    <col min="13087" max="13088" width="4.5703125" style="498" customWidth="1"/>
    <col min="13089" max="13089" width="4" style="498" customWidth="1"/>
    <col min="13090" max="13090" width="4.5703125" style="498" customWidth="1"/>
    <col min="13091" max="13091" width="6" style="498" customWidth="1"/>
    <col min="13092" max="13092" width="8.5703125" style="498" customWidth="1"/>
    <col min="13093" max="13312" width="11.42578125" style="498"/>
    <col min="13313" max="13313" width="6.42578125" style="498" customWidth="1"/>
    <col min="13314" max="13314" width="47.5703125" style="498" customWidth="1"/>
    <col min="13315" max="13316" width="5" style="498" customWidth="1"/>
    <col min="13317" max="13317" width="5.42578125" style="498" customWidth="1"/>
    <col min="13318" max="13318" width="4.5703125" style="498" customWidth="1"/>
    <col min="13319" max="13320" width="4.42578125" style="498" customWidth="1"/>
    <col min="13321" max="13321" width="3.5703125" style="498" customWidth="1"/>
    <col min="13322" max="13322" width="5" style="498" customWidth="1"/>
    <col min="13323" max="13323" width="4" style="498" customWidth="1"/>
    <col min="13324" max="13325" width="4.5703125" style="498" customWidth="1"/>
    <col min="13326" max="13326" width="4.42578125" style="498" customWidth="1"/>
    <col min="13327" max="13327" width="4" style="498" customWidth="1"/>
    <col min="13328" max="13328" width="3.5703125" style="498" customWidth="1"/>
    <col min="13329" max="13330" width="4.5703125" style="498" customWidth="1"/>
    <col min="13331" max="13331" width="4" style="498" customWidth="1"/>
    <col min="13332" max="13333" width="4.42578125" style="498" customWidth="1"/>
    <col min="13334" max="13334" width="3.5703125" style="498" customWidth="1"/>
    <col min="13335" max="13335" width="4.42578125" style="498" customWidth="1"/>
    <col min="13336" max="13336" width="5.5703125" style="498" customWidth="1"/>
    <col min="13337" max="13337" width="3.5703125" style="498" customWidth="1"/>
    <col min="13338" max="13338" width="4" style="498" customWidth="1"/>
    <col min="13339" max="13339" width="4.5703125" style="498" customWidth="1"/>
    <col min="13340" max="13342" width="4.42578125" style="498" customWidth="1"/>
    <col min="13343" max="13344" width="4.5703125" style="498" customWidth="1"/>
    <col min="13345" max="13345" width="4" style="498" customWidth="1"/>
    <col min="13346" max="13346" width="4.5703125" style="498" customWidth="1"/>
    <col min="13347" max="13347" width="6" style="498" customWidth="1"/>
    <col min="13348" max="13348" width="8.5703125" style="498" customWidth="1"/>
    <col min="13349" max="13568" width="11.42578125" style="498"/>
    <col min="13569" max="13569" width="6.42578125" style="498" customWidth="1"/>
    <col min="13570" max="13570" width="47.5703125" style="498" customWidth="1"/>
    <col min="13571" max="13572" width="5" style="498" customWidth="1"/>
    <col min="13573" max="13573" width="5.42578125" style="498" customWidth="1"/>
    <col min="13574" max="13574" width="4.5703125" style="498" customWidth="1"/>
    <col min="13575" max="13576" width="4.42578125" style="498" customWidth="1"/>
    <col min="13577" max="13577" width="3.5703125" style="498" customWidth="1"/>
    <col min="13578" max="13578" width="5" style="498" customWidth="1"/>
    <col min="13579" max="13579" width="4" style="498" customWidth="1"/>
    <col min="13580" max="13581" width="4.5703125" style="498" customWidth="1"/>
    <col min="13582" max="13582" width="4.42578125" style="498" customWidth="1"/>
    <col min="13583" max="13583" width="4" style="498" customWidth="1"/>
    <col min="13584" max="13584" width="3.5703125" style="498" customWidth="1"/>
    <col min="13585" max="13586" width="4.5703125" style="498" customWidth="1"/>
    <col min="13587" max="13587" width="4" style="498" customWidth="1"/>
    <col min="13588" max="13589" width="4.42578125" style="498" customWidth="1"/>
    <col min="13590" max="13590" width="3.5703125" style="498" customWidth="1"/>
    <col min="13591" max="13591" width="4.42578125" style="498" customWidth="1"/>
    <col min="13592" max="13592" width="5.5703125" style="498" customWidth="1"/>
    <col min="13593" max="13593" width="3.5703125" style="498" customWidth="1"/>
    <col min="13594" max="13594" width="4" style="498" customWidth="1"/>
    <col min="13595" max="13595" width="4.5703125" style="498" customWidth="1"/>
    <col min="13596" max="13598" width="4.42578125" style="498" customWidth="1"/>
    <col min="13599" max="13600" width="4.5703125" style="498" customWidth="1"/>
    <col min="13601" max="13601" width="4" style="498" customWidth="1"/>
    <col min="13602" max="13602" width="4.5703125" style="498" customWidth="1"/>
    <col min="13603" max="13603" width="6" style="498" customWidth="1"/>
    <col min="13604" max="13604" width="8.5703125" style="498" customWidth="1"/>
    <col min="13605" max="13824" width="11.42578125" style="498"/>
    <col min="13825" max="13825" width="6.42578125" style="498" customWidth="1"/>
    <col min="13826" max="13826" width="47.5703125" style="498" customWidth="1"/>
    <col min="13827" max="13828" width="5" style="498" customWidth="1"/>
    <col min="13829" max="13829" width="5.42578125" style="498" customWidth="1"/>
    <col min="13830" max="13830" width="4.5703125" style="498" customWidth="1"/>
    <col min="13831" max="13832" width="4.42578125" style="498" customWidth="1"/>
    <col min="13833" max="13833" width="3.5703125" style="498" customWidth="1"/>
    <col min="13834" max="13834" width="5" style="498" customWidth="1"/>
    <col min="13835" max="13835" width="4" style="498" customWidth="1"/>
    <col min="13836" max="13837" width="4.5703125" style="498" customWidth="1"/>
    <col min="13838" max="13838" width="4.42578125" style="498" customWidth="1"/>
    <col min="13839" max="13839" width="4" style="498" customWidth="1"/>
    <col min="13840" max="13840" width="3.5703125" style="498" customWidth="1"/>
    <col min="13841" max="13842" width="4.5703125" style="498" customWidth="1"/>
    <col min="13843" max="13843" width="4" style="498" customWidth="1"/>
    <col min="13844" max="13845" width="4.42578125" style="498" customWidth="1"/>
    <col min="13846" max="13846" width="3.5703125" style="498" customWidth="1"/>
    <col min="13847" max="13847" width="4.42578125" style="498" customWidth="1"/>
    <col min="13848" max="13848" width="5.5703125" style="498" customWidth="1"/>
    <col min="13849" max="13849" width="3.5703125" style="498" customWidth="1"/>
    <col min="13850" max="13850" width="4" style="498" customWidth="1"/>
    <col min="13851" max="13851" width="4.5703125" style="498" customWidth="1"/>
    <col min="13852" max="13854" width="4.42578125" style="498" customWidth="1"/>
    <col min="13855" max="13856" width="4.5703125" style="498" customWidth="1"/>
    <col min="13857" max="13857" width="4" style="498" customWidth="1"/>
    <col min="13858" max="13858" width="4.5703125" style="498" customWidth="1"/>
    <col min="13859" max="13859" width="6" style="498" customWidth="1"/>
    <col min="13860" max="13860" width="8.5703125" style="498" customWidth="1"/>
    <col min="13861" max="14080" width="11.42578125" style="498"/>
    <col min="14081" max="14081" width="6.42578125" style="498" customWidth="1"/>
    <col min="14082" max="14082" width="47.5703125" style="498" customWidth="1"/>
    <col min="14083" max="14084" width="5" style="498" customWidth="1"/>
    <col min="14085" max="14085" width="5.42578125" style="498" customWidth="1"/>
    <col min="14086" max="14086" width="4.5703125" style="498" customWidth="1"/>
    <col min="14087" max="14088" width="4.42578125" style="498" customWidth="1"/>
    <col min="14089" max="14089" width="3.5703125" style="498" customWidth="1"/>
    <col min="14090" max="14090" width="5" style="498" customWidth="1"/>
    <col min="14091" max="14091" width="4" style="498" customWidth="1"/>
    <col min="14092" max="14093" width="4.5703125" style="498" customWidth="1"/>
    <col min="14094" max="14094" width="4.42578125" style="498" customWidth="1"/>
    <col min="14095" max="14095" width="4" style="498" customWidth="1"/>
    <col min="14096" max="14096" width="3.5703125" style="498" customWidth="1"/>
    <col min="14097" max="14098" width="4.5703125" style="498" customWidth="1"/>
    <col min="14099" max="14099" width="4" style="498" customWidth="1"/>
    <col min="14100" max="14101" width="4.42578125" style="498" customWidth="1"/>
    <col min="14102" max="14102" width="3.5703125" style="498" customWidth="1"/>
    <col min="14103" max="14103" width="4.42578125" style="498" customWidth="1"/>
    <col min="14104" max="14104" width="5.5703125" style="498" customWidth="1"/>
    <col min="14105" max="14105" width="3.5703125" style="498" customWidth="1"/>
    <col min="14106" max="14106" width="4" style="498" customWidth="1"/>
    <col min="14107" max="14107" width="4.5703125" style="498" customWidth="1"/>
    <col min="14108" max="14110" width="4.42578125" style="498" customWidth="1"/>
    <col min="14111" max="14112" width="4.5703125" style="498" customWidth="1"/>
    <col min="14113" max="14113" width="4" style="498" customWidth="1"/>
    <col min="14114" max="14114" width="4.5703125" style="498" customWidth="1"/>
    <col min="14115" max="14115" width="6" style="498" customWidth="1"/>
    <col min="14116" max="14116" width="8.5703125" style="498" customWidth="1"/>
    <col min="14117" max="14336" width="11.42578125" style="498"/>
    <col min="14337" max="14337" width="6.42578125" style="498" customWidth="1"/>
    <col min="14338" max="14338" width="47.5703125" style="498" customWidth="1"/>
    <col min="14339" max="14340" width="5" style="498" customWidth="1"/>
    <col min="14341" max="14341" width="5.42578125" style="498" customWidth="1"/>
    <col min="14342" max="14342" width="4.5703125" style="498" customWidth="1"/>
    <col min="14343" max="14344" width="4.42578125" style="498" customWidth="1"/>
    <col min="14345" max="14345" width="3.5703125" style="498" customWidth="1"/>
    <col min="14346" max="14346" width="5" style="498" customWidth="1"/>
    <col min="14347" max="14347" width="4" style="498" customWidth="1"/>
    <col min="14348" max="14349" width="4.5703125" style="498" customWidth="1"/>
    <col min="14350" max="14350" width="4.42578125" style="498" customWidth="1"/>
    <col min="14351" max="14351" width="4" style="498" customWidth="1"/>
    <col min="14352" max="14352" width="3.5703125" style="498" customWidth="1"/>
    <col min="14353" max="14354" width="4.5703125" style="498" customWidth="1"/>
    <col min="14355" max="14355" width="4" style="498" customWidth="1"/>
    <col min="14356" max="14357" width="4.42578125" style="498" customWidth="1"/>
    <col min="14358" max="14358" width="3.5703125" style="498" customWidth="1"/>
    <col min="14359" max="14359" width="4.42578125" style="498" customWidth="1"/>
    <col min="14360" max="14360" width="5.5703125" style="498" customWidth="1"/>
    <col min="14361" max="14361" width="3.5703125" style="498" customWidth="1"/>
    <col min="14362" max="14362" width="4" style="498" customWidth="1"/>
    <col min="14363" max="14363" width="4.5703125" style="498" customWidth="1"/>
    <col min="14364" max="14366" width="4.42578125" style="498" customWidth="1"/>
    <col min="14367" max="14368" width="4.5703125" style="498" customWidth="1"/>
    <col min="14369" max="14369" width="4" style="498" customWidth="1"/>
    <col min="14370" max="14370" width="4.5703125" style="498" customWidth="1"/>
    <col min="14371" max="14371" width="6" style="498" customWidth="1"/>
    <col min="14372" max="14372" width="8.5703125" style="498" customWidth="1"/>
    <col min="14373" max="14592" width="11.42578125" style="498"/>
    <col min="14593" max="14593" width="6.42578125" style="498" customWidth="1"/>
    <col min="14594" max="14594" width="47.5703125" style="498" customWidth="1"/>
    <col min="14595" max="14596" width="5" style="498" customWidth="1"/>
    <col min="14597" max="14597" width="5.42578125" style="498" customWidth="1"/>
    <col min="14598" max="14598" width="4.5703125" style="498" customWidth="1"/>
    <col min="14599" max="14600" width="4.42578125" style="498" customWidth="1"/>
    <col min="14601" max="14601" width="3.5703125" style="498" customWidth="1"/>
    <col min="14602" max="14602" width="5" style="498" customWidth="1"/>
    <col min="14603" max="14603" width="4" style="498" customWidth="1"/>
    <col min="14604" max="14605" width="4.5703125" style="498" customWidth="1"/>
    <col min="14606" max="14606" width="4.42578125" style="498" customWidth="1"/>
    <col min="14607" max="14607" width="4" style="498" customWidth="1"/>
    <col min="14608" max="14608" width="3.5703125" style="498" customWidth="1"/>
    <col min="14609" max="14610" width="4.5703125" style="498" customWidth="1"/>
    <col min="14611" max="14611" width="4" style="498" customWidth="1"/>
    <col min="14612" max="14613" width="4.42578125" style="498" customWidth="1"/>
    <col min="14614" max="14614" width="3.5703125" style="498" customWidth="1"/>
    <col min="14615" max="14615" width="4.42578125" style="498" customWidth="1"/>
    <col min="14616" max="14616" width="5.5703125" style="498" customWidth="1"/>
    <col min="14617" max="14617" width="3.5703125" style="498" customWidth="1"/>
    <col min="14618" max="14618" width="4" style="498" customWidth="1"/>
    <col min="14619" max="14619" width="4.5703125" style="498" customWidth="1"/>
    <col min="14620" max="14622" width="4.42578125" style="498" customWidth="1"/>
    <col min="14623" max="14624" width="4.5703125" style="498" customWidth="1"/>
    <col min="14625" max="14625" width="4" style="498" customWidth="1"/>
    <col min="14626" max="14626" width="4.5703125" style="498" customWidth="1"/>
    <col min="14627" max="14627" width="6" style="498" customWidth="1"/>
    <col min="14628" max="14628" width="8.5703125" style="498" customWidth="1"/>
    <col min="14629" max="14848" width="11.42578125" style="498"/>
    <col min="14849" max="14849" width="6.42578125" style="498" customWidth="1"/>
    <col min="14850" max="14850" width="47.5703125" style="498" customWidth="1"/>
    <col min="14851" max="14852" width="5" style="498" customWidth="1"/>
    <col min="14853" max="14853" width="5.42578125" style="498" customWidth="1"/>
    <col min="14854" max="14854" width="4.5703125" style="498" customWidth="1"/>
    <col min="14855" max="14856" width="4.42578125" style="498" customWidth="1"/>
    <col min="14857" max="14857" width="3.5703125" style="498" customWidth="1"/>
    <col min="14858" max="14858" width="5" style="498" customWidth="1"/>
    <col min="14859" max="14859" width="4" style="498" customWidth="1"/>
    <col min="14860" max="14861" width="4.5703125" style="498" customWidth="1"/>
    <col min="14862" max="14862" width="4.42578125" style="498" customWidth="1"/>
    <col min="14863" max="14863" width="4" style="498" customWidth="1"/>
    <col min="14864" max="14864" width="3.5703125" style="498" customWidth="1"/>
    <col min="14865" max="14866" width="4.5703125" style="498" customWidth="1"/>
    <col min="14867" max="14867" width="4" style="498" customWidth="1"/>
    <col min="14868" max="14869" width="4.42578125" style="498" customWidth="1"/>
    <col min="14870" max="14870" width="3.5703125" style="498" customWidth="1"/>
    <col min="14871" max="14871" width="4.42578125" style="498" customWidth="1"/>
    <col min="14872" max="14872" width="5.5703125" style="498" customWidth="1"/>
    <col min="14873" max="14873" width="3.5703125" style="498" customWidth="1"/>
    <col min="14874" max="14874" width="4" style="498" customWidth="1"/>
    <col min="14875" max="14875" width="4.5703125" style="498" customWidth="1"/>
    <col min="14876" max="14878" width="4.42578125" style="498" customWidth="1"/>
    <col min="14879" max="14880" width="4.5703125" style="498" customWidth="1"/>
    <col min="14881" max="14881" width="4" style="498" customWidth="1"/>
    <col min="14882" max="14882" width="4.5703125" style="498" customWidth="1"/>
    <col min="14883" max="14883" width="6" style="498" customWidth="1"/>
    <col min="14884" max="14884" width="8.5703125" style="498" customWidth="1"/>
    <col min="14885" max="15104" width="11.42578125" style="498"/>
    <col min="15105" max="15105" width="6.42578125" style="498" customWidth="1"/>
    <col min="15106" max="15106" width="47.5703125" style="498" customWidth="1"/>
    <col min="15107" max="15108" width="5" style="498" customWidth="1"/>
    <col min="15109" max="15109" width="5.42578125" style="498" customWidth="1"/>
    <col min="15110" max="15110" width="4.5703125" style="498" customWidth="1"/>
    <col min="15111" max="15112" width="4.42578125" style="498" customWidth="1"/>
    <col min="15113" max="15113" width="3.5703125" style="498" customWidth="1"/>
    <col min="15114" max="15114" width="5" style="498" customWidth="1"/>
    <col min="15115" max="15115" width="4" style="498" customWidth="1"/>
    <col min="15116" max="15117" width="4.5703125" style="498" customWidth="1"/>
    <col min="15118" max="15118" width="4.42578125" style="498" customWidth="1"/>
    <col min="15119" max="15119" width="4" style="498" customWidth="1"/>
    <col min="15120" max="15120" width="3.5703125" style="498" customWidth="1"/>
    <col min="15121" max="15122" width="4.5703125" style="498" customWidth="1"/>
    <col min="15123" max="15123" width="4" style="498" customWidth="1"/>
    <col min="15124" max="15125" width="4.42578125" style="498" customWidth="1"/>
    <col min="15126" max="15126" width="3.5703125" style="498" customWidth="1"/>
    <col min="15127" max="15127" width="4.42578125" style="498" customWidth="1"/>
    <col min="15128" max="15128" width="5.5703125" style="498" customWidth="1"/>
    <col min="15129" max="15129" width="3.5703125" style="498" customWidth="1"/>
    <col min="15130" max="15130" width="4" style="498" customWidth="1"/>
    <col min="15131" max="15131" width="4.5703125" style="498" customWidth="1"/>
    <col min="15132" max="15134" width="4.42578125" style="498" customWidth="1"/>
    <col min="15135" max="15136" width="4.5703125" style="498" customWidth="1"/>
    <col min="15137" max="15137" width="4" style="498" customWidth="1"/>
    <col min="15138" max="15138" width="4.5703125" style="498" customWidth="1"/>
    <col min="15139" max="15139" width="6" style="498" customWidth="1"/>
    <col min="15140" max="15140" width="8.5703125" style="498" customWidth="1"/>
    <col min="15141" max="15360" width="11.42578125" style="498"/>
    <col min="15361" max="15361" width="6.42578125" style="498" customWidth="1"/>
    <col min="15362" max="15362" width="47.5703125" style="498" customWidth="1"/>
    <col min="15363" max="15364" width="5" style="498" customWidth="1"/>
    <col min="15365" max="15365" width="5.42578125" style="498" customWidth="1"/>
    <col min="15366" max="15366" width="4.5703125" style="498" customWidth="1"/>
    <col min="15367" max="15368" width="4.42578125" style="498" customWidth="1"/>
    <col min="15369" max="15369" width="3.5703125" style="498" customWidth="1"/>
    <col min="15370" max="15370" width="5" style="498" customWidth="1"/>
    <col min="15371" max="15371" width="4" style="498" customWidth="1"/>
    <col min="15372" max="15373" width="4.5703125" style="498" customWidth="1"/>
    <col min="15374" max="15374" width="4.42578125" style="498" customWidth="1"/>
    <col min="15375" max="15375" width="4" style="498" customWidth="1"/>
    <col min="15376" max="15376" width="3.5703125" style="498" customWidth="1"/>
    <col min="15377" max="15378" width="4.5703125" style="498" customWidth="1"/>
    <col min="15379" max="15379" width="4" style="498" customWidth="1"/>
    <col min="15380" max="15381" width="4.42578125" style="498" customWidth="1"/>
    <col min="15382" max="15382" width="3.5703125" style="498" customWidth="1"/>
    <col min="15383" max="15383" width="4.42578125" style="498" customWidth="1"/>
    <col min="15384" max="15384" width="5.5703125" style="498" customWidth="1"/>
    <col min="15385" max="15385" width="3.5703125" style="498" customWidth="1"/>
    <col min="15386" max="15386" width="4" style="498" customWidth="1"/>
    <col min="15387" max="15387" width="4.5703125" style="498" customWidth="1"/>
    <col min="15388" max="15390" width="4.42578125" style="498" customWidth="1"/>
    <col min="15391" max="15392" width="4.5703125" style="498" customWidth="1"/>
    <col min="15393" max="15393" width="4" style="498" customWidth="1"/>
    <col min="15394" max="15394" width="4.5703125" style="498" customWidth="1"/>
    <col min="15395" max="15395" width="6" style="498" customWidth="1"/>
    <col min="15396" max="15396" width="8.5703125" style="498" customWidth="1"/>
    <col min="15397" max="15616" width="11.42578125" style="498"/>
    <col min="15617" max="15617" width="6.42578125" style="498" customWidth="1"/>
    <col min="15618" max="15618" width="47.5703125" style="498" customWidth="1"/>
    <col min="15619" max="15620" width="5" style="498" customWidth="1"/>
    <col min="15621" max="15621" width="5.42578125" style="498" customWidth="1"/>
    <col min="15622" max="15622" width="4.5703125" style="498" customWidth="1"/>
    <col min="15623" max="15624" width="4.42578125" style="498" customWidth="1"/>
    <col min="15625" max="15625" width="3.5703125" style="498" customWidth="1"/>
    <col min="15626" max="15626" width="5" style="498" customWidth="1"/>
    <col min="15627" max="15627" width="4" style="498" customWidth="1"/>
    <col min="15628" max="15629" width="4.5703125" style="498" customWidth="1"/>
    <col min="15630" max="15630" width="4.42578125" style="498" customWidth="1"/>
    <col min="15631" max="15631" width="4" style="498" customWidth="1"/>
    <col min="15632" max="15632" width="3.5703125" style="498" customWidth="1"/>
    <col min="15633" max="15634" width="4.5703125" style="498" customWidth="1"/>
    <col min="15635" max="15635" width="4" style="498" customWidth="1"/>
    <col min="15636" max="15637" width="4.42578125" style="498" customWidth="1"/>
    <col min="15638" max="15638" width="3.5703125" style="498" customWidth="1"/>
    <col min="15639" max="15639" width="4.42578125" style="498" customWidth="1"/>
    <col min="15640" max="15640" width="5.5703125" style="498" customWidth="1"/>
    <col min="15641" max="15641" width="3.5703125" style="498" customWidth="1"/>
    <col min="15642" max="15642" width="4" style="498" customWidth="1"/>
    <col min="15643" max="15643" width="4.5703125" style="498" customWidth="1"/>
    <col min="15644" max="15646" width="4.42578125" style="498" customWidth="1"/>
    <col min="15647" max="15648" width="4.5703125" style="498" customWidth="1"/>
    <col min="15649" max="15649" width="4" style="498" customWidth="1"/>
    <col min="15650" max="15650" width="4.5703125" style="498" customWidth="1"/>
    <col min="15651" max="15651" width="6" style="498" customWidth="1"/>
    <col min="15652" max="15652" width="8.5703125" style="498" customWidth="1"/>
    <col min="15653" max="15872" width="11.42578125" style="498"/>
    <col min="15873" max="15873" width="6.42578125" style="498" customWidth="1"/>
    <col min="15874" max="15874" width="47.5703125" style="498" customWidth="1"/>
    <col min="15875" max="15876" width="5" style="498" customWidth="1"/>
    <col min="15877" max="15877" width="5.42578125" style="498" customWidth="1"/>
    <col min="15878" max="15878" width="4.5703125" style="498" customWidth="1"/>
    <col min="15879" max="15880" width="4.42578125" style="498" customWidth="1"/>
    <col min="15881" max="15881" width="3.5703125" style="498" customWidth="1"/>
    <col min="15882" max="15882" width="5" style="498" customWidth="1"/>
    <col min="15883" max="15883" width="4" style="498" customWidth="1"/>
    <col min="15884" max="15885" width="4.5703125" style="498" customWidth="1"/>
    <col min="15886" max="15886" width="4.42578125" style="498" customWidth="1"/>
    <col min="15887" max="15887" width="4" style="498" customWidth="1"/>
    <col min="15888" max="15888" width="3.5703125" style="498" customWidth="1"/>
    <col min="15889" max="15890" width="4.5703125" style="498" customWidth="1"/>
    <col min="15891" max="15891" width="4" style="498" customWidth="1"/>
    <col min="15892" max="15893" width="4.42578125" style="498" customWidth="1"/>
    <col min="15894" max="15894" width="3.5703125" style="498" customWidth="1"/>
    <col min="15895" max="15895" width="4.42578125" style="498" customWidth="1"/>
    <col min="15896" max="15896" width="5.5703125" style="498" customWidth="1"/>
    <col min="15897" max="15897" width="3.5703125" style="498" customWidth="1"/>
    <col min="15898" max="15898" width="4" style="498" customWidth="1"/>
    <col min="15899" max="15899" width="4.5703125" style="498" customWidth="1"/>
    <col min="15900" max="15902" width="4.42578125" style="498" customWidth="1"/>
    <col min="15903" max="15904" width="4.5703125" style="498" customWidth="1"/>
    <col min="15905" max="15905" width="4" style="498" customWidth="1"/>
    <col min="15906" max="15906" width="4.5703125" style="498" customWidth="1"/>
    <col min="15907" max="15907" width="6" style="498" customWidth="1"/>
    <col min="15908" max="15908" width="8.5703125" style="498" customWidth="1"/>
    <col min="15909" max="16128" width="11.42578125" style="498"/>
    <col min="16129" max="16129" width="6.42578125" style="498" customWidth="1"/>
    <col min="16130" max="16130" width="47.5703125" style="498" customWidth="1"/>
    <col min="16131" max="16132" width="5" style="498" customWidth="1"/>
    <col min="16133" max="16133" width="5.42578125" style="498" customWidth="1"/>
    <col min="16134" max="16134" width="4.5703125" style="498" customWidth="1"/>
    <col min="16135" max="16136" width="4.42578125" style="498" customWidth="1"/>
    <col min="16137" max="16137" width="3.5703125" style="498" customWidth="1"/>
    <col min="16138" max="16138" width="5" style="498" customWidth="1"/>
    <col min="16139" max="16139" width="4" style="498" customWidth="1"/>
    <col min="16140" max="16141" width="4.5703125" style="498" customWidth="1"/>
    <col min="16142" max="16142" width="4.42578125" style="498" customWidth="1"/>
    <col min="16143" max="16143" width="4" style="498" customWidth="1"/>
    <col min="16144" max="16144" width="3.5703125" style="498" customWidth="1"/>
    <col min="16145" max="16146" width="4.5703125" style="498" customWidth="1"/>
    <col min="16147" max="16147" width="4" style="498" customWidth="1"/>
    <col min="16148" max="16149" width="4.42578125" style="498" customWidth="1"/>
    <col min="16150" max="16150" width="3.5703125" style="498" customWidth="1"/>
    <col min="16151" max="16151" width="4.42578125" style="498" customWidth="1"/>
    <col min="16152" max="16152" width="5.5703125" style="498" customWidth="1"/>
    <col min="16153" max="16153" width="3.5703125" style="498" customWidth="1"/>
    <col min="16154" max="16154" width="4" style="498" customWidth="1"/>
    <col min="16155" max="16155" width="4.5703125" style="498" customWidth="1"/>
    <col min="16156" max="16158" width="4.42578125" style="498" customWidth="1"/>
    <col min="16159" max="16160" width="4.5703125" style="498" customWidth="1"/>
    <col min="16161" max="16161" width="4" style="498" customWidth="1"/>
    <col min="16162" max="16162" width="4.5703125" style="498" customWidth="1"/>
    <col min="16163" max="16163" width="6" style="498" customWidth="1"/>
    <col min="16164" max="16164" width="8.5703125" style="498" customWidth="1"/>
    <col min="16165" max="16384" width="11.42578125" style="498"/>
  </cols>
  <sheetData>
    <row r="1" spans="1:39">
      <c r="A1" s="2213" t="s">
        <v>283</v>
      </c>
      <c r="B1" s="2213"/>
      <c r="C1" s="2213"/>
      <c r="D1" s="2213"/>
      <c r="E1" s="2213"/>
      <c r="F1" s="2213"/>
      <c r="G1" s="2213"/>
      <c r="H1" s="2213"/>
      <c r="I1" s="2213"/>
      <c r="J1" s="2213"/>
      <c r="K1" s="2213"/>
    </row>
    <row r="2" spans="1:39">
      <c r="A2" s="2214" t="s">
        <v>1802</v>
      </c>
      <c r="B2" s="2214"/>
      <c r="C2" s="2214"/>
      <c r="D2" s="2214"/>
      <c r="E2" s="2214"/>
      <c r="F2" s="2214"/>
      <c r="G2" s="2214"/>
      <c r="H2" s="2214"/>
      <c r="I2" s="2214"/>
      <c r="J2" s="2214"/>
      <c r="K2" s="2214"/>
    </row>
    <row r="3" spans="1:39">
      <c r="A3" s="549"/>
    </row>
    <row r="4" spans="1:39">
      <c r="A4" s="551"/>
      <c r="B4" s="2215" t="s">
        <v>1800</v>
      </c>
      <c r="C4" s="2215"/>
      <c r="D4" s="2215"/>
      <c r="E4" s="2215"/>
      <c r="F4" s="2215"/>
      <c r="G4" s="2215"/>
      <c r="H4" s="2215"/>
      <c r="I4" s="2215"/>
      <c r="J4" s="2215"/>
      <c r="K4" s="2215"/>
    </row>
    <row r="5" spans="1:39" ht="12.75" customHeight="1">
      <c r="A5" s="551"/>
      <c r="B5" s="2216" t="e">
        <f>#REF!</f>
        <v>#REF!</v>
      </c>
      <c r="C5" s="2217"/>
      <c r="D5" s="2217"/>
      <c r="E5" s="2217"/>
      <c r="F5" s="2217"/>
      <c r="G5" s="2217"/>
      <c r="H5" s="2217"/>
      <c r="I5" s="2217"/>
      <c r="J5" s="2217"/>
      <c r="K5" s="2217"/>
    </row>
    <row r="6" spans="1:39" ht="13.5" customHeight="1">
      <c r="B6" s="553"/>
      <c r="C6" s="500"/>
    </row>
    <row r="7" spans="1:39" ht="13.5" customHeight="1">
      <c r="B7" s="553"/>
      <c r="C7" s="500"/>
    </row>
    <row r="8" spans="1:39" ht="13.5" customHeight="1" thickBot="1">
      <c r="B8" s="553"/>
      <c r="C8" s="500"/>
      <c r="D8" s="2785"/>
      <c r="E8" s="2785"/>
      <c r="F8" s="2785"/>
      <c r="G8" s="2785"/>
      <c r="H8" s="2785"/>
      <c r="I8" s="2785"/>
      <c r="J8" s="2785"/>
      <c r="K8" s="2785"/>
      <c r="L8" s="2785"/>
      <c r="M8" s="2785"/>
      <c r="N8" s="2785"/>
      <c r="O8" s="2785"/>
      <c r="P8" s="2785"/>
      <c r="Q8" s="2785"/>
      <c r="R8" s="2785"/>
      <c r="S8" s="2785"/>
      <c r="T8" s="2785"/>
      <c r="U8" s="2785"/>
      <c r="V8" s="2785"/>
      <c r="W8" s="2785"/>
      <c r="X8" s="2785"/>
      <c r="Y8" s="2785"/>
      <c r="Z8" s="2785"/>
      <c r="AA8" s="2785"/>
      <c r="AB8" s="2785"/>
      <c r="AC8" s="2785"/>
      <c r="AD8" s="2785"/>
      <c r="AE8" s="2785"/>
      <c r="AF8" s="2785"/>
      <c r="AG8" s="2785"/>
      <c r="AH8" s="2785"/>
      <c r="AI8" s="2785"/>
    </row>
    <row r="9" spans="1:39" ht="13.5" thickBot="1">
      <c r="A9" s="2218" t="s">
        <v>285</v>
      </c>
      <c r="B9" s="2218" t="s">
        <v>20</v>
      </c>
      <c r="C9" s="501"/>
      <c r="D9" s="502">
        <v>1</v>
      </c>
      <c r="E9" s="502">
        <f>+D9+1</f>
        <v>2</v>
      </c>
      <c r="F9" s="502">
        <f t="shared" ref="F9:AH9" si="0">+E9+1</f>
        <v>3</v>
      </c>
      <c r="G9" s="736">
        <f t="shared" si="0"/>
        <v>4</v>
      </c>
      <c r="H9" s="502">
        <f t="shared" si="0"/>
        <v>5</v>
      </c>
      <c r="I9" s="502">
        <f t="shared" si="0"/>
        <v>6</v>
      </c>
      <c r="J9" s="502">
        <f t="shared" si="0"/>
        <v>7</v>
      </c>
      <c r="K9" s="502">
        <f t="shared" si="0"/>
        <v>8</v>
      </c>
      <c r="L9" s="502">
        <f t="shared" si="0"/>
        <v>9</v>
      </c>
      <c r="M9" s="502">
        <f t="shared" si="0"/>
        <v>10</v>
      </c>
      <c r="N9" s="736">
        <f t="shared" si="0"/>
        <v>11</v>
      </c>
      <c r="O9" s="502">
        <f t="shared" si="0"/>
        <v>12</v>
      </c>
      <c r="P9" s="502">
        <f t="shared" si="0"/>
        <v>13</v>
      </c>
      <c r="Q9" s="502">
        <f t="shared" si="0"/>
        <v>14</v>
      </c>
      <c r="R9" s="502">
        <f t="shared" si="0"/>
        <v>15</v>
      </c>
      <c r="S9" s="502">
        <f t="shared" si="0"/>
        <v>16</v>
      </c>
      <c r="T9" s="502">
        <f t="shared" si="0"/>
        <v>17</v>
      </c>
      <c r="U9" s="736">
        <f t="shared" si="0"/>
        <v>18</v>
      </c>
      <c r="V9" s="502">
        <f t="shared" si="0"/>
        <v>19</v>
      </c>
      <c r="W9" s="502">
        <f t="shared" si="0"/>
        <v>20</v>
      </c>
      <c r="X9" s="502">
        <f t="shared" si="0"/>
        <v>21</v>
      </c>
      <c r="Y9" s="502">
        <f t="shared" si="0"/>
        <v>22</v>
      </c>
      <c r="Z9" s="502">
        <f t="shared" si="0"/>
        <v>23</v>
      </c>
      <c r="AA9" s="502">
        <f t="shared" si="0"/>
        <v>24</v>
      </c>
      <c r="AB9" s="736">
        <f t="shared" si="0"/>
        <v>25</v>
      </c>
      <c r="AC9" s="502">
        <f t="shared" si="0"/>
        <v>26</v>
      </c>
      <c r="AD9" s="502">
        <f t="shared" si="0"/>
        <v>27</v>
      </c>
      <c r="AE9" s="502">
        <f t="shared" si="0"/>
        <v>28</v>
      </c>
      <c r="AF9" s="762">
        <f t="shared" si="0"/>
        <v>29</v>
      </c>
      <c r="AG9" s="502">
        <f t="shared" si="0"/>
        <v>30</v>
      </c>
      <c r="AH9" s="502">
        <f t="shared" si="0"/>
        <v>31</v>
      </c>
      <c r="AI9" s="504" t="s">
        <v>359</v>
      </c>
      <c r="AJ9" s="672" t="s">
        <v>26</v>
      </c>
      <c r="AK9" s="671" t="s">
        <v>1822</v>
      </c>
      <c r="AL9" s="671" t="s">
        <v>1821</v>
      </c>
      <c r="AM9" s="505" t="s">
        <v>25</v>
      </c>
    </row>
    <row r="10" spans="1:39" ht="13.5" thickBot="1">
      <c r="A10" s="2219"/>
      <c r="B10" s="2219"/>
      <c r="C10" s="506" t="s">
        <v>286</v>
      </c>
      <c r="D10" s="507" t="s">
        <v>305</v>
      </c>
      <c r="E10" s="507" t="s">
        <v>305</v>
      </c>
      <c r="F10" s="507" t="s">
        <v>305</v>
      </c>
      <c r="G10" s="737" t="s">
        <v>305</v>
      </c>
      <c r="H10" s="507" t="s">
        <v>305</v>
      </c>
      <c r="I10" s="507" t="s">
        <v>305</v>
      </c>
      <c r="J10" s="507" t="s">
        <v>305</v>
      </c>
      <c r="K10" s="507" t="s">
        <v>305</v>
      </c>
      <c r="L10" s="507" t="s">
        <v>305</v>
      </c>
      <c r="M10" s="507" t="s">
        <v>305</v>
      </c>
      <c r="N10" s="737" t="s">
        <v>305</v>
      </c>
      <c r="O10" s="507" t="s">
        <v>305</v>
      </c>
      <c r="P10" s="507" t="s">
        <v>305</v>
      </c>
      <c r="Q10" s="507" t="s">
        <v>305</v>
      </c>
      <c r="R10" s="507" t="s">
        <v>305</v>
      </c>
      <c r="S10" s="507" t="s">
        <v>305</v>
      </c>
      <c r="T10" s="507" t="s">
        <v>305</v>
      </c>
      <c r="U10" s="737" t="s">
        <v>305</v>
      </c>
      <c r="V10" s="507" t="s">
        <v>305</v>
      </c>
      <c r="W10" s="507" t="s">
        <v>305</v>
      </c>
      <c r="X10" s="507" t="s">
        <v>305</v>
      </c>
      <c r="Y10" s="507" t="s">
        <v>305</v>
      </c>
      <c r="Z10" s="507" t="s">
        <v>305</v>
      </c>
      <c r="AA10" s="507" t="s">
        <v>305</v>
      </c>
      <c r="AB10" s="737" t="s">
        <v>305</v>
      </c>
      <c r="AC10" s="507" t="s">
        <v>305</v>
      </c>
      <c r="AD10" s="507" t="s">
        <v>305</v>
      </c>
      <c r="AE10" s="507" t="s">
        <v>305</v>
      </c>
      <c r="AF10" s="763" t="s">
        <v>305</v>
      </c>
      <c r="AG10" s="507" t="s">
        <v>305</v>
      </c>
      <c r="AH10" s="507" t="s">
        <v>305</v>
      </c>
      <c r="AI10" s="509" t="s">
        <v>287</v>
      </c>
      <c r="AJ10" s="668" t="s">
        <v>287</v>
      </c>
      <c r="AK10" s="671"/>
      <c r="AL10" s="671"/>
      <c r="AM10" s="505"/>
    </row>
    <row r="11" spans="1:39" s="518" customFormat="1">
      <c r="A11" s="716" t="s">
        <v>33</v>
      </c>
      <c r="B11" s="717" t="s">
        <v>1132</v>
      </c>
      <c r="C11" s="558"/>
      <c r="D11" s="510"/>
      <c r="E11" s="511"/>
      <c r="F11" s="511"/>
      <c r="G11" s="738"/>
      <c r="H11" s="511"/>
      <c r="I11" s="512"/>
      <c r="J11" s="512"/>
      <c r="K11" s="512"/>
      <c r="L11" s="514"/>
      <c r="M11" s="514"/>
      <c r="N11" s="756"/>
      <c r="O11" s="514"/>
      <c r="P11" s="514"/>
      <c r="Q11" s="514"/>
      <c r="R11" s="514"/>
      <c r="S11" s="514"/>
      <c r="T11" s="514"/>
      <c r="U11" s="756"/>
      <c r="V11" s="514"/>
      <c r="W11" s="514"/>
      <c r="X11" s="514"/>
      <c r="Y11" s="514"/>
      <c r="Z11" s="514"/>
      <c r="AA11" s="514"/>
      <c r="AB11" s="756"/>
      <c r="AC11" s="514"/>
      <c r="AD11" s="514"/>
      <c r="AE11" s="514"/>
      <c r="AF11" s="764"/>
      <c r="AG11" s="514"/>
      <c r="AH11" s="514"/>
      <c r="AI11" s="664">
        <f t="shared" ref="AI11:AI23" si="1">ROUND((SUM(D11:AG11)),2)</f>
        <v>0</v>
      </c>
      <c r="AJ11" s="521"/>
      <c r="AK11" s="520"/>
      <c r="AL11" s="673"/>
      <c r="AM11" s="670"/>
    </row>
    <row r="12" spans="1:39" s="500" customFormat="1">
      <c r="A12" s="718" t="s">
        <v>35</v>
      </c>
      <c r="B12" s="719" t="s">
        <v>1133</v>
      </c>
      <c r="C12" s="529"/>
      <c r="D12" s="519"/>
      <c r="E12" s="520"/>
      <c r="F12" s="520"/>
      <c r="G12" s="726"/>
      <c r="H12" s="520"/>
      <c r="I12" s="521"/>
      <c r="J12" s="521"/>
      <c r="K12" s="521"/>
      <c r="L12" s="514"/>
      <c r="M12" s="514"/>
      <c r="N12" s="756"/>
      <c r="O12" s="514"/>
      <c r="P12" s="514"/>
      <c r="Q12" s="514"/>
      <c r="R12" s="514"/>
      <c r="S12" s="514"/>
      <c r="T12" s="514"/>
      <c r="U12" s="756"/>
      <c r="V12" s="514"/>
      <c r="W12" s="514"/>
      <c r="X12" s="514"/>
      <c r="Y12" s="514"/>
      <c r="Z12" s="514"/>
      <c r="AA12" s="514"/>
      <c r="AB12" s="756"/>
      <c r="AC12" s="514"/>
      <c r="AD12" s="514"/>
      <c r="AE12" s="514"/>
      <c r="AF12" s="764"/>
      <c r="AG12" s="514"/>
      <c r="AH12" s="514"/>
      <c r="AI12" s="664">
        <f t="shared" si="1"/>
        <v>0</v>
      </c>
      <c r="AJ12" s="521"/>
      <c r="AK12" s="520"/>
      <c r="AL12" s="672"/>
      <c r="AM12" s="667"/>
    </row>
    <row r="13" spans="1:39" s="500" customFormat="1">
      <c r="A13" s="720" t="s">
        <v>537</v>
      </c>
      <c r="B13" s="721" t="s">
        <v>1134</v>
      </c>
      <c r="C13" s="524" t="s">
        <v>64</v>
      </c>
      <c r="D13" s="519">
        <v>0.1</v>
      </c>
      <c r="E13" s="520">
        <v>0.1</v>
      </c>
      <c r="F13" s="520">
        <v>0.05</v>
      </c>
      <c r="G13" s="726"/>
      <c r="H13" s="520">
        <v>0.1</v>
      </c>
      <c r="I13" s="520">
        <v>0.1</v>
      </c>
      <c r="J13" s="520"/>
      <c r="K13" s="520"/>
      <c r="L13" s="757">
        <v>0.1</v>
      </c>
      <c r="M13" s="757">
        <v>0.05</v>
      </c>
      <c r="N13" s="756"/>
      <c r="O13" s="757">
        <v>0.1</v>
      </c>
      <c r="P13" s="757"/>
      <c r="Q13" s="757"/>
      <c r="R13" s="757"/>
      <c r="S13" s="757"/>
      <c r="T13" s="757"/>
      <c r="U13" s="756"/>
      <c r="V13" s="514"/>
      <c r="W13" s="514"/>
      <c r="X13" s="514"/>
      <c r="Y13" s="514"/>
      <c r="Z13" s="514"/>
      <c r="AA13" s="514"/>
      <c r="AB13" s="756"/>
      <c r="AC13" s="514"/>
      <c r="AD13" s="514"/>
      <c r="AE13" s="514"/>
      <c r="AF13" s="764"/>
      <c r="AG13" s="514"/>
      <c r="AH13" s="514"/>
      <c r="AI13" s="786">
        <f t="shared" si="1"/>
        <v>0.7</v>
      </c>
      <c r="AJ13" s="521">
        <v>0</v>
      </c>
      <c r="AK13" s="520">
        <f>AI13+AJ13</f>
        <v>0.7</v>
      </c>
      <c r="AL13" s="672" t="s">
        <v>1455</v>
      </c>
      <c r="AM13" s="669">
        <f>AL13-AK13</f>
        <v>0.30000000000000004</v>
      </c>
    </row>
    <row r="14" spans="1:39" s="500" customFormat="1">
      <c r="A14" s="718" t="s">
        <v>545</v>
      </c>
      <c r="B14" s="719" t="s">
        <v>1142</v>
      </c>
      <c r="C14" s="524"/>
      <c r="D14" s="519"/>
      <c r="E14" s="520"/>
      <c r="F14" s="520"/>
      <c r="G14" s="726"/>
      <c r="H14" s="520"/>
      <c r="I14" s="521"/>
      <c r="J14" s="521"/>
      <c r="K14" s="521"/>
      <c r="L14" s="514"/>
      <c r="M14" s="514"/>
      <c r="N14" s="756"/>
      <c r="O14" s="514"/>
      <c r="P14" s="514" t="s">
        <v>1951</v>
      </c>
      <c r="Q14" s="514" t="s">
        <v>1951</v>
      </c>
      <c r="R14" s="514" t="s">
        <v>1951</v>
      </c>
      <c r="S14" s="514"/>
      <c r="T14" s="514"/>
      <c r="U14" s="756"/>
      <c r="V14" s="756" t="s">
        <v>1951</v>
      </c>
      <c r="W14" s="756" t="s">
        <v>1951</v>
      </c>
      <c r="X14" s="756" t="s">
        <v>1951</v>
      </c>
      <c r="Y14" s="756"/>
      <c r="Z14" s="756" t="s">
        <v>1951</v>
      </c>
      <c r="AA14" s="756" t="s">
        <v>1951</v>
      </c>
      <c r="AB14" s="756"/>
      <c r="AC14" s="756" t="s">
        <v>1951</v>
      </c>
      <c r="AD14" s="514"/>
      <c r="AE14" s="756" t="s">
        <v>1951</v>
      </c>
      <c r="AF14" s="764"/>
      <c r="AG14" s="514"/>
      <c r="AH14" s="514"/>
      <c r="AI14" s="664">
        <f t="shared" si="1"/>
        <v>0</v>
      </c>
      <c r="AJ14" s="521">
        <v>0</v>
      </c>
      <c r="AK14" s="520">
        <f t="shared" ref="AK14:AK23" si="2">AI14+AJ14</f>
        <v>0</v>
      </c>
      <c r="AL14" s="672"/>
      <c r="AM14" s="669">
        <f t="shared" ref="AM14:AM23" si="3">AL14-AK14</f>
        <v>0</v>
      </c>
    </row>
    <row r="15" spans="1:39" s="518" customFormat="1">
      <c r="A15" s="720" t="s">
        <v>546</v>
      </c>
      <c r="B15" s="659" t="s">
        <v>1143</v>
      </c>
      <c r="C15" s="524" t="s">
        <v>64</v>
      </c>
      <c r="D15" s="525"/>
      <c r="E15" s="526"/>
      <c r="F15" s="526"/>
      <c r="G15" s="731"/>
      <c r="H15" s="754">
        <v>0.12</v>
      </c>
      <c r="I15" s="527"/>
      <c r="J15" s="527"/>
      <c r="K15" s="527"/>
      <c r="L15" s="514"/>
      <c r="M15" s="514"/>
      <c r="N15" s="756"/>
      <c r="O15" s="514"/>
      <c r="P15" s="514"/>
      <c r="Q15" s="514"/>
      <c r="R15" s="514"/>
      <c r="S15" s="514"/>
      <c r="T15" s="514"/>
      <c r="U15" s="756"/>
      <c r="V15" s="514"/>
      <c r="W15" s="514"/>
      <c r="X15" s="514"/>
      <c r="Y15" s="514"/>
      <c r="Z15" s="514"/>
      <c r="AA15" s="514"/>
      <c r="AB15" s="756"/>
      <c r="AC15" s="514"/>
      <c r="AD15" s="514"/>
      <c r="AE15" s="514"/>
      <c r="AF15" s="764"/>
      <c r="AG15" s="514"/>
      <c r="AH15" s="514"/>
      <c r="AI15" s="786">
        <f t="shared" si="1"/>
        <v>0.12</v>
      </c>
      <c r="AJ15" s="521">
        <v>0</v>
      </c>
      <c r="AK15" s="520">
        <f t="shared" si="2"/>
        <v>0.12</v>
      </c>
      <c r="AL15" s="673" t="s">
        <v>1455</v>
      </c>
      <c r="AM15" s="669">
        <f t="shared" si="3"/>
        <v>0.88</v>
      </c>
    </row>
    <row r="16" spans="1:39" s="500" customFormat="1">
      <c r="A16" s="720" t="s">
        <v>547</v>
      </c>
      <c r="B16" s="659" t="s">
        <v>1144</v>
      </c>
      <c r="C16" s="524" t="s">
        <v>64</v>
      </c>
      <c r="D16" s="519"/>
      <c r="E16" s="520"/>
      <c r="F16" s="520"/>
      <c r="G16" s="726"/>
      <c r="H16" s="520"/>
      <c r="I16" s="521"/>
      <c r="J16" s="521"/>
      <c r="K16" s="521"/>
      <c r="L16" s="757">
        <v>0.1</v>
      </c>
      <c r="M16" s="514"/>
      <c r="N16" s="756"/>
      <c r="O16" s="514"/>
      <c r="P16" s="514"/>
      <c r="Q16" s="514"/>
      <c r="R16" s="514"/>
      <c r="S16" s="514"/>
      <c r="T16" s="514"/>
      <c r="U16" s="756"/>
      <c r="V16" s="514"/>
      <c r="W16" s="514"/>
      <c r="X16" s="514"/>
      <c r="Y16" s="514"/>
      <c r="Z16" s="514"/>
      <c r="AA16" s="514"/>
      <c r="AB16" s="756"/>
      <c r="AC16" s="514"/>
      <c r="AD16" s="514"/>
      <c r="AE16" s="514"/>
      <c r="AF16" s="764"/>
      <c r="AG16" s="514"/>
      <c r="AH16" s="514"/>
      <c r="AI16" s="786">
        <f t="shared" si="1"/>
        <v>0.1</v>
      </c>
      <c r="AJ16" s="521">
        <v>0</v>
      </c>
      <c r="AK16" s="520">
        <f t="shared" si="2"/>
        <v>0.1</v>
      </c>
      <c r="AL16" s="672" t="s">
        <v>1455</v>
      </c>
      <c r="AM16" s="669">
        <f t="shared" si="3"/>
        <v>0.9</v>
      </c>
    </row>
    <row r="17" spans="1:39" s="500" customFormat="1">
      <c r="A17" s="718" t="s">
        <v>548</v>
      </c>
      <c r="B17" s="719" t="s">
        <v>1145</v>
      </c>
      <c r="C17" s="524"/>
      <c r="D17" s="519"/>
      <c r="E17" s="520"/>
      <c r="F17" s="520"/>
      <c r="G17" s="726"/>
      <c r="H17" s="520"/>
      <c r="I17" s="521"/>
      <c r="J17" s="521"/>
      <c r="K17" s="521"/>
      <c r="L17" s="514"/>
      <c r="M17" s="514"/>
      <c r="N17" s="756"/>
      <c r="O17" s="514"/>
      <c r="P17" s="514"/>
      <c r="Q17" s="514"/>
      <c r="R17" s="514"/>
      <c r="S17" s="514"/>
      <c r="T17" s="514"/>
      <c r="U17" s="756"/>
      <c r="V17" s="514"/>
      <c r="W17" s="514"/>
      <c r="X17" s="514"/>
      <c r="Y17" s="514"/>
      <c r="Z17" s="514"/>
      <c r="AA17" s="514"/>
      <c r="AB17" s="756"/>
      <c r="AC17" s="514"/>
      <c r="AD17" s="514"/>
      <c r="AE17" s="514"/>
      <c r="AF17" s="764"/>
      <c r="AG17" s="514"/>
      <c r="AH17" s="514"/>
      <c r="AI17" s="664">
        <f t="shared" si="1"/>
        <v>0</v>
      </c>
      <c r="AJ17" s="521">
        <v>0</v>
      </c>
      <c r="AK17" s="520">
        <f t="shared" si="2"/>
        <v>0</v>
      </c>
      <c r="AL17" s="672"/>
      <c r="AM17" s="669">
        <f t="shared" si="3"/>
        <v>0</v>
      </c>
    </row>
    <row r="18" spans="1:39" s="500" customFormat="1">
      <c r="A18" s="720" t="s">
        <v>550</v>
      </c>
      <c r="B18" s="659" t="s">
        <v>1948</v>
      </c>
      <c r="C18" s="524" t="s">
        <v>37</v>
      </c>
      <c r="D18" s="519"/>
      <c r="E18" s="520"/>
      <c r="F18" s="520"/>
      <c r="G18" s="726"/>
      <c r="H18" s="520"/>
      <c r="I18" s="521"/>
      <c r="J18" s="521"/>
      <c r="K18" s="521"/>
      <c r="L18" s="514"/>
      <c r="M18" s="514"/>
      <c r="N18" s="756"/>
      <c r="O18" s="514"/>
      <c r="P18" s="514"/>
      <c r="Q18" s="514"/>
      <c r="R18" s="514"/>
      <c r="S18" s="514"/>
      <c r="T18" s="514"/>
      <c r="U18" s="756"/>
      <c r="V18" s="514"/>
      <c r="W18" s="514">
        <f>11.52*7.28</f>
        <v>83.865600000000001</v>
      </c>
      <c r="X18" s="757">
        <f>8*((3.733*3.0745)/(2))+3.0884*2.4294+4.98*3.09</f>
        <v>68.799592959999998</v>
      </c>
      <c r="Y18" s="514"/>
      <c r="Z18" s="514"/>
      <c r="AA18" s="514"/>
      <c r="AB18" s="756"/>
      <c r="AC18" s="514"/>
      <c r="AD18" s="514"/>
      <c r="AE18" s="514"/>
      <c r="AF18" s="764"/>
      <c r="AG18" s="514"/>
      <c r="AH18" s="514"/>
      <c r="AI18" s="786">
        <f t="shared" si="1"/>
        <v>152.66999999999999</v>
      </c>
      <c r="AJ18" s="521">
        <v>154.35</v>
      </c>
      <c r="AK18" s="520">
        <f>AI18+AJ18</f>
        <v>307.02</v>
      </c>
      <c r="AL18" s="672" t="s">
        <v>1456</v>
      </c>
      <c r="AM18" s="669">
        <f>AL18-AK18</f>
        <v>349.78</v>
      </c>
    </row>
    <row r="19" spans="1:39" s="500" customFormat="1">
      <c r="A19" s="718" t="s">
        <v>551</v>
      </c>
      <c r="B19" s="719" t="s">
        <v>1147</v>
      </c>
      <c r="C19" s="524"/>
      <c r="D19" s="519"/>
      <c r="E19" s="520"/>
      <c r="F19" s="520"/>
      <c r="G19" s="726"/>
      <c r="H19" s="520"/>
      <c r="I19" s="521"/>
      <c r="J19" s="521"/>
      <c r="K19" s="521"/>
      <c r="L19" s="514"/>
      <c r="M19" s="514"/>
      <c r="N19" s="756"/>
      <c r="O19" s="514"/>
      <c r="P19" s="514"/>
      <c r="Q19" s="514"/>
      <c r="R19" s="514"/>
      <c r="S19" s="514"/>
      <c r="T19" s="514"/>
      <c r="U19" s="756"/>
      <c r="V19" s="514"/>
      <c r="W19" s="514"/>
      <c r="X19" s="514"/>
      <c r="Y19" s="514"/>
      <c r="Z19" s="514"/>
      <c r="AA19" s="514"/>
      <c r="AB19" s="756"/>
      <c r="AC19" s="514"/>
      <c r="AD19" s="514"/>
      <c r="AE19" s="514"/>
      <c r="AF19" s="764"/>
      <c r="AG19" s="514"/>
      <c r="AH19" s="514"/>
      <c r="AI19" s="664">
        <f t="shared" si="1"/>
        <v>0</v>
      </c>
      <c r="AJ19" s="521">
        <v>0</v>
      </c>
      <c r="AK19" s="520">
        <f t="shared" si="2"/>
        <v>0</v>
      </c>
      <c r="AL19" s="672"/>
      <c r="AM19" s="669">
        <f t="shared" si="3"/>
        <v>0</v>
      </c>
    </row>
    <row r="20" spans="1:39" s="500" customFormat="1">
      <c r="A20" s="720" t="s">
        <v>553</v>
      </c>
      <c r="B20" s="659" t="s">
        <v>1149</v>
      </c>
      <c r="C20" s="524" t="s">
        <v>36</v>
      </c>
      <c r="D20" s="528"/>
      <c r="E20" s="521"/>
      <c r="F20" s="521"/>
      <c r="G20" s="725"/>
      <c r="H20" s="520"/>
      <c r="I20" s="725">
        <v>15</v>
      </c>
      <c r="J20" s="521"/>
      <c r="K20" s="521"/>
      <c r="L20" s="514"/>
      <c r="M20" s="514"/>
      <c r="N20" s="756"/>
      <c r="O20" s="514"/>
      <c r="P20" s="514"/>
      <c r="Q20" s="514"/>
      <c r="R20" s="514"/>
      <c r="S20" s="514"/>
      <c r="T20" s="514"/>
      <c r="U20" s="756"/>
      <c r="V20" s="514"/>
      <c r="W20" s="514"/>
      <c r="X20" s="514"/>
      <c r="Y20" s="514"/>
      <c r="Z20" s="514"/>
      <c r="AA20" s="514"/>
      <c r="AB20" s="756"/>
      <c r="AC20" s="514"/>
      <c r="AD20" s="514"/>
      <c r="AE20" s="514"/>
      <c r="AF20" s="764"/>
      <c r="AG20" s="514"/>
      <c r="AH20" s="514"/>
      <c r="AI20" s="786">
        <f t="shared" si="1"/>
        <v>15</v>
      </c>
      <c r="AJ20" s="521">
        <v>0</v>
      </c>
      <c r="AK20" s="520">
        <f t="shared" si="2"/>
        <v>15</v>
      </c>
      <c r="AL20" s="672" t="s">
        <v>1459</v>
      </c>
      <c r="AM20" s="669">
        <f t="shared" si="3"/>
        <v>15</v>
      </c>
    </row>
    <row r="21" spans="1:39" s="500" customFormat="1">
      <c r="A21" s="720" t="s">
        <v>554</v>
      </c>
      <c r="B21" s="659" t="s">
        <v>1150</v>
      </c>
      <c r="C21" s="524" t="s">
        <v>64</v>
      </c>
      <c r="D21" s="528"/>
      <c r="E21" s="521"/>
      <c r="F21" s="521"/>
      <c r="G21" s="725"/>
      <c r="H21" s="520"/>
      <c r="I21" s="521">
        <v>0.5</v>
      </c>
      <c r="J21" s="521"/>
      <c r="K21" s="521"/>
      <c r="L21" s="514"/>
      <c r="M21" s="514"/>
      <c r="N21" s="756"/>
      <c r="O21" s="514"/>
      <c r="P21" s="514"/>
      <c r="Q21" s="514"/>
      <c r="R21" s="514"/>
      <c r="S21" s="514"/>
      <c r="T21" s="514"/>
      <c r="U21" s="756"/>
      <c r="V21" s="514"/>
      <c r="W21" s="514"/>
      <c r="X21" s="514"/>
      <c r="Y21" s="514"/>
      <c r="Z21" s="514"/>
      <c r="AA21" s="514"/>
      <c r="AB21" s="756"/>
      <c r="AC21" s="514"/>
      <c r="AD21" s="514"/>
      <c r="AE21" s="514"/>
      <c r="AF21" s="764"/>
      <c r="AG21" s="514"/>
      <c r="AH21" s="514"/>
      <c r="AI21" s="786">
        <f t="shared" si="1"/>
        <v>0.5</v>
      </c>
      <c r="AJ21" s="521">
        <v>0</v>
      </c>
      <c r="AK21" s="520">
        <f t="shared" si="2"/>
        <v>0.5</v>
      </c>
      <c r="AL21" s="672" t="s">
        <v>1455</v>
      </c>
      <c r="AM21" s="669">
        <f t="shared" si="3"/>
        <v>0.5</v>
      </c>
    </row>
    <row r="22" spans="1:39" s="730" customFormat="1">
      <c r="A22" s="720" t="s">
        <v>555</v>
      </c>
      <c r="B22" s="659" t="s">
        <v>1151</v>
      </c>
      <c r="C22" s="660" t="s">
        <v>64</v>
      </c>
      <c r="D22" s="528"/>
      <c r="E22" s="521"/>
      <c r="F22" s="521"/>
      <c r="G22" s="725"/>
      <c r="H22" s="520"/>
      <c r="I22" s="521"/>
      <c r="J22" s="521"/>
      <c r="K22" s="521"/>
      <c r="L22" s="514"/>
      <c r="M22" s="514"/>
      <c r="N22" s="756"/>
      <c r="O22" s="514"/>
      <c r="P22" s="514"/>
      <c r="Q22" s="514"/>
      <c r="R22" s="514"/>
      <c r="S22" s="514"/>
      <c r="T22" s="514"/>
      <c r="U22" s="756"/>
      <c r="V22" s="514"/>
      <c r="W22" s="514"/>
      <c r="X22" s="514"/>
      <c r="Y22" s="514"/>
      <c r="Z22" s="514"/>
      <c r="AA22" s="514"/>
      <c r="AB22" s="756"/>
      <c r="AC22" s="514"/>
      <c r="AD22" s="757">
        <v>0.5</v>
      </c>
      <c r="AE22" s="514"/>
      <c r="AF22" s="764"/>
      <c r="AG22" s="514"/>
      <c r="AH22" s="514"/>
      <c r="AI22" s="786">
        <f t="shared" si="1"/>
        <v>0.5</v>
      </c>
      <c r="AJ22" s="725">
        <v>0</v>
      </c>
      <c r="AK22" s="726">
        <f t="shared" si="2"/>
        <v>0.5</v>
      </c>
      <c r="AL22" s="728" t="s">
        <v>1455</v>
      </c>
      <c r="AM22" s="729">
        <f t="shared" si="3"/>
        <v>0.5</v>
      </c>
    </row>
    <row r="23" spans="1:39" s="500" customFormat="1">
      <c r="A23" s="718" t="s">
        <v>42</v>
      </c>
      <c r="B23" s="719" t="s">
        <v>1154</v>
      </c>
      <c r="C23" s="524"/>
      <c r="D23" s="519"/>
      <c r="E23" s="520"/>
      <c r="F23" s="520"/>
      <c r="G23" s="726"/>
      <c r="H23" s="520"/>
      <c r="I23" s="521"/>
      <c r="J23" s="521"/>
      <c r="K23" s="521"/>
      <c r="L23" s="514"/>
      <c r="M23" s="514"/>
      <c r="N23" s="756"/>
      <c r="O23" s="514"/>
      <c r="P23" s="514"/>
      <c r="Q23" s="514"/>
      <c r="R23" s="514"/>
      <c r="S23" s="514"/>
      <c r="T23" s="514"/>
      <c r="U23" s="756"/>
      <c r="V23" s="514"/>
      <c r="W23" s="514"/>
      <c r="X23" s="514"/>
      <c r="Y23" s="514"/>
      <c r="Z23" s="514"/>
      <c r="AA23" s="514"/>
      <c r="AB23" s="756"/>
      <c r="AC23" s="514"/>
      <c r="AD23" s="514"/>
      <c r="AE23" s="514"/>
      <c r="AF23" s="764"/>
      <c r="AG23" s="514"/>
      <c r="AH23" s="514"/>
      <c r="AI23" s="664">
        <f t="shared" si="1"/>
        <v>0</v>
      </c>
      <c r="AJ23" s="521">
        <v>0</v>
      </c>
      <c r="AK23" s="520">
        <f t="shared" si="2"/>
        <v>0</v>
      </c>
      <c r="AL23" s="672"/>
      <c r="AM23" s="669">
        <f t="shared" si="3"/>
        <v>0</v>
      </c>
    </row>
    <row r="24" spans="1:39" s="500" customFormat="1">
      <c r="A24" s="718" t="s">
        <v>44</v>
      </c>
      <c r="B24" s="719" t="s">
        <v>1202</v>
      </c>
      <c r="C24" s="524"/>
      <c r="D24" s="519"/>
      <c r="E24" s="520"/>
      <c r="F24" s="520"/>
      <c r="G24" s="726"/>
      <c r="H24" s="520"/>
      <c r="I24" s="521"/>
      <c r="J24" s="521"/>
      <c r="K24" s="521"/>
      <c r="L24" s="514"/>
      <c r="M24" s="514"/>
      <c r="N24" s="756"/>
      <c r="O24" s="514"/>
      <c r="P24" s="514"/>
      <c r="Q24" s="514"/>
      <c r="R24" s="514"/>
      <c r="S24" s="514"/>
      <c r="T24" s="514"/>
      <c r="U24" s="756"/>
      <c r="V24" s="514"/>
      <c r="W24" s="514"/>
      <c r="X24" s="514"/>
      <c r="Y24" s="514"/>
      <c r="Z24" s="514"/>
      <c r="AA24" s="514"/>
      <c r="AB24" s="756"/>
      <c r="AC24" s="514"/>
      <c r="AD24" s="514"/>
      <c r="AE24" s="514"/>
      <c r="AF24" s="764"/>
      <c r="AG24" s="514"/>
      <c r="AH24" s="514"/>
      <c r="AI24" s="664">
        <f t="shared" ref="AI24:AI36" si="4">ROUND((SUM(D24:AG24)),2)</f>
        <v>0</v>
      </c>
      <c r="AJ24" s="521">
        <v>0</v>
      </c>
      <c r="AK24" s="520">
        <f t="shared" ref="AK24:AK38" si="5">AI24+AJ24</f>
        <v>0</v>
      </c>
      <c r="AL24" s="672"/>
      <c r="AM24" s="669">
        <f t="shared" ref="AM24:AM38" si="6">AL24-AK24</f>
        <v>0</v>
      </c>
    </row>
    <row r="25" spans="1:39" s="500" customFormat="1">
      <c r="A25" s="539" t="s">
        <v>55</v>
      </c>
      <c r="B25" s="719" t="s">
        <v>1162</v>
      </c>
      <c r="C25" s="524"/>
      <c r="D25" s="519"/>
      <c r="E25" s="520"/>
      <c r="F25" s="520"/>
      <c r="G25" s="726"/>
      <c r="H25" s="520"/>
      <c r="I25" s="521"/>
      <c r="J25" s="521"/>
      <c r="K25" s="521"/>
      <c r="L25" s="514"/>
      <c r="M25" s="514"/>
      <c r="N25" s="756"/>
      <c r="O25" s="514"/>
      <c r="P25" s="514"/>
      <c r="Q25" s="514"/>
      <c r="R25" s="514"/>
      <c r="S25" s="514"/>
      <c r="T25" s="514"/>
      <c r="U25" s="756"/>
      <c r="V25" s="514"/>
      <c r="W25" s="514"/>
      <c r="X25" s="514"/>
      <c r="Y25" s="514"/>
      <c r="Z25" s="514"/>
      <c r="AA25" s="514"/>
      <c r="AB25" s="756"/>
      <c r="AC25" s="514"/>
      <c r="AD25" s="514"/>
      <c r="AE25" s="514"/>
      <c r="AF25" s="764"/>
      <c r="AG25" s="514"/>
      <c r="AH25" s="514"/>
      <c r="AI25" s="664">
        <f t="shared" si="4"/>
        <v>0</v>
      </c>
      <c r="AJ25" s="521">
        <v>0</v>
      </c>
      <c r="AK25" s="520">
        <f t="shared" si="5"/>
        <v>0</v>
      </c>
      <c r="AL25" s="672"/>
      <c r="AM25" s="669">
        <f t="shared" si="6"/>
        <v>0</v>
      </c>
    </row>
    <row r="26" spans="1:39" s="500" customFormat="1">
      <c r="A26" s="720" t="s">
        <v>611</v>
      </c>
      <c r="B26" s="659" t="s">
        <v>1203</v>
      </c>
      <c r="C26" s="524" t="s">
        <v>37</v>
      </c>
      <c r="D26" s="519"/>
      <c r="E26" s="520"/>
      <c r="F26" s="520"/>
      <c r="G26" s="726"/>
      <c r="H26" s="520"/>
      <c r="I26" s="521"/>
      <c r="J26" s="521"/>
      <c r="K26" s="521"/>
      <c r="L26" s="514"/>
      <c r="M26" s="514"/>
      <c r="N26" s="756"/>
      <c r="O26" s="514"/>
      <c r="P26" s="667">
        <f>14*1.2*1.2</f>
        <v>20.16</v>
      </c>
      <c r="Q26" s="514"/>
      <c r="R26" s="514"/>
      <c r="S26" s="514"/>
      <c r="T26" s="514"/>
      <c r="U26" s="756"/>
      <c r="V26" s="667"/>
      <c r="W26" s="667"/>
      <c r="X26" s="667"/>
      <c r="Y26" s="667"/>
      <c r="Z26" s="667"/>
      <c r="AA26" s="667"/>
      <c r="AB26" s="775"/>
      <c r="AD26" s="667"/>
      <c r="AE26" s="522">
        <f>4*1.78*0.25+2*3.85*0.25+2*1.8*0.25+4*1.78*0.25</f>
        <v>6.3850000000000007</v>
      </c>
      <c r="AF26" s="764"/>
      <c r="AG26" s="514"/>
      <c r="AH26" s="514"/>
      <c r="AI26" s="786">
        <f t="shared" si="4"/>
        <v>26.55</v>
      </c>
      <c r="AJ26" s="521">
        <v>0</v>
      </c>
      <c r="AK26" s="520">
        <f t="shared" si="5"/>
        <v>26.55</v>
      </c>
      <c r="AL26" s="672" t="s">
        <v>1499</v>
      </c>
      <c r="AM26" s="669">
        <f t="shared" si="6"/>
        <v>0</v>
      </c>
    </row>
    <row r="27" spans="1:39" s="500" customFormat="1">
      <c r="A27" s="720" t="s">
        <v>613</v>
      </c>
      <c r="B27" s="659" t="s">
        <v>1205</v>
      </c>
      <c r="C27" s="524" t="s">
        <v>40</v>
      </c>
      <c r="D27" s="519"/>
      <c r="E27" s="520"/>
      <c r="F27" s="520"/>
      <c r="G27" s="726"/>
      <c r="H27" s="520"/>
      <c r="I27" s="521"/>
      <c r="J27" s="521"/>
      <c r="K27" s="521"/>
      <c r="L27" s="514"/>
      <c r="M27" s="514"/>
      <c r="N27" s="756"/>
      <c r="O27" s="514"/>
      <c r="P27" s="514"/>
      <c r="Q27" s="514"/>
      <c r="R27" s="514"/>
      <c r="S27" s="514"/>
      <c r="T27" s="514"/>
      <c r="U27" s="756"/>
      <c r="V27" s="514"/>
      <c r="W27" s="514"/>
      <c r="X27" s="514"/>
      <c r="Y27" s="514"/>
      <c r="Z27" s="514"/>
      <c r="AA27" s="514"/>
      <c r="AB27" s="756"/>
      <c r="AC27" s="514"/>
      <c r="AD27" s="514"/>
      <c r="AE27" s="514"/>
      <c r="AF27" s="764"/>
      <c r="AG27" s="514"/>
      <c r="AH27" s="514"/>
      <c r="AI27" s="664">
        <f t="shared" si="4"/>
        <v>0</v>
      </c>
      <c r="AJ27" s="521">
        <v>0</v>
      </c>
      <c r="AK27" s="520">
        <f t="shared" si="5"/>
        <v>0</v>
      </c>
      <c r="AL27" s="672" t="s">
        <v>1501</v>
      </c>
      <c r="AM27" s="669">
        <f t="shared" si="6"/>
        <v>2.68</v>
      </c>
    </row>
    <row r="28" spans="1:39" s="500" customFormat="1">
      <c r="A28" s="718" t="s">
        <v>616</v>
      </c>
      <c r="B28" s="719" t="s">
        <v>1169</v>
      </c>
      <c r="C28" s="524"/>
      <c r="D28" s="519"/>
      <c r="E28" s="520"/>
      <c r="F28" s="520"/>
      <c r="G28" s="726"/>
      <c r="H28" s="520"/>
      <c r="I28" s="521"/>
      <c r="J28" s="521"/>
      <c r="K28" s="521"/>
      <c r="L28" s="514"/>
      <c r="M28" s="514"/>
      <c r="N28" s="756"/>
      <c r="O28" s="514"/>
      <c r="P28" s="514"/>
      <c r="Q28" s="514"/>
      <c r="R28" s="514"/>
      <c r="S28" s="514"/>
      <c r="T28" s="514"/>
      <c r="U28" s="756"/>
      <c r="V28" s="514"/>
      <c r="W28" s="514"/>
      <c r="X28" s="514"/>
      <c r="Y28" s="514"/>
      <c r="Z28" s="514"/>
      <c r="AA28" s="514"/>
      <c r="AB28" s="756"/>
      <c r="AC28" s="514"/>
      <c r="AD28" s="514"/>
      <c r="AE28" s="514"/>
      <c r="AF28" s="764"/>
      <c r="AG28" s="514"/>
      <c r="AH28" s="514"/>
      <c r="AI28" s="664">
        <f t="shared" si="4"/>
        <v>0</v>
      </c>
      <c r="AJ28" s="521">
        <v>0</v>
      </c>
      <c r="AK28" s="520">
        <f t="shared" si="5"/>
        <v>0</v>
      </c>
      <c r="AL28" s="672"/>
      <c r="AM28" s="669">
        <f t="shared" si="6"/>
        <v>0</v>
      </c>
    </row>
    <row r="29" spans="1:39" s="500" customFormat="1">
      <c r="A29" s="718" t="s">
        <v>617</v>
      </c>
      <c r="B29" s="719" t="s">
        <v>1170</v>
      </c>
      <c r="C29" s="524"/>
      <c r="D29" s="519"/>
      <c r="E29" s="520"/>
      <c r="F29" s="520"/>
      <c r="G29" s="726"/>
      <c r="H29" s="520"/>
      <c r="I29" s="521"/>
      <c r="J29" s="521"/>
      <c r="K29" s="521"/>
      <c r="L29" s="514"/>
      <c r="M29" s="514"/>
      <c r="N29" s="756"/>
      <c r="O29" s="514"/>
      <c r="P29" s="514"/>
      <c r="Q29" s="514"/>
      <c r="R29" s="514"/>
      <c r="S29" s="514"/>
      <c r="T29" s="514"/>
      <c r="U29" s="756"/>
      <c r="V29" s="514"/>
      <c r="W29" s="514"/>
      <c r="X29" s="514"/>
      <c r="Y29" s="514"/>
      <c r="Z29" s="514"/>
      <c r="AA29" s="514"/>
      <c r="AB29" s="756"/>
      <c r="AC29" s="514"/>
      <c r="AD29" s="514"/>
      <c r="AE29" s="514"/>
      <c r="AF29" s="764"/>
      <c r="AG29" s="514"/>
      <c r="AH29" s="514"/>
      <c r="AI29" s="664">
        <f t="shared" si="4"/>
        <v>0</v>
      </c>
      <c r="AJ29" s="521">
        <v>0</v>
      </c>
      <c r="AK29" s="520">
        <f t="shared" si="5"/>
        <v>0</v>
      </c>
      <c r="AL29" s="672"/>
      <c r="AM29" s="669">
        <f t="shared" si="6"/>
        <v>0</v>
      </c>
    </row>
    <row r="30" spans="1:39" s="500" customFormat="1">
      <c r="A30" s="720" t="s">
        <v>618</v>
      </c>
      <c r="B30" s="659" t="s">
        <v>1206</v>
      </c>
      <c r="C30" s="530" t="s">
        <v>40</v>
      </c>
      <c r="D30" s="519"/>
      <c r="E30" s="520"/>
      <c r="F30" s="520"/>
      <c r="G30" s="726"/>
      <c r="H30" s="520"/>
      <c r="I30" s="521"/>
      <c r="J30" s="521"/>
      <c r="K30" s="521"/>
      <c r="L30" s="514"/>
      <c r="M30" s="514"/>
      <c r="N30" s="756"/>
      <c r="O30" s="514"/>
      <c r="P30" s="514"/>
      <c r="Q30" s="514"/>
      <c r="R30" s="514"/>
      <c r="S30" s="514"/>
      <c r="T30" s="514"/>
      <c r="U30" s="756"/>
      <c r="V30" s="514"/>
      <c r="W30" s="514"/>
      <c r="X30" s="514"/>
      <c r="Y30" s="514"/>
      <c r="Z30" s="514"/>
      <c r="AA30" s="514"/>
      <c r="AB30" s="756"/>
      <c r="AC30" s="514"/>
      <c r="AD30" s="521">
        <f>14*1.2*1.2*0.4</f>
        <v>8.0640000000000001</v>
      </c>
      <c r="AF30" s="764"/>
      <c r="AG30" s="514"/>
      <c r="AH30" s="514"/>
      <c r="AI30" s="786">
        <f t="shared" si="4"/>
        <v>8.06</v>
      </c>
      <c r="AJ30" s="521">
        <v>0</v>
      </c>
      <c r="AK30" s="520">
        <f t="shared" si="5"/>
        <v>8.06</v>
      </c>
      <c r="AL30" s="672" t="s">
        <v>1503</v>
      </c>
      <c r="AM30" s="669">
        <f t="shared" si="6"/>
        <v>0</v>
      </c>
    </row>
    <row r="31" spans="1:39" s="500" customFormat="1">
      <c r="A31" s="720" t="s">
        <v>619</v>
      </c>
      <c r="B31" s="659" t="s">
        <v>1172</v>
      </c>
      <c r="C31" s="524" t="s">
        <v>48</v>
      </c>
      <c r="D31" s="519"/>
      <c r="E31" s="520"/>
      <c r="F31" s="520"/>
      <c r="G31" s="726"/>
      <c r="H31" s="520"/>
      <c r="I31" s="521"/>
      <c r="J31" s="521"/>
      <c r="K31" s="521"/>
      <c r="L31" s="514"/>
      <c r="M31" s="514"/>
      <c r="N31" s="756"/>
      <c r="O31" s="514"/>
      <c r="P31" s="514"/>
      <c r="Q31" s="514"/>
      <c r="R31" s="514"/>
      <c r="S31" s="514"/>
      <c r="T31" s="514"/>
      <c r="U31" s="756"/>
      <c r="V31" s="514"/>
      <c r="W31" s="514"/>
      <c r="X31" s="514"/>
      <c r="Y31" s="514"/>
      <c r="Z31" s="514"/>
      <c r="AA31" s="514"/>
      <c r="AB31" s="756"/>
      <c r="AC31" s="760">
        <v>337.22</v>
      </c>
      <c r="AD31" s="667"/>
      <c r="AE31" s="514"/>
      <c r="AF31" s="764"/>
      <c r="AG31" s="514"/>
      <c r="AH31" s="514"/>
      <c r="AI31" s="786">
        <f>ROUND((SUM(D31:AG31)),2)</f>
        <v>337.22</v>
      </c>
      <c r="AJ31" s="521">
        <v>0</v>
      </c>
      <c r="AK31" s="520">
        <f t="shared" si="5"/>
        <v>337.22</v>
      </c>
      <c r="AL31" s="672" t="s">
        <v>1504</v>
      </c>
      <c r="AM31" s="669">
        <f t="shared" si="6"/>
        <v>0</v>
      </c>
    </row>
    <row r="32" spans="1:39" s="500" customFormat="1">
      <c r="A32" s="718" t="s">
        <v>620</v>
      </c>
      <c r="B32" s="719" t="s">
        <v>1173</v>
      </c>
      <c r="C32" s="530"/>
      <c r="D32" s="519"/>
      <c r="E32" s="520"/>
      <c r="F32" s="520"/>
      <c r="G32" s="726"/>
      <c r="H32" s="520"/>
      <c r="I32" s="521"/>
      <c r="J32" s="521"/>
      <c r="K32" s="521"/>
      <c r="L32" s="514"/>
      <c r="M32" s="514"/>
      <c r="N32" s="756"/>
      <c r="O32" s="514"/>
      <c r="P32" s="514"/>
      <c r="Q32" s="514"/>
      <c r="R32" s="514"/>
      <c r="S32" s="514"/>
      <c r="T32" s="514"/>
      <c r="U32" s="756"/>
      <c r="V32" s="514"/>
      <c r="W32" s="514"/>
      <c r="X32" s="514"/>
      <c r="Y32" s="514"/>
      <c r="Z32" s="514"/>
      <c r="AA32" s="514"/>
      <c r="AB32" s="756"/>
      <c r="AC32" s="514"/>
      <c r="AD32" s="514"/>
      <c r="AE32" s="514"/>
      <c r="AF32" s="764"/>
      <c r="AG32" s="514"/>
      <c r="AH32" s="514"/>
      <c r="AI32" s="664">
        <f t="shared" si="4"/>
        <v>0</v>
      </c>
      <c r="AJ32" s="521">
        <v>0</v>
      </c>
      <c r="AK32" s="520">
        <f t="shared" si="5"/>
        <v>0</v>
      </c>
      <c r="AL32" s="672"/>
      <c r="AM32" s="669">
        <f t="shared" si="6"/>
        <v>0</v>
      </c>
    </row>
    <row r="33" spans="1:39" s="500" customFormat="1">
      <c r="A33" s="720" t="s">
        <v>623</v>
      </c>
      <c r="B33" s="659" t="s">
        <v>1176</v>
      </c>
      <c r="C33" s="524" t="s">
        <v>48</v>
      </c>
      <c r="D33" s="519"/>
      <c r="E33" s="520"/>
      <c r="F33" s="520"/>
      <c r="G33" s="726"/>
      <c r="H33" s="520"/>
      <c r="I33" s="521"/>
      <c r="J33" s="521"/>
      <c r="K33" s="521"/>
      <c r="L33" s="514"/>
      <c r="M33" s="514"/>
      <c r="N33" s="756"/>
      <c r="O33" s="514"/>
      <c r="P33" s="514"/>
      <c r="Q33" s="514"/>
      <c r="R33" s="514"/>
      <c r="S33" s="514"/>
      <c r="T33" s="514"/>
      <c r="U33" s="756"/>
      <c r="V33" s="514"/>
      <c r="W33" s="514"/>
      <c r="X33" s="514"/>
      <c r="Y33" s="514"/>
      <c r="Z33" s="514"/>
      <c r="AA33" s="514"/>
      <c r="AB33" s="756"/>
      <c r="AC33" s="514"/>
      <c r="AD33" s="514"/>
      <c r="AE33" s="514"/>
      <c r="AF33" s="764"/>
      <c r="AG33" s="522">
        <v>322.07</v>
      </c>
      <c r="AH33" s="514"/>
      <c r="AI33" s="786">
        <f t="shared" si="4"/>
        <v>322.07</v>
      </c>
      <c r="AJ33" s="521">
        <v>0</v>
      </c>
      <c r="AK33" s="520">
        <f t="shared" si="5"/>
        <v>322.07</v>
      </c>
      <c r="AL33" s="672" t="s">
        <v>1507</v>
      </c>
      <c r="AM33" s="669">
        <f t="shared" si="6"/>
        <v>0</v>
      </c>
    </row>
    <row r="34" spans="1:39" s="500" customFormat="1">
      <c r="A34" s="718" t="s">
        <v>624</v>
      </c>
      <c r="B34" s="719" t="s">
        <v>1177</v>
      </c>
      <c r="C34" s="524"/>
      <c r="D34" s="519"/>
      <c r="E34" s="520"/>
      <c r="F34" s="520"/>
      <c r="G34" s="726"/>
      <c r="H34" s="520"/>
      <c r="I34" s="521"/>
      <c r="J34" s="521"/>
      <c r="K34" s="521"/>
      <c r="L34" s="514"/>
      <c r="M34" s="514"/>
      <c r="N34" s="756"/>
      <c r="O34" s="514"/>
      <c r="P34" s="514"/>
      <c r="Q34" s="514"/>
      <c r="R34" s="514"/>
      <c r="S34" s="514"/>
      <c r="T34" s="514"/>
      <c r="U34" s="756"/>
      <c r="V34" s="514"/>
      <c r="W34" s="514"/>
      <c r="X34" s="514"/>
      <c r="Y34" s="514"/>
      <c r="Z34" s="514"/>
      <c r="AA34" s="514"/>
      <c r="AB34" s="756"/>
      <c r="AC34" s="514"/>
      <c r="AD34" s="514"/>
      <c r="AE34" s="514"/>
      <c r="AF34" s="764"/>
      <c r="AG34" s="514"/>
      <c r="AH34" s="514"/>
      <c r="AI34" s="664">
        <f t="shared" si="4"/>
        <v>0</v>
      </c>
      <c r="AJ34" s="521">
        <v>0</v>
      </c>
      <c r="AK34" s="520">
        <f t="shared" si="5"/>
        <v>0</v>
      </c>
      <c r="AL34" s="672"/>
      <c r="AM34" s="669">
        <f t="shared" si="6"/>
        <v>0</v>
      </c>
    </row>
    <row r="35" spans="1:39" s="500" customFormat="1">
      <c r="A35" s="720" t="s">
        <v>627</v>
      </c>
      <c r="B35" s="659" t="s">
        <v>1180</v>
      </c>
      <c r="C35" s="524" t="s">
        <v>48</v>
      </c>
      <c r="D35" s="519"/>
      <c r="E35" s="520"/>
      <c r="F35" s="520"/>
      <c r="G35" s="726"/>
      <c r="H35" s="520"/>
      <c r="I35" s="521"/>
      <c r="J35" s="521"/>
      <c r="K35" s="521"/>
      <c r="L35" s="514"/>
      <c r="M35" s="514"/>
      <c r="N35" s="756"/>
      <c r="O35" s="514"/>
      <c r="P35" s="514"/>
      <c r="Q35" s="514"/>
      <c r="R35" s="514"/>
      <c r="S35" s="514"/>
      <c r="T35" s="514"/>
      <c r="U35" s="756"/>
      <c r="V35" s="514"/>
      <c r="W35" s="514"/>
      <c r="X35" s="514"/>
      <c r="Y35" s="514"/>
      <c r="Z35" s="514"/>
      <c r="AA35" s="514"/>
      <c r="AB35" s="756"/>
      <c r="AC35" s="514"/>
      <c r="AD35" s="500">
        <f>215.2425*12</f>
        <v>2582.91</v>
      </c>
      <c r="AE35" s="757"/>
      <c r="AF35" s="766"/>
      <c r="AG35" s="514"/>
      <c r="AH35" s="514"/>
      <c r="AI35" s="786">
        <f t="shared" si="4"/>
        <v>2582.91</v>
      </c>
      <c r="AJ35" s="521">
        <v>0</v>
      </c>
      <c r="AK35" s="520">
        <f t="shared" si="5"/>
        <v>2582.91</v>
      </c>
      <c r="AL35" s="672" t="s">
        <v>1510</v>
      </c>
      <c r="AM35" s="669">
        <f t="shared" si="6"/>
        <v>0</v>
      </c>
    </row>
    <row r="36" spans="1:39" s="500" customFormat="1">
      <c r="A36" s="718" t="s">
        <v>52</v>
      </c>
      <c r="B36" s="719" t="s">
        <v>1209</v>
      </c>
      <c r="C36" s="524"/>
      <c r="D36" s="519"/>
      <c r="E36" s="520"/>
      <c r="F36" s="520"/>
      <c r="G36" s="726"/>
      <c r="H36" s="520"/>
      <c r="I36" s="521"/>
      <c r="J36" s="521"/>
      <c r="K36" s="521"/>
      <c r="L36" s="514"/>
      <c r="M36" s="514"/>
      <c r="N36" s="756"/>
      <c r="O36" s="514"/>
      <c r="P36" s="514"/>
      <c r="Q36" s="514"/>
      <c r="R36" s="514"/>
      <c r="S36" s="514"/>
      <c r="T36" s="514"/>
      <c r="U36" s="756"/>
      <c r="V36" s="514"/>
      <c r="W36" s="514"/>
      <c r="X36" s="514"/>
      <c r="Y36" s="514"/>
      <c r="Z36" s="514"/>
      <c r="AA36" s="514"/>
      <c r="AB36" s="756"/>
      <c r="AC36" s="514"/>
      <c r="AD36" s="514"/>
      <c r="AE36" s="514"/>
      <c r="AF36" s="764"/>
      <c r="AG36" s="514"/>
      <c r="AH36" s="514"/>
      <c r="AI36" s="664">
        <f t="shared" si="4"/>
        <v>0</v>
      </c>
      <c r="AJ36" s="521">
        <v>0</v>
      </c>
      <c r="AK36" s="520">
        <f t="shared" si="5"/>
        <v>0</v>
      </c>
      <c r="AL36" s="672"/>
      <c r="AM36" s="669">
        <f t="shared" si="6"/>
        <v>0</v>
      </c>
    </row>
    <row r="37" spans="1:39" s="500" customFormat="1">
      <c r="A37" s="718" t="s">
        <v>57</v>
      </c>
      <c r="B37" s="719" t="s">
        <v>1162</v>
      </c>
      <c r="C37" s="524"/>
      <c r="D37" s="519"/>
      <c r="E37" s="520"/>
      <c r="F37" s="520"/>
      <c r="G37" s="726"/>
      <c r="H37" s="520"/>
      <c r="I37" s="521"/>
      <c r="J37" s="521"/>
      <c r="K37" s="521"/>
      <c r="L37" s="514"/>
      <c r="M37" s="514"/>
      <c r="N37" s="756"/>
      <c r="O37" s="514"/>
      <c r="P37" s="514"/>
      <c r="Q37" s="514"/>
      <c r="R37" s="514"/>
      <c r="S37" s="514"/>
      <c r="T37" s="514"/>
      <c r="U37" s="756"/>
      <c r="V37" s="514"/>
      <c r="W37" s="514"/>
      <c r="X37" s="514"/>
      <c r="Y37" s="514"/>
      <c r="Z37" s="514"/>
      <c r="AA37" s="514"/>
      <c r="AB37" s="756"/>
      <c r="AC37" s="514"/>
      <c r="AD37" s="514"/>
      <c r="AE37" s="514"/>
      <c r="AF37" s="764"/>
      <c r="AG37" s="514"/>
      <c r="AH37" s="514"/>
      <c r="AI37" s="664">
        <f t="shared" ref="AI37:AI91" si="7">ROUND((SUM(D37:AG37)),2)</f>
        <v>0</v>
      </c>
      <c r="AJ37" s="521">
        <v>0</v>
      </c>
      <c r="AK37" s="520">
        <f t="shared" si="5"/>
        <v>0</v>
      </c>
      <c r="AL37" s="672"/>
      <c r="AM37" s="669">
        <f t="shared" si="6"/>
        <v>0</v>
      </c>
    </row>
    <row r="38" spans="1:39" s="518" customFormat="1">
      <c r="A38" s="720" t="s">
        <v>656</v>
      </c>
      <c r="B38" s="659" t="s">
        <v>1203</v>
      </c>
      <c r="C38" s="529" t="s">
        <v>37</v>
      </c>
      <c r="D38" s="525"/>
      <c r="E38" s="526"/>
      <c r="F38" s="526"/>
      <c r="G38" s="731"/>
      <c r="H38" s="526"/>
      <c r="I38" s="527"/>
      <c r="J38" s="527"/>
      <c r="K38" s="527"/>
      <c r="L38" s="514"/>
      <c r="M38" s="514"/>
      <c r="N38" s="756"/>
      <c r="O38" s="514"/>
      <c r="P38" s="514"/>
      <c r="Q38" s="514"/>
      <c r="R38" s="514"/>
      <c r="S38" s="514"/>
      <c r="T38" s="514"/>
      <c r="U38" s="756"/>
      <c r="V38" s="756">
        <f>11*1.2*1.2</f>
        <v>15.839999999999998</v>
      </c>
      <c r="W38" s="514"/>
      <c r="X38" s="514"/>
      <c r="Y38" s="514"/>
      <c r="Z38" s="514"/>
      <c r="AA38" s="514"/>
      <c r="AB38" s="756"/>
      <c r="AC38" s="514"/>
      <c r="AD38" s="757">
        <f>2*7.71*0.25+3*4.5*0.25</f>
        <v>7.23</v>
      </c>
      <c r="AE38" s="514"/>
      <c r="AF38" s="764"/>
      <c r="AG38" s="514"/>
      <c r="AH38" s="514"/>
      <c r="AI38" s="786">
        <f t="shared" si="7"/>
        <v>23.07</v>
      </c>
      <c r="AJ38" s="521">
        <v>0</v>
      </c>
      <c r="AK38" s="520">
        <f t="shared" si="5"/>
        <v>23.07</v>
      </c>
      <c r="AL38" s="673" t="s">
        <v>1530</v>
      </c>
      <c r="AM38" s="669">
        <f t="shared" si="6"/>
        <v>0</v>
      </c>
    </row>
    <row r="39" spans="1:39" s="500" customFormat="1">
      <c r="A39" s="723" t="s">
        <v>661</v>
      </c>
      <c r="B39" s="724" t="s">
        <v>1169</v>
      </c>
      <c r="C39" s="561"/>
      <c r="D39" s="519"/>
      <c r="E39" s="520"/>
      <c r="F39" s="520"/>
      <c r="G39" s="726"/>
      <c r="H39" s="520"/>
      <c r="I39" s="521"/>
      <c r="J39" s="521"/>
      <c r="K39" s="521"/>
      <c r="L39" s="514"/>
      <c r="M39" s="514"/>
      <c r="N39" s="756"/>
      <c r="O39" s="514"/>
      <c r="P39" s="514"/>
      <c r="Q39" s="514"/>
      <c r="R39" s="514"/>
      <c r="S39" s="514"/>
      <c r="T39" s="514"/>
      <c r="U39" s="756"/>
      <c r="V39" s="514"/>
      <c r="W39" s="514"/>
      <c r="X39" s="514"/>
      <c r="Y39" s="514"/>
      <c r="Z39" s="514"/>
      <c r="AA39" s="514"/>
      <c r="AB39" s="756"/>
      <c r="AC39" s="514"/>
      <c r="AD39" s="514"/>
      <c r="AE39" s="514"/>
      <c r="AF39" s="764"/>
      <c r="AG39" s="514"/>
      <c r="AH39" s="514"/>
      <c r="AI39" s="664">
        <f t="shared" si="7"/>
        <v>0</v>
      </c>
      <c r="AJ39" s="521">
        <v>0</v>
      </c>
      <c r="AK39" s="520">
        <f t="shared" ref="AK39:AK94" si="8">AI39+AJ39</f>
        <v>0</v>
      </c>
      <c r="AL39" s="672"/>
      <c r="AM39" s="669">
        <f t="shared" ref="AM39:AM94" si="9">AL39-AK39</f>
        <v>0</v>
      </c>
    </row>
    <row r="40" spans="1:39" s="500" customFormat="1">
      <c r="A40" s="723" t="s">
        <v>662</v>
      </c>
      <c r="B40" s="724" t="s">
        <v>1170</v>
      </c>
      <c r="C40" s="561"/>
      <c r="D40" s="519"/>
      <c r="E40" s="520"/>
      <c r="F40" s="520"/>
      <c r="G40" s="726"/>
      <c r="H40" s="520"/>
      <c r="I40" s="521"/>
      <c r="J40" s="521"/>
      <c r="K40" s="521"/>
      <c r="L40" s="514"/>
      <c r="M40" s="514"/>
      <c r="N40" s="756"/>
      <c r="O40" s="514"/>
      <c r="P40" s="514"/>
      <c r="Q40" s="514"/>
      <c r="R40" s="514"/>
      <c r="S40" s="514"/>
      <c r="T40" s="514"/>
      <c r="U40" s="756"/>
      <c r="V40" s="514"/>
      <c r="W40" s="514"/>
      <c r="X40" s="514"/>
      <c r="Y40" s="514"/>
      <c r="Z40" s="514"/>
      <c r="AA40" s="514"/>
      <c r="AB40" s="756"/>
      <c r="AC40" s="514"/>
      <c r="AD40" s="514"/>
      <c r="AE40" s="514"/>
      <c r="AF40" s="764"/>
      <c r="AG40" s="514"/>
      <c r="AH40" s="514"/>
      <c r="AI40" s="664">
        <f t="shared" si="7"/>
        <v>0</v>
      </c>
      <c r="AJ40" s="521">
        <v>0</v>
      </c>
      <c r="AK40" s="520">
        <f t="shared" si="8"/>
        <v>0</v>
      </c>
      <c r="AL40" s="672"/>
      <c r="AM40" s="669">
        <f t="shared" si="9"/>
        <v>0</v>
      </c>
    </row>
    <row r="41" spans="1:39" s="500" customFormat="1">
      <c r="A41" s="722" t="s">
        <v>663</v>
      </c>
      <c r="B41" s="694" t="s">
        <v>1206</v>
      </c>
      <c r="C41" s="561" t="s">
        <v>40</v>
      </c>
      <c r="D41" s="519"/>
      <c r="E41" s="520"/>
      <c r="F41" s="520"/>
      <c r="G41" s="726"/>
      <c r="H41" s="520"/>
      <c r="I41" s="521"/>
      <c r="J41" s="521"/>
      <c r="K41" s="521"/>
      <c r="L41" s="514"/>
      <c r="M41" s="514"/>
      <c r="N41" s="756"/>
      <c r="O41" s="514"/>
      <c r="P41" s="514"/>
      <c r="Q41" s="514"/>
      <c r="R41" s="514"/>
      <c r="S41" s="514"/>
      <c r="T41" s="514"/>
      <c r="U41" s="756"/>
      <c r="V41" s="514"/>
      <c r="W41" s="514"/>
      <c r="X41" s="514"/>
      <c r="Y41" s="514"/>
      <c r="Z41" s="514"/>
      <c r="AA41" s="514"/>
      <c r="AB41" s="756"/>
      <c r="AC41" s="522">
        <f>11*1.2*1.2*0.4</f>
        <v>6.3359999999999994</v>
      </c>
      <c r="AD41" s="514"/>
      <c r="AE41" s="514"/>
      <c r="AF41" s="764"/>
      <c r="AG41" s="514"/>
      <c r="AH41" s="514"/>
      <c r="AI41" s="786">
        <f t="shared" si="7"/>
        <v>6.34</v>
      </c>
      <c r="AJ41" s="521">
        <v>0</v>
      </c>
      <c r="AK41" s="520">
        <f t="shared" si="8"/>
        <v>6.34</v>
      </c>
      <c r="AL41" s="672" t="s">
        <v>1534</v>
      </c>
      <c r="AM41" s="669">
        <f t="shared" si="9"/>
        <v>0</v>
      </c>
    </row>
    <row r="42" spans="1:39" s="500" customFormat="1">
      <c r="A42" s="722" t="s">
        <v>664</v>
      </c>
      <c r="B42" s="694" t="s">
        <v>1172</v>
      </c>
      <c r="C42" s="561" t="s">
        <v>48</v>
      </c>
      <c r="D42" s="519"/>
      <c r="E42" s="520"/>
      <c r="F42" s="520"/>
      <c r="G42" s="726"/>
      <c r="H42" s="520"/>
      <c r="I42" s="521"/>
      <c r="J42" s="521"/>
      <c r="K42" s="521"/>
      <c r="L42" s="514"/>
      <c r="M42" s="514"/>
      <c r="N42" s="756"/>
      <c r="O42" s="514"/>
      <c r="P42" s="514"/>
      <c r="Q42" s="514"/>
      <c r="R42" s="514"/>
      <c r="S42" s="514"/>
      <c r="T42" s="514"/>
      <c r="U42" s="756"/>
      <c r="V42" s="514"/>
      <c r="W42" s="514"/>
      <c r="X42" s="514"/>
      <c r="Y42" s="514"/>
      <c r="Z42" s="757">
        <v>264.95999999999998</v>
      </c>
      <c r="AA42" s="514"/>
      <c r="AB42" s="756"/>
      <c r="AC42" s="514"/>
      <c r="AD42" s="514"/>
      <c r="AE42" s="514"/>
      <c r="AF42" s="764"/>
      <c r="AG42" s="514"/>
      <c r="AH42" s="514"/>
      <c r="AI42" s="786">
        <f t="shared" si="7"/>
        <v>264.95999999999998</v>
      </c>
      <c r="AJ42" s="521">
        <v>0</v>
      </c>
      <c r="AK42" s="520">
        <f t="shared" si="8"/>
        <v>264.95999999999998</v>
      </c>
      <c r="AL42" s="672" t="s">
        <v>1535</v>
      </c>
      <c r="AM42" s="669">
        <f t="shared" si="9"/>
        <v>0</v>
      </c>
    </row>
    <row r="43" spans="1:39" s="500" customFormat="1">
      <c r="A43" s="723" t="s">
        <v>665</v>
      </c>
      <c r="B43" s="724" t="s">
        <v>1173</v>
      </c>
      <c r="C43" s="561"/>
      <c r="D43" s="519"/>
      <c r="E43" s="520"/>
      <c r="F43" s="520"/>
      <c r="G43" s="726"/>
      <c r="H43" s="520"/>
      <c r="I43" s="521"/>
      <c r="J43" s="521"/>
      <c r="K43" s="521"/>
      <c r="L43" s="514"/>
      <c r="M43" s="514"/>
      <c r="N43" s="756"/>
      <c r="O43" s="514"/>
      <c r="P43" s="514"/>
      <c r="Q43" s="514"/>
      <c r="R43" s="514"/>
      <c r="S43" s="514"/>
      <c r="T43" s="514"/>
      <c r="U43" s="756"/>
      <c r="V43" s="514"/>
      <c r="W43" s="514"/>
      <c r="X43" s="514"/>
      <c r="Y43" s="514"/>
      <c r="Z43" s="514"/>
      <c r="AA43" s="514"/>
      <c r="AB43" s="756"/>
      <c r="AC43" s="514"/>
      <c r="AD43" s="514"/>
      <c r="AE43" s="514"/>
      <c r="AF43" s="764"/>
      <c r="AG43" s="514"/>
      <c r="AH43" s="514"/>
      <c r="AI43" s="664">
        <f t="shared" si="7"/>
        <v>0</v>
      </c>
      <c r="AJ43" s="521">
        <v>0</v>
      </c>
      <c r="AK43" s="520">
        <f t="shared" si="8"/>
        <v>0</v>
      </c>
      <c r="AL43" s="672"/>
      <c r="AM43" s="669">
        <f t="shared" si="9"/>
        <v>0</v>
      </c>
    </row>
    <row r="44" spans="1:39" s="500" customFormat="1">
      <c r="A44" s="722" t="s">
        <v>668</v>
      </c>
      <c r="B44" s="694" t="s">
        <v>1176</v>
      </c>
      <c r="C44" s="561" t="s">
        <v>48</v>
      </c>
      <c r="D44" s="519"/>
      <c r="E44" s="520"/>
      <c r="F44" s="520"/>
      <c r="G44" s="726"/>
      <c r="H44" s="520"/>
      <c r="I44" s="521"/>
      <c r="J44" s="521"/>
      <c r="K44" s="521"/>
      <c r="L44" s="514"/>
      <c r="M44" s="514"/>
      <c r="N44" s="756"/>
      <c r="O44" s="514"/>
      <c r="P44" s="514"/>
      <c r="Q44" s="514"/>
      <c r="R44" s="514"/>
      <c r="S44" s="514"/>
      <c r="T44" s="514"/>
      <c r="U44" s="756"/>
      <c r="V44" s="514"/>
      <c r="W44" s="514"/>
      <c r="X44" s="514"/>
      <c r="Y44" s="514"/>
      <c r="Z44" s="514"/>
      <c r="AA44" s="514"/>
      <c r="AB44" s="756"/>
      <c r="AC44" s="527"/>
      <c r="AD44" s="667"/>
      <c r="AE44" s="522">
        <v>365.33</v>
      </c>
      <c r="AF44" s="764"/>
      <c r="AG44" s="514"/>
      <c r="AH44" s="514"/>
      <c r="AI44" s="786">
        <f t="shared" si="7"/>
        <v>365.33</v>
      </c>
      <c r="AJ44" s="521">
        <v>0</v>
      </c>
      <c r="AK44" s="520">
        <f t="shared" si="8"/>
        <v>365.33</v>
      </c>
      <c r="AL44" s="672" t="s">
        <v>1538</v>
      </c>
      <c r="AM44" s="669">
        <f t="shared" si="9"/>
        <v>0</v>
      </c>
    </row>
    <row r="45" spans="1:39" s="500" customFormat="1">
      <c r="A45" s="723" t="s">
        <v>669</v>
      </c>
      <c r="B45" s="724" t="s">
        <v>1177</v>
      </c>
      <c r="C45" s="561"/>
      <c r="D45" s="519"/>
      <c r="E45" s="520"/>
      <c r="F45" s="520"/>
      <c r="G45" s="726"/>
      <c r="H45" s="520"/>
      <c r="I45" s="521"/>
      <c r="J45" s="521"/>
      <c r="K45" s="521"/>
      <c r="L45" s="514"/>
      <c r="M45" s="514"/>
      <c r="N45" s="756"/>
      <c r="O45" s="514"/>
      <c r="P45" s="514"/>
      <c r="Q45" s="514"/>
      <c r="R45" s="514"/>
      <c r="S45" s="514"/>
      <c r="T45" s="514"/>
      <c r="U45" s="756"/>
      <c r="V45" s="514"/>
      <c r="W45" s="514"/>
      <c r="X45" s="514"/>
      <c r="Y45" s="514"/>
      <c r="Z45" s="514"/>
      <c r="AA45" s="514"/>
      <c r="AB45" s="756"/>
      <c r="AC45" s="514"/>
      <c r="AD45" s="514"/>
      <c r="AE45" s="514"/>
      <c r="AF45" s="764"/>
      <c r="AG45" s="514"/>
      <c r="AH45" s="514"/>
      <c r="AI45" s="664">
        <f t="shared" si="7"/>
        <v>0</v>
      </c>
      <c r="AJ45" s="521">
        <v>0</v>
      </c>
      <c r="AK45" s="520">
        <f t="shared" si="8"/>
        <v>0</v>
      </c>
      <c r="AL45" s="672"/>
      <c r="AM45" s="669">
        <f t="shared" si="9"/>
        <v>0</v>
      </c>
    </row>
    <row r="46" spans="1:39" s="500" customFormat="1">
      <c r="A46" s="722" t="s">
        <v>672</v>
      </c>
      <c r="B46" s="694" t="s">
        <v>1180</v>
      </c>
      <c r="C46" s="561" t="s">
        <v>48</v>
      </c>
      <c r="D46" s="519"/>
      <c r="E46" s="520"/>
      <c r="F46" s="520"/>
      <c r="G46" s="726"/>
      <c r="H46" s="520"/>
      <c r="I46" s="521"/>
      <c r="J46" s="521"/>
      <c r="K46" s="521"/>
      <c r="L46" s="514"/>
      <c r="M46" s="514"/>
      <c r="N46" s="756"/>
      <c r="O46" s="514"/>
      <c r="P46" s="514"/>
      <c r="Q46" s="514"/>
      <c r="R46" s="514"/>
      <c r="S46" s="514"/>
      <c r="T46" s="514"/>
      <c r="U46" s="756"/>
      <c r="V46" s="514"/>
      <c r="W46" s="514"/>
      <c r="X46" s="514"/>
      <c r="Y46" s="514"/>
      <c r="Z46" s="522">
        <f>6*175.38</f>
        <v>1052.28</v>
      </c>
      <c r="AA46" s="522">
        <f>5*175.38</f>
        <v>876.9</v>
      </c>
      <c r="AB46" s="756"/>
      <c r="AC46" s="514"/>
      <c r="AD46" s="514"/>
      <c r="AE46" s="514"/>
      <c r="AF46" s="764"/>
      <c r="AG46" s="514"/>
      <c r="AH46" s="514"/>
      <c r="AI46" s="786">
        <f t="shared" si="7"/>
        <v>1929.18</v>
      </c>
      <c r="AJ46" s="521">
        <v>0</v>
      </c>
      <c r="AK46" s="520">
        <f t="shared" si="8"/>
        <v>1929.18</v>
      </c>
      <c r="AL46" s="672" t="s">
        <v>1541</v>
      </c>
      <c r="AM46" s="669">
        <f t="shared" si="9"/>
        <v>0</v>
      </c>
    </row>
    <row r="47" spans="1:39" s="500" customFormat="1" hidden="1">
      <c r="A47" s="554" t="s">
        <v>673</v>
      </c>
      <c r="B47" s="555" t="s">
        <v>1181</v>
      </c>
      <c r="C47" s="561"/>
      <c r="D47" s="519"/>
      <c r="E47" s="520"/>
      <c r="F47" s="520"/>
      <c r="G47" s="726"/>
      <c r="H47" s="520"/>
      <c r="I47" s="521"/>
      <c r="J47" s="521"/>
      <c r="K47" s="521"/>
      <c r="L47" s="514"/>
      <c r="M47" s="514"/>
      <c r="N47" s="756"/>
      <c r="O47" s="514"/>
      <c r="P47" s="514"/>
      <c r="Q47" s="514"/>
      <c r="R47" s="514"/>
      <c r="S47" s="514"/>
      <c r="T47" s="514"/>
      <c r="U47" s="756"/>
      <c r="V47" s="514"/>
      <c r="W47" s="514"/>
      <c r="X47" s="514"/>
      <c r="Y47" s="514"/>
      <c r="Z47" s="514"/>
      <c r="AA47" s="514"/>
      <c r="AB47" s="756"/>
      <c r="AC47" s="514"/>
      <c r="AD47" s="514"/>
      <c r="AE47" s="514"/>
      <c r="AF47" s="764"/>
      <c r="AG47" s="514"/>
      <c r="AH47" s="514"/>
      <c r="AI47" s="664">
        <f t="shared" si="7"/>
        <v>0</v>
      </c>
      <c r="AJ47" s="521">
        <v>0</v>
      </c>
      <c r="AK47" s="520">
        <f t="shared" si="8"/>
        <v>0</v>
      </c>
      <c r="AL47" s="672"/>
      <c r="AM47" s="669">
        <f t="shared" si="9"/>
        <v>0</v>
      </c>
    </row>
    <row r="48" spans="1:39" s="500" customFormat="1" hidden="1">
      <c r="A48" s="554" t="s">
        <v>674</v>
      </c>
      <c r="B48" s="555" t="s">
        <v>1182</v>
      </c>
      <c r="C48" s="561" t="s">
        <v>40</v>
      </c>
      <c r="D48" s="519"/>
      <c r="E48" s="520"/>
      <c r="F48" s="520"/>
      <c r="G48" s="726"/>
      <c r="H48" s="520"/>
      <c r="I48" s="521"/>
      <c r="J48" s="521"/>
      <c r="K48" s="521"/>
      <c r="L48" s="514"/>
      <c r="M48" s="514"/>
      <c r="N48" s="756"/>
      <c r="O48" s="514"/>
      <c r="P48" s="514"/>
      <c r="Q48" s="514"/>
      <c r="R48" s="514"/>
      <c r="S48" s="514"/>
      <c r="T48" s="514"/>
      <c r="U48" s="756"/>
      <c r="V48" s="514"/>
      <c r="W48" s="514"/>
      <c r="X48" s="514"/>
      <c r="Y48" s="514"/>
      <c r="Z48" s="514"/>
      <c r="AA48" s="514"/>
      <c r="AB48" s="756"/>
      <c r="AC48" s="514"/>
      <c r="AD48" s="514"/>
      <c r="AE48" s="514"/>
      <c r="AF48" s="764"/>
      <c r="AG48" s="514"/>
      <c r="AH48" s="514"/>
      <c r="AI48" s="664">
        <f t="shared" si="7"/>
        <v>0</v>
      </c>
      <c r="AJ48" s="521">
        <v>0</v>
      </c>
      <c r="AK48" s="520">
        <f t="shared" si="8"/>
        <v>0</v>
      </c>
      <c r="AL48" s="672" t="s">
        <v>1542</v>
      </c>
      <c r="AM48" s="669">
        <f t="shared" si="9"/>
        <v>3.44</v>
      </c>
    </row>
    <row r="49" spans="1:39" s="500" customFormat="1" hidden="1">
      <c r="A49" s="554" t="s">
        <v>675</v>
      </c>
      <c r="B49" s="555" t="s">
        <v>1183</v>
      </c>
      <c r="C49" s="561" t="s">
        <v>37</v>
      </c>
      <c r="D49" s="519"/>
      <c r="E49" s="520"/>
      <c r="F49" s="520"/>
      <c r="G49" s="726"/>
      <c r="H49" s="520"/>
      <c r="I49" s="521"/>
      <c r="J49" s="521"/>
      <c r="K49" s="521"/>
      <c r="L49" s="514"/>
      <c r="M49" s="514"/>
      <c r="N49" s="756"/>
      <c r="O49" s="514"/>
      <c r="P49" s="514"/>
      <c r="Q49" s="514"/>
      <c r="R49" s="514"/>
      <c r="S49" s="514"/>
      <c r="T49" s="514"/>
      <c r="U49" s="756"/>
      <c r="V49" s="514"/>
      <c r="W49" s="514"/>
      <c r="X49" s="514"/>
      <c r="Y49" s="514"/>
      <c r="Z49" s="514"/>
      <c r="AA49" s="514"/>
      <c r="AB49" s="756"/>
      <c r="AC49" s="514"/>
      <c r="AD49" s="514"/>
      <c r="AE49" s="514"/>
      <c r="AF49" s="764"/>
      <c r="AG49" s="514"/>
      <c r="AH49" s="514"/>
      <c r="AI49" s="664">
        <f t="shared" si="7"/>
        <v>0</v>
      </c>
      <c r="AJ49" s="521">
        <v>0</v>
      </c>
      <c r="AK49" s="520">
        <f t="shared" si="8"/>
        <v>0</v>
      </c>
      <c r="AL49" s="672" t="s">
        <v>1543</v>
      </c>
      <c r="AM49" s="669">
        <f t="shared" si="9"/>
        <v>21.46</v>
      </c>
    </row>
    <row r="50" spans="1:39" s="500" customFormat="1" hidden="1">
      <c r="A50" s="554" t="s">
        <v>676</v>
      </c>
      <c r="B50" s="555" t="s">
        <v>1184</v>
      </c>
      <c r="C50" s="561" t="s">
        <v>48</v>
      </c>
      <c r="D50" s="519"/>
      <c r="E50" s="520"/>
      <c r="F50" s="520"/>
      <c r="G50" s="726"/>
      <c r="H50" s="520"/>
      <c r="I50" s="521"/>
      <c r="J50" s="521"/>
      <c r="K50" s="521"/>
      <c r="L50" s="514"/>
      <c r="M50" s="514"/>
      <c r="N50" s="756"/>
      <c r="O50" s="514"/>
      <c r="P50" s="514"/>
      <c r="Q50" s="514"/>
      <c r="R50" s="514"/>
      <c r="S50" s="514"/>
      <c r="T50" s="514"/>
      <c r="U50" s="756"/>
      <c r="V50" s="514"/>
      <c r="W50" s="514"/>
      <c r="X50" s="514"/>
      <c r="Y50" s="514"/>
      <c r="Z50" s="514"/>
      <c r="AA50" s="514"/>
      <c r="AB50" s="756"/>
      <c r="AC50" s="514"/>
      <c r="AD50" s="514"/>
      <c r="AE50" s="514"/>
      <c r="AF50" s="764"/>
      <c r="AG50" s="514"/>
      <c r="AH50" s="514"/>
      <c r="AI50" s="664">
        <f t="shared" si="7"/>
        <v>0</v>
      </c>
      <c r="AJ50" s="521">
        <v>0</v>
      </c>
      <c r="AK50" s="520">
        <f t="shared" si="8"/>
        <v>0</v>
      </c>
      <c r="AL50" s="672" t="s">
        <v>1544</v>
      </c>
      <c r="AM50" s="669">
        <f t="shared" si="9"/>
        <v>302.89999999999998</v>
      </c>
    </row>
    <row r="51" spans="1:39" s="500" customFormat="1" hidden="1">
      <c r="A51" s="554" t="s">
        <v>677</v>
      </c>
      <c r="B51" s="555" t="s">
        <v>1185</v>
      </c>
      <c r="C51" s="561"/>
      <c r="D51" s="519"/>
      <c r="E51" s="520"/>
      <c r="F51" s="520"/>
      <c r="G51" s="726"/>
      <c r="H51" s="520"/>
      <c r="I51" s="521"/>
      <c r="J51" s="521"/>
      <c r="K51" s="521"/>
      <c r="L51" s="514"/>
      <c r="M51" s="514"/>
      <c r="N51" s="756"/>
      <c r="O51" s="514"/>
      <c r="P51" s="514"/>
      <c r="Q51" s="514"/>
      <c r="R51" s="514"/>
      <c r="S51" s="514"/>
      <c r="T51" s="514"/>
      <c r="U51" s="756"/>
      <c r="V51" s="514"/>
      <c r="W51" s="514"/>
      <c r="X51" s="514"/>
      <c r="Y51" s="514"/>
      <c r="Z51" s="514"/>
      <c r="AA51" s="514"/>
      <c r="AB51" s="756"/>
      <c r="AC51" s="514"/>
      <c r="AD51" s="514"/>
      <c r="AE51" s="514"/>
      <c r="AF51" s="764"/>
      <c r="AG51" s="514"/>
      <c r="AH51" s="514"/>
      <c r="AI51" s="664">
        <f t="shared" si="7"/>
        <v>0</v>
      </c>
      <c r="AJ51" s="521">
        <v>0</v>
      </c>
      <c r="AK51" s="520">
        <f t="shared" si="8"/>
        <v>0</v>
      </c>
      <c r="AL51" s="672"/>
      <c r="AM51" s="669">
        <f t="shared" si="9"/>
        <v>0</v>
      </c>
    </row>
    <row r="52" spans="1:39" s="500" customFormat="1" hidden="1">
      <c r="A52" s="554" t="s">
        <v>678</v>
      </c>
      <c r="B52" s="555" t="s">
        <v>1186</v>
      </c>
      <c r="C52" s="561" t="s">
        <v>40</v>
      </c>
      <c r="D52" s="519"/>
      <c r="E52" s="520"/>
      <c r="F52" s="520"/>
      <c r="G52" s="726"/>
      <c r="H52" s="520"/>
      <c r="I52" s="521"/>
      <c r="J52" s="521"/>
      <c r="K52" s="521"/>
      <c r="L52" s="514"/>
      <c r="M52" s="514"/>
      <c r="N52" s="756"/>
      <c r="O52" s="514"/>
      <c r="P52" s="514"/>
      <c r="Q52" s="514"/>
      <c r="R52" s="514"/>
      <c r="S52" s="514"/>
      <c r="T52" s="514"/>
      <c r="U52" s="756"/>
      <c r="V52" s="514"/>
      <c r="W52" s="514"/>
      <c r="X52" s="514"/>
      <c r="Y52" s="514"/>
      <c r="Z52" s="514"/>
      <c r="AA52" s="514"/>
      <c r="AB52" s="756"/>
      <c r="AC52" s="514"/>
      <c r="AD52" s="514"/>
      <c r="AE52" s="514"/>
      <c r="AF52" s="764"/>
      <c r="AG52" s="514"/>
      <c r="AH52" s="514"/>
      <c r="AI52" s="664">
        <f t="shared" si="7"/>
        <v>0</v>
      </c>
      <c r="AJ52" s="521">
        <v>0</v>
      </c>
      <c r="AK52" s="520">
        <f t="shared" si="8"/>
        <v>0</v>
      </c>
      <c r="AL52" s="672" t="s">
        <v>1545</v>
      </c>
      <c r="AM52" s="669">
        <f t="shared" si="9"/>
        <v>11.56</v>
      </c>
    </row>
    <row r="53" spans="1:39" s="500" customFormat="1" hidden="1">
      <c r="A53" s="554" t="s">
        <v>679</v>
      </c>
      <c r="B53" s="555" t="s">
        <v>1187</v>
      </c>
      <c r="C53" s="561" t="s">
        <v>37</v>
      </c>
      <c r="D53" s="519"/>
      <c r="E53" s="520"/>
      <c r="F53" s="520"/>
      <c r="G53" s="726"/>
      <c r="H53" s="520"/>
      <c r="I53" s="521"/>
      <c r="J53" s="521"/>
      <c r="K53" s="521"/>
      <c r="L53" s="514"/>
      <c r="M53" s="514"/>
      <c r="N53" s="756"/>
      <c r="O53" s="514"/>
      <c r="P53" s="514"/>
      <c r="Q53" s="514"/>
      <c r="R53" s="514"/>
      <c r="S53" s="514"/>
      <c r="T53" s="514"/>
      <c r="U53" s="756"/>
      <c r="V53" s="514"/>
      <c r="W53" s="514"/>
      <c r="X53" s="514"/>
      <c r="Y53" s="514"/>
      <c r="Z53" s="514"/>
      <c r="AA53" s="514"/>
      <c r="AB53" s="756"/>
      <c r="AC53" s="514"/>
      <c r="AD53" s="514"/>
      <c r="AE53" s="514"/>
      <c r="AF53" s="764"/>
      <c r="AG53" s="514"/>
      <c r="AH53" s="514"/>
      <c r="AI53" s="664">
        <f t="shared" si="7"/>
        <v>0</v>
      </c>
      <c r="AJ53" s="521">
        <v>0</v>
      </c>
      <c r="AK53" s="520">
        <f t="shared" si="8"/>
        <v>0</v>
      </c>
      <c r="AL53" s="672" t="s">
        <v>1546</v>
      </c>
      <c r="AM53" s="669">
        <f t="shared" si="9"/>
        <v>101.84</v>
      </c>
    </row>
    <row r="54" spans="1:39" s="500" customFormat="1" hidden="1">
      <c r="A54" s="554" t="s">
        <v>680</v>
      </c>
      <c r="B54" s="555" t="s">
        <v>1188</v>
      </c>
      <c r="C54" s="561" t="s">
        <v>48</v>
      </c>
      <c r="D54" s="519"/>
      <c r="E54" s="520"/>
      <c r="F54" s="520"/>
      <c r="G54" s="726"/>
      <c r="H54" s="520"/>
      <c r="I54" s="521"/>
      <c r="J54" s="521"/>
      <c r="K54" s="521"/>
      <c r="L54" s="514"/>
      <c r="M54" s="514"/>
      <c r="N54" s="756"/>
      <c r="O54" s="514"/>
      <c r="P54" s="514"/>
      <c r="Q54" s="514"/>
      <c r="R54" s="514"/>
      <c r="S54" s="514"/>
      <c r="T54" s="514"/>
      <c r="U54" s="756"/>
      <c r="V54" s="514"/>
      <c r="W54" s="514"/>
      <c r="X54" s="514"/>
      <c r="Y54" s="514"/>
      <c r="Z54" s="514"/>
      <c r="AA54" s="514"/>
      <c r="AB54" s="756"/>
      <c r="AC54" s="514"/>
      <c r="AD54" s="514"/>
      <c r="AE54" s="514"/>
      <c r="AF54" s="764"/>
      <c r="AG54" s="514"/>
      <c r="AH54" s="514"/>
      <c r="AI54" s="664">
        <f t="shared" si="7"/>
        <v>0</v>
      </c>
      <c r="AJ54" s="521">
        <v>0</v>
      </c>
      <c r="AK54" s="520">
        <f t="shared" si="8"/>
        <v>0</v>
      </c>
      <c r="AL54" s="672" t="s">
        <v>1547</v>
      </c>
      <c r="AM54" s="669">
        <f t="shared" si="9"/>
        <v>1333.5</v>
      </c>
    </row>
    <row r="55" spans="1:39" s="500" customFormat="1" hidden="1">
      <c r="A55" s="554" t="s">
        <v>681</v>
      </c>
      <c r="B55" s="555" t="s">
        <v>1189</v>
      </c>
      <c r="C55" s="561"/>
      <c r="D55" s="519"/>
      <c r="E55" s="520"/>
      <c r="F55" s="520"/>
      <c r="G55" s="726"/>
      <c r="H55" s="520"/>
      <c r="I55" s="521"/>
      <c r="J55" s="521"/>
      <c r="K55" s="521"/>
      <c r="L55" s="514"/>
      <c r="M55" s="514"/>
      <c r="N55" s="756"/>
      <c r="O55" s="514"/>
      <c r="P55" s="514"/>
      <c r="Q55" s="514"/>
      <c r="R55" s="514"/>
      <c r="S55" s="514"/>
      <c r="T55" s="514"/>
      <c r="U55" s="756"/>
      <c r="V55" s="514"/>
      <c r="W55" s="514"/>
      <c r="X55" s="514"/>
      <c r="Y55" s="514"/>
      <c r="Z55" s="514"/>
      <c r="AA55" s="514"/>
      <c r="AB55" s="756"/>
      <c r="AC55" s="514"/>
      <c r="AD55" s="514"/>
      <c r="AE55" s="514"/>
      <c r="AF55" s="764"/>
      <c r="AG55" s="514"/>
      <c r="AH55" s="514"/>
      <c r="AI55" s="664">
        <f t="shared" si="7"/>
        <v>0</v>
      </c>
      <c r="AJ55" s="521">
        <v>0</v>
      </c>
      <c r="AK55" s="520">
        <f t="shared" si="8"/>
        <v>0</v>
      </c>
      <c r="AL55" s="672"/>
      <c r="AM55" s="669">
        <f t="shared" si="9"/>
        <v>0</v>
      </c>
    </row>
    <row r="56" spans="1:39" s="500" customFormat="1" hidden="1">
      <c r="A56" s="554" t="s">
        <v>682</v>
      </c>
      <c r="B56" s="555" t="s">
        <v>1190</v>
      </c>
      <c r="C56" s="561" t="s">
        <v>40</v>
      </c>
      <c r="D56" s="519"/>
      <c r="E56" s="520"/>
      <c r="F56" s="520"/>
      <c r="G56" s="726"/>
      <c r="H56" s="520"/>
      <c r="I56" s="521"/>
      <c r="J56" s="521"/>
      <c r="K56" s="521"/>
      <c r="L56" s="514"/>
      <c r="M56" s="514"/>
      <c r="N56" s="756"/>
      <c r="O56" s="514"/>
      <c r="P56" s="514"/>
      <c r="Q56" s="514"/>
      <c r="R56" s="514"/>
      <c r="S56" s="514"/>
      <c r="T56" s="514"/>
      <c r="U56" s="756"/>
      <c r="V56" s="514"/>
      <c r="W56" s="514"/>
      <c r="X56" s="514"/>
      <c r="Y56" s="514"/>
      <c r="Z56" s="514"/>
      <c r="AA56" s="514"/>
      <c r="AB56" s="756"/>
      <c r="AC56" s="514"/>
      <c r="AD56" s="514"/>
      <c r="AE56" s="514"/>
      <c r="AF56" s="764"/>
      <c r="AG56" s="514"/>
      <c r="AH56" s="514"/>
      <c r="AI56" s="664">
        <f t="shared" si="7"/>
        <v>0</v>
      </c>
      <c r="AJ56" s="521">
        <v>0</v>
      </c>
      <c r="AK56" s="520">
        <f t="shared" si="8"/>
        <v>0</v>
      </c>
      <c r="AL56" s="672" t="s">
        <v>1548</v>
      </c>
      <c r="AM56" s="669">
        <f t="shared" si="9"/>
        <v>13.47</v>
      </c>
    </row>
    <row r="57" spans="1:39" s="500" customFormat="1" hidden="1">
      <c r="A57" s="554" t="s">
        <v>683</v>
      </c>
      <c r="B57" s="555" t="s">
        <v>1191</v>
      </c>
      <c r="C57" s="561" t="s">
        <v>37</v>
      </c>
      <c r="D57" s="519"/>
      <c r="E57" s="520"/>
      <c r="F57" s="520"/>
      <c r="G57" s="726"/>
      <c r="H57" s="520"/>
      <c r="I57" s="521"/>
      <c r="J57" s="521"/>
      <c r="K57" s="521"/>
      <c r="L57" s="514"/>
      <c r="M57" s="514"/>
      <c r="N57" s="756"/>
      <c r="O57" s="514"/>
      <c r="P57" s="514"/>
      <c r="Q57" s="514"/>
      <c r="R57" s="514"/>
      <c r="S57" s="514"/>
      <c r="T57" s="514"/>
      <c r="U57" s="756"/>
      <c r="V57" s="514"/>
      <c r="W57" s="514"/>
      <c r="X57" s="514"/>
      <c r="Y57" s="514"/>
      <c r="Z57" s="514"/>
      <c r="AA57" s="514"/>
      <c r="AB57" s="756"/>
      <c r="AC57" s="514"/>
      <c r="AD57" s="514"/>
      <c r="AE57" s="514"/>
      <c r="AF57" s="764"/>
      <c r="AG57" s="514"/>
      <c r="AH57" s="514"/>
      <c r="AI57" s="664">
        <f t="shared" si="7"/>
        <v>0</v>
      </c>
      <c r="AJ57" s="521">
        <v>0</v>
      </c>
      <c r="AK57" s="520">
        <f t="shared" si="8"/>
        <v>0</v>
      </c>
      <c r="AL57" s="672" t="s">
        <v>1549</v>
      </c>
      <c r="AM57" s="669">
        <f t="shared" si="9"/>
        <v>153.93</v>
      </c>
    </row>
    <row r="58" spans="1:39" s="500" customFormat="1" hidden="1">
      <c r="A58" s="554" t="s">
        <v>684</v>
      </c>
      <c r="B58" s="555" t="s">
        <v>1192</v>
      </c>
      <c r="C58" s="561" t="s">
        <v>48</v>
      </c>
      <c r="D58" s="519"/>
      <c r="E58" s="520"/>
      <c r="F58" s="520"/>
      <c r="G58" s="726"/>
      <c r="H58" s="520"/>
      <c r="I58" s="521"/>
      <c r="J58" s="521"/>
      <c r="K58" s="521"/>
      <c r="L58" s="514"/>
      <c r="M58" s="514"/>
      <c r="N58" s="756"/>
      <c r="O58" s="514"/>
      <c r="P58" s="514"/>
      <c r="Q58" s="514"/>
      <c r="R58" s="514"/>
      <c r="S58" s="514"/>
      <c r="T58" s="514"/>
      <c r="U58" s="756"/>
      <c r="V58" s="514"/>
      <c r="W58" s="514"/>
      <c r="X58" s="514"/>
      <c r="Y58" s="514"/>
      <c r="Z58" s="514"/>
      <c r="AA58" s="514"/>
      <c r="AB58" s="756"/>
      <c r="AC58" s="514"/>
      <c r="AD58" s="514"/>
      <c r="AE58" s="514"/>
      <c r="AF58" s="764"/>
      <c r="AG58" s="514"/>
      <c r="AH58" s="514"/>
      <c r="AI58" s="664">
        <f t="shared" si="7"/>
        <v>0</v>
      </c>
      <c r="AJ58" s="521">
        <v>0</v>
      </c>
      <c r="AK58" s="520">
        <f t="shared" si="8"/>
        <v>0</v>
      </c>
      <c r="AL58" s="672" t="s">
        <v>1550</v>
      </c>
      <c r="AM58" s="669">
        <f t="shared" si="9"/>
        <v>1781.46</v>
      </c>
    </row>
    <row r="59" spans="1:39" s="500" customFormat="1" hidden="1">
      <c r="A59" s="554" t="s">
        <v>685</v>
      </c>
      <c r="B59" s="555" t="s">
        <v>1193</v>
      </c>
      <c r="C59" s="561" t="s">
        <v>1450</v>
      </c>
      <c r="D59" s="519"/>
      <c r="E59" s="520"/>
      <c r="F59" s="520"/>
      <c r="G59" s="726"/>
      <c r="H59" s="520"/>
      <c r="I59" s="521"/>
      <c r="J59" s="521"/>
      <c r="K59" s="521"/>
      <c r="L59" s="514"/>
      <c r="M59" s="514"/>
      <c r="N59" s="756"/>
      <c r="O59" s="514"/>
      <c r="P59" s="514"/>
      <c r="Q59" s="514"/>
      <c r="R59" s="514"/>
      <c r="S59" s="514"/>
      <c r="T59" s="514"/>
      <c r="U59" s="756"/>
      <c r="V59" s="514"/>
      <c r="W59" s="514"/>
      <c r="X59" s="514"/>
      <c r="Y59" s="514"/>
      <c r="Z59" s="514"/>
      <c r="AA59" s="514"/>
      <c r="AB59" s="756"/>
      <c r="AC59" s="514"/>
      <c r="AD59" s="514"/>
      <c r="AE59" s="514"/>
      <c r="AF59" s="764"/>
      <c r="AG59" s="514"/>
      <c r="AH59" s="514"/>
      <c r="AI59" s="664">
        <f t="shared" si="7"/>
        <v>0</v>
      </c>
      <c r="AJ59" s="521">
        <v>0</v>
      </c>
      <c r="AK59" s="520">
        <f t="shared" si="8"/>
        <v>0</v>
      </c>
      <c r="AL59" s="672" t="s">
        <v>1551</v>
      </c>
      <c r="AM59" s="669">
        <f t="shared" si="9"/>
        <v>1146.1400000000001</v>
      </c>
    </row>
    <row r="60" spans="1:39" s="500" customFormat="1" hidden="1">
      <c r="A60" s="554" t="s">
        <v>686</v>
      </c>
      <c r="B60" s="555" t="s">
        <v>1194</v>
      </c>
      <c r="C60" s="561"/>
      <c r="D60" s="519"/>
      <c r="E60" s="520"/>
      <c r="F60" s="520"/>
      <c r="G60" s="726"/>
      <c r="H60" s="520"/>
      <c r="I60" s="521"/>
      <c r="J60" s="521"/>
      <c r="K60" s="521"/>
      <c r="L60" s="514"/>
      <c r="M60" s="514"/>
      <c r="N60" s="756"/>
      <c r="O60" s="514"/>
      <c r="P60" s="514"/>
      <c r="Q60" s="514"/>
      <c r="R60" s="514"/>
      <c r="S60" s="514"/>
      <c r="T60" s="514"/>
      <c r="U60" s="756"/>
      <c r="V60" s="514"/>
      <c r="W60" s="514"/>
      <c r="X60" s="514"/>
      <c r="Y60" s="514"/>
      <c r="Z60" s="514"/>
      <c r="AA60" s="514"/>
      <c r="AB60" s="756"/>
      <c r="AC60" s="514"/>
      <c r="AD60" s="514"/>
      <c r="AE60" s="514"/>
      <c r="AF60" s="764"/>
      <c r="AG60" s="514"/>
      <c r="AH60" s="514"/>
      <c r="AI60" s="664">
        <f t="shared" si="7"/>
        <v>0</v>
      </c>
      <c r="AJ60" s="521">
        <v>0</v>
      </c>
      <c r="AK60" s="520">
        <f t="shared" si="8"/>
        <v>0</v>
      </c>
      <c r="AL60" s="672"/>
      <c r="AM60" s="669">
        <f t="shared" si="9"/>
        <v>0</v>
      </c>
    </row>
    <row r="61" spans="1:39" s="500" customFormat="1" hidden="1">
      <c r="A61" s="554" t="s">
        <v>687</v>
      </c>
      <c r="B61" s="555" t="s">
        <v>1195</v>
      </c>
      <c r="C61" s="561" t="s">
        <v>40</v>
      </c>
      <c r="D61" s="519"/>
      <c r="E61" s="520"/>
      <c r="F61" s="520"/>
      <c r="G61" s="726"/>
      <c r="H61" s="520"/>
      <c r="I61" s="521"/>
      <c r="J61" s="521"/>
      <c r="K61" s="521"/>
      <c r="L61" s="514"/>
      <c r="M61" s="514"/>
      <c r="N61" s="756"/>
      <c r="O61" s="514"/>
      <c r="P61" s="514"/>
      <c r="Q61" s="514"/>
      <c r="R61" s="514"/>
      <c r="S61" s="514"/>
      <c r="T61" s="514"/>
      <c r="U61" s="756"/>
      <c r="V61" s="514"/>
      <c r="W61" s="514"/>
      <c r="X61" s="514"/>
      <c r="Y61" s="514"/>
      <c r="Z61" s="514"/>
      <c r="AA61" s="514"/>
      <c r="AB61" s="756"/>
      <c r="AC61" s="514"/>
      <c r="AD61" s="514"/>
      <c r="AE61" s="514"/>
      <c r="AF61" s="764"/>
      <c r="AG61" s="514"/>
      <c r="AH61" s="514"/>
      <c r="AI61" s="664">
        <f t="shared" si="7"/>
        <v>0</v>
      </c>
      <c r="AJ61" s="521">
        <v>0</v>
      </c>
      <c r="AK61" s="520">
        <f t="shared" si="8"/>
        <v>0</v>
      </c>
      <c r="AL61" s="672" t="s">
        <v>1552</v>
      </c>
      <c r="AM61" s="669">
        <f t="shared" si="9"/>
        <v>2.57</v>
      </c>
    </row>
    <row r="62" spans="1:39" s="500" customFormat="1" hidden="1">
      <c r="A62" s="554" t="s">
        <v>688</v>
      </c>
      <c r="B62" s="555" t="s">
        <v>1196</v>
      </c>
      <c r="C62" s="561" t="s">
        <v>37</v>
      </c>
      <c r="D62" s="519"/>
      <c r="E62" s="520"/>
      <c r="F62" s="520"/>
      <c r="G62" s="726"/>
      <c r="H62" s="520"/>
      <c r="I62" s="521"/>
      <c r="J62" s="521"/>
      <c r="K62" s="521"/>
      <c r="L62" s="514"/>
      <c r="M62" s="514"/>
      <c r="N62" s="756"/>
      <c r="O62" s="514"/>
      <c r="P62" s="514"/>
      <c r="Q62" s="514"/>
      <c r="R62" s="514"/>
      <c r="S62" s="514"/>
      <c r="T62" s="514"/>
      <c r="U62" s="756"/>
      <c r="V62" s="514"/>
      <c r="W62" s="514"/>
      <c r="X62" s="514"/>
      <c r="Y62" s="514"/>
      <c r="Z62" s="514"/>
      <c r="AA62" s="514"/>
      <c r="AB62" s="756"/>
      <c r="AC62" s="514"/>
      <c r="AD62" s="514"/>
      <c r="AE62" s="514"/>
      <c r="AF62" s="764"/>
      <c r="AG62" s="514"/>
      <c r="AH62" s="514"/>
      <c r="AI62" s="664">
        <f t="shared" si="7"/>
        <v>0</v>
      </c>
      <c r="AJ62" s="521">
        <v>0</v>
      </c>
      <c r="AK62" s="520">
        <f t="shared" si="8"/>
        <v>0</v>
      </c>
      <c r="AL62" s="672" t="s">
        <v>1494</v>
      </c>
      <c r="AM62" s="669">
        <f t="shared" si="9"/>
        <v>34.270000000000003</v>
      </c>
    </row>
    <row r="63" spans="1:39" s="500" customFormat="1" hidden="1">
      <c r="A63" s="554" t="s">
        <v>689</v>
      </c>
      <c r="B63" s="555" t="s">
        <v>1197</v>
      </c>
      <c r="C63" s="561" t="s">
        <v>48</v>
      </c>
      <c r="D63" s="519"/>
      <c r="E63" s="520"/>
      <c r="F63" s="520"/>
      <c r="G63" s="726"/>
      <c r="H63" s="520"/>
      <c r="I63" s="521"/>
      <c r="J63" s="521"/>
      <c r="K63" s="521"/>
      <c r="L63" s="514"/>
      <c r="M63" s="514"/>
      <c r="N63" s="756"/>
      <c r="O63" s="514"/>
      <c r="P63" s="514"/>
      <c r="Q63" s="514"/>
      <c r="R63" s="514"/>
      <c r="S63" s="514"/>
      <c r="T63" s="514"/>
      <c r="U63" s="756"/>
      <c r="V63" s="514"/>
      <c r="W63" s="514"/>
      <c r="X63" s="514"/>
      <c r="Y63" s="514"/>
      <c r="Z63" s="514"/>
      <c r="AA63" s="514"/>
      <c r="AB63" s="756"/>
      <c r="AC63" s="514"/>
      <c r="AD63" s="514"/>
      <c r="AE63" s="514"/>
      <c r="AF63" s="764"/>
      <c r="AG63" s="514"/>
      <c r="AH63" s="514"/>
      <c r="AI63" s="664">
        <f t="shared" si="7"/>
        <v>0</v>
      </c>
      <c r="AJ63" s="521">
        <v>0</v>
      </c>
      <c r="AK63" s="520">
        <f t="shared" si="8"/>
        <v>0</v>
      </c>
      <c r="AL63" s="672" t="s">
        <v>1553</v>
      </c>
      <c r="AM63" s="669">
        <f t="shared" si="9"/>
        <v>178.66</v>
      </c>
    </row>
    <row r="64" spans="1:39" s="500" customFormat="1" hidden="1">
      <c r="A64" s="554" t="s">
        <v>690</v>
      </c>
      <c r="B64" s="555" t="s">
        <v>1198</v>
      </c>
      <c r="C64" s="561"/>
      <c r="D64" s="519"/>
      <c r="E64" s="520"/>
      <c r="F64" s="520"/>
      <c r="G64" s="726"/>
      <c r="H64" s="520"/>
      <c r="I64" s="521"/>
      <c r="J64" s="521"/>
      <c r="K64" s="521"/>
      <c r="L64" s="514"/>
      <c r="M64" s="514"/>
      <c r="N64" s="756"/>
      <c r="O64" s="514"/>
      <c r="P64" s="514"/>
      <c r="Q64" s="514"/>
      <c r="R64" s="514"/>
      <c r="S64" s="514"/>
      <c r="T64" s="514"/>
      <c r="U64" s="756"/>
      <c r="V64" s="514"/>
      <c r="W64" s="514"/>
      <c r="X64" s="514"/>
      <c r="Y64" s="514"/>
      <c r="Z64" s="514"/>
      <c r="AA64" s="514"/>
      <c r="AB64" s="756"/>
      <c r="AC64" s="514"/>
      <c r="AD64" s="514"/>
      <c r="AE64" s="514"/>
      <c r="AF64" s="764"/>
      <c r="AG64" s="514"/>
      <c r="AH64" s="514"/>
      <c r="AI64" s="664">
        <f t="shared" si="7"/>
        <v>0</v>
      </c>
      <c r="AJ64" s="521">
        <v>0</v>
      </c>
      <c r="AK64" s="520">
        <f t="shared" si="8"/>
        <v>0</v>
      </c>
      <c r="AL64" s="672"/>
      <c r="AM64" s="669">
        <f t="shared" si="9"/>
        <v>0</v>
      </c>
    </row>
    <row r="65" spans="1:39" s="500" customFormat="1" hidden="1">
      <c r="A65" s="554" t="s">
        <v>691</v>
      </c>
      <c r="B65" s="555" t="s">
        <v>1199</v>
      </c>
      <c r="C65" s="561" t="s">
        <v>38</v>
      </c>
      <c r="D65" s="519"/>
      <c r="E65" s="520"/>
      <c r="F65" s="520"/>
      <c r="G65" s="726"/>
      <c r="H65" s="520"/>
      <c r="I65" s="521"/>
      <c r="J65" s="521"/>
      <c r="K65" s="521"/>
      <c r="L65" s="514"/>
      <c r="M65" s="514"/>
      <c r="N65" s="756"/>
      <c r="O65" s="514"/>
      <c r="P65" s="514"/>
      <c r="Q65" s="514"/>
      <c r="R65" s="514"/>
      <c r="S65" s="514"/>
      <c r="T65" s="514"/>
      <c r="U65" s="756"/>
      <c r="V65" s="514"/>
      <c r="W65" s="514"/>
      <c r="X65" s="514"/>
      <c r="Y65" s="514"/>
      <c r="Z65" s="514"/>
      <c r="AA65" s="514"/>
      <c r="AB65" s="756"/>
      <c r="AC65" s="514"/>
      <c r="AD65" s="514"/>
      <c r="AE65" s="514"/>
      <c r="AF65" s="764"/>
      <c r="AG65" s="514"/>
      <c r="AH65" s="514"/>
      <c r="AI65" s="664">
        <f t="shared" si="7"/>
        <v>0</v>
      </c>
      <c r="AJ65" s="521">
        <v>0</v>
      </c>
      <c r="AK65" s="520">
        <f t="shared" si="8"/>
        <v>0</v>
      </c>
      <c r="AL65" s="672" t="s">
        <v>1554</v>
      </c>
      <c r="AM65" s="669">
        <f t="shared" si="9"/>
        <v>377.52</v>
      </c>
    </row>
    <row r="66" spans="1:39" s="500" customFormat="1" hidden="1">
      <c r="A66" s="554" t="s">
        <v>692</v>
      </c>
      <c r="B66" s="555" t="s">
        <v>1200</v>
      </c>
      <c r="C66" s="561"/>
      <c r="D66" s="519"/>
      <c r="E66" s="520"/>
      <c r="F66" s="520"/>
      <c r="G66" s="726"/>
      <c r="H66" s="520"/>
      <c r="I66" s="521"/>
      <c r="J66" s="521"/>
      <c r="K66" s="521"/>
      <c r="L66" s="514"/>
      <c r="M66" s="514"/>
      <c r="N66" s="756"/>
      <c r="O66" s="514"/>
      <c r="P66" s="514"/>
      <c r="Q66" s="514"/>
      <c r="R66" s="514"/>
      <c r="S66" s="514"/>
      <c r="T66" s="514"/>
      <c r="U66" s="756"/>
      <c r="V66" s="514"/>
      <c r="W66" s="514"/>
      <c r="X66" s="514"/>
      <c r="Y66" s="514"/>
      <c r="Z66" s="514"/>
      <c r="AA66" s="514"/>
      <c r="AB66" s="756"/>
      <c r="AC66" s="514"/>
      <c r="AD66" s="514"/>
      <c r="AE66" s="514"/>
      <c r="AF66" s="764"/>
      <c r="AG66" s="514"/>
      <c r="AH66" s="514"/>
      <c r="AI66" s="664">
        <f t="shared" si="7"/>
        <v>0</v>
      </c>
      <c r="AJ66" s="521">
        <v>0</v>
      </c>
      <c r="AK66" s="520">
        <f t="shared" si="8"/>
        <v>0</v>
      </c>
      <c r="AL66" s="672"/>
      <c r="AM66" s="669">
        <f t="shared" si="9"/>
        <v>0</v>
      </c>
    </row>
    <row r="67" spans="1:39" s="500" customFormat="1" hidden="1">
      <c r="A67" s="554" t="s">
        <v>693</v>
      </c>
      <c r="B67" s="555" t="s">
        <v>1201</v>
      </c>
      <c r="C67" s="561" t="s">
        <v>38</v>
      </c>
      <c r="D67" s="519"/>
      <c r="E67" s="520"/>
      <c r="F67" s="520"/>
      <c r="G67" s="726"/>
      <c r="H67" s="520"/>
      <c r="I67" s="521"/>
      <c r="J67" s="521"/>
      <c r="K67" s="521"/>
      <c r="L67" s="514"/>
      <c r="M67" s="514"/>
      <c r="N67" s="756"/>
      <c r="O67" s="514"/>
      <c r="P67" s="514"/>
      <c r="Q67" s="514"/>
      <c r="R67" s="514"/>
      <c r="S67" s="514"/>
      <c r="T67" s="514"/>
      <c r="U67" s="756"/>
      <c r="V67" s="514"/>
      <c r="W67" s="514"/>
      <c r="X67" s="514"/>
      <c r="Y67" s="514"/>
      <c r="Z67" s="514"/>
      <c r="AA67" s="514"/>
      <c r="AB67" s="756"/>
      <c r="AC67" s="514"/>
      <c r="AD67" s="514"/>
      <c r="AE67" s="514"/>
      <c r="AF67" s="764"/>
      <c r="AG67" s="514"/>
      <c r="AH67" s="514"/>
      <c r="AI67" s="664">
        <f t="shared" si="7"/>
        <v>0</v>
      </c>
      <c r="AJ67" s="521">
        <v>0</v>
      </c>
      <c r="AK67" s="520">
        <f t="shared" si="8"/>
        <v>0</v>
      </c>
      <c r="AL67" s="672" t="s">
        <v>1555</v>
      </c>
      <c r="AM67" s="669">
        <f t="shared" si="9"/>
        <v>75.400000000000006</v>
      </c>
    </row>
    <row r="68" spans="1:39" s="500" customFormat="1" hidden="1">
      <c r="A68" s="554" t="s">
        <v>694</v>
      </c>
      <c r="B68" s="555" t="s">
        <v>225</v>
      </c>
      <c r="C68" s="561" t="s">
        <v>1450</v>
      </c>
      <c r="D68" s="519"/>
      <c r="E68" s="520"/>
      <c r="F68" s="520"/>
      <c r="G68" s="726"/>
      <c r="H68" s="520"/>
      <c r="I68" s="521"/>
      <c r="J68" s="521"/>
      <c r="K68" s="521"/>
      <c r="L68" s="514"/>
      <c r="M68" s="514"/>
      <c r="N68" s="756"/>
      <c r="O68" s="514"/>
      <c r="P68" s="514"/>
      <c r="Q68" s="514"/>
      <c r="R68" s="514"/>
      <c r="S68" s="514"/>
      <c r="T68" s="514"/>
      <c r="U68" s="756"/>
      <c r="V68" s="514"/>
      <c r="W68" s="514"/>
      <c r="X68" s="514"/>
      <c r="Y68" s="514"/>
      <c r="Z68" s="514"/>
      <c r="AA68" s="514"/>
      <c r="AB68" s="756"/>
      <c r="AC68" s="514"/>
      <c r="AD68" s="514"/>
      <c r="AE68" s="514"/>
      <c r="AF68" s="764"/>
      <c r="AG68" s="514"/>
      <c r="AH68" s="514"/>
      <c r="AI68" s="664">
        <f t="shared" si="7"/>
        <v>0</v>
      </c>
      <c r="AJ68" s="521">
        <v>0</v>
      </c>
      <c r="AK68" s="520">
        <f t="shared" si="8"/>
        <v>0</v>
      </c>
      <c r="AL68" s="672" t="s">
        <v>1493</v>
      </c>
      <c r="AM68" s="669">
        <f t="shared" si="9"/>
        <v>15</v>
      </c>
    </row>
    <row r="69" spans="1:39" s="500" customFormat="1" hidden="1">
      <c r="A69" s="554" t="s">
        <v>516</v>
      </c>
      <c r="B69" s="555" t="s">
        <v>1210</v>
      </c>
      <c r="C69" s="561"/>
      <c r="D69" s="519"/>
      <c r="E69" s="520"/>
      <c r="F69" s="520"/>
      <c r="G69" s="726"/>
      <c r="H69" s="520"/>
      <c r="I69" s="521"/>
      <c r="J69" s="521"/>
      <c r="K69" s="521"/>
      <c r="L69" s="514"/>
      <c r="M69" s="514"/>
      <c r="N69" s="756"/>
      <c r="O69" s="514"/>
      <c r="P69" s="514"/>
      <c r="Q69" s="514"/>
      <c r="R69" s="514"/>
      <c r="S69" s="514"/>
      <c r="T69" s="514"/>
      <c r="U69" s="756"/>
      <c r="V69" s="514"/>
      <c r="W69" s="514"/>
      <c r="X69" s="514"/>
      <c r="Y69" s="514"/>
      <c r="Z69" s="514"/>
      <c r="AA69" s="514"/>
      <c r="AB69" s="756"/>
      <c r="AC69" s="514"/>
      <c r="AD69" s="514"/>
      <c r="AE69" s="514"/>
      <c r="AF69" s="764"/>
      <c r="AG69" s="514"/>
      <c r="AH69" s="514"/>
      <c r="AI69" s="664">
        <f t="shared" si="7"/>
        <v>0</v>
      </c>
      <c r="AJ69" s="521">
        <v>0</v>
      </c>
      <c r="AK69" s="520">
        <f t="shared" si="8"/>
        <v>0</v>
      </c>
      <c r="AL69" s="672"/>
      <c r="AM69" s="669">
        <f t="shared" si="9"/>
        <v>0</v>
      </c>
    </row>
    <row r="70" spans="1:39" s="500" customFormat="1" hidden="1">
      <c r="A70" s="554" t="s">
        <v>517</v>
      </c>
      <c r="B70" s="555" t="s">
        <v>46</v>
      </c>
      <c r="C70" s="561"/>
      <c r="D70" s="519"/>
      <c r="E70" s="520"/>
      <c r="F70" s="520"/>
      <c r="G70" s="726"/>
      <c r="H70" s="520"/>
      <c r="I70" s="521"/>
      <c r="J70" s="521"/>
      <c r="K70" s="521"/>
      <c r="L70" s="514"/>
      <c r="M70" s="514"/>
      <c r="N70" s="756"/>
      <c r="O70" s="514"/>
      <c r="P70" s="514"/>
      <c r="Q70" s="514"/>
      <c r="R70" s="514"/>
      <c r="S70" s="514"/>
      <c r="T70" s="514"/>
      <c r="U70" s="756"/>
      <c r="V70" s="514"/>
      <c r="W70" s="514"/>
      <c r="X70" s="514"/>
      <c r="Y70" s="514"/>
      <c r="Z70" s="514"/>
      <c r="AA70" s="514"/>
      <c r="AB70" s="756"/>
      <c r="AC70" s="514"/>
      <c r="AD70" s="514"/>
      <c r="AE70" s="514"/>
      <c r="AF70" s="764"/>
      <c r="AG70" s="514"/>
      <c r="AH70" s="514"/>
      <c r="AI70" s="664">
        <f t="shared" si="7"/>
        <v>0</v>
      </c>
      <c r="AJ70" s="521">
        <v>0</v>
      </c>
      <c r="AK70" s="520">
        <f t="shared" si="8"/>
        <v>0</v>
      </c>
      <c r="AL70" s="672"/>
      <c r="AM70" s="669">
        <f t="shared" si="9"/>
        <v>0</v>
      </c>
    </row>
    <row r="71" spans="1:39" s="500" customFormat="1" hidden="1">
      <c r="A71" s="554" t="s">
        <v>695</v>
      </c>
      <c r="B71" s="555" t="s">
        <v>1156</v>
      </c>
      <c r="C71" s="561" t="s">
        <v>40</v>
      </c>
      <c r="D71" s="519"/>
      <c r="E71" s="520"/>
      <c r="F71" s="520"/>
      <c r="G71" s="726"/>
      <c r="H71" s="520"/>
      <c r="I71" s="521"/>
      <c r="J71" s="521"/>
      <c r="K71" s="521"/>
      <c r="L71" s="514"/>
      <c r="M71" s="514"/>
      <c r="N71" s="756"/>
      <c r="O71" s="514"/>
      <c r="P71" s="514"/>
      <c r="Q71" s="514"/>
      <c r="R71" s="514"/>
      <c r="S71" s="514"/>
      <c r="T71" s="514"/>
      <c r="U71" s="756"/>
      <c r="V71" s="514"/>
      <c r="W71" s="514"/>
      <c r="X71" s="514"/>
      <c r="Y71" s="514"/>
      <c r="Z71" s="514"/>
      <c r="AA71" s="514"/>
      <c r="AB71" s="756"/>
      <c r="AC71" s="514"/>
      <c r="AD71" s="514"/>
      <c r="AE71" s="514"/>
      <c r="AF71" s="764"/>
      <c r="AG71" s="514"/>
      <c r="AH71" s="514"/>
      <c r="AI71" s="664">
        <f t="shared" si="7"/>
        <v>0</v>
      </c>
      <c r="AJ71" s="521">
        <v>0</v>
      </c>
      <c r="AK71" s="520">
        <f t="shared" si="8"/>
        <v>0</v>
      </c>
      <c r="AL71" s="672" t="s">
        <v>1556</v>
      </c>
      <c r="AM71" s="669">
        <f t="shared" si="9"/>
        <v>39.86</v>
      </c>
    </row>
    <row r="72" spans="1:39" s="500" customFormat="1" hidden="1">
      <c r="A72" s="554" t="s">
        <v>696</v>
      </c>
      <c r="B72" s="555" t="s">
        <v>1157</v>
      </c>
      <c r="C72" s="561" t="s">
        <v>40</v>
      </c>
      <c r="D72" s="519"/>
      <c r="E72" s="520"/>
      <c r="F72" s="520"/>
      <c r="G72" s="726"/>
      <c r="H72" s="520"/>
      <c r="I72" s="521"/>
      <c r="J72" s="521"/>
      <c r="K72" s="521"/>
      <c r="L72" s="514"/>
      <c r="M72" s="514"/>
      <c r="N72" s="756"/>
      <c r="O72" s="514"/>
      <c r="P72" s="514"/>
      <c r="Q72" s="514"/>
      <c r="R72" s="514"/>
      <c r="S72" s="514"/>
      <c r="T72" s="514"/>
      <c r="U72" s="756"/>
      <c r="V72" s="514"/>
      <c r="W72" s="514"/>
      <c r="X72" s="514"/>
      <c r="Y72" s="514"/>
      <c r="Z72" s="514"/>
      <c r="AA72" s="514"/>
      <c r="AB72" s="756"/>
      <c r="AC72" s="514"/>
      <c r="AD72" s="514"/>
      <c r="AE72" s="514"/>
      <c r="AF72" s="764"/>
      <c r="AG72" s="514"/>
      <c r="AH72" s="514"/>
      <c r="AI72" s="664">
        <f t="shared" si="7"/>
        <v>0</v>
      </c>
      <c r="AJ72" s="521">
        <v>0</v>
      </c>
      <c r="AK72" s="520">
        <f t="shared" si="8"/>
        <v>0</v>
      </c>
      <c r="AL72" s="672" t="s">
        <v>1557</v>
      </c>
      <c r="AM72" s="669">
        <f t="shared" si="9"/>
        <v>9.1</v>
      </c>
    </row>
    <row r="73" spans="1:39" s="500" customFormat="1" hidden="1">
      <c r="A73" s="554" t="s">
        <v>697</v>
      </c>
      <c r="B73" s="555" t="s">
        <v>1158</v>
      </c>
      <c r="C73" s="561" t="s">
        <v>40</v>
      </c>
      <c r="D73" s="519"/>
      <c r="E73" s="520"/>
      <c r="F73" s="520"/>
      <c r="G73" s="726"/>
      <c r="H73" s="520"/>
      <c r="I73" s="521"/>
      <c r="J73" s="521"/>
      <c r="K73" s="521"/>
      <c r="L73" s="514"/>
      <c r="M73" s="514"/>
      <c r="N73" s="756"/>
      <c r="O73" s="514"/>
      <c r="P73" s="514"/>
      <c r="Q73" s="514"/>
      <c r="R73" s="514"/>
      <c r="S73" s="514"/>
      <c r="T73" s="514"/>
      <c r="U73" s="756"/>
      <c r="V73" s="514"/>
      <c r="W73" s="514"/>
      <c r="X73" s="514"/>
      <c r="Y73" s="514"/>
      <c r="Z73" s="514"/>
      <c r="AA73" s="514"/>
      <c r="AB73" s="756"/>
      <c r="AC73" s="514"/>
      <c r="AD73" s="514"/>
      <c r="AE73" s="514"/>
      <c r="AF73" s="764"/>
      <c r="AG73" s="514"/>
      <c r="AH73" s="514"/>
      <c r="AI73" s="664">
        <f t="shared" si="7"/>
        <v>0</v>
      </c>
      <c r="AJ73" s="521">
        <v>0</v>
      </c>
      <c r="AK73" s="520">
        <f t="shared" si="8"/>
        <v>0</v>
      </c>
      <c r="AL73" s="672" t="s">
        <v>1558</v>
      </c>
      <c r="AM73" s="669">
        <f t="shared" si="9"/>
        <v>15.72</v>
      </c>
    </row>
    <row r="74" spans="1:39" s="500" customFormat="1" hidden="1">
      <c r="A74" s="554" t="s">
        <v>698</v>
      </c>
      <c r="B74" s="555" t="s">
        <v>1159</v>
      </c>
      <c r="C74" s="561" t="s">
        <v>37</v>
      </c>
      <c r="D74" s="519"/>
      <c r="E74" s="520"/>
      <c r="F74" s="520"/>
      <c r="G74" s="726"/>
      <c r="H74" s="520"/>
      <c r="I74" s="521"/>
      <c r="J74" s="521"/>
      <c r="K74" s="521"/>
      <c r="L74" s="514"/>
      <c r="M74" s="514"/>
      <c r="N74" s="756"/>
      <c r="O74" s="514"/>
      <c r="P74" s="514"/>
      <c r="Q74" s="514"/>
      <c r="R74" s="514"/>
      <c r="S74" s="514"/>
      <c r="T74" s="514"/>
      <c r="U74" s="756"/>
      <c r="V74" s="514"/>
      <c r="W74" s="514"/>
      <c r="X74" s="514"/>
      <c r="Y74" s="514"/>
      <c r="Z74" s="514"/>
      <c r="AA74" s="514"/>
      <c r="AB74" s="756"/>
      <c r="AC74" s="514"/>
      <c r="AD74" s="514"/>
      <c r="AE74" s="514"/>
      <c r="AF74" s="764"/>
      <c r="AG74" s="514"/>
      <c r="AH74" s="514"/>
      <c r="AI74" s="664">
        <f t="shared" si="7"/>
        <v>0</v>
      </c>
      <c r="AJ74" s="521">
        <v>0</v>
      </c>
      <c r="AK74" s="520">
        <f t="shared" si="8"/>
        <v>0</v>
      </c>
      <c r="AL74" s="672" t="s">
        <v>1559</v>
      </c>
      <c r="AM74" s="669">
        <f t="shared" si="9"/>
        <v>22.03</v>
      </c>
    </row>
    <row r="75" spans="1:39" s="500" customFormat="1" hidden="1">
      <c r="A75" s="554" t="s">
        <v>699</v>
      </c>
      <c r="B75" s="555" t="s">
        <v>1160</v>
      </c>
      <c r="C75" s="561" t="s">
        <v>40</v>
      </c>
      <c r="D75" s="519"/>
      <c r="E75" s="520"/>
      <c r="F75" s="520"/>
      <c r="G75" s="726"/>
      <c r="H75" s="520"/>
      <c r="I75" s="521"/>
      <c r="J75" s="521"/>
      <c r="K75" s="521"/>
      <c r="L75" s="514"/>
      <c r="M75" s="514"/>
      <c r="N75" s="756"/>
      <c r="O75" s="514"/>
      <c r="P75" s="514"/>
      <c r="Q75" s="514"/>
      <c r="R75" s="514"/>
      <c r="S75" s="514"/>
      <c r="T75" s="514"/>
      <c r="U75" s="756"/>
      <c r="V75" s="514"/>
      <c r="W75" s="514"/>
      <c r="X75" s="514"/>
      <c r="Y75" s="514"/>
      <c r="Z75" s="514"/>
      <c r="AA75" s="514"/>
      <c r="AB75" s="756"/>
      <c r="AC75" s="514"/>
      <c r="AD75" s="514"/>
      <c r="AE75" s="514"/>
      <c r="AF75" s="764"/>
      <c r="AG75" s="514"/>
      <c r="AH75" s="514"/>
      <c r="AI75" s="664">
        <f t="shared" si="7"/>
        <v>0</v>
      </c>
      <c r="AJ75" s="521">
        <v>0</v>
      </c>
      <c r="AK75" s="520">
        <f t="shared" si="8"/>
        <v>0</v>
      </c>
      <c r="AL75" s="672" t="s">
        <v>1560</v>
      </c>
      <c r="AM75" s="669">
        <f t="shared" si="9"/>
        <v>41.56</v>
      </c>
    </row>
    <row r="76" spans="1:39" s="500" customFormat="1" hidden="1">
      <c r="A76" s="554" t="s">
        <v>700</v>
      </c>
      <c r="B76" s="555" t="s">
        <v>1161</v>
      </c>
      <c r="C76" s="561" t="s">
        <v>40</v>
      </c>
      <c r="D76" s="519"/>
      <c r="E76" s="520"/>
      <c r="F76" s="520"/>
      <c r="G76" s="726"/>
      <c r="H76" s="520"/>
      <c r="I76" s="521"/>
      <c r="J76" s="521"/>
      <c r="K76" s="521"/>
      <c r="L76" s="514"/>
      <c r="M76" s="514"/>
      <c r="N76" s="756"/>
      <c r="O76" s="514"/>
      <c r="P76" s="514"/>
      <c r="Q76" s="514"/>
      <c r="R76" s="514"/>
      <c r="S76" s="514"/>
      <c r="T76" s="514"/>
      <c r="U76" s="756"/>
      <c r="V76" s="514"/>
      <c r="W76" s="514"/>
      <c r="X76" s="514"/>
      <c r="Y76" s="514"/>
      <c r="Z76" s="514"/>
      <c r="AA76" s="514"/>
      <c r="AB76" s="756"/>
      <c r="AC76" s="514"/>
      <c r="AD76" s="514"/>
      <c r="AE76" s="514"/>
      <c r="AF76" s="764"/>
      <c r="AG76" s="514"/>
      <c r="AH76" s="514"/>
      <c r="AI76" s="664">
        <f t="shared" si="7"/>
        <v>0</v>
      </c>
      <c r="AJ76" s="521">
        <v>0</v>
      </c>
      <c r="AK76" s="520">
        <f t="shared" si="8"/>
        <v>0</v>
      </c>
      <c r="AL76" s="672" t="s">
        <v>1560</v>
      </c>
      <c r="AM76" s="669">
        <f t="shared" si="9"/>
        <v>41.56</v>
      </c>
    </row>
    <row r="77" spans="1:39" s="500" customFormat="1" hidden="1">
      <c r="A77" s="554" t="s">
        <v>701</v>
      </c>
      <c r="B77" s="555" t="s">
        <v>1162</v>
      </c>
      <c r="C77" s="561"/>
      <c r="D77" s="519"/>
      <c r="E77" s="520"/>
      <c r="F77" s="520"/>
      <c r="G77" s="726"/>
      <c r="H77" s="520"/>
      <c r="I77" s="521"/>
      <c r="J77" s="521"/>
      <c r="K77" s="521"/>
      <c r="L77" s="514"/>
      <c r="M77" s="514"/>
      <c r="N77" s="756"/>
      <c r="O77" s="514"/>
      <c r="P77" s="514"/>
      <c r="Q77" s="514"/>
      <c r="R77" s="514"/>
      <c r="S77" s="514"/>
      <c r="T77" s="514"/>
      <c r="U77" s="756"/>
      <c r="V77" s="514"/>
      <c r="W77" s="514"/>
      <c r="X77" s="514"/>
      <c r="Y77" s="514"/>
      <c r="Z77" s="514"/>
      <c r="AA77" s="514"/>
      <c r="AB77" s="756"/>
      <c r="AC77" s="514"/>
      <c r="AD77" s="514"/>
      <c r="AE77" s="514"/>
      <c r="AF77" s="764"/>
      <c r="AG77" s="514"/>
      <c r="AH77" s="514"/>
      <c r="AI77" s="664">
        <f t="shared" si="7"/>
        <v>0</v>
      </c>
      <c r="AJ77" s="521">
        <v>0</v>
      </c>
      <c r="AK77" s="520">
        <f t="shared" si="8"/>
        <v>0</v>
      </c>
      <c r="AL77" s="672"/>
      <c r="AM77" s="669">
        <f t="shared" si="9"/>
        <v>0</v>
      </c>
    </row>
    <row r="78" spans="1:39" s="500" customFormat="1" hidden="1">
      <c r="A78" s="554" t="s">
        <v>702</v>
      </c>
      <c r="B78" s="555" t="s">
        <v>1163</v>
      </c>
      <c r="C78" s="561" t="s">
        <v>40</v>
      </c>
      <c r="D78" s="519"/>
      <c r="E78" s="520"/>
      <c r="F78" s="520"/>
      <c r="G78" s="726"/>
      <c r="H78" s="520"/>
      <c r="I78" s="521"/>
      <c r="J78" s="521"/>
      <c r="K78" s="521"/>
      <c r="L78" s="514"/>
      <c r="M78" s="514"/>
      <c r="N78" s="756"/>
      <c r="O78" s="514"/>
      <c r="P78" s="514"/>
      <c r="Q78" s="514"/>
      <c r="R78" s="514"/>
      <c r="S78" s="514"/>
      <c r="T78" s="514"/>
      <c r="U78" s="756"/>
      <c r="V78" s="514"/>
      <c r="W78" s="514"/>
      <c r="X78" s="514"/>
      <c r="Y78" s="514"/>
      <c r="Z78" s="514"/>
      <c r="AA78" s="514"/>
      <c r="AB78" s="756"/>
      <c r="AC78" s="514"/>
      <c r="AD78" s="514"/>
      <c r="AE78" s="514"/>
      <c r="AF78" s="764"/>
      <c r="AG78" s="514"/>
      <c r="AH78" s="514"/>
      <c r="AI78" s="664">
        <f t="shared" si="7"/>
        <v>0</v>
      </c>
      <c r="AJ78" s="521">
        <v>0</v>
      </c>
      <c r="AK78" s="520">
        <f t="shared" si="8"/>
        <v>0</v>
      </c>
      <c r="AL78" s="672" t="s">
        <v>1561</v>
      </c>
      <c r="AM78" s="669">
        <f t="shared" si="9"/>
        <v>20.28</v>
      </c>
    </row>
    <row r="79" spans="1:39" s="500" customFormat="1" hidden="1">
      <c r="A79" s="554" t="s">
        <v>703</v>
      </c>
      <c r="B79" s="555" t="s">
        <v>1203</v>
      </c>
      <c r="C79" s="561" t="s">
        <v>37</v>
      </c>
      <c r="D79" s="519"/>
      <c r="E79" s="520"/>
      <c r="F79" s="520"/>
      <c r="G79" s="726"/>
      <c r="H79" s="520"/>
      <c r="I79" s="521"/>
      <c r="J79" s="521"/>
      <c r="K79" s="521"/>
      <c r="L79" s="514"/>
      <c r="M79" s="514"/>
      <c r="N79" s="756"/>
      <c r="O79" s="514"/>
      <c r="P79" s="514"/>
      <c r="Q79" s="514"/>
      <c r="R79" s="514"/>
      <c r="S79" s="514"/>
      <c r="T79" s="514"/>
      <c r="U79" s="756"/>
      <c r="V79" s="514"/>
      <c r="W79" s="514"/>
      <c r="X79" s="514"/>
      <c r="Y79" s="514"/>
      <c r="Z79" s="514"/>
      <c r="AA79" s="514"/>
      <c r="AB79" s="756"/>
      <c r="AC79" s="514"/>
      <c r="AD79" s="514"/>
      <c r="AE79" s="514"/>
      <c r="AF79" s="764"/>
      <c r="AG79" s="514"/>
      <c r="AH79" s="514"/>
      <c r="AI79" s="664">
        <f t="shared" si="7"/>
        <v>0</v>
      </c>
      <c r="AJ79" s="521">
        <v>0</v>
      </c>
      <c r="AK79" s="520">
        <f t="shared" si="8"/>
        <v>0</v>
      </c>
      <c r="AL79" s="672" t="s">
        <v>1562</v>
      </c>
      <c r="AM79" s="669">
        <f t="shared" si="9"/>
        <v>14.79</v>
      </c>
    </row>
    <row r="80" spans="1:39" s="500" customFormat="1" hidden="1">
      <c r="A80" s="554" t="s">
        <v>704</v>
      </c>
      <c r="B80" s="555" t="s">
        <v>1204</v>
      </c>
      <c r="C80" s="561" t="s">
        <v>40</v>
      </c>
      <c r="D80" s="519"/>
      <c r="E80" s="520"/>
      <c r="F80" s="520"/>
      <c r="G80" s="726"/>
      <c r="H80" s="520"/>
      <c r="I80" s="521"/>
      <c r="J80" s="521"/>
      <c r="K80" s="521"/>
      <c r="L80" s="514"/>
      <c r="M80" s="514"/>
      <c r="N80" s="756"/>
      <c r="O80" s="514"/>
      <c r="P80" s="514"/>
      <c r="Q80" s="514"/>
      <c r="R80" s="514"/>
      <c r="S80" s="514"/>
      <c r="T80" s="514"/>
      <c r="U80" s="756"/>
      <c r="V80" s="514"/>
      <c r="W80" s="514"/>
      <c r="X80" s="514"/>
      <c r="Y80" s="514"/>
      <c r="Z80" s="514"/>
      <c r="AA80" s="514"/>
      <c r="AB80" s="756"/>
      <c r="AC80" s="514"/>
      <c r="AD80" s="514"/>
      <c r="AE80" s="514"/>
      <c r="AF80" s="764"/>
      <c r="AG80" s="514"/>
      <c r="AH80" s="514"/>
      <c r="AI80" s="664">
        <f t="shared" si="7"/>
        <v>0</v>
      </c>
      <c r="AJ80" s="521">
        <v>0</v>
      </c>
      <c r="AK80" s="520">
        <f t="shared" si="8"/>
        <v>0</v>
      </c>
      <c r="AL80" s="672" t="s">
        <v>1563</v>
      </c>
      <c r="AM80" s="669">
        <f t="shared" si="9"/>
        <v>3.22</v>
      </c>
    </row>
    <row r="81" spans="1:39" s="500" customFormat="1" hidden="1">
      <c r="A81" s="554" t="s">
        <v>705</v>
      </c>
      <c r="B81" s="555" t="s">
        <v>1205</v>
      </c>
      <c r="C81" s="561" t="s">
        <v>40</v>
      </c>
      <c r="D81" s="519"/>
      <c r="E81" s="520"/>
      <c r="F81" s="520"/>
      <c r="G81" s="726"/>
      <c r="H81" s="520"/>
      <c r="I81" s="521"/>
      <c r="J81" s="521"/>
      <c r="K81" s="521"/>
      <c r="L81" s="514"/>
      <c r="M81" s="514"/>
      <c r="N81" s="756"/>
      <c r="O81" s="514"/>
      <c r="P81" s="514"/>
      <c r="Q81" s="514"/>
      <c r="R81" s="514"/>
      <c r="S81" s="514"/>
      <c r="T81" s="514"/>
      <c r="U81" s="756"/>
      <c r="V81" s="514"/>
      <c r="W81" s="514"/>
      <c r="X81" s="514"/>
      <c r="Y81" s="514"/>
      <c r="Z81" s="514"/>
      <c r="AA81" s="514"/>
      <c r="AB81" s="756"/>
      <c r="AC81" s="514"/>
      <c r="AD81" s="514"/>
      <c r="AE81" s="514"/>
      <c r="AF81" s="764"/>
      <c r="AG81" s="514"/>
      <c r="AH81" s="514"/>
      <c r="AI81" s="664">
        <f t="shared" si="7"/>
        <v>0</v>
      </c>
      <c r="AJ81" s="521">
        <v>0</v>
      </c>
      <c r="AK81" s="520">
        <f t="shared" si="8"/>
        <v>0</v>
      </c>
      <c r="AL81" s="672" t="s">
        <v>1564</v>
      </c>
      <c r="AM81" s="669">
        <f t="shared" si="9"/>
        <v>1.61</v>
      </c>
    </row>
    <row r="82" spans="1:39" s="500" customFormat="1" hidden="1">
      <c r="A82" s="554" t="s">
        <v>706</v>
      </c>
      <c r="B82" s="555" t="s">
        <v>1167</v>
      </c>
      <c r="C82" s="561" t="s">
        <v>37</v>
      </c>
      <c r="D82" s="519"/>
      <c r="E82" s="520"/>
      <c r="F82" s="520"/>
      <c r="G82" s="726"/>
      <c r="H82" s="520"/>
      <c r="I82" s="521"/>
      <c r="J82" s="521"/>
      <c r="K82" s="521"/>
      <c r="L82" s="514"/>
      <c r="M82" s="514"/>
      <c r="N82" s="756"/>
      <c r="O82" s="514"/>
      <c r="P82" s="514"/>
      <c r="Q82" s="514"/>
      <c r="R82" s="514"/>
      <c r="S82" s="514"/>
      <c r="T82" s="514"/>
      <c r="U82" s="756"/>
      <c r="V82" s="514"/>
      <c r="W82" s="514"/>
      <c r="X82" s="514"/>
      <c r="Y82" s="514"/>
      <c r="Z82" s="514"/>
      <c r="AA82" s="514"/>
      <c r="AB82" s="756"/>
      <c r="AC82" s="514"/>
      <c r="AD82" s="514"/>
      <c r="AE82" s="514"/>
      <c r="AF82" s="764"/>
      <c r="AG82" s="514"/>
      <c r="AH82" s="514"/>
      <c r="AI82" s="664">
        <f t="shared" si="7"/>
        <v>0</v>
      </c>
      <c r="AJ82" s="521">
        <v>0</v>
      </c>
      <c r="AK82" s="520">
        <f t="shared" si="8"/>
        <v>0</v>
      </c>
      <c r="AL82" s="672" t="s">
        <v>1565</v>
      </c>
      <c r="AM82" s="669">
        <f t="shared" si="9"/>
        <v>42.4</v>
      </c>
    </row>
    <row r="83" spans="1:39" s="500" customFormat="1" hidden="1">
      <c r="A83" s="554" t="s">
        <v>707</v>
      </c>
      <c r="B83" s="555" t="s">
        <v>1168</v>
      </c>
      <c r="C83" s="561" t="s">
        <v>37</v>
      </c>
      <c r="D83" s="519"/>
      <c r="E83" s="520"/>
      <c r="F83" s="520"/>
      <c r="G83" s="726"/>
      <c r="H83" s="520"/>
      <c r="I83" s="521"/>
      <c r="J83" s="521"/>
      <c r="K83" s="521"/>
      <c r="L83" s="514"/>
      <c r="M83" s="514"/>
      <c r="N83" s="756"/>
      <c r="O83" s="514"/>
      <c r="P83" s="514"/>
      <c r="Q83" s="514"/>
      <c r="R83" s="514"/>
      <c r="S83" s="514"/>
      <c r="T83" s="514"/>
      <c r="U83" s="756"/>
      <c r="V83" s="514"/>
      <c r="W83" s="514"/>
      <c r="X83" s="514"/>
      <c r="Y83" s="514"/>
      <c r="Z83" s="514"/>
      <c r="AA83" s="514"/>
      <c r="AB83" s="756"/>
      <c r="AC83" s="514"/>
      <c r="AD83" s="514"/>
      <c r="AE83" s="514"/>
      <c r="AF83" s="764"/>
      <c r="AG83" s="514"/>
      <c r="AH83" s="514"/>
      <c r="AI83" s="664">
        <f t="shared" si="7"/>
        <v>0</v>
      </c>
      <c r="AJ83" s="521">
        <v>0</v>
      </c>
      <c r="AK83" s="520">
        <f t="shared" si="8"/>
        <v>0</v>
      </c>
      <c r="AL83" s="672" t="s">
        <v>1559</v>
      </c>
      <c r="AM83" s="669">
        <f t="shared" si="9"/>
        <v>22.03</v>
      </c>
    </row>
    <row r="84" spans="1:39" s="500" customFormat="1" hidden="1">
      <c r="A84" s="554" t="s">
        <v>708</v>
      </c>
      <c r="B84" s="555" t="s">
        <v>1169</v>
      </c>
      <c r="C84" s="561"/>
      <c r="D84" s="519"/>
      <c r="E84" s="520"/>
      <c r="F84" s="520"/>
      <c r="G84" s="726"/>
      <c r="H84" s="520"/>
      <c r="I84" s="521"/>
      <c r="J84" s="521"/>
      <c r="K84" s="521"/>
      <c r="L84" s="514"/>
      <c r="M84" s="514"/>
      <c r="N84" s="756"/>
      <c r="O84" s="514"/>
      <c r="P84" s="514"/>
      <c r="Q84" s="514"/>
      <c r="R84" s="514"/>
      <c r="S84" s="514"/>
      <c r="T84" s="514"/>
      <c r="U84" s="756"/>
      <c r="V84" s="514"/>
      <c r="W84" s="514"/>
      <c r="X84" s="514"/>
      <c r="Y84" s="514"/>
      <c r="Z84" s="514"/>
      <c r="AA84" s="514"/>
      <c r="AB84" s="756"/>
      <c r="AC84" s="514"/>
      <c r="AD84" s="514"/>
      <c r="AE84" s="514"/>
      <c r="AF84" s="764"/>
      <c r="AG84" s="514"/>
      <c r="AH84" s="514"/>
      <c r="AI84" s="664">
        <f t="shared" si="7"/>
        <v>0</v>
      </c>
      <c r="AJ84" s="521">
        <v>0</v>
      </c>
      <c r="AK84" s="520">
        <f t="shared" si="8"/>
        <v>0</v>
      </c>
      <c r="AL84" s="672"/>
      <c r="AM84" s="669">
        <f t="shared" si="9"/>
        <v>0</v>
      </c>
    </row>
    <row r="85" spans="1:39" s="500" customFormat="1" hidden="1">
      <c r="A85" s="554" t="s">
        <v>709</v>
      </c>
      <c r="B85" s="555" t="s">
        <v>1170</v>
      </c>
      <c r="C85" s="561"/>
      <c r="D85" s="519"/>
      <c r="E85" s="520"/>
      <c r="F85" s="520"/>
      <c r="G85" s="726"/>
      <c r="H85" s="520"/>
      <c r="I85" s="521"/>
      <c r="J85" s="521"/>
      <c r="K85" s="521"/>
      <c r="L85" s="514"/>
      <c r="M85" s="514"/>
      <c r="N85" s="756"/>
      <c r="O85" s="514"/>
      <c r="P85" s="514"/>
      <c r="Q85" s="514"/>
      <c r="R85" s="514"/>
      <c r="S85" s="514"/>
      <c r="T85" s="514"/>
      <c r="U85" s="756"/>
      <c r="V85" s="514"/>
      <c r="W85" s="514"/>
      <c r="X85" s="514"/>
      <c r="Y85" s="514"/>
      <c r="Z85" s="514"/>
      <c r="AA85" s="514"/>
      <c r="AB85" s="756"/>
      <c r="AC85" s="514"/>
      <c r="AD85" s="514"/>
      <c r="AE85" s="514"/>
      <c r="AF85" s="764"/>
      <c r="AG85" s="514"/>
      <c r="AH85" s="514"/>
      <c r="AI85" s="664">
        <f t="shared" si="7"/>
        <v>0</v>
      </c>
      <c r="AJ85" s="521">
        <v>0</v>
      </c>
      <c r="AK85" s="520">
        <f t="shared" si="8"/>
        <v>0</v>
      </c>
      <c r="AL85" s="672"/>
      <c r="AM85" s="669">
        <f t="shared" si="9"/>
        <v>0</v>
      </c>
    </row>
    <row r="86" spans="1:39" s="500" customFormat="1" hidden="1">
      <c r="A86" s="554" t="s">
        <v>710</v>
      </c>
      <c r="B86" s="555" t="s">
        <v>1206</v>
      </c>
      <c r="C86" s="561" t="s">
        <v>40</v>
      </c>
      <c r="D86" s="519"/>
      <c r="E86" s="520"/>
      <c r="F86" s="520"/>
      <c r="G86" s="726"/>
      <c r="H86" s="520"/>
      <c r="I86" s="521"/>
      <c r="J86" s="521"/>
      <c r="K86" s="521"/>
      <c r="L86" s="514"/>
      <c r="M86" s="514"/>
      <c r="N86" s="756"/>
      <c r="O86" s="514"/>
      <c r="P86" s="514"/>
      <c r="Q86" s="514"/>
      <c r="R86" s="514"/>
      <c r="S86" s="514"/>
      <c r="T86" s="514"/>
      <c r="U86" s="756"/>
      <c r="V86" s="514"/>
      <c r="W86" s="514"/>
      <c r="X86" s="514"/>
      <c r="Y86" s="514"/>
      <c r="Z86" s="514"/>
      <c r="AA86" s="514"/>
      <c r="AB86" s="756"/>
      <c r="AC86" s="514"/>
      <c r="AD86" s="514"/>
      <c r="AE86" s="514"/>
      <c r="AF86" s="764"/>
      <c r="AG86" s="514"/>
      <c r="AH86" s="514"/>
      <c r="AI86" s="664">
        <f t="shared" si="7"/>
        <v>0</v>
      </c>
      <c r="AJ86" s="521">
        <v>0</v>
      </c>
      <c r="AK86" s="520">
        <f t="shared" si="8"/>
        <v>0</v>
      </c>
      <c r="AL86" s="672" t="s">
        <v>1470</v>
      </c>
      <c r="AM86" s="669">
        <f t="shared" si="9"/>
        <v>4.6100000000000003</v>
      </c>
    </row>
    <row r="87" spans="1:39" s="500" customFormat="1" hidden="1">
      <c r="A87" s="554" t="s">
        <v>711</v>
      </c>
      <c r="B87" s="555" t="s">
        <v>1172</v>
      </c>
      <c r="C87" s="561" t="s">
        <v>48</v>
      </c>
      <c r="D87" s="519"/>
      <c r="E87" s="520"/>
      <c r="F87" s="520"/>
      <c r="G87" s="726"/>
      <c r="H87" s="520"/>
      <c r="I87" s="521"/>
      <c r="J87" s="521"/>
      <c r="K87" s="521"/>
      <c r="L87" s="514"/>
      <c r="M87" s="514"/>
      <c r="N87" s="756"/>
      <c r="O87" s="514"/>
      <c r="P87" s="514"/>
      <c r="Q87" s="514"/>
      <c r="R87" s="514"/>
      <c r="S87" s="514"/>
      <c r="T87" s="514"/>
      <c r="U87" s="756"/>
      <c r="V87" s="514"/>
      <c r="W87" s="514"/>
      <c r="X87" s="514"/>
      <c r="Y87" s="514"/>
      <c r="Z87" s="514"/>
      <c r="AA87" s="514"/>
      <c r="AB87" s="756"/>
      <c r="AC87" s="514"/>
      <c r="AD87" s="514"/>
      <c r="AE87" s="514"/>
      <c r="AF87" s="764"/>
      <c r="AG87" s="514"/>
      <c r="AH87" s="514"/>
      <c r="AI87" s="664">
        <f t="shared" si="7"/>
        <v>0</v>
      </c>
      <c r="AJ87" s="521">
        <v>0</v>
      </c>
      <c r="AK87" s="520">
        <f t="shared" si="8"/>
        <v>0</v>
      </c>
      <c r="AL87" s="672" t="s">
        <v>1471</v>
      </c>
      <c r="AM87" s="669">
        <f t="shared" si="9"/>
        <v>192.7</v>
      </c>
    </row>
    <row r="88" spans="1:39" s="500" customFormat="1" hidden="1">
      <c r="A88" s="554" t="s">
        <v>712</v>
      </c>
      <c r="B88" s="555" t="s">
        <v>1173</v>
      </c>
      <c r="C88" s="561"/>
      <c r="D88" s="519"/>
      <c r="E88" s="520"/>
      <c r="F88" s="520"/>
      <c r="G88" s="726"/>
      <c r="H88" s="520"/>
      <c r="I88" s="521"/>
      <c r="J88" s="521"/>
      <c r="K88" s="521"/>
      <c r="L88" s="514"/>
      <c r="M88" s="514"/>
      <c r="N88" s="756"/>
      <c r="O88" s="514"/>
      <c r="P88" s="514"/>
      <c r="Q88" s="514"/>
      <c r="R88" s="514"/>
      <c r="S88" s="514"/>
      <c r="T88" s="514"/>
      <c r="U88" s="756"/>
      <c r="V88" s="514"/>
      <c r="W88" s="514"/>
      <c r="X88" s="514"/>
      <c r="Y88" s="514"/>
      <c r="Z88" s="514"/>
      <c r="AA88" s="514"/>
      <c r="AB88" s="756"/>
      <c r="AC88" s="514"/>
      <c r="AD88" s="514"/>
      <c r="AE88" s="514"/>
      <c r="AF88" s="764"/>
      <c r="AG88" s="514"/>
      <c r="AH88" s="514"/>
      <c r="AI88" s="664">
        <f t="shared" si="7"/>
        <v>0</v>
      </c>
      <c r="AJ88" s="521">
        <v>0</v>
      </c>
      <c r="AK88" s="520">
        <f t="shared" si="8"/>
        <v>0</v>
      </c>
      <c r="AL88" s="672"/>
      <c r="AM88" s="669">
        <f t="shared" si="9"/>
        <v>0</v>
      </c>
    </row>
    <row r="89" spans="1:39" s="500" customFormat="1" hidden="1">
      <c r="A89" s="554" t="s">
        <v>713</v>
      </c>
      <c r="B89" s="555" t="s">
        <v>1207</v>
      </c>
      <c r="C89" s="561" t="s">
        <v>40</v>
      </c>
      <c r="D89" s="519"/>
      <c r="E89" s="520"/>
      <c r="F89" s="520"/>
      <c r="G89" s="726"/>
      <c r="H89" s="520"/>
      <c r="I89" s="521"/>
      <c r="J89" s="521"/>
      <c r="K89" s="521"/>
      <c r="L89" s="514"/>
      <c r="M89" s="514"/>
      <c r="N89" s="756"/>
      <c r="O89" s="514"/>
      <c r="P89" s="514"/>
      <c r="Q89" s="514"/>
      <c r="R89" s="514"/>
      <c r="S89" s="514"/>
      <c r="T89" s="514"/>
      <c r="U89" s="756"/>
      <c r="V89" s="514"/>
      <c r="W89" s="514"/>
      <c r="X89" s="514"/>
      <c r="Y89" s="514"/>
      <c r="Z89" s="514"/>
      <c r="AA89" s="514"/>
      <c r="AB89" s="756"/>
      <c r="AC89" s="514"/>
      <c r="AD89" s="514"/>
      <c r="AE89" s="514"/>
      <c r="AF89" s="764"/>
      <c r="AG89" s="514"/>
      <c r="AH89" s="514"/>
      <c r="AI89" s="664">
        <f t="shared" si="7"/>
        <v>0</v>
      </c>
      <c r="AJ89" s="521">
        <v>0</v>
      </c>
      <c r="AK89" s="520">
        <f t="shared" si="8"/>
        <v>0</v>
      </c>
      <c r="AL89" s="672" t="s">
        <v>1566</v>
      </c>
      <c r="AM89" s="669">
        <f t="shared" si="9"/>
        <v>2.19</v>
      </c>
    </row>
    <row r="90" spans="1:39" s="500" customFormat="1" hidden="1">
      <c r="A90" s="554" t="s">
        <v>714</v>
      </c>
      <c r="B90" s="555" t="s">
        <v>1175</v>
      </c>
      <c r="C90" s="561" t="s">
        <v>37</v>
      </c>
      <c r="D90" s="519"/>
      <c r="E90" s="520"/>
      <c r="F90" s="520"/>
      <c r="G90" s="726"/>
      <c r="H90" s="520"/>
      <c r="I90" s="521"/>
      <c r="J90" s="521"/>
      <c r="K90" s="521"/>
      <c r="L90" s="514"/>
      <c r="M90" s="514"/>
      <c r="N90" s="756"/>
      <c r="O90" s="514"/>
      <c r="P90" s="514"/>
      <c r="Q90" s="514"/>
      <c r="R90" s="514"/>
      <c r="S90" s="514"/>
      <c r="T90" s="514"/>
      <c r="U90" s="756"/>
      <c r="V90" s="514"/>
      <c r="W90" s="514"/>
      <c r="X90" s="514"/>
      <c r="Y90" s="514"/>
      <c r="Z90" s="514"/>
      <c r="AA90" s="514"/>
      <c r="AB90" s="756"/>
      <c r="AC90" s="514"/>
      <c r="AD90" s="514"/>
      <c r="AE90" s="514"/>
      <c r="AF90" s="764"/>
      <c r="AG90" s="514"/>
      <c r="AH90" s="514"/>
      <c r="AI90" s="664">
        <f t="shared" si="7"/>
        <v>0</v>
      </c>
      <c r="AJ90" s="521">
        <v>0</v>
      </c>
      <c r="AK90" s="520">
        <f t="shared" si="8"/>
        <v>0</v>
      </c>
      <c r="AL90" s="672" t="s">
        <v>1567</v>
      </c>
      <c r="AM90" s="669">
        <f t="shared" si="9"/>
        <v>17.489999999999998</v>
      </c>
    </row>
    <row r="91" spans="1:39" s="500" customFormat="1" hidden="1">
      <c r="A91" s="554" t="s">
        <v>715</v>
      </c>
      <c r="B91" s="555" t="s">
        <v>1176</v>
      </c>
      <c r="C91" s="561" t="s">
        <v>48</v>
      </c>
      <c r="D91" s="519"/>
      <c r="E91" s="520"/>
      <c r="F91" s="520"/>
      <c r="G91" s="726"/>
      <c r="H91" s="520"/>
      <c r="I91" s="521"/>
      <c r="J91" s="521"/>
      <c r="K91" s="521"/>
      <c r="L91" s="514"/>
      <c r="M91" s="514"/>
      <c r="N91" s="756"/>
      <c r="O91" s="514"/>
      <c r="P91" s="514"/>
      <c r="Q91" s="514"/>
      <c r="R91" s="514"/>
      <c r="S91" s="514"/>
      <c r="T91" s="514"/>
      <c r="U91" s="756"/>
      <c r="V91" s="514"/>
      <c r="W91" s="514"/>
      <c r="X91" s="514"/>
      <c r="Y91" s="514"/>
      <c r="Z91" s="514"/>
      <c r="AA91" s="514"/>
      <c r="AB91" s="756"/>
      <c r="AC91" s="514"/>
      <c r="AD91" s="514"/>
      <c r="AE91" s="514"/>
      <c r="AF91" s="764"/>
      <c r="AG91" s="514"/>
      <c r="AH91" s="514"/>
      <c r="AI91" s="664">
        <f t="shared" si="7"/>
        <v>0</v>
      </c>
      <c r="AJ91" s="521">
        <v>0</v>
      </c>
      <c r="AK91" s="520">
        <f t="shared" si="8"/>
        <v>0</v>
      </c>
      <c r="AL91" s="672" t="s">
        <v>1568</v>
      </c>
      <c r="AM91" s="669">
        <f t="shared" si="9"/>
        <v>179.25</v>
      </c>
    </row>
    <row r="92" spans="1:39" s="500" customFormat="1" hidden="1">
      <c r="A92" s="554" t="s">
        <v>716</v>
      </c>
      <c r="B92" s="555" t="s">
        <v>1177</v>
      </c>
      <c r="C92" s="561"/>
      <c r="D92" s="519"/>
      <c r="E92" s="520"/>
      <c r="F92" s="520"/>
      <c r="G92" s="726"/>
      <c r="H92" s="520"/>
      <c r="I92" s="521"/>
      <c r="J92" s="521"/>
      <c r="K92" s="521"/>
      <c r="L92" s="514"/>
      <c r="M92" s="514"/>
      <c r="N92" s="756"/>
      <c r="O92" s="514"/>
      <c r="P92" s="514"/>
      <c r="Q92" s="514"/>
      <c r="R92" s="514"/>
      <c r="S92" s="514"/>
      <c r="T92" s="514"/>
      <c r="U92" s="756"/>
      <c r="V92" s="514"/>
      <c r="W92" s="514"/>
      <c r="X92" s="514"/>
      <c r="Y92" s="514"/>
      <c r="Z92" s="514"/>
      <c r="AA92" s="514"/>
      <c r="AB92" s="756"/>
      <c r="AC92" s="514"/>
      <c r="AD92" s="514"/>
      <c r="AE92" s="514"/>
      <c r="AF92" s="764"/>
      <c r="AG92" s="514"/>
      <c r="AH92" s="514"/>
      <c r="AI92" s="664">
        <f t="shared" ref="AI92:AI114" si="10">ROUND((SUM(D92:AG92)),2)</f>
        <v>0</v>
      </c>
      <c r="AJ92" s="521">
        <v>0</v>
      </c>
      <c r="AK92" s="520">
        <f t="shared" si="8"/>
        <v>0</v>
      </c>
      <c r="AL92" s="672"/>
      <c r="AM92" s="669">
        <f t="shared" si="9"/>
        <v>0</v>
      </c>
    </row>
    <row r="93" spans="1:39" s="500" customFormat="1" hidden="1">
      <c r="A93" s="554" t="s">
        <v>717</v>
      </c>
      <c r="B93" s="555" t="s">
        <v>1208</v>
      </c>
      <c r="C93" s="561" t="s">
        <v>40</v>
      </c>
      <c r="D93" s="519"/>
      <c r="E93" s="520"/>
      <c r="F93" s="520"/>
      <c r="G93" s="726"/>
      <c r="H93" s="520"/>
      <c r="I93" s="521"/>
      <c r="J93" s="521"/>
      <c r="K93" s="521"/>
      <c r="L93" s="514"/>
      <c r="M93" s="514"/>
      <c r="N93" s="756"/>
      <c r="O93" s="514"/>
      <c r="P93" s="514"/>
      <c r="Q93" s="514"/>
      <c r="R93" s="514"/>
      <c r="S93" s="514"/>
      <c r="T93" s="514"/>
      <c r="U93" s="756"/>
      <c r="V93" s="514"/>
      <c r="W93" s="514"/>
      <c r="X93" s="514"/>
      <c r="Y93" s="514"/>
      <c r="Z93" s="514"/>
      <c r="AA93" s="514"/>
      <c r="AB93" s="756"/>
      <c r="AC93" s="514"/>
      <c r="AD93" s="514"/>
      <c r="AE93" s="514"/>
      <c r="AF93" s="764"/>
      <c r="AG93" s="514"/>
      <c r="AH93" s="514"/>
      <c r="AI93" s="664">
        <f t="shared" si="10"/>
        <v>0</v>
      </c>
      <c r="AJ93" s="521">
        <v>0</v>
      </c>
      <c r="AK93" s="520">
        <f t="shared" si="8"/>
        <v>0</v>
      </c>
      <c r="AL93" s="672" t="s">
        <v>1532</v>
      </c>
      <c r="AM93" s="669">
        <f t="shared" si="9"/>
        <v>2.1800000000000002</v>
      </c>
    </row>
    <row r="94" spans="1:39" s="500" customFormat="1" hidden="1">
      <c r="A94" s="554" t="s">
        <v>718</v>
      </c>
      <c r="B94" s="555" t="s">
        <v>1179</v>
      </c>
      <c r="C94" s="561" t="s">
        <v>37</v>
      </c>
      <c r="D94" s="519"/>
      <c r="E94" s="520"/>
      <c r="F94" s="520"/>
      <c r="G94" s="726"/>
      <c r="H94" s="520"/>
      <c r="I94" s="521"/>
      <c r="J94" s="521"/>
      <c r="K94" s="521"/>
      <c r="L94" s="514"/>
      <c r="M94" s="514"/>
      <c r="N94" s="756"/>
      <c r="O94" s="514"/>
      <c r="P94" s="514"/>
      <c r="Q94" s="514"/>
      <c r="R94" s="514"/>
      <c r="S94" s="514"/>
      <c r="T94" s="514"/>
      <c r="U94" s="756"/>
      <c r="V94" s="514"/>
      <c r="W94" s="514"/>
      <c r="X94" s="514"/>
      <c r="Y94" s="514"/>
      <c r="Z94" s="514"/>
      <c r="AA94" s="514"/>
      <c r="AB94" s="756"/>
      <c r="AC94" s="514"/>
      <c r="AD94" s="514"/>
      <c r="AE94" s="514"/>
      <c r="AF94" s="764"/>
      <c r="AG94" s="514"/>
      <c r="AH94" s="514"/>
      <c r="AI94" s="664">
        <f t="shared" si="10"/>
        <v>0</v>
      </c>
      <c r="AJ94" s="521">
        <v>0</v>
      </c>
      <c r="AK94" s="520">
        <f t="shared" si="8"/>
        <v>0</v>
      </c>
      <c r="AL94" s="672" t="s">
        <v>1569</v>
      </c>
      <c r="AM94" s="669">
        <f t="shared" si="9"/>
        <v>34.799999999999997</v>
      </c>
    </row>
    <row r="95" spans="1:39" s="500" customFormat="1" hidden="1">
      <c r="A95" s="554" t="s">
        <v>719</v>
      </c>
      <c r="B95" s="555" t="s">
        <v>1180</v>
      </c>
      <c r="C95" s="561" t="s">
        <v>48</v>
      </c>
      <c r="D95" s="519"/>
      <c r="E95" s="520"/>
      <c r="F95" s="520"/>
      <c r="G95" s="726"/>
      <c r="H95" s="520"/>
      <c r="I95" s="521"/>
      <c r="J95" s="521"/>
      <c r="K95" s="521"/>
      <c r="L95" s="514"/>
      <c r="M95" s="514"/>
      <c r="N95" s="756"/>
      <c r="O95" s="514"/>
      <c r="P95" s="514"/>
      <c r="Q95" s="514"/>
      <c r="R95" s="514"/>
      <c r="S95" s="514"/>
      <c r="T95" s="514"/>
      <c r="U95" s="756"/>
      <c r="V95" s="514"/>
      <c r="W95" s="514"/>
      <c r="X95" s="514"/>
      <c r="Y95" s="514"/>
      <c r="Z95" s="514"/>
      <c r="AA95" s="514"/>
      <c r="AB95" s="756"/>
      <c r="AC95" s="514"/>
      <c r="AD95" s="514"/>
      <c r="AE95" s="514"/>
      <c r="AF95" s="764"/>
      <c r="AG95" s="514"/>
      <c r="AH95" s="514"/>
      <c r="AI95" s="664">
        <f t="shared" si="10"/>
        <v>0</v>
      </c>
      <c r="AJ95" s="521">
        <v>0</v>
      </c>
      <c r="AK95" s="520">
        <f t="shared" ref="AK95:AK149" si="11">AI95+AJ95</f>
        <v>0</v>
      </c>
      <c r="AL95" s="672" t="s">
        <v>1570</v>
      </c>
      <c r="AM95" s="669">
        <f t="shared" ref="AM95:AM149" si="12">AL95-AK95</f>
        <v>314.66000000000003</v>
      </c>
    </row>
    <row r="96" spans="1:39" s="500" customFormat="1" hidden="1">
      <c r="A96" s="554" t="s">
        <v>720</v>
      </c>
      <c r="B96" s="555" t="s">
        <v>1181</v>
      </c>
      <c r="C96" s="561"/>
      <c r="D96" s="519"/>
      <c r="E96" s="520"/>
      <c r="F96" s="520"/>
      <c r="G96" s="726"/>
      <c r="H96" s="520"/>
      <c r="I96" s="521"/>
      <c r="J96" s="521"/>
      <c r="K96" s="521"/>
      <c r="L96" s="514"/>
      <c r="M96" s="514"/>
      <c r="N96" s="756"/>
      <c r="O96" s="514"/>
      <c r="P96" s="514"/>
      <c r="Q96" s="514"/>
      <c r="R96" s="514"/>
      <c r="S96" s="514"/>
      <c r="T96" s="514"/>
      <c r="U96" s="756"/>
      <c r="V96" s="514"/>
      <c r="W96" s="514"/>
      <c r="X96" s="514"/>
      <c r="Y96" s="514"/>
      <c r="Z96" s="514"/>
      <c r="AA96" s="514"/>
      <c r="AB96" s="756"/>
      <c r="AC96" s="514"/>
      <c r="AD96" s="514"/>
      <c r="AE96" s="514"/>
      <c r="AF96" s="764"/>
      <c r="AG96" s="514"/>
      <c r="AH96" s="514"/>
      <c r="AI96" s="664">
        <f t="shared" si="10"/>
        <v>0</v>
      </c>
      <c r="AJ96" s="521">
        <v>0</v>
      </c>
      <c r="AK96" s="520">
        <f t="shared" si="11"/>
        <v>0</v>
      </c>
      <c r="AL96" s="672"/>
      <c r="AM96" s="669">
        <f t="shared" si="12"/>
        <v>0</v>
      </c>
    </row>
    <row r="97" spans="1:39" s="500" customFormat="1" hidden="1">
      <c r="A97" s="554" t="s">
        <v>721</v>
      </c>
      <c r="B97" s="555" t="s">
        <v>1182</v>
      </c>
      <c r="C97" s="561" t="s">
        <v>40</v>
      </c>
      <c r="D97" s="519"/>
      <c r="E97" s="520"/>
      <c r="F97" s="520"/>
      <c r="G97" s="726"/>
      <c r="H97" s="520"/>
      <c r="I97" s="521"/>
      <c r="J97" s="521"/>
      <c r="K97" s="521"/>
      <c r="L97" s="514"/>
      <c r="M97" s="514"/>
      <c r="N97" s="756"/>
      <c r="O97" s="514"/>
      <c r="P97" s="514"/>
      <c r="Q97" s="514"/>
      <c r="R97" s="514"/>
      <c r="S97" s="514"/>
      <c r="T97" s="514"/>
      <c r="U97" s="756"/>
      <c r="V97" s="514"/>
      <c r="W97" s="514"/>
      <c r="X97" s="514"/>
      <c r="Y97" s="514"/>
      <c r="Z97" s="514"/>
      <c r="AA97" s="514"/>
      <c r="AB97" s="756"/>
      <c r="AC97" s="514"/>
      <c r="AD97" s="514"/>
      <c r="AE97" s="514"/>
      <c r="AF97" s="764"/>
      <c r="AG97" s="514"/>
      <c r="AH97" s="514"/>
      <c r="AI97" s="664">
        <f t="shared" si="10"/>
        <v>0</v>
      </c>
      <c r="AJ97" s="521">
        <v>0</v>
      </c>
      <c r="AK97" s="520">
        <f t="shared" si="11"/>
        <v>0</v>
      </c>
      <c r="AL97" s="672" t="s">
        <v>1478</v>
      </c>
      <c r="AM97" s="669">
        <f t="shared" si="12"/>
        <v>1.49</v>
      </c>
    </row>
    <row r="98" spans="1:39" s="500" customFormat="1" hidden="1">
      <c r="A98" s="554" t="s">
        <v>722</v>
      </c>
      <c r="B98" s="555" t="s">
        <v>1183</v>
      </c>
      <c r="C98" s="561" t="s">
        <v>37</v>
      </c>
      <c r="D98" s="519"/>
      <c r="E98" s="520"/>
      <c r="F98" s="520"/>
      <c r="G98" s="726"/>
      <c r="H98" s="520"/>
      <c r="I98" s="521"/>
      <c r="J98" s="521"/>
      <c r="K98" s="521"/>
      <c r="L98" s="514"/>
      <c r="M98" s="514"/>
      <c r="N98" s="756"/>
      <c r="O98" s="514"/>
      <c r="P98" s="514"/>
      <c r="Q98" s="514"/>
      <c r="R98" s="514"/>
      <c r="S98" s="514"/>
      <c r="T98" s="514"/>
      <c r="U98" s="756"/>
      <c r="V98" s="514"/>
      <c r="W98" s="514"/>
      <c r="X98" s="514"/>
      <c r="Y98" s="514"/>
      <c r="Z98" s="514"/>
      <c r="AA98" s="514"/>
      <c r="AB98" s="756"/>
      <c r="AC98" s="514"/>
      <c r="AD98" s="514"/>
      <c r="AE98" s="514"/>
      <c r="AF98" s="764"/>
      <c r="AG98" s="514"/>
      <c r="AH98" s="514"/>
      <c r="AI98" s="664">
        <f t="shared" si="10"/>
        <v>0</v>
      </c>
      <c r="AJ98" s="521">
        <v>0</v>
      </c>
      <c r="AK98" s="520">
        <f t="shared" si="11"/>
        <v>0</v>
      </c>
      <c r="AL98" s="672" t="s">
        <v>1479</v>
      </c>
      <c r="AM98" s="669">
        <f t="shared" si="12"/>
        <v>19.71</v>
      </c>
    </row>
    <row r="99" spans="1:39" s="500" customFormat="1" hidden="1">
      <c r="A99" s="554" t="s">
        <v>723</v>
      </c>
      <c r="B99" s="555" t="s">
        <v>1184</v>
      </c>
      <c r="C99" s="561" t="s">
        <v>48</v>
      </c>
      <c r="D99" s="519"/>
      <c r="E99" s="520"/>
      <c r="F99" s="520"/>
      <c r="G99" s="726"/>
      <c r="H99" s="520"/>
      <c r="I99" s="521"/>
      <c r="J99" s="521"/>
      <c r="K99" s="521"/>
      <c r="L99" s="514"/>
      <c r="M99" s="514"/>
      <c r="N99" s="756"/>
      <c r="O99" s="514"/>
      <c r="P99" s="514"/>
      <c r="Q99" s="514"/>
      <c r="R99" s="514"/>
      <c r="S99" s="514"/>
      <c r="T99" s="514"/>
      <c r="U99" s="756"/>
      <c r="V99" s="514"/>
      <c r="W99" s="514"/>
      <c r="X99" s="514"/>
      <c r="Y99" s="514"/>
      <c r="Z99" s="514"/>
      <c r="AA99" s="514"/>
      <c r="AB99" s="756"/>
      <c r="AC99" s="514"/>
      <c r="AD99" s="514"/>
      <c r="AE99" s="514"/>
      <c r="AF99" s="764"/>
      <c r="AG99" s="514"/>
      <c r="AH99" s="514"/>
      <c r="AI99" s="664">
        <f t="shared" si="10"/>
        <v>0</v>
      </c>
      <c r="AJ99" s="521">
        <v>0</v>
      </c>
      <c r="AK99" s="520">
        <f t="shared" si="11"/>
        <v>0</v>
      </c>
      <c r="AL99" s="672" t="s">
        <v>1480</v>
      </c>
      <c r="AM99" s="669">
        <f t="shared" si="12"/>
        <v>659.98</v>
      </c>
    </row>
    <row r="100" spans="1:39" s="500" customFormat="1" hidden="1">
      <c r="A100" s="554" t="s">
        <v>724</v>
      </c>
      <c r="B100" s="555" t="s">
        <v>1185</v>
      </c>
      <c r="C100" s="561"/>
      <c r="D100" s="519"/>
      <c r="E100" s="520"/>
      <c r="F100" s="520"/>
      <c r="G100" s="726"/>
      <c r="H100" s="520"/>
      <c r="I100" s="521"/>
      <c r="J100" s="521"/>
      <c r="K100" s="521"/>
      <c r="L100" s="514"/>
      <c r="M100" s="514"/>
      <c r="N100" s="756"/>
      <c r="O100" s="514"/>
      <c r="P100" s="514"/>
      <c r="Q100" s="514"/>
      <c r="R100" s="514"/>
      <c r="S100" s="514"/>
      <c r="T100" s="514"/>
      <c r="U100" s="756"/>
      <c r="V100" s="514"/>
      <c r="W100" s="514"/>
      <c r="X100" s="514"/>
      <c r="Y100" s="514"/>
      <c r="Z100" s="514"/>
      <c r="AA100" s="514"/>
      <c r="AB100" s="756"/>
      <c r="AC100" s="514"/>
      <c r="AD100" s="514"/>
      <c r="AE100" s="514"/>
      <c r="AF100" s="764"/>
      <c r="AG100" s="514"/>
      <c r="AH100" s="514"/>
      <c r="AI100" s="664">
        <f t="shared" si="10"/>
        <v>0</v>
      </c>
      <c r="AJ100" s="521">
        <v>0</v>
      </c>
      <c r="AK100" s="520">
        <f t="shared" si="11"/>
        <v>0</v>
      </c>
      <c r="AL100" s="672"/>
      <c r="AM100" s="669">
        <f t="shared" si="12"/>
        <v>0</v>
      </c>
    </row>
    <row r="101" spans="1:39" s="500" customFormat="1" hidden="1">
      <c r="A101" s="554" t="s">
        <v>725</v>
      </c>
      <c r="B101" s="555" t="s">
        <v>1186</v>
      </c>
      <c r="C101" s="561" t="s">
        <v>40</v>
      </c>
      <c r="D101" s="519"/>
      <c r="E101" s="520"/>
      <c r="F101" s="520"/>
      <c r="G101" s="726"/>
      <c r="H101" s="520"/>
      <c r="I101" s="521"/>
      <c r="J101" s="521"/>
      <c r="K101" s="521"/>
      <c r="L101" s="514"/>
      <c r="M101" s="514"/>
      <c r="N101" s="756"/>
      <c r="O101" s="514"/>
      <c r="P101" s="514"/>
      <c r="Q101" s="514"/>
      <c r="R101" s="514"/>
      <c r="S101" s="514"/>
      <c r="T101" s="514"/>
      <c r="U101" s="756"/>
      <c r="V101" s="514"/>
      <c r="W101" s="514"/>
      <c r="X101" s="514"/>
      <c r="Y101" s="514"/>
      <c r="Z101" s="514"/>
      <c r="AA101" s="514"/>
      <c r="AB101" s="756"/>
      <c r="AC101" s="514"/>
      <c r="AD101" s="514"/>
      <c r="AE101" s="514"/>
      <c r="AF101" s="764"/>
      <c r="AG101" s="514"/>
      <c r="AH101" s="514"/>
      <c r="AI101" s="664">
        <f t="shared" si="10"/>
        <v>0</v>
      </c>
      <c r="AJ101" s="521">
        <v>0</v>
      </c>
      <c r="AK101" s="520">
        <f t="shared" si="11"/>
        <v>0</v>
      </c>
      <c r="AL101" s="672" t="s">
        <v>1571</v>
      </c>
      <c r="AM101" s="669">
        <f t="shared" si="12"/>
        <v>5.6</v>
      </c>
    </row>
    <row r="102" spans="1:39" s="500" customFormat="1" hidden="1">
      <c r="A102" s="554" t="s">
        <v>726</v>
      </c>
      <c r="B102" s="555" t="s">
        <v>1187</v>
      </c>
      <c r="C102" s="561" t="s">
        <v>37</v>
      </c>
      <c r="D102" s="519"/>
      <c r="E102" s="520"/>
      <c r="F102" s="520"/>
      <c r="G102" s="726"/>
      <c r="H102" s="520"/>
      <c r="I102" s="521"/>
      <c r="J102" s="521"/>
      <c r="K102" s="521"/>
      <c r="L102" s="514"/>
      <c r="M102" s="514"/>
      <c r="N102" s="756"/>
      <c r="O102" s="514"/>
      <c r="P102" s="514"/>
      <c r="Q102" s="514"/>
      <c r="R102" s="514"/>
      <c r="S102" s="514"/>
      <c r="T102" s="514"/>
      <c r="U102" s="756"/>
      <c r="V102" s="514"/>
      <c r="W102" s="514"/>
      <c r="X102" s="514"/>
      <c r="Y102" s="514"/>
      <c r="Z102" s="514"/>
      <c r="AA102" s="514"/>
      <c r="AB102" s="756"/>
      <c r="AC102" s="514"/>
      <c r="AD102" s="514"/>
      <c r="AE102" s="514"/>
      <c r="AF102" s="764"/>
      <c r="AG102" s="514"/>
      <c r="AH102" s="514"/>
      <c r="AI102" s="664">
        <f t="shared" si="10"/>
        <v>0</v>
      </c>
      <c r="AJ102" s="521">
        <v>0</v>
      </c>
      <c r="AK102" s="520">
        <f t="shared" si="11"/>
        <v>0</v>
      </c>
      <c r="AL102" s="672" t="s">
        <v>1572</v>
      </c>
      <c r="AM102" s="669">
        <f t="shared" si="12"/>
        <v>48.75</v>
      </c>
    </row>
    <row r="103" spans="1:39" s="500" customFormat="1" hidden="1">
      <c r="A103" s="554" t="s">
        <v>727</v>
      </c>
      <c r="B103" s="555" t="s">
        <v>1188</v>
      </c>
      <c r="C103" s="561" t="s">
        <v>48</v>
      </c>
      <c r="D103" s="519"/>
      <c r="E103" s="520"/>
      <c r="F103" s="520"/>
      <c r="G103" s="726"/>
      <c r="H103" s="520"/>
      <c r="I103" s="521"/>
      <c r="J103" s="521"/>
      <c r="K103" s="521"/>
      <c r="L103" s="514"/>
      <c r="M103" s="514"/>
      <c r="N103" s="756"/>
      <c r="O103" s="514"/>
      <c r="P103" s="514"/>
      <c r="Q103" s="514"/>
      <c r="R103" s="514"/>
      <c r="S103" s="514"/>
      <c r="T103" s="514"/>
      <c r="U103" s="756"/>
      <c r="V103" s="514"/>
      <c r="W103" s="514"/>
      <c r="X103" s="514"/>
      <c r="Y103" s="514"/>
      <c r="Z103" s="514"/>
      <c r="AA103" s="514"/>
      <c r="AB103" s="756"/>
      <c r="AC103" s="514"/>
      <c r="AD103" s="514"/>
      <c r="AE103" s="514"/>
      <c r="AF103" s="764"/>
      <c r="AG103" s="514"/>
      <c r="AH103" s="514"/>
      <c r="AI103" s="664">
        <f t="shared" si="10"/>
        <v>0</v>
      </c>
      <c r="AJ103" s="521">
        <v>0</v>
      </c>
      <c r="AK103" s="520">
        <f t="shared" si="11"/>
        <v>0</v>
      </c>
      <c r="AL103" s="672" t="s">
        <v>1573</v>
      </c>
      <c r="AM103" s="669">
        <f t="shared" si="12"/>
        <v>642.09</v>
      </c>
    </row>
    <row r="104" spans="1:39" s="500" customFormat="1" hidden="1">
      <c r="A104" s="554" t="s">
        <v>728</v>
      </c>
      <c r="B104" s="555" t="s">
        <v>1189</v>
      </c>
      <c r="C104" s="561"/>
      <c r="D104" s="519"/>
      <c r="E104" s="520"/>
      <c r="F104" s="520"/>
      <c r="G104" s="726"/>
      <c r="H104" s="520"/>
      <c r="I104" s="521"/>
      <c r="J104" s="521"/>
      <c r="K104" s="521"/>
      <c r="L104" s="514"/>
      <c r="M104" s="514"/>
      <c r="N104" s="756"/>
      <c r="O104" s="514"/>
      <c r="P104" s="514"/>
      <c r="Q104" s="514"/>
      <c r="R104" s="514"/>
      <c r="S104" s="514"/>
      <c r="T104" s="514"/>
      <c r="U104" s="756"/>
      <c r="V104" s="514"/>
      <c r="W104" s="514"/>
      <c r="X104" s="514"/>
      <c r="Y104" s="514"/>
      <c r="Z104" s="514"/>
      <c r="AA104" s="514"/>
      <c r="AB104" s="756"/>
      <c r="AC104" s="514"/>
      <c r="AD104" s="514"/>
      <c r="AE104" s="514"/>
      <c r="AF104" s="764"/>
      <c r="AG104" s="514"/>
      <c r="AH104" s="514"/>
      <c r="AI104" s="664">
        <f t="shared" si="10"/>
        <v>0</v>
      </c>
      <c r="AJ104" s="521">
        <v>0</v>
      </c>
      <c r="AK104" s="520">
        <f t="shared" si="11"/>
        <v>0</v>
      </c>
      <c r="AL104" s="672"/>
      <c r="AM104" s="669">
        <f t="shared" si="12"/>
        <v>0</v>
      </c>
    </row>
    <row r="105" spans="1:39" s="500" customFormat="1" hidden="1">
      <c r="A105" s="554" t="s">
        <v>729</v>
      </c>
      <c r="B105" s="555" t="s">
        <v>1190</v>
      </c>
      <c r="C105" s="561" t="s">
        <v>40</v>
      </c>
      <c r="D105" s="519"/>
      <c r="E105" s="520"/>
      <c r="F105" s="520"/>
      <c r="G105" s="726"/>
      <c r="H105" s="520"/>
      <c r="I105" s="521"/>
      <c r="J105" s="521"/>
      <c r="K105" s="521"/>
      <c r="L105" s="514"/>
      <c r="M105" s="514"/>
      <c r="N105" s="756"/>
      <c r="O105" s="514"/>
      <c r="P105" s="514"/>
      <c r="Q105" s="514"/>
      <c r="R105" s="514"/>
      <c r="S105" s="514"/>
      <c r="T105" s="514"/>
      <c r="U105" s="756"/>
      <c r="V105" s="514"/>
      <c r="W105" s="514"/>
      <c r="X105" s="514"/>
      <c r="Y105" s="514"/>
      <c r="Z105" s="514"/>
      <c r="AA105" s="514"/>
      <c r="AB105" s="756"/>
      <c r="AC105" s="514"/>
      <c r="AD105" s="514"/>
      <c r="AE105" s="514"/>
      <c r="AF105" s="764"/>
      <c r="AG105" s="514"/>
      <c r="AH105" s="514"/>
      <c r="AI105" s="664">
        <f t="shared" si="10"/>
        <v>0</v>
      </c>
      <c r="AJ105" s="521">
        <v>0</v>
      </c>
      <c r="AK105" s="520">
        <f t="shared" si="11"/>
        <v>0</v>
      </c>
      <c r="AL105" s="672" t="s">
        <v>1574</v>
      </c>
      <c r="AM105" s="669">
        <f t="shared" si="12"/>
        <v>3.36</v>
      </c>
    </row>
    <row r="106" spans="1:39" s="500" customFormat="1" hidden="1">
      <c r="A106" s="554" t="s">
        <v>730</v>
      </c>
      <c r="B106" s="555" t="s">
        <v>1191</v>
      </c>
      <c r="C106" s="561" t="s">
        <v>37</v>
      </c>
      <c r="D106" s="519"/>
      <c r="E106" s="520"/>
      <c r="F106" s="520"/>
      <c r="G106" s="726"/>
      <c r="H106" s="520"/>
      <c r="I106" s="521"/>
      <c r="J106" s="521"/>
      <c r="K106" s="521"/>
      <c r="L106" s="514"/>
      <c r="M106" s="514"/>
      <c r="N106" s="756"/>
      <c r="O106" s="514"/>
      <c r="P106" s="514"/>
      <c r="Q106" s="514"/>
      <c r="R106" s="514"/>
      <c r="S106" s="514"/>
      <c r="T106" s="514"/>
      <c r="U106" s="756"/>
      <c r="V106" s="514"/>
      <c r="W106" s="514"/>
      <c r="X106" s="514"/>
      <c r="Y106" s="514"/>
      <c r="Z106" s="514"/>
      <c r="AA106" s="514"/>
      <c r="AB106" s="756"/>
      <c r="AC106" s="514"/>
      <c r="AD106" s="514"/>
      <c r="AE106" s="514"/>
      <c r="AF106" s="764"/>
      <c r="AG106" s="514"/>
      <c r="AH106" s="514"/>
      <c r="AI106" s="664">
        <f t="shared" si="10"/>
        <v>0</v>
      </c>
      <c r="AJ106" s="521">
        <v>0</v>
      </c>
      <c r="AK106" s="520">
        <f t="shared" si="11"/>
        <v>0</v>
      </c>
      <c r="AL106" s="672" t="s">
        <v>1575</v>
      </c>
      <c r="AM106" s="669">
        <f t="shared" si="12"/>
        <v>38.35</v>
      </c>
    </row>
    <row r="107" spans="1:39" s="500" customFormat="1" hidden="1">
      <c r="A107" s="554" t="s">
        <v>731</v>
      </c>
      <c r="B107" s="555" t="s">
        <v>1192</v>
      </c>
      <c r="C107" s="561" t="s">
        <v>48</v>
      </c>
      <c r="D107" s="519"/>
      <c r="E107" s="520"/>
      <c r="F107" s="520"/>
      <c r="G107" s="726"/>
      <c r="H107" s="520"/>
      <c r="I107" s="521"/>
      <c r="J107" s="521"/>
      <c r="K107" s="521"/>
      <c r="L107" s="514"/>
      <c r="M107" s="514"/>
      <c r="N107" s="756"/>
      <c r="O107" s="514"/>
      <c r="P107" s="514"/>
      <c r="Q107" s="514"/>
      <c r="R107" s="514"/>
      <c r="S107" s="514"/>
      <c r="T107" s="514"/>
      <c r="U107" s="756"/>
      <c r="V107" s="514"/>
      <c r="W107" s="514"/>
      <c r="X107" s="514"/>
      <c r="Y107" s="514"/>
      <c r="Z107" s="514"/>
      <c r="AA107" s="514"/>
      <c r="AB107" s="756"/>
      <c r="AC107" s="514"/>
      <c r="AD107" s="514"/>
      <c r="AE107" s="514"/>
      <c r="AF107" s="764"/>
      <c r="AG107" s="514"/>
      <c r="AH107" s="514"/>
      <c r="AI107" s="664">
        <f t="shared" si="10"/>
        <v>0</v>
      </c>
      <c r="AJ107" s="521">
        <v>0</v>
      </c>
      <c r="AK107" s="520">
        <f t="shared" si="11"/>
        <v>0</v>
      </c>
      <c r="AL107" s="672" t="s">
        <v>1576</v>
      </c>
      <c r="AM107" s="669">
        <f t="shared" si="12"/>
        <v>276.95999999999998</v>
      </c>
    </row>
    <row r="108" spans="1:39" s="500" customFormat="1" hidden="1">
      <c r="A108" s="554" t="s">
        <v>732</v>
      </c>
      <c r="B108" s="555" t="s">
        <v>1193</v>
      </c>
      <c r="C108" s="561" t="s">
        <v>1450</v>
      </c>
      <c r="D108" s="519"/>
      <c r="E108" s="520"/>
      <c r="F108" s="520"/>
      <c r="G108" s="726"/>
      <c r="H108" s="520"/>
      <c r="I108" s="521"/>
      <c r="J108" s="521"/>
      <c r="K108" s="521"/>
      <c r="L108" s="514"/>
      <c r="M108" s="514"/>
      <c r="N108" s="756"/>
      <c r="O108" s="514"/>
      <c r="P108" s="514"/>
      <c r="Q108" s="514"/>
      <c r="R108" s="514"/>
      <c r="S108" s="514"/>
      <c r="T108" s="514"/>
      <c r="U108" s="756"/>
      <c r="V108" s="514"/>
      <c r="W108" s="514"/>
      <c r="X108" s="514"/>
      <c r="Y108" s="514"/>
      <c r="Z108" s="514"/>
      <c r="AA108" s="514"/>
      <c r="AB108" s="756"/>
      <c r="AC108" s="514"/>
      <c r="AD108" s="514"/>
      <c r="AE108" s="514"/>
      <c r="AF108" s="764"/>
      <c r="AG108" s="514"/>
      <c r="AH108" s="514"/>
      <c r="AI108" s="664">
        <f t="shared" si="10"/>
        <v>0</v>
      </c>
      <c r="AJ108" s="521">
        <v>0</v>
      </c>
      <c r="AK108" s="520">
        <f t="shared" si="11"/>
        <v>0</v>
      </c>
      <c r="AL108" s="672" t="s">
        <v>1577</v>
      </c>
      <c r="AM108" s="669">
        <f t="shared" si="12"/>
        <v>319.48</v>
      </c>
    </row>
    <row r="109" spans="1:39" s="500" customFormat="1" hidden="1">
      <c r="A109" s="554" t="s">
        <v>733</v>
      </c>
      <c r="B109" s="555" t="s">
        <v>1194</v>
      </c>
      <c r="C109" s="561"/>
      <c r="D109" s="519"/>
      <c r="E109" s="520"/>
      <c r="F109" s="520"/>
      <c r="G109" s="726"/>
      <c r="H109" s="520"/>
      <c r="I109" s="521"/>
      <c r="J109" s="521"/>
      <c r="K109" s="521"/>
      <c r="L109" s="514"/>
      <c r="M109" s="514"/>
      <c r="N109" s="756"/>
      <c r="O109" s="514"/>
      <c r="P109" s="514"/>
      <c r="Q109" s="514"/>
      <c r="R109" s="514"/>
      <c r="S109" s="514"/>
      <c r="T109" s="514"/>
      <c r="U109" s="756"/>
      <c r="V109" s="514"/>
      <c r="W109" s="514"/>
      <c r="X109" s="514"/>
      <c r="Y109" s="514"/>
      <c r="Z109" s="514"/>
      <c r="AA109" s="514"/>
      <c r="AB109" s="756"/>
      <c r="AC109" s="514"/>
      <c r="AD109" s="514"/>
      <c r="AE109" s="514"/>
      <c r="AF109" s="764"/>
      <c r="AG109" s="514"/>
      <c r="AH109" s="514"/>
      <c r="AI109" s="664">
        <f t="shared" si="10"/>
        <v>0</v>
      </c>
      <c r="AJ109" s="521">
        <v>0</v>
      </c>
      <c r="AK109" s="520">
        <f t="shared" si="11"/>
        <v>0</v>
      </c>
      <c r="AL109" s="672"/>
      <c r="AM109" s="669">
        <f t="shared" si="12"/>
        <v>0</v>
      </c>
    </row>
    <row r="110" spans="1:39" s="500" customFormat="1" hidden="1">
      <c r="A110" s="554" t="s">
        <v>734</v>
      </c>
      <c r="B110" s="555" t="s">
        <v>1195</v>
      </c>
      <c r="C110" s="561" t="s">
        <v>40</v>
      </c>
      <c r="D110" s="519"/>
      <c r="E110" s="520"/>
      <c r="F110" s="520"/>
      <c r="G110" s="726"/>
      <c r="H110" s="520"/>
      <c r="I110" s="521"/>
      <c r="J110" s="521"/>
      <c r="K110" s="521"/>
      <c r="L110" s="514"/>
      <c r="M110" s="514"/>
      <c r="N110" s="756"/>
      <c r="O110" s="514"/>
      <c r="P110" s="514"/>
      <c r="Q110" s="514"/>
      <c r="R110" s="514"/>
      <c r="S110" s="514"/>
      <c r="T110" s="514"/>
      <c r="U110" s="756"/>
      <c r="V110" s="514"/>
      <c r="W110" s="514"/>
      <c r="X110" s="514"/>
      <c r="Y110" s="514"/>
      <c r="Z110" s="514"/>
      <c r="AA110" s="514"/>
      <c r="AB110" s="756"/>
      <c r="AC110" s="514"/>
      <c r="AD110" s="514"/>
      <c r="AE110" s="514"/>
      <c r="AF110" s="764"/>
      <c r="AG110" s="514"/>
      <c r="AH110" s="514"/>
      <c r="AI110" s="664">
        <f t="shared" si="10"/>
        <v>0</v>
      </c>
      <c r="AJ110" s="521">
        <v>0</v>
      </c>
      <c r="AK110" s="520">
        <f t="shared" si="11"/>
        <v>0</v>
      </c>
      <c r="AL110" s="672" t="s">
        <v>1578</v>
      </c>
      <c r="AM110" s="669">
        <f t="shared" si="12"/>
        <v>1.03</v>
      </c>
    </row>
    <row r="111" spans="1:39" s="500" customFormat="1" hidden="1">
      <c r="A111" s="554" t="s">
        <v>735</v>
      </c>
      <c r="B111" s="555" t="s">
        <v>1196</v>
      </c>
      <c r="C111" s="561" t="s">
        <v>37</v>
      </c>
      <c r="D111" s="519"/>
      <c r="E111" s="520"/>
      <c r="F111" s="520"/>
      <c r="G111" s="726"/>
      <c r="H111" s="520"/>
      <c r="I111" s="521"/>
      <c r="J111" s="521"/>
      <c r="K111" s="521"/>
      <c r="L111" s="514"/>
      <c r="M111" s="514"/>
      <c r="N111" s="756"/>
      <c r="O111" s="514"/>
      <c r="P111" s="514"/>
      <c r="Q111" s="514"/>
      <c r="R111" s="514"/>
      <c r="S111" s="514"/>
      <c r="T111" s="514"/>
      <c r="U111" s="756"/>
      <c r="V111" s="514"/>
      <c r="W111" s="514"/>
      <c r="X111" s="514"/>
      <c r="Y111" s="514"/>
      <c r="Z111" s="514"/>
      <c r="AA111" s="514"/>
      <c r="AB111" s="756"/>
      <c r="AC111" s="514"/>
      <c r="AD111" s="514"/>
      <c r="AE111" s="514"/>
      <c r="AF111" s="764"/>
      <c r="AG111" s="514"/>
      <c r="AH111" s="514"/>
      <c r="AI111" s="664">
        <f t="shared" si="10"/>
        <v>0</v>
      </c>
      <c r="AJ111" s="521">
        <v>0</v>
      </c>
      <c r="AK111" s="520">
        <f t="shared" si="11"/>
        <v>0</v>
      </c>
      <c r="AL111" s="672" t="s">
        <v>1579</v>
      </c>
      <c r="AM111" s="669">
        <f t="shared" si="12"/>
        <v>13.74</v>
      </c>
    </row>
    <row r="112" spans="1:39" s="500" customFormat="1" hidden="1">
      <c r="A112" s="554" t="s">
        <v>736</v>
      </c>
      <c r="B112" s="555" t="s">
        <v>1197</v>
      </c>
      <c r="C112" s="561" t="s">
        <v>48</v>
      </c>
      <c r="D112" s="519"/>
      <c r="E112" s="520"/>
      <c r="F112" s="520"/>
      <c r="G112" s="726"/>
      <c r="H112" s="520"/>
      <c r="I112" s="521"/>
      <c r="J112" s="521"/>
      <c r="K112" s="521"/>
      <c r="L112" s="514"/>
      <c r="M112" s="514"/>
      <c r="N112" s="756"/>
      <c r="O112" s="514"/>
      <c r="P112" s="514"/>
      <c r="Q112" s="514"/>
      <c r="R112" s="514"/>
      <c r="S112" s="514"/>
      <c r="T112" s="514"/>
      <c r="U112" s="756"/>
      <c r="V112" s="514"/>
      <c r="W112" s="514"/>
      <c r="X112" s="514"/>
      <c r="Y112" s="514"/>
      <c r="Z112" s="514"/>
      <c r="AA112" s="514"/>
      <c r="AB112" s="756"/>
      <c r="AC112" s="514"/>
      <c r="AD112" s="514"/>
      <c r="AE112" s="514"/>
      <c r="AF112" s="764"/>
      <c r="AG112" s="514"/>
      <c r="AH112" s="514"/>
      <c r="AI112" s="664">
        <f t="shared" si="10"/>
        <v>0</v>
      </c>
      <c r="AJ112" s="521">
        <v>0</v>
      </c>
      <c r="AK112" s="520">
        <f t="shared" si="11"/>
        <v>0</v>
      </c>
      <c r="AL112" s="672" t="s">
        <v>1580</v>
      </c>
      <c r="AM112" s="669">
        <f t="shared" si="12"/>
        <v>65.349999999999994</v>
      </c>
    </row>
    <row r="113" spans="1:39" s="500" customFormat="1" hidden="1">
      <c r="A113" s="554" t="s">
        <v>737</v>
      </c>
      <c r="B113" s="555" t="s">
        <v>1198</v>
      </c>
      <c r="C113" s="561"/>
      <c r="D113" s="519"/>
      <c r="E113" s="520"/>
      <c r="F113" s="520"/>
      <c r="G113" s="726"/>
      <c r="H113" s="520"/>
      <c r="I113" s="521"/>
      <c r="J113" s="521"/>
      <c r="K113" s="521"/>
      <c r="L113" s="514"/>
      <c r="M113" s="514"/>
      <c r="N113" s="756"/>
      <c r="O113" s="514"/>
      <c r="P113" s="514"/>
      <c r="Q113" s="514"/>
      <c r="R113" s="514"/>
      <c r="S113" s="514"/>
      <c r="T113" s="514"/>
      <c r="U113" s="756"/>
      <c r="V113" s="514"/>
      <c r="W113" s="514"/>
      <c r="X113" s="514"/>
      <c r="Y113" s="514"/>
      <c r="Z113" s="514"/>
      <c r="AA113" s="514"/>
      <c r="AB113" s="756"/>
      <c r="AC113" s="514"/>
      <c r="AD113" s="514"/>
      <c r="AE113" s="514"/>
      <c r="AF113" s="764"/>
      <c r="AG113" s="514"/>
      <c r="AH113" s="514"/>
      <c r="AI113" s="664">
        <f t="shared" si="10"/>
        <v>0</v>
      </c>
      <c r="AJ113" s="521">
        <v>0</v>
      </c>
      <c r="AK113" s="520">
        <f t="shared" si="11"/>
        <v>0</v>
      </c>
      <c r="AL113" s="672"/>
      <c r="AM113" s="669">
        <f t="shared" si="12"/>
        <v>0</v>
      </c>
    </row>
    <row r="114" spans="1:39" s="500" customFormat="1" hidden="1">
      <c r="A114" s="554" t="s">
        <v>738</v>
      </c>
      <c r="B114" s="555" t="s">
        <v>1199</v>
      </c>
      <c r="C114" s="561" t="s">
        <v>38</v>
      </c>
      <c r="D114" s="519"/>
      <c r="E114" s="520"/>
      <c r="F114" s="520"/>
      <c r="G114" s="726"/>
      <c r="H114" s="520"/>
      <c r="I114" s="521"/>
      <c r="J114" s="521"/>
      <c r="K114" s="521"/>
      <c r="L114" s="514"/>
      <c r="M114" s="514"/>
      <c r="N114" s="756"/>
      <c r="O114" s="514"/>
      <c r="P114" s="514"/>
      <c r="Q114" s="514"/>
      <c r="R114" s="514"/>
      <c r="S114" s="514"/>
      <c r="T114" s="514"/>
      <c r="U114" s="756"/>
      <c r="V114" s="514"/>
      <c r="W114" s="514"/>
      <c r="X114" s="514"/>
      <c r="Y114" s="514"/>
      <c r="Z114" s="514"/>
      <c r="AA114" s="514"/>
      <c r="AB114" s="756"/>
      <c r="AC114" s="514"/>
      <c r="AD114" s="514"/>
      <c r="AE114" s="514"/>
      <c r="AF114" s="764"/>
      <c r="AG114" s="514"/>
      <c r="AH114" s="514"/>
      <c r="AI114" s="664">
        <f t="shared" si="10"/>
        <v>0</v>
      </c>
      <c r="AJ114" s="521">
        <v>0</v>
      </c>
      <c r="AK114" s="520">
        <f t="shared" si="11"/>
        <v>0</v>
      </c>
      <c r="AL114" s="672" t="s">
        <v>1581</v>
      </c>
      <c r="AM114" s="669">
        <f t="shared" si="12"/>
        <v>110.7</v>
      </c>
    </row>
    <row r="115" spans="1:39" s="500" customFormat="1" ht="13.5" hidden="1" thickBot="1">
      <c r="A115" s="554" t="s">
        <v>748</v>
      </c>
      <c r="B115" s="555" t="s">
        <v>1169</v>
      </c>
      <c r="C115" s="561"/>
      <c r="D115" s="519"/>
      <c r="E115" s="520"/>
      <c r="F115" s="520"/>
      <c r="G115" s="726"/>
      <c r="H115" s="520"/>
      <c r="I115" s="521"/>
      <c r="J115" s="521"/>
      <c r="K115" s="521"/>
      <c r="L115" s="514"/>
      <c r="M115" s="514"/>
      <c r="N115" s="756"/>
      <c r="O115" s="514"/>
      <c r="P115" s="514"/>
      <c r="Q115" s="514"/>
      <c r="R115" s="514"/>
      <c r="S115" s="514"/>
      <c r="T115" s="514"/>
      <c r="U115" s="756"/>
      <c r="V115" s="514"/>
      <c r="W115" s="514"/>
      <c r="X115" s="514"/>
      <c r="Y115" s="514"/>
      <c r="Z115" s="514"/>
      <c r="AA115" s="514"/>
      <c r="AB115" s="756"/>
      <c r="AC115" s="514"/>
      <c r="AD115" s="514"/>
      <c r="AE115" s="514"/>
      <c r="AF115" s="764"/>
      <c r="AG115" s="514"/>
      <c r="AH115" s="514"/>
      <c r="AI115" s="664">
        <f t="shared" ref="AI115:AI178" si="13">ROUND((SUM(D115:L115)),2)</f>
        <v>0</v>
      </c>
      <c r="AJ115" s="521">
        <v>0</v>
      </c>
      <c r="AK115" s="520">
        <f t="shared" si="11"/>
        <v>0</v>
      </c>
      <c r="AL115" s="695"/>
      <c r="AM115" s="669">
        <f t="shared" si="12"/>
        <v>0</v>
      </c>
    </row>
    <row r="116" spans="1:39" s="500" customFormat="1" ht="13.5" hidden="1" thickBot="1">
      <c r="A116" s="554" t="s">
        <v>749</v>
      </c>
      <c r="B116" s="555" t="s">
        <v>1177</v>
      </c>
      <c r="C116" s="561"/>
      <c r="D116" s="519"/>
      <c r="E116" s="520"/>
      <c r="F116" s="520"/>
      <c r="G116" s="726"/>
      <c r="H116" s="520"/>
      <c r="I116" s="521"/>
      <c r="J116" s="521"/>
      <c r="K116" s="521"/>
      <c r="L116" s="514"/>
      <c r="M116" s="514"/>
      <c r="N116" s="756"/>
      <c r="O116" s="514"/>
      <c r="P116" s="514"/>
      <c r="Q116" s="514"/>
      <c r="R116" s="514"/>
      <c r="S116" s="514"/>
      <c r="T116" s="514"/>
      <c r="U116" s="756"/>
      <c r="V116" s="514"/>
      <c r="W116" s="514"/>
      <c r="X116" s="514"/>
      <c r="Y116" s="514"/>
      <c r="Z116" s="514"/>
      <c r="AA116" s="514"/>
      <c r="AB116" s="756"/>
      <c r="AC116" s="514"/>
      <c r="AD116" s="514"/>
      <c r="AE116" s="514"/>
      <c r="AF116" s="764"/>
      <c r="AG116" s="514"/>
      <c r="AH116" s="514"/>
      <c r="AI116" s="664">
        <f t="shared" si="13"/>
        <v>0</v>
      </c>
      <c r="AJ116" s="521">
        <v>0</v>
      </c>
      <c r="AK116" s="520">
        <f t="shared" si="11"/>
        <v>0</v>
      </c>
      <c r="AL116" s="695"/>
      <c r="AM116" s="669">
        <f t="shared" si="12"/>
        <v>0</v>
      </c>
    </row>
    <row r="117" spans="1:39" s="500" customFormat="1" ht="13.5" hidden="1" thickBot="1">
      <c r="A117" s="554" t="s">
        <v>750</v>
      </c>
      <c r="B117" s="555" t="s">
        <v>1208</v>
      </c>
      <c r="C117" s="561" t="s">
        <v>40</v>
      </c>
      <c r="D117" s="519"/>
      <c r="E117" s="520"/>
      <c r="F117" s="520"/>
      <c r="G117" s="726"/>
      <c r="H117" s="520"/>
      <c r="I117" s="521"/>
      <c r="J117" s="521"/>
      <c r="K117" s="521"/>
      <c r="L117" s="514"/>
      <c r="M117" s="514"/>
      <c r="N117" s="756"/>
      <c r="O117" s="514"/>
      <c r="P117" s="514"/>
      <c r="Q117" s="514"/>
      <c r="R117" s="514"/>
      <c r="S117" s="514"/>
      <c r="T117" s="514"/>
      <c r="U117" s="756"/>
      <c r="V117" s="514"/>
      <c r="W117" s="514"/>
      <c r="X117" s="514"/>
      <c r="Y117" s="514"/>
      <c r="Z117" s="514"/>
      <c r="AA117" s="514"/>
      <c r="AB117" s="756"/>
      <c r="AC117" s="514"/>
      <c r="AD117" s="514"/>
      <c r="AE117" s="514"/>
      <c r="AF117" s="764"/>
      <c r="AG117" s="514"/>
      <c r="AH117" s="514"/>
      <c r="AI117" s="664">
        <f t="shared" si="13"/>
        <v>0</v>
      </c>
      <c r="AJ117" s="521">
        <v>0</v>
      </c>
      <c r="AK117" s="520">
        <f t="shared" si="11"/>
        <v>0</v>
      </c>
      <c r="AL117" s="695" t="s">
        <v>1586</v>
      </c>
      <c r="AM117" s="669">
        <f t="shared" si="12"/>
        <v>4.8899999999999997</v>
      </c>
    </row>
    <row r="118" spans="1:39" s="500" customFormat="1" ht="13.5" hidden="1" thickBot="1">
      <c r="A118" s="554" t="s">
        <v>751</v>
      </c>
      <c r="B118" s="555" t="s">
        <v>1179</v>
      </c>
      <c r="C118" s="561" t="s">
        <v>37</v>
      </c>
      <c r="D118" s="519"/>
      <c r="E118" s="520"/>
      <c r="F118" s="520"/>
      <c r="G118" s="726"/>
      <c r="H118" s="520"/>
      <c r="I118" s="521"/>
      <c r="J118" s="521"/>
      <c r="K118" s="521"/>
      <c r="L118" s="514"/>
      <c r="M118" s="514"/>
      <c r="N118" s="756"/>
      <c r="O118" s="514"/>
      <c r="P118" s="514"/>
      <c r="Q118" s="514"/>
      <c r="R118" s="514"/>
      <c r="S118" s="514"/>
      <c r="T118" s="514"/>
      <c r="U118" s="756"/>
      <c r="V118" s="514"/>
      <c r="W118" s="514"/>
      <c r="X118" s="514"/>
      <c r="Y118" s="514"/>
      <c r="Z118" s="514"/>
      <c r="AA118" s="514"/>
      <c r="AB118" s="756"/>
      <c r="AC118" s="514"/>
      <c r="AD118" s="514"/>
      <c r="AE118" s="514"/>
      <c r="AF118" s="764"/>
      <c r="AG118" s="514"/>
      <c r="AH118" s="514"/>
      <c r="AI118" s="664">
        <f t="shared" si="13"/>
        <v>0</v>
      </c>
      <c r="AJ118" s="521">
        <v>0</v>
      </c>
      <c r="AK118" s="520">
        <f t="shared" si="11"/>
        <v>0</v>
      </c>
      <c r="AL118" s="695" t="s">
        <v>1587</v>
      </c>
      <c r="AM118" s="669">
        <f t="shared" si="12"/>
        <v>76.69</v>
      </c>
    </row>
    <row r="119" spans="1:39" s="500" customFormat="1" ht="13.5" hidden="1" thickBot="1">
      <c r="A119" s="554" t="s">
        <v>752</v>
      </c>
      <c r="B119" s="555" t="s">
        <v>1180</v>
      </c>
      <c r="C119" s="561" t="s">
        <v>48</v>
      </c>
      <c r="D119" s="519"/>
      <c r="E119" s="520"/>
      <c r="F119" s="520"/>
      <c r="G119" s="726"/>
      <c r="H119" s="520"/>
      <c r="I119" s="521"/>
      <c r="J119" s="521"/>
      <c r="K119" s="521"/>
      <c r="L119" s="514"/>
      <c r="M119" s="514"/>
      <c r="N119" s="756"/>
      <c r="O119" s="514"/>
      <c r="P119" s="514"/>
      <c r="Q119" s="514"/>
      <c r="R119" s="514"/>
      <c r="S119" s="514"/>
      <c r="T119" s="514"/>
      <c r="U119" s="756"/>
      <c r="V119" s="514"/>
      <c r="W119" s="514"/>
      <c r="X119" s="514"/>
      <c r="Y119" s="514"/>
      <c r="Z119" s="514"/>
      <c r="AA119" s="514"/>
      <c r="AB119" s="756"/>
      <c r="AC119" s="514"/>
      <c r="AD119" s="514"/>
      <c r="AE119" s="514"/>
      <c r="AF119" s="764"/>
      <c r="AG119" s="514"/>
      <c r="AH119" s="514"/>
      <c r="AI119" s="664">
        <f t="shared" si="13"/>
        <v>0</v>
      </c>
      <c r="AJ119" s="521">
        <v>0</v>
      </c>
      <c r="AK119" s="520">
        <f t="shared" si="11"/>
        <v>0</v>
      </c>
      <c r="AL119" s="695" t="s">
        <v>1588</v>
      </c>
      <c r="AM119" s="669">
        <f t="shared" si="12"/>
        <v>947.8</v>
      </c>
    </row>
    <row r="120" spans="1:39" s="500" customFormat="1" ht="13.5" hidden="1" thickBot="1">
      <c r="A120" s="554" t="s">
        <v>753</v>
      </c>
      <c r="B120" s="555" t="s">
        <v>1185</v>
      </c>
      <c r="C120" s="561"/>
      <c r="D120" s="519"/>
      <c r="E120" s="520"/>
      <c r="F120" s="520"/>
      <c r="G120" s="726"/>
      <c r="H120" s="520"/>
      <c r="I120" s="521"/>
      <c r="J120" s="521"/>
      <c r="K120" s="521"/>
      <c r="L120" s="514"/>
      <c r="M120" s="514"/>
      <c r="N120" s="756"/>
      <c r="O120" s="514"/>
      <c r="P120" s="514"/>
      <c r="Q120" s="514"/>
      <c r="R120" s="514"/>
      <c r="S120" s="514"/>
      <c r="T120" s="514"/>
      <c r="U120" s="756"/>
      <c r="V120" s="514"/>
      <c r="W120" s="514"/>
      <c r="X120" s="514"/>
      <c r="Y120" s="514"/>
      <c r="Z120" s="514"/>
      <c r="AA120" s="514"/>
      <c r="AB120" s="756"/>
      <c r="AC120" s="514"/>
      <c r="AD120" s="514"/>
      <c r="AE120" s="514"/>
      <c r="AF120" s="764"/>
      <c r="AG120" s="514"/>
      <c r="AH120" s="514"/>
      <c r="AI120" s="664">
        <f t="shared" si="13"/>
        <v>0</v>
      </c>
      <c r="AJ120" s="521">
        <v>0</v>
      </c>
      <c r="AK120" s="520">
        <f t="shared" si="11"/>
        <v>0</v>
      </c>
      <c r="AL120" s="695"/>
      <c r="AM120" s="669">
        <f t="shared" si="12"/>
        <v>0</v>
      </c>
    </row>
    <row r="121" spans="1:39" s="500" customFormat="1" ht="13.5" hidden="1" thickBot="1">
      <c r="A121" s="554" t="s">
        <v>754</v>
      </c>
      <c r="B121" s="555" t="s">
        <v>1186</v>
      </c>
      <c r="C121" s="561" t="s">
        <v>40</v>
      </c>
      <c r="D121" s="519"/>
      <c r="E121" s="520"/>
      <c r="F121" s="520"/>
      <c r="G121" s="726"/>
      <c r="H121" s="520"/>
      <c r="I121" s="521"/>
      <c r="J121" s="521"/>
      <c r="K121" s="521"/>
      <c r="L121" s="514"/>
      <c r="M121" s="514"/>
      <c r="N121" s="756"/>
      <c r="O121" s="514"/>
      <c r="P121" s="514"/>
      <c r="Q121" s="514"/>
      <c r="R121" s="514"/>
      <c r="S121" s="514"/>
      <c r="T121" s="514"/>
      <c r="U121" s="756"/>
      <c r="V121" s="514"/>
      <c r="W121" s="514"/>
      <c r="X121" s="514"/>
      <c r="Y121" s="514"/>
      <c r="Z121" s="514"/>
      <c r="AA121" s="514"/>
      <c r="AB121" s="756"/>
      <c r="AC121" s="514"/>
      <c r="AD121" s="514"/>
      <c r="AE121" s="514"/>
      <c r="AF121" s="764"/>
      <c r="AG121" s="514"/>
      <c r="AH121" s="514"/>
      <c r="AI121" s="664">
        <f t="shared" si="13"/>
        <v>0</v>
      </c>
      <c r="AJ121" s="521">
        <v>0</v>
      </c>
      <c r="AK121" s="520">
        <f t="shared" si="11"/>
        <v>0</v>
      </c>
      <c r="AL121" s="695" t="s">
        <v>1589</v>
      </c>
      <c r="AM121" s="669">
        <f t="shared" si="12"/>
        <v>4.2300000000000004</v>
      </c>
    </row>
    <row r="122" spans="1:39" s="500" customFormat="1" ht="13.5" hidden="1" thickBot="1">
      <c r="A122" s="554" t="s">
        <v>755</v>
      </c>
      <c r="B122" s="555" t="s">
        <v>1187</v>
      </c>
      <c r="C122" s="561" t="s">
        <v>37</v>
      </c>
      <c r="D122" s="519"/>
      <c r="E122" s="520"/>
      <c r="F122" s="520"/>
      <c r="G122" s="726"/>
      <c r="H122" s="520"/>
      <c r="I122" s="521"/>
      <c r="J122" s="521"/>
      <c r="K122" s="521"/>
      <c r="L122" s="514"/>
      <c r="M122" s="514"/>
      <c r="N122" s="756"/>
      <c r="O122" s="514"/>
      <c r="P122" s="514"/>
      <c r="Q122" s="514"/>
      <c r="R122" s="514"/>
      <c r="S122" s="514"/>
      <c r="T122" s="514"/>
      <c r="U122" s="756"/>
      <c r="V122" s="514"/>
      <c r="W122" s="514"/>
      <c r="X122" s="514"/>
      <c r="Y122" s="514"/>
      <c r="Z122" s="514"/>
      <c r="AA122" s="514"/>
      <c r="AB122" s="756"/>
      <c r="AC122" s="514"/>
      <c r="AD122" s="514"/>
      <c r="AE122" s="514"/>
      <c r="AF122" s="764"/>
      <c r="AG122" s="514"/>
      <c r="AH122" s="514"/>
      <c r="AI122" s="664">
        <f t="shared" si="13"/>
        <v>0</v>
      </c>
      <c r="AJ122" s="521">
        <v>0</v>
      </c>
      <c r="AK122" s="520">
        <f t="shared" si="11"/>
        <v>0</v>
      </c>
      <c r="AL122" s="695" t="s">
        <v>1590</v>
      </c>
      <c r="AM122" s="669">
        <f t="shared" si="12"/>
        <v>49.66</v>
      </c>
    </row>
    <row r="123" spans="1:39" s="500" customFormat="1" ht="13.5" hidden="1" thickBot="1">
      <c r="A123" s="554" t="s">
        <v>756</v>
      </c>
      <c r="B123" s="555" t="s">
        <v>1188</v>
      </c>
      <c r="C123" s="561" t="s">
        <v>48</v>
      </c>
      <c r="D123" s="519"/>
      <c r="E123" s="520"/>
      <c r="F123" s="520"/>
      <c r="G123" s="726"/>
      <c r="H123" s="520"/>
      <c r="I123" s="521"/>
      <c r="J123" s="521"/>
      <c r="K123" s="521"/>
      <c r="L123" s="514"/>
      <c r="M123" s="514"/>
      <c r="N123" s="756"/>
      <c r="O123" s="514"/>
      <c r="P123" s="514"/>
      <c r="Q123" s="514"/>
      <c r="R123" s="514"/>
      <c r="S123" s="514"/>
      <c r="T123" s="514"/>
      <c r="U123" s="756"/>
      <c r="V123" s="514"/>
      <c r="W123" s="514"/>
      <c r="X123" s="514"/>
      <c r="Y123" s="514"/>
      <c r="Z123" s="514"/>
      <c r="AA123" s="514"/>
      <c r="AB123" s="756"/>
      <c r="AC123" s="514"/>
      <c r="AD123" s="514"/>
      <c r="AE123" s="514"/>
      <c r="AF123" s="764"/>
      <c r="AG123" s="514"/>
      <c r="AH123" s="514"/>
      <c r="AI123" s="664">
        <f t="shared" si="13"/>
        <v>0</v>
      </c>
      <c r="AJ123" s="521">
        <v>0</v>
      </c>
      <c r="AK123" s="520">
        <f t="shared" si="11"/>
        <v>0</v>
      </c>
      <c r="AL123" s="695" t="s">
        <v>1591</v>
      </c>
      <c r="AM123" s="669">
        <f t="shared" si="12"/>
        <v>483.02</v>
      </c>
    </row>
    <row r="124" spans="1:39" s="500" customFormat="1" ht="13.5" hidden="1" thickBot="1">
      <c r="A124" s="554" t="s">
        <v>757</v>
      </c>
      <c r="B124" s="555" t="s">
        <v>1213</v>
      </c>
      <c r="C124" s="561"/>
      <c r="D124" s="519"/>
      <c r="E124" s="520"/>
      <c r="F124" s="520"/>
      <c r="G124" s="726"/>
      <c r="H124" s="520"/>
      <c r="I124" s="521"/>
      <c r="J124" s="521"/>
      <c r="K124" s="521"/>
      <c r="L124" s="514"/>
      <c r="M124" s="514"/>
      <c r="N124" s="756"/>
      <c r="O124" s="514"/>
      <c r="P124" s="514"/>
      <c r="Q124" s="514"/>
      <c r="R124" s="514"/>
      <c r="S124" s="514"/>
      <c r="T124" s="514"/>
      <c r="U124" s="756"/>
      <c r="V124" s="514"/>
      <c r="W124" s="514"/>
      <c r="X124" s="514"/>
      <c r="Y124" s="514"/>
      <c r="Z124" s="514"/>
      <c r="AA124" s="514"/>
      <c r="AB124" s="756"/>
      <c r="AC124" s="514"/>
      <c r="AD124" s="514"/>
      <c r="AE124" s="514"/>
      <c r="AF124" s="764"/>
      <c r="AG124" s="514"/>
      <c r="AH124" s="514"/>
      <c r="AI124" s="664">
        <f t="shared" si="13"/>
        <v>0</v>
      </c>
      <c r="AJ124" s="521">
        <v>0</v>
      </c>
      <c r="AK124" s="520">
        <f t="shared" si="11"/>
        <v>0</v>
      </c>
      <c r="AL124" s="695"/>
      <c r="AM124" s="669">
        <f t="shared" si="12"/>
        <v>0</v>
      </c>
    </row>
    <row r="125" spans="1:39" s="500" customFormat="1" ht="13.5" hidden="1" thickBot="1">
      <c r="A125" s="554" t="s">
        <v>758</v>
      </c>
      <c r="B125" s="555" t="s">
        <v>1205</v>
      </c>
      <c r="C125" s="561" t="s">
        <v>40</v>
      </c>
      <c r="D125" s="519"/>
      <c r="E125" s="520"/>
      <c r="F125" s="520"/>
      <c r="G125" s="726"/>
      <c r="H125" s="520"/>
      <c r="I125" s="521"/>
      <c r="J125" s="521"/>
      <c r="K125" s="521"/>
      <c r="L125" s="514"/>
      <c r="M125" s="514"/>
      <c r="N125" s="756"/>
      <c r="O125" s="514"/>
      <c r="P125" s="514"/>
      <c r="Q125" s="514"/>
      <c r="R125" s="514"/>
      <c r="S125" s="514"/>
      <c r="T125" s="514"/>
      <c r="U125" s="756"/>
      <c r="V125" s="514"/>
      <c r="W125" s="514"/>
      <c r="X125" s="514"/>
      <c r="Y125" s="514"/>
      <c r="Z125" s="514"/>
      <c r="AA125" s="514"/>
      <c r="AB125" s="756"/>
      <c r="AC125" s="514"/>
      <c r="AD125" s="514"/>
      <c r="AE125" s="514"/>
      <c r="AF125" s="764"/>
      <c r="AG125" s="514"/>
      <c r="AH125" s="514"/>
      <c r="AI125" s="664">
        <f t="shared" si="13"/>
        <v>0</v>
      </c>
      <c r="AJ125" s="521">
        <v>0</v>
      </c>
      <c r="AK125" s="520">
        <f t="shared" si="11"/>
        <v>0</v>
      </c>
      <c r="AL125" s="695" t="s">
        <v>1592</v>
      </c>
      <c r="AM125" s="669">
        <f t="shared" si="12"/>
        <v>4.24</v>
      </c>
    </row>
    <row r="126" spans="1:39" s="500" customFormat="1" ht="13.5" hidden="1" thickBot="1">
      <c r="A126" s="554" t="s">
        <v>759</v>
      </c>
      <c r="B126" s="555" t="s">
        <v>1214</v>
      </c>
      <c r="C126" s="561" t="s">
        <v>37</v>
      </c>
      <c r="D126" s="519"/>
      <c r="E126" s="520"/>
      <c r="F126" s="520"/>
      <c r="G126" s="726"/>
      <c r="H126" s="520"/>
      <c r="I126" s="521"/>
      <c r="J126" s="521"/>
      <c r="K126" s="521"/>
      <c r="L126" s="514"/>
      <c r="M126" s="514"/>
      <c r="N126" s="756"/>
      <c r="O126" s="514"/>
      <c r="P126" s="514"/>
      <c r="Q126" s="514"/>
      <c r="R126" s="514"/>
      <c r="S126" s="514"/>
      <c r="T126" s="514"/>
      <c r="U126" s="756"/>
      <c r="V126" s="514"/>
      <c r="W126" s="514"/>
      <c r="X126" s="514"/>
      <c r="Y126" s="514"/>
      <c r="Z126" s="514"/>
      <c r="AA126" s="514"/>
      <c r="AB126" s="756"/>
      <c r="AC126" s="514"/>
      <c r="AD126" s="514"/>
      <c r="AE126" s="514"/>
      <c r="AF126" s="764"/>
      <c r="AG126" s="514"/>
      <c r="AH126" s="514"/>
      <c r="AI126" s="664">
        <f t="shared" si="13"/>
        <v>0</v>
      </c>
      <c r="AJ126" s="521">
        <v>0</v>
      </c>
      <c r="AK126" s="520">
        <f t="shared" si="11"/>
        <v>0</v>
      </c>
      <c r="AL126" s="695" t="s">
        <v>1593</v>
      </c>
      <c r="AM126" s="669">
        <f t="shared" si="12"/>
        <v>56.57</v>
      </c>
    </row>
    <row r="127" spans="1:39" s="500" customFormat="1" ht="13.5" hidden="1" thickBot="1">
      <c r="A127" s="554" t="s">
        <v>760</v>
      </c>
      <c r="B127" s="555" t="s">
        <v>1215</v>
      </c>
      <c r="C127" s="561" t="s">
        <v>48</v>
      </c>
      <c r="D127" s="519"/>
      <c r="E127" s="520"/>
      <c r="F127" s="520"/>
      <c r="G127" s="726"/>
      <c r="H127" s="520"/>
      <c r="I127" s="521"/>
      <c r="J127" s="521"/>
      <c r="K127" s="521"/>
      <c r="L127" s="514"/>
      <c r="M127" s="514"/>
      <c r="N127" s="756"/>
      <c r="O127" s="514"/>
      <c r="P127" s="514"/>
      <c r="Q127" s="514"/>
      <c r="R127" s="514"/>
      <c r="S127" s="514"/>
      <c r="T127" s="514"/>
      <c r="U127" s="756"/>
      <c r="V127" s="514"/>
      <c r="W127" s="514"/>
      <c r="X127" s="514"/>
      <c r="Y127" s="514"/>
      <c r="Z127" s="514"/>
      <c r="AA127" s="514"/>
      <c r="AB127" s="756"/>
      <c r="AC127" s="514"/>
      <c r="AD127" s="514"/>
      <c r="AE127" s="514"/>
      <c r="AF127" s="764"/>
      <c r="AG127" s="514"/>
      <c r="AH127" s="514"/>
      <c r="AI127" s="664">
        <f t="shared" si="13"/>
        <v>0</v>
      </c>
      <c r="AJ127" s="521">
        <v>0</v>
      </c>
      <c r="AK127" s="520">
        <f t="shared" si="11"/>
        <v>0</v>
      </c>
      <c r="AL127" s="695" t="s">
        <v>1594</v>
      </c>
      <c r="AM127" s="669">
        <f t="shared" si="12"/>
        <v>438.73</v>
      </c>
    </row>
    <row r="128" spans="1:39" s="500" customFormat="1" ht="13.5" hidden="1" thickBot="1">
      <c r="A128" s="554" t="s">
        <v>761</v>
      </c>
      <c r="B128" s="555" t="s">
        <v>1200</v>
      </c>
      <c r="C128" s="561"/>
      <c r="D128" s="519"/>
      <c r="E128" s="520"/>
      <c r="F128" s="520"/>
      <c r="G128" s="726"/>
      <c r="H128" s="520"/>
      <c r="I128" s="521"/>
      <c r="J128" s="521"/>
      <c r="K128" s="521"/>
      <c r="L128" s="514"/>
      <c r="M128" s="514"/>
      <c r="N128" s="756"/>
      <c r="O128" s="514"/>
      <c r="P128" s="514"/>
      <c r="Q128" s="514"/>
      <c r="R128" s="514"/>
      <c r="S128" s="514"/>
      <c r="T128" s="514"/>
      <c r="U128" s="756"/>
      <c r="V128" s="514"/>
      <c r="W128" s="514"/>
      <c r="X128" s="514"/>
      <c r="Y128" s="514"/>
      <c r="Z128" s="514"/>
      <c r="AA128" s="514"/>
      <c r="AB128" s="756"/>
      <c r="AC128" s="514"/>
      <c r="AD128" s="514"/>
      <c r="AE128" s="514"/>
      <c r="AF128" s="764"/>
      <c r="AG128" s="514"/>
      <c r="AH128" s="514"/>
      <c r="AI128" s="664">
        <f t="shared" si="13"/>
        <v>0</v>
      </c>
      <c r="AJ128" s="521">
        <v>0</v>
      </c>
      <c r="AK128" s="520">
        <f t="shared" si="11"/>
        <v>0</v>
      </c>
      <c r="AL128" s="695"/>
      <c r="AM128" s="669">
        <f t="shared" si="12"/>
        <v>0</v>
      </c>
    </row>
    <row r="129" spans="1:39" s="500" customFormat="1" ht="13.5" hidden="1" thickBot="1">
      <c r="A129" s="554" t="s">
        <v>762</v>
      </c>
      <c r="B129" s="555" t="s">
        <v>1216</v>
      </c>
      <c r="C129" s="561" t="s">
        <v>38</v>
      </c>
      <c r="D129" s="519"/>
      <c r="E129" s="520"/>
      <c r="F129" s="520"/>
      <c r="G129" s="726"/>
      <c r="H129" s="520"/>
      <c r="I129" s="521"/>
      <c r="J129" s="521"/>
      <c r="K129" s="521"/>
      <c r="L129" s="514"/>
      <c r="M129" s="514"/>
      <c r="N129" s="756"/>
      <c r="O129" s="514"/>
      <c r="P129" s="514"/>
      <c r="Q129" s="514"/>
      <c r="R129" s="514"/>
      <c r="S129" s="514"/>
      <c r="T129" s="514"/>
      <c r="U129" s="756"/>
      <c r="V129" s="514"/>
      <c r="W129" s="514"/>
      <c r="X129" s="514"/>
      <c r="Y129" s="514"/>
      <c r="Z129" s="514"/>
      <c r="AA129" s="514"/>
      <c r="AB129" s="756"/>
      <c r="AC129" s="514"/>
      <c r="AD129" s="514"/>
      <c r="AE129" s="514"/>
      <c r="AF129" s="764"/>
      <c r="AG129" s="514"/>
      <c r="AH129" s="514"/>
      <c r="AI129" s="664">
        <f t="shared" si="13"/>
        <v>0</v>
      </c>
      <c r="AJ129" s="521">
        <v>0</v>
      </c>
      <c r="AK129" s="520">
        <f t="shared" si="11"/>
        <v>0</v>
      </c>
      <c r="AL129" s="695" t="s">
        <v>1595</v>
      </c>
      <c r="AM129" s="669">
        <f t="shared" si="12"/>
        <v>36</v>
      </c>
    </row>
    <row r="130" spans="1:39" s="500" customFormat="1" ht="13.5" hidden="1" thickBot="1">
      <c r="A130" s="554" t="s">
        <v>763</v>
      </c>
      <c r="B130" s="555" t="s">
        <v>1217</v>
      </c>
      <c r="C130" s="561"/>
      <c r="D130" s="519"/>
      <c r="E130" s="520"/>
      <c r="F130" s="520"/>
      <c r="G130" s="726"/>
      <c r="H130" s="520"/>
      <c r="I130" s="521"/>
      <c r="J130" s="521"/>
      <c r="K130" s="521"/>
      <c r="L130" s="514"/>
      <c r="M130" s="514"/>
      <c r="N130" s="756"/>
      <c r="O130" s="514"/>
      <c r="P130" s="514"/>
      <c r="Q130" s="514"/>
      <c r="R130" s="514"/>
      <c r="S130" s="514"/>
      <c r="T130" s="514"/>
      <c r="U130" s="756"/>
      <c r="V130" s="514"/>
      <c r="W130" s="514"/>
      <c r="X130" s="514"/>
      <c r="Y130" s="514"/>
      <c r="Z130" s="514"/>
      <c r="AA130" s="514"/>
      <c r="AB130" s="756"/>
      <c r="AC130" s="514"/>
      <c r="AD130" s="514"/>
      <c r="AE130" s="514"/>
      <c r="AF130" s="764"/>
      <c r="AG130" s="514"/>
      <c r="AH130" s="514"/>
      <c r="AI130" s="664">
        <f t="shared" si="13"/>
        <v>0</v>
      </c>
      <c r="AJ130" s="521">
        <v>0</v>
      </c>
      <c r="AK130" s="520">
        <f t="shared" si="11"/>
        <v>0</v>
      </c>
      <c r="AL130" s="695"/>
      <c r="AM130" s="669">
        <f t="shared" si="12"/>
        <v>0</v>
      </c>
    </row>
    <row r="131" spans="1:39" s="500" customFormat="1" ht="13.5" hidden="1" thickBot="1">
      <c r="A131" s="554" t="s">
        <v>764</v>
      </c>
      <c r="B131" s="555" t="s">
        <v>46</v>
      </c>
      <c r="C131" s="561"/>
      <c r="D131" s="519"/>
      <c r="E131" s="520"/>
      <c r="F131" s="520"/>
      <c r="G131" s="726"/>
      <c r="H131" s="520"/>
      <c r="I131" s="521"/>
      <c r="J131" s="521"/>
      <c r="K131" s="521"/>
      <c r="L131" s="514"/>
      <c r="M131" s="514"/>
      <c r="N131" s="756"/>
      <c r="O131" s="514"/>
      <c r="P131" s="514"/>
      <c r="Q131" s="514"/>
      <c r="R131" s="514"/>
      <c r="S131" s="514"/>
      <c r="T131" s="514"/>
      <c r="U131" s="756"/>
      <c r="V131" s="514"/>
      <c r="W131" s="514"/>
      <c r="X131" s="514"/>
      <c r="Y131" s="514"/>
      <c r="Z131" s="514"/>
      <c r="AA131" s="514"/>
      <c r="AB131" s="756"/>
      <c r="AC131" s="514"/>
      <c r="AD131" s="514"/>
      <c r="AE131" s="514"/>
      <c r="AF131" s="764"/>
      <c r="AG131" s="514"/>
      <c r="AH131" s="514"/>
      <c r="AI131" s="664">
        <f t="shared" si="13"/>
        <v>0</v>
      </c>
      <c r="AJ131" s="521">
        <v>0</v>
      </c>
      <c r="AK131" s="520">
        <f t="shared" si="11"/>
        <v>0</v>
      </c>
      <c r="AL131" s="695"/>
      <c r="AM131" s="669">
        <f t="shared" si="12"/>
        <v>0</v>
      </c>
    </row>
    <row r="132" spans="1:39" s="500" customFormat="1" ht="13.5" hidden="1" thickBot="1">
      <c r="A132" s="554" t="s">
        <v>765</v>
      </c>
      <c r="B132" s="555" t="s">
        <v>1212</v>
      </c>
      <c r="C132" s="561" t="s">
        <v>40</v>
      </c>
      <c r="D132" s="519"/>
      <c r="E132" s="520"/>
      <c r="F132" s="520"/>
      <c r="G132" s="726"/>
      <c r="H132" s="520"/>
      <c r="I132" s="521"/>
      <c r="J132" s="521"/>
      <c r="K132" s="521"/>
      <c r="L132" s="514"/>
      <c r="M132" s="514"/>
      <c r="N132" s="756"/>
      <c r="O132" s="514"/>
      <c r="P132" s="514"/>
      <c r="Q132" s="514"/>
      <c r="R132" s="514"/>
      <c r="S132" s="514"/>
      <c r="T132" s="514"/>
      <c r="U132" s="756"/>
      <c r="V132" s="514"/>
      <c r="W132" s="514"/>
      <c r="X132" s="514"/>
      <c r="Y132" s="514"/>
      <c r="Z132" s="514"/>
      <c r="AA132" s="514"/>
      <c r="AB132" s="756"/>
      <c r="AC132" s="514"/>
      <c r="AD132" s="514"/>
      <c r="AE132" s="514"/>
      <c r="AF132" s="764"/>
      <c r="AG132" s="514"/>
      <c r="AH132" s="514"/>
      <c r="AI132" s="664">
        <f t="shared" si="13"/>
        <v>0</v>
      </c>
      <c r="AJ132" s="521">
        <v>0</v>
      </c>
      <c r="AK132" s="520">
        <f t="shared" si="11"/>
        <v>0</v>
      </c>
      <c r="AL132" s="695" t="s">
        <v>1596</v>
      </c>
      <c r="AM132" s="669">
        <f t="shared" si="12"/>
        <v>441.64</v>
      </c>
    </row>
    <row r="133" spans="1:39" s="500" customFormat="1" ht="13.5" hidden="1" thickBot="1">
      <c r="A133" s="554" t="s">
        <v>766</v>
      </c>
      <c r="B133" s="555" t="s">
        <v>1161</v>
      </c>
      <c r="C133" s="561" t="s">
        <v>40</v>
      </c>
      <c r="D133" s="519"/>
      <c r="E133" s="520"/>
      <c r="F133" s="520"/>
      <c r="G133" s="726"/>
      <c r="H133" s="520"/>
      <c r="I133" s="521"/>
      <c r="J133" s="521"/>
      <c r="K133" s="521"/>
      <c r="L133" s="514"/>
      <c r="M133" s="514"/>
      <c r="N133" s="756"/>
      <c r="O133" s="514"/>
      <c r="P133" s="514"/>
      <c r="Q133" s="514"/>
      <c r="R133" s="514"/>
      <c r="S133" s="514"/>
      <c r="T133" s="514"/>
      <c r="U133" s="756"/>
      <c r="V133" s="514"/>
      <c r="W133" s="514"/>
      <c r="X133" s="514"/>
      <c r="Y133" s="514"/>
      <c r="Z133" s="514"/>
      <c r="AA133" s="514"/>
      <c r="AB133" s="756"/>
      <c r="AC133" s="514"/>
      <c r="AD133" s="514"/>
      <c r="AE133" s="514"/>
      <c r="AF133" s="764"/>
      <c r="AG133" s="514"/>
      <c r="AH133" s="514"/>
      <c r="AI133" s="664">
        <f t="shared" si="13"/>
        <v>0</v>
      </c>
      <c r="AJ133" s="521">
        <v>0</v>
      </c>
      <c r="AK133" s="520">
        <f t="shared" si="11"/>
        <v>0</v>
      </c>
      <c r="AL133" s="695" t="s">
        <v>1597</v>
      </c>
      <c r="AM133" s="669">
        <f t="shared" si="12"/>
        <v>574.13</v>
      </c>
    </row>
    <row r="134" spans="1:39" s="500" customFormat="1" ht="13.5" hidden="1" thickBot="1">
      <c r="A134" s="554" t="s">
        <v>767</v>
      </c>
      <c r="B134" s="555" t="s">
        <v>1218</v>
      </c>
      <c r="C134" s="561"/>
      <c r="D134" s="519"/>
      <c r="E134" s="520"/>
      <c r="F134" s="520"/>
      <c r="G134" s="726"/>
      <c r="H134" s="520"/>
      <c r="I134" s="521"/>
      <c r="J134" s="521"/>
      <c r="K134" s="521"/>
      <c r="L134" s="514"/>
      <c r="M134" s="514"/>
      <c r="N134" s="756"/>
      <c r="O134" s="514"/>
      <c r="P134" s="514"/>
      <c r="Q134" s="514"/>
      <c r="R134" s="514"/>
      <c r="S134" s="514"/>
      <c r="T134" s="514"/>
      <c r="U134" s="756"/>
      <c r="V134" s="514"/>
      <c r="W134" s="514"/>
      <c r="X134" s="514"/>
      <c r="Y134" s="514"/>
      <c r="Z134" s="514"/>
      <c r="AA134" s="514"/>
      <c r="AB134" s="756"/>
      <c r="AC134" s="514"/>
      <c r="AD134" s="514"/>
      <c r="AE134" s="514"/>
      <c r="AF134" s="764"/>
      <c r="AG134" s="514"/>
      <c r="AH134" s="514"/>
      <c r="AI134" s="664">
        <f t="shared" si="13"/>
        <v>0</v>
      </c>
      <c r="AJ134" s="521">
        <v>0</v>
      </c>
      <c r="AK134" s="520">
        <f t="shared" si="11"/>
        <v>0</v>
      </c>
      <c r="AL134" s="695"/>
      <c r="AM134" s="669">
        <f t="shared" si="12"/>
        <v>0</v>
      </c>
    </row>
    <row r="135" spans="1:39" s="500" customFormat="1" ht="13.5" hidden="1" thickBot="1">
      <c r="A135" s="554" t="s">
        <v>768</v>
      </c>
      <c r="B135" s="555" t="s">
        <v>1219</v>
      </c>
      <c r="C135" s="561" t="s">
        <v>40</v>
      </c>
      <c r="D135" s="519"/>
      <c r="E135" s="520"/>
      <c r="F135" s="520"/>
      <c r="G135" s="726"/>
      <c r="H135" s="520"/>
      <c r="I135" s="521"/>
      <c r="J135" s="521"/>
      <c r="K135" s="521"/>
      <c r="L135" s="514"/>
      <c r="M135" s="514"/>
      <c r="N135" s="756"/>
      <c r="O135" s="514"/>
      <c r="P135" s="514"/>
      <c r="Q135" s="514"/>
      <c r="R135" s="514"/>
      <c r="S135" s="514"/>
      <c r="T135" s="514"/>
      <c r="U135" s="756"/>
      <c r="V135" s="514"/>
      <c r="W135" s="514"/>
      <c r="X135" s="514"/>
      <c r="Y135" s="514"/>
      <c r="Z135" s="514"/>
      <c r="AA135" s="514"/>
      <c r="AB135" s="756"/>
      <c r="AC135" s="514"/>
      <c r="AD135" s="514"/>
      <c r="AE135" s="514"/>
      <c r="AF135" s="764"/>
      <c r="AG135" s="514"/>
      <c r="AH135" s="514"/>
      <c r="AI135" s="664">
        <f t="shared" si="13"/>
        <v>0</v>
      </c>
      <c r="AJ135" s="521">
        <v>0</v>
      </c>
      <c r="AK135" s="520">
        <f t="shared" si="11"/>
        <v>0</v>
      </c>
      <c r="AL135" s="695" t="s">
        <v>1598</v>
      </c>
      <c r="AM135" s="669">
        <f t="shared" si="12"/>
        <v>204.01</v>
      </c>
    </row>
    <row r="136" spans="1:39" s="500" customFormat="1" ht="13.5" hidden="1" thickBot="1">
      <c r="A136" s="554" t="s">
        <v>769</v>
      </c>
      <c r="B136" s="555" t="s">
        <v>1220</v>
      </c>
      <c r="C136" s="561" t="s">
        <v>37</v>
      </c>
      <c r="D136" s="519"/>
      <c r="E136" s="520"/>
      <c r="F136" s="520"/>
      <c r="G136" s="726"/>
      <c r="H136" s="520"/>
      <c r="I136" s="521"/>
      <c r="J136" s="521"/>
      <c r="K136" s="521"/>
      <c r="L136" s="514"/>
      <c r="M136" s="514"/>
      <c r="N136" s="756"/>
      <c r="O136" s="514"/>
      <c r="P136" s="514"/>
      <c r="Q136" s="514"/>
      <c r="R136" s="514"/>
      <c r="S136" s="514"/>
      <c r="T136" s="514"/>
      <c r="U136" s="756"/>
      <c r="V136" s="514"/>
      <c r="W136" s="514"/>
      <c r="X136" s="514"/>
      <c r="Y136" s="514"/>
      <c r="Z136" s="514"/>
      <c r="AA136" s="514"/>
      <c r="AB136" s="756"/>
      <c r="AC136" s="514"/>
      <c r="AD136" s="514"/>
      <c r="AE136" s="514"/>
      <c r="AF136" s="764"/>
      <c r="AG136" s="514"/>
      <c r="AH136" s="514"/>
      <c r="AI136" s="664">
        <f t="shared" si="13"/>
        <v>0</v>
      </c>
      <c r="AJ136" s="521">
        <v>0</v>
      </c>
      <c r="AK136" s="520">
        <f t="shared" si="11"/>
        <v>0</v>
      </c>
      <c r="AL136" s="695" t="s">
        <v>1599</v>
      </c>
      <c r="AM136" s="669">
        <f t="shared" si="12"/>
        <v>550.44000000000005</v>
      </c>
    </row>
    <row r="137" spans="1:39" s="500" customFormat="1" ht="13.5" hidden="1" thickBot="1">
      <c r="A137" s="554" t="s">
        <v>770</v>
      </c>
      <c r="B137" s="555" t="s">
        <v>1221</v>
      </c>
      <c r="C137" s="561" t="s">
        <v>48</v>
      </c>
      <c r="D137" s="519"/>
      <c r="E137" s="520"/>
      <c r="F137" s="520"/>
      <c r="G137" s="726"/>
      <c r="H137" s="520"/>
      <c r="I137" s="521"/>
      <c r="J137" s="521"/>
      <c r="K137" s="521"/>
      <c r="L137" s="514"/>
      <c r="M137" s="514"/>
      <c r="N137" s="756"/>
      <c r="O137" s="514"/>
      <c r="P137" s="514"/>
      <c r="Q137" s="514"/>
      <c r="R137" s="514"/>
      <c r="S137" s="514"/>
      <c r="T137" s="514"/>
      <c r="U137" s="756"/>
      <c r="V137" s="514"/>
      <c r="W137" s="514"/>
      <c r="X137" s="514"/>
      <c r="Y137" s="514"/>
      <c r="Z137" s="514"/>
      <c r="AA137" s="514"/>
      <c r="AB137" s="756"/>
      <c r="AC137" s="514"/>
      <c r="AD137" s="514"/>
      <c r="AE137" s="514"/>
      <c r="AF137" s="764"/>
      <c r="AG137" s="514"/>
      <c r="AH137" s="514"/>
      <c r="AI137" s="664">
        <f t="shared" si="13"/>
        <v>0</v>
      </c>
      <c r="AJ137" s="521">
        <v>0</v>
      </c>
      <c r="AK137" s="520">
        <f t="shared" si="11"/>
        <v>0</v>
      </c>
      <c r="AL137" s="695" t="s">
        <v>1600</v>
      </c>
      <c r="AM137" s="669">
        <f t="shared" si="12"/>
        <v>15448.74</v>
      </c>
    </row>
    <row r="138" spans="1:39" s="500" customFormat="1" ht="13.5" hidden="1" thickBot="1">
      <c r="A138" s="554" t="s">
        <v>771</v>
      </c>
      <c r="B138" s="555" t="s">
        <v>1200</v>
      </c>
      <c r="C138" s="561"/>
      <c r="D138" s="519"/>
      <c r="E138" s="520"/>
      <c r="F138" s="520"/>
      <c r="G138" s="726"/>
      <c r="H138" s="520"/>
      <c r="I138" s="521"/>
      <c r="J138" s="521"/>
      <c r="K138" s="521"/>
      <c r="L138" s="514"/>
      <c r="M138" s="514"/>
      <c r="N138" s="756"/>
      <c r="O138" s="514"/>
      <c r="P138" s="514"/>
      <c r="Q138" s="514"/>
      <c r="R138" s="514"/>
      <c r="S138" s="514"/>
      <c r="T138" s="514"/>
      <c r="U138" s="756"/>
      <c r="V138" s="514"/>
      <c r="W138" s="514"/>
      <c r="X138" s="514"/>
      <c r="Y138" s="514"/>
      <c r="Z138" s="514"/>
      <c r="AA138" s="514"/>
      <c r="AB138" s="756"/>
      <c r="AC138" s="514"/>
      <c r="AD138" s="514"/>
      <c r="AE138" s="514"/>
      <c r="AF138" s="764"/>
      <c r="AG138" s="514"/>
      <c r="AH138" s="514"/>
      <c r="AI138" s="664">
        <f t="shared" si="13"/>
        <v>0</v>
      </c>
      <c r="AJ138" s="521">
        <v>0</v>
      </c>
      <c r="AK138" s="520">
        <f t="shared" si="11"/>
        <v>0</v>
      </c>
      <c r="AL138" s="695"/>
      <c r="AM138" s="669">
        <f t="shared" si="12"/>
        <v>0</v>
      </c>
    </row>
    <row r="139" spans="1:39" s="500" customFormat="1" ht="13.5" hidden="1" thickBot="1">
      <c r="A139" s="554" t="s">
        <v>772</v>
      </c>
      <c r="B139" s="555" t="s">
        <v>1222</v>
      </c>
      <c r="C139" s="561" t="s">
        <v>38</v>
      </c>
      <c r="D139" s="519"/>
      <c r="E139" s="520"/>
      <c r="F139" s="520"/>
      <c r="G139" s="726"/>
      <c r="H139" s="520"/>
      <c r="I139" s="521"/>
      <c r="J139" s="521"/>
      <c r="K139" s="521"/>
      <c r="L139" s="514"/>
      <c r="M139" s="514"/>
      <c r="N139" s="756"/>
      <c r="O139" s="514"/>
      <c r="P139" s="514"/>
      <c r="Q139" s="514"/>
      <c r="R139" s="514"/>
      <c r="S139" s="514"/>
      <c r="T139" s="514"/>
      <c r="U139" s="756"/>
      <c r="V139" s="514"/>
      <c r="W139" s="514"/>
      <c r="X139" s="514"/>
      <c r="Y139" s="514"/>
      <c r="Z139" s="514"/>
      <c r="AA139" s="514"/>
      <c r="AB139" s="756"/>
      <c r="AC139" s="514"/>
      <c r="AD139" s="514"/>
      <c r="AE139" s="514"/>
      <c r="AF139" s="764"/>
      <c r="AG139" s="514"/>
      <c r="AH139" s="514"/>
      <c r="AI139" s="664">
        <f t="shared" si="13"/>
        <v>0</v>
      </c>
      <c r="AJ139" s="521">
        <v>0</v>
      </c>
      <c r="AK139" s="520">
        <f t="shared" si="11"/>
        <v>0</v>
      </c>
      <c r="AL139" s="695" t="s">
        <v>1601</v>
      </c>
      <c r="AM139" s="669">
        <f t="shared" si="12"/>
        <v>111.93</v>
      </c>
    </row>
    <row r="140" spans="1:39" s="500" customFormat="1" ht="13.5" hidden="1" thickBot="1">
      <c r="A140" s="554" t="s">
        <v>773</v>
      </c>
      <c r="B140" s="555" t="s">
        <v>225</v>
      </c>
      <c r="C140" s="561" t="s">
        <v>1450</v>
      </c>
      <c r="D140" s="519"/>
      <c r="E140" s="520"/>
      <c r="F140" s="520"/>
      <c r="G140" s="726"/>
      <c r="H140" s="520"/>
      <c r="I140" s="521"/>
      <c r="J140" s="521"/>
      <c r="K140" s="521"/>
      <c r="L140" s="514"/>
      <c r="M140" s="514"/>
      <c r="N140" s="756"/>
      <c r="O140" s="514"/>
      <c r="P140" s="514"/>
      <c r="Q140" s="514"/>
      <c r="R140" s="514"/>
      <c r="S140" s="514"/>
      <c r="T140" s="514"/>
      <c r="U140" s="756"/>
      <c r="V140" s="514"/>
      <c r="W140" s="514"/>
      <c r="X140" s="514"/>
      <c r="Y140" s="514"/>
      <c r="Z140" s="514"/>
      <c r="AA140" s="514"/>
      <c r="AB140" s="756"/>
      <c r="AC140" s="514"/>
      <c r="AD140" s="514"/>
      <c r="AE140" s="514"/>
      <c r="AF140" s="764"/>
      <c r="AG140" s="514"/>
      <c r="AH140" s="514"/>
      <c r="AI140" s="664">
        <f t="shared" si="13"/>
        <v>0</v>
      </c>
      <c r="AJ140" s="521">
        <v>0</v>
      </c>
      <c r="AK140" s="520">
        <f t="shared" si="11"/>
        <v>0</v>
      </c>
      <c r="AL140" s="695" t="s">
        <v>1602</v>
      </c>
      <c r="AM140" s="669">
        <f t="shared" si="12"/>
        <v>24</v>
      </c>
    </row>
    <row r="141" spans="1:39" s="500" customFormat="1" ht="13.5" hidden="1" thickBot="1">
      <c r="A141" s="554" t="s">
        <v>774</v>
      </c>
      <c r="B141" s="555" t="s">
        <v>1223</v>
      </c>
      <c r="C141" s="561"/>
      <c r="D141" s="519"/>
      <c r="E141" s="520"/>
      <c r="F141" s="520"/>
      <c r="G141" s="726"/>
      <c r="H141" s="520"/>
      <c r="I141" s="521"/>
      <c r="J141" s="521"/>
      <c r="K141" s="521"/>
      <c r="L141" s="514"/>
      <c r="M141" s="514"/>
      <c r="N141" s="756"/>
      <c r="O141" s="514"/>
      <c r="P141" s="514"/>
      <c r="Q141" s="514"/>
      <c r="R141" s="514"/>
      <c r="S141" s="514"/>
      <c r="T141" s="514"/>
      <c r="U141" s="756"/>
      <c r="V141" s="514"/>
      <c r="W141" s="514"/>
      <c r="X141" s="514"/>
      <c r="Y141" s="514"/>
      <c r="Z141" s="514"/>
      <c r="AA141" s="514"/>
      <c r="AB141" s="756"/>
      <c r="AC141" s="514"/>
      <c r="AD141" s="514"/>
      <c r="AE141" s="514"/>
      <c r="AF141" s="764"/>
      <c r="AG141" s="514"/>
      <c r="AH141" s="514"/>
      <c r="AI141" s="664">
        <f t="shared" si="13"/>
        <v>0</v>
      </c>
      <c r="AJ141" s="521">
        <v>0</v>
      </c>
      <c r="AK141" s="520">
        <f t="shared" si="11"/>
        <v>0</v>
      </c>
      <c r="AL141" s="695"/>
      <c r="AM141" s="669">
        <f t="shared" si="12"/>
        <v>0</v>
      </c>
    </row>
    <row r="142" spans="1:39" s="500" customFormat="1" ht="13.5" hidden="1" thickBot="1">
      <c r="A142" s="554" t="s">
        <v>775</v>
      </c>
      <c r="B142" s="555" t="s">
        <v>46</v>
      </c>
      <c r="C142" s="561"/>
      <c r="D142" s="519"/>
      <c r="E142" s="520"/>
      <c r="F142" s="520"/>
      <c r="G142" s="726"/>
      <c r="H142" s="520"/>
      <c r="I142" s="521"/>
      <c r="J142" s="521"/>
      <c r="K142" s="521"/>
      <c r="L142" s="514"/>
      <c r="M142" s="514"/>
      <c r="N142" s="756"/>
      <c r="O142" s="514"/>
      <c r="P142" s="514"/>
      <c r="Q142" s="514"/>
      <c r="R142" s="514"/>
      <c r="S142" s="514"/>
      <c r="T142" s="514"/>
      <c r="U142" s="756"/>
      <c r="V142" s="514"/>
      <c r="W142" s="514"/>
      <c r="X142" s="514"/>
      <c r="Y142" s="514"/>
      <c r="Z142" s="514"/>
      <c r="AA142" s="514"/>
      <c r="AB142" s="756"/>
      <c r="AC142" s="514"/>
      <c r="AD142" s="514"/>
      <c r="AE142" s="514"/>
      <c r="AF142" s="764"/>
      <c r="AG142" s="514"/>
      <c r="AH142" s="514"/>
      <c r="AI142" s="664">
        <f t="shared" si="13"/>
        <v>0</v>
      </c>
      <c r="AJ142" s="521">
        <v>0</v>
      </c>
      <c r="AK142" s="520">
        <f t="shared" si="11"/>
        <v>0</v>
      </c>
      <c r="AL142" s="695"/>
      <c r="AM142" s="669">
        <f t="shared" si="12"/>
        <v>0</v>
      </c>
    </row>
    <row r="143" spans="1:39" s="500" customFormat="1" ht="13.5" hidden="1" thickBot="1">
      <c r="A143" s="554" t="s">
        <v>776</v>
      </c>
      <c r="B143" s="555" t="s">
        <v>1212</v>
      </c>
      <c r="C143" s="561" t="s">
        <v>40</v>
      </c>
      <c r="D143" s="519"/>
      <c r="E143" s="520"/>
      <c r="F143" s="520"/>
      <c r="G143" s="726"/>
      <c r="H143" s="520"/>
      <c r="I143" s="521"/>
      <c r="J143" s="521"/>
      <c r="K143" s="521"/>
      <c r="L143" s="514"/>
      <c r="M143" s="514"/>
      <c r="N143" s="756"/>
      <c r="O143" s="514"/>
      <c r="P143" s="514"/>
      <c r="Q143" s="514"/>
      <c r="R143" s="514"/>
      <c r="S143" s="514"/>
      <c r="T143" s="514"/>
      <c r="U143" s="756"/>
      <c r="V143" s="514"/>
      <c r="W143" s="514"/>
      <c r="X143" s="514"/>
      <c r="Y143" s="514"/>
      <c r="Z143" s="514"/>
      <c r="AA143" s="514"/>
      <c r="AB143" s="756"/>
      <c r="AC143" s="514"/>
      <c r="AD143" s="514"/>
      <c r="AE143" s="514"/>
      <c r="AF143" s="764"/>
      <c r="AG143" s="514"/>
      <c r="AH143" s="514"/>
      <c r="AI143" s="664">
        <f t="shared" si="13"/>
        <v>0</v>
      </c>
      <c r="AJ143" s="521">
        <v>0</v>
      </c>
      <c r="AK143" s="520">
        <f t="shared" si="11"/>
        <v>0</v>
      </c>
      <c r="AL143" s="695" t="s">
        <v>1603</v>
      </c>
      <c r="AM143" s="669">
        <f t="shared" si="12"/>
        <v>95.88</v>
      </c>
    </row>
    <row r="144" spans="1:39" s="500" customFormat="1" ht="13.5" hidden="1" thickBot="1">
      <c r="A144" s="554" t="s">
        <v>777</v>
      </c>
      <c r="B144" s="555" t="s">
        <v>1161</v>
      </c>
      <c r="C144" s="561" t="s">
        <v>40</v>
      </c>
      <c r="D144" s="519"/>
      <c r="E144" s="520"/>
      <c r="F144" s="520"/>
      <c r="G144" s="726"/>
      <c r="H144" s="520"/>
      <c r="I144" s="521"/>
      <c r="J144" s="521"/>
      <c r="K144" s="521"/>
      <c r="L144" s="514"/>
      <c r="M144" s="514"/>
      <c r="N144" s="756"/>
      <c r="O144" s="514"/>
      <c r="P144" s="514"/>
      <c r="Q144" s="514"/>
      <c r="R144" s="514"/>
      <c r="S144" s="514"/>
      <c r="T144" s="514"/>
      <c r="U144" s="756"/>
      <c r="V144" s="514"/>
      <c r="W144" s="514"/>
      <c r="X144" s="514"/>
      <c r="Y144" s="514"/>
      <c r="Z144" s="514"/>
      <c r="AA144" s="514"/>
      <c r="AB144" s="756"/>
      <c r="AC144" s="514"/>
      <c r="AD144" s="514"/>
      <c r="AE144" s="514"/>
      <c r="AF144" s="764"/>
      <c r="AG144" s="514"/>
      <c r="AH144" s="514"/>
      <c r="AI144" s="664">
        <f t="shared" si="13"/>
        <v>0</v>
      </c>
      <c r="AJ144" s="521">
        <v>0</v>
      </c>
      <c r="AK144" s="520">
        <f t="shared" si="11"/>
        <v>0</v>
      </c>
      <c r="AL144" s="695" t="s">
        <v>1604</v>
      </c>
      <c r="AM144" s="669">
        <f t="shared" si="12"/>
        <v>124.65</v>
      </c>
    </row>
    <row r="145" spans="1:39" s="500" customFormat="1" ht="13.5" hidden="1" thickBot="1">
      <c r="A145" s="554" t="s">
        <v>778</v>
      </c>
      <c r="B145" s="555" t="s">
        <v>1162</v>
      </c>
      <c r="C145" s="561"/>
      <c r="D145" s="519"/>
      <c r="E145" s="520"/>
      <c r="F145" s="520"/>
      <c r="G145" s="726"/>
      <c r="H145" s="520"/>
      <c r="I145" s="521"/>
      <c r="J145" s="521"/>
      <c r="K145" s="521"/>
      <c r="L145" s="514"/>
      <c r="M145" s="514"/>
      <c r="N145" s="756"/>
      <c r="O145" s="514"/>
      <c r="P145" s="514"/>
      <c r="Q145" s="514"/>
      <c r="R145" s="514"/>
      <c r="S145" s="514"/>
      <c r="T145" s="514"/>
      <c r="U145" s="756"/>
      <c r="V145" s="514"/>
      <c r="W145" s="514"/>
      <c r="X145" s="514"/>
      <c r="Y145" s="514"/>
      <c r="Z145" s="514"/>
      <c r="AA145" s="514"/>
      <c r="AB145" s="756"/>
      <c r="AC145" s="514"/>
      <c r="AD145" s="514"/>
      <c r="AE145" s="514"/>
      <c r="AF145" s="764"/>
      <c r="AG145" s="514"/>
      <c r="AH145" s="514"/>
      <c r="AI145" s="664">
        <f t="shared" si="13"/>
        <v>0</v>
      </c>
      <c r="AJ145" s="521">
        <v>0</v>
      </c>
      <c r="AK145" s="520">
        <f t="shared" si="11"/>
        <v>0</v>
      </c>
      <c r="AL145" s="695"/>
      <c r="AM145" s="669">
        <f t="shared" si="12"/>
        <v>0</v>
      </c>
    </row>
    <row r="146" spans="1:39" s="500" customFormat="1" ht="13.5" hidden="1" thickBot="1">
      <c r="A146" s="554" t="s">
        <v>779</v>
      </c>
      <c r="B146" s="555" t="s">
        <v>1204</v>
      </c>
      <c r="C146" s="561" t="s">
        <v>40</v>
      </c>
      <c r="D146" s="519"/>
      <c r="E146" s="520"/>
      <c r="F146" s="520"/>
      <c r="G146" s="726"/>
      <c r="H146" s="520"/>
      <c r="I146" s="521"/>
      <c r="J146" s="521"/>
      <c r="K146" s="521"/>
      <c r="L146" s="514"/>
      <c r="M146" s="514"/>
      <c r="N146" s="756"/>
      <c r="O146" s="514"/>
      <c r="P146" s="514"/>
      <c r="Q146" s="514"/>
      <c r="R146" s="514"/>
      <c r="S146" s="514"/>
      <c r="T146" s="514"/>
      <c r="U146" s="756"/>
      <c r="V146" s="514"/>
      <c r="W146" s="514"/>
      <c r="X146" s="514"/>
      <c r="Y146" s="514"/>
      <c r="Z146" s="514"/>
      <c r="AA146" s="514"/>
      <c r="AB146" s="756"/>
      <c r="AC146" s="514"/>
      <c r="AD146" s="514"/>
      <c r="AE146" s="514"/>
      <c r="AF146" s="764"/>
      <c r="AG146" s="514"/>
      <c r="AH146" s="514"/>
      <c r="AI146" s="664">
        <f t="shared" si="13"/>
        <v>0</v>
      </c>
      <c r="AJ146" s="521">
        <v>0</v>
      </c>
      <c r="AK146" s="520">
        <f t="shared" si="11"/>
        <v>0</v>
      </c>
      <c r="AL146" s="695" t="s">
        <v>1605</v>
      </c>
      <c r="AM146" s="669">
        <f t="shared" si="12"/>
        <v>81.67</v>
      </c>
    </row>
    <row r="147" spans="1:39" s="500" customFormat="1" ht="13.5" hidden="1" thickBot="1">
      <c r="A147" s="554" t="s">
        <v>780</v>
      </c>
      <c r="B147" s="555" t="s">
        <v>1224</v>
      </c>
      <c r="C147" s="561" t="s">
        <v>37</v>
      </c>
      <c r="D147" s="519"/>
      <c r="E147" s="520"/>
      <c r="F147" s="520"/>
      <c r="G147" s="726"/>
      <c r="H147" s="520"/>
      <c r="I147" s="521"/>
      <c r="J147" s="521"/>
      <c r="K147" s="521"/>
      <c r="L147" s="514"/>
      <c r="M147" s="514"/>
      <c r="N147" s="756"/>
      <c r="O147" s="514"/>
      <c r="P147" s="514"/>
      <c r="Q147" s="514"/>
      <c r="R147" s="514"/>
      <c r="S147" s="514"/>
      <c r="T147" s="514"/>
      <c r="U147" s="756"/>
      <c r="V147" s="514"/>
      <c r="W147" s="514"/>
      <c r="X147" s="514"/>
      <c r="Y147" s="514"/>
      <c r="Z147" s="514"/>
      <c r="AA147" s="514"/>
      <c r="AB147" s="756"/>
      <c r="AC147" s="514"/>
      <c r="AD147" s="514"/>
      <c r="AE147" s="514"/>
      <c r="AF147" s="764"/>
      <c r="AG147" s="514"/>
      <c r="AH147" s="514"/>
      <c r="AI147" s="664">
        <f t="shared" si="13"/>
        <v>0</v>
      </c>
      <c r="AJ147" s="521">
        <v>0</v>
      </c>
      <c r="AK147" s="520">
        <f t="shared" si="11"/>
        <v>0</v>
      </c>
      <c r="AL147" s="695" t="s">
        <v>1606</v>
      </c>
      <c r="AM147" s="669">
        <f t="shared" si="12"/>
        <v>221.37</v>
      </c>
    </row>
    <row r="148" spans="1:39" s="500" customFormat="1" ht="13.5" hidden="1" thickBot="1">
      <c r="A148" s="554" t="s">
        <v>781</v>
      </c>
      <c r="B148" s="555" t="s">
        <v>1225</v>
      </c>
      <c r="C148" s="561"/>
      <c r="D148" s="519"/>
      <c r="E148" s="520"/>
      <c r="F148" s="520"/>
      <c r="G148" s="726"/>
      <c r="H148" s="520"/>
      <c r="I148" s="521"/>
      <c r="J148" s="521"/>
      <c r="K148" s="521"/>
      <c r="L148" s="514"/>
      <c r="M148" s="514"/>
      <c r="N148" s="756"/>
      <c r="O148" s="514"/>
      <c r="P148" s="514"/>
      <c r="Q148" s="514"/>
      <c r="R148" s="514"/>
      <c r="S148" s="514"/>
      <c r="T148" s="514"/>
      <c r="U148" s="756"/>
      <c r="V148" s="514"/>
      <c r="W148" s="514"/>
      <c r="X148" s="514"/>
      <c r="Y148" s="514"/>
      <c r="Z148" s="514"/>
      <c r="AA148" s="514"/>
      <c r="AB148" s="756"/>
      <c r="AC148" s="514"/>
      <c r="AD148" s="514"/>
      <c r="AE148" s="514"/>
      <c r="AF148" s="764"/>
      <c r="AG148" s="514"/>
      <c r="AH148" s="514"/>
      <c r="AI148" s="664">
        <f t="shared" si="13"/>
        <v>0</v>
      </c>
      <c r="AJ148" s="521">
        <v>0</v>
      </c>
      <c r="AK148" s="520">
        <f t="shared" si="11"/>
        <v>0</v>
      </c>
      <c r="AL148" s="695"/>
      <c r="AM148" s="669">
        <f t="shared" si="12"/>
        <v>0</v>
      </c>
    </row>
    <row r="149" spans="1:39" s="500" customFormat="1" ht="13.5" hidden="1" thickBot="1">
      <c r="A149" s="554" t="s">
        <v>782</v>
      </c>
      <c r="B149" s="555" t="s">
        <v>46</v>
      </c>
      <c r="C149" s="561"/>
      <c r="D149" s="519"/>
      <c r="E149" s="520"/>
      <c r="F149" s="520"/>
      <c r="G149" s="726"/>
      <c r="H149" s="520"/>
      <c r="I149" s="521"/>
      <c r="J149" s="521"/>
      <c r="K149" s="521"/>
      <c r="L149" s="514"/>
      <c r="M149" s="514"/>
      <c r="N149" s="756"/>
      <c r="O149" s="514"/>
      <c r="P149" s="514"/>
      <c r="Q149" s="514"/>
      <c r="R149" s="514"/>
      <c r="S149" s="514"/>
      <c r="T149" s="514"/>
      <c r="U149" s="756"/>
      <c r="V149" s="514"/>
      <c r="W149" s="514"/>
      <c r="X149" s="514"/>
      <c r="Y149" s="514"/>
      <c r="Z149" s="514"/>
      <c r="AA149" s="514"/>
      <c r="AB149" s="756"/>
      <c r="AC149" s="514"/>
      <c r="AD149" s="514"/>
      <c r="AE149" s="514"/>
      <c r="AF149" s="764"/>
      <c r="AG149" s="514"/>
      <c r="AH149" s="514"/>
      <c r="AI149" s="664">
        <f t="shared" si="13"/>
        <v>0</v>
      </c>
      <c r="AJ149" s="521">
        <v>0</v>
      </c>
      <c r="AK149" s="520">
        <f t="shared" si="11"/>
        <v>0</v>
      </c>
      <c r="AL149" s="695"/>
      <c r="AM149" s="669">
        <f t="shared" si="12"/>
        <v>0</v>
      </c>
    </row>
    <row r="150" spans="1:39" s="500" customFormat="1" ht="13.5" hidden="1" thickBot="1">
      <c r="A150" s="554" t="s">
        <v>783</v>
      </c>
      <c r="B150" s="555" t="s">
        <v>1226</v>
      </c>
      <c r="C150" s="561" t="s">
        <v>40</v>
      </c>
      <c r="D150" s="519"/>
      <c r="E150" s="520"/>
      <c r="F150" s="520"/>
      <c r="G150" s="726"/>
      <c r="H150" s="520"/>
      <c r="I150" s="521"/>
      <c r="J150" s="521"/>
      <c r="K150" s="521"/>
      <c r="L150" s="514"/>
      <c r="M150" s="514"/>
      <c r="N150" s="756"/>
      <c r="O150" s="514"/>
      <c r="P150" s="514"/>
      <c r="Q150" s="514"/>
      <c r="R150" s="514"/>
      <c r="S150" s="514"/>
      <c r="T150" s="514"/>
      <c r="U150" s="756"/>
      <c r="V150" s="514"/>
      <c r="W150" s="514"/>
      <c r="X150" s="514"/>
      <c r="Y150" s="514"/>
      <c r="Z150" s="514"/>
      <c r="AA150" s="514"/>
      <c r="AB150" s="756"/>
      <c r="AC150" s="514"/>
      <c r="AD150" s="514"/>
      <c r="AE150" s="514"/>
      <c r="AF150" s="764"/>
      <c r="AG150" s="514"/>
      <c r="AH150" s="514"/>
      <c r="AI150" s="664">
        <f t="shared" si="13"/>
        <v>0</v>
      </c>
      <c r="AJ150" s="521">
        <v>0</v>
      </c>
      <c r="AK150" s="520">
        <f t="shared" ref="AK150:AK213" si="14">AI150+AJ150</f>
        <v>0</v>
      </c>
      <c r="AL150" s="695" t="s">
        <v>1607</v>
      </c>
      <c r="AM150" s="669">
        <f t="shared" ref="AM150:AM213" si="15">AL150-AK150</f>
        <v>2.81</v>
      </c>
    </row>
    <row r="151" spans="1:39" s="500" customFormat="1" ht="13.5" hidden="1" thickBot="1">
      <c r="A151" s="554" t="s">
        <v>784</v>
      </c>
      <c r="B151" s="555" t="s">
        <v>269</v>
      </c>
      <c r="C151" s="561" t="s">
        <v>37</v>
      </c>
      <c r="D151" s="519"/>
      <c r="E151" s="520"/>
      <c r="F151" s="520"/>
      <c r="G151" s="726"/>
      <c r="H151" s="520"/>
      <c r="I151" s="521"/>
      <c r="J151" s="521"/>
      <c r="K151" s="521"/>
      <c r="L151" s="514"/>
      <c r="M151" s="514"/>
      <c r="N151" s="756"/>
      <c r="O151" s="514"/>
      <c r="P151" s="514"/>
      <c r="Q151" s="514"/>
      <c r="R151" s="514"/>
      <c r="S151" s="514"/>
      <c r="T151" s="514"/>
      <c r="U151" s="756"/>
      <c r="V151" s="514"/>
      <c r="W151" s="514"/>
      <c r="X151" s="514"/>
      <c r="Y151" s="514"/>
      <c r="Z151" s="514"/>
      <c r="AA151" s="514"/>
      <c r="AB151" s="756"/>
      <c r="AC151" s="514"/>
      <c r="AD151" s="514"/>
      <c r="AE151" s="514"/>
      <c r="AF151" s="764"/>
      <c r="AG151" s="514"/>
      <c r="AH151" s="514"/>
      <c r="AI151" s="664">
        <f t="shared" si="13"/>
        <v>0</v>
      </c>
      <c r="AJ151" s="521">
        <v>0</v>
      </c>
      <c r="AK151" s="520">
        <f t="shared" si="14"/>
        <v>0</v>
      </c>
      <c r="AL151" s="695" t="s">
        <v>1608</v>
      </c>
      <c r="AM151" s="669">
        <f t="shared" si="15"/>
        <v>60</v>
      </c>
    </row>
    <row r="152" spans="1:39" s="500" customFormat="1" ht="13.5" hidden="1" thickBot="1">
      <c r="A152" s="554" t="s">
        <v>785</v>
      </c>
      <c r="B152" s="555" t="s">
        <v>1161</v>
      </c>
      <c r="C152" s="561" t="s">
        <v>40</v>
      </c>
      <c r="D152" s="519"/>
      <c r="E152" s="520"/>
      <c r="F152" s="520"/>
      <c r="G152" s="726"/>
      <c r="H152" s="520"/>
      <c r="I152" s="521"/>
      <c r="J152" s="521"/>
      <c r="K152" s="521"/>
      <c r="L152" s="514"/>
      <c r="M152" s="514"/>
      <c r="N152" s="756"/>
      <c r="O152" s="514"/>
      <c r="P152" s="514"/>
      <c r="Q152" s="514"/>
      <c r="R152" s="514"/>
      <c r="S152" s="514"/>
      <c r="T152" s="514"/>
      <c r="U152" s="756"/>
      <c r="V152" s="514"/>
      <c r="W152" s="514"/>
      <c r="X152" s="514"/>
      <c r="Y152" s="514"/>
      <c r="Z152" s="514"/>
      <c r="AA152" s="514"/>
      <c r="AB152" s="756"/>
      <c r="AC152" s="514"/>
      <c r="AD152" s="514"/>
      <c r="AE152" s="514"/>
      <c r="AF152" s="764"/>
      <c r="AG152" s="514"/>
      <c r="AH152" s="514"/>
      <c r="AI152" s="664">
        <f t="shared" si="13"/>
        <v>0</v>
      </c>
      <c r="AJ152" s="521">
        <v>0</v>
      </c>
      <c r="AK152" s="520">
        <f t="shared" si="14"/>
        <v>0</v>
      </c>
      <c r="AL152" s="695" t="s">
        <v>1609</v>
      </c>
      <c r="AM152" s="669">
        <f t="shared" si="15"/>
        <v>3.51</v>
      </c>
    </row>
    <row r="153" spans="1:39" s="500" customFormat="1" ht="13.5" hidden="1" thickBot="1">
      <c r="A153" s="554" t="s">
        <v>786</v>
      </c>
      <c r="B153" s="555" t="s">
        <v>1162</v>
      </c>
      <c r="C153" s="561"/>
      <c r="D153" s="519"/>
      <c r="E153" s="520"/>
      <c r="F153" s="520"/>
      <c r="G153" s="726"/>
      <c r="H153" s="520"/>
      <c r="I153" s="521"/>
      <c r="J153" s="521"/>
      <c r="K153" s="521"/>
      <c r="L153" s="514"/>
      <c r="M153" s="514"/>
      <c r="N153" s="756"/>
      <c r="O153" s="514"/>
      <c r="P153" s="514"/>
      <c r="Q153" s="514"/>
      <c r="R153" s="514"/>
      <c r="S153" s="514"/>
      <c r="T153" s="514"/>
      <c r="U153" s="756"/>
      <c r="V153" s="514"/>
      <c r="W153" s="514"/>
      <c r="X153" s="514"/>
      <c r="Y153" s="514"/>
      <c r="Z153" s="514"/>
      <c r="AA153" s="514"/>
      <c r="AB153" s="756"/>
      <c r="AC153" s="514"/>
      <c r="AD153" s="514"/>
      <c r="AE153" s="514"/>
      <c r="AF153" s="764"/>
      <c r="AG153" s="514"/>
      <c r="AH153" s="514"/>
      <c r="AI153" s="664">
        <f t="shared" si="13"/>
        <v>0</v>
      </c>
      <c r="AJ153" s="521">
        <v>0</v>
      </c>
      <c r="AK153" s="520">
        <f t="shared" si="14"/>
        <v>0</v>
      </c>
      <c r="AL153" s="695"/>
      <c r="AM153" s="669">
        <f t="shared" si="15"/>
        <v>0</v>
      </c>
    </row>
    <row r="154" spans="1:39" s="500" customFormat="1" ht="13.5" hidden="1" thickBot="1">
      <c r="A154" s="554" t="s">
        <v>787</v>
      </c>
      <c r="B154" s="555" t="s">
        <v>1203</v>
      </c>
      <c r="C154" s="561" t="s">
        <v>37</v>
      </c>
      <c r="D154" s="519"/>
      <c r="E154" s="520"/>
      <c r="F154" s="520"/>
      <c r="G154" s="726"/>
      <c r="H154" s="520"/>
      <c r="I154" s="521"/>
      <c r="J154" s="521"/>
      <c r="K154" s="521"/>
      <c r="L154" s="514"/>
      <c r="M154" s="514"/>
      <c r="N154" s="756"/>
      <c r="O154" s="514"/>
      <c r="P154" s="514"/>
      <c r="Q154" s="514"/>
      <c r="R154" s="514"/>
      <c r="S154" s="514"/>
      <c r="T154" s="514"/>
      <c r="U154" s="756"/>
      <c r="V154" s="514"/>
      <c r="W154" s="514"/>
      <c r="X154" s="514"/>
      <c r="Y154" s="514"/>
      <c r="Z154" s="514"/>
      <c r="AA154" s="514"/>
      <c r="AB154" s="756"/>
      <c r="AC154" s="514"/>
      <c r="AD154" s="514"/>
      <c r="AE154" s="514"/>
      <c r="AF154" s="764"/>
      <c r="AG154" s="514"/>
      <c r="AH154" s="514"/>
      <c r="AI154" s="664">
        <f t="shared" si="13"/>
        <v>0</v>
      </c>
      <c r="AJ154" s="521">
        <v>0</v>
      </c>
      <c r="AK154" s="520">
        <f t="shared" si="14"/>
        <v>0</v>
      </c>
      <c r="AL154" s="695" t="s">
        <v>1610</v>
      </c>
      <c r="AM154" s="669">
        <f t="shared" si="15"/>
        <v>2.16</v>
      </c>
    </row>
    <row r="155" spans="1:39" s="500" customFormat="1" ht="13.5" hidden="1" thickBot="1">
      <c r="A155" s="554" t="s">
        <v>788</v>
      </c>
      <c r="B155" s="555" t="s">
        <v>1227</v>
      </c>
      <c r="C155" s="561" t="s">
        <v>37</v>
      </c>
      <c r="D155" s="519"/>
      <c r="E155" s="520"/>
      <c r="F155" s="520"/>
      <c r="G155" s="726"/>
      <c r="H155" s="520"/>
      <c r="I155" s="521"/>
      <c r="J155" s="521"/>
      <c r="K155" s="521"/>
      <c r="L155" s="514"/>
      <c r="M155" s="514"/>
      <c r="N155" s="756"/>
      <c r="O155" s="514"/>
      <c r="P155" s="514"/>
      <c r="Q155" s="514"/>
      <c r="R155" s="514"/>
      <c r="S155" s="514"/>
      <c r="T155" s="514"/>
      <c r="U155" s="756"/>
      <c r="V155" s="514"/>
      <c r="W155" s="514"/>
      <c r="X155" s="514"/>
      <c r="Y155" s="514"/>
      <c r="Z155" s="514"/>
      <c r="AA155" s="514"/>
      <c r="AB155" s="756"/>
      <c r="AC155" s="514"/>
      <c r="AD155" s="514"/>
      <c r="AE155" s="514"/>
      <c r="AF155" s="764"/>
      <c r="AG155" s="514"/>
      <c r="AH155" s="514"/>
      <c r="AI155" s="664">
        <f t="shared" si="13"/>
        <v>0</v>
      </c>
      <c r="AJ155" s="521">
        <v>0</v>
      </c>
      <c r="AK155" s="520">
        <f t="shared" si="14"/>
        <v>0</v>
      </c>
      <c r="AL155" s="695" t="s">
        <v>1608</v>
      </c>
      <c r="AM155" s="669">
        <f t="shared" si="15"/>
        <v>60</v>
      </c>
    </row>
    <row r="156" spans="1:39" s="500" customFormat="1" ht="13.5" hidden="1" thickBot="1">
      <c r="A156" s="554" t="s">
        <v>789</v>
      </c>
      <c r="B156" s="555" t="s">
        <v>1169</v>
      </c>
      <c r="C156" s="561"/>
      <c r="D156" s="519"/>
      <c r="E156" s="520"/>
      <c r="F156" s="520"/>
      <c r="G156" s="726"/>
      <c r="H156" s="520"/>
      <c r="I156" s="521"/>
      <c r="J156" s="521"/>
      <c r="K156" s="521"/>
      <c r="L156" s="514"/>
      <c r="M156" s="514"/>
      <c r="N156" s="756"/>
      <c r="O156" s="514"/>
      <c r="P156" s="514"/>
      <c r="Q156" s="514"/>
      <c r="R156" s="514"/>
      <c r="S156" s="514"/>
      <c r="T156" s="514"/>
      <c r="U156" s="756"/>
      <c r="V156" s="514"/>
      <c r="W156" s="514"/>
      <c r="X156" s="514"/>
      <c r="Y156" s="514"/>
      <c r="Z156" s="514"/>
      <c r="AA156" s="514"/>
      <c r="AB156" s="756"/>
      <c r="AC156" s="514"/>
      <c r="AD156" s="514"/>
      <c r="AE156" s="514"/>
      <c r="AF156" s="764"/>
      <c r="AG156" s="514"/>
      <c r="AH156" s="514"/>
      <c r="AI156" s="664">
        <f t="shared" si="13"/>
        <v>0</v>
      </c>
      <c r="AJ156" s="521">
        <v>0</v>
      </c>
      <c r="AK156" s="520">
        <f t="shared" si="14"/>
        <v>0</v>
      </c>
      <c r="AL156" s="695"/>
      <c r="AM156" s="669">
        <f t="shared" si="15"/>
        <v>0</v>
      </c>
    </row>
    <row r="157" spans="1:39" s="500" customFormat="1" ht="13.5" hidden="1" thickBot="1">
      <c r="A157" s="554" t="s">
        <v>790</v>
      </c>
      <c r="B157" s="555" t="s">
        <v>1170</v>
      </c>
      <c r="C157" s="561"/>
      <c r="D157" s="519"/>
      <c r="E157" s="520"/>
      <c r="F157" s="520"/>
      <c r="G157" s="726"/>
      <c r="H157" s="520"/>
      <c r="I157" s="521"/>
      <c r="J157" s="521"/>
      <c r="K157" s="521"/>
      <c r="L157" s="514"/>
      <c r="M157" s="514"/>
      <c r="N157" s="756"/>
      <c r="O157" s="514"/>
      <c r="P157" s="514"/>
      <c r="Q157" s="514"/>
      <c r="R157" s="514"/>
      <c r="S157" s="514"/>
      <c r="T157" s="514"/>
      <c r="U157" s="756"/>
      <c r="V157" s="514"/>
      <c r="W157" s="514"/>
      <c r="X157" s="514"/>
      <c r="Y157" s="514"/>
      <c r="Z157" s="514"/>
      <c r="AA157" s="514"/>
      <c r="AB157" s="756"/>
      <c r="AC157" s="514"/>
      <c r="AD157" s="514"/>
      <c r="AE157" s="514"/>
      <c r="AF157" s="764"/>
      <c r="AG157" s="514"/>
      <c r="AH157" s="514"/>
      <c r="AI157" s="664">
        <f t="shared" si="13"/>
        <v>0</v>
      </c>
      <c r="AJ157" s="521">
        <v>0</v>
      </c>
      <c r="AK157" s="520">
        <f t="shared" si="14"/>
        <v>0</v>
      </c>
      <c r="AL157" s="695"/>
      <c r="AM157" s="669">
        <f t="shared" si="15"/>
        <v>0</v>
      </c>
    </row>
    <row r="158" spans="1:39" s="500" customFormat="1" ht="13.5" hidden="1" thickBot="1">
      <c r="A158" s="554" t="s">
        <v>791</v>
      </c>
      <c r="B158" s="555" t="s">
        <v>1206</v>
      </c>
      <c r="C158" s="561" t="s">
        <v>40</v>
      </c>
      <c r="D158" s="519"/>
      <c r="E158" s="520"/>
      <c r="F158" s="520"/>
      <c r="G158" s="726"/>
      <c r="H158" s="520"/>
      <c r="I158" s="521"/>
      <c r="J158" s="521"/>
      <c r="K158" s="521"/>
      <c r="L158" s="514"/>
      <c r="M158" s="514"/>
      <c r="N158" s="756"/>
      <c r="O158" s="514"/>
      <c r="P158" s="514"/>
      <c r="Q158" s="514"/>
      <c r="R158" s="514"/>
      <c r="S158" s="514"/>
      <c r="T158" s="514"/>
      <c r="U158" s="756"/>
      <c r="V158" s="514"/>
      <c r="W158" s="514"/>
      <c r="X158" s="514"/>
      <c r="Y158" s="514"/>
      <c r="Z158" s="514"/>
      <c r="AA158" s="514"/>
      <c r="AB158" s="756"/>
      <c r="AC158" s="514"/>
      <c r="AD158" s="514"/>
      <c r="AE158" s="514"/>
      <c r="AF158" s="764"/>
      <c r="AG158" s="514"/>
      <c r="AH158" s="514"/>
      <c r="AI158" s="664">
        <f t="shared" si="13"/>
        <v>0</v>
      </c>
      <c r="AJ158" s="521">
        <v>0</v>
      </c>
      <c r="AK158" s="520">
        <f t="shared" si="14"/>
        <v>0</v>
      </c>
      <c r="AL158" s="695" t="s">
        <v>1611</v>
      </c>
      <c r="AM158" s="669">
        <f t="shared" si="15"/>
        <v>2.52</v>
      </c>
    </row>
    <row r="159" spans="1:39" s="500" customFormat="1" ht="13.5" hidden="1" thickBot="1">
      <c r="A159" s="554" t="s">
        <v>792</v>
      </c>
      <c r="B159" s="555" t="s">
        <v>1172</v>
      </c>
      <c r="C159" s="561" t="s">
        <v>48</v>
      </c>
      <c r="D159" s="519"/>
      <c r="E159" s="520"/>
      <c r="F159" s="520"/>
      <c r="G159" s="726"/>
      <c r="H159" s="520"/>
      <c r="I159" s="521"/>
      <c r="J159" s="521"/>
      <c r="K159" s="521"/>
      <c r="L159" s="514"/>
      <c r="M159" s="514"/>
      <c r="N159" s="756"/>
      <c r="O159" s="514"/>
      <c r="P159" s="514"/>
      <c r="Q159" s="514"/>
      <c r="R159" s="514"/>
      <c r="S159" s="514"/>
      <c r="T159" s="514"/>
      <c r="U159" s="756"/>
      <c r="V159" s="514"/>
      <c r="W159" s="514"/>
      <c r="X159" s="514"/>
      <c r="Y159" s="514"/>
      <c r="Z159" s="514"/>
      <c r="AA159" s="514"/>
      <c r="AB159" s="756"/>
      <c r="AC159" s="514"/>
      <c r="AD159" s="514"/>
      <c r="AE159" s="514"/>
      <c r="AF159" s="764"/>
      <c r="AG159" s="514"/>
      <c r="AH159" s="514"/>
      <c r="AI159" s="664">
        <f t="shared" si="13"/>
        <v>0</v>
      </c>
      <c r="AJ159" s="521">
        <v>0</v>
      </c>
      <c r="AK159" s="520">
        <f t="shared" si="14"/>
        <v>0</v>
      </c>
      <c r="AL159" s="695" t="s">
        <v>1612</v>
      </c>
      <c r="AM159" s="669">
        <f t="shared" si="15"/>
        <v>186.08</v>
      </c>
    </row>
    <row r="160" spans="1:39" s="500" customFormat="1" ht="13.5" hidden="1" thickBot="1">
      <c r="A160" s="554" t="s">
        <v>793</v>
      </c>
      <c r="B160" s="555" t="s">
        <v>1228</v>
      </c>
      <c r="C160" s="561"/>
      <c r="D160" s="519"/>
      <c r="E160" s="520"/>
      <c r="F160" s="520"/>
      <c r="G160" s="726"/>
      <c r="H160" s="520"/>
      <c r="I160" s="521"/>
      <c r="J160" s="521"/>
      <c r="K160" s="521"/>
      <c r="L160" s="514"/>
      <c r="M160" s="514"/>
      <c r="N160" s="756"/>
      <c r="O160" s="514"/>
      <c r="P160" s="514"/>
      <c r="Q160" s="514"/>
      <c r="R160" s="514"/>
      <c r="S160" s="514"/>
      <c r="T160" s="514"/>
      <c r="U160" s="756"/>
      <c r="V160" s="514"/>
      <c r="W160" s="514"/>
      <c r="X160" s="514"/>
      <c r="Y160" s="514"/>
      <c r="Z160" s="514"/>
      <c r="AA160" s="514"/>
      <c r="AB160" s="756"/>
      <c r="AC160" s="514"/>
      <c r="AD160" s="514"/>
      <c r="AE160" s="514"/>
      <c r="AF160" s="764"/>
      <c r="AG160" s="514"/>
      <c r="AH160" s="514"/>
      <c r="AI160" s="664">
        <f t="shared" si="13"/>
        <v>0</v>
      </c>
      <c r="AJ160" s="521">
        <v>0</v>
      </c>
      <c r="AK160" s="520">
        <f t="shared" si="14"/>
        <v>0</v>
      </c>
      <c r="AL160" s="695"/>
      <c r="AM160" s="669">
        <f t="shared" si="15"/>
        <v>0</v>
      </c>
    </row>
    <row r="161" spans="1:39" s="500" customFormat="1" ht="13.5" hidden="1" thickBot="1">
      <c r="A161" s="554" t="s">
        <v>794</v>
      </c>
      <c r="B161" s="555" t="s">
        <v>1229</v>
      </c>
      <c r="C161" s="561" t="s">
        <v>48</v>
      </c>
      <c r="D161" s="519"/>
      <c r="E161" s="520"/>
      <c r="F161" s="520"/>
      <c r="G161" s="726"/>
      <c r="H161" s="520"/>
      <c r="I161" s="521"/>
      <c r="J161" s="521"/>
      <c r="K161" s="521"/>
      <c r="L161" s="514"/>
      <c r="M161" s="514"/>
      <c r="N161" s="756"/>
      <c r="O161" s="514"/>
      <c r="P161" s="514"/>
      <c r="Q161" s="514"/>
      <c r="R161" s="514"/>
      <c r="S161" s="514"/>
      <c r="T161" s="514"/>
      <c r="U161" s="756"/>
      <c r="V161" s="514"/>
      <c r="W161" s="514"/>
      <c r="X161" s="514"/>
      <c r="Y161" s="514"/>
      <c r="Z161" s="514"/>
      <c r="AA161" s="514"/>
      <c r="AB161" s="756"/>
      <c r="AC161" s="514"/>
      <c r="AD161" s="514"/>
      <c r="AE161" s="514"/>
      <c r="AF161" s="764"/>
      <c r="AG161" s="514"/>
      <c r="AH161" s="514"/>
      <c r="AI161" s="664">
        <f t="shared" si="13"/>
        <v>0</v>
      </c>
      <c r="AJ161" s="521">
        <v>0</v>
      </c>
      <c r="AK161" s="520">
        <f t="shared" si="14"/>
        <v>0</v>
      </c>
      <c r="AL161" s="695" t="s">
        <v>1613</v>
      </c>
      <c r="AM161" s="669">
        <f t="shared" si="15"/>
        <v>899.99</v>
      </c>
    </row>
    <row r="162" spans="1:39" s="500" customFormat="1" ht="13.5" hidden="1" thickBot="1">
      <c r="A162" s="554" t="s">
        <v>795</v>
      </c>
      <c r="B162" s="555" t="s">
        <v>1230</v>
      </c>
      <c r="C162" s="561" t="s">
        <v>48</v>
      </c>
      <c r="D162" s="519"/>
      <c r="E162" s="520"/>
      <c r="F162" s="520"/>
      <c r="G162" s="726"/>
      <c r="H162" s="520"/>
      <c r="I162" s="521"/>
      <c r="J162" s="521"/>
      <c r="K162" s="521"/>
      <c r="L162" s="514"/>
      <c r="M162" s="514"/>
      <c r="N162" s="756"/>
      <c r="O162" s="514"/>
      <c r="P162" s="514"/>
      <c r="Q162" s="514"/>
      <c r="R162" s="514"/>
      <c r="S162" s="514"/>
      <c r="T162" s="514"/>
      <c r="U162" s="756"/>
      <c r="V162" s="514"/>
      <c r="W162" s="514"/>
      <c r="X162" s="514"/>
      <c r="Y162" s="514"/>
      <c r="Z162" s="514"/>
      <c r="AA162" s="514"/>
      <c r="AB162" s="756"/>
      <c r="AC162" s="514"/>
      <c r="AD162" s="514"/>
      <c r="AE162" s="514"/>
      <c r="AF162" s="764"/>
      <c r="AG162" s="514"/>
      <c r="AH162" s="514"/>
      <c r="AI162" s="664">
        <f t="shared" si="13"/>
        <v>0</v>
      </c>
      <c r="AJ162" s="521">
        <v>0</v>
      </c>
      <c r="AK162" s="520">
        <f t="shared" si="14"/>
        <v>0</v>
      </c>
      <c r="AL162" s="695" t="s">
        <v>1614</v>
      </c>
      <c r="AM162" s="669">
        <f t="shared" si="15"/>
        <v>394.52</v>
      </c>
    </row>
    <row r="163" spans="1:39" s="500" customFormat="1" ht="13.5" hidden="1" thickBot="1">
      <c r="A163" s="554" t="s">
        <v>796</v>
      </c>
      <c r="B163" s="555" t="s">
        <v>1231</v>
      </c>
      <c r="C163" s="561" t="s">
        <v>48</v>
      </c>
      <c r="D163" s="519"/>
      <c r="E163" s="520"/>
      <c r="F163" s="520"/>
      <c r="G163" s="726"/>
      <c r="H163" s="520"/>
      <c r="I163" s="521"/>
      <c r="J163" s="521"/>
      <c r="K163" s="521"/>
      <c r="L163" s="514"/>
      <c r="M163" s="514"/>
      <c r="N163" s="756"/>
      <c r="O163" s="514"/>
      <c r="P163" s="514"/>
      <c r="Q163" s="514"/>
      <c r="R163" s="514"/>
      <c r="S163" s="514"/>
      <c r="T163" s="514"/>
      <c r="U163" s="756"/>
      <c r="V163" s="514"/>
      <c r="W163" s="514"/>
      <c r="X163" s="514"/>
      <c r="Y163" s="514"/>
      <c r="Z163" s="514"/>
      <c r="AA163" s="514"/>
      <c r="AB163" s="756"/>
      <c r="AC163" s="514"/>
      <c r="AD163" s="514"/>
      <c r="AE163" s="514"/>
      <c r="AF163" s="764"/>
      <c r="AG163" s="514"/>
      <c r="AH163" s="514"/>
      <c r="AI163" s="664">
        <f t="shared" si="13"/>
        <v>0</v>
      </c>
      <c r="AJ163" s="521">
        <v>0</v>
      </c>
      <c r="AK163" s="520">
        <f t="shared" si="14"/>
        <v>0</v>
      </c>
      <c r="AL163" s="695" t="s">
        <v>1615</v>
      </c>
      <c r="AM163" s="669">
        <f t="shared" si="15"/>
        <v>271.91000000000003</v>
      </c>
    </row>
    <row r="164" spans="1:39" s="500" customFormat="1" ht="13.5" hidden="1" thickBot="1">
      <c r="A164" s="554" t="s">
        <v>797</v>
      </c>
      <c r="B164" s="555" t="s">
        <v>1232</v>
      </c>
      <c r="C164" s="561" t="s">
        <v>38</v>
      </c>
      <c r="D164" s="519"/>
      <c r="E164" s="520"/>
      <c r="F164" s="520"/>
      <c r="G164" s="726"/>
      <c r="H164" s="520"/>
      <c r="I164" s="521"/>
      <c r="J164" s="521"/>
      <c r="K164" s="521"/>
      <c r="L164" s="514"/>
      <c r="M164" s="514"/>
      <c r="N164" s="756"/>
      <c r="O164" s="514"/>
      <c r="P164" s="514"/>
      <c r="Q164" s="514"/>
      <c r="R164" s="514"/>
      <c r="S164" s="514"/>
      <c r="T164" s="514"/>
      <c r="U164" s="756"/>
      <c r="V164" s="514"/>
      <c r="W164" s="514"/>
      <c r="X164" s="514"/>
      <c r="Y164" s="514"/>
      <c r="Z164" s="514"/>
      <c r="AA164" s="514"/>
      <c r="AB164" s="756"/>
      <c r="AC164" s="514"/>
      <c r="AD164" s="514"/>
      <c r="AE164" s="514"/>
      <c r="AF164" s="764"/>
      <c r="AG164" s="514"/>
      <c r="AH164" s="514"/>
      <c r="AI164" s="664">
        <f t="shared" si="13"/>
        <v>0</v>
      </c>
      <c r="AJ164" s="521">
        <v>0</v>
      </c>
      <c r="AK164" s="520">
        <f t="shared" si="14"/>
        <v>0</v>
      </c>
      <c r="AL164" s="695" t="s">
        <v>1616</v>
      </c>
      <c r="AM164" s="669">
        <f t="shared" si="15"/>
        <v>80.92</v>
      </c>
    </row>
    <row r="165" spans="1:39" s="500" customFormat="1" ht="13.5" hidden="1" thickBot="1">
      <c r="A165" s="554" t="s">
        <v>798</v>
      </c>
      <c r="B165" s="555" t="s">
        <v>1233</v>
      </c>
      <c r="C165" s="561" t="s">
        <v>1450</v>
      </c>
      <c r="D165" s="519"/>
      <c r="E165" s="520"/>
      <c r="F165" s="520"/>
      <c r="G165" s="726"/>
      <c r="H165" s="520"/>
      <c r="I165" s="521"/>
      <c r="J165" s="521"/>
      <c r="K165" s="521"/>
      <c r="L165" s="514"/>
      <c r="M165" s="514"/>
      <c r="N165" s="756"/>
      <c r="O165" s="514"/>
      <c r="P165" s="514"/>
      <c r="Q165" s="514"/>
      <c r="R165" s="514"/>
      <c r="S165" s="514"/>
      <c r="T165" s="514"/>
      <c r="U165" s="756"/>
      <c r="V165" s="514"/>
      <c r="W165" s="514"/>
      <c r="X165" s="514"/>
      <c r="Y165" s="514"/>
      <c r="Z165" s="514"/>
      <c r="AA165" s="514"/>
      <c r="AB165" s="756"/>
      <c r="AC165" s="514"/>
      <c r="AD165" s="514"/>
      <c r="AE165" s="514"/>
      <c r="AF165" s="764"/>
      <c r="AG165" s="514"/>
      <c r="AH165" s="514"/>
      <c r="AI165" s="664">
        <f t="shared" si="13"/>
        <v>0</v>
      </c>
      <c r="AJ165" s="521">
        <v>0</v>
      </c>
      <c r="AK165" s="520">
        <f t="shared" si="14"/>
        <v>0</v>
      </c>
      <c r="AL165" s="695" t="s">
        <v>1617</v>
      </c>
      <c r="AM165" s="669">
        <f t="shared" si="15"/>
        <v>6</v>
      </c>
    </row>
    <row r="166" spans="1:39" s="500" customFormat="1" ht="13.5" hidden="1" thickBot="1">
      <c r="A166" s="554" t="s">
        <v>799</v>
      </c>
      <c r="B166" s="555" t="s">
        <v>1200</v>
      </c>
      <c r="C166" s="561"/>
      <c r="D166" s="519"/>
      <c r="E166" s="520"/>
      <c r="F166" s="520"/>
      <c r="G166" s="726"/>
      <c r="H166" s="520"/>
      <c r="I166" s="521"/>
      <c r="J166" s="521"/>
      <c r="K166" s="521"/>
      <c r="L166" s="514"/>
      <c r="M166" s="514"/>
      <c r="N166" s="756"/>
      <c r="O166" s="514"/>
      <c r="P166" s="514"/>
      <c r="Q166" s="514"/>
      <c r="R166" s="514"/>
      <c r="S166" s="514"/>
      <c r="T166" s="514"/>
      <c r="U166" s="756"/>
      <c r="V166" s="514"/>
      <c r="W166" s="514"/>
      <c r="X166" s="514"/>
      <c r="Y166" s="514"/>
      <c r="Z166" s="514"/>
      <c r="AA166" s="514"/>
      <c r="AB166" s="756"/>
      <c r="AC166" s="514"/>
      <c r="AD166" s="514"/>
      <c r="AE166" s="514"/>
      <c r="AF166" s="764"/>
      <c r="AG166" s="514"/>
      <c r="AH166" s="514"/>
      <c r="AI166" s="664">
        <f t="shared" si="13"/>
        <v>0</v>
      </c>
      <c r="AJ166" s="521">
        <v>0</v>
      </c>
      <c r="AK166" s="520">
        <f t="shared" si="14"/>
        <v>0</v>
      </c>
      <c r="AL166" s="695"/>
      <c r="AM166" s="669">
        <f t="shared" si="15"/>
        <v>0</v>
      </c>
    </row>
    <row r="167" spans="1:39" s="500" customFormat="1" ht="13.5" hidden="1" thickBot="1">
      <c r="A167" s="554" t="s">
        <v>800</v>
      </c>
      <c r="B167" s="555" t="s">
        <v>225</v>
      </c>
      <c r="C167" s="561" t="s">
        <v>1450</v>
      </c>
      <c r="D167" s="519"/>
      <c r="E167" s="520"/>
      <c r="F167" s="520"/>
      <c r="G167" s="726"/>
      <c r="H167" s="520"/>
      <c r="I167" s="521"/>
      <c r="J167" s="521"/>
      <c r="K167" s="521"/>
      <c r="L167" s="514"/>
      <c r="M167" s="514"/>
      <c r="N167" s="756"/>
      <c r="O167" s="514"/>
      <c r="P167" s="514"/>
      <c r="Q167" s="514"/>
      <c r="R167" s="514"/>
      <c r="S167" s="514"/>
      <c r="T167" s="514"/>
      <c r="U167" s="756"/>
      <c r="V167" s="514"/>
      <c r="W167" s="514"/>
      <c r="X167" s="514"/>
      <c r="Y167" s="514"/>
      <c r="Z167" s="514"/>
      <c r="AA167" s="514"/>
      <c r="AB167" s="756"/>
      <c r="AC167" s="514"/>
      <c r="AD167" s="514"/>
      <c r="AE167" s="514"/>
      <c r="AF167" s="764"/>
      <c r="AG167" s="514"/>
      <c r="AH167" s="514"/>
      <c r="AI167" s="664">
        <f t="shared" si="13"/>
        <v>0</v>
      </c>
      <c r="AJ167" s="521">
        <v>0</v>
      </c>
      <c r="AK167" s="520">
        <f t="shared" si="14"/>
        <v>0</v>
      </c>
      <c r="AL167" s="695" t="s">
        <v>1618</v>
      </c>
      <c r="AM167" s="669">
        <f t="shared" si="15"/>
        <v>3</v>
      </c>
    </row>
    <row r="168" spans="1:39" s="500" customFormat="1" ht="13.5" hidden="1" thickBot="1">
      <c r="A168" s="554" t="s">
        <v>45</v>
      </c>
      <c r="B168" s="555" t="s">
        <v>1234</v>
      </c>
      <c r="C168" s="561"/>
      <c r="D168" s="519"/>
      <c r="E168" s="520"/>
      <c r="F168" s="520"/>
      <c r="G168" s="726"/>
      <c r="H168" s="520"/>
      <c r="I168" s="521"/>
      <c r="J168" s="521"/>
      <c r="K168" s="521"/>
      <c r="L168" s="514"/>
      <c r="M168" s="514"/>
      <c r="N168" s="756"/>
      <c r="O168" s="514"/>
      <c r="P168" s="514"/>
      <c r="Q168" s="514"/>
      <c r="R168" s="514"/>
      <c r="S168" s="514"/>
      <c r="T168" s="514"/>
      <c r="U168" s="756"/>
      <c r="V168" s="514"/>
      <c r="W168" s="514"/>
      <c r="X168" s="514"/>
      <c r="Y168" s="514"/>
      <c r="Z168" s="514"/>
      <c r="AA168" s="514"/>
      <c r="AB168" s="756"/>
      <c r="AC168" s="514"/>
      <c r="AD168" s="514"/>
      <c r="AE168" s="514"/>
      <c r="AF168" s="764"/>
      <c r="AG168" s="514"/>
      <c r="AH168" s="514"/>
      <c r="AI168" s="664">
        <f t="shared" si="13"/>
        <v>0</v>
      </c>
      <c r="AJ168" s="521">
        <v>0</v>
      </c>
      <c r="AK168" s="520">
        <f t="shared" si="14"/>
        <v>0</v>
      </c>
      <c r="AL168" s="695"/>
      <c r="AM168" s="669">
        <f t="shared" si="15"/>
        <v>0</v>
      </c>
    </row>
    <row r="169" spans="1:39" s="500" customFormat="1" ht="13.5" hidden="1" thickBot="1">
      <c r="A169" s="554" t="s">
        <v>47</v>
      </c>
      <c r="B169" s="555" t="s">
        <v>1235</v>
      </c>
      <c r="C169" s="561"/>
      <c r="D169" s="519"/>
      <c r="E169" s="520"/>
      <c r="F169" s="520"/>
      <c r="G169" s="726"/>
      <c r="H169" s="520"/>
      <c r="I169" s="521"/>
      <c r="J169" s="521"/>
      <c r="K169" s="521"/>
      <c r="L169" s="514"/>
      <c r="M169" s="514"/>
      <c r="N169" s="756"/>
      <c r="O169" s="514"/>
      <c r="P169" s="514"/>
      <c r="Q169" s="514"/>
      <c r="R169" s="514"/>
      <c r="S169" s="514"/>
      <c r="T169" s="514"/>
      <c r="U169" s="756"/>
      <c r="V169" s="514"/>
      <c r="W169" s="514"/>
      <c r="X169" s="514"/>
      <c r="Y169" s="514"/>
      <c r="Z169" s="514"/>
      <c r="AA169" s="514"/>
      <c r="AB169" s="756"/>
      <c r="AC169" s="514"/>
      <c r="AD169" s="514"/>
      <c r="AE169" s="514"/>
      <c r="AF169" s="764"/>
      <c r="AG169" s="514"/>
      <c r="AH169" s="514"/>
      <c r="AI169" s="664">
        <f t="shared" si="13"/>
        <v>0</v>
      </c>
      <c r="AJ169" s="521">
        <v>0</v>
      </c>
      <c r="AK169" s="520">
        <f t="shared" si="14"/>
        <v>0</v>
      </c>
      <c r="AL169" s="695"/>
      <c r="AM169" s="669">
        <f t="shared" si="15"/>
        <v>0</v>
      </c>
    </row>
    <row r="170" spans="1:39" s="500" customFormat="1" ht="13.5" hidden="1" thickBot="1">
      <c r="A170" s="554" t="s">
        <v>49</v>
      </c>
      <c r="B170" s="555" t="s">
        <v>1236</v>
      </c>
      <c r="C170" s="561"/>
      <c r="D170" s="519"/>
      <c r="E170" s="520"/>
      <c r="F170" s="520"/>
      <c r="G170" s="726"/>
      <c r="H170" s="520"/>
      <c r="I170" s="521"/>
      <c r="J170" s="521"/>
      <c r="K170" s="521"/>
      <c r="L170" s="514"/>
      <c r="M170" s="514"/>
      <c r="N170" s="756"/>
      <c r="O170" s="514"/>
      <c r="P170" s="514"/>
      <c r="Q170" s="514"/>
      <c r="R170" s="514"/>
      <c r="S170" s="514"/>
      <c r="T170" s="514"/>
      <c r="U170" s="756"/>
      <c r="V170" s="514"/>
      <c r="W170" s="514"/>
      <c r="X170" s="514"/>
      <c r="Y170" s="514"/>
      <c r="Z170" s="514"/>
      <c r="AA170" s="514"/>
      <c r="AB170" s="756"/>
      <c r="AC170" s="514"/>
      <c r="AD170" s="514"/>
      <c r="AE170" s="514"/>
      <c r="AF170" s="764"/>
      <c r="AG170" s="514"/>
      <c r="AH170" s="514"/>
      <c r="AI170" s="664">
        <f t="shared" si="13"/>
        <v>0</v>
      </c>
      <c r="AJ170" s="521">
        <v>0</v>
      </c>
      <c r="AK170" s="520">
        <f t="shared" si="14"/>
        <v>0</v>
      </c>
      <c r="AL170" s="695"/>
      <c r="AM170" s="669">
        <f t="shared" si="15"/>
        <v>0</v>
      </c>
    </row>
    <row r="171" spans="1:39" s="500" customFormat="1" ht="13.5" hidden="1" thickBot="1">
      <c r="A171" s="554" t="s">
        <v>801</v>
      </c>
      <c r="B171" s="555" t="s">
        <v>1237</v>
      </c>
      <c r="C171" s="561" t="s">
        <v>37</v>
      </c>
      <c r="D171" s="519"/>
      <c r="E171" s="520"/>
      <c r="F171" s="520"/>
      <c r="G171" s="726"/>
      <c r="H171" s="520"/>
      <c r="I171" s="521"/>
      <c r="J171" s="521"/>
      <c r="K171" s="521"/>
      <c r="L171" s="514"/>
      <c r="M171" s="514"/>
      <c r="N171" s="756"/>
      <c r="O171" s="514"/>
      <c r="P171" s="514"/>
      <c r="Q171" s="514"/>
      <c r="R171" s="514"/>
      <c r="S171" s="514"/>
      <c r="T171" s="514"/>
      <c r="U171" s="756"/>
      <c r="V171" s="514"/>
      <c r="W171" s="514"/>
      <c r="X171" s="514"/>
      <c r="Y171" s="514"/>
      <c r="Z171" s="514"/>
      <c r="AA171" s="514"/>
      <c r="AB171" s="756"/>
      <c r="AC171" s="514"/>
      <c r="AD171" s="514"/>
      <c r="AE171" s="514"/>
      <c r="AF171" s="764"/>
      <c r="AG171" s="514"/>
      <c r="AH171" s="514"/>
      <c r="AI171" s="664">
        <f t="shared" si="13"/>
        <v>0</v>
      </c>
      <c r="AJ171" s="521">
        <v>0</v>
      </c>
      <c r="AK171" s="520">
        <f t="shared" si="14"/>
        <v>0</v>
      </c>
      <c r="AL171" s="695" t="s">
        <v>1619</v>
      </c>
      <c r="AM171" s="669">
        <f t="shared" si="15"/>
        <v>72.27</v>
      </c>
    </row>
    <row r="172" spans="1:39" s="500" customFormat="1" ht="13.5" hidden="1" thickBot="1">
      <c r="A172" s="554" t="s">
        <v>802</v>
      </c>
      <c r="B172" s="555" t="s">
        <v>1238</v>
      </c>
      <c r="C172" s="561" t="s">
        <v>37</v>
      </c>
      <c r="D172" s="519"/>
      <c r="E172" s="520"/>
      <c r="F172" s="520"/>
      <c r="G172" s="726"/>
      <c r="H172" s="520"/>
      <c r="I172" s="521"/>
      <c r="J172" s="521"/>
      <c r="K172" s="521"/>
      <c r="L172" s="514"/>
      <c r="M172" s="514"/>
      <c r="N172" s="756"/>
      <c r="O172" s="514"/>
      <c r="P172" s="514"/>
      <c r="Q172" s="514"/>
      <c r="R172" s="514"/>
      <c r="S172" s="514"/>
      <c r="T172" s="514"/>
      <c r="U172" s="756"/>
      <c r="V172" s="514"/>
      <c r="W172" s="514"/>
      <c r="X172" s="514"/>
      <c r="Y172" s="514"/>
      <c r="Z172" s="514"/>
      <c r="AA172" s="514"/>
      <c r="AB172" s="756"/>
      <c r="AC172" s="514"/>
      <c r="AD172" s="514"/>
      <c r="AE172" s="514"/>
      <c r="AF172" s="764"/>
      <c r="AG172" s="514"/>
      <c r="AH172" s="514"/>
      <c r="AI172" s="664">
        <f t="shared" si="13"/>
        <v>0</v>
      </c>
      <c r="AJ172" s="521">
        <v>0</v>
      </c>
      <c r="AK172" s="520">
        <f t="shared" si="14"/>
        <v>0</v>
      </c>
      <c r="AL172" s="695" t="s">
        <v>1620</v>
      </c>
      <c r="AM172" s="669">
        <f t="shared" si="15"/>
        <v>15.22</v>
      </c>
    </row>
    <row r="173" spans="1:39" s="500" customFormat="1" ht="13.5" hidden="1" thickBot="1">
      <c r="A173" s="554" t="s">
        <v>50</v>
      </c>
      <c r="B173" s="555" t="s">
        <v>1239</v>
      </c>
      <c r="C173" s="561"/>
      <c r="D173" s="519"/>
      <c r="E173" s="520"/>
      <c r="F173" s="520"/>
      <c r="G173" s="726"/>
      <c r="H173" s="520"/>
      <c r="I173" s="521"/>
      <c r="J173" s="521"/>
      <c r="K173" s="521"/>
      <c r="L173" s="514"/>
      <c r="M173" s="514"/>
      <c r="N173" s="756"/>
      <c r="O173" s="514"/>
      <c r="P173" s="514"/>
      <c r="Q173" s="514"/>
      <c r="R173" s="514"/>
      <c r="S173" s="514"/>
      <c r="T173" s="514"/>
      <c r="U173" s="756"/>
      <c r="V173" s="514"/>
      <c r="W173" s="514"/>
      <c r="X173" s="514"/>
      <c r="Y173" s="514"/>
      <c r="Z173" s="514"/>
      <c r="AA173" s="514"/>
      <c r="AB173" s="756"/>
      <c r="AC173" s="514"/>
      <c r="AD173" s="514"/>
      <c r="AE173" s="514"/>
      <c r="AF173" s="764"/>
      <c r="AG173" s="514"/>
      <c r="AH173" s="514"/>
      <c r="AI173" s="664">
        <f t="shared" si="13"/>
        <v>0</v>
      </c>
      <c r="AJ173" s="521">
        <v>0</v>
      </c>
      <c r="AK173" s="520">
        <f t="shared" si="14"/>
        <v>0</v>
      </c>
      <c r="AL173" s="695"/>
      <c r="AM173" s="669">
        <f t="shared" si="15"/>
        <v>0</v>
      </c>
    </row>
    <row r="174" spans="1:39" s="500" customFormat="1" ht="13.5" hidden="1" thickBot="1">
      <c r="A174" s="554" t="s">
        <v>803</v>
      </c>
      <c r="B174" s="555" t="s">
        <v>1240</v>
      </c>
      <c r="C174" s="561" t="s">
        <v>37</v>
      </c>
      <c r="D174" s="519"/>
      <c r="E174" s="520"/>
      <c r="F174" s="520"/>
      <c r="G174" s="726"/>
      <c r="H174" s="520"/>
      <c r="I174" s="521"/>
      <c r="J174" s="521"/>
      <c r="K174" s="521"/>
      <c r="L174" s="514"/>
      <c r="M174" s="514"/>
      <c r="N174" s="756"/>
      <c r="O174" s="514"/>
      <c r="P174" s="514"/>
      <c r="Q174" s="514"/>
      <c r="R174" s="514"/>
      <c r="S174" s="514"/>
      <c r="T174" s="514"/>
      <c r="U174" s="756"/>
      <c r="V174" s="514"/>
      <c r="W174" s="514"/>
      <c r="X174" s="514"/>
      <c r="Y174" s="514"/>
      <c r="Z174" s="514"/>
      <c r="AA174" s="514"/>
      <c r="AB174" s="756"/>
      <c r="AC174" s="514"/>
      <c r="AD174" s="514"/>
      <c r="AE174" s="514"/>
      <c r="AF174" s="764"/>
      <c r="AG174" s="514"/>
      <c r="AH174" s="514"/>
      <c r="AI174" s="664">
        <f t="shared" si="13"/>
        <v>0</v>
      </c>
      <c r="AJ174" s="521">
        <v>0</v>
      </c>
      <c r="AK174" s="520">
        <f t="shared" si="14"/>
        <v>0</v>
      </c>
      <c r="AL174" s="695" t="s">
        <v>1621</v>
      </c>
      <c r="AM174" s="669">
        <f t="shared" si="15"/>
        <v>123.1</v>
      </c>
    </row>
    <row r="175" spans="1:39" s="500" customFormat="1" ht="13.5" hidden="1" thickBot="1">
      <c r="A175" s="554" t="s">
        <v>804</v>
      </c>
      <c r="B175" s="555" t="s">
        <v>1241</v>
      </c>
      <c r="C175" s="561" t="s">
        <v>37</v>
      </c>
      <c r="D175" s="519"/>
      <c r="E175" s="520"/>
      <c r="F175" s="520"/>
      <c r="G175" s="726"/>
      <c r="H175" s="520"/>
      <c r="I175" s="521"/>
      <c r="J175" s="521"/>
      <c r="K175" s="521"/>
      <c r="L175" s="514"/>
      <c r="M175" s="514"/>
      <c r="N175" s="756"/>
      <c r="O175" s="514"/>
      <c r="P175" s="514"/>
      <c r="Q175" s="514"/>
      <c r="R175" s="514"/>
      <c r="S175" s="514"/>
      <c r="T175" s="514"/>
      <c r="U175" s="756"/>
      <c r="V175" s="514"/>
      <c r="W175" s="514"/>
      <c r="X175" s="514"/>
      <c r="Y175" s="514"/>
      <c r="Z175" s="514"/>
      <c r="AA175" s="514"/>
      <c r="AB175" s="756"/>
      <c r="AC175" s="514"/>
      <c r="AD175" s="514"/>
      <c r="AE175" s="514"/>
      <c r="AF175" s="764"/>
      <c r="AG175" s="514"/>
      <c r="AH175" s="514"/>
      <c r="AI175" s="664">
        <f t="shared" si="13"/>
        <v>0</v>
      </c>
      <c r="AJ175" s="521">
        <v>0</v>
      </c>
      <c r="AK175" s="520">
        <f t="shared" si="14"/>
        <v>0</v>
      </c>
      <c r="AL175" s="695" t="s">
        <v>1622</v>
      </c>
      <c r="AM175" s="669">
        <f t="shared" si="15"/>
        <v>54.38</v>
      </c>
    </row>
    <row r="176" spans="1:39" s="500" customFormat="1" ht="13.5" hidden="1" thickBot="1">
      <c r="A176" s="554" t="s">
        <v>805</v>
      </c>
      <c r="B176" s="555" t="s">
        <v>1242</v>
      </c>
      <c r="C176" s="561" t="s">
        <v>37</v>
      </c>
      <c r="D176" s="519"/>
      <c r="E176" s="520"/>
      <c r="F176" s="520"/>
      <c r="G176" s="726"/>
      <c r="H176" s="520"/>
      <c r="I176" s="521"/>
      <c r="J176" s="521"/>
      <c r="K176" s="521"/>
      <c r="L176" s="514"/>
      <c r="M176" s="514"/>
      <c r="N176" s="756"/>
      <c r="O176" s="514"/>
      <c r="P176" s="514"/>
      <c r="Q176" s="514"/>
      <c r="R176" s="514"/>
      <c r="S176" s="514"/>
      <c r="T176" s="514"/>
      <c r="U176" s="756"/>
      <c r="V176" s="514"/>
      <c r="W176" s="514"/>
      <c r="X176" s="514"/>
      <c r="Y176" s="514"/>
      <c r="Z176" s="514"/>
      <c r="AA176" s="514"/>
      <c r="AB176" s="756"/>
      <c r="AC176" s="514"/>
      <c r="AD176" s="514"/>
      <c r="AE176" s="514"/>
      <c r="AF176" s="764"/>
      <c r="AG176" s="514"/>
      <c r="AH176" s="514"/>
      <c r="AI176" s="664">
        <f t="shared" si="13"/>
        <v>0</v>
      </c>
      <c r="AJ176" s="521">
        <v>0</v>
      </c>
      <c r="AK176" s="520">
        <f t="shared" si="14"/>
        <v>0</v>
      </c>
      <c r="AL176" s="695" t="s">
        <v>1623</v>
      </c>
      <c r="AM176" s="669">
        <f t="shared" si="15"/>
        <v>34.44</v>
      </c>
    </row>
    <row r="177" spans="1:39" s="500" customFormat="1" ht="13.5" hidden="1" thickBot="1">
      <c r="A177" s="554" t="s">
        <v>806</v>
      </c>
      <c r="B177" s="555" t="s">
        <v>1243</v>
      </c>
      <c r="C177" s="561" t="s">
        <v>37</v>
      </c>
      <c r="D177" s="519"/>
      <c r="E177" s="520"/>
      <c r="F177" s="520"/>
      <c r="G177" s="726"/>
      <c r="H177" s="520"/>
      <c r="I177" s="521"/>
      <c r="J177" s="521"/>
      <c r="K177" s="521"/>
      <c r="L177" s="514"/>
      <c r="M177" s="514"/>
      <c r="N177" s="756"/>
      <c r="O177" s="514"/>
      <c r="P177" s="514"/>
      <c r="Q177" s="514"/>
      <c r="R177" s="514"/>
      <c r="S177" s="514"/>
      <c r="T177" s="514"/>
      <c r="U177" s="756"/>
      <c r="V177" s="514"/>
      <c r="W177" s="514"/>
      <c r="X177" s="514"/>
      <c r="Y177" s="514"/>
      <c r="Z177" s="514"/>
      <c r="AA177" s="514"/>
      <c r="AB177" s="756"/>
      <c r="AC177" s="514"/>
      <c r="AD177" s="514"/>
      <c r="AE177" s="514"/>
      <c r="AF177" s="764"/>
      <c r="AG177" s="514"/>
      <c r="AH177" s="514"/>
      <c r="AI177" s="664">
        <f t="shared" si="13"/>
        <v>0</v>
      </c>
      <c r="AJ177" s="521">
        <v>0</v>
      </c>
      <c r="AK177" s="520">
        <f t="shared" si="14"/>
        <v>0</v>
      </c>
      <c r="AL177" s="695" t="s">
        <v>1624</v>
      </c>
      <c r="AM177" s="669">
        <f t="shared" si="15"/>
        <v>30.39</v>
      </c>
    </row>
    <row r="178" spans="1:39" s="500" customFormat="1" ht="13.5" hidden="1" thickBot="1">
      <c r="A178" s="554" t="s">
        <v>807</v>
      </c>
      <c r="B178" s="555" t="s">
        <v>1244</v>
      </c>
      <c r="C178" s="561" t="s">
        <v>37</v>
      </c>
      <c r="D178" s="519"/>
      <c r="E178" s="520"/>
      <c r="F178" s="520"/>
      <c r="G178" s="726"/>
      <c r="H178" s="520"/>
      <c r="I178" s="521"/>
      <c r="J178" s="521"/>
      <c r="K178" s="521"/>
      <c r="L178" s="514"/>
      <c r="M178" s="514"/>
      <c r="N178" s="756"/>
      <c r="O178" s="514"/>
      <c r="P178" s="514"/>
      <c r="Q178" s="514"/>
      <c r="R178" s="514"/>
      <c r="S178" s="514"/>
      <c r="T178" s="514"/>
      <c r="U178" s="756"/>
      <c r="V178" s="514"/>
      <c r="W178" s="514"/>
      <c r="X178" s="514"/>
      <c r="Y178" s="514"/>
      <c r="Z178" s="514"/>
      <c r="AA178" s="514"/>
      <c r="AB178" s="756"/>
      <c r="AC178" s="514"/>
      <c r="AD178" s="514"/>
      <c r="AE178" s="514"/>
      <c r="AF178" s="764"/>
      <c r="AG178" s="514"/>
      <c r="AH178" s="514"/>
      <c r="AI178" s="664">
        <f t="shared" si="13"/>
        <v>0</v>
      </c>
      <c r="AJ178" s="521">
        <v>0</v>
      </c>
      <c r="AK178" s="520">
        <f t="shared" si="14"/>
        <v>0</v>
      </c>
      <c r="AL178" s="695" t="s">
        <v>1625</v>
      </c>
      <c r="AM178" s="669">
        <f t="shared" si="15"/>
        <v>39.17</v>
      </c>
    </row>
    <row r="179" spans="1:39" s="500" customFormat="1" ht="13.5" hidden="1" thickBot="1">
      <c r="A179" s="554" t="s">
        <v>808</v>
      </c>
      <c r="B179" s="555" t="s">
        <v>1245</v>
      </c>
      <c r="C179" s="561" t="s">
        <v>38</v>
      </c>
      <c r="D179" s="519"/>
      <c r="E179" s="520"/>
      <c r="F179" s="520"/>
      <c r="G179" s="726"/>
      <c r="H179" s="520"/>
      <c r="I179" s="521"/>
      <c r="J179" s="521"/>
      <c r="K179" s="521"/>
      <c r="L179" s="514"/>
      <c r="M179" s="514"/>
      <c r="N179" s="756"/>
      <c r="O179" s="514"/>
      <c r="P179" s="514"/>
      <c r="Q179" s="514"/>
      <c r="R179" s="514"/>
      <c r="S179" s="514"/>
      <c r="T179" s="514"/>
      <c r="U179" s="756"/>
      <c r="V179" s="514"/>
      <c r="W179" s="514"/>
      <c r="X179" s="514"/>
      <c r="Y179" s="514"/>
      <c r="Z179" s="514"/>
      <c r="AA179" s="514"/>
      <c r="AB179" s="756"/>
      <c r="AC179" s="514"/>
      <c r="AD179" s="514"/>
      <c r="AE179" s="514"/>
      <c r="AF179" s="764"/>
      <c r="AG179" s="514"/>
      <c r="AH179" s="514"/>
      <c r="AI179" s="664">
        <f t="shared" ref="AI179:AI242" si="16">ROUND((SUM(D179:L179)),2)</f>
        <v>0</v>
      </c>
      <c r="AJ179" s="521">
        <v>0</v>
      </c>
      <c r="AK179" s="520">
        <f t="shared" si="14"/>
        <v>0</v>
      </c>
      <c r="AL179" s="695" t="s">
        <v>1626</v>
      </c>
      <c r="AM179" s="669">
        <f t="shared" si="15"/>
        <v>68.38</v>
      </c>
    </row>
    <row r="180" spans="1:39" s="500" customFormat="1" ht="13.5" hidden="1" thickBot="1">
      <c r="A180" s="554" t="s">
        <v>809</v>
      </c>
      <c r="B180" s="555" t="s">
        <v>1246</v>
      </c>
      <c r="C180" s="561" t="s">
        <v>38</v>
      </c>
      <c r="D180" s="519"/>
      <c r="E180" s="520"/>
      <c r="F180" s="520"/>
      <c r="G180" s="726"/>
      <c r="H180" s="520"/>
      <c r="I180" s="521"/>
      <c r="J180" s="521"/>
      <c r="K180" s="521"/>
      <c r="L180" s="514"/>
      <c r="M180" s="514"/>
      <c r="N180" s="756"/>
      <c r="O180" s="514"/>
      <c r="P180" s="514"/>
      <c r="Q180" s="514"/>
      <c r="R180" s="514"/>
      <c r="S180" s="514"/>
      <c r="T180" s="514"/>
      <c r="U180" s="756"/>
      <c r="V180" s="514"/>
      <c r="W180" s="514"/>
      <c r="X180" s="514"/>
      <c r="Y180" s="514"/>
      <c r="Z180" s="514"/>
      <c r="AA180" s="514"/>
      <c r="AB180" s="756"/>
      <c r="AC180" s="514"/>
      <c r="AD180" s="514"/>
      <c r="AE180" s="514"/>
      <c r="AF180" s="764"/>
      <c r="AG180" s="514"/>
      <c r="AH180" s="514"/>
      <c r="AI180" s="664">
        <f t="shared" si="16"/>
        <v>0</v>
      </c>
      <c r="AJ180" s="521">
        <v>0</v>
      </c>
      <c r="AK180" s="520">
        <f t="shared" si="14"/>
        <v>0</v>
      </c>
      <c r="AL180" s="695" t="s">
        <v>1627</v>
      </c>
      <c r="AM180" s="669">
        <f t="shared" si="15"/>
        <v>228.32</v>
      </c>
    </row>
    <row r="181" spans="1:39" s="500" customFormat="1" ht="13.5" hidden="1" thickBot="1">
      <c r="A181" s="554" t="s">
        <v>51</v>
      </c>
      <c r="B181" s="555" t="s">
        <v>1247</v>
      </c>
      <c r="C181" s="561"/>
      <c r="D181" s="519"/>
      <c r="E181" s="520"/>
      <c r="F181" s="520"/>
      <c r="G181" s="726"/>
      <c r="H181" s="520"/>
      <c r="I181" s="521"/>
      <c r="J181" s="521"/>
      <c r="K181" s="521"/>
      <c r="L181" s="514"/>
      <c r="M181" s="514"/>
      <c r="N181" s="756"/>
      <c r="O181" s="514"/>
      <c r="P181" s="514"/>
      <c r="Q181" s="514"/>
      <c r="R181" s="514"/>
      <c r="S181" s="514"/>
      <c r="T181" s="514"/>
      <c r="U181" s="756"/>
      <c r="V181" s="514"/>
      <c r="W181" s="514"/>
      <c r="X181" s="514"/>
      <c r="Y181" s="514"/>
      <c r="Z181" s="514"/>
      <c r="AA181" s="514"/>
      <c r="AB181" s="756"/>
      <c r="AC181" s="514"/>
      <c r="AD181" s="514"/>
      <c r="AE181" s="514"/>
      <c r="AF181" s="764"/>
      <c r="AG181" s="514"/>
      <c r="AH181" s="514"/>
      <c r="AI181" s="664">
        <f t="shared" si="16"/>
        <v>0</v>
      </c>
      <c r="AJ181" s="521">
        <v>0</v>
      </c>
      <c r="AK181" s="520">
        <f t="shared" si="14"/>
        <v>0</v>
      </c>
      <c r="AL181" s="695"/>
      <c r="AM181" s="669">
        <f t="shared" si="15"/>
        <v>0</v>
      </c>
    </row>
    <row r="182" spans="1:39" s="500" customFormat="1" ht="13.5" hidden="1" thickBot="1">
      <c r="A182" s="554" t="s">
        <v>810</v>
      </c>
      <c r="B182" s="555" t="s">
        <v>1248</v>
      </c>
      <c r="C182" s="561" t="s">
        <v>37</v>
      </c>
      <c r="D182" s="519"/>
      <c r="E182" s="520"/>
      <c r="F182" s="520"/>
      <c r="G182" s="726"/>
      <c r="H182" s="520"/>
      <c r="I182" s="521"/>
      <c r="J182" s="521"/>
      <c r="K182" s="521"/>
      <c r="L182" s="514"/>
      <c r="M182" s="514"/>
      <c r="N182" s="756"/>
      <c r="O182" s="514"/>
      <c r="P182" s="514"/>
      <c r="Q182" s="514"/>
      <c r="R182" s="514"/>
      <c r="S182" s="514"/>
      <c r="T182" s="514"/>
      <c r="U182" s="756"/>
      <c r="V182" s="514"/>
      <c r="W182" s="514"/>
      <c r="X182" s="514"/>
      <c r="Y182" s="514"/>
      <c r="Z182" s="514"/>
      <c r="AA182" s="514"/>
      <c r="AB182" s="756"/>
      <c r="AC182" s="514"/>
      <c r="AD182" s="514"/>
      <c r="AE182" s="514"/>
      <c r="AF182" s="764"/>
      <c r="AG182" s="514"/>
      <c r="AH182" s="514"/>
      <c r="AI182" s="664">
        <f t="shared" si="16"/>
        <v>0</v>
      </c>
      <c r="AJ182" s="521">
        <v>0</v>
      </c>
      <c r="AK182" s="520">
        <f t="shared" si="14"/>
        <v>0</v>
      </c>
      <c r="AL182" s="695" t="s">
        <v>1628</v>
      </c>
      <c r="AM182" s="669">
        <f t="shared" si="15"/>
        <v>90.62</v>
      </c>
    </row>
    <row r="183" spans="1:39" s="500" customFormat="1" ht="13.5" hidden="1" thickBot="1">
      <c r="A183" s="554" t="s">
        <v>277</v>
      </c>
      <c r="B183" s="555" t="s">
        <v>1249</v>
      </c>
      <c r="C183" s="561"/>
      <c r="D183" s="519"/>
      <c r="E183" s="520"/>
      <c r="F183" s="520"/>
      <c r="G183" s="726"/>
      <c r="H183" s="520"/>
      <c r="I183" s="521"/>
      <c r="J183" s="521"/>
      <c r="K183" s="521"/>
      <c r="L183" s="514"/>
      <c r="M183" s="514"/>
      <c r="N183" s="756"/>
      <c r="O183" s="514"/>
      <c r="P183" s="514"/>
      <c r="Q183" s="514"/>
      <c r="R183" s="514"/>
      <c r="S183" s="514"/>
      <c r="T183" s="514"/>
      <c r="U183" s="756"/>
      <c r="V183" s="514"/>
      <c r="W183" s="514"/>
      <c r="X183" s="514"/>
      <c r="Y183" s="514"/>
      <c r="Z183" s="514"/>
      <c r="AA183" s="514"/>
      <c r="AB183" s="756"/>
      <c r="AC183" s="514"/>
      <c r="AD183" s="514"/>
      <c r="AE183" s="514"/>
      <c r="AF183" s="764"/>
      <c r="AG183" s="514"/>
      <c r="AH183" s="514"/>
      <c r="AI183" s="664">
        <f t="shared" si="16"/>
        <v>0</v>
      </c>
      <c r="AJ183" s="521">
        <v>0</v>
      </c>
      <c r="AK183" s="520">
        <f t="shared" si="14"/>
        <v>0</v>
      </c>
      <c r="AL183" s="695"/>
      <c r="AM183" s="669">
        <f t="shared" si="15"/>
        <v>0</v>
      </c>
    </row>
    <row r="184" spans="1:39" s="500" customFormat="1" ht="13.5" hidden="1" thickBot="1">
      <c r="A184" s="554" t="s">
        <v>811</v>
      </c>
      <c r="B184" s="555" t="s">
        <v>1250</v>
      </c>
      <c r="C184" s="561" t="s">
        <v>37</v>
      </c>
      <c r="D184" s="519"/>
      <c r="E184" s="520"/>
      <c r="F184" s="520"/>
      <c r="G184" s="726"/>
      <c r="H184" s="520"/>
      <c r="I184" s="521"/>
      <c r="J184" s="521"/>
      <c r="K184" s="521"/>
      <c r="L184" s="514"/>
      <c r="M184" s="514"/>
      <c r="N184" s="756"/>
      <c r="O184" s="514"/>
      <c r="P184" s="514"/>
      <c r="Q184" s="514"/>
      <c r="R184" s="514"/>
      <c r="S184" s="514"/>
      <c r="T184" s="514"/>
      <c r="U184" s="756"/>
      <c r="V184" s="514"/>
      <c r="W184" s="514"/>
      <c r="X184" s="514"/>
      <c r="Y184" s="514"/>
      <c r="Z184" s="514"/>
      <c r="AA184" s="514"/>
      <c r="AB184" s="756"/>
      <c r="AC184" s="514"/>
      <c r="AD184" s="514"/>
      <c r="AE184" s="514"/>
      <c r="AF184" s="764"/>
      <c r="AG184" s="514"/>
      <c r="AH184" s="514"/>
      <c r="AI184" s="664">
        <f t="shared" si="16"/>
        <v>0</v>
      </c>
      <c r="AJ184" s="521">
        <v>0</v>
      </c>
      <c r="AK184" s="520">
        <f t="shared" si="14"/>
        <v>0</v>
      </c>
      <c r="AL184" s="695" t="s">
        <v>1629</v>
      </c>
      <c r="AM184" s="669">
        <f t="shared" si="15"/>
        <v>72.22</v>
      </c>
    </row>
    <row r="185" spans="1:39" s="500" customFormat="1" ht="13.5" hidden="1" thickBot="1">
      <c r="A185" s="554" t="s">
        <v>812</v>
      </c>
      <c r="B185" s="555" t="s">
        <v>1251</v>
      </c>
      <c r="C185" s="561" t="s">
        <v>37</v>
      </c>
      <c r="D185" s="519"/>
      <c r="E185" s="520"/>
      <c r="F185" s="520"/>
      <c r="G185" s="726"/>
      <c r="H185" s="520"/>
      <c r="I185" s="521"/>
      <c r="J185" s="521"/>
      <c r="K185" s="521"/>
      <c r="L185" s="514"/>
      <c r="M185" s="514"/>
      <c r="N185" s="756"/>
      <c r="O185" s="514"/>
      <c r="P185" s="514"/>
      <c r="Q185" s="514"/>
      <c r="R185" s="514"/>
      <c r="S185" s="514"/>
      <c r="T185" s="514"/>
      <c r="U185" s="756"/>
      <c r="V185" s="514"/>
      <c r="W185" s="514"/>
      <c r="X185" s="514"/>
      <c r="Y185" s="514"/>
      <c r="Z185" s="514"/>
      <c r="AA185" s="514"/>
      <c r="AB185" s="756"/>
      <c r="AC185" s="514"/>
      <c r="AD185" s="514"/>
      <c r="AE185" s="514"/>
      <c r="AF185" s="764"/>
      <c r="AG185" s="514"/>
      <c r="AH185" s="514"/>
      <c r="AI185" s="664">
        <f t="shared" si="16"/>
        <v>0</v>
      </c>
      <c r="AJ185" s="521">
        <v>0</v>
      </c>
      <c r="AK185" s="520">
        <f t="shared" si="14"/>
        <v>0</v>
      </c>
      <c r="AL185" s="695" t="s">
        <v>1630</v>
      </c>
      <c r="AM185" s="669">
        <f t="shared" si="15"/>
        <v>56.44</v>
      </c>
    </row>
    <row r="186" spans="1:39" s="500" customFormat="1" ht="13.5" hidden="1" thickBot="1">
      <c r="A186" s="554" t="s">
        <v>813</v>
      </c>
      <c r="B186" s="555" t="s">
        <v>1252</v>
      </c>
      <c r="C186" s="561" t="s">
        <v>37</v>
      </c>
      <c r="D186" s="519"/>
      <c r="E186" s="520"/>
      <c r="F186" s="520"/>
      <c r="G186" s="726"/>
      <c r="H186" s="520"/>
      <c r="I186" s="521"/>
      <c r="J186" s="521"/>
      <c r="K186" s="521"/>
      <c r="L186" s="514"/>
      <c r="M186" s="514"/>
      <c r="N186" s="756"/>
      <c r="O186" s="514"/>
      <c r="P186" s="514"/>
      <c r="Q186" s="514"/>
      <c r="R186" s="514"/>
      <c r="S186" s="514"/>
      <c r="T186" s="514"/>
      <c r="U186" s="756"/>
      <c r="V186" s="514"/>
      <c r="W186" s="514"/>
      <c r="X186" s="514"/>
      <c r="Y186" s="514"/>
      <c r="Z186" s="514"/>
      <c r="AA186" s="514"/>
      <c r="AB186" s="756"/>
      <c r="AC186" s="514"/>
      <c r="AD186" s="514"/>
      <c r="AE186" s="514"/>
      <c r="AF186" s="764"/>
      <c r="AG186" s="514"/>
      <c r="AH186" s="514"/>
      <c r="AI186" s="664">
        <f t="shared" si="16"/>
        <v>0</v>
      </c>
      <c r="AJ186" s="521">
        <v>0</v>
      </c>
      <c r="AK186" s="520">
        <f t="shared" si="14"/>
        <v>0</v>
      </c>
      <c r="AL186" s="695" t="s">
        <v>1631</v>
      </c>
      <c r="AM186" s="669">
        <f t="shared" si="15"/>
        <v>15.78</v>
      </c>
    </row>
    <row r="187" spans="1:39" s="500" customFormat="1" ht="13.5" hidden="1" thickBot="1">
      <c r="A187" s="554" t="s">
        <v>279</v>
      </c>
      <c r="B187" s="555" t="s">
        <v>1253</v>
      </c>
      <c r="C187" s="561"/>
      <c r="D187" s="519"/>
      <c r="E187" s="520"/>
      <c r="F187" s="520"/>
      <c r="G187" s="726"/>
      <c r="H187" s="520"/>
      <c r="I187" s="521"/>
      <c r="J187" s="521"/>
      <c r="K187" s="521"/>
      <c r="L187" s="514"/>
      <c r="M187" s="514"/>
      <c r="N187" s="756"/>
      <c r="O187" s="514"/>
      <c r="P187" s="514"/>
      <c r="Q187" s="514"/>
      <c r="R187" s="514"/>
      <c r="S187" s="514"/>
      <c r="T187" s="514"/>
      <c r="U187" s="756"/>
      <c r="V187" s="514"/>
      <c r="W187" s="514"/>
      <c r="X187" s="514"/>
      <c r="Y187" s="514"/>
      <c r="Z187" s="514"/>
      <c r="AA187" s="514"/>
      <c r="AB187" s="756"/>
      <c r="AC187" s="514"/>
      <c r="AD187" s="514"/>
      <c r="AE187" s="514"/>
      <c r="AF187" s="764"/>
      <c r="AG187" s="514"/>
      <c r="AH187" s="514"/>
      <c r="AI187" s="664">
        <f t="shared" si="16"/>
        <v>0</v>
      </c>
      <c r="AJ187" s="521">
        <v>0</v>
      </c>
      <c r="AK187" s="520">
        <f t="shared" si="14"/>
        <v>0</v>
      </c>
      <c r="AL187" s="695"/>
      <c r="AM187" s="669">
        <f t="shared" si="15"/>
        <v>0</v>
      </c>
    </row>
    <row r="188" spans="1:39" s="500" customFormat="1" ht="13.5" hidden="1" thickBot="1">
      <c r="A188" s="554" t="s">
        <v>814</v>
      </c>
      <c r="B188" s="555" t="s">
        <v>1254</v>
      </c>
      <c r="C188" s="561" t="s">
        <v>38</v>
      </c>
      <c r="D188" s="519"/>
      <c r="E188" s="520"/>
      <c r="F188" s="520"/>
      <c r="G188" s="726"/>
      <c r="H188" s="520"/>
      <c r="I188" s="521"/>
      <c r="J188" s="521"/>
      <c r="K188" s="521"/>
      <c r="L188" s="514"/>
      <c r="M188" s="514"/>
      <c r="N188" s="756"/>
      <c r="O188" s="514"/>
      <c r="P188" s="514"/>
      <c r="Q188" s="514"/>
      <c r="R188" s="514"/>
      <c r="S188" s="514"/>
      <c r="T188" s="514"/>
      <c r="U188" s="756"/>
      <c r="V188" s="514"/>
      <c r="W188" s="514"/>
      <c r="X188" s="514"/>
      <c r="Y188" s="514"/>
      <c r="Z188" s="514"/>
      <c r="AA188" s="514"/>
      <c r="AB188" s="756"/>
      <c r="AC188" s="514"/>
      <c r="AD188" s="514"/>
      <c r="AE188" s="514"/>
      <c r="AF188" s="764"/>
      <c r="AG188" s="514"/>
      <c r="AH188" s="514"/>
      <c r="AI188" s="664">
        <f t="shared" si="16"/>
        <v>0</v>
      </c>
      <c r="AJ188" s="521">
        <v>0</v>
      </c>
      <c r="AK188" s="520">
        <f t="shared" si="14"/>
        <v>0</v>
      </c>
      <c r="AL188" s="695" t="s">
        <v>1632</v>
      </c>
      <c r="AM188" s="669">
        <f t="shared" si="15"/>
        <v>11.52</v>
      </c>
    </row>
    <row r="189" spans="1:39" s="500" customFormat="1" ht="13.5" hidden="1" thickBot="1">
      <c r="A189" s="554" t="s">
        <v>815</v>
      </c>
      <c r="B189" s="555" t="s">
        <v>1255</v>
      </c>
      <c r="C189" s="561" t="s">
        <v>37</v>
      </c>
      <c r="D189" s="519"/>
      <c r="E189" s="520"/>
      <c r="F189" s="520"/>
      <c r="G189" s="726"/>
      <c r="H189" s="520"/>
      <c r="I189" s="521"/>
      <c r="J189" s="521"/>
      <c r="K189" s="521"/>
      <c r="L189" s="514"/>
      <c r="M189" s="514"/>
      <c r="N189" s="756"/>
      <c r="O189" s="514"/>
      <c r="P189" s="514"/>
      <c r="Q189" s="514"/>
      <c r="R189" s="514"/>
      <c r="S189" s="514"/>
      <c r="T189" s="514"/>
      <c r="U189" s="756"/>
      <c r="V189" s="514"/>
      <c r="W189" s="514"/>
      <c r="X189" s="514"/>
      <c r="Y189" s="514"/>
      <c r="Z189" s="514"/>
      <c r="AA189" s="514"/>
      <c r="AB189" s="756"/>
      <c r="AC189" s="514"/>
      <c r="AD189" s="514"/>
      <c r="AE189" s="514"/>
      <c r="AF189" s="764"/>
      <c r="AG189" s="514"/>
      <c r="AH189" s="514"/>
      <c r="AI189" s="664">
        <f t="shared" si="16"/>
        <v>0</v>
      </c>
      <c r="AJ189" s="521">
        <v>0</v>
      </c>
      <c r="AK189" s="520">
        <f t="shared" si="14"/>
        <v>0</v>
      </c>
      <c r="AL189" s="695" t="s">
        <v>1633</v>
      </c>
      <c r="AM189" s="669">
        <f t="shared" si="15"/>
        <v>5.18</v>
      </c>
    </row>
    <row r="190" spans="1:39" s="500" customFormat="1" ht="13.5" hidden="1" thickBot="1">
      <c r="A190" s="554" t="s">
        <v>280</v>
      </c>
      <c r="B190" s="555" t="s">
        <v>1256</v>
      </c>
      <c r="C190" s="561"/>
      <c r="D190" s="519"/>
      <c r="E190" s="520"/>
      <c r="F190" s="520"/>
      <c r="G190" s="726"/>
      <c r="H190" s="520"/>
      <c r="I190" s="521"/>
      <c r="J190" s="521"/>
      <c r="K190" s="521"/>
      <c r="L190" s="514"/>
      <c r="M190" s="514"/>
      <c r="N190" s="756"/>
      <c r="O190" s="514"/>
      <c r="P190" s="514"/>
      <c r="Q190" s="514"/>
      <c r="R190" s="514"/>
      <c r="S190" s="514"/>
      <c r="T190" s="514"/>
      <c r="U190" s="756"/>
      <c r="V190" s="514"/>
      <c r="W190" s="514"/>
      <c r="X190" s="514"/>
      <c r="Y190" s="514"/>
      <c r="Z190" s="514"/>
      <c r="AA190" s="514"/>
      <c r="AB190" s="756"/>
      <c r="AC190" s="514"/>
      <c r="AD190" s="514"/>
      <c r="AE190" s="514"/>
      <c r="AF190" s="764"/>
      <c r="AG190" s="514"/>
      <c r="AH190" s="514"/>
      <c r="AI190" s="664">
        <f t="shared" si="16"/>
        <v>0</v>
      </c>
      <c r="AJ190" s="521">
        <v>0</v>
      </c>
      <c r="AK190" s="520">
        <f t="shared" si="14"/>
        <v>0</v>
      </c>
      <c r="AL190" s="695"/>
      <c r="AM190" s="669">
        <f t="shared" si="15"/>
        <v>0</v>
      </c>
    </row>
    <row r="191" spans="1:39" s="500" customFormat="1" ht="13.5" hidden="1" thickBot="1">
      <c r="A191" s="554" t="s">
        <v>816</v>
      </c>
      <c r="B191" s="555" t="s">
        <v>1257</v>
      </c>
      <c r="C191" s="561" t="s">
        <v>37</v>
      </c>
      <c r="D191" s="519"/>
      <c r="E191" s="520"/>
      <c r="F191" s="520"/>
      <c r="G191" s="726"/>
      <c r="H191" s="520"/>
      <c r="I191" s="521"/>
      <c r="J191" s="521"/>
      <c r="K191" s="521"/>
      <c r="L191" s="514"/>
      <c r="M191" s="514"/>
      <c r="N191" s="756"/>
      <c r="O191" s="514"/>
      <c r="P191" s="514"/>
      <c r="Q191" s="514"/>
      <c r="R191" s="514"/>
      <c r="S191" s="514"/>
      <c r="T191" s="514"/>
      <c r="U191" s="756"/>
      <c r="V191" s="514"/>
      <c r="W191" s="514"/>
      <c r="X191" s="514"/>
      <c r="Y191" s="514"/>
      <c r="Z191" s="514"/>
      <c r="AA191" s="514"/>
      <c r="AB191" s="756"/>
      <c r="AC191" s="514"/>
      <c r="AD191" s="514"/>
      <c r="AE191" s="514"/>
      <c r="AF191" s="764"/>
      <c r="AG191" s="514"/>
      <c r="AH191" s="514"/>
      <c r="AI191" s="664">
        <f t="shared" si="16"/>
        <v>0</v>
      </c>
      <c r="AJ191" s="521">
        <v>0</v>
      </c>
      <c r="AK191" s="520">
        <f t="shared" si="14"/>
        <v>0</v>
      </c>
      <c r="AL191" s="695" t="s">
        <v>1634</v>
      </c>
      <c r="AM191" s="669">
        <f t="shared" si="15"/>
        <v>73.5</v>
      </c>
    </row>
    <row r="192" spans="1:39" s="500" customFormat="1" ht="13.5" hidden="1" thickBot="1">
      <c r="A192" s="554" t="s">
        <v>281</v>
      </c>
      <c r="B192" s="555" t="s">
        <v>1258</v>
      </c>
      <c r="C192" s="561"/>
      <c r="D192" s="519"/>
      <c r="E192" s="520"/>
      <c r="F192" s="520"/>
      <c r="G192" s="726"/>
      <c r="H192" s="520"/>
      <c r="I192" s="521"/>
      <c r="J192" s="521"/>
      <c r="K192" s="521"/>
      <c r="L192" s="514"/>
      <c r="M192" s="514"/>
      <c r="N192" s="756"/>
      <c r="O192" s="514"/>
      <c r="P192" s="514"/>
      <c r="Q192" s="514"/>
      <c r="R192" s="514"/>
      <c r="S192" s="514"/>
      <c r="T192" s="514"/>
      <c r="U192" s="756"/>
      <c r="V192" s="514"/>
      <c r="W192" s="514"/>
      <c r="X192" s="514"/>
      <c r="Y192" s="514"/>
      <c r="Z192" s="514"/>
      <c r="AA192" s="514"/>
      <c r="AB192" s="756"/>
      <c r="AC192" s="514"/>
      <c r="AD192" s="514"/>
      <c r="AE192" s="514"/>
      <c r="AF192" s="764"/>
      <c r="AG192" s="514"/>
      <c r="AH192" s="514"/>
      <c r="AI192" s="664">
        <f t="shared" si="16"/>
        <v>0</v>
      </c>
      <c r="AJ192" s="521">
        <v>0</v>
      </c>
      <c r="AK192" s="520">
        <f t="shared" si="14"/>
        <v>0</v>
      </c>
      <c r="AL192" s="695"/>
      <c r="AM192" s="669">
        <f t="shared" si="15"/>
        <v>0</v>
      </c>
    </row>
    <row r="193" spans="1:39" s="500" customFormat="1" ht="13.5" hidden="1" thickBot="1">
      <c r="A193" s="554" t="s">
        <v>817</v>
      </c>
      <c r="B193" s="555" t="s">
        <v>1259</v>
      </c>
      <c r="C193" s="561" t="s">
        <v>37</v>
      </c>
      <c r="D193" s="519"/>
      <c r="E193" s="520"/>
      <c r="F193" s="520"/>
      <c r="G193" s="726"/>
      <c r="H193" s="520"/>
      <c r="I193" s="521"/>
      <c r="J193" s="521"/>
      <c r="K193" s="521"/>
      <c r="L193" s="514"/>
      <c r="M193" s="514"/>
      <c r="N193" s="756"/>
      <c r="O193" s="514"/>
      <c r="P193" s="514"/>
      <c r="Q193" s="514"/>
      <c r="R193" s="514"/>
      <c r="S193" s="514"/>
      <c r="T193" s="514"/>
      <c r="U193" s="756"/>
      <c r="V193" s="514"/>
      <c r="W193" s="514"/>
      <c r="X193" s="514"/>
      <c r="Y193" s="514"/>
      <c r="Z193" s="514"/>
      <c r="AA193" s="514"/>
      <c r="AB193" s="756"/>
      <c r="AC193" s="514"/>
      <c r="AD193" s="514"/>
      <c r="AE193" s="514"/>
      <c r="AF193" s="764"/>
      <c r="AG193" s="514"/>
      <c r="AH193" s="514"/>
      <c r="AI193" s="664">
        <f t="shared" si="16"/>
        <v>0</v>
      </c>
      <c r="AJ193" s="521">
        <v>0</v>
      </c>
      <c r="AK193" s="520">
        <f t="shared" si="14"/>
        <v>0</v>
      </c>
      <c r="AL193" s="695" t="s">
        <v>1635</v>
      </c>
      <c r="AM193" s="669">
        <f t="shared" si="15"/>
        <v>15.8</v>
      </c>
    </row>
    <row r="194" spans="1:39" s="500" customFormat="1" ht="13.5" hidden="1" thickBot="1">
      <c r="A194" s="554" t="s">
        <v>818</v>
      </c>
      <c r="B194" s="555" t="s">
        <v>1260</v>
      </c>
      <c r="C194" s="561" t="s">
        <v>38</v>
      </c>
      <c r="D194" s="519"/>
      <c r="E194" s="520"/>
      <c r="F194" s="520"/>
      <c r="G194" s="726"/>
      <c r="H194" s="520"/>
      <c r="I194" s="521"/>
      <c r="J194" s="521"/>
      <c r="K194" s="521"/>
      <c r="L194" s="514"/>
      <c r="M194" s="514"/>
      <c r="N194" s="756"/>
      <c r="O194" s="514"/>
      <c r="P194" s="514"/>
      <c r="Q194" s="514"/>
      <c r="R194" s="514"/>
      <c r="S194" s="514"/>
      <c r="T194" s="514"/>
      <c r="U194" s="756"/>
      <c r="V194" s="514"/>
      <c r="W194" s="514"/>
      <c r="X194" s="514"/>
      <c r="Y194" s="514"/>
      <c r="Z194" s="514"/>
      <c r="AA194" s="514"/>
      <c r="AB194" s="756"/>
      <c r="AC194" s="514"/>
      <c r="AD194" s="514"/>
      <c r="AE194" s="514"/>
      <c r="AF194" s="764"/>
      <c r="AG194" s="514"/>
      <c r="AH194" s="514"/>
      <c r="AI194" s="664">
        <f t="shared" si="16"/>
        <v>0</v>
      </c>
      <c r="AJ194" s="521">
        <v>0</v>
      </c>
      <c r="AK194" s="520">
        <f t="shared" si="14"/>
        <v>0</v>
      </c>
      <c r="AL194" s="695" t="s">
        <v>1636</v>
      </c>
      <c r="AM194" s="669">
        <f t="shared" si="15"/>
        <v>27.62</v>
      </c>
    </row>
    <row r="195" spans="1:39" s="500" customFormat="1" ht="13.5" hidden="1" thickBot="1">
      <c r="A195" s="554" t="s">
        <v>819</v>
      </c>
      <c r="B195" s="555" t="s">
        <v>1261</v>
      </c>
      <c r="C195" s="561" t="s">
        <v>38</v>
      </c>
      <c r="D195" s="519"/>
      <c r="E195" s="520"/>
      <c r="F195" s="520"/>
      <c r="G195" s="726"/>
      <c r="H195" s="520"/>
      <c r="I195" s="521"/>
      <c r="J195" s="521"/>
      <c r="K195" s="521"/>
      <c r="L195" s="514"/>
      <c r="M195" s="514"/>
      <c r="N195" s="756"/>
      <c r="O195" s="514"/>
      <c r="P195" s="514"/>
      <c r="Q195" s="514"/>
      <c r="R195" s="514"/>
      <c r="S195" s="514"/>
      <c r="T195" s="514"/>
      <c r="U195" s="756"/>
      <c r="V195" s="514"/>
      <c r="W195" s="514"/>
      <c r="X195" s="514"/>
      <c r="Y195" s="514"/>
      <c r="Z195" s="514"/>
      <c r="AA195" s="514"/>
      <c r="AB195" s="756"/>
      <c r="AC195" s="514"/>
      <c r="AD195" s="514"/>
      <c r="AE195" s="514"/>
      <c r="AF195" s="764"/>
      <c r="AG195" s="514"/>
      <c r="AH195" s="514"/>
      <c r="AI195" s="664">
        <f t="shared" si="16"/>
        <v>0</v>
      </c>
      <c r="AJ195" s="521">
        <v>0</v>
      </c>
      <c r="AK195" s="520">
        <f t="shared" si="14"/>
        <v>0</v>
      </c>
      <c r="AL195" s="695" t="s">
        <v>1637</v>
      </c>
      <c r="AM195" s="669">
        <f t="shared" si="15"/>
        <v>30.2</v>
      </c>
    </row>
    <row r="196" spans="1:39" s="500" customFormat="1" ht="13.5" hidden="1" thickBot="1">
      <c r="A196" s="554" t="s">
        <v>282</v>
      </c>
      <c r="B196" s="555" t="s">
        <v>1198</v>
      </c>
      <c r="C196" s="561"/>
      <c r="D196" s="519"/>
      <c r="E196" s="520"/>
      <c r="F196" s="520"/>
      <c r="G196" s="726"/>
      <c r="H196" s="520"/>
      <c r="I196" s="521"/>
      <c r="J196" s="521"/>
      <c r="K196" s="521"/>
      <c r="L196" s="514"/>
      <c r="M196" s="514"/>
      <c r="N196" s="756"/>
      <c r="O196" s="514"/>
      <c r="P196" s="514"/>
      <c r="Q196" s="514"/>
      <c r="R196" s="514"/>
      <c r="S196" s="514"/>
      <c r="T196" s="514"/>
      <c r="U196" s="756"/>
      <c r="V196" s="514"/>
      <c r="W196" s="514"/>
      <c r="X196" s="514"/>
      <c r="Y196" s="514"/>
      <c r="Z196" s="514"/>
      <c r="AA196" s="514"/>
      <c r="AB196" s="756"/>
      <c r="AC196" s="514"/>
      <c r="AD196" s="514"/>
      <c r="AE196" s="514"/>
      <c r="AF196" s="764"/>
      <c r="AG196" s="514"/>
      <c r="AH196" s="514"/>
      <c r="AI196" s="664">
        <f t="shared" si="16"/>
        <v>0</v>
      </c>
      <c r="AJ196" s="521">
        <v>0</v>
      </c>
      <c r="AK196" s="520">
        <f t="shared" si="14"/>
        <v>0</v>
      </c>
      <c r="AL196" s="695"/>
      <c r="AM196" s="669">
        <f t="shared" si="15"/>
        <v>0</v>
      </c>
    </row>
    <row r="197" spans="1:39" s="500" customFormat="1" ht="13.5" hidden="1" thickBot="1">
      <c r="A197" s="554" t="s">
        <v>820</v>
      </c>
      <c r="B197" s="555" t="s">
        <v>1262</v>
      </c>
      <c r="C197" s="561" t="s">
        <v>37</v>
      </c>
      <c r="D197" s="519"/>
      <c r="E197" s="520"/>
      <c r="F197" s="520"/>
      <c r="G197" s="726"/>
      <c r="H197" s="520"/>
      <c r="I197" s="521"/>
      <c r="J197" s="521"/>
      <c r="K197" s="521"/>
      <c r="L197" s="514"/>
      <c r="M197" s="514"/>
      <c r="N197" s="756"/>
      <c r="O197" s="514"/>
      <c r="P197" s="514"/>
      <c r="Q197" s="514"/>
      <c r="R197" s="514"/>
      <c r="S197" s="514"/>
      <c r="T197" s="514"/>
      <c r="U197" s="756"/>
      <c r="V197" s="514"/>
      <c r="W197" s="514"/>
      <c r="X197" s="514"/>
      <c r="Y197" s="514"/>
      <c r="Z197" s="514"/>
      <c r="AA197" s="514"/>
      <c r="AB197" s="756"/>
      <c r="AC197" s="514"/>
      <c r="AD197" s="514"/>
      <c r="AE197" s="514"/>
      <c r="AF197" s="764"/>
      <c r="AG197" s="514"/>
      <c r="AH197" s="514"/>
      <c r="AI197" s="664">
        <f t="shared" si="16"/>
        <v>0</v>
      </c>
      <c r="AJ197" s="521">
        <v>0</v>
      </c>
      <c r="AK197" s="520">
        <f t="shared" si="14"/>
        <v>0</v>
      </c>
      <c r="AL197" s="695" t="s">
        <v>1638</v>
      </c>
      <c r="AM197" s="669">
        <f t="shared" si="15"/>
        <v>90.78</v>
      </c>
    </row>
    <row r="198" spans="1:39" s="500" customFormat="1" ht="13.5" hidden="1" thickBot="1">
      <c r="A198" s="554" t="s">
        <v>821</v>
      </c>
      <c r="B198" s="555" t="s">
        <v>1263</v>
      </c>
      <c r="C198" s="561" t="s">
        <v>38</v>
      </c>
      <c r="D198" s="519"/>
      <c r="E198" s="520"/>
      <c r="F198" s="520"/>
      <c r="G198" s="726"/>
      <c r="H198" s="520"/>
      <c r="I198" s="521"/>
      <c r="J198" s="521"/>
      <c r="K198" s="521"/>
      <c r="L198" s="514"/>
      <c r="M198" s="514"/>
      <c r="N198" s="756"/>
      <c r="O198" s="514"/>
      <c r="P198" s="514"/>
      <c r="Q198" s="514"/>
      <c r="R198" s="514"/>
      <c r="S198" s="514"/>
      <c r="T198" s="514"/>
      <c r="U198" s="756"/>
      <c r="V198" s="514"/>
      <c r="W198" s="514"/>
      <c r="X198" s="514"/>
      <c r="Y198" s="514"/>
      <c r="Z198" s="514"/>
      <c r="AA198" s="514"/>
      <c r="AB198" s="756"/>
      <c r="AC198" s="514"/>
      <c r="AD198" s="514"/>
      <c r="AE198" s="514"/>
      <c r="AF198" s="764"/>
      <c r="AG198" s="514"/>
      <c r="AH198" s="514"/>
      <c r="AI198" s="664">
        <f t="shared" si="16"/>
        <v>0</v>
      </c>
      <c r="AJ198" s="521">
        <v>0</v>
      </c>
      <c r="AK198" s="520">
        <f t="shared" si="14"/>
        <v>0</v>
      </c>
      <c r="AL198" s="695" t="s">
        <v>1639</v>
      </c>
      <c r="AM198" s="669">
        <f t="shared" si="15"/>
        <v>29.18</v>
      </c>
    </row>
    <row r="199" spans="1:39" s="500" customFormat="1" ht="13.5" hidden="1" thickBot="1">
      <c r="A199" s="554" t="s">
        <v>822</v>
      </c>
      <c r="B199" s="555" t="s">
        <v>1264</v>
      </c>
      <c r="C199" s="561"/>
      <c r="D199" s="519"/>
      <c r="E199" s="520"/>
      <c r="F199" s="520"/>
      <c r="G199" s="726"/>
      <c r="H199" s="520"/>
      <c r="I199" s="521"/>
      <c r="J199" s="521"/>
      <c r="K199" s="521"/>
      <c r="L199" s="514"/>
      <c r="M199" s="514"/>
      <c r="N199" s="756"/>
      <c r="O199" s="514"/>
      <c r="P199" s="514"/>
      <c r="Q199" s="514"/>
      <c r="R199" s="514"/>
      <c r="S199" s="514"/>
      <c r="T199" s="514"/>
      <c r="U199" s="756"/>
      <c r="V199" s="514"/>
      <c r="W199" s="514"/>
      <c r="X199" s="514"/>
      <c r="Y199" s="514"/>
      <c r="Z199" s="514"/>
      <c r="AA199" s="514"/>
      <c r="AB199" s="756"/>
      <c r="AC199" s="514"/>
      <c r="AD199" s="514"/>
      <c r="AE199" s="514"/>
      <c r="AF199" s="764"/>
      <c r="AG199" s="514"/>
      <c r="AH199" s="514"/>
      <c r="AI199" s="664">
        <f t="shared" si="16"/>
        <v>0</v>
      </c>
      <c r="AJ199" s="521">
        <v>0</v>
      </c>
      <c r="AK199" s="520">
        <f t="shared" si="14"/>
        <v>0</v>
      </c>
      <c r="AL199" s="695"/>
      <c r="AM199" s="669">
        <f t="shared" si="15"/>
        <v>0</v>
      </c>
    </row>
    <row r="200" spans="1:39" s="500" customFormat="1" ht="13.5" hidden="1" thickBot="1">
      <c r="A200" s="554" t="s">
        <v>823</v>
      </c>
      <c r="B200" s="555" t="s">
        <v>1265</v>
      </c>
      <c r="C200" s="561" t="s">
        <v>37</v>
      </c>
      <c r="D200" s="519"/>
      <c r="E200" s="520"/>
      <c r="F200" s="520"/>
      <c r="G200" s="726"/>
      <c r="H200" s="520"/>
      <c r="I200" s="521"/>
      <c r="J200" s="521"/>
      <c r="K200" s="521"/>
      <c r="L200" s="514"/>
      <c r="M200" s="514"/>
      <c r="N200" s="756"/>
      <c r="O200" s="514"/>
      <c r="P200" s="514"/>
      <c r="Q200" s="514"/>
      <c r="R200" s="514"/>
      <c r="S200" s="514"/>
      <c r="T200" s="514"/>
      <c r="U200" s="756"/>
      <c r="V200" s="514"/>
      <c r="W200" s="514"/>
      <c r="X200" s="514"/>
      <c r="Y200" s="514"/>
      <c r="Z200" s="514"/>
      <c r="AA200" s="514"/>
      <c r="AB200" s="756"/>
      <c r="AC200" s="514"/>
      <c r="AD200" s="514"/>
      <c r="AE200" s="514"/>
      <c r="AF200" s="764"/>
      <c r="AG200" s="514"/>
      <c r="AH200" s="514"/>
      <c r="AI200" s="664">
        <f t="shared" si="16"/>
        <v>0</v>
      </c>
      <c r="AJ200" s="521">
        <v>0</v>
      </c>
      <c r="AK200" s="520">
        <f t="shared" si="14"/>
        <v>0</v>
      </c>
      <c r="AL200" s="695" t="s">
        <v>1640</v>
      </c>
      <c r="AM200" s="669">
        <f t="shared" si="15"/>
        <v>6.3</v>
      </c>
    </row>
    <row r="201" spans="1:39" s="500" customFormat="1" ht="13.5" hidden="1" thickBot="1">
      <c r="A201" s="554" t="s">
        <v>824</v>
      </c>
      <c r="B201" s="555" t="s">
        <v>1266</v>
      </c>
      <c r="C201" s="561"/>
      <c r="D201" s="519"/>
      <c r="E201" s="520"/>
      <c r="F201" s="520"/>
      <c r="G201" s="726"/>
      <c r="H201" s="520"/>
      <c r="I201" s="521"/>
      <c r="J201" s="521"/>
      <c r="K201" s="521"/>
      <c r="L201" s="514"/>
      <c r="M201" s="514"/>
      <c r="N201" s="756"/>
      <c r="O201" s="514"/>
      <c r="P201" s="514"/>
      <c r="Q201" s="514"/>
      <c r="R201" s="514"/>
      <c r="S201" s="514"/>
      <c r="T201" s="514"/>
      <c r="U201" s="756"/>
      <c r="V201" s="514"/>
      <c r="W201" s="514"/>
      <c r="X201" s="514"/>
      <c r="Y201" s="514"/>
      <c r="Z201" s="514"/>
      <c r="AA201" s="514"/>
      <c r="AB201" s="756"/>
      <c r="AC201" s="514"/>
      <c r="AD201" s="514"/>
      <c r="AE201" s="514"/>
      <c r="AF201" s="764"/>
      <c r="AG201" s="514"/>
      <c r="AH201" s="514"/>
      <c r="AI201" s="664">
        <f t="shared" si="16"/>
        <v>0</v>
      </c>
      <c r="AJ201" s="521">
        <v>0</v>
      </c>
      <c r="AK201" s="520">
        <f t="shared" si="14"/>
        <v>0</v>
      </c>
      <c r="AL201" s="695"/>
      <c r="AM201" s="669">
        <f t="shared" si="15"/>
        <v>0</v>
      </c>
    </row>
    <row r="202" spans="1:39" s="500" customFormat="1" ht="13.5" hidden="1" thickBot="1">
      <c r="A202" s="554" t="s">
        <v>825</v>
      </c>
      <c r="B202" s="555" t="s">
        <v>1267</v>
      </c>
      <c r="C202" s="561" t="s">
        <v>1451</v>
      </c>
      <c r="D202" s="519"/>
      <c r="E202" s="520"/>
      <c r="F202" s="520"/>
      <c r="G202" s="726"/>
      <c r="H202" s="520"/>
      <c r="I202" s="521"/>
      <c r="J202" s="521"/>
      <c r="K202" s="521"/>
      <c r="L202" s="514"/>
      <c r="M202" s="514"/>
      <c r="N202" s="756"/>
      <c r="O202" s="514"/>
      <c r="P202" s="514"/>
      <c r="Q202" s="514"/>
      <c r="R202" s="514"/>
      <c r="S202" s="514"/>
      <c r="T202" s="514"/>
      <c r="U202" s="756"/>
      <c r="V202" s="514"/>
      <c r="W202" s="514"/>
      <c r="X202" s="514"/>
      <c r="Y202" s="514"/>
      <c r="Z202" s="514"/>
      <c r="AA202" s="514"/>
      <c r="AB202" s="756"/>
      <c r="AC202" s="514"/>
      <c r="AD202" s="514"/>
      <c r="AE202" s="514"/>
      <c r="AF202" s="764"/>
      <c r="AG202" s="514"/>
      <c r="AH202" s="514"/>
      <c r="AI202" s="664">
        <f t="shared" si="16"/>
        <v>0</v>
      </c>
      <c r="AJ202" s="521">
        <v>0</v>
      </c>
      <c r="AK202" s="520">
        <f t="shared" si="14"/>
        <v>0</v>
      </c>
      <c r="AL202" s="695" t="s">
        <v>1641</v>
      </c>
      <c r="AM202" s="669">
        <f t="shared" si="15"/>
        <v>9</v>
      </c>
    </row>
    <row r="203" spans="1:39" s="500" customFormat="1" ht="13.5" hidden="1" thickBot="1">
      <c r="A203" s="554" t="s">
        <v>826</v>
      </c>
      <c r="B203" s="555" t="s">
        <v>1268</v>
      </c>
      <c r="C203" s="561" t="s">
        <v>36</v>
      </c>
      <c r="D203" s="519"/>
      <c r="E203" s="520"/>
      <c r="F203" s="520"/>
      <c r="G203" s="726"/>
      <c r="H203" s="520"/>
      <c r="I203" s="521"/>
      <c r="J203" s="521"/>
      <c r="K203" s="521"/>
      <c r="L203" s="514"/>
      <c r="M203" s="514"/>
      <c r="N203" s="756"/>
      <c r="O203" s="514"/>
      <c r="P203" s="514"/>
      <c r="Q203" s="514"/>
      <c r="R203" s="514"/>
      <c r="S203" s="514"/>
      <c r="T203" s="514"/>
      <c r="U203" s="756"/>
      <c r="V203" s="514"/>
      <c r="W203" s="514"/>
      <c r="X203" s="514"/>
      <c r="Y203" s="514"/>
      <c r="Z203" s="514"/>
      <c r="AA203" s="514"/>
      <c r="AB203" s="756"/>
      <c r="AC203" s="514"/>
      <c r="AD203" s="514"/>
      <c r="AE203" s="514"/>
      <c r="AF203" s="764"/>
      <c r="AG203" s="514"/>
      <c r="AH203" s="514"/>
      <c r="AI203" s="664">
        <f t="shared" si="16"/>
        <v>0</v>
      </c>
      <c r="AJ203" s="521">
        <v>0</v>
      </c>
      <c r="AK203" s="520">
        <f t="shared" si="14"/>
        <v>0</v>
      </c>
      <c r="AL203" s="695" t="s">
        <v>1618</v>
      </c>
      <c r="AM203" s="669">
        <f t="shared" si="15"/>
        <v>3</v>
      </c>
    </row>
    <row r="204" spans="1:39" s="500" customFormat="1" ht="13.5" hidden="1" thickBot="1">
      <c r="A204" s="554" t="s">
        <v>827</v>
      </c>
      <c r="B204" s="555" t="s">
        <v>1269</v>
      </c>
      <c r="C204" s="561"/>
      <c r="D204" s="519"/>
      <c r="E204" s="520"/>
      <c r="F204" s="520"/>
      <c r="G204" s="726"/>
      <c r="H204" s="520"/>
      <c r="I204" s="521"/>
      <c r="J204" s="521"/>
      <c r="K204" s="521"/>
      <c r="L204" s="514"/>
      <c r="M204" s="514"/>
      <c r="N204" s="756"/>
      <c r="O204" s="514"/>
      <c r="P204" s="514"/>
      <c r="Q204" s="514"/>
      <c r="R204" s="514"/>
      <c r="S204" s="514"/>
      <c r="T204" s="514"/>
      <c r="U204" s="756"/>
      <c r="V204" s="514"/>
      <c r="W204" s="514"/>
      <c r="X204" s="514"/>
      <c r="Y204" s="514"/>
      <c r="Z204" s="514"/>
      <c r="AA204" s="514"/>
      <c r="AB204" s="756"/>
      <c r="AC204" s="514"/>
      <c r="AD204" s="514"/>
      <c r="AE204" s="514"/>
      <c r="AF204" s="764"/>
      <c r="AG204" s="514"/>
      <c r="AH204" s="514"/>
      <c r="AI204" s="664">
        <f t="shared" si="16"/>
        <v>0</v>
      </c>
      <c r="AJ204" s="521">
        <v>0</v>
      </c>
      <c r="AK204" s="520">
        <f t="shared" si="14"/>
        <v>0</v>
      </c>
      <c r="AL204" s="695"/>
      <c r="AM204" s="669">
        <f t="shared" si="15"/>
        <v>0</v>
      </c>
    </row>
    <row r="205" spans="1:39" s="500" customFormat="1" ht="13.5" hidden="1" thickBot="1">
      <c r="A205" s="554" t="s">
        <v>828</v>
      </c>
      <c r="B205" s="555" t="s">
        <v>1270</v>
      </c>
      <c r="C205" s="561" t="s">
        <v>37</v>
      </c>
      <c r="D205" s="519"/>
      <c r="E205" s="520"/>
      <c r="F205" s="520"/>
      <c r="G205" s="726"/>
      <c r="H205" s="520"/>
      <c r="I205" s="521"/>
      <c r="J205" s="521"/>
      <c r="K205" s="521"/>
      <c r="L205" s="514"/>
      <c r="M205" s="514"/>
      <c r="N205" s="756"/>
      <c r="O205" s="514"/>
      <c r="P205" s="514"/>
      <c r="Q205" s="514"/>
      <c r="R205" s="514"/>
      <c r="S205" s="514"/>
      <c r="T205" s="514"/>
      <c r="U205" s="756"/>
      <c r="V205" s="514"/>
      <c r="W205" s="514"/>
      <c r="X205" s="514"/>
      <c r="Y205" s="514"/>
      <c r="Z205" s="514"/>
      <c r="AA205" s="514"/>
      <c r="AB205" s="756"/>
      <c r="AC205" s="514"/>
      <c r="AD205" s="514"/>
      <c r="AE205" s="514"/>
      <c r="AF205" s="764"/>
      <c r="AG205" s="514"/>
      <c r="AH205" s="514"/>
      <c r="AI205" s="664">
        <f t="shared" si="16"/>
        <v>0</v>
      </c>
      <c r="AJ205" s="521">
        <v>0</v>
      </c>
      <c r="AK205" s="520">
        <f t="shared" si="14"/>
        <v>0</v>
      </c>
      <c r="AL205" s="695" t="s">
        <v>1642</v>
      </c>
      <c r="AM205" s="669">
        <f t="shared" si="15"/>
        <v>19.149999999999999</v>
      </c>
    </row>
    <row r="206" spans="1:39" s="500" customFormat="1" ht="13.5" hidden="1" thickBot="1">
      <c r="A206" s="554" t="s">
        <v>829</v>
      </c>
      <c r="B206" s="555" t="s">
        <v>1271</v>
      </c>
      <c r="C206" s="561" t="s">
        <v>37</v>
      </c>
      <c r="D206" s="519"/>
      <c r="E206" s="520"/>
      <c r="F206" s="520"/>
      <c r="G206" s="726"/>
      <c r="H206" s="520"/>
      <c r="I206" s="521"/>
      <c r="J206" s="521"/>
      <c r="K206" s="521"/>
      <c r="L206" s="514"/>
      <c r="M206" s="514"/>
      <c r="N206" s="756"/>
      <c r="O206" s="514"/>
      <c r="P206" s="514"/>
      <c r="Q206" s="514"/>
      <c r="R206" s="514"/>
      <c r="S206" s="514"/>
      <c r="T206" s="514"/>
      <c r="U206" s="756"/>
      <c r="V206" s="514"/>
      <c r="W206" s="514"/>
      <c r="X206" s="514"/>
      <c r="Y206" s="514"/>
      <c r="Z206" s="514"/>
      <c r="AA206" s="514"/>
      <c r="AB206" s="756"/>
      <c r="AC206" s="514"/>
      <c r="AD206" s="514"/>
      <c r="AE206" s="514"/>
      <c r="AF206" s="764"/>
      <c r="AG206" s="514"/>
      <c r="AH206" s="514"/>
      <c r="AI206" s="664">
        <f t="shared" si="16"/>
        <v>0</v>
      </c>
      <c r="AJ206" s="521">
        <v>0</v>
      </c>
      <c r="AK206" s="520">
        <f t="shared" si="14"/>
        <v>0</v>
      </c>
      <c r="AL206" s="695" t="s">
        <v>1643</v>
      </c>
      <c r="AM206" s="669">
        <f t="shared" si="15"/>
        <v>1.5</v>
      </c>
    </row>
    <row r="207" spans="1:39" s="500" customFormat="1" ht="13.5" hidden="1" thickBot="1">
      <c r="A207" s="554" t="s">
        <v>830</v>
      </c>
      <c r="B207" s="555" t="s">
        <v>1272</v>
      </c>
      <c r="C207" s="561"/>
      <c r="D207" s="519"/>
      <c r="E207" s="520"/>
      <c r="F207" s="520"/>
      <c r="G207" s="726"/>
      <c r="H207" s="520"/>
      <c r="I207" s="521"/>
      <c r="J207" s="521"/>
      <c r="K207" s="521"/>
      <c r="L207" s="514"/>
      <c r="M207" s="514"/>
      <c r="N207" s="756"/>
      <c r="O207" s="514"/>
      <c r="P207" s="514"/>
      <c r="Q207" s="514"/>
      <c r="R207" s="514"/>
      <c r="S207" s="514"/>
      <c r="T207" s="514"/>
      <c r="U207" s="756"/>
      <c r="V207" s="514"/>
      <c r="W207" s="514"/>
      <c r="X207" s="514"/>
      <c r="Y207" s="514"/>
      <c r="Z207" s="514"/>
      <c r="AA207" s="514"/>
      <c r="AB207" s="756"/>
      <c r="AC207" s="514"/>
      <c r="AD207" s="514"/>
      <c r="AE207" s="514"/>
      <c r="AF207" s="764"/>
      <c r="AG207" s="514"/>
      <c r="AH207" s="514"/>
      <c r="AI207" s="664">
        <f t="shared" si="16"/>
        <v>0</v>
      </c>
      <c r="AJ207" s="521">
        <v>0</v>
      </c>
      <c r="AK207" s="520">
        <f t="shared" si="14"/>
        <v>0</v>
      </c>
      <c r="AL207" s="695"/>
      <c r="AM207" s="669">
        <f t="shared" si="15"/>
        <v>0</v>
      </c>
    </row>
    <row r="208" spans="1:39" s="500" customFormat="1" ht="13.5" hidden="1" thickBot="1">
      <c r="A208" s="554" t="s">
        <v>831</v>
      </c>
      <c r="B208" s="555" t="s">
        <v>1273</v>
      </c>
      <c r="C208" s="561" t="s">
        <v>37</v>
      </c>
      <c r="D208" s="519"/>
      <c r="E208" s="520"/>
      <c r="F208" s="520"/>
      <c r="G208" s="726"/>
      <c r="H208" s="520"/>
      <c r="I208" s="521"/>
      <c r="J208" s="521"/>
      <c r="K208" s="521"/>
      <c r="L208" s="514"/>
      <c r="M208" s="514"/>
      <c r="N208" s="756"/>
      <c r="O208" s="514"/>
      <c r="P208" s="514"/>
      <c r="Q208" s="514"/>
      <c r="R208" s="514"/>
      <c r="S208" s="514"/>
      <c r="T208" s="514"/>
      <c r="U208" s="756"/>
      <c r="V208" s="514"/>
      <c r="W208" s="514"/>
      <c r="X208" s="514"/>
      <c r="Y208" s="514"/>
      <c r="Z208" s="514"/>
      <c r="AA208" s="514"/>
      <c r="AB208" s="756"/>
      <c r="AC208" s="514"/>
      <c r="AD208" s="514"/>
      <c r="AE208" s="514"/>
      <c r="AF208" s="764"/>
      <c r="AG208" s="514"/>
      <c r="AH208" s="514"/>
      <c r="AI208" s="664">
        <f t="shared" si="16"/>
        <v>0</v>
      </c>
      <c r="AJ208" s="521">
        <v>0</v>
      </c>
      <c r="AK208" s="520">
        <f t="shared" si="14"/>
        <v>0</v>
      </c>
      <c r="AL208" s="695" t="s">
        <v>1628</v>
      </c>
      <c r="AM208" s="669">
        <f t="shared" si="15"/>
        <v>90.62</v>
      </c>
    </row>
    <row r="209" spans="1:39" s="500" customFormat="1" ht="13.5" hidden="1" thickBot="1">
      <c r="A209" s="554" t="s">
        <v>832</v>
      </c>
      <c r="B209" s="555" t="s">
        <v>1274</v>
      </c>
      <c r="C209" s="561" t="s">
        <v>37</v>
      </c>
      <c r="D209" s="519"/>
      <c r="E209" s="520"/>
      <c r="F209" s="520"/>
      <c r="G209" s="726"/>
      <c r="H209" s="520"/>
      <c r="I209" s="521"/>
      <c r="J209" s="521"/>
      <c r="K209" s="521"/>
      <c r="L209" s="514"/>
      <c r="M209" s="514"/>
      <c r="N209" s="756"/>
      <c r="O209" s="514"/>
      <c r="P209" s="514"/>
      <c r="Q209" s="514"/>
      <c r="R209" s="514"/>
      <c r="S209" s="514"/>
      <c r="T209" s="514"/>
      <c r="U209" s="756"/>
      <c r="V209" s="514"/>
      <c r="W209" s="514"/>
      <c r="X209" s="514"/>
      <c r="Y209" s="514"/>
      <c r="Z209" s="514"/>
      <c r="AA209" s="514"/>
      <c r="AB209" s="756"/>
      <c r="AC209" s="514"/>
      <c r="AD209" s="514"/>
      <c r="AE209" s="514"/>
      <c r="AF209" s="764"/>
      <c r="AG209" s="514"/>
      <c r="AH209" s="514"/>
      <c r="AI209" s="664">
        <f t="shared" si="16"/>
        <v>0</v>
      </c>
      <c r="AJ209" s="521">
        <v>0</v>
      </c>
      <c r="AK209" s="520">
        <f t="shared" si="14"/>
        <v>0</v>
      </c>
      <c r="AL209" s="695" t="s">
        <v>1621</v>
      </c>
      <c r="AM209" s="669">
        <f t="shared" si="15"/>
        <v>123.1</v>
      </c>
    </row>
    <row r="210" spans="1:39" s="500" customFormat="1" ht="13.5" hidden="1" thickBot="1">
      <c r="A210" s="554" t="s">
        <v>833</v>
      </c>
      <c r="B210" s="555" t="s">
        <v>1275</v>
      </c>
      <c r="C210" s="561" t="s">
        <v>37</v>
      </c>
      <c r="D210" s="519"/>
      <c r="E210" s="520"/>
      <c r="F210" s="520"/>
      <c r="G210" s="726"/>
      <c r="H210" s="520"/>
      <c r="I210" s="521"/>
      <c r="J210" s="521"/>
      <c r="K210" s="521"/>
      <c r="L210" s="514"/>
      <c r="M210" s="514"/>
      <c r="N210" s="756"/>
      <c r="O210" s="514"/>
      <c r="P210" s="514"/>
      <c r="Q210" s="514"/>
      <c r="R210" s="514"/>
      <c r="S210" s="514"/>
      <c r="T210" s="514"/>
      <c r="U210" s="756"/>
      <c r="V210" s="514"/>
      <c r="W210" s="514"/>
      <c r="X210" s="514"/>
      <c r="Y210" s="514"/>
      <c r="Z210" s="514"/>
      <c r="AA210" s="514"/>
      <c r="AB210" s="756"/>
      <c r="AC210" s="514"/>
      <c r="AD210" s="514"/>
      <c r="AE210" s="514"/>
      <c r="AF210" s="764"/>
      <c r="AG210" s="514"/>
      <c r="AH210" s="514"/>
      <c r="AI210" s="664">
        <f t="shared" si="16"/>
        <v>0</v>
      </c>
      <c r="AJ210" s="521">
        <v>0</v>
      </c>
      <c r="AK210" s="520">
        <f t="shared" si="14"/>
        <v>0</v>
      </c>
      <c r="AL210" s="695" t="s">
        <v>1622</v>
      </c>
      <c r="AM210" s="669">
        <f t="shared" si="15"/>
        <v>54.38</v>
      </c>
    </row>
    <row r="211" spans="1:39" s="500" customFormat="1" ht="13.5" hidden="1" thickBot="1">
      <c r="A211" s="554" t="s">
        <v>834</v>
      </c>
      <c r="B211" s="555" t="s">
        <v>1276</v>
      </c>
      <c r="C211" s="561" t="s">
        <v>37</v>
      </c>
      <c r="D211" s="519"/>
      <c r="E211" s="520"/>
      <c r="F211" s="520"/>
      <c r="G211" s="726"/>
      <c r="H211" s="520"/>
      <c r="I211" s="521"/>
      <c r="J211" s="521"/>
      <c r="K211" s="521"/>
      <c r="L211" s="514"/>
      <c r="M211" s="514"/>
      <c r="N211" s="756"/>
      <c r="O211" s="514"/>
      <c r="P211" s="514"/>
      <c r="Q211" s="514"/>
      <c r="R211" s="514"/>
      <c r="S211" s="514"/>
      <c r="T211" s="514"/>
      <c r="U211" s="756"/>
      <c r="V211" s="514"/>
      <c r="W211" s="514"/>
      <c r="X211" s="514"/>
      <c r="Y211" s="514"/>
      <c r="Z211" s="514"/>
      <c r="AA211" s="514"/>
      <c r="AB211" s="756"/>
      <c r="AC211" s="514"/>
      <c r="AD211" s="514"/>
      <c r="AE211" s="514"/>
      <c r="AF211" s="764"/>
      <c r="AG211" s="514"/>
      <c r="AH211" s="514"/>
      <c r="AI211" s="664">
        <f t="shared" si="16"/>
        <v>0</v>
      </c>
      <c r="AJ211" s="521">
        <v>0</v>
      </c>
      <c r="AK211" s="520">
        <f t="shared" si="14"/>
        <v>0</v>
      </c>
      <c r="AL211" s="695" t="s">
        <v>1623</v>
      </c>
      <c r="AM211" s="669">
        <f t="shared" si="15"/>
        <v>34.44</v>
      </c>
    </row>
    <row r="212" spans="1:39" s="500" customFormat="1" ht="13.5" hidden="1" thickBot="1">
      <c r="A212" s="554" t="s">
        <v>835</v>
      </c>
      <c r="B212" s="555" t="s">
        <v>1277</v>
      </c>
      <c r="C212" s="561" t="s">
        <v>37</v>
      </c>
      <c r="D212" s="519"/>
      <c r="E212" s="520"/>
      <c r="F212" s="520"/>
      <c r="G212" s="726"/>
      <c r="H212" s="520"/>
      <c r="I212" s="521"/>
      <c r="J212" s="521"/>
      <c r="K212" s="521"/>
      <c r="L212" s="514"/>
      <c r="M212" s="514"/>
      <c r="N212" s="756"/>
      <c r="O212" s="514"/>
      <c r="P212" s="514"/>
      <c r="Q212" s="514"/>
      <c r="R212" s="514"/>
      <c r="S212" s="514"/>
      <c r="T212" s="514"/>
      <c r="U212" s="756"/>
      <c r="V212" s="514"/>
      <c r="W212" s="514"/>
      <c r="X212" s="514"/>
      <c r="Y212" s="514"/>
      <c r="Z212" s="514"/>
      <c r="AA212" s="514"/>
      <c r="AB212" s="756"/>
      <c r="AC212" s="514"/>
      <c r="AD212" s="514"/>
      <c r="AE212" s="514"/>
      <c r="AF212" s="764"/>
      <c r="AG212" s="514"/>
      <c r="AH212" s="514"/>
      <c r="AI212" s="664">
        <f t="shared" si="16"/>
        <v>0</v>
      </c>
      <c r="AJ212" s="521">
        <v>0</v>
      </c>
      <c r="AK212" s="520">
        <f t="shared" si="14"/>
        <v>0</v>
      </c>
      <c r="AL212" s="695" t="s">
        <v>1624</v>
      </c>
      <c r="AM212" s="669">
        <f t="shared" si="15"/>
        <v>30.39</v>
      </c>
    </row>
    <row r="213" spans="1:39" s="500" customFormat="1" ht="13.5" hidden="1" thickBot="1">
      <c r="A213" s="554" t="s">
        <v>836</v>
      </c>
      <c r="B213" s="555" t="s">
        <v>1278</v>
      </c>
      <c r="C213" s="561" t="s">
        <v>37</v>
      </c>
      <c r="D213" s="519"/>
      <c r="E213" s="520"/>
      <c r="F213" s="520"/>
      <c r="G213" s="726"/>
      <c r="H213" s="520"/>
      <c r="I213" s="521"/>
      <c r="J213" s="521"/>
      <c r="K213" s="521"/>
      <c r="L213" s="514"/>
      <c r="M213" s="514"/>
      <c r="N213" s="756"/>
      <c r="O213" s="514"/>
      <c r="P213" s="514"/>
      <c r="Q213" s="514"/>
      <c r="R213" s="514"/>
      <c r="S213" s="514"/>
      <c r="T213" s="514"/>
      <c r="U213" s="756"/>
      <c r="V213" s="514"/>
      <c r="W213" s="514"/>
      <c r="X213" s="514"/>
      <c r="Y213" s="514"/>
      <c r="Z213" s="514"/>
      <c r="AA213" s="514"/>
      <c r="AB213" s="756"/>
      <c r="AC213" s="514"/>
      <c r="AD213" s="514"/>
      <c r="AE213" s="514"/>
      <c r="AF213" s="764"/>
      <c r="AG213" s="514"/>
      <c r="AH213" s="514"/>
      <c r="AI213" s="664">
        <f t="shared" si="16"/>
        <v>0</v>
      </c>
      <c r="AJ213" s="521">
        <v>0</v>
      </c>
      <c r="AK213" s="520">
        <f t="shared" si="14"/>
        <v>0</v>
      </c>
      <c r="AL213" s="695" t="s">
        <v>1635</v>
      </c>
      <c r="AM213" s="669">
        <f t="shared" si="15"/>
        <v>15.8</v>
      </c>
    </row>
    <row r="214" spans="1:39" s="500" customFormat="1" ht="13.5" hidden="1" thickBot="1">
      <c r="A214" s="554" t="s">
        <v>837</v>
      </c>
      <c r="B214" s="555" t="s">
        <v>1279</v>
      </c>
      <c r="C214" s="561" t="s">
        <v>37</v>
      </c>
      <c r="D214" s="519"/>
      <c r="E214" s="520"/>
      <c r="F214" s="520"/>
      <c r="G214" s="726"/>
      <c r="H214" s="520"/>
      <c r="I214" s="521"/>
      <c r="J214" s="521"/>
      <c r="K214" s="521"/>
      <c r="L214" s="514"/>
      <c r="M214" s="514"/>
      <c r="N214" s="756"/>
      <c r="O214" s="514"/>
      <c r="P214" s="514"/>
      <c r="Q214" s="514"/>
      <c r="R214" s="514"/>
      <c r="S214" s="514"/>
      <c r="T214" s="514"/>
      <c r="U214" s="756"/>
      <c r="V214" s="514"/>
      <c r="W214" s="514"/>
      <c r="X214" s="514"/>
      <c r="Y214" s="514"/>
      <c r="Z214" s="514"/>
      <c r="AA214" s="514"/>
      <c r="AB214" s="756"/>
      <c r="AC214" s="514"/>
      <c r="AD214" s="514"/>
      <c r="AE214" s="514"/>
      <c r="AF214" s="764"/>
      <c r="AG214" s="514"/>
      <c r="AH214" s="514"/>
      <c r="AI214" s="664">
        <f t="shared" si="16"/>
        <v>0</v>
      </c>
      <c r="AJ214" s="521">
        <v>0</v>
      </c>
      <c r="AK214" s="520">
        <f t="shared" ref="AK214:AK277" si="17">AI214+AJ214</f>
        <v>0</v>
      </c>
      <c r="AL214" s="695" t="s">
        <v>1644</v>
      </c>
      <c r="AM214" s="669">
        <f t="shared" ref="AM214:AM277" si="18">AL214-AK214</f>
        <v>12.6</v>
      </c>
    </row>
    <row r="215" spans="1:39" s="500" customFormat="1" ht="13.5" hidden="1" thickBot="1">
      <c r="A215" s="554" t="s">
        <v>838</v>
      </c>
      <c r="B215" s="555" t="s">
        <v>1280</v>
      </c>
      <c r="C215" s="561"/>
      <c r="D215" s="519"/>
      <c r="E215" s="520"/>
      <c r="F215" s="520"/>
      <c r="G215" s="726"/>
      <c r="H215" s="520"/>
      <c r="I215" s="521"/>
      <c r="J215" s="521"/>
      <c r="K215" s="521"/>
      <c r="L215" s="514"/>
      <c r="M215" s="514"/>
      <c r="N215" s="756"/>
      <c r="O215" s="514"/>
      <c r="P215" s="514"/>
      <c r="Q215" s="514"/>
      <c r="R215" s="514"/>
      <c r="S215" s="514"/>
      <c r="T215" s="514"/>
      <c r="U215" s="756"/>
      <c r="V215" s="514"/>
      <c r="W215" s="514"/>
      <c r="X215" s="514"/>
      <c r="Y215" s="514"/>
      <c r="Z215" s="514"/>
      <c r="AA215" s="514"/>
      <c r="AB215" s="756"/>
      <c r="AC215" s="514"/>
      <c r="AD215" s="514"/>
      <c r="AE215" s="514"/>
      <c r="AF215" s="764"/>
      <c r="AG215" s="514"/>
      <c r="AH215" s="514"/>
      <c r="AI215" s="664">
        <f t="shared" si="16"/>
        <v>0</v>
      </c>
      <c r="AJ215" s="521">
        <v>0</v>
      </c>
      <c r="AK215" s="520">
        <f t="shared" si="17"/>
        <v>0</v>
      </c>
      <c r="AL215" s="695"/>
      <c r="AM215" s="669">
        <f t="shared" si="18"/>
        <v>0</v>
      </c>
    </row>
    <row r="216" spans="1:39" s="500" customFormat="1" ht="13.5" hidden="1" thickBot="1">
      <c r="A216" s="554" t="s">
        <v>839</v>
      </c>
      <c r="B216" s="555" t="s">
        <v>1281</v>
      </c>
      <c r="C216" s="561" t="s">
        <v>1450</v>
      </c>
      <c r="D216" s="519"/>
      <c r="E216" s="520"/>
      <c r="F216" s="520"/>
      <c r="G216" s="726"/>
      <c r="H216" s="520"/>
      <c r="I216" s="521"/>
      <c r="J216" s="521"/>
      <c r="K216" s="521"/>
      <c r="L216" s="514"/>
      <c r="M216" s="514"/>
      <c r="N216" s="756"/>
      <c r="O216" s="514"/>
      <c r="P216" s="514"/>
      <c r="Q216" s="514"/>
      <c r="R216" s="514"/>
      <c r="S216" s="514"/>
      <c r="T216" s="514"/>
      <c r="U216" s="756"/>
      <c r="V216" s="514"/>
      <c r="W216" s="514"/>
      <c r="X216" s="514"/>
      <c r="Y216" s="514"/>
      <c r="Z216" s="514"/>
      <c r="AA216" s="514"/>
      <c r="AB216" s="756"/>
      <c r="AC216" s="514"/>
      <c r="AD216" s="514"/>
      <c r="AE216" s="514"/>
      <c r="AF216" s="764"/>
      <c r="AG216" s="514"/>
      <c r="AH216" s="514"/>
      <c r="AI216" s="664">
        <f t="shared" si="16"/>
        <v>0</v>
      </c>
      <c r="AJ216" s="521">
        <v>0</v>
      </c>
      <c r="AK216" s="520">
        <f t="shared" si="17"/>
        <v>0</v>
      </c>
      <c r="AL216" s="695" t="s">
        <v>1641</v>
      </c>
      <c r="AM216" s="669">
        <f t="shared" si="18"/>
        <v>9</v>
      </c>
    </row>
    <row r="217" spans="1:39" s="500" customFormat="1" ht="13.5" hidden="1" thickBot="1">
      <c r="A217" s="554" t="s">
        <v>840</v>
      </c>
      <c r="B217" s="555" t="s">
        <v>1282</v>
      </c>
      <c r="C217" s="561" t="s">
        <v>64</v>
      </c>
      <c r="D217" s="519"/>
      <c r="E217" s="520"/>
      <c r="F217" s="520"/>
      <c r="G217" s="726"/>
      <c r="H217" s="520"/>
      <c r="I217" s="521"/>
      <c r="J217" s="521"/>
      <c r="K217" s="521"/>
      <c r="L217" s="514"/>
      <c r="M217" s="514"/>
      <c r="N217" s="756"/>
      <c r="O217" s="514"/>
      <c r="P217" s="514"/>
      <c r="Q217" s="514"/>
      <c r="R217" s="514"/>
      <c r="S217" s="514"/>
      <c r="T217" s="514"/>
      <c r="U217" s="756"/>
      <c r="V217" s="514"/>
      <c r="W217" s="514"/>
      <c r="X217" s="514"/>
      <c r="Y217" s="514"/>
      <c r="Z217" s="514"/>
      <c r="AA217" s="514"/>
      <c r="AB217" s="756"/>
      <c r="AC217" s="514"/>
      <c r="AD217" s="514"/>
      <c r="AE217" s="514"/>
      <c r="AF217" s="764"/>
      <c r="AG217" s="514"/>
      <c r="AH217" s="514"/>
      <c r="AI217" s="664">
        <f t="shared" si="16"/>
        <v>0</v>
      </c>
      <c r="AJ217" s="521">
        <v>0</v>
      </c>
      <c r="AK217" s="520">
        <f t="shared" si="17"/>
        <v>0</v>
      </c>
      <c r="AL217" s="695" t="s">
        <v>1455</v>
      </c>
      <c r="AM217" s="669">
        <f t="shared" si="18"/>
        <v>1</v>
      </c>
    </row>
    <row r="218" spans="1:39" s="500" customFormat="1" ht="13.5" hidden="1" thickBot="1">
      <c r="A218" s="554" t="s">
        <v>841</v>
      </c>
      <c r="B218" s="555" t="s">
        <v>1283</v>
      </c>
      <c r="C218" s="561" t="s">
        <v>37</v>
      </c>
      <c r="D218" s="519"/>
      <c r="E218" s="520"/>
      <c r="F218" s="520"/>
      <c r="G218" s="726"/>
      <c r="H218" s="520"/>
      <c r="I218" s="521"/>
      <c r="J218" s="521"/>
      <c r="K218" s="521"/>
      <c r="L218" s="514"/>
      <c r="M218" s="514"/>
      <c r="N218" s="756"/>
      <c r="O218" s="514"/>
      <c r="P218" s="514"/>
      <c r="Q218" s="514"/>
      <c r="R218" s="514"/>
      <c r="S218" s="514"/>
      <c r="T218" s="514"/>
      <c r="U218" s="756"/>
      <c r="V218" s="514"/>
      <c r="W218" s="514"/>
      <c r="X218" s="514"/>
      <c r="Y218" s="514"/>
      <c r="Z218" s="514"/>
      <c r="AA218" s="514"/>
      <c r="AB218" s="756"/>
      <c r="AC218" s="514"/>
      <c r="AD218" s="514"/>
      <c r="AE218" s="514"/>
      <c r="AF218" s="764"/>
      <c r="AG218" s="514"/>
      <c r="AH218" s="514"/>
      <c r="AI218" s="664">
        <f t="shared" si="16"/>
        <v>0</v>
      </c>
      <c r="AJ218" s="521">
        <v>0</v>
      </c>
      <c r="AK218" s="520">
        <f t="shared" si="17"/>
        <v>0</v>
      </c>
      <c r="AL218" s="695" t="s">
        <v>1645</v>
      </c>
      <c r="AM218" s="669">
        <f t="shared" si="18"/>
        <v>21.02</v>
      </c>
    </row>
    <row r="219" spans="1:39" s="500" customFormat="1" ht="13.5" hidden="1" thickBot="1">
      <c r="A219" s="554" t="s">
        <v>475</v>
      </c>
      <c r="B219" s="555" t="s">
        <v>1284</v>
      </c>
      <c r="C219" s="561"/>
      <c r="D219" s="519"/>
      <c r="E219" s="520"/>
      <c r="F219" s="520"/>
      <c r="G219" s="726"/>
      <c r="H219" s="520"/>
      <c r="I219" s="521"/>
      <c r="J219" s="521"/>
      <c r="K219" s="521"/>
      <c r="L219" s="514"/>
      <c r="M219" s="514"/>
      <c r="N219" s="756"/>
      <c r="O219" s="514"/>
      <c r="P219" s="514"/>
      <c r="Q219" s="514"/>
      <c r="R219" s="514"/>
      <c r="S219" s="514"/>
      <c r="T219" s="514"/>
      <c r="U219" s="756"/>
      <c r="V219" s="514"/>
      <c r="W219" s="514"/>
      <c r="X219" s="514"/>
      <c r="Y219" s="514"/>
      <c r="Z219" s="514"/>
      <c r="AA219" s="514"/>
      <c r="AB219" s="756"/>
      <c r="AC219" s="514"/>
      <c r="AD219" s="514"/>
      <c r="AE219" s="514"/>
      <c r="AF219" s="764"/>
      <c r="AG219" s="514"/>
      <c r="AH219" s="514"/>
      <c r="AI219" s="664">
        <f t="shared" si="16"/>
        <v>0</v>
      </c>
      <c r="AJ219" s="521">
        <v>0</v>
      </c>
      <c r="AK219" s="520">
        <f t="shared" si="17"/>
        <v>0</v>
      </c>
      <c r="AL219" s="695"/>
      <c r="AM219" s="669">
        <f t="shared" si="18"/>
        <v>0</v>
      </c>
    </row>
    <row r="220" spans="1:39" s="500" customFormat="1" ht="13.5" hidden="1" thickBot="1">
      <c r="A220" s="554" t="s">
        <v>476</v>
      </c>
      <c r="B220" s="555" t="s">
        <v>1236</v>
      </c>
      <c r="C220" s="561"/>
      <c r="D220" s="519"/>
      <c r="E220" s="520"/>
      <c r="F220" s="520"/>
      <c r="G220" s="726"/>
      <c r="H220" s="520"/>
      <c r="I220" s="521"/>
      <c r="J220" s="521"/>
      <c r="K220" s="521"/>
      <c r="L220" s="514"/>
      <c r="M220" s="514"/>
      <c r="N220" s="756"/>
      <c r="O220" s="514"/>
      <c r="P220" s="514"/>
      <c r="Q220" s="514"/>
      <c r="R220" s="514"/>
      <c r="S220" s="514"/>
      <c r="T220" s="514"/>
      <c r="U220" s="756"/>
      <c r="V220" s="514"/>
      <c r="W220" s="514"/>
      <c r="X220" s="514"/>
      <c r="Y220" s="514"/>
      <c r="Z220" s="514"/>
      <c r="AA220" s="514"/>
      <c r="AB220" s="756"/>
      <c r="AC220" s="514"/>
      <c r="AD220" s="514"/>
      <c r="AE220" s="514"/>
      <c r="AF220" s="764"/>
      <c r="AG220" s="514"/>
      <c r="AH220" s="514"/>
      <c r="AI220" s="664">
        <f t="shared" si="16"/>
        <v>0</v>
      </c>
      <c r="AJ220" s="521">
        <v>0</v>
      </c>
      <c r="AK220" s="520">
        <f t="shared" si="17"/>
        <v>0</v>
      </c>
      <c r="AL220" s="695"/>
      <c r="AM220" s="669">
        <f t="shared" si="18"/>
        <v>0</v>
      </c>
    </row>
    <row r="221" spans="1:39" s="500" customFormat="1" ht="13.5" hidden="1" thickBot="1">
      <c r="A221" s="554" t="s">
        <v>842</v>
      </c>
      <c r="B221" s="555" t="s">
        <v>1237</v>
      </c>
      <c r="C221" s="561" t="s">
        <v>37</v>
      </c>
      <c r="D221" s="519"/>
      <c r="E221" s="520"/>
      <c r="F221" s="520"/>
      <c r="G221" s="726"/>
      <c r="H221" s="520"/>
      <c r="I221" s="521"/>
      <c r="J221" s="521"/>
      <c r="K221" s="521"/>
      <c r="L221" s="514"/>
      <c r="M221" s="514"/>
      <c r="N221" s="756"/>
      <c r="O221" s="514"/>
      <c r="P221" s="514"/>
      <c r="Q221" s="514"/>
      <c r="R221" s="514"/>
      <c r="S221" s="514"/>
      <c r="T221" s="514"/>
      <c r="U221" s="756"/>
      <c r="V221" s="514"/>
      <c r="W221" s="514"/>
      <c r="X221" s="514"/>
      <c r="Y221" s="514"/>
      <c r="Z221" s="514"/>
      <c r="AA221" s="514"/>
      <c r="AB221" s="756"/>
      <c r="AC221" s="514"/>
      <c r="AD221" s="514"/>
      <c r="AE221" s="514"/>
      <c r="AF221" s="764"/>
      <c r="AG221" s="514"/>
      <c r="AH221" s="514"/>
      <c r="AI221" s="664">
        <f t="shared" si="16"/>
        <v>0</v>
      </c>
      <c r="AJ221" s="521">
        <v>0</v>
      </c>
      <c r="AK221" s="520">
        <f t="shared" si="17"/>
        <v>0</v>
      </c>
      <c r="AL221" s="695" t="s">
        <v>1646</v>
      </c>
      <c r="AM221" s="669">
        <f t="shared" si="18"/>
        <v>73.59</v>
      </c>
    </row>
    <row r="222" spans="1:39" s="500" customFormat="1" ht="13.5" hidden="1" thickBot="1">
      <c r="A222" s="554" t="s">
        <v>843</v>
      </c>
      <c r="B222" s="555" t="s">
        <v>1238</v>
      </c>
      <c r="C222" s="561" t="s">
        <v>37</v>
      </c>
      <c r="D222" s="519"/>
      <c r="E222" s="520"/>
      <c r="F222" s="520"/>
      <c r="G222" s="726"/>
      <c r="H222" s="520"/>
      <c r="I222" s="521"/>
      <c r="J222" s="521"/>
      <c r="K222" s="521"/>
      <c r="L222" s="514"/>
      <c r="M222" s="514"/>
      <c r="N222" s="756"/>
      <c r="O222" s="514"/>
      <c r="P222" s="514"/>
      <c r="Q222" s="514"/>
      <c r="R222" s="514"/>
      <c r="S222" s="514"/>
      <c r="T222" s="514"/>
      <c r="U222" s="756"/>
      <c r="V222" s="514"/>
      <c r="W222" s="514"/>
      <c r="X222" s="514"/>
      <c r="Y222" s="514"/>
      <c r="Z222" s="514"/>
      <c r="AA222" s="514"/>
      <c r="AB222" s="756"/>
      <c r="AC222" s="514"/>
      <c r="AD222" s="514"/>
      <c r="AE222" s="514"/>
      <c r="AF222" s="764"/>
      <c r="AG222" s="514"/>
      <c r="AH222" s="514"/>
      <c r="AI222" s="664">
        <f t="shared" si="16"/>
        <v>0</v>
      </c>
      <c r="AJ222" s="521">
        <v>0</v>
      </c>
      <c r="AK222" s="520">
        <f t="shared" si="17"/>
        <v>0</v>
      </c>
      <c r="AL222" s="695" t="s">
        <v>1647</v>
      </c>
      <c r="AM222" s="669">
        <f t="shared" si="18"/>
        <v>6.44</v>
      </c>
    </row>
    <row r="223" spans="1:39" s="500" customFormat="1" ht="13.5" hidden="1" thickBot="1">
      <c r="A223" s="554" t="s">
        <v>477</v>
      </c>
      <c r="B223" s="555" t="s">
        <v>1239</v>
      </c>
      <c r="C223" s="561"/>
      <c r="D223" s="519"/>
      <c r="E223" s="520"/>
      <c r="F223" s="520"/>
      <c r="G223" s="726"/>
      <c r="H223" s="520"/>
      <c r="I223" s="521"/>
      <c r="J223" s="521"/>
      <c r="K223" s="521"/>
      <c r="L223" s="514"/>
      <c r="M223" s="514"/>
      <c r="N223" s="756"/>
      <c r="O223" s="514"/>
      <c r="P223" s="514"/>
      <c r="Q223" s="514"/>
      <c r="R223" s="514"/>
      <c r="S223" s="514"/>
      <c r="T223" s="514"/>
      <c r="U223" s="756"/>
      <c r="V223" s="514"/>
      <c r="W223" s="514"/>
      <c r="X223" s="514"/>
      <c r="Y223" s="514"/>
      <c r="Z223" s="514"/>
      <c r="AA223" s="514"/>
      <c r="AB223" s="756"/>
      <c r="AC223" s="514"/>
      <c r="AD223" s="514"/>
      <c r="AE223" s="514"/>
      <c r="AF223" s="764"/>
      <c r="AG223" s="514"/>
      <c r="AH223" s="514"/>
      <c r="AI223" s="664">
        <f t="shared" si="16"/>
        <v>0</v>
      </c>
      <c r="AJ223" s="521">
        <v>0</v>
      </c>
      <c r="AK223" s="520">
        <f t="shared" si="17"/>
        <v>0</v>
      </c>
      <c r="AL223" s="695"/>
      <c r="AM223" s="669">
        <f t="shared" si="18"/>
        <v>0</v>
      </c>
    </row>
    <row r="224" spans="1:39" s="500" customFormat="1" ht="13.5" hidden="1" thickBot="1">
      <c r="A224" s="554" t="s">
        <v>844</v>
      </c>
      <c r="B224" s="555" t="s">
        <v>1240</v>
      </c>
      <c r="C224" s="561" t="s">
        <v>37</v>
      </c>
      <c r="D224" s="519"/>
      <c r="E224" s="520"/>
      <c r="F224" s="520"/>
      <c r="G224" s="726"/>
      <c r="H224" s="520"/>
      <c r="I224" s="521"/>
      <c r="J224" s="521"/>
      <c r="K224" s="521"/>
      <c r="L224" s="514"/>
      <c r="M224" s="514"/>
      <c r="N224" s="756"/>
      <c r="O224" s="514"/>
      <c r="P224" s="514"/>
      <c r="Q224" s="514"/>
      <c r="R224" s="514"/>
      <c r="S224" s="514"/>
      <c r="T224" s="514"/>
      <c r="U224" s="756"/>
      <c r="V224" s="514"/>
      <c r="W224" s="514"/>
      <c r="X224" s="514"/>
      <c r="Y224" s="514"/>
      <c r="Z224" s="514"/>
      <c r="AA224" s="514"/>
      <c r="AB224" s="756"/>
      <c r="AC224" s="514"/>
      <c r="AD224" s="514"/>
      <c r="AE224" s="514"/>
      <c r="AF224" s="764"/>
      <c r="AG224" s="514"/>
      <c r="AH224" s="514"/>
      <c r="AI224" s="664">
        <f t="shared" si="16"/>
        <v>0</v>
      </c>
      <c r="AJ224" s="521">
        <v>0</v>
      </c>
      <c r="AK224" s="520">
        <f t="shared" si="17"/>
        <v>0</v>
      </c>
      <c r="AL224" s="695" t="s">
        <v>1648</v>
      </c>
      <c r="AM224" s="669">
        <f t="shared" si="18"/>
        <v>99.99</v>
      </c>
    </row>
    <row r="225" spans="1:39" s="500" customFormat="1" ht="13.5" hidden="1" thickBot="1">
      <c r="A225" s="554" t="s">
        <v>845</v>
      </c>
      <c r="B225" s="555" t="s">
        <v>1241</v>
      </c>
      <c r="C225" s="561" t="s">
        <v>37</v>
      </c>
      <c r="D225" s="519"/>
      <c r="E225" s="520"/>
      <c r="F225" s="520"/>
      <c r="G225" s="726"/>
      <c r="H225" s="520"/>
      <c r="I225" s="521"/>
      <c r="J225" s="521"/>
      <c r="K225" s="521"/>
      <c r="L225" s="514"/>
      <c r="M225" s="514"/>
      <c r="N225" s="756"/>
      <c r="O225" s="514"/>
      <c r="P225" s="514"/>
      <c r="Q225" s="514"/>
      <c r="R225" s="514"/>
      <c r="S225" s="514"/>
      <c r="T225" s="514"/>
      <c r="U225" s="756"/>
      <c r="V225" s="514"/>
      <c r="W225" s="514"/>
      <c r="X225" s="514"/>
      <c r="Y225" s="514"/>
      <c r="Z225" s="514"/>
      <c r="AA225" s="514"/>
      <c r="AB225" s="756"/>
      <c r="AC225" s="514"/>
      <c r="AD225" s="514"/>
      <c r="AE225" s="514"/>
      <c r="AF225" s="764"/>
      <c r="AG225" s="514"/>
      <c r="AH225" s="514"/>
      <c r="AI225" s="664">
        <f t="shared" si="16"/>
        <v>0</v>
      </c>
      <c r="AJ225" s="521">
        <v>0</v>
      </c>
      <c r="AK225" s="520">
        <f t="shared" si="17"/>
        <v>0</v>
      </c>
      <c r="AL225" s="695" t="s">
        <v>1649</v>
      </c>
      <c r="AM225" s="669">
        <f t="shared" si="18"/>
        <v>60.07</v>
      </c>
    </row>
    <row r="226" spans="1:39" s="500" customFormat="1" ht="13.5" hidden="1" thickBot="1">
      <c r="A226" s="554" t="s">
        <v>846</v>
      </c>
      <c r="B226" s="555" t="s">
        <v>1242</v>
      </c>
      <c r="C226" s="561" t="s">
        <v>37</v>
      </c>
      <c r="D226" s="519"/>
      <c r="E226" s="520"/>
      <c r="F226" s="520"/>
      <c r="G226" s="726"/>
      <c r="H226" s="520"/>
      <c r="I226" s="521"/>
      <c r="J226" s="521"/>
      <c r="K226" s="521"/>
      <c r="L226" s="514"/>
      <c r="M226" s="514"/>
      <c r="N226" s="756"/>
      <c r="O226" s="514"/>
      <c r="P226" s="514"/>
      <c r="Q226" s="514"/>
      <c r="R226" s="514"/>
      <c r="S226" s="514"/>
      <c r="T226" s="514"/>
      <c r="U226" s="756"/>
      <c r="V226" s="514"/>
      <c r="W226" s="514"/>
      <c r="X226" s="514"/>
      <c r="Y226" s="514"/>
      <c r="Z226" s="514"/>
      <c r="AA226" s="514"/>
      <c r="AB226" s="756"/>
      <c r="AC226" s="514"/>
      <c r="AD226" s="514"/>
      <c r="AE226" s="514"/>
      <c r="AF226" s="764"/>
      <c r="AG226" s="514"/>
      <c r="AH226" s="514"/>
      <c r="AI226" s="664">
        <f t="shared" si="16"/>
        <v>0</v>
      </c>
      <c r="AJ226" s="521">
        <v>0</v>
      </c>
      <c r="AK226" s="520">
        <f t="shared" si="17"/>
        <v>0</v>
      </c>
      <c r="AL226" s="695" t="s">
        <v>1650</v>
      </c>
      <c r="AM226" s="669">
        <f t="shared" si="18"/>
        <v>33.6</v>
      </c>
    </row>
    <row r="227" spans="1:39" s="500" customFormat="1" ht="13.5" hidden="1" thickBot="1">
      <c r="A227" s="554" t="s">
        <v>847</v>
      </c>
      <c r="B227" s="555" t="s">
        <v>1243</v>
      </c>
      <c r="C227" s="561" t="s">
        <v>37</v>
      </c>
      <c r="D227" s="519"/>
      <c r="E227" s="520"/>
      <c r="F227" s="520"/>
      <c r="G227" s="726"/>
      <c r="H227" s="520"/>
      <c r="I227" s="521"/>
      <c r="J227" s="521"/>
      <c r="K227" s="521"/>
      <c r="L227" s="514"/>
      <c r="M227" s="514"/>
      <c r="N227" s="756"/>
      <c r="O227" s="514"/>
      <c r="P227" s="514"/>
      <c r="Q227" s="514"/>
      <c r="R227" s="514"/>
      <c r="S227" s="514"/>
      <c r="T227" s="514"/>
      <c r="U227" s="756"/>
      <c r="V227" s="514"/>
      <c r="W227" s="514"/>
      <c r="X227" s="514"/>
      <c r="Y227" s="514"/>
      <c r="Z227" s="514"/>
      <c r="AA227" s="514"/>
      <c r="AB227" s="756"/>
      <c r="AC227" s="514"/>
      <c r="AD227" s="514"/>
      <c r="AE227" s="514"/>
      <c r="AF227" s="764"/>
      <c r="AG227" s="514"/>
      <c r="AH227" s="514"/>
      <c r="AI227" s="664">
        <f t="shared" si="16"/>
        <v>0</v>
      </c>
      <c r="AJ227" s="521">
        <v>0</v>
      </c>
      <c r="AK227" s="520">
        <f t="shared" si="17"/>
        <v>0</v>
      </c>
      <c r="AL227" s="695" t="s">
        <v>1651</v>
      </c>
      <c r="AM227" s="669">
        <f t="shared" si="18"/>
        <v>27.42</v>
      </c>
    </row>
    <row r="228" spans="1:39" s="500" customFormat="1" ht="13.5" hidden="1" thickBot="1">
      <c r="A228" s="554" t="s">
        <v>848</v>
      </c>
      <c r="B228" s="555" t="s">
        <v>1244</v>
      </c>
      <c r="C228" s="561" t="s">
        <v>37</v>
      </c>
      <c r="D228" s="519"/>
      <c r="E228" s="520"/>
      <c r="F228" s="520"/>
      <c r="G228" s="726"/>
      <c r="H228" s="520"/>
      <c r="I228" s="521"/>
      <c r="J228" s="521"/>
      <c r="K228" s="521"/>
      <c r="L228" s="514"/>
      <c r="M228" s="514"/>
      <c r="N228" s="756"/>
      <c r="O228" s="514"/>
      <c r="P228" s="514"/>
      <c r="Q228" s="514"/>
      <c r="R228" s="514"/>
      <c r="S228" s="514"/>
      <c r="T228" s="514"/>
      <c r="U228" s="756"/>
      <c r="V228" s="514"/>
      <c r="W228" s="514"/>
      <c r="X228" s="514"/>
      <c r="Y228" s="514"/>
      <c r="Z228" s="514"/>
      <c r="AA228" s="514"/>
      <c r="AB228" s="756"/>
      <c r="AC228" s="514"/>
      <c r="AD228" s="514"/>
      <c r="AE228" s="514"/>
      <c r="AF228" s="764"/>
      <c r="AG228" s="514"/>
      <c r="AH228" s="514"/>
      <c r="AI228" s="664">
        <f t="shared" si="16"/>
        <v>0</v>
      </c>
      <c r="AJ228" s="521">
        <v>0</v>
      </c>
      <c r="AK228" s="520">
        <f t="shared" si="17"/>
        <v>0</v>
      </c>
      <c r="AL228" s="695" t="s">
        <v>1652</v>
      </c>
      <c r="AM228" s="669">
        <f t="shared" si="18"/>
        <v>79.459999999999994</v>
      </c>
    </row>
    <row r="229" spans="1:39" s="500" customFormat="1" ht="13.5" hidden="1" thickBot="1">
      <c r="A229" s="554" t="s">
        <v>849</v>
      </c>
      <c r="B229" s="555" t="s">
        <v>1245</v>
      </c>
      <c r="C229" s="561" t="s">
        <v>38</v>
      </c>
      <c r="D229" s="519"/>
      <c r="E229" s="520"/>
      <c r="F229" s="520"/>
      <c r="G229" s="726"/>
      <c r="H229" s="520"/>
      <c r="I229" s="521"/>
      <c r="J229" s="521"/>
      <c r="K229" s="521"/>
      <c r="L229" s="514"/>
      <c r="M229" s="514"/>
      <c r="N229" s="756"/>
      <c r="O229" s="514"/>
      <c r="P229" s="514"/>
      <c r="Q229" s="514"/>
      <c r="R229" s="514"/>
      <c r="S229" s="514"/>
      <c r="T229" s="514"/>
      <c r="U229" s="756"/>
      <c r="V229" s="514"/>
      <c r="W229" s="514"/>
      <c r="X229" s="514"/>
      <c r="Y229" s="514"/>
      <c r="Z229" s="514"/>
      <c r="AA229" s="514"/>
      <c r="AB229" s="756"/>
      <c r="AC229" s="514"/>
      <c r="AD229" s="514"/>
      <c r="AE229" s="514"/>
      <c r="AF229" s="764"/>
      <c r="AG229" s="514"/>
      <c r="AH229" s="514"/>
      <c r="AI229" s="664">
        <f t="shared" si="16"/>
        <v>0</v>
      </c>
      <c r="AJ229" s="521">
        <v>0</v>
      </c>
      <c r="AK229" s="520">
        <f t="shared" si="17"/>
        <v>0</v>
      </c>
      <c r="AL229" s="695" t="s">
        <v>1653</v>
      </c>
      <c r="AM229" s="669">
        <f t="shared" si="18"/>
        <v>80.02</v>
      </c>
    </row>
    <row r="230" spans="1:39" s="500" customFormat="1" ht="13.5" hidden="1" thickBot="1">
      <c r="A230" s="554" t="s">
        <v>850</v>
      </c>
      <c r="B230" s="555" t="s">
        <v>1246</v>
      </c>
      <c r="C230" s="561" t="s">
        <v>38</v>
      </c>
      <c r="D230" s="519"/>
      <c r="E230" s="520"/>
      <c r="F230" s="520"/>
      <c r="G230" s="726"/>
      <c r="H230" s="520"/>
      <c r="I230" s="521"/>
      <c r="J230" s="521"/>
      <c r="K230" s="521"/>
      <c r="L230" s="514"/>
      <c r="M230" s="514"/>
      <c r="N230" s="756"/>
      <c r="O230" s="514"/>
      <c r="P230" s="514"/>
      <c r="Q230" s="514"/>
      <c r="R230" s="514"/>
      <c r="S230" s="514"/>
      <c r="T230" s="514"/>
      <c r="U230" s="756"/>
      <c r="V230" s="514"/>
      <c r="W230" s="514"/>
      <c r="X230" s="514"/>
      <c r="Y230" s="514"/>
      <c r="Z230" s="514"/>
      <c r="AA230" s="514"/>
      <c r="AB230" s="756"/>
      <c r="AC230" s="514"/>
      <c r="AD230" s="514"/>
      <c r="AE230" s="514"/>
      <c r="AF230" s="764"/>
      <c r="AG230" s="514"/>
      <c r="AH230" s="514"/>
      <c r="AI230" s="664">
        <f t="shared" si="16"/>
        <v>0</v>
      </c>
      <c r="AJ230" s="521">
        <v>0</v>
      </c>
      <c r="AK230" s="520">
        <f t="shared" si="17"/>
        <v>0</v>
      </c>
      <c r="AL230" s="695" t="s">
        <v>1654</v>
      </c>
      <c r="AM230" s="669">
        <f t="shared" si="18"/>
        <v>245.52</v>
      </c>
    </row>
    <row r="231" spans="1:39" s="500" customFormat="1" ht="13.5" hidden="1" thickBot="1">
      <c r="A231" s="554" t="s">
        <v>478</v>
      </c>
      <c r="B231" s="555" t="s">
        <v>1247</v>
      </c>
      <c r="C231" s="561"/>
      <c r="D231" s="519"/>
      <c r="E231" s="520"/>
      <c r="F231" s="520"/>
      <c r="G231" s="726"/>
      <c r="H231" s="520"/>
      <c r="I231" s="521"/>
      <c r="J231" s="521"/>
      <c r="K231" s="521"/>
      <c r="L231" s="514"/>
      <c r="M231" s="514"/>
      <c r="N231" s="756"/>
      <c r="O231" s="514"/>
      <c r="P231" s="514"/>
      <c r="Q231" s="514"/>
      <c r="R231" s="514"/>
      <c r="S231" s="514"/>
      <c r="T231" s="514"/>
      <c r="U231" s="756"/>
      <c r="V231" s="514"/>
      <c r="W231" s="514"/>
      <c r="X231" s="514"/>
      <c r="Y231" s="514"/>
      <c r="Z231" s="514"/>
      <c r="AA231" s="514"/>
      <c r="AB231" s="756"/>
      <c r="AC231" s="514"/>
      <c r="AD231" s="514"/>
      <c r="AE231" s="514"/>
      <c r="AF231" s="764"/>
      <c r="AG231" s="514"/>
      <c r="AH231" s="514"/>
      <c r="AI231" s="664">
        <f t="shared" si="16"/>
        <v>0</v>
      </c>
      <c r="AJ231" s="521">
        <v>0</v>
      </c>
      <c r="AK231" s="520">
        <f t="shared" si="17"/>
        <v>0</v>
      </c>
      <c r="AL231" s="695"/>
      <c r="AM231" s="669">
        <f t="shared" si="18"/>
        <v>0</v>
      </c>
    </row>
    <row r="232" spans="1:39" s="500" customFormat="1" ht="13.5" hidden="1" thickBot="1">
      <c r="A232" s="554" t="s">
        <v>851</v>
      </c>
      <c r="B232" s="555" t="s">
        <v>1248</v>
      </c>
      <c r="C232" s="561" t="s">
        <v>37</v>
      </c>
      <c r="D232" s="519"/>
      <c r="E232" s="520"/>
      <c r="F232" s="520"/>
      <c r="G232" s="726"/>
      <c r="H232" s="520"/>
      <c r="I232" s="521"/>
      <c r="J232" s="521"/>
      <c r="K232" s="521"/>
      <c r="L232" s="514"/>
      <c r="M232" s="514"/>
      <c r="N232" s="756"/>
      <c r="O232" s="514"/>
      <c r="P232" s="514"/>
      <c r="Q232" s="514"/>
      <c r="R232" s="514"/>
      <c r="S232" s="514"/>
      <c r="T232" s="514"/>
      <c r="U232" s="756"/>
      <c r="V232" s="514"/>
      <c r="W232" s="514"/>
      <c r="X232" s="514"/>
      <c r="Y232" s="514"/>
      <c r="Z232" s="514"/>
      <c r="AA232" s="514"/>
      <c r="AB232" s="756"/>
      <c r="AC232" s="514"/>
      <c r="AD232" s="514"/>
      <c r="AE232" s="514"/>
      <c r="AF232" s="764"/>
      <c r="AG232" s="514"/>
      <c r="AH232" s="514"/>
      <c r="AI232" s="664">
        <f t="shared" si="16"/>
        <v>0</v>
      </c>
      <c r="AJ232" s="521">
        <v>0</v>
      </c>
      <c r="AK232" s="520">
        <f t="shared" si="17"/>
        <v>0</v>
      </c>
      <c r="AL232" s="695" t="s">
        <v>1655</v>
      </c>
      <c r="AM232" s="669">
        <f t="shared" si="18"/>
        <v>65.92</v>
      </c>
    </row>
    <row r="233" spans="1:39" s="500" customFormat="1" ht="13.5" hidden="1" thickBot="1">
      <c r="A233" s="554" t="s">
        <v>479</v>
      </c>
      <c r="B233" s="555" t="s">
        <v>1249</v>
      </c>
      <c r="C233" s="561"/>
      <c r="D233" s="519"/>
      <c r="E233" s="520"/>
      <c r="F233" s="520"/>
      <c r="G233" s="726"/>
      <c r="H233" s="520"/>
      <c r="I233" s="521"/>
      <c r="J233" s="521"/>
      <c r="K233" s="521"/>
      <c r="L233" s="514"/>
      <c r="M233" s="514"/>
      <c r="N233" s="756"/>
      <c r="O233" s="514"/>
      <c r="P233" s="514"/>
      <c r="Q233" s="514"/>
      <c r="R233" s="514"/>
      <c r="S233" s="514"/>
      <c r="T233" s="514"/>
      <c r="U233" s="756"/>
      <c r="V233" s="514"/>
      <c r="W233" s="514"/>
      <c r="X233" s="514"/>
      <c r="Y233" s="514"/>
      <c r="Z233" s="514"/>
      <c r="AA233" s="514"/>
      <c r="AB233" s="756"/>
      <c r="AC233" s="514"/>
      <c r="AD233" s="514"/>
      <c r="AE233" s="514"/>
      <c r="AF233" s="764"/>
      <c r="AG233" s="514"/>
      <c r="AH233" s="514"/>
      <c r="AI233" s="664">
        <f t="shared" si="16"/>
        <v>0</v>
      </c>
      <c r="AJ233" s="521">
        <v>0</v>
      </c>
      <c r="AK233" s="520">
        <f t="shared" si="17"/>
        <v>0</v>
      </c>
      <c r="AL233" s="695"/>
      <c r="AM233" s="669">
        <f t="shared" si="18"/>
        <v>0</v>
      </c>
    </row>
    <row r="234" spans="1:39" s="500" customFormat="1" ht="13.5" hidden="1" thickBot="1">
      <c r="A234" s="554" t="s">
        <v>852</v>
      </c>
      <c r="B234" s="555" t="s">
        <v>1250</v>
      </c>
      <c r="C234" s="561" t="s">
        <v>37</v>
      </c>
      <c r="D234" s="519"/>
      <c r="E234" s="520"/>
      <c r="F234" s="520"/>
      <c r="G234" s="726"/>
      <c r="H234" s="520"/>
      <c r="I234" s="521"/>
      <c r="J234" s="521"/>
      <c r="K234" s="521"/>
      <c r="L234" s="514"/>
      <c r="M234" s="514"/>
      <c r="N234" s="756"/>
      <c r="O234" s="514"/>
      <c r="P234" s="514"/>
      <c r="Q234" s="514"/>
      <c r="R234" s="514"/>
      <c r="S234" s="514"/>
      <c r="T234" s="514"/>
      <c r="U234" s="756"/>
      <c r="V234" s="514"/>
      <c r="W234" s="514"/>
      <c r="X234" s="514"/>
      <c r="Y234" s="514"/>
      <c r="Z234" s="514"/>
      <c r="AA234" s="514"/>
      <c r="AB234" s="756"/>
      <c r="AC234" s="514"/>
      <c r="AD234" s="514"/>
      <c r="AE234" s="514"/>
      <c r="AF234" s="764"/>
      <c r="AG234" s="514"/>
      <c r="AH234" s="514"/>
      <c r="AI234" s="664">
        <f t="shared" si="16"/>
        <v>0</v>
      </c>
      <c r="AJ234" s="521">
        <v>0</v>
      </c>
      <c r="AK234" s="520">
        <f t="shared" si="17"/>
        <v>0</v>
      </c>
      <c r="AL234" s="695" t="s">
        <v>1656</v>
      </c>
      <c r="AM234" s="669">
        <f t="shared" si="18"/>
        <v>57.88</v>
      </c>
    </row>
    <row r="235" spans="1:39" s="500" customFormat="1" ht="13.5" hidden="1" thickBot="1">
      <c r="A235" s="554" t="s">
        <v>853</v>
      </c>
      <c r="B235" s="555" t="s">
        <v>1285</v>
      </c>
      <c r="C235" s="561" t="s">
        <v>37</v>
      </c>
      <c r="D235" s="519"/>
      <c r="E235" s="520"/>
      <c r="F235" s="520"/>
      <c r="G235" s="726"/>
      <c r="H235" s="520"/>
      <c r="I235" s="521"/>
      <c r="J235" s="521"/>
      <c r="K235" s="521"/>
      <c r="L235" s="514"/>
      <c r="M235" s="514"/>
      <c r="N235" s="756"/>
      <c r="O235" s="514"/>
      <c r="P235" s="514"/>
      <c r="Q235" s="514"/>
      <c r="R235" s="514"/>
      <c r="S235" s="514"/>
      <c r="T235" s="514"/>
      <c r="U235" s="756"/>
      <c r="V235" s="514"/>
      <c r="W235" s="514"/>
      <c r="X235" s="514"/>
      <c r="Y235" s="514"/>
      <c r="Z235" s="514"/>
      <c r="AA235" s="514"/>
      <c r="AB235" s="756"/>
      <c r="AC235" s="514"/>
      <c r="AD235" s="514"/>
      <c r="AE235" s="514"/>
      <c r="AF235" s="764"/>
      <c r="AG235" s="514"/>
      <c r="AH235" s="514"/>
      <c r="AI235" s="664">
        <f t="shared" si="16"/>
        <v>0</v>
      </c>
      <c r="AJ235" s="521">
        <v>0</v>
      </c>
      <c r="AK235" s="520">
        <f t="shared" si="17"/>
        <v>0</v>
      </c>
      <c r="AL235" s="695" t="s">
        <v>1657</v>
      </c>
      <c r="AM235" s="669">
        <f t="shared" si="18"/>
        <v>40.200000000000003</v>
      </c>
    </row>
    <row r="236" spans="1:39" s="500" customFormat="1" ht="13.5" hidden="1" thickBot="1">
      <c r="A236" s="554" t="s">
        <v>854</v>
      </c>
      <c r="B236" s="555" t="s">
        <v>1251</v>
      </c>
      <c r="C236" s="561" t="s">
        <v>37</v>
      </c>
      <c r="D236" s="519"/>
      <c r="E236" s="520"/>
      <c r="F236" s="520"/>
      <c r="G236" s="726"/>
      <c r="H236" s="520"/>
      <c r="I236" s="521"/>
      <c r="J236" s="521"/>
      <c r="K236" s="521"/>
      <c r="L236" s="514"/>
      <c r="M236" s="514"/>
      <c r="N236" s="756"/>
      <c r="O236" s="514"/>
      <c r="P236" s="514"/>
      <c r="Q236" s="514"/>
      <c r="R236" s="514"/>
      <c r="S236" s="514"/>
      <c r="T236" s="514"/>
      <c r="U236" s="756"/>
      <c r="V236" s="514"/>
      <c r="W236" s="514"/>
      <c r="X236" s="514"/>
      <c r="Y236" s="514"/>
      <c r="Z236" s="514"/>
      <c r="AA236" s="514"/>
      <c r="AB236" s="756"/>
      <c r="AC236" s="514"/>
      <c r="AD236" s="514"/>
      <c r="AE236" s="514"/>
      <c r="AF236" s="764"/>
      <c r="AG236" s="514"/>
      <c r="AH236" s="514"/>
      <c r="AI236" s="664">
        <f t="shared" si="16"/>
        <v>0</v>
      </c>
      <c r="AJ236" s="521">
        <v>0</v>
      </c>
      <c r="AK236" s="520">
        <f t="shared" si="17"/>
        <v>0</v>
      </c>
      <c r="AL236" s="695" t="s">
        <v>1658</v>
      </c>
      <c r="AM236" s="669">
        <f t="shared" si="18"/>
        <v>5.72</v>
      </c>
    </row>
    <row r="237" spans="1:39" s="500" customFormat="1" ht="13.5" hidden="1" thickBot="1">
      <c r="A237" s="554" t="s">
        <v>855</v>
      </c>
      <c r="B237" s="555" t="s">
        <v>1252</v>
      </c>
      <c r="C237" s="561" t="s">
        <v>37</v>
      </c>
      <c r="D237" s="519"/>
      <c r="E237" s="520"/>
      <c r="F237" s="520"/>
      <c r="G237" s="726"/>
      <c r="H237" s="520"/>
      <c r="I237" s="521"/>
      <c r="J237" s="521"/>
      <c r="K237" s="521"/>
      <c r="L237" s="514"/>
      <c r="M237" s="514"/>
      <c r="N237" s="756"/>
      <c r="O237" s="514"/>
      <c r="P237" s="514"/>
      <c r="Q237" s="514"/>
      <c r="R237" s="514"/>
      <c r="S237" s="514"/>
      <c r="T237" s="514"/>
      <c r="U237" s="756"/>
      <c r="V237" s="514"/>
      <c r="W237" s="514"/>
      <c r="X237" s="514"/>
      <c r="Y237" s="514"/>
      <c r="Z237" s="514"/>
      <c r="AA237" s="514"/>
      <c r="AB237" s="756"/>
      <c r="AC237" s="514"/>
      <c r="AD237" s="514"/>
      <c r="AE237" s="514"/>
      <c r="AF237" s="764"/>
      <c r="AG237" s="514"/>
      <c r="AH237" s="514"/>
      <c r="AI237" s="664">
        <f t="shared" si="16"/>
        <v>0</v>
      </c>
      <c r="AJ237" s="521">
        <v>0</v>
      </c>
      <c r="AK237" s="520">
        <f t="shared" si="17"/>
        <v>0</v>
      </c>
      <c r="AL237" s="695" t="s">
        <v>1659</v>
      </c>
      <c r="AM237" s="669">
        <f t="shared" si="18"/>
        <v>11.96</v>
      </c>
    </row>
    <row r="238" spans="1:39" s="500" customFormat="1" ht="13.5" hidden="1" thickBot="1">
      <c r="A238" s="554" t="s">
        <v>480</v>
      </c>
      <c r="B238" s="555" t="s">
        <v>1256</v>
      </c>
      <c r="C238" s="561"/>
      <c r="D238" s="519"/>
      <c r="E238" s="520"/>
      <c r="F238" s="520"/>
      <c r="G238" s="726"/>
      <c r="H238" s="520"/>
      <c r="I238" s="521"/>
      <c r="J238" s="521"/>
      <c r="K238" s="521"/>
      <c r="L238" s="514"/>
      <c r="M238" s="514"/>
      <c r="N238" s="756"/>
      <c r="O238" s="514"/>
      <c r="P238" s="514"/>
      <c r="Q238" s="514"/>
      <c r="R238" s="514"/>
      <c r="S238" s="514"/>
      <c r="T238" s="514"/>
      <c r="U238" s="756"/>
      <c r="V238" s="514"/>
      <c r="W238" s="514"/>
      <c r="X238" s="514"/>
      <c r="Y238" s="514"/>
      <c r="Z238" s="514"/>
      <c r="AA238" s="514"/>
      <c r="AB238" s="756"/>
      <c r="AC238" s="514"/>
      <c r="AD238" s="514"/>
      <c r="AE238" s="514"/>
      <c r="AF238" s="764"/>
      <c r="AG238" s="514"/>
      <c r="AH238" s="514"/>
      <c r="AI238" s="664">
        <f t="shared" si="16"/>
        <v>0</v>
      </c>
      <c r="AJ238" s="521">
        <v>0</v>
      </c>
      <c r="AK238" s="520">
        <f t="shared" si="17"/>
        <v>0</v>
      </c>
      <c r="AL238" s="695"/>
      <c r="AM238" s="669">
        <f t="shared" si="18"/>
        <v>0</v>
      </c>
    </row>
    <row r="239" spans="1:39" s="500" customFormat="1" ht="13.5" hidden="1" thickBot="1">
      <c r="A239" s="554" t="s">
        <v>856</v>
      </c>
      <c r="B239" s="555" t="s">
        <v>1257</v>
      </c>
      <c r="C239" s="561" t="s">
        <v>37</v>
      </c>
      <c r="D239" s="519"/>
      <c r="E239" s="520"/>
      <c r="F239" s="520"/>
      <c r="G239" s="726"/>
      <c r="H239" s="520"/>
      <c r="I239" s="521"/>
      <c r="J239" s="521"/>
      <c r="K239" s="521"/>
      <c r="L239" s="514"/>
      <c r="M239" s="514"/>
      <c r="N239" s="756"/>
      <c r="O239" s="514"/>
      <c r="P239" s="514"/>
      <c r="Q239" s="514"/>
      <c r="R239" s="514"/>
      <c r="S239" s="514"/>
      <c r="T239" s="514"/>
      <c r="U239" s="756"/>
      <c r="V239" s="514"/>
      <c r="W239" s="514"/>
      <c r="X239" s="514"/>
      <c r="Y239" s="514"/>
      <c r="Z239" s="514"/>
      <c r="AA239" s="514"/>
      <c r="AB239" s="756"/>
      <c r="AC239" s="514"/>
      <c r="AD239" s="514"/>
      <c r="AE239" s="514"/>
      <c r="AF239" s="764"/>
      <c r="AG239" s="514"/>
      <c r="AH239" s="514"/>
      <c r="AI239" s="664">
        <f t="shared" si="16"/>
        <v>0</v>
      </c>
      <c r="AJ239" s="521">
        <v>0</v>
      </c>
      <c r="AK239" s="520">
        <f t="shared" si="17"/>
        <v>0</v>
      </c>
      <c r="AL239" s="695" t="s">
        <v>1660</v>
      </c>
      <c r="AM239" s="669">
        <f t="shared" si="18"/>
        <v>55.35</v>
      </c>
    </row>
    <row r="240" spans="1:39" s="500" customFormat="1" ht="13.5" hidden="1" thickBot="1">
      <c r="A240" s="554" t="s">
        <v>481</v>
      </c>
      <c r="B240" s="555" t="s">
        <v>1258</v>
      </c>
      <c r="C240" s="561"/>
      <c r="D240" s="519"/>
      <c r="E240" s="520"/>
      <c r="F240" s="520"/>
      <c r="G240" s="726"/>
      <c r="H240" s="520"/>
      <c r="I240" s="521"/>
      <c r="J240" s="521"/>
      <c r="K240" s="521"/>
      <c r="L240" s="514"/>
      <c r="M240" s="514"/>
      <c r="N240" s="756"/>
      <c r="O240" s="514"/>
      <c r="P240" s="514"/>
      <c r="Q240" s="514"/>
      <c r="R240" s="514"/>
      <c r="S240" s="514"/>
      <c r="T240" s="514"/>
      <c r="U240" s="756"/>
      <c r="V240" s="514"/>
      <c r="W240" s="514"/>
      <c r="X240" s="514"/>
      <c r="Y240" s="514"/>
      <c r="Z240" s="514"/>
      <c r="AA240" s="514"/>
      <c r="AB240" s="756"/>
      <c r="AC240" s="514"/>
      <c r="AD240" s="514"/>
      <c r="AE240" s="514"/>
      <c r="AF240" s="764"/>
      <c r="AG240" s="514"/>
      <c r="AH240" s="514"/>
      <c r="AI240" s="664">
        <f t="shared" si="16"/>
        <v>0</v>
      </c>
      <c r="AJ240" s="521">
        <v>0</v>
      </c>
      <c r="AK240" s="520">
        <f t="shared" si="17"/>
        <v>0</v>
      </c>
      <c r="AL240" s="695"/>
      <c r="AM240" s="669">
        <f t="shared" si="18"/>
        <v>0</v>
      </c>
    </row>
    <row r="241" spans="1:39" s="500" customFormat="1" ht="13.5" hidden="1" thickBot="1">
      <c r="A241" s="554" t="s">
        <v>857</v>
      </c>
      <c r="B241" s="555" t="s">
        <v>1259</v>
      </c>
      <c r="C241" s="561" t="s">
        <v>37</v>
      </c>
      <c r="D241" s="519"/>
      <c r="E241" s="520"/>
      <c r="F241" s="520"/>
      <c r="G241" s="726"/>
      <c r="H241" s="520"/>
      <c r="I241" s="521"/>
      <c r="J241" s="521"/>
      <c r="K241" s="521"/>
      <c r="L241" s="514"/>
      <c r="M241" s="514"/>
      <c r="N241" s="756"/>
      <c r="O241" s="514"/>
      <c r="P241" s="514"/>
      <c r="Q241" s="514"/>
      <c r="R241" s="514"/>
      <c r="S241" s="514"/>
      <c r="T241" s="514"/>
      <c r="U241" s="756"/>
      <c r="V241" s="514"/>
      <c r="W241" s="514"/>
      <c r="X241" s="514"/>
      <c r="Y241" s="514"/>
      <c r="Z241" s="514"/>
      <c r="AA241" s="514"/>
      <c r="AB241" s="756"/>
      <c r="AC241" s="514"/>
      <c r="AD241" s="514"/>
      <c r="AE241" s="514"/>
      <c r="AF241" s="764"/>
      <c r="AG241" s="514"/>
      <c r="AH241" s="514"/>
      <c r="AI241" s="664">
        <f t="shared" si="16"/>
        <v>0</v>
      </c>
      <c r="AJ241" s="521">
        <v>0</v>
      </c>
      <c r="AK241" s="520">
        <f t="shared" si="17"/>
        <v>0</v>
      </c>
      <c r="AL241" s="695" t="s">
        <v>1635</v>
      </c>
      <c r="AM241" s="669">
        <f t="shared" si="18"/>
        <v>15.8</v>
      </c>
    </row>
    <row r="242" spans="1:39" s="500" customFormat="1" ht="13.5" hidden="1" thickBot="1">
      <c r="A242" s="554" t="s">
        <v>858</v>
      </c>
      <c r="B242" s="555" t="s">
        <v>1286</v>
      </c>
      <c r="C242" s="561" t="s">
        <v>37</v>
      </c>
      <c r="D242" s="519"/>
      <c r="E242" s="520"/>
      <c r="F242" s="520"/>
      <c r="G242" s="726"/>
      <c r="H242" s="520"/>
      <c r="I242" s="521"/>
      <c r="J242" s="521"/>
      <c r="K242" s="521"/>
      <c r="L242" s="514"/>
      <c r="M242" s="514"/>
      <c r="N242" s="756"/>
      <c r="O242" s="514"/>
      <c r="P242" s="514"/>
      <c r="Q242" s="514"/>
      <c r="R242" s="514"/>
      <c r="S242" s="514"/>
      <c r="T242" s="514"/>
      <c r="U242" s="756"/>
      <c r="V242" s="514"/>
      <c r="W242" s="514"/>
      <c r="X242" s="514"/>
      <c r="Y242" s="514"/>
      <c r="Z242" s="514"/>
      <c r="AA242" s="514"/>
      <c r="AB242" s="756"/>
      <c r="AC242" s="514"/>
      <c r="AD242" s="514"/>
      <c r="AE242" s="514"/>
      <c r="AF242" s="764"/>
      <c r="AG242" s="514"/>
      <c r="AH242" s="514"/>
      <c r="AI242" s="664">
        <f t="shared" si="16"/>
        <v>0</v>
      </c>
      <c r="AJ242" s="521">
        <v>0</v>
      </c>
      <c r="AK242" s="520">
        <f t="shared" si="17"/>
        <v>0</v>
      </c>
      <c r="AL242" s="695" t="s">
        <v>1661</v>
      </c>
      <c r="AM242" s="669">
        <f t="shared" si="18"/>
        <v>29.4</v>
      </c>
    </row>
    <row r="243" spans="1:39" s="500" customFormat="1" ht="13.5" hidden="1" thickBot="1">
      <c r="A243" s="554" t="s">
        <v>859</v>
      </c>
      <c r="B243" s="555" t="s">
        <v>1261</v>
      </c>
      <c r="C243" s="561" t="s">
        <v>38</v>
      </c>
      <c r="D243" s="519"/>
      <c r="E243" s="520"/>
      <c r="F243" s="520"/>
      <c r="G243" s="726"/>
      <c r="H243" s="520"/>
      <c r="I243" s="521"/>
      <c r="J243" s="521"/>
      <c r="K243" s="521"/>
      <c r="L243" s="514"/>
      <c r="M243" s="514"/>
      <c r="N243" s="756"/>
      <c r="O243" s="514"/>
      <c r="P243" s="514"/>
      <c r="Q243" s="514"/>
      <c r="R243" s="514"/>
      <c r="S243" s="514"/>
      <c r="T243" s="514"/>
      <c r="U243" s="756"/>
      <c r="V243" s="514"/>
      <c r="W243" s="514"/>
      <c r="X243" s="514"/>
      <c r="Y243" s="514"/>
      <c r="Z243" s="514"/>
      <c r="AA243" s="514"/>
      <c r="AB243" s="756"/>
      <c r="AC243" s="514"/>
      <c r="AD243" s="514"/>
      <c r="AE243" s="514"/>
      <c r="AF243" s="764"/>
      <c r="AG243" s="514"/>
      <c r="AH243" s="514"/>
      <c r="AI243" s="664">
        <f t="shared" ref="AI243:AI306" si="19">ROUND((SUM(D243:L243)),2)</f>
        <v>0</v>
      </c>
      <c r="AJ243" s="521">
        <v>0</v>
      </c>
      <c r="AK243" s="520">
        <f t="shared" si="17"/>
        <v>0</v>
      </c>
      <c r="AL243" s="695" t="s">
        <v>1662</v>
      </c>
      <c r="AM243" s="669">
        <f t="shared" si="18"/>
        <v>9.6</v>
      </c>
    </row>
    <row r="244" spans="1:39" s="500" customFormat="1" ht="13.5" hidden="1" thickBot="1">
      <c r="A244" s="554" t="s">
        <v>860</v>
      </c>
      <c r="B244" s="555" t="s">
        <v>1287</v>
      </c>
      <c r="C244" s="561" t="s">
        <v>38</v>
      </c>
      <c r="D244" s="519"/>
      <c r="E244" s="520"/>
      <c r="F244" s="520"/>
      <c r="G244" s="726"/>
      <c r="H244" s="520"/>
      <c r="I244" s="521"/>
      <c r="J244" s="521"/>
      <c r="K244" s="521"/>
      <c r="L244" s="514"/>
      <c r="M244" s="514"/>
      <c r="N244" s="756"/>
      <c r="O244" s="514"/>
      <c r="P244" s="514"/>
      <c r="Q244" s="514"/>
      <c r="R244" s="514"/>
      <c r="S244" s="514"/>
      <c r="T244" s="514"/>
      <c r="U244" s="756"/>
      <c r="V244" s="514"/>
      <c r="W244" s="514"/>
      <c r="X244" s="514"/>
      <c r="Y244" s="514"/>
      <c r="Z244" s="514"/>
      <c r="AA244" s="514"/>
      <c r="AB244" s="756"/>
      <c r="AC244" s="514"/>
      <c r="AD244" s="514"/>
      <c r="AE244" s="514"/>
      <c r="AF244" s="764"/>
      <c r="AG244" s="514"/>
      <c r="AH244" s="514"/>
      <c r="AI244" s="664">
        <f t="shared" si="19"/>
        <v>0</v>
      </c>
      <c r="AJ244" s="521">
        <v>0</v>
      </c>
      <c r="AK244" s="520">
        <f t="shared" si="17"/>
        <v>0</v>
      </c>
      <c r="AL244" s="695" t="s">
        <v>1663</v>
      </c>
      <c r="AM244" s="669">
        <f t="shared" si="18"/>
        <v>23.08</v>
      </c>
    </row>
    <row r="245" spans="1:39" s="500" customFormat="1" ht="13.5" hidden="1" thickBot="1">
      <c r="A245" s="554" t="s">
        <v>482</v>
      </c>
      <c r="B245" s="555" t="s">
        <v>1198</v>
      </c>
      <c r="C245" s="561"/>
      <c r="D245" s="519"/>
      <c r="E245" s="520"/>
      <c r="F245" s="520"/>
      <c r="G245" s="726"/>
      <c r="H245" s="520"/>
      <c r="I245" s="521"/>
      <c r="J245" s="521"/>
      <c r="K245" s="521"/>
      <c r="L245" s="514"/>
      <c r="M245" s="514"/>
      <c r="N245" s="756"/>
      <c r="O245" s="514"/>
      <c r="P245" s="514"/>
      <c r="Q245" s="514"/>
      <c r="R245" s="514"/>
      <c r="S245" s="514"/>
      <c r="T245" s="514"/>
      <c r="U245" s="756"/>
      <c r="V245" s="514"/>
      <c r="W245" s="514"/>
      <c r="X245" s="514"/>
      <c r="Y245" s="514"/>
      <c r="Z245" s="514"/>
      <c r="AA245" s="514"/>
      <c r="AB245" s="756"/>
      <c r="AC245" s="514"/>
      <c r="AD245" s="514"/>
      <c r="AE245" s="514"/>
      <c r="AF245" s="764"/>
      <c r="AG245" s="514"/>
      <c r="AH245" s="514"/>
      <c r="AI245" s="664">
        <f t="shared" si="19"/>
        <v>0</v>
      </c>
      <c r="AJ245" s="521">
        <v>0</v>
      </c>
      <c r="AK245" s="520">
        <f t="shared" si="17"/>
        <v>0</v>
      </c>
      <c r="AL245" s="695"/>
      <c r="AM245" s="669">
        <f t="shared" si="18"/>
        <v>0</v>
      </c>
    </row>
    <row r="246" spans="1:39" s="500" customFormat="1" ht="13.5" hidden="1" thickBot="1">
      <c r="A246" s="554" t="s">
        <v>861</v>
      </c>
      <c r="B246" s="555" t="s">
        <v>1262</v>
      </c>
      <c r="C246" s="561" t="s">
        <v>37</v>
      </c>
      <c r="D246" s="519"/>
      <c r="E246" s="520"/>
      <c r="F246" s="520"/>
      <c r="G246" s="726"/>
      <c r="H246" s="520"/>
      <c r="I246" s="521"/>
      <c r="J246" s="521"/>
      <c r="K246" s="521"/>
      <c r="L246" s="514"/>
      <c r="M246" s="514"/>
      <c r="N246" s="756"/>
      <c r="O246" s="514"/>
      <c r="P246" s="514"/>
      <c r="Q246" s="514"/>
      <c r="R246" s="514"/>
      <c r="S246" s="514"/>
      <c r="T246" s="514"/>
      <c r="U246" s="756"/>
      <c r="V246" s="514"/>
      <c r="W246" s="514"/>
      <c r="X246" s="514"/>
      <c r="Y246" s="514"/>
      <c r="Z246" s="514"/>
      <c r="AA246" s="514"/>
      <c r="AB246" s="756"/>
      <c r="AC246" s="514"/>
      <c r="AD246" s="514"/>
      <c r="AE246" s="514"/>
      <c r="AF246" s="764"/>
      <c r="AG246" s="514"/>
      <c r="AH246" s="514"/>
      <c r="AI246" s="664">
        <f t="shared" si="19"/>
        <v>0</v>
      </c>
      <c r="AJ246" s="521">
        <v>0</v>
      </c>
      <c r="AK246" s="520">
        <f t="shared" si="17"/>
        <v>0</v>
      </c>
      <c r="AL246" s="695" t="s">
        <v>1664</v>
      </c>
      <c r="AM246" s="669">
        <f t="shared" si="18"/>
        <v>48.24</v>
      </c>
    </row>
    <row r="247" spans="1:39" s="500" customFormat="1" ht="13.5" hidden="1" thickBot="1">
      <c r="A247" s="554" t="s">
        <v>862</v>
      </c>
      <c r="B247" s="555" t="s">
        <v>1263</v>
      </c>
      <c r="C247" s="561" t="s">
        <v>38</v>
      </c>
      <c r="D247" s="519"/>
      <c r="E247" s="520"/>
      <c r="F247" s="520"/>
      <c r="G247" s="726"/>
      <c r="H247" s="520"/>
      <c r="I247" s="521"/>
      <c r="J247" s="521"/>
      <c r="K247" s="521"/>
      <c r="L247" s="514"/>
      <c r="M247" s="514"/>
      <c r="N247" s="756"/>
      <c r="O247" s="514"/>
      <c r="P247" s="514"/>
      <c r="Q247" s="514"/>
      <c r="R247" s="514"/>
      <c r="S247" s="514"/>
      <c r="T247" s="514"/>
      <c r="U247" s="756"/>
      <c r="V247" s="514"/>
      <c r="W247" s="514"/>
      <c r="X247" s="514"/>
      <c r="Y247" s="514"/>
      <c r="Z247" s="514"/>
      <c r="AA247" s="514"/>
      <c r="AB247" s="756"/>
      <c r="AC247" s="514"/>
      <c r="AD247" s="514"/>
      <c r="AE247" s="514"/>
      <c r="AF247" s="764"/>
      <c r="AG247" s="514"/>
      <c r="AH247" s="514"/>
      <c r="AI247" s="664">
        <f t="shared" si="19"/>
        <v>0</v>
      </c>
      <c r="AJ247" s="521">
        <v>0</v>
      </c>
      <c r="AK247" s="520">
        <f t="shared" si="17"/>
        <v>0</v>
      </c>
      <c r="AL247" s="695" t="s">
        <v>1665</v>
      </c>
      <c r="AM247" s="669">
        <f t="shared" si="18"/>
        <v>34.880000000000003</v>
      </c>
    </row>
    <row r="248" spans="1:39" s="500" customFormat="1" ht="13.5" hidden="1" thickBot="1">
      <c r="A248" s="554" t="s">
        <v>863</v>
      </c>
      <c r="B248" s="555" t="s">
        <v>1288</v>
      </c>
      <c r="C248" s="561" t="s">
        <v>37</v>
      </c>
      <c r="D248" s="519"/>
      <c r="E248" s="520"/>
      <c r="F248" s="520"/>
      <c r="G248" s="726"/>
      <c r="H248" s="520"/>
      <c r="I248" s="521"/>
      <c r="J248" s="521"/>
      <c r="K248" s="521"/>
      <c r="L248" s="514"/>
      <c r="M248" s="514"/>
      <c r="N248" s="756"/>
      <c r="O248" s="514"/>
      <c r="P248" s="514"/>
      <c r="Q248" s="514"/>
      <c r="R248" s="514"/>
      <c r="S248" s="514"/>
      <c r="T248" s="514"/>
      <c r="U248" s="756"/>
      <c r="V248" s="514"/>
      <c r="W248" s="514"/>
      <c r="X248" s="514"/>
      <c r="Y248" s="514"/>
      <c r="Z248" s="514"/>
      <c r="AA248" s="514"/>
      <c r="AB248" s="756"/>
      <c r="AC248" s="514"/>
      <c r="AD248" s="514"/>
      <c r="AE248" s="514"/>
      <c r="AF248" s="764"/>
      <c r="AG248" s="514"/>
      <c r="AH248" s="514"/>
      <c r="AI248" s="664">
        <f t="shared" si="19"/>
        <v>0</v>
      </c>
      <c r="AJ248" s="521">
        <v>0</v>
      </c>
      <c r="AK248" s="520">
        <f t="shared" si="17"/>
        <v>0</v>
      </c>
      <c r="AL248" s="695" t="s">
        <v>1666</v>
      </c>
      <c r="AM248" s="669">
        <f t="shared" si="18"/>
        <v>22.97</v>
      </c>
    </row>
    <row r="249" spans="1:39" s="500" customFormat="1" ht="13.5" hidden="1" thickBot="1">
      <c r="A249" s="554" t="s">
        <v>483</v>
      </c>
      <c r="B249" s="555" t="s">
        <v>1264</v>
      </c>
      <c r="C249" s="561"/>
      <c r="D249" s="519"/>
      <c r="E249" s="520"/>
      <c r="F249" s="520"/>
      <c r="G249" s="726"/>
      <c r="H249" s="520"/>
      <c r="I249" s="521"/>
      <c r="J249" s="521"/>
      <c r="K249" s="521"/>
      <c r="L249" s="514"/>
      <c r="M249" s="514"/>
      <c r="N249" s="756"/>
      <c r="O249" s="514"/>
      <c r="P249" s="514"/>
      <c r="Q249" s="514"/>
      <c r="R249" s="514"/>
      <c r="S249" s="514"/>
      <c r="T249" s="514"/>
      <c r="U249" s="756"/>
      <c r="V249" s="514"/>
      <c r="W249" s="514"/>
      <c r="X249" s="514"/>
      <c r="Y249" s="514"/>
      <c r="Z249" s="514"/>
      <c r="AA249" s="514"/>
      <c r="AB249" s="756"/>
      <c r="AC249" s="514"/>
      <c r="AD249" s="514"/>
      <c r="AE249" s="514"/>
      <c r="AF249" s="764"/>
      <c r="AG249" s="514"/>
      <c r="AH249" s="514"/>
      <c r="AI249" s="664">
        <f t="shared" si="19"/>
        <v>0</v>
      </c>
      <c r="AJ249" s="521">
        <v>0</v>
      </c>
      <c r="AK249" s="520">
        <f t="shared" si="17"/>
        <v>0</v>
      </c>
      <c r="AL249" s="695"/>
      <c r="AM249" s="669">
        <f t="shared" si="18"/>
        <v>0</v>
      </c>
    </row>
    <row r="250" spans="1:39" s="500" customFormat="1" ht="13.5" hidden="1" thickBot="1">
      <c r="A250" s="554" t="s">
        <v>864</v>
      </c>
      <c r="B250" s="555" t="s">
        <v>1289</v>
      </c>
      <c r="C250" s="561" t="s">
        <v>37</v>
      </c>
      <c r="D250" s="519"/>
      <c r="E250" s="520"/>
      <c r="F250" s="520"/>
      <c r="G250" s="726"/>
      <c r="H250" s="520"/>
      <c r="I250" s="521"/>
      <c r="J250" s="521"/>
      <c r="K250" s="521"/>
      <c r="L250" s="514"/>
      <c r="M250" s="514"/>
      <c r="N250" s="756"/>
      <c r="O250" s="514"/>
      <c r="P250" s="514"/>
      <c r="Q250" s="514"/>
      <c r="R250" s="514"/>
      <c r="S250" s="514"/>
      <c r="T250" s="514"/>
      <c r="U250" s="756"/>
      <c r="V250" s="514"/>
      <c r="W250" s="514"/>
      <c r="X250" s="514"/>
      <c r="Y250" s="514"/>
      <c r="Z250" s="514"/>
      <c r="AA250" s="514"/>
      <c r="AB250" s="756"/>
      <c r="AC250" s="514"/>
      <c r="AD250" s="514"/>
      <c r="AE250" s="514"/>
      <c r="AF250" s="764"/>
      <c r="AG250" s="514"/>
      <c r="AH250" s="514"/>
      <c r="AI250" s="664">
        <f t="shared" si="19"/>
        <v>0</v>
      </c>
      <c r="AJ250" s="521">
        <v>0</v>
      </c>
      <c r="AK250" s="520">
        <f t="shared" si="17"/>
        <v>0</v>
      </c>
      <c r="AL250" s="695" t="s">
        <v>1667</v>
      </c>
      <c r="AM250" s="669">
        <f t="shared" si="18"/>
        <v>5.88</v>
      </c>
    </row>
    <row r="251" spans="1:39" s="500" customFormat="1" ht="13.5" hidden="1" thickBot="1">
      <c r="A251" s="554" t="s">
        <v>865</v>
      </c>
      <c r="B251" s="555" t="s">
        <v>1290</v>
      </c>
      <c r="C251" s="561" t="s">
        <v>37</v>
      </c>
      <c r="D251" s="519"/>
      <c r="E251" s="520"/>
      <c r="F251" s="520"/>
      <c r="G251" s="726"/>
      <c r="H251" s="520"/>
      <c r="I251" s="521"/>
      <c r="J251" s="521"/>
      <c r="K251" s="521"/>
      <c r="L251" s="514"/>
      <c r="M251" s="514"/>
      <c r="N251" s="756"/>
      <c r="O251" s="514"/>
      <c r="P251" s="514"/>
      <c r="Q251" s="514"/>
      <c r="R251" s="514"/>
      <c r="S251" s="514"/>
      <c r="T251" s="514"/>
      <c r="U251" s="756"/>
      <c r="V251" s="514"/>
      <c r="W251" s="514"/>
      <c r="X251" s="514"/>
      <c r="Y251" s="514"/>
      <c r="Z251" s="514"/>
      <c r="AA251" s="514"/>
      <c r="AB251" s="756"/>
      <c r="AC251" s="514"/>
      <c r="AD251" s="514"/>
      <c r="AE251" s="514"/>
      <c r="AF251" s="764"/>
      <c r="AG251" s="514"/>
      <c r="AH251" s="514"/>
      <c r="AI251" s="664">
        <f t="shared" si="19"/>
        <v>0</v>
      </c>
      <c r="AJ251" s="521">
        <v>0</v>
      </c>
      <c r="AK251" s="520">
        <f t="shared" si="17"/>
        <v>0</v>
      </c>
      <c r="AL251" s="695" t="s">
        <v>1668</v>
      </c>
      <c r="AM251" s="669">
        <f t="shared" si="18"/>
        <v>1.68</v>
      </c>
    </row>
    <row r="252" spans="1:39" s="500" customFormat="1" ht="13.5" hidden="1" thickBot="1">
      <c r="A252" s="554" t="s">
        <v>866</v>
      </c>
      <c r="B252" s="555" t="s">
        <v>1291</v>
      </c>
      <c r="C252" s="561"/>
      <c r="D252" s="519"/>
      <c r="E252" s="520"/>
      <c r="F252" s="520"/>
      <c r="G252" s="726"/>
      <c r="H252" s="520"/>
      <c r="I252" s="521"/>
      <c r="J252" s="521"/>
      <c r="K252" s="521"/>
      <c r="L252" s="514"/>
      <c r="M252" s="514"/>
      <c r="N252" s="756"/>
      <c r="O252" s="514"/>
      <c r="P252" s="514"/>
      <c r="Q252" s="514"/>
      <c r="R252" s="514"/>
      <c r="S252" s="514"/>
      <c r="T252" s="514"/>
      <c r="U252" s="756"/>
      <c r="V252" s="514"/>
      <c r="W252" s="514"/>
      <c r="X252" s="514"/>
      <c r="Y252" s="514"/>
      <c r="Z252" s="514"/>
      <c r="AA252" s="514"/>
      <c r="AB252" s="756"/>
      <c r="AC252" s="514"/>
      <c r="AD252" s="514"/>
      <c r="AE252" s="514"/>
      <c r="AF252" s="764"/>
      <c r="AG252" s="514"/>
      <c r="AH252" s="514"/>
      <c r="AI252" s="664">
        <f t="shared" si="19"/>
        <v>0</v>
      </c>
      <c r="AJ252" s="521">
        <v>0</v>
      </c>
      <c r="AK252" s="520">
        <f t="shared" si="17"/>
        <v>0</v>
      </c>
      <c r="AL252" s="695"/>
      <c r="AM252" s="669">
        <f t="shared" si="18"/>
        <v>0</v>
      </c>
    </row>
    <row r="253" spans="1:39" s="500" customFormat="1" ht="13.5" hidden="1" thickBot="1">
      <c r="A253" s="554" t="s">
        <v>867</v>
      </c>
      <c r="B253" s="555" t="s">
        <v>1292</v>
      </c>
      <c r="C253" s="561" t="s">
        <v>37</v>
      </c>
      <c r="D253" s="519"/>
      <c r="E253" s="520"/>
      <c r="F253" s="520"/>
      <c r="G253" s="726"/>
      <c r="H253" s="520"/>
      <c r="I253" s="521"/>
      <c r="J253" s="521"/>
      <c r="K253" s="521"/>
      <c r="L253" s="514"/>
      <c r="M253" s="514"/>
      <c r="N253" s="756"/>
      <c r="O253" s="514"/>
      <c r="P253" s="514"/>
      <c r="Q253" s="514"/>
      <c r="R253" s="514"/>
      <c r="S253" s="514"/>
      <c r="T253" s="514"/>
      <c r="U253" s="756"/>
      <c r="V253" s="514"/>
      <c r="W253" s="514"/>
      <c r="X253" s="514"/>
      <c r="Y253" s="514"/>
      <c r="Z253" s="514"/>
      <c r="AA253" s="514"/>
      <c r="AB253" s="756"/>
      <c r="AC253" s="514"/>
      <c r="AD253" s="514"/>
      <c r="AE253" s="514"/>
      <c r="AF253" s="764"/>
      <c r="AG253" s="514"/>
      <c r="AH253" s="514"/>
      <c r="AI253" s="664">
        <f t="shared" si="19"/>
        <v>0</v>
      </c>
      <c r="AJ253" s="521">
        <v>0</v>
      </c>
      <c r="AK253" s="520">
        <f t="shared" si="17"/>
        <v>0</v>
      </c>
      <c r="AL253" s="695" t="s">
        <v>1669</v>
      </c>
      <c r="AM253" s="669">
        <f t="shared" si="18"/>
        <v>9.24</v>
      </c>
    </row>
    <row r="254" spans="1:39" s="500" customFormat="1" ht="13.5" hidden="1" thickBot="1">
      <c r="A254" s="554" t="s">
        <v>868</v>
      </c>
      <c r="B254" s="555" t="s">
        <v>1266</v>
      </c>
      <c r="C254" s="561"/>
      <c r="D254" s="519"/>
      <c r="E254" s="520"/>
      <c r="F254" s="520"/>
      <c r="G254" s="726"/>
      <c r="H254" s="520"/>
      <c r="I254" s="521"/>
      <c r="J254" s="521"/>
      <c r="K254" s="521"/>
      <c r="L254" s="514"/>
      <c r="M254" s="514"/>
      <c r="N254" s="756"/>
      <c r="O254" s="514"/>
      <c r="P254" s="514"/>
      <c r="Q254" s="514"/>
      <c r="R254" s="514"/>
      <c r="S254" s="514"/>
      <c r="T254" s="514"/>
      <c r="U254" s="756"/>
      <c r="V254" s="514"/>
      <c r="W254" s="514"/>
      <c r="X254" s="514"/>
      <c r="Y254" s="514"/>
      <c r="Z254" s="514"/>
      <c r="AA254" s="514"/>
      <c r="AB254" s="756"/>
      <c r="AC254" s="514"/>
      <c r="AD254" s="514"/>
      <c r="AE254" s="514"/>
      <c r="AF254" s="764"/>
      <c r="AG254" s="514"/>
      <c r="AH254" s="514"/>
      <c r="AI254" s="664">
        <f t="shared" si="19"/>
        <v>0</v>
      </c>
      <c r="AJ254" s="521">
        <v>0</v>
      </c>
      <c r="AK254" s="520">
        <f t="shared" si="17"/>
        <v>0</v>
      </c>
      <c r="AL254" s="695"/>
      <c r="AM254" s="669">
        <f t="shared" si="18"/>
        <v>0</v>
      </c>
    </row>
    <row r="255" spans="1:39" s="500" customFormat="1" ht="13.5" hidden="1" thickBot="1">
      <c r="A255" s="554" t="s">
        <v>869</v>
      </c>
      <c r="B255" s="555" t="s">
        <v>1267</v>
      </c>
      <c r="C255" s="561" t="s">
        <v>1451</v>
      </c>
      <c r="D255" s="519"/>
      <c r="E255" s="520"/>
      <c r="F255" s="520"/>
      <c r="G255" s="726"/>
      <c r="H255" s="520"/>
      <c r="I255" s="521"/>
      <c r="J255" s="521"/>
      <c r="K255" s="521"/>
      <c r="L255" s="514"/>
      <c r="M255" s="514"/>
      <c r="N255" s="756"/>
      <c r="O255" s="514"/>
      <c r="P255" s="514"/>
      <c r="Q255" s="514"/>
      <c r="R255" s="514"/>
      <c r="S255" s="514"/>
      <c r="T255" s="514"/>
      <c r="U255" s="756"/>
      <c r="V255" s="514"/>
      <c r="W255" s="514"/>
      <c r="X255" s="514"/>
      <c r="Y255" s="514"/>
      <c r="Z255" s="514"/>
      <c r="AA255" s="514"/>
      <c r="AB255" s="756"/>
      <c r="AC255" s="514"/>
      <c r="AD255" s="514"/>
      <c r="AE255" s="514"/>
      <c r="AF255" s="764"/>
      <c r="AG255" s="514"/>
      <c r="AH255" s="514"/>
      <c r="AI255" s="664">
        <f t="shared" si="19"/>
        <v>0</v>
      </c>
      <c r="AJ255" s="521">
        <v>0</v>
      </c>
      <c r="AK255" s="520">
        <f t="shared" si="17"/>
        <v>0</v>
      </c>
      <c r="AL255" s="695" t="s">
        <v>1670</v>
      </c>
      <c r="AM255" s="669">
        <f t="shared" si="18"/>
        <v>20</v>
      </c>
    </row>
    <row r="256" spans="1:39" s="500" customFormat="1" ht="13.5" hidden="1" thickBot="1">
      <c r="A256" s="554" t="s">
        <v>870</v>
      </c>
      <c r="B256" s="555" t="s">
        <v>1268</v>
      </c>
      <c r="C256" s="561" t="s">
        <v>36</v>
      </c>
      <c r="D256" s="519"/>
      <c r="E256" s="520"/>
      <c r="F256" s="520"/>
      <c r="G256" s="726"/>
      <c r="H256" s="520"/>
      <c r="I256" s="521"/>
      <c r="J256" s="521"/>
      <c r="K256" s="521"/>
      <c r="L256" s="514"/>
      <c r="M256" s="514"/>
      <c r="N256" s="756"/>
      <c r="O256" s="514"/>
      <c r="P256" s="514"/>
      <c r="Q256" s="514"/>
      <c r="R256" s="514"/>
      <c r="S256" s="514"/>
      <c r="T256" s="514"/>
      <c r="U256" s="756"/>
      <c r="V256" s="514"/>
      <c r="W256" s="514"/>
      <c r="X256" s="514"/>
      <c r="Y256" s="514"/>
      <c r="Z256" s="514"/>
      <c r="AA256" s="514"/>
      <c r="AB256" s="756"/>
      <c r="AC256" s="514"/>
      <c r="AD256" s="514"/>
      <c r="AE256" s="514"/>
      <c r="AF256" s="764"/>
      <c r="AG256" s="514"/>
      <c r="AH256" s="514"/>
      <c r="AI256" s="664">
        <f t="shared" si="19"/>
        <v>0</v>
      </c>
      <c r="AJ256" s="521">
        <v>0</v>
      </c>
      <c r="AK256" s="520">
        <f t="shared" si="17"/>
        <v>0</v>
      </c>
      <c r="AL256" s="695" t="s">
        <v>1671</v>
      </c>
      <c r="AM256" s="669">
        <f t="shared" si="18"/>
        <v>4</v>
      </c>
    </row>
    <row r="257" spans="1:39" s="500" customFormat="1" ht="13.5" hidden="1" thickBot="1">
      <c r="A257" s="554" t="s">
        <v>871</v>
      </c>
      <c r="B257" s="555" t="s">
        <v>1293</v>
      </c>
      <c r="C257" s="561" t="s">
        <v>1451</v>
      </c>
      <c r="D257" s="519"/>
      <c r="E257" s="520"/>
      <c r="F257" s="520"/>
      <c r="G257" s="726"/>
      <c r="H257" s="520"/>
      <c r="I257" s="521"/>
      <c r="J257" s="521"/>
      <c r="K257" s="521"/>
      <c r="L257" s="514"/>
      <c r="M257" s="514"/>
      <c r="N257" s="756"/>
      <c r="O257" s="514"/>
      <c r="P257" s="514"/>
      <c r="Q257" s="514"/>
      <c r="R257" s="514"/>
      <c r="S257" s="514"/>
      <c r="T257" s="514"/>
      <c r="U257" s="756"/>
      <c r="V257" s="514"/>
      <c r="W257" s="514"/>
      <c r="X257" s="514"/>
      <c r="Y257" s="514"/>
      <c r="Z257" s="514"/>
      <c r="AA257" s="514"/>
      <c r="AB257" s="756"/>
      <c r="AC257" s="514"/>
      <c r="AD257" s="514"/>
      <c r="AE257" s="514"/>
      <c r="AF257" s="764"/>
      <c r="AG257" s="514"/>
      <c r="AH257" s="514"/>
      <c r="AI257" s="664">
        <f t="shared" si="19"/>
        <v>0</v>
      </c>
      <c r="AJ257" s="521">
        <v>0</v>
      </c>
      <c r="AK257" s="520">
        <f t="shared" si="17"/>
        <v>0</v>
      </c>
      <c r="AL257" s="695" t="s">
        <v>1671</v>
      </c>
      <c r="AM257" s="669">
        <f t="shared" si="18"/>
        <v>4</v>
      </c>
    </row>
    <row r="258" spans="1:39" s="500" customFormat="1" ht="13.5" hidden="1" thickBot="1">
      <c r="A258" s="554" t="s">
        <v>872</v>
      </c>
      <c r="B258" s="555" t="s">
        <v>1269</v>
      </c>
      <c r="C258" s="561"/>
      <c r="D258" s="519"/>
      <c r="E258" s="520"/>
      <c r="F258" s="520"/>
      <c r="G258" s="726"/>
      <c r="H258" s="520"/>
      <c r="I258" s="521"/>
      <c r="J258" s="521"/>
      <c r="K258" s="521"/>
      <c r="L258" s="514"/>
      <c r="M258" s="514"/>
      <c r="N258" s="756"/>
      <c r="O258" s="514"/>
      <c r="P258" s="514"/>
      <c r="Q258" s="514"/>
      <c r="R258" s="514"/>
      <c r="S258" s="514"/>
      <c r="T258" s="514"/>
      <c r="U258" s="756"/>
      <c r="V258" s="514"/>
      <c r="W258" s="514"/>
      <c r="X258" s="514"/>
      <c r="Y258" s="514"/>
      <c r="Z258" s="514"/>
      <c r="AA258" s="514"/>
      <c r="AB258" s="756"/>
      <c r="AC258" s="514"/>
      <c r="AD258" s="514"/>
      <c r="AE258" s="514"/>
      <c r="AF258" s="764"/>
      <c r="AG258" s="514"/>
      <c r="AH258" s="514"/>
      <c r="AI258" s="664">
        <f t="shared" si="19"/>
        <v>0</v>
      </c>
      <c r="AJ258" s="521">
        <v>0</v>
      </c>
      <c r="AK258" s="520">
        <f t="shared" si="17"/>
        <v>0</v>
      </c>
      <c r="AL258" s="695"/>
      <c r="AM258" s="669">
        <f t="shared" si="18"/>
        <v>0</v>
      </c>
    </row>
    <row r="259" spans="1:39" s="500" customFormat="1" ht="13.5" hidden="1" thickBot="1">
      <c r="A259" s="554" t="s">
        <v>873</v>
      </c>
      <c r="B259" s="555" t="s">
        <v>1270</v>
      </c>
      <c r="C259" s="561" t="s">
        <v>37</v>
      </c>
      <c r="D259" s="519"/>
      <c r="E259" s="520"/>
      <c r="F259" s="520"/>
      <c r="G259" s="726"/>
      <c r="H259" s="520"/>
      <c r="I259" s="521"/>
      <c r="J259" s="521"/>
      <c r="K259" s="521"/>
      <c r="L259" s="514"/>
      <c r="M259" s="514"/>
      <c r="N259" s="756"/>
      <c r="O259" s="514"/>
      <c r="P259" s="514"/>
      <c r="Q259" s="514"/>
      <c r="R259" s="514"/>
      <c r="S259" s="514"/>
      <c r="T259" s="514"/>
      <c r="U259" s="756"/>
      <c r="V259" s="514"/>
      <c r="W259" s="514"/>
      <c r="X259" s="514"/>
      <c r="Y259" s="514"/>
      <c r="Z259" s="514"/>
      <c r="AA259" s="514"/>
      <c r="AB259" s="756"/>
      <c r="AC259" s="514"/>
      <c r="AD259" s="514"/>
      <c r="AE259" s="514"/>
      <c r="AF259" s="764"/>
      <c r="AG259" s="514"/>
      <c r="AH259" s="514"/>
      <c r="AI259" s="664">
        <f t="shared" si="19"/>
        <v>0</v>
      </c>
      <c r="AJ259" s="521">
        <v>0</v>
      </c>
      <c r="AK259" s="520">
        <f t="shared" si="17"/>
        <v>0</v>
      </c>
      <c r="AL259" s="695" t="s">
        <v>1672</v>
      </c>
      <c r="AM259" s="669">
        <f t="shared" si="18"/>
        <v>18.09</v>
      </c>
    </row>
    <row r="260" spans="1:39" s="500" customFormat="1" ht="13.5" hidden="1" thickBot="1">
      <c r="A260" s="554" t="s">
        <v>874</v>
      </c>
      <c r="B260" s="555" t="s">
        <v>1271</v>
      </c>
      <c r="C260" s="561" t="s">
        <v>37</v>
      </c>
      <c r="D260" s="519"/>
      <c r="E260" s="520"/>
      <c r="F260" s="520"/>
      <c r="G260" s="726"/>
      <c r="H260" s="520"/>
      <c r="I260" s="521"/>
      <c r="J260" s="521"/>
      <c r="K260" s="521"/>
      <c r="L260" s="514"/>
      <c r="M260" s="514"/>
      <c r="N260" s="756"/>
      <c r="O260" s="514"/>
      <c r="P260" s="514"/>
      <c r="Q260" s="514"/>
      <c r="R260" s="514"/>
      <c r="S260" s="514"/>
      <c r="T260" s="514"/>
      <c r="U260" s="756"/>
      <c r="V260" s="514"/>
      <c r="W260" s="514"/>
      <c r="X260" s="514"/>
      <c r="Y260" s="514"/>
      <c r="Z260" s="514"/>
      <c r="AA260" s="514"/>
      <c r="AB260" s="756"/>
      <c r="AC260" s="514"/>
      <c r="AD260" s="514"/>
      <c r="AE260" s="514"/>
      <c r="AF260" s="764"/>
      <c r="AG260" s="514"/>
      <c r="AH260" s="514"/>
      <c r="AI260" s="664">
        <f t="shared" si="19"/>
        <v>0</v>
      </c>
      <c r="AJ260" s="521">
        <v>0</v>
      </c>
      <c r="AK260" s="520">
        <f t="shared" si="17"/>
        <v>0</v>
      </c>
      <c r="AL260" s="695" t="s">
        <v>1673</v>
      </c>
      <c r="AM260" s="669">
        <f t="shared" si="18"/>
        <v>1.75</v>
      </c>
    </row>
    <row r="261" spans="1:39" s="500" customFormat="1" ht="13.5" hidden="1" thickBot="1">
      <c r="A261" s="554" t="s">
        <v>875</v>
      </c>
      <c r="B261" s="555" t="s">
        <v>1272</v>
      </c>
      <c r="C261" s="561"/>
      <c r="D261" s="519"/>
      <c r="E261" s="520"/>
      <c r="F261" s="520"/>
      <c r="G261" s="726"/>
      <c r="H261" s="520"/>
      <c r="I261" s="521"/>
      <c r="J261" s="521"/>
      <c r="K261" s="521"/>
      <c r="L261" s="514"/>
      <c r="M261" s="514"/>
      <c r="N261" s="756"/>
      <c r="O261" s="514"/>
      <c r="P261" s="514"/>
      <c r="Q261" s="514"/>
      <c r="R261" s="514"/>
      <c r="S261" s="514"/>
      <c r="T261" s="514"/>
      <c r="U261" s="756"/>
      <c r="V261" s="514"/>
      <c r="W261" s="514"/>
      <c r="X261" s="514"/>
      <c r="Y261" s="514"/>
      <c r="Z261" s="514"/>
      <c r="AA261" s="514"/>
      <c r="AB261" s="756"/>
      <c r="AC261" s="514"/>
      <c r="AD261" s="514"/>
      <c r="AE261" s="514"/>
      <c r="AF261" s="764"/>
      <c r="AG261" s="514"/>
      <c r="AH261" s="514"/>
      <c r="AI261" s="664">
        <f t="shared" si="19"/>
        <v>0</v>
      </c>
      <c r="AJ261" s="521">
        <v>0</v>
      </c>
      <c r="AK261" s="520">
        <f t="shared" si="17"/>
        <v>0</v>
      </c>
      <c r="AL261" s="695"/>
      <c r="AM261" s="669">
        <f t="shared" si="18"/>
        <v>0</v>
      </c>
    </row>
    <row r="262" spans="1:39" s="500" customFormat="1" ht="13.5" hidden="1" thickBot="1">
      <c r="A262" s="554" t="s">
        <v>876</v>
      </c>
      <c r="B262" s="555" t="s">
        <v>1273</v>
      </c>
      <c r="C262" s="561" t="s">
        <v>37</v>
      </c>
      <c r="D262" s="519"/>
      <c r="E262" s="520"/>
      <c r="F262" s="520"/>
      <c r="G262" s="726"/>
      <c r="H262" s="520"/>
      <c r="I262" s="521"/>
      <c r="J262" s="521"/>
      <c r="K262" s="521"/>
      <c r="L262" s="514"/>
      <c r="M262" s="514"/>
      <c r="N262" s="756"/>
      <c r="O262" s="514"/>
      <c r="P262" s="514"/>
      <c r="Q262" s="514"/>
      <c r="R262" s="514"/>
      <c r="S262" s="514"/>
      <c r="T262" s="514"/>
      <c r="U262" s="756"/>
      <c r="V262" s="514"/>
      <c r="W262" s="514"/>
      <c r="X262" s="514"/>
      <c r="Y262" s="514"/>
      <c r="Z262" s="514"/>
      <c r="AA262" s="514"/>
      <c r="AB262" s="756"/>
      <c r="AC262" s="514"/>
      <c r="AD262" s="514"/>
      <c r="AE262" s="514"/>
      <c r="AF262" s="764"/>
      <c r="AG262" s="514"/>
      <c r="AH262" s="514"/>
      <c r="AI262" s="664">
        <f t="shared" si="19"/>
        <v>0</v>
      </c>
      <c r="AJ262" s="521">
        <v>0</v>
      </c>
      <c r="AK262" s="520">
        <f t="shared" si="17"/>
        <v>0</v>
      </c>
      <c r="AL262" s="695" t="s">
        <v>1655</v>
      </c>
      <c r="AM262" s="669">
        <f t="shared" si="18"/>
        <v>65.92</v>
      </c>
    </row>
    <row r="263" spans="1:39" s="500" customFormat="1" ht="13.5" hidden="1" thickBot="1">
      <c r="A263" s="554" t="s">
        <v>877</v>
      </c>
      <c r="B263" s="555" t="s">
        <v>1274</v>
      </c>
      <c r="C263" s="561" t="s">
        <v>37</v>
      </c>
      <c r="D263" s="519"/>
      <c r="E263" s="520"/>
      <c r="F263" s="520"/>
      <c r="G263" s="726"/>
      <c r="H263" s="520"/>
      <c r="I263" s="521"/>
      <c r="J263" s="521"/>
      <c r="K263" s="521"/>
      <c r="L263" s="514"/>
      <c r="M263" s="514"/>
      <c r="N263" s="756"/>
      <c r="O263" s="514"/>
      <c r="P263" s="514"/>
      <c r="Q263" s="514"/>
      <c r="R263" s="514"/>
      <c r="S263" s="514"/>
      <c r="T263" s="514"/>
      <c r="U263" s="756"/>
      <c r="V263" s="514"/>
      <c r="W263" s="514"/>
      <c r="X263" s="514"/>
      <c r="Y263" s="514"/>
      <c r="Z263" s="514"/>
      <c r="AA263" s="514"/>
      <c r="AB263" s="756"/>
      <c r="AC263" s="514"/>
      <c r="AD263" s="514"/>
      <c r="AE263" s="514"/>
      <c r="AF263" s="764"/>
      <c r="AG263" s="514"/>
      <c r="AH263" s="514"/>
      <c r="AI263" s="664">
        <f t="shared" si="19"/>
        <v>0</v>
      </c>
      <c r="AJ263" s="521">
        <v>0</v>
      </c>
      <c r="AK263" s="520">
        <f t="shared" si="17"/>
        <v>0</v>
      </c>
      <c r="AL263" s="695" t="s">
        <v>1648</v>
      </c>
      <c r="AM263" s="669">
        <f t="shared" si="18"/>
        <v>99.99</v>
      </c>
    </row>
    <row r="264" spans="1:39" s="500" customFormat="1" ht="13.5" hidden="1" thickBot="1">
      <c r="A264" s="554" t="s">
        <v>878</v>
      </c>
      <c r="B264" s="555" t="s">
        <v>1275</v>
      </c>
      <c r="C264" s="561" t="s">
        <v>37</v>
      </c>
      <c r="D264" s="519"/>
      <c r="E264" s="520"/>
      <c r="F264" s="520"/>
      <c r="G264" s="726"/>
      <c r="H264" s="520"/>
      <c r="I264" s="521"/>
      <c r="J264" s="521"/>
      <c r="K264" s="521"/>
      <c r="L264" s="514"/>
      <c r="M264" s="514"/>
      <c r="N264" s="756"/>
      <c r="O264" s="514"/>
      <c r="P264" s="514"/>
      <c r="Q264" s="514"/>
      <c r="R264" s="514"/>
      <c r="S264" s="514"/>
      <c r="T264" s="514"/>
      <c r="U264" s="756"/>
      <c r="V264" s="514"/>
      <c r="W264" s="514"/>
      <c r="X264" s="514"/>
      <c r="Y264" s="514"/>
      <c r="Z264" s="514"/>
      <c r="AA264" s="514"/>
      <c r="AB264" s="756"/>
      <c r="AC264" s="514"/>
      <c r="AD264" s="514"/>
      <c r="AE264" s="514"/>
      <c r="AF264" s="764"/>
      <c r="AG264" s="514"/>
      <c r="AH264" s="514"/>
      <c r="AI264" s="664">
        <f t="shared" si="19"/>
        <v>0</v>
      </c>
      <c r="AJ264" s="521">
        <v>0</v>
      </c>
      <c r="AK264" s="520">
        <f t="shared" si="17"/>
        <v>0</v>
      </c>
      <c r="AL264" s="695" t="s">
        <v>1649</v>
      </c>
      <c r="AM264" s="669">
        <f t="shared" si="18"/>
        <v>60.07</v>
      </c>
    </row>
    <row r="265" spans="1:39" s="500" customFormat="1" ht="13.5" hidden="1" thickBot="1">
      <c r="A265" s="554" t="s">
        <v>879</v>
      </c>
      <c r="B265" s="555" t="s">
        <v>1276</v>
      </c>
      <c r="C265" s="561" t="s">
        <v>37</v>
      </c>
      <c r="D265" s="519"/>
      <c r="E265" s="520"/>
      <c r="F265" s="520"/>
      <c r="G265" s="726"/>
      <c r="H265" s="520"/>
      <c r="I265" s="521"/>
      <c r="J265" s="521"/>
      <c r="K265" s="521"/>
      <c r="L265" s="514"/>
      <c r="M265" s="514"/>
      <c r="N265" s="756"/>
      <c r="O265" s="514"/>
      <c r="P265" s="514"/>
      <c r="Q265" s="514"/>
      <c r="R265" s="514"/>
      <c r="S265" s="514"/>
      <c r="T265" s="514"/>
      <c r="U265" s="756"/>
      <c r="V265" s="514"/>
      <c r="W265" s="514"/>
      <c r="X265" s="514"/>
      <c r="Y265" s="514"/>
      <c r="Z265" s="514"/>
      <c r="AA265" s="514"/>
      <c r="AB265" s="756"/>
      <c r="AC265" s="514"/>
      <c r="AD265" s="514"/>
      <c r="AE265" s="514"/>
      <c r="AF265" s="764"/>
      <c r="AG265" s="514"/>
      <c r="AH265" s="514"/>
      <c r="AI265" s="664">
        <f t="shared" si="19"/>
        <v>0</v>
      </c>
      <c r="AJ265" s="521">
        <v>0</v>
      </c>
      <c r="AK265" s="520">
        <f t="shared" si="17"/>
        <v>0</v>
      </c>
      <c r="AL265" s="695" t="s">
        <v>1650</v>
      </c>
      <c r="AM265" s="669">
        <f t="shared" si="18"/>
        <v>33.6</v>
      </c>
    </row>
    <row r="266" spans="1:39" s="500" customFormat="1" ht="13.5" hidden="1" thickBot="1">
      <c r="A266" s="554" t="s">
        <v>880</v>
      </c>
      <c r="B266" s="555" t="s">
        <v>1277</v>
      </c>
      <c r="C266" s="561" t="s">
        <v>37</v>
      </c>
      <c r="D266" s="519"/>
      <c r="E266" s="520"/>
      <c r="F266" s="520"/>
      <c r="G266" s="726"/>
      <c r="H266" s="520"/>
      <c r="I266" s="521"/>
      <c r="J266" s="521"/>
      <c r="K266" s="521"/>
      <c r="L266" s="514"/>
      <c r="M266" s="514"/>
      <c r="N266" s="756"/>
      <c r="O266" s="514"/>
      <c r="P266" s="514"/>
      <c r="Q266" s="514"/>
      <c r="R266" s="514"/>
      <c r="S266" s="514"/>
      <c r="T266" s="514"/>
      <c r="U266" s="756"/>
      <c r="V266" s="514"/>
      <c r="W266" s="514"/>
      <c r="X266" s="514"/>
      <c r="Y266" s="514"/>
      <c r="Z266" s="514"/>
      <c r="AA266" s="514"/>
      <c r="AB266" s="756"/>
      <c r="AC266" s="514"/>
      <c r="AD266" s="514"/>
      <c r="AE266" s="514"/>
      <c r="AF266" s="764"/>
      <c r="AG266" s="514"/>
      <c r="AH266" s="514"/>
      <c r="AI266" s="664">
        <f t="shared" si="19"/>
        <v>0</v>
      </c>
      <c r="AJ266" s="521">
        <v>0</v>
      </c>
      <c r="AK266" s="520">
        <f t="shared" si="17"/>
        <v>0</v>
      </c>
      <c r="AL266" s="695" t="s">
        <v>1651</v>
      </c>
      <c r="AM266" s="669">
        <f t="shared" si="18"/>
        <v>27.42</v>
      </c>
    </row>
    <row r="267" spans="1:39" s="500" customFormat="1" ht="13.5" hidden="1" thickBot="1">
      <c r="A267" s="554" t="s">
        <v>881</v>
      </c>
      <c r="B267" s="555" t="s">
        <v>1278</v>
      </c>
      <c r="C267" s="561" t="s">
        <v>37</v>
      </c>
      <c r="D267" s="519"/>
      <c r="E267" s="520"/>
      <c r="F267" s="520"/>
      <c r="G267" s="726"/>
      <c r="H267" s="520"/>
      <c r="I267" s="521"/>
      <c r="J267" s="521"/>
      <c r="K267" s="521"/>
      <c r="L267" s="514"/>
      <c r="M267" s="514"/>
      <c r="N267" s="756"/>
      <c r="O267" s="514"/>
      <c r="P267" s="514"/>
      <c r="Q267" s="514"/>
      <c r="R267" s="514"/>
      <c r="S267" s="514"/>
      <c r="T267" s="514"/>
      <c r="U267" s="756"/>
      <c r="V267" s="514"/>
      <c r="W267" s="514"/>
      <c r="X267" s="514"/>
      <c r="Y267" s="514"/>
      <c r="Z267" s="514"/>
      <c r="AA267" s="514"/>
      <c r="AB267" s="756"/>
      <c r="AC267" s="514"/>
      <c r="AD267" s="514"/>
      <c r="AE267" s="514"/>
      <c r="AF267" s="764"/>
      <c r="AG267" s="514"/>
      <c r="AH267" s="514"/>
      <c r="AI267" s="664">
        <f t="shared" si="19"/>
        <v>0</v>
      </c>
      <c r="AJ267" s="521">
        <v>0</v>
      </c>
      <c r="AK267" s="520">
        <f t="shared" si="17"/>
        <v>0</v>
      </c>
      <c r="AL267" s="695" t="s">
        <v>1635</v>
      </c>
      <c r="AM267" s="669">
        <f t="shared" si="18"/>
        <v>15.8</v>
      </c>
    </row>
    <row r="268" spans="1:39" s="500" customFormat="1" ht="13.5" hidden="1" thickBot="1">
      <c r="A268" s="554" t="s">
        <v>882</v>
      </c>
      <c r="B268" s="555" t="s">
        <v>1279</v>
      </c>
      <c r="C268" s="561" t="s">
        <v>37</v>
      </c>
      <c r="D268" s="519"/>
      <c r="E268" s="520"/>
      <c r="F268" s="520"/>
      <c r="G268" s="726"/>
      <c r="H268" s="520"/>
      <c r="I268" s="521"/>
      <c r="J268" s="521"/>
      <c r="K268" s="521"/>
      <c r="L268" s="514"/>
      <c r="M268" s="514"/>
      <c r="N268" s="756"/>
      <c r="O268" s="514"/>
      <c r="P268" s="514"/>
      <c r="Q268" s="514"/>
      <c r="R268" s="514"/>
      <c r="S268" s="514"/>
      <c r="T268" s="514"/>
      <c r="U268" s="756"/>
      <c r="V268" s="514"/>
      <c r="W268" s="514"/>
      <c r="X268" s="514"/>
      <c r="Y268" s="514"/>
      <c r="Z268" s="514"/>
      <c r="AA268" s="514"/>
      <c r="AB268" s="756"/>
      <c r="AC268" s="514"/>
      <c r="AD268" s="514"/>
      <c r="AE268" s="514"/>
      <c r="AF268" s="764"/>
      <c r="AG268" s="514"/>
      <c r="AH268" s="514"/>
      <c r="AI268" s="664">
        <f t="shared" si="19"/>
        <v>0</v>
      </c>
      <c r="AJ268" s="521">
        <v>0</v>
      </c>
      <c r="AK268" s="520">
        <f t="shared" si="17"/>
        <v>0</v>
      </c>
      <c r="AL268" s="695" t="s">
        <v>1674</v>
      </c>
      <c r="AM268" s="669">
        <f t="shared" si="18"/>
        <v>14.7</v>
      </c>
    </row>
    <row r="269" spans="1:39" s="500" customFormat="1" ht="13.5" hidden="1" thickBot="1">
      <c r="A269" s="554" t="s">
        <v>883</v>
      </c>
      <c r="B269" s="555" t="s">
        <v>1280</v>
      </c>
      <c r="C269" s="561"/>
      <c r="D269" s="519"/>
      <c r="E269" s="520"/>
      <c r="F269" s="520"/>
      <c r="G269" s="726"/>
      <c r="H269" s="520"/>
      <c r="I269" s="521"/>
      <c r="J269" s="521"/>
      <c r="K269" s="521"/>
      <c r="L269" s="514"/>
      <c r="M269" s="514"/>
      <c r="N269" s="756"/>
      <c r="O269" s="514"/>
      <c r="P269" s="514"/>
      <c r="Q269" s="514"/>
      <c r="R269" s="514"/>
      <c r="S269" s="514"/>
      <c r="T269" s="514"/>
      <c r="U269" s="756"/>
      <c r="V269" s="514"/>
      <c r="W269" s="514"/>
      <c r="X269" s="514"/>
      <c r="Y269" s="514"/>
      <c r="Z269" s="514"/>
      <c r="AA269" s="514"/>
      <c r="AB269" s="756"/>
      <c r="AC269" s="514"/>
      <c r="AD269" s="514"/>
      <c r="AE269" s="514"/>
      <c r="AF269" s="764"/>
      <c r="AG269" s="514"/>
      <c r="AH269" s="514"/>
      <c r="AI269" s="664">
        <f t="shared" si="19"/>
        <v>0</v>
      </c>
      <c r="AJ269" s="521">
        <v>0</v>
      </c>
      <c r="AK269" s="520">
        <f t="shared" si="17"/>
        <v>0</v>
      </c>
      <c r="AL269" s="695"/>
      <c r="AM269" s="669">
        <f t="shared" si="18"/>
        <v>0</v>
      </c>
    </row>
    <row r="270" spans="1:39" s="500" customFormat="1" ht="13.5" hidden="1" thickBot="1">
      <c r="A270" s="554" t="s">
        <v>884</v>
      </c>
      <c r="B270" s="555" t="s">
        <v>1281</v>
      </c>
      <c r="C270" s="561" t="s">
        <v>1450</v>
      </c>
      <c r="D270" s="519"/>
      <c r="E270" s="520"/>
      <c r="F270" s="520"/>
      <c r="G270" s="726"/>
      <c r="H270" s="520"/>
      <c r="I270" s="521"/>
      <c r="J270" s="521"/>
      <c r="K270" s="521"/>
      <c r="L270" s="514"/>
      <c r="M270" s="514"/>
      <c r="N270" s="756"/>
      <c r="O270" s="514"/>
      <c r="P270" s="514"/>
      <c r="Q270" s="514"/>
      <c r="R270" s="514"/>
      <c r="S270" s="514"/>
      <c r="T270" s="514"/>
      <c r="U270" s="756"/>
      <c r="V270" s="514"/>
      <c r="W270" s="514"/>
      <c r="X270" s="514"/>
      <c r="Y270" s="514"/>
      <c r="Z270" s="514"/>
      <c r="AA270" s="514"/>
      <c r="AB270" s="756"/>
      <c r="AC270" s="514"/>
      <c r="AD270" s="514"/>
      <c r="AE270" s="514"/>
      <c r="AF270" s="764"/>
      <c r="AG270" s="514"/>
      <c r="AH270" s="514"/>
      <c r="AI270" s="664">
        <f t="shared" si="19"/>
        <v>0</v>
      </c>
      <c r="AJ270" s="521">
        <v>0</v>
      </c>
      <c r="AK270" s="520">
        <f t="shared" si="17"/>
        <v>0</v>
      </c>
      <c r="AL270" s="695" t="s">
        <v>1675</v>
      </c>
      <c r="AM270" s="669">
        <f t="shared" si="18"/>
        <v>8</v>
      </c>
    </row>
    <row r="271" spans="1:39" s="500" customFormat="1" ht="13.5" hidden="1" thickBot="1">
      <c r="A271" s="554" t="s">
        <v>885</v>
      </c>
      <c r="B271" s="555" t="s">
        <v>1282</v>
      </c>
      <c r="C271" s="561" t="s">
        <v>64</v>
      </c>
      <c r="D271" s="519"/>
      <c r="E271" s="520"/>
      <c r="F271" s="520"/>
      <c r="G271" s="726"/>
      <c r="H271" s="520"/>
      <c r="I271" s="521"/>
      <c r="J271" s="521"/>
      <c r="K271" s="521"/>
      <c r="L271" s="514"/>
      <c r="M271" s="514"/>
      <c r="N271" s="756"/>
      <c r="O271" s="514"/>
      <c r="P271" s="514"/>
      <c r="Q271" s="514"/>
      <c r="R271" s="514"/>
      <c r="S271" s="514"/>
      <c r="T271" s="514"/>
      <c r="U271" s="756"/>
      <c r="V271" s="514"/>
      <c r="W271" s="514"/>
      <c r="X271" s="514"/>
      <c r="Y271" s="514"/>
      <c r="Z271" s="514"/>
      <c r="AA271" s="514"/>
      <c r="AB271" s="756"/>
      <c r="AC271" s="514"/>
      <c r="AD271" s="514"/>
      <c r="AE271" s="514"/>
      <c r="AF271" s="764"/>
      <c r="AG271" s="514"/>
      <c r="AH271" s="514"/>
      <c r="AI271" s="664">
        <f t="shared" si="19"/>
        <v>0</v>
      </c>
      <c r="AJ271" s="521">
        <v>0</v>
      </c>
      <c r="AK271" s="520">
        <f t="shared" si="17"/>
        <v>0</v>
      </c>
      <c r="AL271" s="695" t="s">
        <v>1455</v>
      </c>
      <c r="AM271" s="669">
        <f t="shared" si="18"/>
        <v>1</v>
      </c>
    </row>
    <row r="272" spans="1:39" s="500" customFormat="1" ht="13.5" hidden="1" thickBot="1">
      <c r="A272" s="554" t="s">
        <v>886</v>
      </c>
      <c r="B272" s="555" t="s">
        <v>1283</v>
      </c>
      <c r="C272" s="561" t="s">
        <v>37</v>
      </c>
      <c r="D272" s="519"/>
      <c r="E272" s="520"/>
      <c r="F272" s="520"/>
      <c r="G272" s="726"/>
      <c r="H272" s="520"/>
      <c r="I272" s="521"/>
      <c r="J272" s="521"/>
      <c r="K272" s="521"/>
      <c r="L272" s="514"/>
      <c r="M272" s="514"/>
      <c r="N272" s="756"/>
      <c r="O272" s="514"/>
      <c r="P272" s="514"/>
      <c r="Q272" s="514"/>
      <c r="R272" s="514"/>
      <c r="S272" s="514"/>
      <c r="T272" s="514"/>
      <c r="U272" s="756"/>
      <c r="V272" s="514"/>
      <c r="W272" s="514"/>
      <c r="X272" s="514"/>
      <c r="Y272" s="514"/>
      <c r="Z272" s="514"/>
      <c r="AA272" s="514"/>
      <c r="AB272" s="756"/>
      <c r="AC272" s="514"/>
      <c r="AD272" s="514"/>
      <c r="AE272" s="514"/>
      <c r="AF272" s="764"/>
      <c r="AG272" s="514"/>
      <c r="AH272" s="514"/>
      <c r="AI272" s="664">
        <f t="shared" si="19"/>
        <v>0</v>
      </c>
      <c r="AJ272" s="521">
        <v>0</v>
      </c>
      <c r="AK272" s="520">
        <f t="shared" si="17"/>
        <v>0</v>
      </c>
      <c r="AL272" s="695" t="s">
        <v>1676</v>
      </c>
      <c r="AM272" s="669">
        <f t="shared" si="18"/>
        <v>19.84</v>
      </c>
    </row>
    <row r="273" spans="1:39" s="500" customFormat="1" ht="13.5" hidden="1" thickBot="1">
      <c r="A273" s="554" t="s">
        <v>484</v>
      </c>
      <c r="B273" s="555" t="s">
        <v>1155</v>
      </c>
      <c r="C273" s="561"/>
      <c r="D273" s="519"/>
      <c r="E273" s="520"/>
      <c r="F273" s="520"/>
      <c r="G273" s="726"/>
      <c r="H273" s="520"/>
      <c r="I273" s="521"/>
      <c r="J273" s="521"/>
      <c r="K273" s="521"/>
      <c r="L273" s="514"/>
      <c r="M273" s="514"/>
      <c r="N273" s="756"/>
      <c r="O273" s="514"/>
      <c r="P273" s="514"/>
      <c r="Q273" s="514"/>
      <c r="R273" s="514"/>
      <c r="S273" s="514"/>
      <c r="T273" s="514"/>
      <c r="U273" s="756"/>
      <c r="V273" s="514"/>
      <c r="W273" s="514"/>
      <c r="X273" s="514"/>
      <c r="Y273" s="514"/>
      <c r="Z273" s="514"/>
      <c r="AA273" s="514"/>
      <c r="AB273" s="756"/>
      <c r="AC273" s="514"/>
      <c r="AD273" s="514"/>
      <c r="AE273" s="514"/>
      <c r="AF273" s="764"/>
      <c r="AG273" s="514"/>
      <c r="AH273" s="514"/>
      <c r="AI273" s="664">
        <f t="shared" si="19"/>
        <v>0</v>
      </c>
      <c r="AJ273" s="521">
        <v>0</v>
      </c>
      <c r="AK273" s="520">
        <f t="shared" si="17"/>
        <v>0</v>
      </c>
      <c r="AL273" s="695"/>
      <c r="AM273" s="669">
        <f t="shared" si="18"/>
        <v>0</v>
      </c>
    </row>
    <row r="274" spans="1:39" s="500" customFormat="1" ht="13.5" hidden="1" thickBot="1">
      <c r="A274" s="554" t="s">
        <v>485</v>
      </c>
      <c r="B274" s="555" t="s">
        <v>1236</v>
      </c>
      <c r="C274" s="561"/>
      <c r="D274" s="519"/>
      <c r="E274" s="520"/>
      <c r="F274" s="520"/>
      <c r="G274" s="726"/>
      <c r="H274" s="520"/>
      <c r="I274" s="521"/>
      <c r="J274" s="521"/>
      <c r="K274" s="521"/>
      <c r="L274" s="514"/>
      <c r="M274" s="514"/>
      <c r="N274" s="756"/>
      <c r="O274" s="514"/>
      <c r="P274" s="514"/>
      <c r="Q274" s="514"/>
      <c r="R274" s="514"/>
      <c r="S274" s="514"/>
      <c r="T274" s="514"/>
      <c r="U274" s="756"/>
      <c r="V274" s="514"/>
      <c r="W274" s="514"/>
      <c r="X274" s="514"/>
      <c r="Y274" s="514"/>
      <c r="Z274" s="514"/>
      <c r="AA274" s="514"/>
      <c r="AB274" s="756"/>
      <c r="AC274" s="514"/>
      <c r="AD274" s="514"/>
      <c r="AE274" s="514"/>
      <c r="AF274" s="764"/>
      <c r="AG274" s="514"/>
      <c r="AH274" s="514"/>
      <c r="AI274" s="664">
        <f t="shared" si="19"/>
        <v>0</v>
      </c>
      <c r="AJ274" s="521">
        <v>0</v>
      </c>
      <c r="AK274" s="520">
        <f t="shared" si="17"/>
        <v>0</v>
      </c>
      <c r="AL274" s="695"/>
      <c r="AM274" s="669">
        <f t="shared" si="18"/>
        <v>0</v>
      </c>
    </row>
    <row r="275" spans="1:39" s="500" customFormat="1" ht="13.5" hidden="1" thickBot="1">
      <c r="A275" s="554" t="s">
        <v>887</v>
      </c>
      <c r="B275" s="555" t="s">
        <v>1237</v>
      </c>
      <c r="C275" s="561" t="s">
        <v>37</v>
      </c>
      <c r="D275" s="519"/>
      <c r="E275" s="520"/>
      <c r="F275" s="520"/>
      <c r="G275" s="726"/>
      <c r="H275" s="520"/>
      <c r="I275" s="521"/>
      <c r="J275" s="521"/>
      <c r="K275" s="521"/>
      <c r="L275" s="514"/>
      <c r="M275" s="514"/>
      <c r="N275" s="756"/>
      <c r="O275" s="514"/>
      <c r="P275" s="514"/>
      <c r="Q275" s="514"/>
      <c r="R275" s="514"/>
      <c r="S275" s="514"/>
      <c r="T275" s="514"/>
      <c r="U275" s="756"/>
      <c r="V275" s="514"/>
      <c r="W275" s="514"/>
      <c r="X275" s="514"/>
      <c r="Y275" s="514"/>
      <c r="Z275" s="514"/>
      <c r="AA275" s="514"/>
      <c r="AB275" s="756"/>
      <c r="AC275" s="514"/>
      <c r="AD275" s="514"/>
      <c r="AE275" s="514"/>
      <c r="AF275" s="764"/>
      <c r="AG275" s="514"/>
      <c r="AH275" s="514"/>
      <c r="AI275" s="664">
        <f t="shared" si="19"/>
        <v>0</v>
      </c>
      <c r="AJ275" s="521">
        <v>0</v>
      </c>
      <c r="AK275" s="520">
        <f t="shared" si="17"/>
        <v>0</v>
      </c>
      <c r="AL275" s="695" t="s">
        <v>1677</v>
      </c>
      <c r="AM275" s="669">
        <f t="shared" si="18"/>
        <v>45.75</v>
      </c>
    </row>
    <row r="276" spans="1:39" s="500" customFormat="1" ht="13.5" hidden="1" thickBot="1">
      <c r="A276" s="554" t="s">
        <v>888</v>
      </c>
      <c r="B276" s="555" t="s">
        <v>1238</v>
      </c>
      <c r="C276" s="561" t="s">
        <v>37</v>
      </c>
      <c r="D276" s="519"/>
      <c r="E276" s="520"/>
      <c r="F276" s="520"/>
      <c r="G276" s="726"/>
      <c r="H276" s="520"/>
      <c r="I276" s="521"/>
      <c r="J276" s="521"/>
      <c r="K276" s="521"/>
      <c r="L276" s="514"/>
      <c r="M276" s="514"/>
      <c r="N276" s="756"/>
      <c r="O276" s="514"/>
      <c r="P276" s="514"/>
      <c r="Q276" s="514"/>
      <c r="R276" s="514"/>
      <c r="S276" s="514"/>
      <c r="T276" s="514"/>
      <c r="U276" s="756"/>
      <c r="V276" s="514"/>
      <c r="W276" s="514"/>
      <c r="X276" s="514"/>
      <c r="Y276" s="514"/>
      <c r="Z276" s="514"/>
      <c r="AA276" s="514"/>
      <c r="AB276" s="756"/>
      <c r="AC276" s="514"/>
      <c r="AD276" s="514"/>
      <c r="AE276" s="514"/>
      <c r="AF276" s="764"/>
      <c r="AG276" s="514"/>
      <c r="AH276" s="514"/>
      <c r="AI276" s="664">
        <f t="shared" si="19"/>
        <v>0</v>
      </c>
      <c r="AJ276" s="521">
        <v>0</v>
      </c>
      <c r="AK276" s="520">
        <f t="shared" si="17"/>
        <v>0</v>
      </c>
      <c r="AL276" s="695" t="s">
        <v>1678</v>
      </c>
      <c r="AM276" s="669">
        <f t="shared" si="18"/>
        <v>18.920000000000002</v>
      </c>
    </row>
    <row r="277" spans="1:39" s="500" customFormat="1" ht="13.5" hidden="1" thickBot="1">
      <c r="A277" s="554" t="s">
        <v>486</v>
      </c>
      <c r="B277" s="555" t="s">
        <v>1239</v>
      </c>
      <c r="C277" s="561"/>
      <c r="D277" s="519"/>
      <c r="E277" s="520"/>
      <c r="F277" s="520"/>
      <c r="G277" s="726"/>
      <c r="H277" s="520"/>
      <c r="I277" s="521"/>
      <c r="J277" s="521"/>
      <c r="K277" s="521"/>
      <c r="L277" s="514"/>
      <c r="M277" s="514"/>
      <c r="N277" s="756"/>
      <c r="O277" s="514"/>
      <c r="P277" s="514"/>
      <c r="Q277" s="514"/>
      <c r="R277" s="514"/>
      <c r="S277" s="514"/>
      <c r="T277" s="514"/>
      <c r="U277" s="756"/>
      <c r="V277" s="514"/>
      <c r="W277" s="514"/>
      <c r="X277" s="514"/>
      <c r="Y277" s="514"/>
      <c r="Z277" s="514"/>
      <c r="AA277" s="514"/>
      <c r="AB277" s="756"/>
      <c r="AC277" s="514"/>
      <c r="AD277" s="514"/>
      <c r="AE277" s="514"/>
      <c r="AF277" s="764"/>
      <c r="AG277" s="514"/>
      <c r="AH277" s="514"/>
      <c r="AI277" s="664">
        <f t="shared" si="19"/>
        <v>0</v>
      </c>
      <c r="AJ277" s="521">
        <v>0</v>
      </c>
      <c r="AK277" s="520">
        <f t="shared" si="17"/>
        <v>0</v>
      </c>
      <c r="AL277" s="695"/>
      <c r="AM277" s="669">
        <f t="shared" si="18"/>
        <v>0</v>
      </c>
    </row>
    <row r="278" spans="1:39" s="500" customFormat="1" ht="13.5" hidden="1" thickBot="1">
      <c r="A278" s="554" t="s">
        <v>889</v>
      </c>
      <c r="B278" s="555" t="s">
        <v>1240</v>
      </c>
      <c r="C278" s="561" t="s">
        <v>37</v>
      </c>
      <c r="D278" s="519"/>
      <c r="E278" s="520"/>
      <c r="F278" s="520"/>
      <c r="G278" s="726"/>
      <c r="H278" s="520"/>
      <c r="I278" s="521"/>
      <c r="J278" s="521"/>
      <c r="K278" s="521"/>
      <c r="L278" s="514"/>
      <c r="M278" s="514"/>
      <c r="N278" s="756"/>
      <c r="O278" s="514"/>
      <c r="P278" s="514"/>
      <c r="Q278" s="514"/>
      <c r="R278" s="514"/>
      <c r="S278" s="514"/>
      <c r="T278" s="514"/>
      <c r="U278" s="756"/>
      <c r="V278" s="514"/>
      <c r="W278" s="514"/>
      <c r="X278" s="514"/>
      <c r="Y278" s="514"/>
      <c r="Z278" s="514"/>
      <c r="AA278" s="514"/>
      <c r="AB278" s="756"/>
      <c r="AC278" s="514"/>
      <c r="AD278" s="514"/>
      <c r="AE278" s="514"/>
      <c r="AF278" s="764"/>
      <c r="AG278" s="514"/>
      <c r="AH278" s="514"/>
      <c r="AI278" s="664">
        <f t="shared" si="19"/>
        <v>0</v>
      </c>
      <c r="AJ278" s="521">
        <v>0</v>
      </c>
      <c r="AK278" s="520">
        <f t="shared" ref="AK278:AK341" si="20">AI278+AJ278</f>
        <v>0</v>
      </c>
      <c r="AL278" s="695" t="s">
        <v>1679</v>
      </c>
      <c r="AM278" s="669">
        <f t="shared" ref="AM278:AM341" si="21">AL278-AK278</f>
        <v>83.58</v>
      </c>
    </row>
    <row r="279" spans="1:39" s="500" customFormat="1" ht="13.5" hidden="1" thickBot="1">
      <c r="A279" s="554" t="s">
        <v>890</v>
      </c>
      <c r="B279" s="555" t="s">
        <v>1241</v>
      </c>
      <c r="C279" s="561" t="s">
        <v>37</v>
      </c>
      <c r="D279" s="519"/>
      <c r="E279" s="520"/>
      <c r="F279" s="520"/>
      <c r="G279" s="726"/>
      <c r="H279" s="520"/>
      <c r="I279" s="521"/>
      <c r="J279" s="521"/>
      <c r="K279" s="521"/>
      <c r="L279" s="514"/>
      <c r="M279" s="514"/>
      <c r="N279" s="756"/>
      <c r="O279" s="514"/>
      <c r="P279" s="514"/>
      <c r="Q279" s="514"/>
      <c r="R279" s="514"/>
      <c r="S279" s="514"/>
      <c r="T279" s="514"/>
      <c r="U279" s="756"/>
      <c r="V279" s="514"/>
      <c r="W279" s="514"/>
      <c r="X279" s="514"/>
      <c r="Y279" s="514"/>
      <c r="Z279" s="514"/>
      <c r="AA279" s="514"/>
      <c r="AB279" s="756"/>
      <c r="AC279" s="514"/>
      <c r="AD279" s="514"/>
      <c r="AE279" s="514"/>
      <c r="AF279" s="764"/>
      <c r="AG279" s="514"/>
      <c r="AH279" s="514"/>
      <c r="AI279" s="664">
        <f t="shared" si="19"/>
        <v>0</v>
      </c>
      <c r="AJ279" s="521">
        <v>0</v>
      </c>
      <c r="AK279" s="520">
        <f t="shared" si="20"/>
        <v>0</v>
      </c>
      <c r="AL279" s="695" t="s">
        <v>1677</v>
      </c>
      <c r="AM279" s="669">
        <f t="shared" si="21"/>
        <v>45.75</v>
      </c>
    </row>
    <row r="280" spans="1:39" s="500" customFormat="1" ht="13.5" hidden="1" thickBot="1">
      <c r="A280" s="554" t="s">
        <v>891</v>
      </c>
      <c r="B280" s="555" t="s">
        <v>1242</v>
      </c>
      <c r="C280" s="561" t="s">
        <v>37</v>
      </c>
      <c r="D280" s="519"/>
      <c r="E280" s="520"/>
      <c r="F280" s="520"/>
      <c r="G280" s="726"/>
      <c r="H280" s="520"/>
      <c r="I280" s="521"/>
      <c r="J280" s="521"/>
      <c r="K280" s="521"/>
      <c r="L280" s="514"/>
      <c r="M280" s="514"/>
      <c r="N280" s="756"/>
      <c r="O280" s="514"/>
      <c r="P280" s="514"/>
      <c r="Q280" s="514"/>
      <c r="R280" s="514"/>
      <c r="S280" s="514"/>
      <c r="T280" s="514"/>
      <c r="U280" s="756"/>
      <c r="V280" s="514"/>
      <c r="W280" s="514"/>
      <c r="X280" s="514"/>
      <c r="Y280" s="514"/>
      <c r="Z280" s="514"/>
      <c r="AA280" s="514"/>
      <c r="AB280" s="756"/>
      <c r="AC280" s="514"/>
      <c r="AD280" s="514"/>
      <c r="AE280" s="514"/>
      <c r="AF280" s="764"/>
      <c r="AG280" s="514"/>
      <c r="AH280" s="514"/>
      <c r="AI280" s="664">
        <f t="shared" si="19"/>
        <v>0</v>
      </c>
      <c r="AJ280" s="521">
        <v>0</v>
      </c>
      <c r="AK280" s="520">
        <f t="shared" si="20"/>
        <v>0</v>
      </c>
      <c r="AL280" s="695" t="s">
        <v>1680</v>
      </c>
      <c r="AM280" s="669">
        <f t="shared" si="21"/>
        <v>12.95</v>
      </c>
    </row>
    <row r="281" spans="1:39" s="500" customFormat="1" ht="13.5" hidden="1" thickBot="1">
      <c r="A281" s="554" t="s">
        <v>892</v>
      </c>
      <c r="B281" s="555" t="s">
        <v>1243</v>
      </c>
      <c r="C281" s="561" t="s">
        <v>37</v>
      </c>
      <c r="D281" s="519"/>
      <c r="E281" s="520"/>
      <c r="F281" s="520"/>
      <c r="G281" s="726"/>
      <c r="H281" s="520"/>
      <c r="I281" s="521"/>
      <c r="J281" s="521"/>
      <c r="K281" s="521"/>
      <c r="L281" s="514"/>
      <c r="M281" s="514"/>
      <c r="N281" s="756"/>
      <c r="O281" s="514"/>
      <c r="P281" s="514"/>
      <c r="Q281" s="514"/>
      <c r="R281" s="514"/>
      <c r="S281" s="514"/>
      <c r="T281" s="514"/>
      <c r="U281" s="756"/>
      <c r="V281" s="514"/>
      <c r="W281" s="514"/>
      <c r="X281" s="514"/>
      <c r="Y281" s="514"/>
      <c r="Z281" s="514"/>
      <c r="AA281" s="514"/>
      <c r="AB281" s="756"/>
      <c r="AC281" s="514"/>
      <c r="AD281" s="514"/>
      <c r="AE281" s="514"/>
      <c r="AF281" s="764"/>
      <c r="AG281" s="514"/>
      <c r="AH281" s="514"/>
      <c r="AI281" s="664">
        <f t="shared" si="19"/>
        <v>0</v>
      </c>
      <c r="AJ281" s="521">
        <v>0</v>
      </c>
      <c r="AK281" s="520">
        <f t="shared" si="20"/>
        <v>0</v>
      </c>
      <c r="AL281" s="695" t="s">
        <v>1681</v>
      </c>
      <c r="AM281" s="669">
        <f t="shared" si="21"/>
        <v>24.87</v>
      </c>
    </row>
    <row r="282" spans="1:39" s="500" customFormat="1" ht="13.5" hidden="1" thickBot="1">
      <c r="A282" s="554" t="s">
        <v>893</v>
      </c>
      <c r="B282" s="555" t="s">
        <v>1244</v>
      </c>
      <c r="C282" s="561" t="s">
        <v>37</v>
      </c>
      <c r="D282" s="519"/>
      <c r="E282" s="520"/>
      <c r="F282" s="520"/>
      <c r="G282" s="726"/>
      <c r="H282" s="520"/>
      <c r="I282" s="521"/>
      <c r="J282" s="521"/>
      <c r="K282" s="521"/>
      <c r="L282" s="514"/>
      <c r="M282" s="514"/>
      <c r="N282" s="756"/>
      <c r="O282" s="514"/>
      <c r="P282" s="514"/>
      <c r="Q282" s="514"/>
      <c r="R282" s="514"/>
      <c r="S282" s="514"/>
      <c r="T282" s="514"/>
      <c r="U282" s="756"/>
      <c r="V282" s="514"/>
      <c r="W282" s="514"/>
      <c r="X282" s="514"/>
      <c r="Y282" s="514"/>
      <c r="Z282" s="514"/>
      <c r="AA282" s="514"/>
      <c r="AB282" s="756"/>
      <c r="AC282" s="514"/>
      <c r="AD282" s="514"/>
      <c r="AE282" s="514"/>
      <c r="AF282" s="764"/>
      <c r="AG282" s="514"/>
      <c r="AH282" s="514"/>
      <c r="AI282" s="664">
        <f t="shared" si="19"/>
        <v>0</v>
      </c>
      <c r="AJ282" s="521">
        <v>0</v>
      </c>
      <c r="AK282" s="520">
        <f t="shared" si="20"/>
        <v>0</v>
      </c>
      <c r="AL282" s="695" t="s">
        <v>1682</v>
      </c>
      <c r="AM282" s="669">
        <f t="shared" si="21"/>
        <v>17.22</v>
      </c>
    </row>
    <row r="283" spans="1:39" s="500" customFormat="1" ht="13.5" hidden="1" thickBot="1">
      <c r="A283" s="554" t="s">
        <v>894</v>
      </c>
      <c r="B283" s="555" t="s">
        <v>1245</v>
      </c>
      <c r="C283" s="561" t="s">
        <v>38</v>
      </c>
      <c r="D283" s="519"/>
      <c r="E283" s="520"/>
      <c r="F283" s="520"/>
      <c r="G283" s="726"/>
      <c r="H283" s="520"/>
      <c r="I283" s="521"/>
      <c r="J283" s="521"/>
      <c r="K283" s="521"/>
      <c r="L283" s="514"/>
      <c r="M283" s="514"/>
      <c r="N283" s="756"/>
      <c r="O283" s="514"/>
      <c r="P283" s="514"/>
      <c r="Q283" s="514"/>
      <c r="R283" s="514"/>
      <c r="S283" s="514"/>
      <c r="T283" s="514"/>
      <c r="U283" s="756"/>
      <c r="V283" s="514"/>
      <c r="W283" s="514"/>
      <c r="X283" s="514"/>
      <c r="Y283" s="514"/>
      <c r="Z283" s="514"/>
      <c r="AA283" s="514"/>
      <c r="AB283" s="756"/>
      <c r="AC283" s="514"/>
      <c r="AD283" s="514"/>
      <c r="AE283" s="514"/>
      <c r="AF283" s="764"/>
      <c r="AG283" s="514"/>
      <c r="AH283" s="514"/>
      <c r="AI283" s="664">
        <f t="shared" si="19"/>
        <v>0</v>
      </c>
      <c r="AJ283" s="521">
        <v>0</v>
      </c>
      <c r="AK283" s="520">
        <f t="shared" si="20"/>
        <v>0</v>
      </c>
      <c r="AL283" s="695" t="s">
        <v>1683</v>
      </c>
      <c r="AM283" s="669">
        <f t="shared" si="21"/>
        <v>48.7</v>
      </c>
    </row>
    <row r="284" spans="1:39" s="500" customFormat="1" ht="13.5" hidden="1" thickBot="1">
      <c r="A284" s="554" t="s">
        <v>895</v>
      </c>
      <c r="B284" s="555" t="s">
        <v>1246</v>
      </c>
      <c r="C284" s="561" t="s">
        <v>38</v>
      </c>
      <c r="D284" s="519"/>
      <c r="E284" s="520"/>
      <c r="F284" s="520"/>
      <c r="G284" s="726"/>
      <c r="H284" s="520"/>
      <c r="I284" s="521"/>
      <c r="J284" s="521"/>
      <c r="K284" s="521"/>
      <c r="L284" s="514"/>
      <c r="M284" s="514"/>
      <c r="N284" s="756"/>
      <c r="O284" s="514"/>
      <c r="P284" s="514"/>
      <c r="Q284" s="514"/>
      <c r="R284" s="514"/>
      <c r="S284" s="514"/>
      <c r="T284" s="514"/>
      <c r="U284" s="756"/>
      <c r="V284" s="514"/>
      <c r="W284" s="514"/>
      <c r="X284" s="514"/>
      <c r="Y284" s="514"/>
      <c r="Z284" s="514"/>
      <c r="AA284" s="514"/>
      <c r="AB284" s="756"/>
      <c r="AC284" s="514"/>
      <c r="AD284" s="514"/>
      <c r="AE284" s="514"/>
      <c r="AF284" s="764"/>
      <c r="AG284" s="514"/>
      <c r="AH284" s="514"/>
      <c r="AI284" s="664">
        <f t="shared" si="19"/>
        <v>0</v>
      </c>
      <c r="AJ284" s="521">
        <v>0</v>
      </c>
      <c r="AK284" s="520">
        <f t="shared" si="20"/>
        <v>0</v>
      </c>
      <c r="AL284" s="695" t="s">
        <v>1684</v>
      </c>
      <c r="AM284" s="669">
        <f t="shared" si="21"/>
        <v>172.48</v>
      </c>
    </row>
    <row r="285" spans="1:39" s="500" customFormat="1" ht="13.5" hidden="1" thickBot="1">
      <c r="A285" s="554" t="s">
        <v>487</v>
      </c>
      <c r="B285" s="555" t="s">
        <v>1247</v>
      </c>
      <c r="C285" s="561"/>
      <c r="D285" s="519"/>
      <c r="E285" s="520"/>
      <c r="F285" s="520"/>
      <c r="G285" s="726"/>
      <c r="H285" s="520"/>
      <c r="I285" s="521"/>
      <c r="J285" s="521"/>
      <c r="K285" s="521"/>
      <c r="L285" s="514"/>
      <c r="M285" s="514"/>
      <c r="N285" s="756"/>
      <c r="O285" s="514"/>
      <c r="P285" s="514"/>
      <c r="Q285" s="514"/>
      <c r="R285" s="514"/>
      <c r="S285" s="514"/>
      <c r="T285" s="514"/>
      <c r="U285" s="756"/>
      <c r="V285" s="514"/>
      <c r="W285" s="514"/>
      <c r="X285" s="514"/>
      <c r="Y285" s="514"/>
      <c r="Z285" s="514"/>
      <c r="AA285" s="514"/>
      <c r="AB285" s="756"/>
      <c r="AC285" s="514"/>
      <c r="AD285" s="514"/>
      <c r="AE285" s="514"/>
      <c r="AF285" s="764"/>
      <c r="AG285" s="514"/>
      <c r="AH285" s="514"/>
      <c r="AI285" s="664">
        <f t="shared" si="19"/>
        <v>0</v>
      </c>
      <c r="AJ285" s="521">
        <v>0</v>
      </c>
      <c r="AK285" s="520">
        <f t="shared" si="20"/>
        <v>0</v>
      </c>
      <c r="AL285" s="695"/>
      <c r="AM285" s="669">
        <f t="shared" si="21"/>
        <v>0</v>
      </c>
    </row>
    <row r="286" spans="1:39" s="500" customFormat="1" ht="13.5" hidden="1" thickBot="1">
      <c r="A286" s="554" t="s">
        <v>896</v>
      </c>
      <c r="B286" s="555" t="s">
        <v>1248</v>
      </c>
      <c r="C286" s="561" t="s">
        <v>37</v>
      </c>
      <c r="D286" s="519"/>
      <c r="E286" s="520"/>
      <c r="F286" s="520"/>
      <c r="G286" s="726"/>
      <c r="H286" s="520"/>
      <c r="I286" s="521"/>
      <c r="J286" s="521"/>
      <c r="K286" s="521"/>
      <c r="L286" s="514"/>
      <c r="M286" s="514"/>
      <c r="N286" s="756"/>
      <c r="O286" s="514"/>
      <c r="P286" s="514"/>
      <c r="Q286" s="514"/>
      <c r="R286" s="514"/>
      <c r="S286" s="514"/>
      <c r="T286" s="514"/>
      <c r="U286" s="756"/>
      <c r="V286" s="514"/>
      <c r="W286" s="514"/>
      <c r="X286" s="514"/>
      <c r="Y286" s="514"/>
      <c r="Z286" s="514"/>
      <c r="AA286" s="514"/>
      <c r="AB286" s="756"/>
      <c r="AC286" s="514"/>
      <c r="AD286" s="514"/>
      <c r="AE286" s="514"/>
      <c r="AF286" s="764"/>
      <c r="AG286" s="514"/>
      <c r="AH286" s="514"/>
      <c r="AI286" s="664">
        <f t="shared" si="19"/>
        <v>0</v>
      </c>
      <c r="AJ286" s="521">
        <v>0</v>
      </c>
      <c r="AK286" s="520">
        <f t="shared" si="20"/>
        <v>0</v>
      </c>
      <c r="AL286" s="695" t="s">
        <v>1685</v>
      </c>
      <c r="AM286" s="669">
        <f t="shared" si="21"/>
        <v>38.24</v>
      </c>
    </row>
    <row r="287" spans="1:39" s="500" customFormat="1" ht="13.5" hidden="1" thickBot="1">
      <c r="A287" s="554" t="s">
        <v>897</v>
      </c>
      <c r="B287" s="555" t="s">
        <v>1249</v>
      </c>
      <c r="C287" s="561"/>
      <c r="D287" s="519"/>
      <c r="E287" s="520"/>
      <c r="F287" s="520"/>
      <c r="G287" s="726"/>
      <c r="H287" s="520"/>
      <c r="I287" s="521"/>
      <c r="J287" s="521"/>
      <c r="K287" s="521"/>
      <c r="L287" s="514"/>
      <c r="M287" s="514"/>
      <c r="N287" s="756"/>
      <c r="O287" s="514"/>
      <c r="P287" s="514"/>
      <c r="Q287" s="514"/>
      <c r="R287" s="514"/>
      <c r="S287" s="514"/>
      <c r="T287" s="514"/>
      <c r="U287" s="756"/>
      <c r="V287" s="514"/>
      <c r="W287" s="514"/>
      <c r="X287" s="514"/>
      <c r="Y287" s="514"/>
      <c r="Z287" s="514"/>
      <c r="AA287" s="514"/>
      <c r="AB287" s="756"/>
      <c r="AC287" s="514"/>
      <c r="AD287" s="514"/>
      <c r="AE287" s="514"/>
      <c r="AF287" s="764"/>
      <c r="AG287" s="514"/>
      <c r="AH287" s="514"/>
      <c r="AI287" s="664">
        <f t="shared" si="19"/>
        <v>0</v>
      </c>
      <c r="AJ287" s="521">
        <v>0</v>
      </c>
      <c r="AK287" s="520">
        <f t="shared" si="20"/>
        <v>0</v>
      </c>
      <c r="AL287" s="695"/>
      <c r="AM287" s="669">
        <f t="shared" si="21"/>
        <v>0</v>
      </c>
    </row>
    <row r="288" spans="1:39" s="500" customFormat="1" ht="13.5" hidden="1" thickBot="1">
      <c r="A288" s="554" t="s">
        <v>898</v>
      </c>
      <c r="B288" s="555" t="s">
        <v>1250</v>
      </c>
      <c r="C288" s="561" t="s">
        <v>37</v>
      </c>
      <c r="D288" s="519"/>
      <c r="E288" s="520"/>
      <c r="F288" s="520"/>
      <c r="G288" s="726"/>
      <c r="H288" s="520"/>
      <c r="I288" s="521"/>
      <c r="J288" s="521"/>
      <c r="K288" s="521"/>
      <c r="L288" s="514"/>
      <c r="M288" s="514"/>
      <c r="N288" s="756"/>
      <c r="O288" s="514"/>
      <c r="P288" s="514"/>
      <c r="Q288" s="514"/>
      <c r="R288" s="514"/>
      <c r="S288" s="514"/>
      <c r="T288" s="514"/>
      <c r="U288" s="756"/>
      <c r="V288" s="514"/>
      <c r="W288" s="514"/>
      <c r="X288" s="514"/>
      <c r="Y288" s="514"/>
      <c r="Z288" s="514"/>
      <c r="AA288" s="514"/>
      <c r="AB288" s="756"/>
      <c r="AC288" s="514"/>
      <c r="AD288" s="514"/>
      <c r="AE288" s="514"/>
      <c r="AF288" s="764"/>
      <c r="AG288" s="514"/>
      <c r="AH288" s="514"/>
      <c r="AI288" s="664">
        <f t="shared" si="19"/>
        <v>0</v>
      </c>
      <c r="AJ288" s="521">
        <v>0</v>
      </c>
      <c r="AK288" s="520">
        <f t="shared" si="20"/>
        <v>0</v>
      </c>
      <c r="AL288" s="695" t="s">
        <v>1686</v>
      </c>
      <c r="AM288" s="669">
        <f t="shared" si="21"/>
        <v>33.03</v>
      </c>
    </row>
    <row r="289" spans="1:39" s="500" customFormat="1" ht="13.5" hidden="1" thickBot="1">
      <c r="A289" s="554" t="s">
        <v>899</v>
      </c>
      <c r="B289" s="555" t="s">
        <v>1251</v>
      </c>
      <c r="C289" s="561" t="s">
        <v>37</v>
      </c>
      <c r="D289" s="519"/>
      <c r="E289" s="520"/>
      <c r="F289" s="520"/>
      <c r="G289" s="726"/>
      <c r="H289" s="520"/>
      <c r="I289" s="521"/>
      <c r="J289" s="521"/>
      <c r="K289" s="521"/>
      <c r="L289" s="514"/>
      <c r="M289" s="514"/>
      <c r="N289" s="756"/>
      <c r="O289" s="514"/>
      <c r="P289" s="514"/>
      <c r="Q289" s="514"/>
      <c r="R289" s="514"/>
      <c r="S289" s="514"/>
      <c r="T289" s="514"/>
      <c r="U289" s="756"/>
      <c r="V289" s="514"/>
      <c r="W289" s="514"/>
      <c r="X289" s="514"/>
      <c r="Y289" s="514"/>
      <c r="Z289" s="514"/>
      <c r="AA289" s="514"/>
      <c r="AB289" s="756"/>
      <c r="AC289" s="514"/>
      <c r="AD289" s="514"/>
      <c r="AE289" s="514"/>
      <c r="AF289" s="764"/>
      <c r="AG289" s="514"/>
      <c r="AH289" s="514"/>
      <c r="AI289" s="664">
        <f t="shared" si="19"/>
        <v>0</v>
      </c>
      <c r="AJ289" s="521">
        <v>0</v>
      </c>
      <c r="AK289" s="520">
        <f t="shared" si="20"/>
        <v>0</v>
      </c>
      <c r="AL289" s="695" t="s">
        <v>1687</v>
      </c>
      <c r="AM289" s="669">
        <f t="shared" si="21"/>
        <v>30.08</v>
      </c>
    </row>
    <row r="290" spans="1:39" s="500" customFormat="1" ht="13.5" hidden="1" thickBot="1">
      <c r="A290" s="554" t="s">
        <v>900</v>
      </c>
      <c r="B290" s="555" t="s">
        <v>1252</v>
      </c>
      <c r="C290" s="561" t="s">
        <v>37</v>
      </c>
      <c r="D290" s="519"/>
      <c r="E290" s="520"/>
      <c r="F290" s="520"/>
      <c r="G290" s="726"/>
      <c r="H290" s="520"/>
      <c r="I290" s="521"/>
      <c r="J290" s="521"/>
      <c r="K290" s="521"/>
      <c r="L290" s="514"/>
      <c r="M290" s="514"/>
      <c r="N290" s="756"/>
      <c r="O290" s="514"/>
      <c r="P290" s="514"/>
      <c r="Q290" s="514"/>
      <c r="R290" s="514"/>
      <c r="S290" s="514"/>
      <c r="T290" s="514"/>
      <c r="U290" s="756"/>
      <c r="V290" s="514"/>
      <c r="W290" s="514"/>
      <c r="X290" s="514"/>
      <c r="Y290" s="514"/>
      <c r="Z290" s="514"/>
      <c r="AA290" s="514"/>
      <c r="AB290" s="756"/>
      <c r="AC290" s="514"/>
      <c r="AD290" s="514"/>
      <c r="AE290" s="514"/>
      <c r="AF290" s="764"/>
      <c r="AG290" s="514"/>
      <c r="AH290" s="514"/>
      <c r="AI290" s="664">
        <f t="shared" si="19"/>
        <v>0</v>
      </c>
      <c r="AJ290" s="521">
        <v>0</v>
      </c>
      <c r="AK290" s="520">
        <f t="shared" si="20"/>
        <v>0</v>
      </c>
      <c r="AL290" s="695" t="s">
        <v>1688</v>
      </c>
      <c r="AM290" s="669">
        <f t="shared" si="21"/>
        <v>2.95</v>
      </c>
    </row>
    <row r="291" spans="1:39" s="500" customFormat="1" ht="13.5" hidden="1" thickBot="1">
      <c r="A291" s="554" t="s">
        <v>901</v>
      </c>
      <c r="B291" s="555" t="s">
        <v>1253</v>
      </c>
      <c r="C291" s="561"/>
      <c r="D291" s="519"/>
      <c r="E291" s="520"/>
      <c r="F291" s="520"/>
      <c r="G291" s="726"/>
      <c r="H291" s="520"/>
      <c r="I291" s="521"/>
      <c r="J291" s="521"/>
      <c r="K291" s="521"/>
      <c r="L291" s="514"/>
      <c r="M291" s="514"/>
      <c r="N291" s="756"/>
      <c r="O291" s="514"/>
      <c r="P291" s="514"/>
      <c r="Q291" s="514"/>
      <c r="R291" s="514"/>
      <c r="S291" s="514"/>
      <c r="T291" s="514"/>
      <c r="U291" s="756"/>
      <c r="V291" s="514"/>
      <c r="W291" s="514"/>
      <c r="X291" s="514"/>
      <c r="Y291" s="514"/>
      <c r="Z291" s="514"/>
      <c r="AA291" s="514"/>
      <c r="AB291" s="756"/>
      <c r="AC291" s="514"/>
      <c r="AD291" s="514"/>
      <c r="AE291" s="514"/>
      <c r="AF291" s="764"/>
      <c r="AG291" s="514"/>
      <c r="AH291" s="514"/>
      <c r="AI291" s="664">
        <f t="shared" si="19"/>
        <v>0</v>
      </c>
      <c r="AJ291" s="521">
        <v>0</v>
      </c>
      <c r="AK291" s="520">
        <f t="shared" si="20"/>
        <v>0</v>
      </c>
      <c r="AL291" s="695"/>
      <c r="AM291" s="669">
        <f t="shared" si="21"/>
        <v>0</v>
      </c>
    </row>
    <row r="292" spans="1:39" s="500" customFormat="1" ht="13.5" hidden="1" thickBot="1">
      <c r="A292" s="554" t="s">
        <v>902</v>
      </c>
      <c r="B292" s="555" t="s">
        <v>1294</v>
      </c>
      <c r="C292" s="561" t="s">
        <v>38</v>
      </c>
      <c r="D292" s="519"/>
      <c r="E292" s="520"/>
      <c r="F292" s="520"/>
      <c r="G292" s="726"/>
      <c r="H292" s="520"/>
      <c r="I292" s="521"/>
      <c r="J292" s="521"/>
      <c r="K292" s="521"/>
      <c r="L292" s="514"/>
      <c r="M292" s="514"/>
      <c r="N292" s="756"/>
      <c r="O292" s="514"/>
      <c r="P292" s="514"/>
      <c r="Q292" s="514"/>
      <c r="R292" s="514"/>
      <c r="S292" s="514"/>
      <c r="T292" s="514"/>
      <c r="U292" s="756"/>
      <c r="V292" s="514"/>
      <c r="W292" s="514"/>
      <c r="X292" s="514"/>
      <c r="Y292" s="514"/>
      <c r="Z292" s="514"/>
      <c r="AA292" s="514"/>
      <c r="AB292" s="756"/>
      <c r="AC292" s="514"/>
      <c r="AD292" s="514"/>
      <c r="AE292" s="514"/>
      <c r="AF292" s="764"/>
      <c r="AG292" s="514"/>
      <c r="AH292" s="514"/>
      <c r="AI292" s="664">
        <f t="shared" si="19"/>
        <v>0</v>
      </c>
      <c r="AJ292" s="521">
        <v>0</v>
      </c>
      <c r="AK292" s="520">
        <f t="shared" si="20"/>
        <v>0</v>
      </c>
      <c r="AL292" s="695" t="s">
        <v>1689</v>
      </c>
      <c r="AM292" s="669">
        <f t="shared" si="21"/>
        <v>6.15</v>
      </c>
    </row>
    <row r="293" spans="1:39" s="500" customFormat="1" ht="13.5" hidden="1" thickBot="1">
      <c r="A293" s="554" t="s">
        <v>903</v>
      </c>
      <c r="B293" s="555" t="s">
        <v>1255</v>
      </c>
      <c r="C293" s="561" t="s">
        <v>37</v>
      </c>
      <c r="D293" s="519"/>
      <c r="E293" s="520"/>
      <c r="F293" s="520"/>
      <c r="G293" s="726"/>
      <c r="H293" s="520"/>
      <c r="I293" s="521"/>
      <c r="J293" s="521"/>
      <c r="K293" s="521"/>
      <c r="L293" s="514"/>
      <c r="M293" s="514"/>
      <c r="N293" s="756"/>
      <c r="O293" s="514"/>
      <c r="P293" s="514"/>
      <c r="Q293" s="514"/>
      <c r="R293" s="514"/>
      <c r="S293" s="514"/>
      <c r="T293" s="514"/>
      <c r="U293" s="756"/>
      <c r="V293" s="514"/>
      <c r="W293" s="514"/>
      <c r="X293" s="514"/>
      <c r="Y293" s="514"/>
      <c r="Z293" s="514"/>
      <c r="AA293" s="514"/>
      <c r="AB293" s="756"/>
      <c r="AC293" s="514"/>
      <c r="AD293" s="514"/>
      <c r="AE293" s="514"/>
      <c r="AF293" s="764"/>
      <c r="AG293" s="514"/>
      <c r="AH293" s="514"/>
      <c r="AI293" s="664">
        <f t="shared" si="19"/>
        <v>0</v>
      </c>
      <c r="AJ293" s="521">
        <v>0</v>
      </c>
      <c r="AK293" s="520">
        <f t="shared" si="20"/>
        <v>0</v>
      </c>
      <c r="AL293" s="695" t="s">
        <v>1690</v>
      </c>
      <c r="AM293" s="669">
        <f t="shared" si="21"/>
        <v>2.77</v>
      </c>
    </row>
    <row r="294" spans="1:39" s="500" customFormat="1" ht="13.5" hidden="1" thickBot="1">
      <c r="A294" s="554" t="s">
        <v>904</v>
      </c>
      <c r="B294" s="555" t="s">
        <v>1256</v>
      </c>
      <c r="C294" s="561"/>
      <c r="D294" s="519"/>
      <c r="E294" s="520"/>
      <c r="F294" s="520"/>
      <c r="G294" s="726"/>
      <c r="H294" s="520"/>
      <c r="I294" s="521"/>
      <c r="J294" s="521"/>
      <c r="K294" s="521"/>
      <c r="L294" s="514"/>
      <c r="M294" s="514"/>
      <c r="N294" s="756"/>
      <c r="O294" s="514"/>
      <c r="P294" s="514"/>
      <c r="Q294" s="514"/>
      <c r="R294" s="514"/>
      <c r="S294" s="514"/>
      <c r="T294" s="514"/>
      <c r="U294" s="756"/>
      <c r="V294" s="514"/>
      <c r="W294" s="514"/>
      <c r="X294" s="514"/>
      <c r="Y294" s="514"/>
      <c r="Z294" s="514"/>
      <c r="AA294" s="514"/>
      <c r="AB294" s="756"/>
      <c r="AC294" s="514"/>
      <c r="AD294" s="514"/>
      <c r="AE294" s="514"/>
      <c r="AF294" s="764"/>
      <c r="AG294" s="514"/>
      <c r="AH294" s="514"/>
      <c r="AI294" s="664">
        <f t="shared" si="19"/>
        <v>0</v>
      </c>
      <c r="AJ294" s="521">
        <v>0</v>
      </c>
      <c r="AK294" s="520">
        <f t="shared" si="20"/>
        <v>0</v>
      </c>
      <c r="AL294" s="695"/>
      <c r="AM294" s="669">
        <f t="shared" si="21"/>
        <v>0</v>
      </c>
    </row>
    <row r="295" spans="1:39" s="500" customFormat="1" ht="13.5" hidden="1" thickBot="1">
      <c r="A295" s="554" t="s">
        <v>905</v>
      </c>
      <c r="B295" s="555" t="s">
        <v>1257</v>
      </c>
      <c r="C295" s="561" t="s">
        <v>37</v>
      </c>
      <c r="D295" s="519"/>
      <c r="E295" s="520"/>
      <c r="F295" s="520"/>
      <c r="G295" s="726"/>
      <c r="H295" s="520"/>
      <c r="I295" s="521"/>
      <c r="J295" s="521"/>
      <c r="K295" s="521"/>
      <c r="L295" s="514"/>
      <c r="M295" s="514"/>
      <c r="N295" s="756"/>
      <c r="O295" s="514"/>
      <c r="P295" s="514"/>
      <c r="Q295" s="514"/>
      <c r="R295" s="514"/>
      <c r="S295" s="514"/>
      <c r="T295" s="514"/>
      <c r="U295" s="756"/>
      <c r="V295" s="514"/>
      <c r="W295" s="514"/>
      <c r="X295" s="514"/>
      <c r="Y295" s="514"/>
      <c r="Z295" s="514"/>
      <c r="AA295" s="514"/>
      <c r="AB295" s="756"/>
      <c r="AC295" s="514"/>
      <c r="AD295" s="514"/>
      <c r="AE295" s="514"/>
      <c r="AF295" s="764"/>
      <c r="AG295" s="514"/>
      <c r="AH295" s="514"/>
      <c r="AI295" s="664">
        <f t="shared" si="19"/>
        <v>0</v>
      </c>
      <c r="AJ295" s="521">
        <v>0</v>
      </c>
      <c r="AK295" s="520">
        <f t="shared" si="20"/>
        <v>0</v>
      </c>
      <c r="AL295" s="695" t="s">
        <v>1691</v>
      </c>
      <c r="AM295" s="669">
        <f t="shared" si="21"/>
        <v>8.3000000000000007</v>
      </c>
    </row>
    <row r="296" spans="1:39" s="500" customFormat="1" ht="13.5" hidden="1" thickBot="1">
      <c r="A296" s="554" t="s">
        <v>906</v>
      </c>
      <c r="B296" s="555" t="s">
        <v>1258</v>
      </c>
      <c r="C296" s="561"/>
      <c r="D296" s="519"/>
      <c r="E296" s="520"/>
      <c r="F296" s="520"/>
      <c r="G296" s="726"/>
      <c r="H296" s="520"/>
      <c r="I296" s="521"/>
      <c r="J296" s="521"/>
      <c r="K296" s="521"/>
      <c r="L296" s="514"/>
      <c r="M296" s="514"/>
      <c r="N296" s="756"/>
      <c r="O296" s="514"/>
      <c r="P296" s="514"/>
      <c r="Q296" s="514"/>
      <c r="R296" s="514"/>
      <c r="S296" s="514"/>
      <c r="T296" s="514"/>
      <c r="U296" s="756"/>
      <c r="V296" s="514"/>
      <c r="W296" s="514"/>
      <c r="X296" s="514"/>
      <c r="Y296" s="514"/>
      <c r="Z296" s="514"/>
      <c r="AA296" s="514"/>
      <c r="AB296" s="756"/>
      <c r="AC296" s="514"/>
      <c r="AD296" s="514"/>
      <c r="AE296" s="514"/>
      <c r="AF296" s="764"/>
      <c r="AG296" s="514"/>
      <c r="AH296" s="514"/>
      <c r="AI296" s="664">
        <f t="shared" si="19"/>
        <v>0</v>
      </c>
      <c r="AJ296" s="521">
        <v>0</v>
      </c>
      <c r="AK296" s="520">
        <f t="shared" si="20"/>
        <v>0</v>
      </c>
      <c r="AL296" s="695"/>
      <c r="AM296" s="669">
        <f t="shared" si="21"/>
        <v>0</v>
      </c>
    </row>
    <row r="297" spans="1:39" s="500" customFormat="1" ht="13.5" hidden="1" thickBot="1">
      <c r="A297" s="554" t="s">
        <v>907</v>
      </c>
      <c r="B297" s="555" t="s">
        <v>1259</v>
      </c>
      <c r="C297" s="561" t="s">
        <v>37</v>
      </c>
      <c r="D297" s="519"/>
      <c r="E297" s="520"/>
      <c r="F297" s="520"/>
      <c r="G297" s="726"/>
      <c r="H297" s="520"/>
      <c r="I297" s="521"/>
      <c r="J297" s="521"/>
      <c r="K297" s="521"/>
      <c r="L297" s="514"/>
      <c r="M297" s="514"/>
      <c r="N297" s="756"/>
      <c r="O297" s="514"/>
      <c r="P297" s="514"/>
      <c r="Q297" s="514"/>
      <c r="R297" s="514"/>
      <c r="S297" s="514"/>
      <c r="T297" s="514"/>
      <c r="U297" s="756"/>
      <c r="V297" s="514"/>
      <c r="W297" s="514"/>
      <c r="X297" s="514"/>
      <c r="Y297" s="514"/>
      <c r="Z297" s="514"/>
      <c r="AA297" s="514"/>
      <c r="AB297" s="756"/>
      <c r="AC297" s="514"/>
      <c r="AD297" s="514"/>
      <c r="AE297" s="514"/>
      <c r="AF297" s="764"/>
      <c r="AG297" s="514"/>
      <c r="AH297" s="514"/>
      <c r="AI297" s="664">
        <f t="shared" si="19"/>
        <v>0</v>
      </c>
      <c r="AJ297" s="521">
        <v>0</v>
      </c>
      <c r="AK297" s="520">
        <f t="shared" si="20"/>
        <v>0</v>
      </c>
      <c r="AL297" s="695" t="s">
        <v>1692</v>
      </c>
      <c r="AM297" s="669">
        <f t="shared" si="21"/>
        <v>6.66</v>
      </c>
    </row>
    <row r="298" spans="1:39" s="500" customFormat="1" ht="13.5" hidden="1" thickBot="1">
      <c r="A298" s="554" t="s">
        <v>908</v>
      </c>
      <c r="B298" s="555" t="s">
        <v>1286</v>
      </c>
      <c r="C298" s="561" t="s">
        <v>37</v>
      </c>
      <c r="D298" s="519"/>
      <c r="E298" s="520"/>
      <c r="F298" s="520"/>
      <c r="G298" s="726"/>
      <c r="H298" s="520"/>
      <c r="I298" s="521"/>
      <c r="J298" s="521"/>
      <c r="K298" s="521"/>
      <c r="L298" s="514"/>
      <c r="M298" s="514"/>
      <c r="N298" s="756"/>
      <c r="O298" s="514"/>
      <c r="P298" s="514"/>
      <c r="Q298" s="514"/>
      <c r="R298" s="514"/>
      <c r="S298" s="514"/>
      <c r="T298" s="514"/>
      <c r="U298" s="756"/>
      <c r="V298" s="514"/>
      <c r="W298" s="514"/>
      <c r="X298" s="514"/>
      <c r="Y298" s="514"/>
      <c r="Z298" s="514"/>
      <c r="AA298" s="514"/>
      <c r="AB298" s="756"/>
      <c r="AC298" s="514"/>
      <c r="AD298" s="514"/>
      <c r="AE298" s="514"/>
      <c r="AF298" s="764"/>
      <c r="AG298" s="514"/>
      <c r="AH298" s="514"/>
      <c r="AI298" s="664">
        <f t="shared" si="19"/>
        <v>0</v>
      </c>
      <c r="AJ298" s="521">
        <v>0</v>
      </c>
      <c r="AK298" s="520">
        <f t="shared" si="20"/>
        <v>0</v>
      </c>
      <c r="AL298" s="695" t="s">
        <v>1693</v>
      </c>
      <c r="AM298" s="669">
        <f t="shared" si="21"/>
        <v>7.76</v>
      </c>
    </row>
    <row r="299" spans="1:39" s="500" customFormat="1" ht="13.5" hidden="1" thickBot="1">
      <c r="A299" s="554" t="s">
        <v>909</v>
      </c>
      <c r="B299" s="555" t="s">
        <v>1261</v>
      </c>
      <c r="C299" s="561" t="s">
        <v>38</v>
      </c>
      <c r="D299" s="519"/>
      <c r="E299" s="520"/>
      <c r="F299" s="520"/>
      <c r="G299" s="726"/>
      <c r="H299" s="520"/>
      <c r="I299" s="521"/>
      <c r="J299" s="521"/>
      <c r="K299" s="521"/>
      <c r="L299" s="514"/>
      <c r="M299" s="514"/>
      <c r="N299" s="756"/>
      <c r="O299" s="514"/>
      <c r="P299" s="514"/>
      <c r="Q299" s="514"/>
      <c r="R299" s="514"/>
      <c r="S299" s="514"/>
      <c r="T299" s="514"/>
      <c r="U299" s="756"/>
      <c r="V299" s="514"/>
      <c r="W299" s="514"/>
      <c r="X299" s="514"/>
      <c r="Y299" s="514"/>
      <c r="Z299" s="514"/>
      <c r="AA299" s="514"/>
      <c r="AB299" s="756"/>
      <c r="AC299" s="514"/>
      <c r="AD299" s="514"/>
      <c r="AE299" s="514"/>
      <c r="AF299" s="764"/>
      <c r="AG299" s="514"/>
      <c r="AH299" s="514"/>
      <c r="AI299" s="664">
        <f t="shared" si="19"/>
        <v>0</v>
      </c>
      <c r="AJ299" s="521">
        <v>0</v>
      </c>
      <c r="AK299" s="520">
        <f t="shared" si="20"/>
        <v>0</v>
      </c>
      <c r="AL299" s="695" t="s">
        <v>1694</v>
      </c>
      <c r="AM299" s="669">
        <f t="shared" si="21"/>
        <v>25.31</v>
      </c>
    </row>
    <row r="300" spans="1:39" s="500" customFormat="1" ht="13.5" hidden="1" thickBot="1">
      <c r="A300" s="554" t="s">
        <v>910</v>
      </c>
      <c r="B300" s="555" t="s">
        <v>1198</v>
      </c>
      <c r="C300" s="561"/>
      <c r="D300" s="519"/>
      <c r="E300" s="520"/>
      <c r="F300" s="520"/>
      <c r="G300" s="726"/>
      <c r="H300" s="520"/>
      <c r="I300" s="521"/>
      <c r="J300" s="521"/>
      <c r="K300" s="521"/>
      <c r="L300" s="514"/>
      <c r="M300" s="514"/>
      <c r="N300" s="756"/>
      <c r="O300" s="514"/>
      <c r="P300" s="514"/>
      <c r="Q300" s="514"/>
      <c r="R300" s="514"/>
      <c r="S300" s="514"/>
      <c r="T300" s="514"/>
      <c r="U300" s="756"/>
      <c r="V300" s="514"/>
      <c r="W300" s="514"/>
      <c r="X300" s="514"/>
      <c r="Y300" s="514"/>
      <c r="Z300" s="514"/>
      <c r="AA300" s="514"/>
      <c r="AB300" s="756"/>
      <c r="AC300" s="514"/>
      <c r="AD300" s="514"/>
      <c r="AE300" s="514"/>
      <c r="AF300" s="764"/>
      <c r="AG300" s="514"/>
      <c r="AH300" s="514"/>
      <c r="AI300" s="664">
        <f t="shared" si="19"/>
        <v>0</v>
      </c>
      <c r="AJ300" s="521">
        <v>0</v>
      </c>
      <c r="AK300" s="520">
        <f t="shared" si="20"/>
        <v>0</v>
      </c>
      <c r="AL300" s="695"/>
      <c r="AM300" s="669">
        <f t="shared" si="21"/>
        <v>0</v>
      </c>
    </row>
    <row r="301" spans="1:39" s="500" customFormat="1" ht="13.5" hidden="1" thickBot="1">
      <c r="A301" s="554" t="s">
        <v>911</v>
      </c>
      <c r="B301" s="555" t="s">
        <v>1262</v>
      </c>
      <c r="C301" s="561" t="s">
        <v>37</v>
      </c>
      <c r="D301" s="519"/>
      <c r="E301" s="520"/>
      <c r="F301" s="520"/>
      <c r="G301" s="726"/>
      <c r="H301" s="520"/>
      <c r="I301" s="521"/>
      <c r="J301" s="521"/>
      <c r="K301" s="521"/>
      <c r="L301" s="514"/>
      <c r="M301" s="514"/>
      <c r="N301" s="756"/>
      <c r="O301" s="514"/>
      <c r="P301" s="514"/>
      <c r="Q301" s="514"/>
      <c r="R301" s="514"/>
      <c r="S301" s="514"/>
      <c r="T301" s="514"/>
      <c r="U301" s="756"/>
      <c r="V301" s="514"/>
      <c r="W301" s="514"/>
      <c r="X301" s="514"/>
      <c r="Y301" s="514"/>
      <c r="Z301" s="514"/>
      <c r="AA301" s="514"/>
      <c r="AB301" s="756"/>
      <c r="AC301" s="514"/>
      <c r="AD301" s="514"/>
      <c r="AE301" s="514"/>
      <c r="AF301" s="764"/>
      <c r="AG301" s="514"/>
      <c r="AH301" s="514"/>
      <c r="AI301" s="664">
        <f t="shared" si="19"/>
        <v>0</v>
      </c>
      <c r="AJ301" s="521">
        <v>0</v>
      </c>
      <c r="AK301" s="520">
        <f t="shared" si="20"/>
        <v>0</v>
      </c>
      <c r="AL301" s="695" t="s">
        <v>1695</v>
      </c>
      <c r="AM301" s="669">
        <f t="shared" si="21"/>
        <v>34.93</v>
      </c>
    </row>
    <row r="302" spans="1:39" s="500" customFormat="1" ht="13.5" hidden="1" thickBot="1">
      <c r="A302" s="554" t="s">
        <v>912</v>
      </c>
      <c r="B302" s="555" t="s">
        <v>1263</v>
      </c>
      <c r="C302" s="561" t="s">
        <v>38</v>
      </c>
      <c r="D302" s="519"/>
      <c r="E302" s="520"/>
      <c r="F302" s="520"/>
      <c r="G302" s="726"/>
      <c r="H302" s="520"/>
      <c r="I302" s="521"/>
      <c r="J302" s="521"/>
      <c r="K302" s="521"/>
      <c r="L302" s="514"/>
      <c r="M302" s="514"/>
      <c r="N302" s="756"/>
      <c r="O302" s="514"/>
      <c r="P302" s="514"/>
      <c r="Q302" s="514"/>
      <c r="R302" s="514"/>
      <c r="S302" s="514"/>
      <c r="T302" s="514"/>
      <c r="U302" s="756"/>
      <c r="V302" s="514"/>
      <c r="W302" s="514"/>
      <c r="X302" s="514"/>
      <c r="Y302" s="514"/>
      <c r="Z302" s="514"/>
      <c r="AA302" s="514"/>
      <c r="AB302" s="756"/>
      <c r="AC302" s="514"/>
      <c r="AD302" s="514"/>
      <c r="AE302" s="514"/>
      <c r="AF302" s="764"/>
      <c r="AG302" s="514"/>
      <c r="AH302" s="514"/>
      <c r="AI302" s="664">
        <f t="shared" si="19"/>
        <v>0</v>
      </c>
      <c r="AJ302" s="521">
        <v>0</v>
      </c>
      <c r="AK302" s="520">
        <f t="shared" si="20"/>
        <v>0</v>
      </c>
      <c r="AL302" s="695" t="s">
        <v>1689</v>
      </c>
      <c r="AM302" s="669">
        <f t="shared" si="21"/>
        <v>6.15</v>
      </c>
    </row>
    <row r="303" spans="1:39" s="500" customFormat="1" ht="13.5" hidden="1" thickBot="1">
      <c r="A303" s="554" t="s">
        <v>913</v>
      </c>
      <c r="B303" s="555" t="s">
        <v>1264</v>
      </c>
      <c r="C303" s="561"/>
      <c r="D303" s="519"/>
      <c r="E303" s="520"/>
      <c r="F303" s="520"/>
      <c r="G303" s="726"/>
      <c r="H303" s="520"/>
      <c r="I303" s="521"/>
      <c r="J303" s="521"/>
      <c r="K303" s="521"/>
      <c r="L303" s="514"/>
      <c r="M303" s="514"/>
      <c r="N303" s="756"/>
      <c r="O303" s="514"/>
      <c r="P303" s="514"/>
      <c r="Q303" s="514"/>
      <c r="R303" s="514"/>
      <c r="S303" s="514"/>
      <c r="T303" s="514"/>
      <c r="U303" s="756"/>
      <c r="V303" s="514"/>
      <c r="W303" s="514"/>
      <c r="X303" s="514"/>
      <c r="Y303" s="514"/>
      <c r="Z303" s="514"/>
      <c r="AA303" s="514"/>
      <c r="AB303" s="756"/>
      <c r="AC303" s="514"/>
      <c r="AD303" s="514"/>
      <c r="AE303" s="514"/>
      <c r="AF303" s="764"/>
      <c r="AG303" s="514"/>
      <c r="AH303" s="514"/>
      <c r="AI303" s="664">
        <f t="shared" si="19"/>
        <v>0</v>
      </c>
      <c r="AJ303" s="521">
        <v>0</v>
      </c>
      <c r="AK303" s="520">
        <f t="shared" si="20"/>
        <v>0</v>
      </c>
      <c r="AL303" s="695"/>
      <c r="AM303" s="669">
        <f t="shared" si="21"/>
        <v>0</v>
      </c>
    </row>
    <row r="304" spans="1:39" s="500" customFormat="1" ht="13.5" hidden="1" thickBot="1">
      <c r="A304" s="554" t="s">
        <v>914</v>
      </c>
      <c r="B304" s="555" t="s">
        <v>1265</v>
      </c>
      <c r="C304" s="561" t="s">
        <v>37</v>
      </c>
      <c r="D304" s="519"/>
      <c r="E304" s="520"/>
      <c r="F304" s="520"/>
      <c r="G304" s="726"/>
      <c r="H304" s="520"/>
      <c r="I304" s="521"/>
      <c r="J304" s="521"/>
      <c r="K304" s="521"/>
      <c r="L304" s="514"/>
      <c r="M304" s="514"/>
      <c r="N304" s="756"/>
      <c r="O304" s="514"/>
      <c r="P304" s="514"/>
      <c r="Q304" s="514"/>
      <c r="R304" s="514"/>
      <c r="S304" s="514"/>
      <c r="T304" s="514"/>
      <c r="U304" s="756"/>
      <c r="V304" s="514"/>
      <c r="W304" s="514"/>
      <c r="X304" s="514"/>
      <c r="Y304" s="514"/>
      <c r="Z304" s="514"/>
      <c r="AA304" s="514"/>
      <c r="AB304" s="756"/>
      <c r="AC304" s="514"/>
      <c r="AD304" s="514"/>
      <c r="AE304" s="514"/>
      <c r="AF304" s="764"/>
      <c r="AG304" s="514"/>
      <c r="AH304" s="514"/>
      <c r="AI304" s="664">
        <f t="shared" si="19"/>
        <v>0</v>
      </c>
      <c r="AJ304" s="521">
        <v>0</v>
      </c>
      <c r="AK304" s="520">
        <f t="shared" si="20"/>
        <v>0</v>
      </c>
      <c r="AL304" s="695" t="s">
        <v>1696</v>
      </c>
      <c r="AM304" s="669">
        <f t="shared" si="21"/>
        <v>3.78</v>
      </c>
    </row>
    <row r="305" spans="1:39" s="500" customFormat="1" ht="13.5" hidden="1" thickBot="1">
      <c r="A305" s="554" t="s">
        <v>915</v>
      </c>
      <c r="B305" s="555" t="s">
        <v>1295</v>
      </c>
      <c r="C305" s="561" t="s">
        <v>37</v>
      </c>
      <c r="D305" s="519"/>
      <c r="E305" s="520"/>
      <c r="F305" s="520"/>
      <c r="G305" s="726"/>
      <c r="H305" s="520"/>
      <c r="I305" s="521"/>
      <c r="J305" s="521"/>
      <c r="K305" s="521"/>
      <c r="L305" s="514"/>
      <c r="M305" s="514"/>
      <c r="N305" s="756"/>
      <c r="O305" s="514"/>
      <c r="P305" s="514"/>
      <c r="Q305" s="514"/>
      <c r="R305" s="514"/>
      <c r="S305" s="514"/>
      <c r="T305" s="514"/>
      <c r="U305" s="756"/>
      <c r="V305" s="514"/>
      <c r="W305" s="514"/>
      <c r="X305" s="514"/>
      <c r="Y305" s="514"/>
      <c r="Z305" s="514"/>
      <c r="AA305" s="514"/>
      <c r="AB305" s="756"/>
      <c r="AC305" s="514"/>
      <c r="AD305" s="514"/>
      <c r="AE305" s="514"/>
      <c r="AF305" s="764"/>
      <c r="AG305" s="514"/>
      <c r="AH305" s="514"/>
      <c r="AI305" s="664">
        <f t="shared" si="19"/>
        <v>0</v>
      </c>
      <c r="AJ305" s="521">
        <v>0</v>
      </c>
      <c r="AK305" s="520">
        <f t="shared" si="20"/>
        <v>0</v>
      </c>
      <c r="AL305" s="695" t="s">
        <v>1697</v>
      </c>
      <c r="AM305" s="669">
        <f t="shared" si="21"/>
        <v>1.47</v>
      </c>
    </row>
    <row r="306" spans="1:39" s="500" customFormat="1" ht="13.5" hidden="1" thickBot="1">
      <c r="A306" s="554" t="s">
        <v>916</v>
      </c>
      <c r="B306" s="555" t="s">
        <v>1266</v>
      </c>
      <c r="C306" s="561"/>
      <c r="D306" s="519"/>
      <c r="E306" s="520"/>
      <c r="F306" s="520"/>
      <c r="G306" s="726"/>
      <c r="H306" s="520"/>
      <c r="I306" s="521"/>
      <c r="J306" s="521"/>
      <c r="K306" s="521"/>
      <c r="L306" s="514"/>
      <c r="M306" s="514"/>
      <c r="N306" s="756"/>
      <c r="O306" s="514"/>
      <c r="P306" s="514"/>
      <c r="Q306" s="514"/>
      <c r="R306" s="514"/>
      <c r="S306" s="514"/>
      <c r="T306" s="514"/>
      <c r="U306" s="756"/>
      <c r="V306" s="514"/>
      <c r="W306" s="514"/>
      <c r="X306" s="514"/>
      <c r="Y306" s="514"/>
      <c r="Z306" s="514"/>
      <c r="AA306" s="514"/>
      <c r="AB306" s="756"/>
      <c r="AC306" s="514"/>
      <c r="AD306" s="514"/>
      <c r="AE306" s="514"/>
      <c r="AF306" s="764"/>
      <c r="AG306" s="514"/>
      <c r="AH306" s="514"/>
      <c r="AI306" s="664">
        <f t="shared" si="19"/>
        <v>0</v>
      </c>
      <c r="AJ306" s="521">
        <v>0</v>
      </c>
      <c r="AK306" s="520">
        <f t="shared" si="20"/>
        <v>0</v>
      </c>
      <c r="AL306" s="695"/>
      <c r="AM306" s="669">
        <f t="shared" si="21"/>
        <v>0</v>
      </c>
    </row>
    <row r="307" spans="1:39" s="500" customFormat="1" ht="13.5" hidden="1" thickBot="1">
      <c r="A307" s="554" t="s">
        <v>917</v>
      </c>
      <c r="B307" s="555" t="s">
        <v>1267</v>
      </c>
      <c r="C307" s="561" t="s">
        <v>1451</v>
      </c>
      <c r="D307" s="519"/>
      <c r="E307" s="520"/>
      <c r="F307" s="520"/>
      <c r="G307" s="726"/>
      <c r="H307" s="520"/>
      <c r="I307" s="521"/>
      <c r="J307" s="521"/>
      <c r="K307" s="521"/>
      <c r="L307" s="514"/>
      <c r="M307" s="514"/>
      <c r="N307" s="756"/>
      <c r="O307" s="514"/>
      <c r="P307" s="514"/>
      <c r="Q307" s="514"/>
      <c r="R307" s="514"/>
      <c r="S307" s="514"/>
      <c r="T307" s="514"/>
      <c r="U307" s="756"/>
      <c r="V307" s="514"/>
      <c r="W307" s="514"/>
      <c r="X307" s="514"/>
      <c r="Y307" s="514"/>
      <c r="Z307" s="514"/>
      <c r="AA307" s="514"/>
      <c r="AB307" s="756"/>
      <c r="AC307" s="514"/>
      <c r="AD307" s="514"/>
      <c r="AE307" s="514"/>
      <c r="AF307" s="764"/>
      <c r="AG307" s="514"/>
      <c r="AH307" s="514"/>
      <c r="AI307" s="664">
        <f t="shared" ref="AI307:AI370" si="22">ROUND((SUM(D307:L307)),2)</f>
        <v>0</v>
      </c>
      <c r="AJ307" s="521">
        <v>0</v>
      </c>
      <c r="AK307" s="520">
        <f t="shared" si="20"/>
        <v>0</v>
      </c>
      <c r="AL307" s="695" t="s">
        <v>1641</v>
      </c>
      <c r="AM307" s="669">
        <f t="shared" si="21"/>
        <v>9</v>
      </c>
    </row>
    <row r="308" spans="1:39" s="500" customFormat="1" ht="13.5" hidden="1" thickBot="1">
      <c r="A308" s="554" t="s">
        <v>918</v>
      </c>
      <c r="B308" s="555" t="s">
        <v>1268</v>
      </c>
      <c r="C308" s="561" t="s">
        <v>36</v>
      </c>
      <c r="D308" s="519"/>
      <c r="E308" s="520"/>
      <c r="F308" s="520"/>
      <c r="G308" s="726"/>
      <c r="H308" s="520"/>
      <c r="I308" s="521"/>
      <c r="J308" s="521"/>
      <c r="K308" s="521"/>
      <c r="L308" s="514"/>
      <c r="M308" s="514"/>
      <c r="N308" s="756"/>
      <c r="O308" s="514"/>
      <c r="P308" s="514"/>
      <c r="Q308" s="514"/>
      <c r="R308" s="514"/>
      <c r="S308" s="514"/>
      <c r="T308" s="514"/>
      <c r="U308" s="756"/>
      <c r="V308" s="514"/>
      <c r="W308" s="514"/>
      <c r="X308" s="514"/>
      <c r="Y308" s="514"/>
      <c r="Z308" s="514"/>
      <c r="AA308" s="514"/>
      <c r="AB308" s="756"/>
      <c r="AC308" s="514"/>
      <c r="AD308" s="514"/>
      <c r="AE308" s="514"/>
      <c r="AF308" s="764"/>
      <c r="AG308" s="514"/>
      <c r="AH308" s="514"/>
      <c r="AI308" s="664">
        <f t="shared" si="22"/>
        <v>0</v>
      </c>
      <c r="AJ308" s="521">
        <v>0</v>
      </c>
      <c r="AK308" s="520">
        <f t="shared" si="20"/>
        <v>0</v>
      </c>
      <c r="AL308" s="695" t="s">
        <v>1698</v>
      </c>
      <c r="AM308" s="669">
        <f t="shared" si="21"/>
        <v>2</v>
      </c>
    </row>
    <row r="309" spans="1:39" s="500" customFormat="1" ht="13.5" hidden="1" thickBot="1">
      <c r="A309" s="554" t="s">
        <v>919</v>
      </c>
      <c r="B309" s="555" t="s">
        <v>1296</v>
      </c>
      <c r="C309" s="561" t="s">
        <v>36</v>
      </c>
      <c r="D309" s="519"/>
      <c r="E309" s="520"/>
      <c r="F309" s="520"/>
      <c r="G309" s="726"/>
      <c r="H309" s="520"/>
      <c r="I309" s="521"/>
      <c r="J309" s="521"/>
      <c r="K309" s="521"/>
      <c r="L309" s="514"/>
      <c r="M309" s="514"/>
      <c r="N309" s="756"/>
      <c r="O309" s="514"/>
      <c r="P309" s="514"/>
      <c r="Q309" s="514"/>
      <c r="R309" s="514"/>
      <c r="S309" s="514"/>
      <c r="T309" s="514"/>
      <c r="U309" s="756"/>
      <c r="V309" s="514"/>
      <c r="W309" s="514"/>
      <c r="X309" s="514"/>
      <c r="Y309" s="514"/>
      <c r="Z309" s="514"/>
      <c r="AA309" s="514"/>
      <c r="AB309" s="756"/>
      <c r="AC309" s="514"/>
      <c r="AD309" s="514"/>
      <c r="AE309" s="514"/>
      <c r="AF309" s="764"/>
      <c r="AG309" s="514"/>
      <c r="AH309" s="514"/>
      <c r="AI309" s="664">
        <f t="shared" si="22"/>
        <v>0</v>
      </c>
      <c r="AJ309" s="521">
        <v>0</v>
      </c>
      <c r="AK309" s="520">
        <f t="shared" si="20"/>
        <v>0</v>
      </c>
      <c r="AL309" s="695" t="s">
        <v>1455</v>
      </c>
      <c r="AM309" s="669">
        <f t="shared" si="21"/>
        <v>1</v>
      </c>
    </row>
    <row r="310" spans="1:39" s="500" customFormat="1" ht="13.5" hidden="1" thickBot="1">
      <c r="A310" s="554" t="s">
        <v>920</v>
      </c>
      <c r="B310" s="555" t="s">
        <v>1269</v>
      </c>
      <c r="C310" s="561"/>
      <c r="D310" s="519"/>
      <c r="E310" s="520"/>
      <c r="F310" s="520"/>
      <c r="G310" s="726"/>
      <c r="H310" s="520"/>
      <c r="I310" s="521"/>
      <c r="J310" s="521"/>
      <c r="K310" s="521"/>
      <c r="L310" s="514"/>
      <c r="M310" s="514"/>
      <c r="N310" s="756"/>
      <c r="O310" s="514"/>
      <c r="P310" s="514"/>
      <c r="Q310" s="514"/>
      <c r="R310" s="514"/>
      <c r="S310" s="514"/>
      <c r="T310" s="514"/>
      <c r="U310" s="756"/>
      <c r="V310" s="514"/>
      <c r="W310" s="514"/>
      <c r="X310" s="514"/>
      <c r="Y310" s="514"/>
      <c r="Z310" s="514"/>
      <c r="AA310" s="514"/>
      <c r="AB310" s="756"/>
      <c r="AC310" s="514"/>
      <c r="AD310" s="514"/>
      <c r="AE310" s="514"/>
      <c r="AF310" s="764"/>
      <c r="AG310" s="514"/>
      <c r="AH310" s="514"/>
      <c r="AI310" s="664">
        <f t="shared" si="22"/>
        <v>0</v>
      </c>
      <c r="AJ310" s="521">
        <v>0</v>
      </c>
      <c r="AK310" s="520">
        <f t="shared" si="20"/>
        <v>0</v>
      </c>
      <c r="AL310" s="695"/>
      <c r="AM310" s="669">
        <f t="shared" si="21"/>
        <v>0</v>
      </c>
    </row>
    <row r="311" spans="1:39" s="500" customFormat="1" ht="13.5" hidden="1" thickBot="1">
      <c r="A311" s="554" t="s">
        <v>921</v>
      </c>
      <c r="B311" s="555" t="s">
        <v>1270</v>
      </c>
      <c r="C311" s="561" t="s">
        <v>37</v>
      </c>
      <c r="D311" s="519"/>
      <c r="E311" s="520"/>
      <c r="F311" s="520"/>
      <c r="G311" s="726"/>
      <c r="H311" s="520"/>
      <c r="I311" s="521"/>
      <c r="J311" s="521"/>
      <c r="K311" s="521"/>
      <c r="L311" s="514"/>
      <c r="M311" s="514"/>
      <c r="N311" s="756"/>
      <c r="O311" s="514"/>
      <c r="P311" s="514"/>
      <c r="Q311" s="514"/>
      <c r="R311" s="514"/>
      <c r="S311" s="514"/>
      <c r="T311" s="514"/>
      <c r="U311" s="756"/>
      <c r="V311" s="514"/>
      <c r="W311" s="514"/>
      <c r="X311" s="514"/>
      <c r="Y311" s="514"/>
      <c r="Z311" s="514"/>
      <c r="AA311" s="514"/>
      <c r="AB311" s="756"/>
      <c r="AC311" s="514"/>
      <c r="AD311" s="514"/>
      <c r="AE311" s="514"/>
      <c r="AF311" s="764"/>
      <c r="AG311" s="514"/>
      <c r="AH311" s="514"/>
      <c r="AI311" s="664">
        <f t="shared" si="22"/>
        <v>0</v>
      </c>
      <c r="AJ311" s="521">
        <v>0</v>
      </c>
      <c r="AK311" s="520">
        <f t="shared" si="20"/>
        <v>0</v>
      </c>
      <c r="AL311" s="695" t="s">
        <v>1699</v>
      </c>
      <c r="AM311" s="669">
        <f t="shared" si="21"/>
        <v>7.54</v>
      </c>
    </row>
    <row r="312" spans="1:39" s="500" customFormat="1" ht="13.5" hidden="1" thickBot="1">
      <c r="A312" s="554" t="s">
        <v>922</v>
      </c>
      <c r="B312" s="555" t="s">
        <v>1271</v>
      </c>
      <c r="C312" s="561" t="s">
        <v>37</v>
      </c>
      <c r="D312" s="519"/>
      <c r="E312" s="520"/>
      <c r="F312" s="520"/>
      <c r="G312" s="726"/>
      <c r="H312" s="520"/>
      <c r="I312" s="521"/>
      <c r="J312" s="521"/>
      <c r="K312" s="521"/>
      <c r="L312" s="514"/>
      <c r="M312" s="514"/>
      <c r="N312" s="756"/>
      <c r="O312" s="514"/>
      <c r="P312" s="514"/>
      <c r="Q312" s="514"/>
      <c r="R312" s="514"/>
      <c r="S312" s="514"/>
      <c r="T312" s="514"/>
      <c r="U312" s="756"/>
      <c r="V312" s="514"/>
      <c r="W312" s="514"/>
      <c r="X312" s="514"/>
      <c r="Y312" s="514"/>
      <c r="Z312" s="514"/>
      <c r="AA312" s="514"/>
      <c r="AB312" s="756"/>
      <c r="AC312" s="514"/>
      <c r="AD312" s="514"/>
      <c r="AE312" s="514"/>
      <c r="AF312" s="764"/>
      <c r="AG312" s="514"/>
      <c r="AH312" s="514"/>
      <c r="AI312" s="664">
        <f t="shared" si="22"/>
        <v>0</v>
      </c>
      <c r="AJ312" s="521">
        <v>0</v>
      </c>
      <c r="AK312" s="520">
        <f t="shared" si="20"/>
        <v>0</v>
      </c>
      <c r="AL312" s="695" t="s">
        <v>1700</v>
      </c>
      <c r="AM312" s="669">
        <f t="shared" si="21"/>
        <v>1.25</v>
      </c>
    </row>
    <row r="313" spans="1:39" s="500" customFormat="1" ht="13.5" hidden="1" thickBot="1">
      <c r="A313" s="554" t="s">
        <v>923</v>
      </c>
      <c r="B313" s="555" t="s">
        <v>1272</v>
      </c>
      <c r="C313" s="561"/>
      <c r="D313" s="519"/>
      <c r="E313" s="520"/>
      <c r="F313" s="520"/>
      <c r="G313" s="726"/>
      <c r="H313" s="520"/>
      <c r="I313" s="521"/>
      <c r="J313" s="521"/>
      <c r="K313" s="521"/>
      <c r="L313" s="514"/>
      <c r="M313" s="514"/>
      <c r="N313" s="756"/>
      <c r="O313" s="514"/>
      <c r="P313" s="514"/>
      <c r="Q313" s="514"/>
      <c r="R313" s="514"/>
      <c r="S313" s="514"/>
      <c r="T313" s="514"/>
      <c r="U313" s="756"/>
      <c r="V313" s="514"/>
      <c r="W313" s="514"/>
      <c r="X313" s="514"/>
      <c r="Y313" s="514"/>
      <c r="Z313" s="514"/>
      <c r="AA313" s="514"/>
      <c r="AB313" s="756"/>
      <c r="AC313" s="514"/>
      <c r="AD313" s="514"/>
      <c r="AE313" s="514"/>
      <c r="AF313" s="764"/>
      <c r="AG313" s="514"/>
      <c r="AH313" s="514"/>
      <c r="AI313" s="664">
        <f t="shared" si="22"/>
        <v>0</v>
      </c>
      <c r="AJ313" s="521">
        <v>0</v>
      </c>
      <c r="AK313" s="520">
        <f t="shared" si="20"/>
        <v>0</v>
      </c>
      <c r="AL313" s="695"/>
      <c r="AM313" s="669">
        <f t="shared" si="21"/>
        <v>0</v>
      </c>
    </row>
    <row r="314" spans="1:39" s="500" customFormat="1" ht="13.5" hidden="1" thickBot="1">
      <c r="A314" s="554" t="s">
        <v>924</v>
      </c>
      <c r="B314" s="555" t="s">
        <v>1273</v>
      </c>
      <c r="C314" s="561" t="s">
        <v>37</v>
      </c>
      <c r="D314" s="519"/>
      <c r="E314" s="520"/>
      <c r="F314" s="520"/>
      <c r="G314" s="726"/>
      <c r="H314" s="520"/>
      <c r="I314" s="521"/>
      <c r="J314" s="521"/>
      <c r="K314" s="521"/>
      <c r="L314" s="514"/>
      <c r="M314" s="514"/>
      <c r="N314" s="756"/>
      <c r="O314" s="514"/>
      <c r="P314" s="514"/>
      <c r="Q314" s="514"/>
      <c r="R314" s="514"/>
      <c r="S314" s="514"/>
      <c r="T314" s="514"/>
      <c r="U314" s="756"/>
      <c r="V314" s="514"/>
      <c r="W314" s="514"/>
      <c r="X314" s="514"/>
      <c r="Y314" s="514"/>
      <c r="Z314" s="514"/>
      <c r="AA314" s="514"/>
      <c r="AB314" s="756"/>
      <c r="AC314" s="514"/>
      <c r="AD314" s="514"/>
      <c r="AE314" s="514"/>
      <c r="AF314" s="764"/>
      <c r="AG314" s="514"/>
      <c r="AH314" s="514"/>
      <c r="AI314" s="664">
        <f t="shared" si="22"/>
        <v>0</v>
      </c>
      <c r="AJ314" s="521">
        <v>0</v>
      </c>
      <c r="AK314" s="520">
        <f t="shared" si="20"/>
        <v>0</v>
      </c>
      <c r="AL314" s="695" t="s">
        <v>1685</v>
      </c>
      <c r="AM314" s="669">
        <f t="shared" si="21"/>
        <v>38.24</v>
      </c>
    </row>
    <row r="315" spans="1:39" s="500" customFormat="1" ht="13.5" hidden="1" thickBot="1">
      <c r="A315" s="554" t="s">
        <v>925</v>
      </c>
      <c r="B315" s="555" t="s">
        <v>1274</v>
      </c>
      <c r="C315" s="561" t="s">
        <v>37</v>
      </c>
      <c r="D315" s="519"/>
      <c r="E315" s="520"/>
      <c r="F315" s="520"/>
      <c r="G315" s="726"/>
      <c r="H315" s="520"/>
      <c r="I315" s="521"/>
      <c r="J315" s="521"/>
      <c r="K315" s="521"/>
      <c r="L315" s="514"/>
      <c r="M315" s="514"/>
      <c r="N315" s="756"/>
      <c r="O315" s="514"/>
      <c r="P315" s="514"/>
      <c r="Q315" s="514"/>
      <c r="R315" s="514"/>
      <c r="S315" s="514"/>
      <c r="T315" s="514"/>
      <c r="U315" s="756"/>
      <c r="V315" s="514"/>
      <c r="W315" s="514"/>
      <c r="X315" s="514"/>
      <c r="Y315" s="514"/>
      <c r="Z315" s="514"/>
      <c r="AA315" s="514"/>
      <c r="AB315" s="756"/>
      <c r="AC315" s="514"/>
      <c r="AD315" s="514"/>
      <c r="AE315" s="514"/>
      <c r="AF315" s="764"/>
      <c r="AG315" s="514"/>
      <c r="AH315" s="514"/>
      <c r="AI315" s="664">
        <f t="shared" si="22"/>
        <v>0</v>
      </c>
      <c r="AJ315" s="521">
        <v>0</v>
      </c>
      <c r="AK315" s="520">
        <f t="shared" si="20"/>
        <v>0</v>
      </c>
      <c r="AL315" s="695" t="s">
        <v>1679</v>
      </c>
      <c r="AM315" s="669">
        <f t="shared" si="21"/>
        <v>83.58</v>
      </c>
    </row>
    <row r="316" spans="1:39" s="500" customFormat="1" ht="13.5" hidden="1" thickBot="1">
      <c r="A316" s="554" t="s">
        <v>926</v>
      </c>
      <c r="B316" s="555" t="s">
        <v>1275</v>
      </c>
      <c r="C316" s="561" t="s">
        <v>37</v>
      </c>
      <c r="D316" s="519"/>
      <c r="E316" s="520"/>
      <c r="F316" s="520"/>
      <c r="G316" s="726"/>
      <c r="H316" s="520"/>
      <c r="I316" s="521"/>
      <c r="J316" s="521"/>
      <c r="K316" s="521"/>
      <c r="L316" s="514"/>
      <c r="M316" s="514"/>
      <c r="N316" s="756"/>
      <c r="O316" s="514"/>
      <c r="P316" s="514"/>
      <c r="Q316" s="514"/>
      <c r="R316" s="514"/>
      <c r="S316" s="514"/>
      <c r="T316" s="514"/>
      <c r="U316" s="756"/>
      <c r="V316" s="514"/>
      <c r="W316" s="514"/>
      <c r="X316" s="514"/>
      <c r="Y316" s="514"/>
      <c r="Z316" s="514"/>
      <c r="AA316" s="514"/>
      <c r="AB316" s="756"/>
      <c r="AC316" s="514"/>
      <c r="AD316" s="514"/>
      <c r="AE316" s="514"/>
      <c r="AF316" s="764"/>
      <c r="AG316" s="514"/>
      <c r="AH316" s="514"/>
      <c r="AI316" s="664">
        <f t="shared" si="22"/>
        <v>0</v>
      </c>
      <c r="AJ316" s="521">
        <v>0</v>
      </c>
      <c r="AK316" s="520">
        <f t="shared" si="20"/>
        <v>0</v>
      </c>
      <c r="AL316" s="695" t="s">
        <v>1677</v>
      </c>
      <c r="AM316" s="669">
        <f t="shared" si="21"/>
        <v>45.75</v>
      </c>
    </row>
    <row r="317" spans="1:39" s="500" customFormat="1" ht="13.5" hidden="1" thickBot="1">
      <c r="A317" s="554" t="s">
        <v>927</v>
      </c>
      <c r="B317" s="555" t="s">
        <v>1276</v>
      </c>
      <c r="C317" s="561" t="s">
        <v>37</v>
      </c>
      <c r="D317" s="519"/>
      <c r="E317" s="520"/>
      <c r="F317" s="520"/>
      <c r="G317" s="726"/>
      <c r="H317" s="520"/>
      <c r="I317" s="521"/>
      <c r="J317" s="521"/>
      <c r="K317" s="521"/>
      <c r="L317" s="514"/>
      <c r="M317" s="514"/>
      <c r="N317" s="756"/>
      <c r="O317" s="514"/>
      <c r="P317" s="514"/>
      <c r="Q317" s="514"/>
      <c r="R317" s="514"/>
      <c r="S317" s="514"/>
      <c r="T317" s="514"/>
      <c r="U317" s="756"/>
      <c r="V317" s="514"/>
      <c r="W317" s="514"/>
      <c r="X317" s="514"/>
      <c r="Y317" s="514"/>
      <c r="Z317" s="514"/>
      <c r="AA317" s="514"/>
      <c r="AB317" s="756"/>
      <c r="AC317" s="514"/>
      <c r="AD317" s="514"/>
      <c r="AE317" s="514"/>
      <c r="AF317" s="764"/>
      <c r="AG317" s="514"/>
      <c r="AH317" s="514"/>
      <c r="AI317" s="664">
        <f t="shared" si="22"/>
        <v>0</v>
      </c>
      <c r="AJ317" s="521">
        <v>0</v>
      </c>
      <c r="AK317" s="520">
        <f t="shared" si="20"/>
        <v>0</v>
      </c>
      <c r="AL317" s="695" t="s">
        <v>1680</v>
      </c>
      <c r="AM317" s="669">
        <f t="shared" si="21"/>
        <v>12.95</v>
      </c>
    </row>
    <row r="318" spans="1:39" s="500" customFormat="1" ht="13.5" hidden="1" thickBot="1">
      <c r="A318" s="554" t="s">
        <v>928</v>
      </c>
      <c r="B318" s="555" t="s">
        <v>1277</v>
      </c>
      <c r="C318" s="561" t="s">
        <v>37</v>
      </c>
      <c r="D318" s="519"/>
      <c r="E318" s="520"/>
      <c r="F318" s="520"/>
      <c r="G318" s="726"/>
      <c r="H318" s="520"/>
      <c r="I318" s="521"/>
      <c r="J318" s="521"/>
      <c r="K318" s="521"/>
      <c r="L318" s="514"/>
      <c r="M318" s="514"/>
      <c r="N318" s="756"/>
      <c r="O318" s="514"/>
      <c r="P318" s="514"/>
      <c r="Q318" s="514"/>
      <c r="R318" s="514"/>
      <c r="S318" s="514"/>
      <c r="T318" s="514"/>
      <c r="U318" s="756"/>
      <c r="V318" s="514"/>
      <c r="W318" s="514"/>
      <c r="X318" s="514"/>
      <c r="Y318" s="514"/>
      <c r="Z318" s="514"/>
      <c r="AA318" s="514"/>
      <c r="AB318" s="756"/>
      <c r="AC318" s="514"/>
      <c r="AD318" s="514"/>
      <c r="AE318" s="514"/>
      <c r="AF318" s="764"/>
      <c r="AG318" s="514"/>
      <c r="AH318" s="514"/>
      <c r="AI318" s="664">
        <f t="shared" si="22"/>
        <v>0</v>
      </c>
      <c r="AJ318" s="521">
        <v>0</v>
      </c>
      <c r="AK318" s="520">
        <f t="shared" si="20"/>
        <v>0</v>
      </c>
      <c r="AL318" s="695" t="s">
        <v>1681</v>
      </c>
      <c r="AM318" s="669">
        <f t="shared" si="21"/>
        <v>24.87</v>
      </c>
    </row>
    <row r="319" spans="1:39" s="500" customFormat="1" ht="13.5" hidden="1" thickBot="1">
      <c r="A319" s="554" t="s">
        <v>929</v>
      </c>
      <c r="B319" s="555" t="s">
        <v>1278</v>
      </c>
      <c r="C319" s="561" t="s">
        <v>37</v>
      </c>
      <c r="D319" s="519"/>
      <c r="E319" s="520"/>
      <c r="F319" s="520"/>
      <c r="G319" s="726"/>
      <c r="H319" s="520"/>
      <c r="I319" s="521"/>
      <c r="J319" s="521"/>
      <c r="K319" s="521"/>
      <c r="L319" s="514"/>
      <c r="M319" s="514"/>
      <c r="N319" s="756"/>
      <c r="O319" s="514"/>
      <c r="P319" s="514"/>
      <c r="Q319" s="514"/>
      <c r="R319" s="514"/>
      <c r="S319" s="514"/>
      <c r="T319" s="514"/>
      <c r="U319" s="756"/>
      <c r="V319" s="514"/>
      <c r="W319" s="514"/>
      <c r="X319" s="514"/>
      <c r="Y319" s="514"/>
      <c r="Z319" s="514"/>
      <c r="AA319" s="514"/>
      <c r="AB319" s="756"/>
      <c r="AC319" s="514"/>
      <c r="AD319" s="514"/>
      <c r="AE319" s="514"/>
      <c r="AF319" s="764"/>
      <c r="AG319" s="514"/>
      <c r="AH319" s="514"/>
      <c r="AI319" s="664">
        <f t="shared" si="22"/>
        <v>0</v>
      </c>
      <c r="AJ319" s="521">
        <v>0</v>
      </c>
      <c r="AK319" s="520">
        <f t="shared" si="20"/>
        <v>0</v>
      </c>
      <c r="AL319" s="695" t="s">
        <v>1692</v>
      </c>
      <c r="AM319" s="669">
        <f t="shared" si="21"/>
        <v>6.66</v>
      </c>
    </row>
    <row r="320" spans="1:39" s="500" customFormat="1" ht="13.5" hidden="1" thickBot="1">
      <c r="A320" s="554" t="s">
        <v>930</v>
      </c>
      <c r="B320" s="555" t="s">
        <v>1279</v>
      </c>
      <c r="C320" s="561" t="s">
        <v>37</v>
      </c>
      <c r="D320" s="519"/>
      <c r="E320" s="520"/>
      <c r="F320" s="520"/>
      <c r="G320" s="726"/>
      <c r="H320" s="520"/>
      <c r="I320" s="521"/>
      <c r="J320" s="521"/>
      <c r="K320" s="521"/>
      <c r="L320" s="514"/>
      <c r="M320" s="514"/>
      <c r="N320" s="756"/>
      <c r="O320" s="514"/>
      <c r="P320" s="514"/>
      <c r="Q320" s="514"/>
      <c r="R320" s="514"/>
      <c r="S320" s="514"/>
      <c r="T320" s="514"/>
      <c r="U320" s="756"/>
      <c r="V320" s="514"/>
      <c r="W320" s="514"/>
      <c r="X320" s="514"/>
      <c r="Y320" s="514"/>
      <c r="Z320" s="514"/>
      <c r="AA320" s="514"/>
      <c r="AB320" s="756"/>
      <c r="AC320" s="514"/>
      <c r="AD320" s="514"/>
      <c r="AE320" s="514"/>
      <c r="AF320" s="764"/>
      <c r="AG320" s="514"/>
      <c r="AH320" s="514"/>
      <c r="AI320" s="664">
        <f t="shared" si="22"/>
        <v>0</v>
      </c>
      <c r="AJ320" s="521">
        <v>0</v>
      </c>
      <c r="AK320" s="520">
        <f t="shared" si="20"/>
        <v>0</v>
      </c>
      <c r="AL320" s="695" t="s">
        <v>1701</v>
      </c>
      <c r="AM320" s="669">
        <f t="shared" si="21"/>
        <v>12.48</v>
      </c>
    </row>
    <row r="321" spans="1:39" s="500" customFormat="1" ht="13.5" hidden="1" thickBot="1">
      <c r="A321" s="554" t="s">
        <v>931</v>
      </c>
      <c r="B321" s="555" t="s">
        <v>1280</v>
      </c>
      <c r="C321" s="561"/>
      <c r="D321" s="519"/>
      <c r="E321" s="520"/>
      <c r="F321" s="520"/>
      <c r="G321" s="726"/>
      <c r="H321" s="520"/>
      <c r="I321" s="521"/>
      <c r="J321" s="521"/>
      <c r="K321" s="521"/>
      <c r="L321" s="514"/>
      <c r="M321" s="514"/>
      <c r="N321" s="756"/>
      <c r="O321" s="514"/>
      <c r="P321" s="514"/>
      <c r="Q321" s="514"/>
      <c r="R321" s="514"/>
      <c r="S321" s="514"/>
      <c r="T321" s="514"/>
      <c r="U321" s="756"/>
      <c r="V321" s="514"/>
      <c r="W321" s="514"/>
      <c r="X321" s="514"/>
      <c r="Y321" s="514"/>
      <c r="Z321" s="514"/>
      <c r="AA321" s="514"/>
      <c r="AB321" s="756"/>
      <c r="AC321" s="514"/>
      <c r="AD321" s="514"/>
      <c r="AE321" s="514"/>
      <c r="AF321" s="764"/>
      <c r="AG321" s="514"/>
      <c r="AH321" s="514"/>
      <c r="AI321" s="664">
        <f t="shared" si="22"/>
        <v>0</v>
      </c>
      <c r="AJ321" s="521">
        <v>0</v>
      </c>
      <c r="AK321" s="520">
        <f t="shared" si="20"/>
        <v>0</v>
      </c>
      <c r="AL321" s="695"/>
      <c r="AM321" s="669">
        <f t="shared" si="21"/>
        <v>0</v>
      </c>
    </row>
    <row r="322" spans="1:39" s="500" customFormat="1" ht="13.5" hidden="1" thickBot="1">
      <c r="A322" s="554" t="s">
        <v>932</v>
      </c>
      <c r="B322" s="555" t="s">
        <v>1281</v>
      </c>
      <c r="C322" s="561" t="s">
        <v>1450</v>
      </c>
      <c r="D322" s="519"/>
      <c r="E322" s="520"/>
      <c r="F322" s="520"/>
      <c r="G322" s="726"/>
      <c r="H322" s="520"/>
      <c r="I322" s="521"/>
      <c r="J322" s="521"/>
      <c r="K322" s="521"/>
      <c r="L322" s="514"/>
      <c r="M322" s="514"/>
      <c r="N322" s="756"/>
      <c r="O322" s="514"/>
      <c r="P322" s="514"/>
      <c r="Q322" s="514"/>
      <c r="R322" s="514"/>
      <c r="S322" s="514"/>
      <c r="T322" s="514"/>
      <c r="U322" s="756"/>
      <c r="V322" s="514"/>
      <c r="W322" s="514"/>
      <c r="X322" s="514"/>
      <c r="Y322" s="514"/>
      <c r="Z322" s="514"/>
      <c r="AA322" s="514"/>
      <c r="AB322" s="756"/>
      <c r="AC322" s="514"/>
      <c r="AD322" s="514"/>
      <c r="AE322" s="514"/>
      <c r="AF322" s="764"/>
      <c r="AG322" s="514"/>
      <c r="AH322" s="514"/>
      <c r="AI322" s="664">
        <f t="shared" si="22"/>
        <v>0</v>
      </c>
      <c r="AJ322" s="521">
        <v>0</v>
      </c>
      <c r="AK322" s="520">
        <f t="shared" si="20"/>
        <v>0</v>
      </c>
      <c r="AL322" s="695" t="s">
        <v>1455</v>
      </c>
      <c r="AM322" s="669">
        <f t="shared" si="21"/>
        <v>1</v>
      </c>
    </row>
    <row r="323" spans="1:39" s="500" customFormat="1" ht="13.5" hidden="1" thickBot="1">
      <c r="A323" s="554" t="s">
        <v>933</v>
      </c>
      <c r="B323" s="555" t="s">
        <v>1282</v>
      </c>
      <c r="C323" s="561" t="s">
        <v>64</v>
      </c>
      <c r="D323" s="519"/>
      <c r="E323" s="520"/>
      <c r="F323" s="520"/>
      <c r="G323" s="726"/>
      <c r="H323" s="520"/>
      <c r="I323" s="521"/>
      <c r="J323" s="521"/>
      <c r="K323" s="521"/>
      <c r="L323" s="514"/>
      <c r="M323" s="514"/>
      <c r="N323" s="756"/>
      <c r="O323" s="514"/>
      <c r="P323" s="514"/>
      <c r="Q323" s="514"/>
      <c r="R323" s="514"/>
      <c r="S323" s="514"/>
      <c r="T323" s="514"/>
      <c r="U323" s="756"/>
      <c r="V323" s="514"/>
      <c r="W323" s="514"/>
      <c r="X323" s="514"/>
      <c r="Y323" s="514"/>
      <c r="Z323" s="514"/>
      <c r="AA323" s="514"/>
      <c r="AB323" s="756"/>
      <c r="AC323" s="514"/>
      <c r="AD323" s="514"/>
      <c r="AE323" s="514"/>
      <c r="AF323" s="764"/>
      <c r="AG323" s="514"/>
      <c r="AH323" s="514"/>
      <c r="AI323" s="664">
        <f t="shared" si="22"/>
        <v>0</v>
      </c>
      <c r="AJ323" s="521">
        <v>0</v>
      </c>
      <c r="AK323" s="520">
        <f t="shared" si="20"/>
        <v>0</v>
      </c>
      <c r="AL323" s="695" t="s">
        <v>1455</v>
      </c>
      <c r="AM323" s="669">
        <f t="shared" si="21"/>
        <v>1</v>
      </c>
    </row>
    <row r="324" spans="1:39" s="500" customFormat="1" ht="13.5" hidden="1" thickBot="1">
      <c r="A324" s="554" t="s">
        <v>934</v>
      </c>
      <c r="B324" s="555" t="s">
        <v>1283</v>
      </c>
      <c r="C324" s="561" t="s">
        <v>37</v>
      </c>
      <c r="D324" s="519"/>
      <c r="E324" s="520"/>
      <c r="F324" s="520"/>
      <c r="G324" s="726"/>
      <c r="H324" s="520"/>
      <c r="I324" s="521"/>
      <c r="J324" s="521"/>
      <c r="K324" s="521"/>
      <c r="L324" s="514"/>
      <c r="M324" s="514"/>
      <c r="N324" s="756"/>
      <c r="O324" s="514"/>
      <c r="P324" s="514"/>
      <c r="Q324" s="514"/>
      <c r="R324" s="514"/>
      <c r="S324" s="514"/>
      <c r="T324" s="514"/>
      <c r="U324" s="756"/>
      <c r="V324" s="514"/>
      <c r="W324" s="514"/>
      <c r="X324" s="514"/>
      <c r="Y324" s="514"/>
      <c r="Z324" s="514"/>
      <c r="AA324" s="514"/>
      <c r="AB324" s="756"/>
      <c r="AC324" s="514"/>
      <c r="AD324" s="514"/>
      <c r="AE324" s="514"/>
      <c r="AF324" s="764"/>
      <c r="AG324" s="514"/>
      <c r="AH324" s="514"/>
      <c r="AI324" s="664">
        <f t="shared" si="22"/>
        <v>0</v>
      </c>
      <c r="AJ324" s="521">
        <v>0</v>
      </c>
      <c r="AK324" s="520">
        <f t="shared" si="20"/>
        <v>0</v>
      </c>
      <c r="AL324" s="695" t="s">
        <v>1702</v>
      </c>
      <c r="AM324" s="669">
        <f t="shared" si="21"/>
        <v>6.79</v>
      </c>
    </row>
    <row r="325" spans="1:39" s="500" customFormat="1" ht="13.5" hidden="1" thickBot="1">
      <c r="A325" s="554" t="s">
        <v>518</v>
      </c>
      <c r="B325" s="555" t="s">
        <v>1297</v>
      </c>
      <c r="C325" s="561"/>
      <c r="D325" s="519"/>
      <c r="E325" s="520"/>
      <c r="F325" s="520"/>
      <c r="G325" s="726"/>
      <c r="H325" s="520"/>
      <c r="I325" s="521"/>
      <c r="J325" s="521"/>
      <c r="K325" s="521"/>
      <c r="L325" s="514"/>
      <c r="M325" s="514"/>
      <c r="N325" s="756"/>
      <c r="O325" s="514"/>
      <c r="P325" s="514"/>
      <c r="Q325" s="514"/>
      <c r="R325" s="514"/>
      <c r="S325" s="514"/>
      <c r="T325" s="514"/>
      <c r="U325" s="756"/>
      <c r="V325" s="514"/>
      <c r="W325" s="514"/>
      <c r="X325" s="514"/>
      <c r="Y325" s="514"/>
      <c r="Z325" s="514"/>
      <c r="AA325" s="514"/>
      <c r="AB325" s="756"/>
      <c r="AC325" s="514"/>
      <c r="AD325" s="514"/>
      <c r="AE325" s="514"/>
      <c r="AF325" s="764"/>
      <c r="AG325" s="514"/>
      <c r="AH325" s="514"/>
      <c r="AI325" s="664">
        <f t="shared" si="22"/>
        <v>0</v>
      </c>
      <c r="AJ325" s="521">
        <v>0</v>
      </c>
      <c r="AK325" s="520">
        <f t="shared" si="20"/>
        <v>0</v>
      </c>
      <c r="AL325" s="695"/>
      <c r="AM325" s="669">
        <f t="shared" si="21"/>
        <v>0</v>
      </c>
    </row>
    <row r="326" spans="1:39" s="500" customFormat="1" ht="13.5" hidden="1" thickBot="1">
      <c r="A326" s="554" t="s">
        <v>519</v>
      </c>
      <c r="B326" s="555" t="s">
        <v>1236</v>
      </c>
      <c r="C326" s="561"/>
      <c r="D326" s="519"/>
      <c r="E326" s="520"/>
      <c r="F326" s="520"/>
      <c r="G326" s="726"/>
      <c r="H326" s="520"/>
      <c r="I326" s="521"/>
      <c r="J326" s="521"/>
      <c r="K326" s="521"/>
      <c r="L326" s="514"/>
      <c r="M326" s="514"/>
      <c r="N326" s="756"/>
      <c r="O326" s="514"/>
      <c r="P326" s="514"/>
      <c r="Q326" s="514"/>
      <c r="R326" s="514"/>
      <c r="S326" s="514"/>
      <c r="T326" s="514"/>
      <c r="U326" s="756"/>
      <c r="V326" s="514"/>
      <c r="W326" s="514"/>
      <c r="X326" s="514"/>
      <c r="Y326" s="514"/>
      <c r="Z326" s="514"/>
      <c r="AA326" s="514"/>
      <c r="AB326" s="756"/>
      <c r="AC326" s="514"/>
      <c r="AD326" s="514"/>
      <c r="AE326" s="514"/>
      <c r="AF326" s="764"/>
      <c r="AG326" s="514"/>
      <c r="AH326" s="514"/>
      <c r="AI326" s="664">
        <f t="shared" si="22"/>
        <v>0</v>
      </c>
      <c r="AJ326" s="521">
        <v>0</v>
      </c>
      <c r="AK326" s="520">
        <f t="shared" si="20"/>
        <v>0</v>
      </c>
      <c r="AL326" s="695"/>
      <c r="AM326" s="669">
        <f t="shared" si="21"/>
        <v>0</v>
      </c>
    </row>
    <row r="327" spans="1:39" s="500" customFormat="1" ht="13.5" hidden="1" thickBot="1">
      <c r="A327" s="554" t="s">
        <v>520</v>
      </c>
      <c r="B327" s="555" t="s">
        <v>1237</v>
      </c>
      <c r="C327" s="561" t="s">
        <v>37</v>
      </c>
      <c r="D327" s="519"/>
      <c r="E327" s="520"/>
      <c r="F327" s="520"/>
      <c r="G327" s="726"/>
      <c r="H327" s="520"/>
      <c r="I327" s="521"/>
      <c r="J327" s="521"/>
      <c r="K327" s="521"/>
      <c r="L327" s="514"/>
      <c r="M327" s="514"/>
      <c r="N327" s="756"/>
      <c r="O327" s="514"/>
      <c r="P327" s="514"/>
      <c r="Q327" s="514"/>
      <c r="R327" s="514"/>
      <c r="S327" s="514"/>
      <c r="T327" s="514"/>
      <c r="U327" s="756"/>
      <c r="V327" s="514"/>
      <c r="W327" s="514"/>
      <c r="X327" s="514"/>
      <c r="Y327" s="514"/>
      <c r="Z327" s="514"/>
      <c r="AA327" s="514"/>
      <c r="AB327" s="756"/>
      <c r="AC327" s="514"/>
      <c r="AD327" s="514"/>
      <c r="AE327" s="514"/>
      <c r="AF327" s="764"/>
      <c r="AG327" s="514"/>
      <c r="AH327" s="514"/>
      <c r="AI327" s="664">
        <f t="shared" si="22"/>
        <v>0</v>
      </c>
      <c r="AJ327" s="521">
        <v>0</v>
      </c>
      <c r="AK327" s="520">
        <f t="shared" si="20"/>
        <v>0</v>
      </c>
      <c r="AL327" s="695" t="s">
        <v>1703</v>
      </c>
      <c r="AM327" s="669">
        <f t="shared" si="21"/>
        <v>56.66</v>
      </c>
    </row>
    <row r="328" spans="1:39" s="500" customFormat="1" ht="13.5" hidden="1" thickBot="1">
      <c r="A328" s="554" t="s">
        <v>521</v>
      </c>
      <c r="B328" s="555" t="s">
        <v>1238</v>
      </c>
      <c r="C328" s="561" t="s">
        <v>37</v>
      </c>
      <c r="D328" s="519"/>
      <c r="E328" s="520"/>
      <c r="F328" s="520"/>
      <c r="G328" s="726"/>
      <c r="H328" s="520"/>
      <c r="I328" s="521"/>
      <c r="J328" s="521"/>
      <c r="K328" s="521"/>
      <c r="L328" s="514"/>
      <c r="M328" s="514"/>
      <c r="N328" s="756"/>
      <c r="O328" s="514"/>
      <c r="P328" s="514"/>
      <c r="Q328" s="514"/>
      <c r="R328" s="514"/>
      <c r="S328" s="514"/>
      <c r="T328" s="514"/>
      <c r="U328" s="756"/>
      <c r="V328" s="514"/>
      <c r="W328" s="514"/>
      <c r="X328" s="514"/>
      <c r="Y328" s="514"/>
      <c r="Z328" s="514"/>
      <c r="AA328" s="514"/>
      <c r="AB328" s="756"/>
      <c r="AC328" s="514"/>
      <c r="AD328" s="514"/>
      <c r="AE328" s="514"/>
      <c r="AF328" s="764"/>
      <c r="AG328" s="514"/>
      <c r="AH328" s="514"/>
      <c r="AI328" s="664">
        <f t="shared" si="22"/>
        <v>0</v>
      </c>
      <c r="AJ328" s="521">
        <v>0</v>
      </c>
      <c r="AK328" s="520">
        <f t="shared" si="20"/>
        <v>0</v>
      </c>
      <c r="AL328" s="695" t="s">
        <v>1704</v>
      </c>
      <c r="AM328" s="669">
        <f t="shared" si="21"/>
        <v>8.17</v>
      </c>
    </row>
    <row r="329" spans="1:39" s="500" customFormat="1" ht="13.5" hidden="1" thickBot="1">
      <c r="A329" s="554" t="s">
        <v>522</v>
      </c>
      <c r="B329" s="555" t="s">
        <v>1239</v>
      </c>
      <c r="C329" s="561"/>
      <c r="D329" s="519"/>
      <c r="E329" s="520"/>
      <c r="F329" s="520"/>
      <c r="G329" s="726"/>
      <c r="H329" s="520"/>
      <c r="I329" s="521"/>
      <c r="J329" s="521"/>
      <c r="K329" s="521"/>
      <c r="L329" s="514"/>
      <c r="M329" s="514"/>
      <c r="N329" s="756"/>
      <c r="O329" s="514"/>
      <c r="P329" s="514"/>
      <c r="Q329" s="514"/>
      <c r="R329" s="514"/>
      <c r="S329" s="514"/>
      <c r="T329" s="514"/>
      <c r="U329" s="756"/>
      <c r="V329" s="514"/>
      <c r="W329" s="514"/>
      <c r="X329" s="514"/>
      <c r="Y329" s="514"/>
      <c r="Z329" s="514"/>
      <c r="AA329" s="514"/>
      <c r="AB329" s="756"/>
      <c r="AC329" s="514"/>
      <c r="AD329" s="514"/>
      <c r="AE329" s="514"/>
      <c r="AF329" s="764"/>
      <c r="AG329" s="514"/>
      <c r="AH329" s="514"/>
      <c r="AI329" s="664">
        <f t="shared" si="22"/>
        <v>0</v>
      </c>
      <c r="AJ329" s="521">
        <v>0</v>
      </c>
      <c r="AK329" s="520">
        <f t="shared" si="20"/>
        <v>0</v>
      </c>
      <c r="AL329" s="695"/>
      <c r="AM329" s="669">
        <f t="shared" si="21"/>
        <v>0</v>
      </c>
    </row>
    <row r="330" spans="1:39" s="500" customFormat="1" ht="13.5" hidden="1" thickBot="1">
      <c r="A330" s="554" t="s">
        <v>523</v>
      </c>
      <c r="B330" s="555" t="s">
        <v>1240</v>
      </c>
      <c r="C330" s="561" t="s">
        <v>37</v>
      </c>
      <c r="D330" s="519"/>
      <c r="E330" s="520"/>
      <c r="F330" s="520"/>
      <c r="G330" s="726"/>
      <c r="H330" s="520"/>
      <c r="I330" s="521"/>
      <c r="J330" s="521"/>
      <c r="K330" s="521"/>
      <c r="L330" s="514"/>
      <c r="M330" s="514"/>
      <c r="N330" s="756"/>
      <c r="O330" s="514"/>
      <c r="P330" s="514"/>
      <c r="Q330" s="514"/>
      <c r="R330" s="514"/>
      <c r="S330" s="514"/>
      <c r="T330" s="514"/>
      <c r="U330" s="756"/>
      <c r="V330" s="514"/>
      <c r="W330" s="514"/>
      <c r="X330" s="514"/>
      <c r="Y330" s="514"/>
      <c r="Z330" s="514"/>
      <c r="AA330" s="514"/>
      <c r="AB330" s="756"/>
      <c r="AC330" s="514"/>
      <c r="AD330" s="514"/>
      <c r="AE330" s="514"/>
      <c r="AF330" s="764"/>
      <c r="AG330" s="514"/>
      <c r="AH330" s="514"/>
      <c r="AI330" s="664">
        <f t="shared" si="22"/>
        <v>0</v>
      </c>
      <c r="AJ330" s="521">
        <v>0</v>
      </c>
      <c r="AK330" s="520">
        <f t="shared" si="20"/>
        <v>0</v>
      </c>
      <c r="AL330" s="695" t="s">
        <v>1705</v>
      </c>
      <c r="AM330" s="669">
        <f t="shared" si="21"/>
        <v>77.680000000000007</v>
      </c>
    </row>
    <row r="331" spans="1:39" s="500" customFormat="1" ht="13.5" hidden="1" thickBot="1">
      <c r="A331" s="554" t="s">
        <v>935</v>
      </c>
      <c r="B331" s="555" t="s">
        <v>1241</v>
      </c>
      <c r="C331" s="561" t="s">
        <v>37</v>
      </c>
      <c r="D331" s="519"/>
      <c r="E331" s="520"/>
      <c r="F331" s="520"/>
      <c r="G331" s="726"/>
      <c r="H331" s="520"/>
      <c r="I331" s="521"/>
      <c r="J331" s="521"/>
      <c r="K331" s="521"/>
      <c r="L331" s="514"/>
      <c r="M331" s="514"/>
      <c r="N331" s="756"/>
      <c r="O331" s="514"/>
      <c r="P331" s="514"/>
      <c r="Q331" s="514"/>
      <c r="R331" s="514"/>
      <c r="S331" s="514"/>
      <c r="T331" s="514"/>
      <c r="U331" s="756"/>
      <c r="V331" s="514"/>
      <c r="W331" s="514"/>
      <c r="X331" s="514"/>
      <c r="Y331" s="514"/>
      <c r="Z331" s="514"/>
      <c r="AA331" s="514"/>
      <c r="AB331" s="756"/>
      <c r="AC331" s="514"/>
      <c r="AD331" s="514"/>
      <c r="AE331" s="514"/>
      <c r="AF331" s="764"/>
      <c r="AG331" s="514"/>
      <c r="AH331" s="514"/>
      <c r="AI331" s="664">
        <f t="shared" si="22"/>
        <v>0</v>
      </c>
      <c r="AJ331" s="521">
        <v>0</v>
      </c>
      <c r="AK331" s="520">
        <f t="shared" si="20"/>
        <v>0</v>
      </c>
      <c r="AL331" s="695" t="s">
        <v>1706</v>
      </c>
      <c r="AM331" s="669">
        <f t="shared" si="21"/>
        <v>51.98</v>
      </c>
    </row>
    <row r="332" spans="1:39" s="500" customFormat="1" ht="13.5" hidden="1" thickBot="1">
      <c r="A332" s="554" t="s">
        <v>936</v>
      </c>
      <c r="B332" s="555" t="s">
        <v>1242</v>
      </c>
      <c r="C332" s="561" t="s">
        <v>37</v>
      </c>
      <c r="D332" s="519"/>
      <c r="E332" s="520"/>
      <c r="F332" s="520"/>
      <c r="G332" s="726"/>
      <c r="H332" s="520"/>
      <c r="I332" s="521"/>
      <c r="J332" s="521"/>
      <c r="K332" s="521"/>
      <c r="L332" s="514"/>
      <c r="M332" s="514"/>
      <c r="N332" s="756"/>
      <c r="O332" s="514"/>
      <c r="P332" s="514"/>
      <c r="Q332" s="514"/>
      <c r="R332" s="514"/>
      <c r="S332" s="514"/>
      <c r="T332" s="514"/>
      <c r="U332" s="756"/>
      <c r="V332" s="514"/>
      <c r="W332" s="514"/>
      <c r="X332" s="514"/>
      <c r="Y332" s="514"/>
      <c r="Z332" s="514"/>
      <c r="AA332" s="514"/>
      <c r="AB332" s="756"/>
      <c r="AC332" s="514"/>
      <c r="AD332" s="514"/>
      <c r="AE332" s="514"/>
      <c r="AF332" s="764"/>
      <c r="AG332" s="514"/>
      <c r="AH332" s="514"/>
      <c r="AI332" s="664">
        <f t="shared" si="22"/>
        <v>0</v>
      </c>
      <c r="AJ332" s="521">
        <v>0</v>
      </c>
      <c r="AK332" s="520">
        <f t="shared" si="20"/>
        <v>0</v>
      </c>
      <c r="AL332" s="695" t="s">
        <v>1707</v>
      </c>
      <c r="AM332" s="669">
        <f t="shared" si="21"/>
        <v>12</v>
      </c>
    </row>
    <row r="333" spans="1:39" s="500" customFormat="1" ht="13.5" hidden="1" thickBot="1">
      <c r="A333" s="554" t="s">
        <v>937</v>
      </c>
      <c r="B333" s="555" t="s">
        <v>1243</v>
      </c>
      <c r="C333" s="561" t="s">
        <v>37</v>
      </c>
      <c r="D333" s="519"/>
      <c r="E333" s="520"/>
      <c r="F333" s="520"/>
      <c r="G333" s="726"/>
      <c r="H333" s="520"/>
      <c r="I333" s="521"/>
      <c r="J333" s="521"/>
      <c r="K333" s="521"/>
      <c r="L333" s="514"/>
      <c r="M333" s="514"/>
      <c r="N333" s="756"/>
      <c r="O333" s="514"/>
      <c r="P333" s="514"/>
      <c r="Q333" s="514"/>
      <c r="R333" s="514"/>
      <c r="S333" s="514"/>
      <c r="T333" s="514"/>
      <c r="U333" s="756"/>
      <c r="V333" s="514"/>
      <c r="W333" s="514"/>
      <c r="X333" s="514"/>
      <c r="Y333" s="514"/>
      <c r="Z333" s="514"/>
      <c r="AA333" s="514"/>
      <c r="AB333" s="756"/>
      <c r="AC333" s="514"/>
      <c r="AD333" s="514"/>
      <c r="AE333" s="514"/>
      <c r="AF333" s="764"/>
      <c r="AG333" s="514"/>
      <c r="AH333" s="514"/>
      <c r="AI333" s="664">
        <f t="shared" si="22"/>
        <v>0</v>
      </c>
      <c r="AJ333" s="521">
        <v>0</v>
      </c>
      <c r="AK333" s="520">
        <f t="shared" si="20"/>
        <v>0</v>
      </c>
      <c r="AL333" s="695" t="s">
        <v>1708</v>
      </c>
      <c r="AM333" s="669">
        <f t="shared" si="21"/>
        <v>19.97</v>
      </c>
    </row>
    <row r="334" spans="1:39" s="500" customFormat="1" ht="13.5" hidden="1" thickBot="1">
      <c r="A334" s="554" t="s">
        <v>938</v>
      </c>
      <c r="B334" s="555" t="s">
        <v>1244</v>
      </c>
      <c r="C334" s="561" t="s">
        <v>37</v>
      </c>
      <c r="D334" s="519"/>
      <c r="E334" s="520"/>
      <c r="F334" s="520"/>
      <c r="G334" s="726"/>
      <c r="H334" s="520"/>
      <c r="I334" s="521"/>
      <c r="J334" s="521"/>
      <c r="K334" s="521"/>
      <c r="L334" s="514"/>
      <c r="M334" s="514"/>
      <c r="N334" s="756"/>
      <c r="O334" s="514"/>
      <c r="P334" s="514"/>
      <c r="Q334" s="514"/>
      <c r="R334" s="514"/>
      <c r="S334" s="514"/>
      <c r="T334" s="514"/>
      <c r="U334" s="756"/>
      <c r="V334" s="514"/>
      <c r="W334" s="514"/>
      <c r="X334" s="514"/>
      <c r="Y334" s="514"/>
      <c r="Z334" s="514"/>
      <c r="AA334" s="514"/>
      <c r="AB334" s="756"/>
      <c r="AC334" s="514"/>
      <c r="AD334" s="514"/>
      <c r="AE334" s="514"/>
      <c r="AF334" s="764"/>
      <c r="AG334" s="514"/>
      <c r="AH334" s="514"/>
      <c r="AI334" s="664">
        <f t="shared" si="22"/>
        <v>0</v>
      </c>
      <c r="AJ334" s="521">
        <v>0</v>
      </c>
      <c r="AK334" s="520">
        <f t="shared" si="20"/>
        <v>0</v>
      </c>
      <c r="AL334" s="695" t="s">
        <v>1709</v>
      </c>
      <c r="AM334" s="669">
        <f t="shared" si="21"/>
        <v>35.729999999999997</v>
      </c>
    </row>
    <row r="335" spans="1:39" s="500" customFormat="1" ht="13.5" hidden="1" thickBot="1">
      <c r="A335" s="554" t="s">
        <v>939</v>
      </c>
      <c r="B335" s="555" t="s">
        <v>1245</v>
      </c>
      <c r="C335" s="561" t="s">
        <v>38</v>
      </c>
      <c r="D335" s="519"/>
      <c r="E335" s="520"/>
      <c r="F335" s="520"/>
      <c r="G335" s="726"/>
      <c r="H335" s="520"/>
      <c r="I335" s="521"/>
      <c r="J335" s="521"/>
      <c r="K335" s="521"/>
      <c r="L335" s="514"/>
      <c r="M335" s="514"/>
      <c r="N335" s="756"/>
      <c r="O335" s="514"/>
      <c r="P335" s="514"/>
      <c r="Q335" s="514"/>
      <c r="R335" s="514"/>
      <c r="S335" s="514"/>
      <c r="T335" s="514"/>
      <c r="U335" s="756"/>
      <c r="V335" s="514"/>
      <c r="W335" s="514"/>
      <c r="X335" s="514"/>
      <c r="Y335" s="514"/>
      <c r="Z335" s="514"/>
      <c r="AA335" s="514"/>
      <c r="AB335" s="756"/>
      <c r="AC335" s="514"/>
      <c r="AD335" s="514"/>
      <c r="AE335" s="514"/>
      <c r="AF335" s="764"/>
      <c r="AG335" s="514"/>
      <c r="AH335" s="514"/>
      <c r="AI335" s="664">
        <f t="shared" si="22"/>
        <v>0</v>
      </c>
      <c r="AJ335" s="521">
        <v>0</v>
      </c>
      <c r="AK335" s="520">
        <f t="shared" si="20"/>
        <v>0</v>
      </c>
      <c r="AL335" s="695" t="s">
        <v>1710</v>
      </c>
      <c r="AM335" s="669">
        <f t="shared" si="21"/>
        <v>35.9</v>
      </c>
    </row>
    <row r="336" spans="1:39" s="500" customFormat="1" ht="13.5" hidden="1" thickBot="1">
      <c r="A336" s="554" t="s">
        <v>940</v>
      </c>
      <c r="B336" s="555" t="s">
        <v>1246</v>
      </c>
      <c r="C336" s="561" t="s">
        <v>38</v>
      </c>
      <c r="D336" s="519"/>
      <c r="E336" s="520"/>
      <c r="F336" s="520"/>
      <c r="G336" s="726"/>
      <c r="H336" s="520"/>
      <c r="I336" s="521"/>
      <c r="J336" s="521"/>
      <c r="K336" s="521"/>
      <c r="L336" s="514"/>
      <c r="M336" s="514"/>
      <c r="N336" s="756"/>
      <c r="O336" s="514"/>
      <c r="P336" s="514"/>
      <c r="Q336" s="514"/>
      <c r="R336" s="514"/>
      <c r="S336" s="514"/>
      <c r="T336" s="514"/>
      <c r="U336" s="756"/>
      <c r="V336" s="514"/>
      <c r="W336" s="514"/>
      <c r="X336" s="514"/>
      <c r="Y336" s="514"/>
      <c r="Z336" s="514"/>
      <c r="AA336" s="514"/>
      <c r="AB336" s="756"/>
      <c r="AC336" s="514"/>
      <c r="AD336" s="514"/>
      <c r="AE336" s="514"/>
      <c r="AF336" s="764"/>
      <c r="AG336" s="514"/>
      <c r="AH336" s="514"/>
      <c r="AI336" s="664">
        <f t="shared" si="22"/>
        <v>0</v>
      </c>
      <c r="AJ336" s="521">
        <v>0</v>
      </c>
      <c r="AK336" s="520">
        <f t="shared" si="20"/>
        <v>0</v>
      </c>
      <c r="AL336" s="695" t="s">
        <v>1711</v>
      </c>
      <c r="AM336" s="669">
        <f t="shared" si="21"/>
        <v>151.28</v>
      </c>
    </row>
    <row r="337" spans="1:39" s="500" customFormat="1" ht="13.5" hidden="1" thickBot="1">
      <c r="A337" s="554" t="s">
        <v>524</v>
      </c>
      <c r="B337" s="555" t="s">
        <v>1247</v>
      </c>
      <c r="C337" s="561"/>
      <c r="D337" s="519"/>
      <c r="E337" s="520"/>
      <c r="F337" s="520"/>
      <c r="G337" s="726"/>
      <c r="H337" s="520"/>
      <c r="I337" s="521"/>
      <c r="J337" s="521"/>
      <c r="K337" s="521"/>
      <c r="L337" s="514"/>
      <c r="M337" s="514"/>
      <c r="N337" s="756"/>
      <c r="O337" s="514"/>
      <c r="P337" s="514"/>
      <c r="Q337" s="514"/>
      <c r="R337" s="514"/>
      <c r="S337" s="514"/>
      <c r="T337" s="514"/>
      <c r="U337" s="756"/>
      <c r="V337" s="514"/>
      <c r="W337" s="514"/>
      <c r="X337" s="514"/>
      <c r="Y337" s="514"/>
      <c r="Z337" s="514"/>
      <c r="AA337" s="514"/>
      <c r="AB337" s="756"/>
      <c r="AC337" s="514"/>
      <c r="AD337" s="514"/>
      <c r="AE337" s="514"/>
      <c r="AF337" s="764"/>
      <c r="AG337" s="514"/>
      <c r="AH337" s="514"/>
      <c r="AI337" s="664">
        <f t="shared" si="22"/>
        <v>0</v>
      </c>
      <c r="AJ337" s="521">
        <v>0</v>
      </c>
      <c r="AK337" s="520">
        <f t="shared" si="20"/>
        <v>0</v>
      </c>
      <c r="AL337" s="695"/>
      <c r="AM337" s="669">
        <f t="shared" si="21"/>
        <v>0</v>
      </c>
    </row>
    <row r="338" spans="1:39" s="500" customFormat="1" ht="13.5" hidden="1" thickBot="1">
      <c r="A338" s="554" t="s">
        <v>525</v>
      </c>
      <c r="B338" s="555" t="s">
        <v>1248</v>
      </c>
      <c r="C338" s="561" t="s">
        <v>37</v>
      </c>
      <c r="D338" s="519"/>
      <c r="E338" s="520"/>
      <c r="F338" s="520"/>
      <c r="G338" s="726"/>
      <c r="H338" s="520"/>
      <c r="I338" s="521"/>
      <c r="J338" s="521"/>
      <c r="K338" s="521"/>
      <c r="L338" s="514"/>
      <c r="M338" s="514"/>
      <c r="N338" s="756"/>
      <c r="O338" s="514"/>
      <c r="P338" s="514"/>
      <c r="Q338" s="514"/>
      <c r="R338" s="514"/>
      <c r="S338" s="514"/>
      <c r="T338" s="514"/>
      <c r="U338" s="756"/>
      <c r="V338" s="514"/>
      <c r="W338" s="514"/>
      <c r="X338" s="514"/>
      <c r="Y338" s="514"/>
      <c r="Z338" s="514"/>
      <c r="AA338" s="514"/>
      <c r="AB338" s="756"/>
      <c r="AC338" s="514"/>
      <c r="AD338" s="514"/>
      <c r="AE338" s="514"/>
      <c r="AF338" s="764"/>
      <c r="AG338" s="514"/>
      <c r="AH338" s="514"/>
      <c r="AI338" s="664">
        <f t="shared" si="22"/>
        <v>0</v>
      </c>
      <c r="AJ338" s="521">
        <v>0</v>
      </c>
      <c r="AK338" s="520">
        <f t="shared" si="20"/>
        <v>0</v>
      </c>
      <c r="AL338" s="695" t="s">
        <v>1712</v>
      </c>
      <c r="AM338" s="669">
        <f t="shared" si="21"/>
        <v>33.950000000000003</v>
      </c>
    </row>
    <row r="339" spans="1:39" s="500" customFormat="1" ht="13.5" hidden="1" thickBot="1">
      <c r="A339" s="554" t="s">
        <v>941</v>
      </c>
      <c r="B339" s="555" t="s">
        <v>1249</v>
      </c>
      <c r="C339" s="561"/>
      <c r="D339" s="519"/>
      <c r="E339" s="520"/>
      <c r="F339" s="520"/>
      <c r="G339" s="726"/>
      <c r="H339" s="520"/>
      <c r="I339" s="521"/>
      <c r="J339" s="521"/>
      <c r="K339" s="521"/>
      <c r="L339" s="514"/>
      <c r="M339" s="514"/>
      <c r="N339" s="756"/>
      <c r="O339" s="514"/>
      <c r="P339" s="514"/>
      <c r="Q339" s="514"/>
      <c r="R339" s="514"/>
      <c r="S339" s="514"/>
      <c r="T339" s="514"/>
      <c r="U339" s="756"/>
      <c r="V339" s="514"/>
      <c r="W339" s="514"/>
      <c r="X339" s="514"/>
      <c r="Y339" s="514"/>
      <c r="Z339" s="514"/>
      <c r="AA339" s="514"/>
      <c r="AB339" s="756"/>
      <c r="AC339" s="514"/>
      <c r="AD339" s="514"/>
      <c r="AE339" s="514"/>
      <c r="AF339" s="764"/>
      <c r="AG339" s="514"/>
      <c r="AH339" s="514"/>
      <c r="AI339" s="664">
        <f t="shared" si="22"/>
        <v>0</v>
      </c>
      <c r="AJ339" s="521">
        <v>0</v>
      </c>
      <c r="AK339" s="520">
        <f t="shared" si="20"/>
        <v>0</v>
      </c>
      <c r="AL339" s="695"/>
      <c r="AM339" s="669">
        <f t="shared" si="21"/>
        <v>0</v>
      </c>
    </row>
    <row r="340" spans="1:39" s="500" customFormat="1" ht="13.5" hidden="1" thickBot="1">
      <c r="A340" s="554" t="s">
        <v>942</v>
      </c>
      <c r="B340" s="555" t="s">
        <v>1250</v>
      </c>
      <c r="C340" s="561" t="s">
        <v>37</v>
      </c>
      <c r="D340" s="519"/>
      <c r="E340" s="520"/>
      <c r="F340" s="520"/>
      <c r="G340" s="726"/>
      <c r="H340" s="520"/>
      <c r="I340" s="521"/>
      <c r="J340" s="521"/>
      <c r="K340" s="521"/>
      <c r="L340" s="514"/>
      <c r="M340" s="514"/>
      <c r="N340" s="756"/>
      <c r="O340" s="514"/>
      <c r="P340" s="514"/>
      <c r="Q340" s="514"/>
      <c r="R340" s="514"/>
      <c r="S340" s="514"/>
      <c r="T340" s="514"/>
      <c r="U340" s="756"/>
      <c r="V340" s="514"/>
      <c r="W340" s="514"/>
      <c r="X340" s="514"/>
      <c r="Y340" s="514"/>
      <c r="Z340" s="514"/>
      <c r="AA340" s="514"/>
      <c r="AB340" s="756"/>
      <c r="AC340" s="514"/>
      <c r="AD340" s="514"/>
      <c r="AE340" s="514"/>
      <c r="AF340" s="764"/>
      <c r="AG340" s="514"/>
      <c r="AH340" s="514"/>
      <c r="AI340" s="664">
        <f t="shared" si="22"/>
        <v>0</v>
      </c>
      <c r="AJ340" s="521">
        <v>0</v>
      </c>
      <c r="AK340" s="520">
        <f t="shared" si="20"/>
        <v>0</v>
      </c>
      <c r="AL340" s="695" t="s">
        <v>1713</v>
      </c>
      <c r="AM340" s="669">
        <f t="shared" si="21"/>
        <v>22.08</v>
      </c>
    </row>
    <row r="341" spans="1:39" s="500" customFormat="1" ht="13.5" hidden="1" thickBot="1">
      <c r="A341" s="554" t="s">
        <v>943</v>
      </c>
      <c r="B341" s="555" t="s">
        <v>1251</v>
      </c>
      <c r="C341" s="561" t="s">
        <v>37</v>
      </c>
      <c r="D341" s="519"/>
      <c r="E341" s="520"/>
      <c r="F341" s="520"/>
      <c r="G341" s="726"/>
      <c r="H341" s="520"/>
      <c r="I341" s="521"/>
      <c r="J341" s="521"/>
      <c r="K341" s="521"/>
      <c r="L341" s="514"/>
      <c r="M341" s="514"/>
      <c r="N341" s="756"/>
      <c r="O341" s="514"/>
      <c r="P341" s="514"/>
      <c r="Q341" s="514"/>
      <c r="R341" s="514"/>
      <c r="S341" s="514"/>
      <c r="T341" s="514"/>
      <c r="U341" s="756"/>
      <c r="V341" s="514"/>
      <c r="W341" s="514"/>
      <c r="X341" s="514"/>
      <c r="Y341" s="514"/>
      <c r="Z341" s="514"/>
      <c r="AA341" s="514"/>
      <c r="AB341" s="756"/>
      <c r="AC341" s="514"/>
      <c r="AD341" s="514"/>
      <c r="AE341" s="514"/>
      <c r="AF341" s="764"/>
      <c r="AG341" s="514"/>
      <c r="AH341" s="514"/>
      <c r="AI341" s="664">
        <f t="shared" si="22"/>
        <v>0</v>
      </c>
      <c r="AJ341" s="521">
        <v>0</v>
      </c>
      <c r="AK341" s="520">
        <f t="shared" si="20"/>
        <v>0</v>
      </c>
      <c r="AL341" s="695" t="s">
        <v>1714</v>
      </c>
      <c r="AM341" s="669">
        <f t="shared" si="21"/>
        <v>12.13</v>
      </c>
    </row>
    <row r="342" spans="1:39" s="500" customFormat="1" ht="13.5" hidden="1" thickBot="1">
      <c r="A342" s="554" t="s">
        <v>944</v>
      </c>
      <c r="B342" s="555" t="s">
        <v>1252</v>
      </c>
      <c r="C342" s="561" t="s">
        <v>37</v>
      </c>
      <c r="D342" s="519"/>
      <c r="E342" s="520"/>
      <c r="F342" s="520"/>
      <c r="G342" s="726"/>
      <c r="H342" s="520"/>
      <c r="I342" s="521"/>
      <c r="J342" s="521"/>
      <c r="K342" s="521"/>
      <c r="L342" s="514"/>
      <c r="M342" s="514"/>
      <c r="N342" s="756"/>
      <c r="O342" s="514"/>
      <c r="P342" s="514"/>
      <c r="Q342" s="514"/>
      <c r="R342" s="514"/>
      <c r="S342" s="514"/>
      <c r="T342" s="514"/>
      <c r="U342" s="756"/>
      <c r="V342" s="514"/>
      <c r="W342" s="514"/>
      <c r="X342" s="514"/>
      <c r="Y342" s="514"/>
      <c r="Z342" s="514"/>
      <c r="AA342" s="514"/>
      <c r="AB342" s="756"/>
      <c r="AC342" s="514"/>
      <c r="AD342" s="514"/>
      <c r="AE342" s="514"/>
      <c r="AF342" s="764"/>
      <c r="AG342" s="514"/>
      <c r="AH342" s="514"/>
      <c r="AI342" s="664">
        <f t="shared" si="22"/>
        <v>0</v>
      </c>
      <c r="AJ342" s="521">
        <v>0</v>
      </c>
      <c r="AK342" s="520">
        <f t="shared" ref="AK342:AK405" si="23">AI342+AJ342</f>
        <v>0</v>
      </c>
      <c r="AL342" s="695" t="s">
        <v>1715</v>
      </c>
      <c r="AM342" s="669">
        <f t="shared" ref="AM342:AM405" si="24">AL342-AK342</f>
        <v>9.9499999999999993</v>
      </c>
    </row>
    <row r="343" spans="1:39" s="500" customFormat="1" ht="13.5" hidden="1" thickBot="1">
      <c r="A343" s="554" t="s">
        <v>945</v>
      </c>
      <c r="B343" s="555" t="s">
        <v>1256</v>
      </c>
      <c r="C343" s="561"/>
      <c r="D343" s="519"/>
      <c r="E343" s="520"/>
      <c r="F343" s="520"/>
      <c r="G343" s="726"/>
      <c r="H343" s="520"/>
      <c r="I343" s="521"/>
      <c r="J343" s="521"/>
      <c r="K343" s="521"/>
      <c r="L343" s="514"/>
      <c r="M343" s="514"/>
      <c r="N343" s="756"/>
      <c r="O343" s="514"/>
      <c r="P343" s="514"/>
      <c r="Q343" s="514"/>
      <c r="R343" s="514"/>
      <c r="S343" s="514"/>
      <c r="T343" s="514"/>
      <c r="U343" s="756"/>
      <c r="V343" s="514"/>
      <c r="W343" s="514"/>
      <c r="X343" s="514"/>
      <c r="Y343" s="514"/>
      <c r="Z343" s="514"/>
      <c r="AA343" s="514"/>
      <c r="AB343" s="756"/>
      <c r="AC343" s="514"/>
      <c r="AD343" s="514"/>
      <c r="AE343" s="514"/>
      <c r="AF343" s="764"/>
      <c r="AG343" s="514"/>
      <c r="AH343" s="514"/>
      <c r="AI343" s="664">
        <f t="shared" si="22"/>
        <v>0</v>
      </c>
      <c r="AJ343" s="521">
        <v>0</v>
      </c>
      <c r="AK343" s="520">
        <f t="shared" si="23"/>
        <v>0</v>
      </c>
      <c r="AL343" s="695"/>
      <c r="AM343" s="669">
        <f t="shared" si="24"/>
        <v>0</v>
      </c>
    </row>
    <row r="344" spans="1:39" s="500" customFormat="1" ht="13.5" hidden="1" thickBot="1">
      <c r="A344" s="554" t="s">
        <v>946</v>
      </c>
      <c r="B344" s="555" t="s">
        <v>1257</v>
      </c>
      <c r="C344" s="561" t="s">
        <v>37</v>
      </c>
      <c r="D344" s="519"/>
      <c r="E344" s="520"/>
      <c r="F344" s="520"/>
      <c r="G344" s="726"/>
      <c r="H344" s="520"/>
      <c r="I344" s="521"/>
      <c r="J344" s="521"/>
      <c r="K344" s="521"/>
      <c r="L344" s="514"/>
      <c r="M344" s="514"/>
      <c r="N344" s="756"/>
      <c r="O344" s="514"/>
      <c r="P344" s="514"/>
      <c r="Q344" s="514"/>
      <c r="R344" s="514"/>
      <c r="S344" s="514"/>
      <c r="T344" s="514"/>
      <c r="U344" s="756"/>
      <c r="V344" s="514"/>
      <c r="W344" s="514"/>
      <c r="X344" s="514"/>
      <c r="Y344" s="514"/>
      <c r="Z344" s="514"/>
      <c r="AA344" s="514"/>
      <c r="AB344" s="756"/>
      <c r="AC344" s="514"/>
      <c r="AD344" s="514"/>
      <c r="AE344" s="514"/>
      <c r="AF344" s="764"/>
      <c r="AG344" s="514"/>
      <c r="AH344" s="514"/>
      <c r="AI344" s="664">
        <f t="shared" si="22"/>
        <v>0</v>
      </c>
      <c r="AJ344" s="521">
        <v>0</v>
      </c>
      <c r="AK344" s="520">
        <f t="shared" si="23"/>
        <v>0</v>
      </c>
      <c r="AL344" s="695" t="s">
        <v>1716</v>
      </c>
      <c r="AM344" s="669">
        <f t="shared" si="24"/>
        <v>8.93</v>
      </c>
    </row>
    <row r="345" spans="1:39" s="500" customFormat="1" ht="13.5" hidden="1" thickBot="1">
      <c r="A345" s="554" t="s">
        <v>947</v>
      </c>
      <c r="B345" s="555" t="s">
        <v>1258</v>
      </c>
      <c r="C345" s="561"/>
      <c r="D345" s="519"/>
      <c r="E345" s="520"/>
      <c r="F345" s="520"/>
      <c r="G345" s="726"/>
      <c r="H345" s="520"/>
      <c r="I345" s="521"/>
      <c r="J345" s="521"/>
      <c r="K345" s="521"/>
      <c r="L345" s="514"/>
      <c r="M345" s="514"/>
      <c r="N345" s="756"/>
      <c r="O345" s="514"/>
      <c r="P345" s="514"/>
      <c r="Q345" s="514"/>
      <c r="R345" s="514"/>
      <c r="S345" s="514"/>
      <c r="T345" s="514"/>
      <c r="U345" s="756"/>
      <c r="V345" s="514"/>
      <c r="W345" s="514"/>
      <c r="X345" s="514"/>
      <c r="Y345" s="514"/>
      <c r="Z345" s="514"/>
      <c r="AA345" s="514"/>
      <c r="AB345" s="756"/>
      <c r="AC345" s="514"/>
      <c r="AD345" s="514"/>
      <c r="AE345" s="514"/>
      <c r="AF345" s="764"/>
      <c r="AG345" s="514"/>
      <c r="AH345" s="514"/>
      <c r="AI345" s="664">
        <f t="shared" si="22"/>
        <v>0</v>
      </c>
      <c r="AJ345" s="521">
        <v>0</v>
      </c>
      <c r="AK345" s="520">
        <f t="shared" si="23"/>
        <v>0</v>
      </c>
      <c r="AL345" s="695"/>
      <c r="AM345" s="669">
        <f t="shared" si="24"/>
        <v>0</v>
      </c>
    </row>
    <row r="346" spans="1:39" s="500" customFormat="1" ht="13.5" hidden="1" thickBot="1">
      <c r="A346" s="554" t="s">
        <v>948</v>
      </c>
      <c r="B346" s="555" t="s">
        <v>1259</v>
      </c>
      <c r="C346" s="561" t="s">
        <v>37</v>
      </c>
      <c r="D346" s="519"/>
      <c r="E346" s="520"/>
      <c r="F346" s="520"/>
      <c r="G346" s="726"/>
      <c r="H346" s="520"/>
      <c r="I346" s="521"/>
      <c r="J346" s="521"/>
      <c r="K346" s="521"/>
      <c r="L346" s="514"/>
      <c r="M346" s="514"/>
      <c r="N346" s="756"/>
      <c r="O346" s="514"/>
      <c r="P346" s="514"/>
      <c r="Q346" s="514"/>
      <c r="R346" s="514"/>
      <c r="S346" s="514"/>
      <c r="T346" s="514"/>
      <c r="U346" s="756"/>
      <c r="V346" s="514"/>
      <c r="W346" s="514"/>
      <c r="X346" s="514"/>
      <c r="Y346" s="514"/>
      <c r="Z346" s="514"/>
      <c r="AA346" s="514"/>
      <c r="AB346" s="756"/>
      <c r="AC346" s="514"/>
      <c r="AD346" s="514"/>
      <c r="AE346" s="514"/>
      <c r="AF346" s="764"/>
      <c r="AG346" s="514"/>
      <c r="AH346" s="514"/>
      <c r="AI346" s="664">
        <f t="shared" si="22"/>
        <v>0</v>
      </c>
      <c r="AJ346" s="521">
        <v>0</v>
      </c>
      <c r="AK346" s="520">
        <f t="shared" si="23"/>
        <v>0</v>
      </c>
      <c r="AL346" s="695" t="s">
        <v>1717</v>
      </c>
      <c r="AM346" s="669">
        <f t="shared" si="24"/>
        <v>6.91</v>
      </c>
    </row>
    <row r="347" spans="1:39" s="500" customFormat="1" ht="13.5" hidden="1" thickBot="1">
      <c r="A347" s="554" t="s">
        <v>949</v>
      </c>
      <c r="B347" s="555" t="s">
        <v>1286</v>
      </c>
      <c r="C347" s="561" t="s">
        <v>37</v>
      </c>
      <c r="D347" s="519"/>
      <c r="E347" s="520"/>
      <c r="F347" s="520"/>
      <c r="G347" s="726"/>
      <c r="H347" s="520"/>
      <c r="I347" s="521"/>
      <c r="J347" s="521"/>
      <c r="K347" s="521"/>
      <c r="L347" s="514"/>
      <c r="M347" s="514"/>
      <c r="N347" s="756"/>
      <c r="O347" s="514"/>
      <c r="P347" s="514"/>
      <c r="Q347" s="514"/>
      <c r="R347" s="514"/>
      <c r="S347" s="514"/>
      <c r="T347" s="514"/>
      <c r="U347" s="756"/>
      <c r="V347" s="514"/>
      <c r="W347" s="514"/>
      <c r="X347" s="514"/>
      <c r="Y347" s="514"/>
      <c r="Z347" s="514"/>
      <c r="AA347" s="514"/>
      <c r="AB347" s="756"/>
      <c r="AC347" s="514"/>
      <c r="AD347" s="514"/>
      <c r="AE347" s="514"/>
      <c r="AF347" s="764"/>
      <c r="AG347" s="514"/>
      <c r="AH347" s="514"/>
      <c r="AI347" s="664">
        <f t="shared" si="22"/>
        <v>0</v>
      </c>
      <c r="AJ347" s="521">
        <v>0</v>
      </c>
      <c r="AK347" s="520">
        <f t="shared" si="23"/>
        <v>0</v>
      </c>
      <c r="AL347" s="695" t="s">
        <v>1718</v>
      </c>
      <c r="AM347" s="669">
        <f t="shared" si="24"/>
        <v>8.86</v>
      </c>
    </row>
    <row r="348" spans="1:39" s="500" customFormat="1" ht="13.5" hidden="1" thickBot="1">
      <c r="A348" s="554" t="s">
        <v>950</v>
      </c>
      <c r="B348" s="555" t="s">
        <v>1260</v>
      </c>
      <c r="C348" s="561" t="s">
        <v>38</v>
      </c>
      <c r="D348" s="519"/>
      <c r="E348" s="520"/>
      <c r="F348" s="520"/>
      <c r="G348" s="726"/>
      <c r="H348" s="520"/>
      <c r="I348" s="521"/>
      <c r="J348" s="521"/>
      <c r="K348" s="521"/>
      <c r="L348" s="514"/>
      <c r="M348" s="514"/>
      <c r="N348" s="756"/>
      <c r="O348" s="514"/>
      <c r="P348" s="514"/>
      <c r="Q348" s="514"/>
      <c r="R348" s="514"/>
      <c r="S348" s="514"/>
      <c r="T348" s="514"/>
      <c r="U348" s="756"/>
      <c r="V348" s="514"/>
      <c r="W348" s="514"/>
      <c r="X348" s="514"/>
      <c r="Y348" s="514"/>
      <c r="Z348" s="514"/>
      <c r="AA348" s="514"/>
      <c r="AB348" s="756"/>
      <c r="AC348" s="514"/>
      <c r="AD348" s="514"/>
      <c r="AE348" s="514"/>
      <c r="AF348" s="764"/>
      <c r="AG348" s="514"/>
      <c r="AH348" s="514"/>
      <c r="AI348" s="664">
        <f t="shared" si="22"/>
        <v>0</v>
      </c>
      <c r="AJ348" s="521">
        <v>0</v>
      </c>
      <c r="AK348" s="520">
        <f t="shared" si="23"/>
        <v>0</v>
      </c>
      <c r="AL348" s="695" t="s">
        <v>1719</v>
      </c>
      <c r="AM348" s="669">
        <f t="shared" si="24"/>
        <v>10.78</v>
      </c>
    </row>
    <row r="349" spans="1:39" s="500" customFormat="1" ht="13.5" hidden="1" thickBot="1">
      <c r="A349" s="554" t="s">
        <v>951</v>
      </c>
      <c r="B349" s="555" t="s">
        <v>1261</v>
      </c>
      <c r="C349" s="561" t="s">
        <v>38</v>
      </c>
      <c r="D349" s="519"/>
      <c r="E349" s="520"/>
      <c r="F349" s="520"/>
      <c r="G349" s="726"/>
      <c r="H349" s="520"/>
      <c r="I349" s="521"/>
      <c r="J349" s="521"/>
      <c r="K349" s="521"/>
      <c r="L349" s="514"/>
      <c r="M349" s="514"/>
      <c r="N349" s="756"/>
      <c r="O349" s="514"/>
      <c r="P349" s="514"/>
      <c r="Q349" s="514"/>
      <c r="R349" s="514"/>
      <c r="S349" s="514"/>
      <c r="T349" s="514"/>
      <c r="U349" s="756"/>
      <c r="V349" s="514"/>
      <c r="W349" s="514"/>
      <c r="X349" s="514"/>
      <c r="Y349" s="514"/>
      <c r="Z349" s="514"/>
      <c r="AA349" s="514"/>
      <c r="AB349" s="756"/>
      <c r="AC349" s="514"/>
      <c r="AD349" s="514"/>
      <c r="AE349" s="514"/>
      <c r="AF349" s="764"/>
      <c r="AG349" s="514"/>
      <c r="AH349" s="514"/>
      <c r="AI349" s="664">
        <f t="shared" si="22"/>
        <v>0</v>
      </c>
      <c r="AJ349" s="521">
        <v>0</v>
      </c>
      <c r="AK349" s="520">
        <f t="shared" si="23"/>
        <v>0</v>
      </c>
      <c r="AL349" s="695" t="s">
        <v>1720</v>
      </c>
      <c r="AM349" s="669">
        <f t="shared" si="24"/>
        <v>14.4</v>
      </c>
    </row>
    <row r="350" spans="1:39" s="500" customFormat="1" ht="13.5" hidden="1" thickBot="1">
      <c r="A350" s="554" t="s">
        <v>952</v>
      </c>
      <c r="B350" s="555" t="s">
        <v>1198</v>
      </c>
      <c r="C350" s="561"/>
      <c r="D350" s="519"/>
      <c r="E350" s="520"/>
      <c r="F350" s="520"/>
      <c r="G350" s="726"/>
      <c r="H350" s="520"/>
      <c r="I350" s="521"/>
      <c r="J350" s="521"/>
      <c r="K350" s="521"/>
      <c r="L350" s="514"/>
      <c r="M350" s="514"/>
      <c r="N350" s="756"/>
      <c r="O350" s="514"/>
      <c r="P350" s="514"/>
      <c r="Q350" s="514"/>
      <c r="R350" s="514"/>
      <c r="S350" s="514"/>
      <c r="T350" s="514"/>
      <c r="U350" s="756"/>
      <c r="V350" s="514"/>
      <c r="W350" s="514"/>
      <c r="X350" s="514"/>
      <c r="Y350" s="514"/>
      <c r="Z350" s="514"/>
      <c r="AA350" s="514"/>
      <c r="AB350" s="756"/>
      <c r="AC350" s="514"/>
      <c r="AD350" s="514"/>
      <c r="AE350" s="514"/>
      <c r="AF350" s="764"/>
      <c r="AG350" s="514"/>
      <c r="AH350" s="514"/>
      <c r="AI350" s="664">
        <f t="shared" si="22"/>
        <v>0</v>
      </c>
      <c r="AJ350" s="521">
        <v>0</v>
      </c>
      <c r="AK350" s="520">
        <f t="shared" si="23"/>
        <v>0</v>
      </c>
      <c r="AL350" s="695"/>
      <c r="AM350" s="669">
        <f t="shared" si="24"/>
        <v>0</v>
      </c>
    </row>
    <row r="351" spans="1:39" s="500" customFormat="1" ht="13.5" hidden="1" thickBot="1">
      <c r="A351" s="554" t="s">
        <v>953</v>
      </c>
      <c r="B351" s="555" t="s">
        <v>1262</v>
      </c>
      <c r="C351" s="561" t="s">
        <v>37</v>
      </c>
      <c r="D351" s="519"/>
      <c r="E351" s="520"/>
      <c r="F351" s="520"/>
      <c r="G351" s="726"/>
      <c r="H351" s="520"/>
      <c r="I351" s="521"/>
      <c r="J351" s="521"/>
      <c r="K351" s="521"/>
      <c r="L351" s="514"/>
      <c r="M351" s="514"/>
      <c r="N351" s="756"/>
      <c r="O351" s="514"/>
      <c r="P351" s="514"/>
      <c r="Q351" s="514"/>
      <c r="R351" s="514"/>
      <c r="S351" s="514"/>
      <c r="T351" s="514"/>
      <c r="U351" s="756"/>
      <c r="V351" s="514"/>
      <c r="W351" s="514"/>
      <c r="X351" s="514"/>
      <c r="Y351" s="514"/>
      <c r="Z351" s="514"/>
      <c r="AA351" s="514"/>
      <c r="AB351" s="756"/>
      <c r="AC351" s="514"/>
      <c r="AD351" s="514"/>
      <c r="AE351" s="514"/>
      <c r="AF351" s="764"/>
      <c r="AG351" s="514"/>
      <c r="AH351" s="514"/>
      <c r="AI351" s="664">
        <f t="shared" si="22"/>
        <v>0</v>
      </c>
      <c r="AJ351" s="521">
        <v>0</v>
      </c>
      <c r="AK351" s="520">
        <f t="shared" si="23"/>
        <v>0</v>
      </c>
      <c r="AL351" s="695" t="s">
        <v>1721</v>
      </c>
      <c r="AM351" s="669">
        <f t="shared" si="24"/>
        <v>21.28</v>
      </c>
    </row>
    <row r="352" spans="1:39" s="500" customFormat="1" ht="13.5" hidden="1" thickBot="1">
      <c r="A352" s="554" t="s">
        <v>954</v>
      </c>
      <c r="B352" s="555" t="s">
        <v>1263</v>
      </c>
      <c r="C352" s="561" t="s">
        <v>38</v>
      </c>
      <c r="D352" s="519"/>
      <c r="E352" s="520"/>
      <c r="F352" s="520"/>
      <c r="G352" s="726"/>
      <c r="H352" s="520"/>
      <c r="I352" s="521"/>
      <c r="J352" s="521"/>
      <c r="K352" s="521"/>
      <c r="L352" s="514"/>
      <c r="M352" s="514"/>
      <c r="N352" s="756"/>
      <c r="O352" s="514"/>
      <c r="P352" s="514"/>
      <c r="Q352" s="514"/>
      <c r="R352" s="514"/>
      <c r="S352" s="514"/>
      <c r="T352" s="514"/>
      <c r="U352" s="756"/>
      <c r="V352" s="514"/>
      <c r="W352" s="514"/>
      <c r="X352" s="514"/>
      <c r="Y352" s="514"/>
      <c r="Z352" s="514"/>
      <c r="AA352" s="514"/>
      <c r="AB352" s="756"/>
      <c r="AC352" s="514"/>
      <c r="AD352" s="514"/>
      <c r="AE352" s="514"/>
      <c r="AF352" s="764"/>
      <c r="AG352" s="514"/>
      <c r="AH352" s="514"/>
      <c r="AI352" s="664">
        <f t="shared" si="22"/>
        <v>0</v>
      </c>
      <c r="AJ352" s="521">
        <v>0</v>
      </c>
      <c r="AK352" s="520">
        <f t="shared" si="23"/>
        <v>0</v>
      </c>
      <c r="AL352" s="695" t="s">
        <v>1689</v>
      </c>
      <c r="AM352" s="669">
        <f t="shared" si="24"/>
        <v>6.15</v>
      </c>
    </row>
    <row r="353" spans="1:39" s="500" customFormat="1" ht="13.5" hidden="1" thickBot="1">
      <c r="A353" s="554" t="s">
        <v>955</v>
      </c>
      <c r="B353" s="555" t="s">
        <v>1264</v>
      </c>
      <c r="C353" s="561"/>
      <c r="D353" s="519"/>
      <c r="E353" s="520"/>
      <c r="F353" s="520"/>
      <c r="G353" s="726"/>
      <c r="H353" s="520"/>
      <c r="I353" s="521"/>
      <c r="J353" s="521"/>
      <c r="K353" s="521"/>
      <c r="L353" s="514"/>
      <c r="M353" s="514"/>
      <c r="N353" s="756"/>
      <c r="O353" s="514"/>
      <c r="P353" s="514"/>
      <c r="Q353" s="514"/>
      <c r="R353" s="514"/>
      <c r="S353" s="514"/>
      <c r="T353" s="514"/>
      <c r="U353" s="756"/>
      <c r="V353" s="514"/>
      <c r="W353" s="514"/>
      <c r="X353" s="514"/>
      <c r="Y353" s="514"/>
      <c r="Z353" s="514"/>
      <c r="AA353" s="514"/>
      <c r="AB353" s="756"/>
      <c r="AC353" s="514"/>
      <c r="AD353" s="514"/>
      <c r="AE353" s="514"/>
      <c r="AF353" s="764"/>
      <c r="AG353" s="514"/>
      <c r="AH353" s="514"/>
      <c r="AI353" s="664">
        <f t="shared" si="22"/>
        <v>0</v>
      </c>
      <c r="AJ353" s="521">
        <v>0</v>
      </c>
      <c r="AK353" s="520">
        <f t="shared" si="23"/>
        <v>0</v>
      </c>
      <c r="AL353" s="695"/>
      <c r="AM353" s="669">
        <f t="shared" si="24"/>
        <v>0</v>
      </c>
    </row>
    <row r="354" spans="1:39" s="500" customFormat="1" ht="13.5" hidden="1" thickBot="1">
      <c r="A354" s="554" t="s">
        <v>956</v>
      </c>
      <c r="B354" s="555" t="s">
        <v>1265</v>
      </c>
      <c r="C354" s="561" t="s">
        <v>37</v>
      </c>
      <c r="D354" s="519"/>
      <c r="E354" s="520"/>
      <c r="F354" s="520"/>
      <c r="G354" s="726"/>
      <c r="H354" s="520"/>
      <c r="I354" s="521"/>
      <c r="J354" s="521"/>
      <c r="K354" s="521"/>
      <c r="L354" s="514"/>
      <c r="M354" s="514"/>
      <c r="N354" s="756"/>
      <c r="O354" s="514"/>
      <c r="P354" s="514"/>
      <c r="Q354" s="514"/>
      <c r="R354" s="514"/>
      <c r="S354" s="514"/>
      <c r="T354" s="514"/>
      <c r="U354" s="756"/>
      <c r="V354" s="514"/>
      <c r="W354" s="514"/>
      <c r="X354" s="514"/>
      <c r="Y354" s="514"/>
      <c r="Z354" s="514"/>
      <c r="AA354" s="514"/>
      <c r="AB354" s="756"/>
      <c r="AC354" s="514"/>
      <c r="AD354" s="514"/>
      <c r="AE354" s="514"/>
      <c r="AF354" s="764"/>
      <c r="AG354" s="514"/>
      <c r="AH354" s="514"/>
      <c r="AI354" s="664">
        <f t="shared" si="22"/>
        <v>0</v>
      </c>
      <c r="AJ354" s="521">
        <v>0</v>
      </c>
      <c r="AK354" s="520">
        <f t="shared" si="23"/>
        <v>0</v>
      </c>
      <c r="AL354" s="695" t="s">
        <v>1722</v>
      </c>
      <c r="AM354" s="669">
        <f t="shared" si="24"/>
        <v>1.89</v>
      </c>
    </row>
    <row r="355" spans="1:39" s="500" customFormat="1" ht="13.5" hidden="1" thickBot="1">
      <c r="A355" s="554" t="s">
        <v>957</v>
      </c>
      <c r="B355" s="555" t="s">
        <v>1295</v>
      </c>
      <c r="C355" s="561" t="s">
        <v>37</v>
      </c>
      <c r="D355" s="519"/>
      <c r="E355" s="520"/>
      <c r="F355" s="520"/>
      <c r="G355" s="726"/>
      <c r="H355" s="520"/>
      <c r="I355" s="521"/>
      <c r="J355" s="521"/>
      <c r="K355" s="521"/>
      <c r="L355" s="514"/>
      <c r="M355" s="514"/>
      <c r="N355" s="756"/>
      <c r="O355" s="514"/>
      <c r="P355" s="514"/>
      <c r="Q355" s="514"/>
      <c r="R355" s="514"/>
      <c r="S355" s="514"/>
      <c r="T355" s="514"/>
      <c r="U355" s="756"/>
      <c r="V355" s="514"/>
      <c r="W355" s="514"/>
      <c r="X355" s="514"/>
      <c r="Y355" s="514"/>
      <c r="Z355" s="514"/>
      <c r="AA355" s="514"/>
      <c r="AB355" s="756"/>
      <c r="AC355" s="514"/>
      <c r="AD355" s="514"/>
      <c r="AE355" s="514"/>
      <c r="AF355" s="764"/>
      <c r="AG355" s="514"/>
      <c r="AH355" s="514"/>
      <c r="AI355" s="664">
        <f t="shared" si="22"/>
        <v>0</v>
      </c>
      <c r="AJ355" s="521">
        <v>0</v>
      </c>
      <c r="AK355" s="520">
        <f t="shared" si="23"/>
        <v>0</v>
      </c>
      <c r="AL355" s="695" t="s">
        <v>1723</v>
      </c>
      <c r="AM355" s="669">
        <f t="shared" si="24"/>
        <v>3.15</v>
      </c>
    </row>
    <row r="356" spans="1:39" s="500" customFormat="1" ht="13.5" hidden="1" thickBot="1">
      <c r="A356" s="554" t="s">
        <v>958</v>
      </c>
      <c r="B356" s="555" t="s">
        <v>1266</v>
      </c>
      <c r="C356" s="561"/>
      <c r="D356" s="519"/>
      <c r="E356" s="520"/>
      <c r="F356" s="520"/>
      <c r="G356" s="726"/>
      <c r="H356" s="520"/>
      <c r="I356" s="521"/>
      <c r="J356" s="521"/>
      <c r="K356" s="521"/>
      <c r="L356" s="514"/>
      <c r="M356" s="514"/>
      <c r="N356" s="756"/>
      <c r="O356" s="514"/>
      <c r="P356" s="514"/>
      <c r="Q356" s="514"/>
      <c r="R356" s="514"/>
      <c r="S356" s="514"/>
      <c r="T356" s="514"/>
      <c r="U356" s="756"/>
      <c r="V356" s="514"/>
      <c r="W356" s="514"/>
      <c r="X356" s="514"/>
      <c r="Y356" s="514"/>
      <c r="Z356" s="514"/>
      <c r="AA356" s="514"/>
      <c r="AB356" s="756"/>
      <c r="AC356" s="514"/>
      <c r="AD356" s="514"/>
      <c r="AE356" s="514"/>
      <c r="AF356" s="764"/>
      <c r="AG356" s="514"/>
      <c r="AH356" s="514"/>
      <c r="AI356" s="664">
        <f t="shared" si="22"/>
        <v>0</v>
      </c>
      <c r="AJ356" s="521">
        <v>0</v>
      </c>
      <c r="AK356" s="520">
        <f t="shared" si="23"/>
        <v>0</v>
      </c>
      <c r="AL356" s="695"/>
      <c r="AM356" s="669">
        <f t="shared" si="24"/>
        <v>0</v>
      </c>
    </row>
    <row r="357" spans="1:39" s="500" customFormat="1" ht="13.5" hidden="1" thickBot="1">
      <c r="A357" s="554" t="s">
        <v>959</v>
      </c>
      <c r="B357" s="555" t="s">
        <v>1267</v>
      </c>
      <c r="C357" s="561" t="s">
        <v>1451</v>
      </c>
      <c r="D357" s="519"/>
      <c r="E357" s="520"/>
      <c r="F357" s="520"/>
      <c r="G357" s="726"/>
      <c r="H357" s="520"/>
      <c r="I357" s="521"/>
      <c r="J357" s="521"/>
      <c r="K357" s="521"/>
      <c r="L357" s="514"/>
      <c r="M357" s="514"/>
      <c r="N357" s="756"/>
      <c r="O357" s="514"/>
      <c r="P357" s="514"/>
      <c r="Q357" s="514"/>
      <c r="R357" s="514"/>
      <c r="S357" s="514"/>
      <c r="T357" s="514"/>
      <c r="U357" s="756"/>
      <c r="V357" s="514"/>
      <c r="W357" s="514"/>
      <c r="X357" s="514"/>
      <c r="Y357" s="514"/>
      <c r="Z357" s="514"/>
      <c r="AA357" s="514"/>
      <c r="AB357" s="756"/>
      <c r="AC357" s="514"/>
      <c r="AD357" s="514"/>
      <c r="AE357" s="514"/>
      <c r="AF357" s="764"/>
      <c r="AG357" s="514"/>
      <c r="AH357" s="514"/>
      <c r="AI357" s="664">
        <f t="shared" si="22"/>
        <v>0</v>
      </c>
      <c r="AJ357" s="521">
        <v>0</v>
      </c>
      <c r="AK357" s="520">
        <f t="shared" si="23"/>
        <v>0</v>
      </c>
      <c r="AL357" s="695" t="s">
        <v>1641</v>
      </c>
      <c r="AM357" s="669">
        <f t="shared" si="24"/>
        <v>9</v>
      </c>
    </row>
    <row r="358" spans="1:39" s="500" customFormat="1" ht="13.5" hidden="1" thickBot="1">
      <c r="A358" s="554" t="s">
        <v>960</v>
      </c>
      <c r="B358" s="555" t="s">
        <v>1268</v>
      </c>
      <c r="C358" s="561" t="s">
        <v>36</v>
      </c>
      <c r="D358" s="519"/>
      <c r="E358" s="520"/>
      <c r="F358" s="520"/>
      <c r="G358" s="726"/>
      <c r="H358" s="520"/>
      <c r="I358" s="521"/>
      <c r="J358" s="521"/>
      <c r="K358" s="521"/>
      <c r="L358" s="514"/>
      <c r="M358" s="514"/>
      <c r="N358" s="756"/>
      <c r="O358" s="514"/>
      <c r="P358" s="514"/>
      <c r="Q358" s="514"/>
      <c r="R358" s="514"/>
      <c r="S358" s="514"/>
      <c r="T358" s="514"/>
      <c r="U358" s="756"/>
      <c r="V358" s="514"/>
      <c r="W358" s="514"/>
      <c r="X358" s="514"/>
      <c r="Y358" s="514"/>
      <c r="Z358" s="514"/>
      <c r="AA358" s="514"/>
      <c r="AB358" s="756"/>
      <c r="AC358" s="514"/>
      <c r="AD358" s="514"/>
      <c r="AE358" s="514"/>
      <c r="AF358" s="764"/>
      <c r="AG358" s="514"/>
      <c r="AH358" s="514"/>
      <c r="AI358" s="664">
        <f t="shared" si="22"/>
        <v>0</v>
      </c>
      <c r="AJ358" s="521">
        <v>0</v>
      </c>
      <c r="AK358" s="520">
        <f t="shared" si="23"/>
        <v>0</v>
      </c>
      <c r="AL358" s="695" t="s">
        <v>1455</v>
      </c>
      <c r="AM358" s="669">
        <f t="shared" si="24"/>
        <v>1</v>
      </c>
    </row>
    <row r="359" spans="1:39" s="500" customFormat="1" ht="13.5" hidden="1" thickBot="1">
      <c r="A359" s="554" t="s">
        <v>961</v>
      </c>
      <c r="B359" s="555" t="s">
        <v>1296</v>
      </c>
      <c r="C359" s="561" t="s">
        <v>36</v>
      </c>
      <c r="D359" s="519"/>
      <c r="E359" s="520"/>
      <c r="F359" s="520"/>
      <c r="G359" s="726"/>
      <c r="H359" s="520"/>
      <c r="I359" s="521"/>
      <c r="J359" s="521"/>
      <c r="K359" s="521"/>
      <c r="L359" s="514"/>
      <c r="M359" s="514"/>
      <c r="N359" s="756"/>
      <c r="O359" s="514"/>
      <c r="P359" s="514"/>
      <c r="Q359" s="514"/>
      <c r="R359" s="514"/>
      <c r="S359" s="514"/>
      <c r="T359" s="514"/>
      <c r="U359" s="756"/>
      <c r="V359" s="514"/>
      <c r="W359" s="514"/>
      <c r="X359" s="514"/>
      <c r="Y359" s="514"/>
      <c r="Z359" s="514"/>
      <c r="AA359" s="514"/>
      <c r="AB359" s="756"/>
      <c r="AC359" s="514"/>
      <c r="AD359" s="514"/>
      <c r="AE359" s="514"/>
      <c r="AF359" s="764"/>
      <c r="AG359" s="514"/>
      <c r="AH359" s="514"/>
      <c r="AI359" s="664">
        <f t="shared" si="22"/>
        <v>0</v>
      </c>
      <c r="AJ359" s="521">
        <v>0</v>
      </c>
      <c r="AK359" s="520">
        <f t="shared" si="23"/>
        <v>0</v>
      </c>
      <c r="AL359" s="695" t="s">
        <v>1698</v>
      </c>
      <c r="AM359" s="669">
        <f t="shared" si="24"/>
        <v>2</v>
      </c>
    </row>
    <row r="360" spans="1:39" s="500" customFormat="1" ht="13.5" hidden="1" thickBot="1">
      <c r="A360" s="554" t="s">
        <v>962</v>
      </c>
      <c r="B360" s="555" t="s">
        <v>1269</v>
      </c>
      <c r="C360" s="561"/>
      <c r="D360" s="519"/>
      <c r="E360" s="520"/>
      <c r="F360" s="520"/>
      <c r="G360" s="726"/>
      <c r="H360" s="520"/>
      <c r="I360" s="521"/>
      <c r="J360" s="521"/>
      <c r="K360" s="521"/>
      <c r="L360" s="514"/>
      <c r="M360" s="514"/>
      <c r="N360" s="756"/>
      <c r="O360" s="514"/>
      <c r="P360" s="514"/>
      <c r="Q360" s="514"/>
      <c r="R360" s="514"/>
      <c r="S360" s="514"/>
      <c r="T360" s="514"/>
      <c r="U360" s="756"/>
      <c r="V360" s="514"/>
      <c r="W360" s="514"/>
      <c r="X360" s="514"/>
      <c r="Y360" s="514"/>
      <c r="Z360" s="514"/>
      <c r="AA360" s="514"/>
      <c r="AB360" s="756"/>
      <c r="AC360" s="514"/>
      <c r="AD360" s="514"/>
      <c r="AE360" s="514"/>
      <c r="AF360" s="764"/>
      <c r="AG360" s="514"/>
      <c r="AH360" s="514"/>
      <c r="AI360" s="664">
        <f t="shared" si="22"/>
        <v>0</v>
      </c>
      <c r="AJ360" s="521">
        <v>0</v>
      </c>
      <c r="AK360" s="520">
        <f t="shared" si="23"/>
        <v>0</v>
      </c>
      <c r="AL360" s="695"/>
      <c r="AM360" s="669">
        <f t="shared" si="24"/>
        <v>0</v>
      </c>
    </row>
    <row r="361" spans="1:39" s="500" customFormat="1" ht="13.5" hidden="1" thickBot="1">
      <c r="A361" s="554" t="s">
        <v>963</v>
      </c>
      <c r="B361" s="555" t="s">
        <v>1270</v>
      </c>
      <c r="C361" s="561" t="s">
        <v>37</v>
      </c>
      <c r="D361" s="519"/>
      <c r="E361" s="520"/>
      <c r="F361" s="520"/>
      <c r="G361" s="726"/>
      <c r="H361" s="520"/>
      <c r="I361" s="521"/>
      <c r="J361" s="521"/>
      <c r="K361" s="521"/>
      <c r="L361" s="514"/>
      <c r="M361" s="514"/>
      <c r="N361" s="756"/>
      <c r="O361" s="514"/>
      <c r="P361" s="514"/>
      <c r="Q361" s="514"/>
      <c r="R361" s="514"/>
      <c r="S361" s="514"/>
      <c r="T361" s="514"/>
      <c r="U361" s="756"/>
      <c r="V361" s="514"/>
      <c r="W361" s="514"/>
      <c r="X361" s="514"/>
      <c r="Y361" s="514"/>
      <c r="Z361" s="514"/>
      <c r="AA361" s="514"/>
      <c r="AB361" s="756"/>
      <c r="AC361" s="514"/>
      <c r="AD361" s="514"/>
      <c r="AE361" s="514"/>
      <c r="AF361" s="764"/>
      <c r="AG361" s="514"/>
      <c r="AH361" s="514"/>
      <c r="AI361" s="664">
        <f t="shared" si="22"/>
        <v>0</v>
      </c>
      <c r="AJ361" s="521">
        <v>0</v>
      </c>
      <c r="AK361" s="520">
        <f t="shared" si="23"/>
        <v>0</v>
      </c>
      <c r="AL361" s="695" t="s">
        <v>1724</v>
      </c>
      <c r="AM361" s="669">
        <f t="shared" si="24"/>
        <v>4.96</v>
      </c>
    </row>
    <row r="362" spans="1:39" s="500" customFormat="1" ht="13.5" hidden="1" thickBot="1">
      <c r="A362" s="554" t="s">
        <v>964</v>
      </c>
      <c r="B362" s="555" t="s">
        <v>1271</v>
      </c>
      <c r="C362" s="561" t="s">
        <v>37</v>
      </c>
      <c r="D362" s="519"/>
      <c r="E362" s="520"/>
      <c r="F362" s="520"/>
      <c r="G362" s="726"/>
      <c r="H362" s="520"/>
      <c r="I362" s="521"/>
      <c r="J362" s="521"/>
      <c r="K362" s="521"/>
      <c r="L362" s="514"/>
      <c r="M362" s="514"/>
      <c r="N362" s="756"/>
      <c r="O362" s="514"/>
      <c r="P362" s="514"/>
      <c r="Q362" s="514"/>
      <c r="R362" s="514"/>
      <c r="S362" s="514"/>
      <c r="T362" s="514"/>
      <c r="U362" s="756"/>
      <c r="V362" s="514"/>
      <c r="W362" s="514"/>
      <c r="X362" s="514"/>
      <c r="Y362" s="514"/>
      <c r="Z362" s="514"/>
      <c r="AA362" s="514"/>
      <c r="AB362" s="756"/>
      <c r="AC362" s="514"/>
      <c r="AD362" s="514"/>
      <c r="AE362" s="514"/>
      <c r="AF362" s="764"/>
      <c r="AG362" s="514"/>
      <c r="AH362" s="514"/>
      <c r="AI362" s="664">
        <f t="shared" si="22"/>
        <v>0</v>
      </c>
      <c r="AJ362" s="521">
        <v>0</v>
      </c>
      <c r="AK362" s="520">
        <f t="shared" si="23"/>
        <v>0</v>
      </c>
      <c r="AL362" s="695" t="s">
        <v>1488</v>
      </c>
      <c r="AM362" s="669">
        <f t="shared" si="24"/>
        <v>1.2</v>
      </c>
    </row>
    <row r="363" spans="1:39" s="500" customFormat="1" ht="13.5" hidden="1" thickBot="1">
      <c r="A363" s="554" t="s">
        <v>965</v>
      </c>
      <c r="B363" s="555" t="s">
        <v>1272</v>
      </c>
      <c r="C363" s="561"/>
      <c r="D363" s="519"/>
      <c r="E363" s="520"/>
      <c r="F363" s="520"/>
      <c r="G363" s="726"/>
      <c r="H363" s="520"/>
      <c r="I363" s="521"/>
      <c r="J363" s="521"/>
      <c r="K363" s="521"/>
      <c r="L363" s="514"/>
      <c r="M363" s="514"/>
      <c r="N363" s="756"/>
      <c r="O363" s="514"/>
      <c r="P363" s="514"/>
      <c r="Q363" s="514"/>
      <c r="R363" s="514"/>
      <c r="S363" s="514"/>
      <c r="T363" s="514"/>
      <c r="U363" s="756"/>
      <c r="V363" s="514"/>
      <c r="W363" s="514"/>
      <c r="X363" s="514"/>
      <c r="Y363" s="514"/>
      <c r="Z363" s="514"/>
      <c r="AA363" s="514"/>
      <c r="AB363" s="756"/>
      <c r="AC363" s="514"/>
      <c r="AD363" s="514"/>
      <c r="AE363" s="514"/>
      <c r="AF363" s="764"/>
      <c r="AG363" s="514"/>
      <c r="AH363" s="514"/>
      <c r="AI363" s="664">
        <f t="shared" si="22"/>
        <v>0</v>
      </c>
      <c r="AJ363" s="521">
        <v>0</v>
      </c>
      <c r="AK363" s="520">
        <f t="shared" si="23"/>
        <v>0</v>
      </c>
      <c r="AL363" s="695"/>
      <c r="AM363" s="669">
        <f t="shared" si="24"/>
        <v>0</v>
      </c>
    </row>
    <row r="364" spans="1:39" s="500" customFormat="1" ht="13.5" hidden="1" thickBot="1">
      <c r="A364" s="554" t="s">
        <v>966</v>
      </c>
      <c r="B364" s="555" t="s">
        <v>1273</v>
      </c>
      <c r="C364" s="561" t="s">
        <v>37</v>
      </c>
      <c r="D364" s="519"/>
      <c r="E364" s="520"/>
      <c r="F364" s="520"/>
      <c r="G364" s="726"/>
      <c r="H364" s="520"/>
      <c r="I364" s="521"/>
      <c r="J364" s="521"/>
      <c r="K364" s="521"/>
      <c r="L364" s="514"/>
      <c r="M364" s="514"/>
      <c r="N364" s="756"/>
      <c r="O364" s="514"/>
      <c r="P364" s="514"/>
      <c r="Q364" s="514"/>
      <c r="R364" s="514"/>
      <c r="S364" s="514"/>
      <c r="T364" s="514"/>
      <c r="U364" s="756"/>
      <c r="V364" s="514"/>
      <c r="W364" s="514"/>
      <c r="X364" s="514"/>
      <c r="Y364" s="514"/>
      <c r="Z364" s="514"/>
      <c r="AA364" s="514"/>
      <c r="AB364" s="756"/>
      <c r="AC364" s="514"/>
      <c r="AD364" s="514"/>
      <c r="AE364" s="514"/>
      <c r="AF364" s="764"/>
      <c r="AG364" s="514"/>
      <c r="AH364" s="514"/>
      <c r="AI364" s="664">
        <f t="shared" si="22"/>
        <v>0</v>
      </c>
      <c r="AJ364" s="521">
        <v>0</v>
      </c>
      <c r="AK364" s="520">
        <f t="shared" si="23"/>
        <v>0</v>
      </c>
      <c r="AL364" s="695" t="s">
        <v>1712</v>
      </c>
      <c r="AM364" s="669">
        <f t="shared" si="24"/>
        <v>33.950000000000003</v>
      </c>
    </row>
    <row r="365" spans="1:39" s="500" customFormat="1" ht="13.5" hidden="1" thickBot="1">
      <c r="A365" s="554" t="s">
        <v>967</v>
      </c>
      <c r="B365" s="555" t="s">
        <v>1274</v>
      </c>
      <c r="C365" s="561" t="s">
        <v>37</v>
      </c>
      <c r="D365" s="519"/>
      <c r="E365" s="520"/>
      <c r="F365" s="520"/>
      <c r="G365" s="726"/>
      <c r="H365" s="520"/>
      <c r="I365" s="521"/>
      <c r="J365" s="521"/>
      <c r="K365" s="521"/>
      <c r="L365" s="514"/>
      <c r="M365" s="514"/>
      <c r="N365" s="756"/>
      <c r="O365" s="514"/>
      <c r="P365" s="514"/>
      <c r="Q365" s="514"/>
      <c r="R365" s="514"/>
      <c r="S365" s="514"/>
      <c r="T365" s="514"/>
      <c r="U365" s="756"/>
      <c r="V365" s="514"/>
      <c r="W365" s="514"/>
      <c r="X365" s="514"/>
      <c r="Y365" s="514"/>
      <c r="Z365" s="514"/>
      <c r="AA365" s="514"/>
      <c r="AB365" s="756"/>
      <c r="AC365" s="514"/>
      <c r="AD365" s="514"/>
      <c r="AE365" s="514"/>
      <c r="AF365" s="764"/>
      <c r="AG365" s="514"/>
      <c r="AH365" s="514"/>
      <c r="AI365" s="664">
        <f t="shared" si="22"/>
        <v>0</v>
      </c>
      <c r="AJ365" s="521">
        <v>0</v>
      </c>
      <c r="AK365" s="520">
        <f t="shared" si="23"/>
        <v>0</v>
      </c>
      <c r="AL365" s="695" t="s">
        <v>1705</v>
      </c>
      <c r="AM365" s="669">
        <f t="shared" si="24"/>
        <v>77.680000000000007</v>
      </c>
    </row>
    <row r="366" spans="1:39" s="500" customFormat="1" ht="13.5" hidden="1" thickBot="1">
      <c r="A366" s="554" t="s">
        <v>968</v>
      </c>
      <c r="B366" s="555" t="s">
        <v>1275</v>
      </c>
      <c r="C366" s="561" t="s">
        <v>37</v>
      </c>
      <c r="D366" s="519"/>
      <c r="E366" s="520"/>
      <c r="F366" s="520"/>
      <c r="G366" s="726"/>
      <c r="H366" s="520"/>
      <c r="I366" s="521"/>
      <c r="J366" s="521"/>
      <c r="K366" s="521"/>
      <c r="L366" s="514"/>
      <c r="M366" s="514"/>
      <c r="N366" s="756"/>
      <c r="O366" s="514"/>
      <c r="P366" s="514"/>
      <c r="Q366" s="514"/>
      <c r="R366" s="514"/>
      <c r="S366" s="514"/>
      <c r="T366" s="514"/>
      <c r="U366" s="756"/>
      <c r="V366" s="514"/>
      <c r="W366" s="514"/>
      <c r="X366" s="514"/>
      <c r="Y366" s="514"/>
      <c r="Z366" s="514"/>
      <c r="AA366" s="514"/>
      <c r="AB366" s="756"/>
      <c r="AC366" s="514"/>
      <c r="AD366" s="514"/>
      <c r="AE366" s="514"/>
      <c r="AF366" s="764"/>
      <c r="AG366" s="514"/>
      <c r="AH366" s="514"/>
      <c r="AI366" s="664">
        <f t="shared" si="22"/>
        <v>0</v>
      </c>
      <c r="AJ366" s="521">
        <v>0</v>
      </c>
      <c r="AK366" s="520">
        <f t="shared" si="23"/>
        <v>0</v>
      </c>
      <c r="AL366" s="695" t="s">
        <v>1706</v>
      </c>
      <c r="AM366" s="669">
        <f t="shared" si="24"/>
        <v>51.98</v>
      </c>
    </row>
    <row r="367" spans="1:39" s="500" customFormat="1" ht="13.5" hidden="1" thickBot="1">
      <c r="A367" s="554" t="s">
        <v>969</v>
      </c>
      <c r="B367" s="555" t="s">
        <v>1276</v>
      </c>
      <c r="C367" s="561" t="s">
        <v>37</v>
      </c>
      <c r="D367" s="519"/>
      <c r="E367" s="520"/>
      <c r="F367" s="520"/>
      <c r="G367" s="726"/>
      <c r="H367" s="520"/>
      <c r="I367" s="521"/>
      <c r="J367" s="521"/>
      <c r="K367" s="521"/>
      <c r="L367" s="514"/>
      <c r="M367" s="514"/>
      <c r="N367" s="756"/>
      <c r="O367" s="514"/>
      <c r="P367" s="514"/>
      <c r="Q367" s="514"/>
      <c r="R367" s="514"/>
      <c r="S367" s="514"/>
      <c r="T367" s="514"/>
      <c r="U367" s="756"/>
      <c r="V367" s="514"/>
      <c r="W367" s="514"/>
      <c r="X367" s="514"/>
      <c r="Y367" s="514"/>
      <c r="Z367" s="514"/>
      <c r="AA367" s="514"/>
      <c r="AB367" s="756"/>
      <c r="AC367" s="514"/>
      <c r="AD367" s="514"/>
      <c r="AE367" s="514"/>
      <c r="AF367" s="764"/>
      <c r="AG367" s="514"/>
      <c r="AH367" s="514"/>
      <c r="AI367" s="664">
        <f t="shared" si="22"/>
        <v>0</v>
      </c>
      <c r="AJ367" s="521">
        <v>0</v>
      </c>
      <c r="AK367" s="520">
        <f t="shared" si="23"/>
        <v>0</v>
      </c>
      <c r="AL367" s="695" t="s">
        <v>1707</v>
      </c>
      <c r="AM367" s="669">
        <f t="shared" si="24"/>
        <v>12</v>
      </c>
    </row>
    <row r="368" spans="1:39" s="500" customFormat="1" ht="13.5" hidden="1" thickBot="1">
      <c r="A368" s="554" t="s">
        <v>970</v>
      </c>
      <c r="B368" s="555" t="s">
        <v>1277</v>
      </c>
      <c r="C368" s="561" t="s">
        <v>37</v>
      </c>
      <c r="D368" s="519"/>
      <c r="E368" s="520"/>
      <c r="F368" s="520"/>
      <c r="G368" s="726"/>
      <c r="H368" s="520"/>
      <c r="I368" s="521"/>
      <c r="J368" s="521"/>
      <c r="K368" s="521"/>
      <c r="L368" s="514"/>
      <c r="M368" s="514"/>
      <c r="N368" s="756"/>
      <c r="O368" s="514"/>
      <c r="P368" s="514"/>
      <c r="Q368" s="514"/>
      <c r="R368" s="514"/>
      <c r="S368" s="514"/>
      <c r="T368" s="514"/>
      <c r="U368" s="756"/>
      <c r="V368" s="514"/>
      <c r="W368" s="514"/>
      <c r="X368" s="514"/>
      <c r="Y368" s="514"/>
      <c r="Z368" s="514"/>
      <c r="AA368" s="514"/>
      <c r="AB368" s="756"/>
      <c r="AC368" s="514"/>
      <c r="AD368" s="514"/>
      <c r="AE368" s="514"/>
      <c r="AF368" s="764"/>
      <c r="AG368" s="514"/>
      <c r="AH368" s="514"/>
      <c r="AI368" s="664">
        <f t="shared" si="22"/>
        <v>0</v>
      </c>
      <c r="AJ368" s="521">
        <v>0</v>
      </c>
      <c r="AK368" s="520">
        <f t="shared" si="23"/>
        <v>0</v>
      </c>
      <c r="AL368" s="695" t="s">
        <v>1708</v>
      </c>
      <c r="AM368" s="669">
        <f t="shared" si="24"/>
        <v>19.97</v>
      </c>
    </row>
    <row r="369" spans="1:39" s="500" customFormat="1" ht="13.5" hidden="1" thickBot="1">
      <c r="A369" s="554" t="s">
        <v>971</v>
      </c>
      <c r="B369" s="555" t="s">
        <v>1278</v>
      </c>
      <c r="C369" s="561" t="s">
        <v>37</v>
      </c>
      <c r="D369" s="519"/>
      <c r="E369" s="520"/>
      <c r="F369" s="520"/>
      <c r="G369" s="726"/>
      <c r="H369" s="520"/>
      <c r="I369" s="521"/>
      <c r="J369" s="521"/>
      <c r="K369" s="521"/>
      <c r="L369" s="514"/>
      <c r="M369" s="514"/>
      <c r="N369" s="756"/>
      <c r="O369" s="514"/>
      <c r="P369" s="514"/>
      <c r="Q369" s="514"/>
      <c r="R369" s="514"/>
      <c r="S369" s="514"/>
      <c r="T369" s="514"/>
      <c r="U369" s="756"/>
      <c r="V369" s="514"/>
      <c r="W369" s="514"/>
      <c r="X369" s="514"/>
      <c r="Y369" s="514"/>
      <c r="Z369" s="514"/>
      <c r="AA369" s="514"/>
      <c r="AB369" s="756"/>
      <c r="AC369" s="514"/>
      <c r="AD369" s="514"/>
      <c r="AE369" s="514"/>
      <c r="AF369" s="764"/>
      <c r="AG369" s="514"/>
      <c r="AH369" s="514"/>
      <c r="AI369" s="664">
        <f t="shared" si="22"/>
        <v>0</v>
      </c>
      <c r="AJ369" s="521">
        <v>0</v>
      </c>
      <c r="AK369" s="520">
        <f t="shared" si="23"/>
        <v>0</v>
      </c>
      <c r="AL369" s="695" t="s">
        <v>1717</v>
      </c>
      <c r="AM369" s="669">
        <f t="shared" si="24"/>
        <v>6.91</v>
      </c>
    </row>
    <row r="370" spans="1:39" s="500" customFormat="1" ht="13.5" hidden="1" thickBot="1">
      <c r="A370" s="554" t="s">
        <v>972</v>
      </c>
      <c r="B370" s="555" t="s">
        <v>1279</v>
      </c>
      <c r="C370" s="561" t="s">
        <v>37</v>
      </c>
      <c r="D370" s="519"/>
      <c r="E370" s="520"/>
      <c r="F370" s="520"/>
      <c r="G370" s="726"/>
      <c r="H370" s="520"/>
      <c r="I370" s="521"/>
      <c r="J370" s="521"/>
      <c r="K370" s="521"/>
      <c r="L370" s="514"/>
      <c r="M370" s="514"/>
      <c r="N370" s="756"/>
      <c r="O370" s="514"/>
      <c r="P370" s="514"/>
      <c r="Q370" s="514"/>
      <c r="R370" s="514"/>
      <c r="S370" s="514"/>
      <c r="T370" s="514"/>
      <c r="U370" s="756"/>
      <c r="V370" s="514"/>
      <c r="W370" s="514"/>
      <c r="X370" s="514"/>
      <c r="Y370" s="514"/>
      <c r="Z370" s="514"/>
      <c r="AA370" s="514"/>
      <c r="AB370" s="756"/>
      <c r="AC370" s="514"/>
      <c r="AD370" s="514"/>
      <c r="AE370" s="514"/>
      <c r="AF370" s="764"/>
      <c r="AG370" s="514"/>
      <c r="AH370" s="514"/>
      <c r="AI370" s="664">
        <f t="shared" si="22"/>
        <v>0</v>
      </c>
      <c r="AJ370" s="521">
        <v>0</v>
      </c>
      <c r="AK370" s="520">
        <f t="shared" si="23"/>
        <v>0</v>
      </c>
      <c r="AL370" s="695" t="s">
        <v>1725</v>
      </c>
      <c r="AM370" s="669">
        <f t="shared" si="24"/>
        <v>10.5</v>
      </c>
    </row>
    <row r="371" spans="1:39" s="500" customFormat="1" ht="13.5" hidden="1" thickBot="1">
      <c r="A371" s="554" t="s">
        <v>973</v>
      </c>
      <c r="B371" s="555" t="s">
        <v>1280</v>
      </c>
      <c r="C371" s="561"/>
      <c r="D371" s="519"/>
      <c r="E371" s="520"/>
      <c r="F371" s="520"/>
      <c r="G371" s="726"/>
      <c r="H371" s="520"/>
      <c r="I371" s="521"/>
      <c r="J371" s="521"/>
      <c r="K371" s="521"/>
      <c r="L371" s="514"/>
      <c r="M371" s="514"/>
      <c r="N371" s="756"/>
      <c r="O371" s="514"/>
      <c r="P371" s="514"/>
      <c r="Q371" s="514"/>
      <c r="R371" s="514"/>
      <c r="S371" s="514"/>
      <c r="T371" s="514"/>
      <c r="U371" s="756"/>
      <c r="V371" s="514"/>
      <c r="W371" s="514"/>
      <c r="X371" s="514"/>
      <c r="Y371" s="514"/>
      <c r="Z371" s="514"/>
      <c r="AA371" s="514"/>
      <c r="AB371" s="756"/>
      <c r="AC371" s="514"/>
      <c r="AD371" s="514"/>
      <c r="AE371" s="514"/>
      <c r="AF371" s="764"/>
      <c r="AG371" s="514"/>
      <c r="AH371" s="514"/>
      <c r="AI371" s="664">
        <f t="shared" ref="AI371:AI434" si="25">ROUND((SUM(D371:L371)),2)</f>
        <v>0</v>
      </c>
      <c r="AJ371" s="521">
        <v>0</v>
      </c>
      <c r="AK371" s="520">
        <f t="shared" si="23"/>
        <v>0</v>
      </c>
      <c r="AL371" s="695"/>
      <c r="AM371" s="669">
        <f t="shared" si="24"/>
        <v>0</v>
      </c>
    </row>
    <row r="372" spans="1:39" s="500" customFormat="1" ht="13.5" hidden="1" thickBot="1">
      <c r="A372" s="554" t="s">
        <v>974</v>
      </c>
      <c r="B372" s="555" t="s">
        <v>1281</v>
      </c>
      <c r="C372" s="561" t="s">
        <v>1450</v>
      </c>
      <c r="D372" s="519"/>
      <c r="E372" s="520"/>
      <c r="F372" s="520"/>
      <c r="G372" s="726"/>
      <c r="H372" s="520"/>
      <c r="I372" s="521"/>
      <c r="J372" s="521"/>
      <c r="K372" s="521"/>
      <c r="L372" s="514"/>
      <c r="M372" s="514"/>
      <c r="N372" s="756"/>
      <c r="O372" s="514"/>
      <c r="P372" s="514"/>
      <c r="Q372" s="514"/>
      <c r="R372" s="514"/>
      <c r="S372" s="514"/>
      <c r="T372" s="514"/>
      <c r="U372" s="756"/>
      <c r="V372" s="514"/>
      <c r="W372" s="514"/>
      <c r="X372" s="514"/>
      <c r="Y372" s="514"/>
      <c r="Z372" s="514"/>
      <c r="AA372" s="514"/>
      <c r="AB372" s="756"/>
      <c r="AC372" s="514"/>
      <c r="AD372" s="514"/>
      <c r="AE372" s="514"/>
      <c r="AF372" s="764"/>
      <c r="AG372" s="514"/>
      <c r="AH372" s="514"/>
      <c r="AI372" s="664">
        <f t="shared" si="25"/>
        <v>0</v>
      </c>
      <c r="AJ372" s="521">
        <v>0</v>
      </c>
      <c r="AK372" s="520">
        <f t="shared" si="23"/>
        <v>0</v>
      </c>
      <c r="AL372" s="695" t="s">
        <v>1726</v>
      </c>
      <c r="AM372" s="669">
        <f t="shared" si="24"/>
        <v>11</v>
      </c>
    </row>
    <row r="373" spans="1:39" s="500" customFormat="1" ht="13.5" hidden="1" thickBot="1">
      <c r="A373" s="554" t="s">
        <v>975</v>
      </c>
      <c r="B373" s="555" t="s">
        <v>1282</v>
      </c>
      <c r="C373" s="561" t="s">
        <v>64</v>
      </c>
      <c r="D373" s="519"/>
      <c r="E373" s="520"/>
      <c r="F373" s="520"/>
      <c r="G373" s="726"/>
      <c r="H373" s="520"/>
      <c r="I373" s="521"/>
      <c r="J373" s="521"/>
      <c r="K373" s="521"/>
      <c r="L373" s="514"/>
      <c r="M373" s="514"/>
      <c r="N373" s="756"/>
      <c r="O373" s="514"/>
      <c r="P373" s="514"/>
      <c r="Q373" s="514"/>
      <c r="R373" s="514"/>
      <c r="S373" s="514"/>
      <c r="T373" s="514"/>
      <c r="U373" s="756"/>
      <c r="V373" s="514"/>
      <c r="W373" s="514"/>
      <c r="X373" s="514"/>
      <c r="Y373" s="514"/>
      <c r="Z373" s="514"/>
      <c r="AA373" s="514"/>
      <c r="AB373" s="756"/>
      <c r="AC373" s="514"/>
      <c r="AD373" s="514"/>
      <c r="AE373" s="514"/>
      <c r="AF373" s="764"/>
      <c r="AG373" s="514"/>
      <c r="AH373" s="514"/>
      <c r="AI373" s="664">
        <f t="shared" si="25"/>
        <v>0</v>
      </c>
      <c r="AJ373" s="521">
        <v>0</v>
      </c>
      <c r="AK373" s="520">
        <f t="shared" si="23"/>
        <v>0</v>
      </c>
      <c r="AL373" s="695" t="s">
        <v>1455</v>
      </c>
      <c r="AM373" s="669">
        <f t="shared" si="24"/>
        <v>1</v>
      </c>
    </row>
    <row r="374" spans="1:39" s="500" customFormat="1" ht="13.5" hidden="1" thickBot="1">
      <c r="A374" s="554" t="s">
        <v>976</v>
      </c>
      <c r="B374" s="555" t="s">
        <v>1283</v>
      </c>
      <c r="C374" s="561" t="s">
        <v>37</v>
      </c>
      <c r="D374" s="519"/>
      <c r="E374" s="520"/>
      <c r="F374" s="520"/>
      <c r="G374" s="726"/>
      <c r="H374" s="520"/>
      <c r="I374" s="521"/>
      <c r="J374" s="521"/>
      <c r="K374" s="521"/>
      <c r="L374" s="514"/>
      <c r="M374" s="514"/>
      <c r="N374" s="756"/>
      <c r="O374" s="514"/>
      <c r="P374" s="514"/>
      <c r="Q374" s="514"/>
      <c r="R374" s="514"/>
      <c r="S374" s="514"/>
      <c r="T374" s="514"/>
      <c r="U374" s="756"/>
      <c r="V374" s="514"/>
      <c r="W374" s="514"/>
      <c r="X374" s="514"/>
      <c r="Y374" s="514"/>
      <c r="Z374" s="514"/>
      <c r="AA374" s="514"/>
      <c r="AB374" s="756"/>
      <c r="AC374" s="514"/>
      <c r="AD374" s="514"/>
      <c r="AE374" s="514"/>
      <c r="AF374" s="764"/>
      <c r="AG374" s="514"/>
      <c r="AH374" s="514"/>
      <c r="AI374" s="664">
        <f t="shared" si="25"/>
        <v>0</v>
      </c>
      <c r="AJ374" s="521">
        <v>0</v>
      </c>
      <c r="AK374" s="520">
        <f t="shared" si="23"/>
        <v>0</v>
      </c>
      <c r="AL374" s="695" t="s">
        <v>1727</v>
      </c>
      <c r="AM374" s="669">
        <f t="shared" si="24"/>
        <v>8.15</v>
      </c>
    </row>
    <row r="375" spans="1:39" s="500" customFormat="1" ht="13.5" hidden="1" thickBot="1">
      <c r="A375" s="554" t="s">
        <v>526</v>
      </c>
      <c r="B375" s="555" t="s">
        <v>1298</v>
      </c>
      <c r="C375" s="561"/>
      <c r="D375" s="519"/>
      <c r="E375" s="520"/>
      <c r="F375" s="520"/>
      <c r="G375" s="726"/>
      <c r="H375" s="520"/>
      <c r="I375" s="521"/>
      <c r="J375" s="521"/>
      <c r="K375" s="521"/>
      <c r="L375" s="514"/>
      <c r="M375" s="514"/>
      <c r="N375" s="756"/>
      <c r="O375" s="514"/>
      <c r="P375" s="514"/>
      <c r="Q375" s="514"/>
      <c r="R375" s="514"/>
      <c r="S375" s="514"/>
      <c r="T375" s="514"/>
      <c r="U375" s="756"/>
      <c r="V375" s="514"/>
      <c r="W375" s="514"/>
      <c r="X375" s="514"/>
      <c r="Y375" s="514"/>
      <c r="Z375" s="514"/>
      <c r="AA375" s="514"/>
      <c r="AB375" s="756"/>
      <c r="AC375" s="514"/>
      <c r="AD375" s="514"/>
      <c r="AE375" s="514"/>
      <c r="AF375" s="764"/>
      <c r="AG375" s="514"/>
      <c r="AH375" s="514"/>
      <c r="AI375" s="664">
        <f t="shared" si="25"/>
        <v>0</v>
      </c>
      <c r="AJ375" s="521">
        <v>0</v>
      </c>
      <c r="AK375" s="520">
        <f t="shared" si="23"/>
        <v>0</v>
      </c>
      <c r="AL375" s="695"/>
      <c r="AM375" s="669">
        <f t="shared" si="24"/>
        <v>0</v>
      </c>
    </row>
    <row r="376" spans="1:39" s="500" customFormat="1" ht="13.5" hidden="1" thickBot="1">
      <c r="A376" s="554" t="s">
        <v>527</v>
      </c>
      <c r="B376" s="555" t="s">
        <v>1236</v>
      </c>
      <c r="C376" s="561"/>
      <c r="D376" s="519"/>
      <c r="E376" s="520"/>
      <c r="F376" s="520"/>
      <c r="G376" s="726"/>
      <c r="H376" s="520"/>
      <c r="I376" s="521"/>
      <c r="J376" s="521"/>
      <c r="K376" s="521"/>
      <c r="L376" s="514"/>
      <c r="M376" s="514"/>
      <c r="N376" s="756"/>
      <c r="O376" s="514"/>
      <c r="P376" s="514"/>
      <c r="Q376" s="514"/>
      <c r="R376" s="514"/>
      <c r="S376" s="514"/>
      <c r="T376" s="514"/>
      <c r="U376" s="756"/>
      <c r="V376" s="514"/>
      <c r="W376" s="514"/>
      <c r="X376" s="514"/>
      <c r="Y376" s="514"/>
      <c r="Z376" s="514"/>
      <c r="AA376" s="514"/>
      <c r="AB376" s="756"/>
      <c r="AC376" s="514"/>
      <c r="AD376" s="514"/>
      <c r="AE376" s="514"/>
      <c r="AF376" s="764"/>
      <c r="AG376" s="514"/>
      <c r="AH376" s="514"/>
      <c r="AI376" s="664">
        <f t="shared" si="25"/>
        <v>0</v>
      </c>
      <c r="AJ376" s="521">
        <v>0</v>
      </c>
      <c r="AK376" s="520">
        <f t="shared" si="23"/>
        <v>0</v>
      </c>
      <c r="AL376" s="695"/>
      <c r="AM376" s="669">
        <f t="shared" si="24"/>
        <v>0</v>
      </c>
    </row>
    <row r="377" spans="1:39" s="500" customFormat="1" ht="13.5" hidden="1" thickBot="1">
      <c r="A377" s="554" t="s">
        <v>528</v>
      </c>
      <c r="B377" s="555" t="s">
        <v>1299</v>
      </c>
      <c r="C377" s="561" t="s">
        <v>37</v>
      </c>
      <c r="D377" s="519"/>
      <c r="E377" s="520"/>
      <c r="F377" s="520"/>
      <c r="G377" s="726"/>
      <c r="H377" s="520"/>
      <c r="I377" s="521"/>
      <c r="J377" s="521"/>
      <c r="K377" s="521"/>
      <c r="L377" s="514"/>
      <c r="M377" s="514"/>
      <c r="N377" s="756"/>
      <c r="O377" s="514"/>
      <c r="P377" s="514"/>
      <c r="Q377" s="514"/>
      <c r="R377" s="514"/>
      <c r="S377" s="514"/>
      <c r="T377" s="514"/>
      <c r="U377" s="756"/>
      <c r="V377" s="514"/>
      <c r="W377" s="514"/>
      <c r="X377" s="514"/>
      <c r="Y377" s="514"/>
      <c r="Z377" s="514"/>
      <c r="AA377" s="514"/>
      <c r="AB377" s="756"/>
      <c r="AC377" s="514"/>
      <c r="AD377" s="514"/>
      <c r="AE377" s="514"/>
      <c r="AF377" s="764"/>
      <c r="AG377" s="514"/>
      <c r="AH377" s="514"/>
      <c r="AI377" s="664">
        <f t="shared" si="25"/>
        <v>0</v>
      </c>
      <c r="AJ377" s="521">
        <v>0</v>
      </c>
      <c r="AK377" s="520">
        <f t="shared" si="23"/>
        <v>0</v>
      </c>
      <c r="AL377" s="695" t="s">
        <v>1728</v>
      </c>
      <c r="AM377" s="669">
        <f t="shared" si="24"/>
        <v>239.98</v>
      </c>
    </row>
    <row r="378" spans="1:39" s="500" customFormat="1" ht="13.5" hidden="1" thickBot="1">
      <c r="A378" s="554" t="s">
        <v>977</v>
      </c>
      <c r="B378" s="555" t="s">
        <v>1239</v>
      </c>
      <c r="C378" s="561"/>
      <c r="D378" s="519"/>
      <c r="E378" s="520"/>
      <c r="F378" s="520"/>
      <c r="G378" s="726"/>
      <c r="H378" s="520"/>
      <c r="I378" s="521"/>
      <c r="J378" s="521"/>
      <c r="K378" s="521"/>
      <c r="L378" s="514"/>
      <c r="M378" s="514"/>
      <c r="N378" s="756"/>
      <c r="O378" s="514"/>
      <c r="P378" s="514"/>
      <c r="Q378" s="514"/>
      <c r="R378" s="514"/>
      <c r="S378" s="514"/>
      <c r="T378" s="514"/>
      <c r="U378" s="756"/>
      <c r="V378" s="514"/>
      <c r="W378" s="514"/>
      <c r="X378" s="514"/>
      <c r="Y378" s="514"/>
      <c r="Z378" s="514"/>
      <c r="AA378" s="514"/>
      <c r="AB378" s="756"/>
      <c r="AC378" s="514"/>
      <c r="AD378" s="514"/>
      <c r="AE378" s="514"/>
      <c r="AF378" s="764"/>
      <c r="AG378" s="514"/>
      <c r="AH378" s="514"/>
      <c r="AI378" s="664">
        <f t="shared" si="25"/>
        <v>0</v>
      </c>
      <c r="AJ378" s="521">
        <v>0</v>
      </c>
      <c r="AK378" s="520">
        <f t="shared" si="23"/>
        <v>0</v>
      </c>
      <c r="AL378" s="695"/>
      <c r="AM378" s="669">
        <f t="shared" si="24"/>
        <v>0</v>
      </c>
    </row>
    <row r="379" spans="1:39" s="500" customFormat="1" ht="13.5" hidden="1" thickBot="1">
      <c r="A379" s="554" t="s">
        <v>978</v>
      </c>
      <c r="B379" s="555" t="s">
        <v>1300</v>
      </c>
      <c r="C379" s="561" t="s">
        <v>37</v>
      </c>
      <c r="D379" s="519"/>
      <c r="E379" s="520"/>
      <c r="F379" s="520"/>
      <c r="G379" s="726"/>
      <c r="H379" s="520"/>
      <c r="I379" s="521"/>
      <c r="J379" s="521"/>
      <c r="K379" s="521"/>
      <c r="L379" s="514"/>
      <c r="M379" s="514"/>
      <c r="N379" s="756"/>
      <c r="O379" s="514"/>
      <c r="P379" s="514"/>
      <c r="Q379" s="514"/>
      <c r="R379" s="514"/>
      <c r="S379" s="514"/>
      <c r="T379" s="514"/>
      <c r="U379" s="756"/>
      <c r="V379" s="514"/>
      <c r="W379" s="514"/>
      <c r="X379" s="514"/>
      <c r="Y379" s="514"/>
      <c r="Z379" s="514"/>
      <c r="AA379" s="514"/>
      <c r="AB379" s="756"/>
      <c r="AC379" s="514"/>
      <c r="AD379" s="514"/>
      <c r="AE379" s="514"/>
      <c r="AF379" s="764"/>
      <c r="AG379" s="514"/>
      <c r="AH379" s="514"/>
      <c r="AI379" s="664">
        <f t="shared" si="25"/>
        <v>0</v>
      </c>
      <c r="AJ379" s="521">
        <v>0</v>
      </c>
      <c r="AK379" s="520">
        <f t="shared" si="23"/>
        <v>0</v>
      </c>
      <c r="AL379" s="695" t="s">
        <v>1729</v>
      </c>
      <c r="AM379" s="669">
        <f t="shared" si="24"/>
        <v>117.85</v>
      </c>
    </row>
    <row r="380" spans="1:39" s="500" customFormat="1" ht="13.5" hidden="1" thickBot="1">
      <c r="A380" s="554" t="s">
        <v>979</v>
      </c>
      <c r="B380" s="555" t="s">
        <v>1301</v>
      </c>
      <c r="C380" s="561" t="s">
        <v>37</v>
      </c>
      <c r="D380" s="519"/>
      <c r="E380" s="520"/>
      <c r="F380" s="520"/>
      <c r="G380" s="726"/>
      <c r="H380" s="520"/>
      <c r="I380" s="521"/>
      <c r="J380" s="521"/>
      <c r="K380" s="521"/>
      <c r="L380" s="514"/>
      <c r="M380" s="514"/>
      <c r="N380" s="756"/>
      <c r="O380" s="514"/>
      <c r="P380" s="514"/>
      <c r="Q380" s="514"/>
      <c r="R380" s="514"/>
      <c r="S380" s="514"/>
      <c r="T380" s="514"/>
      <c r="U380" s="756"/>
      <c r="V380" s="514"/>
      <c r="W380" s="514"/>
      <c r="X380" s="514"/>
      <c r="Y380" s="514"/>
      <c r="Z380" s="514"/>
      <c r="AA380" s="514"/>
      <c r="AB380" s="756"/>
      <c r="AC380" s="514"/>
      <c r="AD380" s="514"/>
      <c r="AE380" s="514"/>
      <c r="AF380" s="764"/>
      <c r="AG380" s="514"/>
      <c r="AH380" s="514"/>
      <c r="AI380" s="664">
        <f t="shared" si="25"/>
        <v>0</v>
      </c>
      <c r="AJ380" s="521">
        <v>0</v>
      </c>
      <c r="AK380" s="520">
        <f t="shared" si="23"/>
        <v>0</v>
      </c>
      <c r="AL380" s="695" t="s">
        <v>1730</v>
      </c>
      <c r="AM380" s="669">
        <f t="shared" si="24"/>
        <v>65.94</v>
      </c>
    </row>
    <row r="381" spans="1:39" s="500" customFormat="1" ht="13.5" hidden="1" thickBot="1">
      <c r="A381" s="554" t="s">
        <v>980</v>
      </c>
      <c r="B381" s="555" t="s">
        <v>1302</v>
      </c>
      <c r="C381" s="561" t="s">
        <v>37</v>
      </c>
      <c r="D381" s="519"/>
      <c r="E381" s="520"/>
      <c r="F381" s="520"/>
      <c r="G381" s="726"/>
      <c r="H381" s="520"/>
      <c r="I381" s="521"/>
      <c r="J381" s="521"/>
      <c r="K381" s="521"/>
      <c r="L381" s="514"/>
      <c r="M381" s="514"/>
      <c r="N381" s="756"/>
      <c r="O381" s="514"/>
      <c r="P381" s="514"/>
      <c r="Q381" s="514"/>
      <c r="R381" s="514"/>
      <c r="S381" s="514"/>
      <c r="T381" s="514"/>
      <c r="U381" s="756"/>
      <c r="V381" s="514"/>
      <c r="W381" s="514"/>
      <c r="X381" s="514"/>
      <c r="Y381" s="514"/>
      <c r="Z381" s="514"/>
      <c r="AA381" s="514"/>
      <c r="AB381" s="756"/>
      <c r="AC381" s="514"/>
      <c r="AD381" s="514"/>
      <c r="AE381" s="514"/>
      <c r="AF381" s="764"/>
      <c r="AG381" s="514"/>
      <c r="AH381" s="514"/>
      <c r="AI381" s="664">
        <f t="shared" si="25"/>
        <v>0</v>
      </c>
      <c r="AJ381" s="521">
        <v>0</v>
      </c>
      <c r="AK381" s="520">
        <f t="shared" si="23"/>
        <v>0</v>
      </c>
      <c r="AL381" s="695" t="s">
        <v>1590</v>
      </c>
      <c r="AM381" s="669">
        <f t="shared" si="24"/>
        <v>49.66</v>
      </c>
    </row>
    <row r="382" spans="1:39" s="500" customFormat="1" ht="13.5" hidden="1" thickBot="1">
      <c r="A382" s="554" t="s">
        <v>981</v>
      </c>
      <c r="B382" s="555" t="s">
        <v>1291</v>
      </c>
      <c r="C382" s="561"/>
      <c r="D382" s="519"/>
      <c r="E382" s="520"/>
      <c r="F382" s="520"/>
      <c r="G382" s="726"/>
      <c r="H382" s="520"/>
      <c r="I382" s="521"/>
      <c r="J382" s="521"/>
      <c r="K382" s="521"/>
      <c r="L382" s="514"/>
      <c r="M382" s="514"/>
      <c r="N382" s="756"/>
      <c r="O382" s="514"/>
      <c r="P382" s="514"/>
      <c r="Q382" s="514"/>
      <c r="R382" s="514"/>
      <c r="S382" s="514"/>
      <c r="T382" s="514"/>
      <c r="U382" s="756"/>
      <c r="V382" s="514"/>
      <c r="W382" s="514"/>
      <c r="X382" s="514"/>
      <c r="Y382" s="514"/>
      <c r="Z382" s="514"/>
      <c r="AA382" s="514"/>
      <c r="AB382" s="756"/>
      <c r="AC382" s="514"/>
      <c r="AD382" s="514"/>
      <c r="AE382" s="514"/>
      <c r="AF382" s="764"/>
      <c r="AG382" s="514"/>
      <c r="AH382" s="514"/>
      <c r="AI382" s="664">
        <f t="shared" si="25"/>
        <v>0</v>
      </c>
      <c r="AJ382" s="521">
        <v>0</v>
      </c>
      <c r="AK382" s="520">
        <f t="shared" si="23"/>
        <v>0</v>
      </c>
      <c r="AL382" s="695"/>
      <c r="AM382" s="669">
        <f t="shared" si="24"/>
        <v>0</v>
      </c>
    </row>
    <row r="383" spans="1:39" s="500" customFormat="1" ht="13.5" hidden="1" thickBot="1">
      <c r="A383" s="554" t="s">
        <v>982</v>
      </c>
      <c r="B383" s="555" t="s">
        <v>1303</v>
      </c>
      <c r="C383" s="561" t="s">
        <v>37</v>
      </c>
      <c r="D383" s="519"/>
      <c r="E383" s="520"/>
      <c r="F383" s="520"/>
      <c r="G383" s="726"/>
      <c r="H383" s="520"/>
      <c r="I383" s="521"/>
      <c r="J383" s="521"/>
      <c r="K383" s="521"/>
      <c r="L383" s="514"/>
      <c r="M383" s="514"/>
      <c r="N383" s="756"/>
      <c r="O383" s="514"/>
      <c r="P383" s="514"/>
      <c r="Q383" s="514"/>
      <c r="R383" s="514"/>
      <c r="S383" s="514"/>
      <c r="T383" s="514"/>
      <c r="U383" s="756"/>
      <c r="V383" s="514"/>
      <c r="W383" s="514"/>
      <c r="X383" s="514"/>
      <c r="Y383" s="514"/>
      <c r="Z383" s="514"/>
      <c r="AA383" s="514"/>
      <c r="AB383" s="756"/>
      <c r="AC383" s="514"/>
      <c r="AD383" s="514"/>
      <c r="AE383" s="514"/>
      <c r="AF383" s="764"/>
      <c r="AG383" s="514"/>
      <c r="AH383" s="514"/>
      <c r="AI383" s="664">
        <f t="shared" si="25"/>
        <v>0</v>
      </c>
      <c r="AJ383" s="521">
        <v>0</v>
      </c>
      <c r="AK383" s="520">
        <f t="shared" si="23"/>
        <v>0</v>
      </c>
      <c r="AL383" s="695" t="s">
        <v>1731</v>
      </c>
      <c r="AM383" s="669">
        <f t="shared" si="24"/>
        <v>7.98</v>
      </c>
    </row>
    <row r="384" spans="1:39" s="500" customFormat="1" ht="13.5" hidden="1" thickBot="1">
      <c r="A384" s="554" t="s">
        <v>983</v>
      </c>
      <c r="B384" s="555" t="s">
        <v>1272</v>
      </c>
      <c r="C384" s="561"/>
      <c r="D384" s="519"/>
      <c r="E384" s="520"/>
      <c r="F384" s="520"/>
      <c r="G384" s="726"/>
      <c r="H384" s="520"/>
      <c r="I384" s="521"/>
      <c r="J384" s="521"/>
      <c r="K384" s="521"/>
      <c r="L384" s="514"/>
      <c r="M384" s="514"/>
      <c r="N384" s="756"/>
      <c r="O384" s="514"/>
      <c r="P384" s="514"/>
      <c r="Q384" s="514"/>
      <c r="R384" s="514"/>
      <c r="S384" s="514"/>
      <c r="T384" s="514"/>
      <c r="U384" s="756"/>
      <c r="V384" s="514"/>
      <c r="W384" s="514"/>
      <c r="X384" s="514"/>
      <c r="Y384" s="514"/>
      <c r="Z384" s="514"/>
      <c r="AA384" s="514"/>
      <c r="AB384" s="756"/>
      <c r="AC384" s="514"/>
      <c r="AD384" s="514"/>
      <c r="AE384" s="514"/>
      <c r="AF384" s="764"/>
      <c r="AG384" s="514"/>
      <c r="AH384" s="514"/>
      <c r="AI384" s="664">
        <f t="shared" si="25"/>
        <v>0</v>
      </c>
      <c r="AJ384" s="521">
        <v>0</v>
      </c>
      <c r="AK384" s="520">
        <f t="shared" si="23"/>
        <v>0</v>
      </c>
      <c r="AL384" s="695"/>
      <c r="AM384" s="669">
        <f t="shared" si="24"/>
        <v>0</v>
      </c>
    </row>
    <row r="385" spans="1:39" s="500" customFormat="1" ht="13.5" hidden="1" thickBot="1">
      <c r="A385" s="554" t="s">
        <v>984</v>
      </c>
      <c r="B385" s="555" t="s">
        <v>1304</v>
      </c>
      <c r="C385" s="561" t="s">
        <v>37</v>
      </c>
      <c r="D385" s="519"/>
      <c r="E385" s="520"/>
      <c r="F385" s="520"/>
      <c r="G385" s="726"/>
      <c r="H385" s="520"/>
      <c r="I385" s="521"/>
      <c r="J385" s="521"/>
      <c r="K385" s="521"/>
      <c r="L385" s="514"/>
      <c r="M385" s="514"/>
      <c r="N385" s="756"/>
      <c r="O385" s="514"/>
      <c r="P385" s="514"/>
      <c r="Q385" s="514"/>
      <c r="R385" s="514"/>
      <c r="S385" s="514"/>
      <c r="T385" s="514"/>
      <c r="U385" s="756"/>
      <c r="V385" s="514"/>
      <c r="W385" s="514"/>
      <c r="X385" s="514"/>
      <c r="Y385" s="514"/>
      <c r="Z385" s="514"/>
      <c r="AA385" s="514"/>
      <c r="AB385" s="756"/>
      <c r="AC385" s="514"/>
      <c r="AD385" s="514"/>
      <c r="AE385" s="514"/>
      <c r="AF385" s="764"/>
      <c r="AG385" s="514"/>
      <c r="AH385" s="514"/>
      <c r="AI385" s="664">
        <f t="shared" si="25"/>
        <v>0</v>
      </c>
      <c r="AJ385" s="521">
        <v>0</v>
      </c>
      <c r="AK385" s="520">
        <f t="shared" si="23"/>
        <v>0</v>
      </c>
      <c r="AL385" s="695" t="s">
        <v>1729</v>
      </c>
      <c r="AM385" s="669">
        <f t="shared" si="24"/>
        <v>117.85</v>
      </c>
    </row>
    <row r="386" spans="1:39" s="500" customFormat="1" ht="13.5" hidden="1" thickBot="1">
      <c r="A386" s="554" t="s">
        <v>985</v>
      </c>
      <c r="B386" s="555" t="s">
        <v>1276</v>
      </c>
      <c r="C386" s="561" t="s">
        <v>37</v>
      </c>
      <c r="D386" s="519"/>
      <c r="E386" s="520"/>
      <c r="F386" s="520"/>
      <c r="G386" s="726"/>
      <c r="H386" s="520"/>
      <c r="I386" s="521"/>
      <c r="J386" s="521"/>
      <c r="K386" s="521"/>
      <c r="L386" s="514"/>
      <c r="M386" s="514"/>
      <c r="N386" s="756"/>
      <c r="O386" s="514"/>
      <c r="P386" s="514"/>
      <c r="Q386" s="514"/>
      <c r="R386" s="514"/>
      <c r="S386" s="514"/>
      <c r="T386" s="514"/>
      <c r="U386" s="756"/>
      <c r="V386" s="514"/>
      <c r="W386" s="514"/>
      <c r="X386" s="514"/>
      <c r="Y386" s="514"/>
      <c r="Z386" s="514"/>
      <c r="AA386" s="514"/>
      <c r="AB386" s="756"/>
      <c r="AC386" s="514"/>
      <c r="AD386" s="514"/>
      <c r="AE386" s="514"/>
      <c r="AF386" s="764"/>
      <c r="AG386" s="514"/>
      <c r="AH386" s="514"/>
      <c r="AI386" s="664">
        <f t="shared" si="25"/>
        <v>0</v>
      </c>
      <c r="AJ386" s="521">
        <v>0</v>
      </c>
      <c r="AK386" s="520">
        <f t="shared" si="23"/>
        <v>0</v>
      </c>
      <c r="AL386" s="695" t="s">
        <v>1730</v>
      </c>
      <c r="AM386" s="669">
        <f t="shared" si="24"/>
        <v>65.94</v>
      </c>
    </row>
    <row r="387" spans="1:39" s="500" customFormat="1" ht="13.5" hidden="1" thickBot="1">
      <c r="A387" s="554" t="s">
        <v>986</v>
      </c>
      <c r="B387" s="555" t="s">
        <v>1277</v>
      </c>
      <c r="C387" s="561" t="s">
        <v>37</v>
      </c>
      <c r="D387" s="519"/>
      <c r="E387" s="520"/>
      <c r="F387" s="520"/>
      <c r="G387" s="726"/>
      <c r="H387" s="520"/>
      <c r="I387" s="521"/>
      <c r="J387" s="521"/>
      <c r="K387" s="521"/>
      <c r="L387" s="514"/>
      <c r="M387" s="514"/>
      <c r="N387" s="756"/>
      <c r="O387" s="514"/>
      <c r="P387" s="514"/>
      <c r="Q387" s="514"/>
      <c r="R387" s="514"/>
      <c r="S387" s="514"/>
      <c r="T387" s="514"/>
      <c r="U387" s="756"/>
      <c r="V387" s="514"/>
      <c r="W387" s="514"/>
      <c r="X387" s="514"/>
      <c r="Y387" s="514"/>
      <c r="Z387" s="514"/>
      <c r="AA387" s="514"/>
      <c r="AB387" s="756"/>
      <c r="AC387" s="514"/>
      <c r="AD387" s="514"/>
      <c r="AE387" s="514"/>
      <c r="AF387" s="764"/>
      <c r="AG387" s="514"/>
      <c r="AH387" s="514"/>
      <c r="AI387" s="664">
        <f t="shared" si="25"/>
        <v>0</v>
      </c>
      <c r="AJ387" s="521">
        <v>0</v>
      </c>
      <c r="AK387" s="520">
        <f t="shared" si="23"/>
        <v>0</v>
      </c>
      <c r="AL387" s="695" t="s">
        <v>1590</v>
      </c>
      <c r="AM387" s="669">
        <f t="shared" si="24"/>
        <v>49.66</v>
      </c>
    </row>
    <row r="388" spans="1:39" s="500" customFormat="1" ht="13.5" hidden="1" thickBot="1">
      <c r="A388" s="554" t="s">
        <v>987</v>
      </c>
      <c r="B388" s="555" t="s">
        <v>1305</v>
      </c>
      <c r="C388" s="561"/>
      <c r="D388" s="519"/>
      <c r="E388" s="520"/>
      <c r="F388" s="520"/>
      <c r="G388" s="726"/>
      <c r="H388" s="520"/>
      <c r="I388" s="521"/>
      <c r="J388" s="521"/>
      <c r="K388" s="521"/>
      <c r="L388" s="514"/>
      <c r="M388" s="514"/>
      <c r="N388" s="756"/>
      <c r="O388" s="514"/>
      <c r="P388" s="514"/>
      <c r="Q388" s="514"/>
      <c r="R388" s="514"/>
      <c r="S388" s="514"/>
      <c r="T388" s="514"/>
      <c r="U388" s="756"/>
      <c r="V388" s="514"/>
      <c r="W388" s="514"/>
      <c r="X388" s="514"/>
      <c r="Y388" s="514"/>
      <c r="Z388" s="514"/>
      <c r="AA388" s="514"/>
      <c r="AB388" s="756"/>
      <c r="AC388" s="514"/>
      <c r="AD388" s="514"/>
      <c r="AE388" s="514"/>
      <c r="AF388" s="764"/>
      <c r="AG388" s="514"/>
      <c r="AH388" s="514"/>
      <c r="AI388" s="664">
        <f t="shared" si="25"/>
        <v>0</v>
      </c>
      <c r="AJ388" s="521">
        <v>0</v>
      </c>
      <c r="AK388" s="520">
        <f t="shared" si="23"/>
        <v>0</v>
      </c>
      <c r="AL388" s="695"/>
      <c r="AM388" s="669">
        <f t="shared" si="24"/>
        <v>0</v>
      </c>
    </row>
    <row r="389" spans="1:39" s="500" customFormat="1" ht="13.5" hidden="1" thickBot="1">
      <c r="A389" s="554" t="s">
        <v>988</v>
      </c>
      <c r="B389" s="555" t="s">
        <v>1306</v>
      </c>
      <c r="C389" s="561" t="s">
        <v>37</v>
      </c>
      <c r="D389" s="519"/>
      <c r="E389" s="520"/>
      <c r="F389" s="520"/>
      <c r="G389" s="726"/>
      <c r="H389" s="520"/>
      <c r="I389" s="521"/>
      <c r="J389" s="521"/>
      <c r="K389" s="521"/>
      <c r="L389" s="514"/>
      <c r="M389" s="514"/>
      <c r="N389" s="756"/>
      <c r="O389" s="514"/>
      <c r="P389" s="514"/>
      <c r="Q389" s="514"/>
      <c r="R389" s="514"/>
      <c r="S389" s="514"/>
      <c r="T389" s="514"/>
      <c r="U389" s="756"/>
      <c r="V389" s="514"/>
      <c r="W389" s="514"/>
      <c r="X389" s="514"/>
      <c r="Y389" s="514"/>
      <c r="Z389" s="514"/>
      <c r="AA389" s="514"/>
      <c r="AB389" s="756"/>
      <c r="AC389" s="514"/>
      <c r="AD389" s="514"/>
      <c r="AE389" s="514"/>
      <c r="AF389" s="764"/>
      <c r="AG389" s="514"/>
      <c r="AH389" s="514"/>
      <c r="AI389" s="664">
        <f t="shared" si="25"/>
        <v>0</v>
      </c>
      <c r="AJ389" s="521">
        <v>0</v>
      </c>
      <c r="AK389" s="520">
        <f t="shared" si="23"/>
        <v>0</v>
      </c>
      <c r="AL389" s="695" t="s">
        <v>1732</v>
      </c>
      <c r="AM389" s="669">
        <f t="shared" si="24"/>
        <v>154.19</v>
      </c>
    </row>
    <row r="390" spans="1:39" s="500" customFormat="1" ht="13.5" hidden="1" thickBot="1">
      <c r="A390" s="554" t="s">
        <v>989</v>
      </c>
      <c r="B390" s="555" t="s">
        <v>1307</v>
      </c>
      <c r="C390" s="561" t="s">
        <v>37</v>
      </c>
      <c r="D390" s="519"/>
      <c r="E390" s="520"/>
      <c r="F390" s="520"/>
      <c r="G390" s="726"/>
      <c r="H390" s="520"/>
      <c r="I390" s="521"/>
      <c r="J390" s="521"/>
      <c r="K390" s="521"/>
      <c r="L390" s="514"/>
      <c r="M390" s="514"/>
      <c r="N390" s="756"/>
      <c r="O390" s="514"/>
      <c r="P390" s="514"/>
      <c r="Q390" s="514"/>
      <c r="R390" s="514"/>
      <c r="S390" s="514"/>
      <c r="T390" s="514"/>
      <c r="U390" s="756"/>
      <c r="V390" s="514"/>
      <c r="W390" s="514"/>
      <c r="X390" s="514"/>
      <c r="Y390" s="514"/>
      <c r="Z390" s="514"/>
      <c r="AA390" s="514"/>
      <c r="AB390" s="756"/>
      <c r="AC390" s="514"/>
      <c r="AD390" s="514"/>
      <c r="AE390" s="514"/>
      <c r="AF390" s="764"/>
      <c r="AG390" s="514"/>
      <c r="AH390" s="514"/>
      <c r="AI390" s="664">
        <f t="shared" si="25"/>
        <v>0</v>
      </c>
      <c r="AJ390" s="521">
        <v>0</v>
      </c>
      <c r="AK390" s="520">
        <f t="shared" si="23"/>
        <v>0</v>
      </c>
      <c r="AL390" s="695" t="s">
        <v>1733</v>
      </c>
      <c r="AM390" s="669">
        <f t="shared" si="24"/>
        <v>48.81</v>
      </c>
    </row>
    <row r="391" spans="1:39" s="500" customFormat="1" ht="13.5" hidden="1" thickBot="1">
      <c r="A391" s="554" t="s">
        <v>990</v>
      </c>
      <c r="B391" s="555" t="s">
        <v>1308</v>
      </c>
      <c r="C391" s="561"/>
      <c r="D391" s="519"/>
      <c r="E391" s="520"/>
      <c r="F391" s="520"/>
      <c r="G391" s="726"/>
      <c r="H391" s="520"/>
      <c r="I391" s="521"/>
      <c r="J391" s="521"/>
      <c r="K391" s="521"/>
      <c r="L391" s="514"/>
      <c r="M391" s="514"/>
      <c r="N391" s="756"/>
      <c r="O391" s="514"/>
      <c r="P391" s="514"/>
      <c r="Q391" s="514"/>
      <c r="R391" s="514"/>
      <c r="S391" s="514"/>
      <c r="T391" s="514"/>
      <c r="U391" s="756"/>
      <c r="V391" s="514"/>
      <c r="W391" s="514"/>
      <c r="X391" s="514"/>
      <c r="Y391" s="514"/>
      <c r="Z391" s="514"/>
      <c r="AA391" s="514"/>
      <c r="AB391" s="756"/>
      <c r="AC391" s="514"/>
      <c r="AD391" s="514"/>
      <c r="AE391" s="514"/>
      <c r="AF391" s="764"/>
      <c r="AG391" s="514"/>
      <c r="AH391" s="514"/>
      <c r="AI391" s="664">
        <f t="shared" si="25"/>
        <v>0</v>
      </c>
      <c r="AJ391" s="521">
        <v>0</v>
      </c>
      <c r="AK391" s="520">
        <f t="shared" si="23"/>
        <v>0</v>
      </c>
      <c r="AL391" s="695"/>
      <c r="AM391" s="669">
        <f t="shared" si="24"/>
        <v>0</v>
      </c>
    </row>
    <row r="392" spans="1:39" s="500" customFormat="1" ht="13.5" hidden="1" thickBot="1">
      <c r="A392" s="554" t="s">
        <v>991</v>
      </c>
      <c r="B392" s="555" t="s">
        <v>1249</v>
      </c>
      <c r="C392" s="561"/>
      <c r="D392" s="519"/>
      <c r="E392" s="520"/>
      <c r="F392" s="520"/>
      <c r="G392" s="726"/>
      <c r="H392" s="520"/>
      <c r="I392" s="521"/>
      <c r="J392" s="521"/>
      <c r="K392" s="521"/>
      <c r="L392" s="514"/>
      <c r="M392" s="514"/>
      <c r="N392" s="756"/>
      <c r="O392" s="514"/>
      <c r="P392" s="514"/>
      <c r="Q392" s="514"/>
      <c r="R392" s="514"/>
      <c r="S392" s="514"/>
      <c r="T392" s="514"/>
      <c r="U392" s="756"/>
      <c r="V392" s="514"/>
      <c r="W392" s="514"/>
      <c r="X392" s="514"/>
      <c r="Y392" s="514"/>
      <c r="Z392" s="514"/>
      <c r="AA392" s="514"/>
      <c r="AB392" s="756"/>
      <c r="AC392" s="514"/>
      <c r="AD392" s="514"/>
      <c r="AE392" s="514"/>
      <c r="AF392" s="764"/>
      <c r="AG392" s="514"/>
      <c r="AH392" s="514"/>
      <c r="AI392" s="664">
        <f t="shared" si="25"/>
        <v>0</v>
      </c>
      <c r="AJ392" s="521">
        <v>0</v>
      </c>
      <c r="AK392" s="520">
        <f t="shared" si="23"/>
        <v>0</v>
      </c>
      <c r="AL392" s="695"/>
      <c r="AM392" s="669">
        <f t="shared" si="24"/>
        <v>0</v>
      </c>
    </row>
    <row r="393" spans="1:39" s="500" customFormat="1" ht="13.5" hidden="1" thickBot="1">
      <c r="A393" s="554" t="s">
        <v>992</v>
      </c>
      <c r="B393" s="555" t="s">
        <v>1309</v>
      </c>
      <c r="C393" s="561" t="s">
        <v>37</v>
      </c>
      <c r="D393" s="519"/>
      <c r="E393" s="520"/>
      <c r="F393" s="520"/>
      <c r="G393" s="726"/>
      <c r="H393" s="520"/>
      <c r="I393" s="521"/>
      <c r="J393" s="521"/>
      <c r="K393" s="521"/>
      <c r="L393" s="514"/>
      <c r="M393" s="514"/>
      <c r="N393" s="756"/>
      <c r="O393" s="514"/>
      <c r="P393" s="514"/>
      <c r="Q393" s="514"/>
      <c r="R393" s="514"/>
      <c r="S393" s="514"/>
      <c r="T393" s="514"/>
      <c r="U393" s="756"/>
      <c r="V393" s="514"/>
      <c r="W393" s="514"/>
      <c r="X393" s="514"/>
      <c r="Y393" s="514"/>
      <c r="Z393" s="514"/>
      <c r="AA393" s="514"/>
      <c r="AB393" s="756"/>
      <c r="AC393" s="514"/>
      <c r="AD393" s="514"/>
      <c r="AE393" s="514"/>
      <c r="AF393" s="764"/>
      <c r="AG393" s="514"/>
      <c r="AH393" s="514"/>
      <c r="AI393" s="664">
        <f t="shared" si="25"/>
        <v>0</v>
      </c>
      <c r="AJ393" s="521">
        <v>0</v>
      </c>
      <c r="AK393" s="520">
        <f t="shared" si="23"/>
        <v>0</v>
      </c>
      <c r="AL393" s="695" t="s">
        <v>1608</v>
      </c>
      <c r="AM393" s="669">
        <f t="shared" si="24"/>
        <v>60</v>
      </c>
    </row>
    <row r="394" spans="1:39" s="500" customFormat="1" ht="13.5" hidden="1" thickBot="1">
      <c r="A394" s="554" t="s">
        <v>993</v>
      </c>
      <c r="B394" s="555" t="s">
        <v>1310</v>
      </c>
      <c r="C394" s="561" t="s">
        <v>37</v>
      </c>
      <c r="D394" s="519"/>
      <c r="E394" s="520"/>
      <c r="F394" s="520"/>
      <c r="G394" s="726"/>
      <c r="H394" s="520"/>
      <c r="I394" s="521"/>
      <c r="J394" s="521"/>
      <c r="K394" s="521"/>
      <c r="L394" s="514"/>
      <c r="M394" s="514"/>
      <c r="N394" s="756"/>
      <c r="O394" s="514"/>
      <c r="P394" s="514"/>
      <c r="Q394" s="514"/>
      <c r="R394" s="514"/>
      <c r="S394" s="514"/>
      <c r="T394" s="514"/>
      <c r="U394" s="756"/>
      <c r="V394" s="514"/>
      <c r="W394" s="514"/>
      <c r="X394" s="514"/>
      <c r="Y394" s="514"/>
      <c r="Z394" s="514"/>
      <c r="AA394" s="514"/>
      <c r="AB394" s="756"/>
      <c r="AC394" s="514"/>
      <c r="AD394" s="514"/>
      <c r="AE394" s="514"/>
      <c r="AF394" s="764"/>
      <c r="AG394" s="514"/>
      <c r="AH394" s="514"/>
      <c r="AI394" s="664">
        <f t="shared" si="25"/>
        <v>0</v>
      </c>
      <c r="AJ394" s="521">
        <v>0</v>
      </c>
      <c r="AK394" s="520">
        <f t="shared" si="23"/>
        <v>0</v>
      </c>
      <c r="AL394" s="695" t="s">
        <v>1633</v>
      </c>
      <c r="AM394" s="669">
        <f t="shared" si="24"/>
        <v>5.18</v>
      </c>
    </row>
    <row r="395" spans="1:39" s="500" customFormat="1" ht="13.5" hidden="1" thickBot="1">
      <c r="A395" s="554" t="s">
        <v>994</v>
      </c>
      <c r="B395" s="555" t="s">
        <v>1253</v>
      </c>
      <c r="C395" s="561"/>
      <c r="D395" s="519"/>
      <c r="E395" s="520"/>
      <c r="F395" s="520"/>
      <c r="G395" s="726"/>
      <c r="H395" s="520"/>
      <c r="I395" s="521"/>
      <c r="J395" s="521"/>
      <c r="K395" s="521"/>
      <c r="L395" s="514"/>
      <c r="M395" s="514"/>
      <c r="N395" s="756"/>
      <c r="O395" s="514"/>
      <c r="P395" s="514"/>
      <c r="Q395" s="514"/>
      <c r="R395" s="514"/>
      <c r="S395" s="514"/>
      <c r="T395" s="514"/>
      <c r="U395" s="756"/>
      <c r="V395" s="514"/>
      <c r="W395" s="514"/>
      <c r="X395" s="514"/>
      <c r="Y395" s="514"/>
      <c r="Z395" s="514"/>
      <c r="AA395" s="514"/>
      <c r="AB395" s="756"/>
      <c r="AC395" s="514"/>
      <c r="AD395" s="514"/>
      <c r="AE395" s="514"/>
      <c r="AF395" s="764"/>
      <c r="AG395" s="514"/>
      <c r="AH395" s="514"/>
      <c r="AI395" s="664">
        <f t="shared" si="25"/>
        <v>0</v>
      </c>
      <c r="AJ395" s="521">
        <v>0</v>
      </c>
      <c r="AK395" s="520">
        <f t="shared" si="23"/>
        <v>0</v>
      </c>
      <c r="AL395" s="695"/>
      <c r="AM395" s="669">
        <f t="shared" si="24"/>
        <v>0</v>
      </c>
    </row>
    <row r="396" spans="1:39" s="500" customFormat="1" ht="13.5" hidden="1" thickBot="1">
      <c r="A396" s="554" t="s">
        <v>995</v>
      </c>
      <c r="B396" s="555" t="s">
        <v>1311</v>
      </c>
      <c r="C396" s="561" t="s">
        <v>38</v>
      </c>
      <c r="D396" s="519"/>
      <c r="E396" s="520"/>
      <c r="F396" s="520"/>
      <c r="G396" s="726"/>
      <c r="H396" s="520"/>
      <c r="I396" s="521"/>
      <c r="J396" s="521"/>
      <c r="K396" s="521"/>
      <c r="L396" s="514"/>
      <c r="M396" s="514"/>
      <c r="N396" s="756"/>
      <c r="O396" s="514"/>
      <c r="P396" s="514"/>
      <c r="Q396" s="514"/>
      <c r="R396" s="514"/>
      <c r="S396" s="514"/>
      <c r="T396" s="514"/>
      <c r="U396" s="756"/>
      <c r="V396" s="514"/>
      <c r="W396" s="514"/>
      <c r="X396" s="514"/>
      <c r="Y396" s="514"/>
      <c r="Z396" s="514"/>
      <c r="AA396" s="514"/>
      <c r="AB396" s="756"/>
      <c r="AC396" s="514"/>
      <c r="AD396" s="514"/>
      <c r="AE396" s="514"/>
      <c r="AF396" s="764"/>
      <c r="AG396" s="514"/>
      <c r="AH396" s="514"/>
      <c r="AI396" s="664">
        <f t="shared" si="25"/>
        <v>0</v>
      </c>
      <c r="AJ396" s="521">
        <v>0</v>
      </c>
      <c r="AK396" s="520">
        <f t="shared" si="23"/>
        <v>0</v>
      </c>
      <c r="AL396" s="695" t="s">
        <v>1734</v>
      </c>
      <c r="AM396" s="669">
        <f t="shared" si="24"/>
        <v>73.98</v>
      </c>
    </row>
    <row r="397" spans="1:39" s="500" customFormat="1" ht="13.5" hidden="1" thickBot="1">
      <c r="A397" s="554" t="s">
        <v>996</v>
      </c>
      <c r="B397" s="555" t="s">
        <v>1255</v>
      </c>
      <c r="C397" s="561" t="s">
        <v>37</v>
      </c>
      <c r="D397" s="519"/>
      <c r="E397" s="520"/>
      <c r="F397" s="520"/>
      <c r="G397" s="726"/>
      <c r="H397" s="520"/>
      <c r="I397" s="521"/>
      <c r="J397" s="521"/>
      <c r="K397" s="521"/>
      <c r="L397" s="514"/>
      <c r="M397" s="514"/>
      <c r="N397" s="756"/>
      <c r="O397" s="514"/>
      <c r="P397" s="514"/>
      <c r="Q397" s="514"/>
      <c r="R397" s="514"/>
      <c r="S397" s="514"/>
      <c r="T397" s="514"/>
      <c r="U397" s="756"/>
      <c r="V397" s="514"/>
      <c r="W397" s="514"/>
      <c r="X397" s="514"/>
      <c r="Y397" s="514"/>
      <c r="Z397" s="514"/>
      <c r="AA397" s="514"/>
      <c r="AB397" s="756"/>
      <c r="AC397" s="514"/>
      <c r="AD397" s="514"/>
      <c r="AE397" s="514"/>
      <c r="AF397" s="764"/>
      <c r="AG397" s="514"/>
      <c r="AH397" s="514"/>
      <c r="AI397" s="664">
        <f t="shared" si="25"/>
        <v>0</v>
      </c>
      <c r="AJ397" s="521">
        <v>0</v>
      </c>
      <c r="AK397" s="520">
        <f t="shared" si="23"/>
        <v>0</v>
      </c>
      <c r="AL397" s="695" t="s">
        <v>1735</v>
      </c>
      <c r="AM397" s="669">
        <f t="shared" si="24"/>
        <v>44.39</v>
      </c>
    </row>
    <row r="398" spans="1:39" s="500" customFormat="1" ht="13.5" hidden="1" thickBot="1">
      <c r="A398" s="554" t="s">
        <v>997</v>
      </c>
      <c r="B398" s="555" t="s">
        <v>1312</v>
      </c>
      <c r="C398" s="561"/>
      <c r="D398" s="519"/>
      <c r="E398" s="520"/>
      <c r="F398" s="520"/>
      <c r="G398" s="726"/>
      <c r="H398" s="520"/>
      <c r="I398" s="521"/>
      <c r="J398" s="521"/>
      <c r="K398" s="521"/>
      <c r="L398" s="514"/>
      <c r="M398" s="514"/>
      <c r="N398" s="756"/>
      <c r="O398" s="514"/>
      <c r="P398" s="514"/>
      <c r="Q398" s="514"/>
      <c r="R398" s="514"/>
      <c r="S398" s="514"/>
      <c r="T398" s="514"/>
      <c r="U398" s="756"/>
      <c r="V398" s="514"/>
      <c r="W398" s="514"/>
      <c r="X398" s="514"/>
      <c r="Y398" s="514"/>
      <c r="Z398" s="514"/>
      <c r="AA398" s="514"/>
      <c r="AB398" s="756"/>
      <c r="AC398" s="514"/>
      <c r="AD398" s="514"/>
      <c r="AE398" s="514"/>
      <c r="AF398" s="764"/>
      <c r="AG398" s="514"/>
      <c r="AH398" s="514"/>
      <c r="AI398" s="664">
        <f t="shared" si="25"/>
        <v>0</v>
      </c>
      <c r="AJ398" s="521">
        <v>0</v>
      </c>
      <c r="AK398" s="520">
        <f t="shared" si="23"/>
        <v>0</v>
      </c>
      <c r="AL398" s="695"/>
      <c r="AM398" s="669">
        <f t="shared" si="24"/>
        <v>0</v>
      </c>
    </row>
    <row r="399" spans="1:39" s="500" customFormat="1" ht="13.5" hidden="1" thickBot="1">
      <c r="A399" s="554" t="s">
        <v>998</v>
      </c>
      <c r="B399" s="555" t="s">
        <v>1313</v>
      </c>
      <c r="C399" s="561" t="s">
        <v>37</v>
      </c>
      <c r="D399" s="519"/>
      <c r="E399" s="520"/>
      <c r="F399" s="520"/>
      <c r="G399" s="726"/>
      <c r="H399" s="520"/>
      <c r="I399" s="521"/>
      <c r="J399" s="521"/>
      <c r="K399" s="521"/>
      <c r="L399" s="514"/>
      <c r="M399" s="514"/>
      <c r="N399" s="756"/>
      <c r="O399" s="514"/>
      <c r="P399" s="514"/>
      <c r="Q399" s="514"/>
      <c r="R399" s="514"/>
      <c r="S399" s="514"/>
      <c r="T399" s="514"/>
      <c r="U399" s="756"/>
      <c r="V399" s="514"/>
      <c r="W399" s="514"/>
      <c r="X399" s="514"/>
      <c r="Y399" s="514"/>
      <c r="Z399" s="514"/>
      <c r="AA399" s="514"/>
      <c r="AB399" s="756"/>
      <c r="AC399" s="514"/>
      <c r="AD399" s="514"/>
      <c r="AE399" s="514"/>
      <c r="AF399" s="764"/>
      <c r="AG399" s="514"/>
      <c r="AH399" s="514"/>
      <c r="AI399" s="664">
        <f t="shared" si="25"/>
        <v>0</v>
      </c>
      <c r="AJ399" s="521">
        <v>0</v>
      </c>
      <c r="AK399" s="520">
        <f t="shared" si="23"/>
        <v>0</v>
      </c>
      <c r="AL399" s="695" t="s">
        <v>1736</v>
      </c>
      <c r="AM399" s="669">
        <f t="shared" si="24"/>
        <v>64</v>
      </c>
    </row>
    <row r="400" spans="1:39" s="500" customFormat="1" ht="13.5" hidden="1" thickBot="1">
      <c r="A400" s="554" t="s">
        <v>999</v>
      </c>
      <c r="B400" s="555" t="s">
        <v>1200</v>
      </c>
      <c r="C400" s="561"/>
      <c r="D400" s="519"/>
      <c r="E400" s="520"/>
      <c r="F400" s="520"/>
      <c r="G400" s="726"/>
      <c r="H400" s="520"/>
      <c r="I400" s="521"/>
      <c r="J400" s="521"/>
      <c r="K400" s="521"/>
      <c r="L400" s="514"/>
      <c r="M400" s="514"/>
      <c r="N400" s="756"/>
      <c r="O400" s="514"/>
      <c r="P400" s="514"/>
      <c r="Q400" s="514"/>
      <c r="R400" s="514"/>
      <c r="S400" s="514"/>
      <c r="T400" s="514"/>
      <c r="U400" s="756"/>
      <c r="V400" s="514"/>
      <c r="W400" s="514"/>
      <c r="X400" s="514"/>
      <c r="Y400" s="514"/>
      <c r="Z400" s="514"/>
      <c r="AA400" s="514"/>
      <c r="AB400" s="756"/>
      <c r="AC400" s="514"/>
      <c r="AD400" s="514"/>
      <c r="AE400" s="514"/>
      <c r="AF400" s="764"/>
      <c r="AG400" s="514"/>
      <c r="AH400" s="514"/>
      <c r="AI400" s="664">
        <f t="shared" si="25"/>
        <v>0</v>
      </c>
      <c r="AJ400" s="521">
        <v>0</v>
      </c>
      <c r="AK400" s="520">
        <f t="shared" si="23"/>
        <v>0</v>
      </c>
      <c r="AL400" s="695"/>
      <c r="AM400" s="669">
        <f t="shared" si="24"/>
        <v>0</v>
      </c>
    </row>
    <row r="401" spans="1:39" s="500" customFormat="1" ht="13.5" hidden="1" thickBot="1">
      <c r="A401" s="554" t="s">
        <v>1000</v>
      </c>
      <c r="B401" s="555" t="s">
        <v>1314</v>
      </c>
      <c r="C401" s="561" t="s">
        <v>38</v>
      </c>
      <c r="D401" s="519"/>
      <c r="E401" s="520"/>
      <c r="F401" s="520"/>
      <c r="G401" s="726"/>
      <c r="H401" s="520"/>
      <c r="I401" s="521"/>
      <c r="J401" s="521"/>
      <c r="K401" s="521"/>
      <c r="L401" s="514"/>
      <c r="M401" s="514"/>
      <c r="N401" s="756"/>
      <c r="O401" s="514"/>
      <c r="P401" s="514"/>
      <c r="Q401" s="514"/>
      <c r="R401" s="514"/>
      <c r="S401" s="514"/>
      <c r="T401" s="514"/>
      <c r="U401" s="756"/>
      <c r="V401" s="514"/>
      <c r="W401" s="514"/>
      <c r="X401" s="514"/>
      <c r="Y401" s="514"/>
      <c r="Z401" s="514"/>
      <c r="AA401" s="514"/>
      <c r="AB401" s="756"/>
      <c r="AC401" s="514"/>
      <c r="AD401" s="514"/>
      <c r="AE401" s="514"/>
      <c r="AF401" s="764"/>
      <c r="AG401" s="514"/>
      <c r="AH401" s="514"/>
      <c r="AI401" s="664">
        <f t="shared" si="25"/>
        <v>0</v>
      </c>
      <c r="AJ401" s="521">
        <v>0</v>
      </c>
      <c r="AK401" s="520">
        <f t="shared" si="23"/>
        <v>0</v>
      </c>
      <c r="AL401" s="695" t="s">
        <v>1737</v>
      </c>
      <c r="AM401" s="669">
        <f t="shared" si="24"/>
        <v>22</v>
      </c>
    </row>
    <row r="402" spans="1:39" s="500" customFormat="1" ht="13.5" hidden="1" thickBot="1">
      <c r="A402" s="554" t="s">
        <v>1001</v>
      </c>
      <c r="B402" s="555" t="s">
        <v>1315</v>
      </c>
      <c r="C402" s="561" t="s">
        <v>1450</v>
      </c>
      <c r="D402" s="519"/>
      <c r="E402" s="520"/>
      <c r="F402" s="520"/>
      <c r="G402" s="726"/>
      <c r="H402" s="520"/>
      <c r="I402" s="521"/>
      <c r="J402" s="521"/>
      <c r="K402" s="521"/>
      <c r="L402" s="514"/>
      <c r="M402" s="514"/>
      <c r="N402" s="756"/>
      <c r="O402" s="514"/>
      <c r="P402" s="514"/>
      <c r="Q402" s="514"/>
      <c r="R402" s="514"/>
      <c r="S402" s="514"/>
      <c r="T402" s="514"/>
      <c r="U402" s="756"/>
      <c r="V402" s="514"/>
      <c r="W402" s="514"/>
      <c r="X402" s="514"/>
      <c r="Y402" s="514"/>
      <c r="Z402" s="514"/>
      <c r="AA402" s="514"/>
      <c r="AB402" s="756"/>
      <c r="AC402" s="514"/>
      <c r="AD402" s="514"/>
      <c r="AE402" s="514"/>
      <c r="AF402" s="764"/>
      <c r="AG402" s="514"/>
      <c r="AH402" s="514"/>
      <c r="AI402" s="664">
        <f t="shared" si="25"/>
        <v>0</v>
      </c>
      <c r="AJ402" s="521">
        <v>0</v>
      </c>
      <c r="AK402" s="520">
        <f t="shared" si="23"/>
        <v>0</v>
      </c>
      <c r="AL402" s="695" t="s">
        <v>1455</v>
      </c>
      <c r="AM402" s="669">
        <f t="shared" si="24"/>
        <v>1</v>
      </c>
    </row>
    <row r="403" spans="1:39" s="500" customFormat="1" ht="13.5" hidden="1" thickBot="1">
      <c r="A403" s="554" t="s">
        <v>1002</v>
      </c>
      <c r="B403" s="555" t="s">
        <v>1316</v>
      </c>
      <c r="C403" s="561"/>
      <c r="D403" s="519"/>
      <c r="E403" s="520"/>
      <c r="F403" s="520"/>
      <c r="G403" s="726"/>
      <c r="H403" s="520"/>
      <c r="I403" s="521"/>
      <c r="J403" s="521"/>
      <c r="K403" s="521"/>
      <c r="L403" s="514"/>
      <c r="M403" s="514"/>
      <c r="N403" s="756"/>
      <c r="O403" s="514"/>
      <c r="P403" s="514"/>
      <c r="Q403" s="514"/>
      <c r="R403" s="514"/>
      <c r="S403" s="514"/>
      <c r="T403" s="514"/>
      <c r="U403" s="756"/>
      <c r="V403" s="514"/>
      <c r="W403" s="514"/>
      <c r="X403" s="514"/>
      <c r="Y403" s="514"/>
      <c r="Z403" s="514"/>
      <c r="AA403" s="514"/>
      <c r="AB403" s="756"/>
      <c r="AC403" s="514"/>
      <c r="AD403" s="514"/>
      <c r="AE403" s="514"/>
      <c r="AF403" s="764"/>
      <c r="AG403" s="514"/>
      <c r="AH403" s="514"/>
      <c r="AI403" s="664">
        <f t="shared" si="25"/>
        <v>0</v>
      </c>
      <c r="AJ403" s="521">
        <v>0</v>
      </c>
      <c r="AK403" s="520">
        <f t="shared" si="23"/>
        <v>0</v>
      </c>
      <c r="AL403" s="695"/>
      <c r="AM403" s="669">
        <f t="shared" si="24"/>
        <v>0</v>
      </c>
    </row>
    <row r="404" spans="1:39" s="500" customFormat="1" ht="13.5" hidden="1" thickBot="1">
      <c r="A404" s="554" t="s">
        <v>1003</v>
      </c>
      <c r="B404" s="555" t="s">
        <v>1249</v>
      </c>
      <c r="C404" s="561"/>
      <c r="D404" s="519"/>
      <c r="E404" s="520"/>
      <c r="F404" s="520"/>
      <c r="G404" s="726"/>
      <c r="H404" s="520"/>
      <c r="I404" s="521"/>
      <c r="J404" s="521"/>
      <c r="K404" s="521"/>
      <c r="L404" s="514"/>
      <c r="M404" s="514"/>
      <c r="N404" s="756"/>
      <c r="O404" s="514"/>
      <c r="P404" s="514"/>
      <c r="Q404" s="514"/>
      <c r="R404" s="514"/>
      <c r="S404" s="514"/>
      <c r="T404" s="514"/>
      <c r="U404" s="756"/>
      <c r="V404" s="514"/>
      <c r="W404" s="514"/>
      <c r="X404" s="514"/>
      <c r="Y404" s="514"/>
      <c r="Z404" s="514"/>
      <c r="AA404" s="514"/>
      <c r="AB404" s="756"/>
      <c r="AC404" s="514"/>
      <c r="AD404" s="514"/>
      <c r="AE404" s="514"/>
      <c r="AF404" s="764"/>
      <c r="AG404" s="514"/>
      <c r="AH404" s="514"/>
      <c r="AI404" s="664">
        <f t="shared" si="25"/>
        <v>0</v>
      </c>
      <c r="AJ404" s="521">
        <v>0</v>
      </c>
      <c r="AK404" s="520">
        <f t="shared" si="23"/>
        <v>0</v>
      </c>
      <c r="AL404" s="695"/>
      <c r="AM404" s="669">
        <f t="shared" si="24"/>
        <v>0</v>
      </c>
    </row>
    <row r="405" spans="1:39" s="500" customFormat="1" ht="13.5" hidden="1" thickBot="1">
      <c r="A405" s="554" t="s">
        <v>1004</v>
      </c>
      <c r="B405" s="555" t="s">
        <v>1317</v>
      </c>
      <c r="C405" s="561" t="s">
        <v>37</v>
      </c>
      <c r="D405" s="519"/>
      <c r="E405" s="520"/>
      <c r="F405" s="520"/>
      <c r="G405" s="726"/>
      <c r="H405" s="520"/>
      <c r="I405" s="521"/>
      <c r="J405" s="521"/>
      <c r="K405" s="521"/>
      <c r="L405" s="514"/>
      <c r="M405" s="514"/>
      <c r="N405" s="756"/>
      <c r="O405" s="514"/>
      <c r="P405" s="514"/>
      <c r="Q405" s="514"/>
      <c r="R405" s="514"/>
      <c r="S405" s="514"/>
      <c r="T405" s="514"/>
      <c r="U405" s="756"/>
      <c r="V405" s="514"/>
      <c r="W405" s="514"/>
      <c r="X405" s="514"/>
      <c r="Y405" s="514"/>
      <c r="Z405" s="514"/>
      <c r="AA405" s="514"/>
      <c r="AB405" s="756"/>
      <c r="AC405" s="514"/>
      <c r="AD405" s="514"/>
      <c r="AE405" s="514"/>
      <c r="AF405" s="764"/>
      <c r="AG405" s="514"/>
      <c r="AH405" s="514"/>
      <c r="AI405" s="664">
        <f t="shared" si="25"/>
        <v>0</v>
      </c>
      <c r="AJ405" s="521">
        <v>0</v>
      </c>
      <c r="AK405" s="520">
        <f t="shared" si="23"/>
        <v>0</v>
      </c>
      <c r="AL405" s="695" t="s">
        <v>1738</v>
      </c>
      <c r="AM405" s="669">
        <f t="shared" si="24"/>
        <v>28.21</v>
      </c>
    </row>
    <row r="406" spans="1:39" s="500" customFormat="1" ht="13.5" hidden="1" thickBot="1">
      <c r="A406" s="554" t="s">
        <v>1005</v>
      </c>
      <c r="B406" s="555" t="s">
        <v>1318</v>
      </c>
      <c r="C406" s="561"/>
      <c r="D406" s="519"/>
      <c r="E406" s="520"/>
      <c r="F406" s="520"/>
      <c r="G406" s="726"/>
      <c r="H406" s="520"/>
      <c r="I406" s="521"/>
      <c r="J406" s="521"/>
      <c r="K406" s="521"/>
      <c r="L406" s="514"/>
      <c r="M406" s="514"/>
      <c r="N406" s="756"/>
      <c r="O406" s="514"/>
      <c r="P406" s="514"/>
      <c r="Q406" s="514"/>
      <c r="R406" s="514"/>
      <c r="S406" s="514"/>
      <c r="T406" s="514"/>
      <c r="U406" s="756"/>
      <c r="V406" s="514"/>
      <c r="W406" s="514"/>
      <c r="X406" s="514"/>
      <c r="Y406" s="514"/>
      <c r="Z406" s="514"/>
      <c r="AA406" s="514"/>
      <c r="AB406" s="756"/>
      <c r="AC406" s="514"/>
      <c r="AD406" s="514"/>
      <c r="AE406" s="514"/>
      <c r="AF406" s="764"/>
      <c r="AG406" s="514"/>
      <c r="AH406" s="514"/>
      <c r="AI406" s="664">
        <f t="shared" si="25"/>
        <v>0</v>
      </c>
      <c r="AJ406" s="521">
        <v>0</v>
      </c>
      <c r="AK406" s="520">
        <f t="shared" ref="AK406:AK469" si="26">AI406+AJ406</f>
        <v>0</v>
      </c>
      <c r="AL406" s="695"/>
      <c r="AM406" s="669">
        <f t="shared" ref="AM406:AM469" si="27">AL406-AK406</f>
        <v>0</v>
      </c>
    </row>
    <row r="407" spans="1:39" s="500" customFormat="1" ht="13.5" hidden="1" thickBot="1">
      <c r="A407" s="554" t="s">
        <v>1006</v>
      </c>
      <c r="B407" s="555" t="s">
        <v>1319</v>
      </c>
      <c r="C407" s="561" t="s">
        <v>40</v>
      </c>
      <c r="D407" s="519"/>
      <c r="E407" s="520"/>
      <c r="F407" s="520"/>
      <c r="G407" s="726"/>
      <c r="H407" s="520"/>
      <c r="I407" s="521"/>
      <c r="J407" s="521"/>
      <c r="K407" s="521"/>
      <c r="L407" s="514"/>
      <c r="M407" s="514"/>
      <c r="N407" s="756"/>
      <c r="O407" s="514"/>
      <c r="P407" s="514"/>
      <c r="Q407" s="514"/>
      <c r="R407" s="514"/>
      <c r="S407" s="514"/>
      <c r="T407" s="514"/>
      <c r="U407" s="756"/>
      <c r="V407" s="514"/>
      <c r="W407" s="514"/>
      <c r="X407" s="514"/>
      <c r="Y407" s="514"/>
      <c r="Z407" s="514"/>
      <c r="AA407" s="514"/>
      <c r="AB407" s="756"/>
      <c r="AC407" s="514"/>
      <c r="AD407" s="514"/>
      <c r="AE407" s="514"/>
      <c r="AF407" s="764"/>
      <c r="AG407" s="514"/>
      <c r="AH407" s="514"/>
      <c r="AI407" s="664">
        <f t="shared" si="25"/>
        <v>0</v>
      </c>
      <c r="AJ407" s="521">
        <v>0</v>
      </c>
      <c r="AK407" s="520">
        <f t="shared" si="26"/>
        <v>0</v>
      </c>
      <c r="AL407" s="695" t="s">
        <v>1739</v>
      </c>
      <c r="AM407" s="669">
        <f t="shared" si="27"/>
        <v>5.9</v>
      </c>
    </row>
    <row r="408" spans="1:39" s="500" customFormat="1" ht="13.5" hidden="1" thickBot="1">
      <c r="A408" s="554" t="s">
        <v>1007</v>
      </c>
      <c r="B408" s="555" t="s">
        <v>1196</v>
      </c>
      <c r="C408" s="561" t="s">
        <v>37</v>
      </c>
      <c r="D408" s="519"/>
      <c r="E408" s="520"/>
      <c r="F408" s="520"/>
      <c r="G408" s="726"/>
      <c r="H408" s="520"/>
      <c r="I408" s="521"/>
      <c r="J408" s="521"/>
      <c r="K408" s="521"/>
      <c r="L408" s="514"/>
      <c r="M408" s="514"/>
      <c r="N408" s="756"/>
      <c r="O408" s="514"/>
      <c r="P408" s="514"/>
      <c r="Q408" s="514"/>
      <c r="R408" s="514"/>
      <c r="S408" s="514"/>
      <c r="T408" s="514"/>
      <c r="U408" s="756"/>
      <c r="V408" s="514"/>
      <c r="W408" s="514"/>
      <c r="X408" s="514"/>
      <c r="Y408" s="514"/>
      <c r="Z408" s="514"/>
      <c r="AA408" s="514"/>
      <c r="AB408" s="756"/>
      <c r="AC408" s="514"/>
      <c r="AD408" s="514"/>
      <c r="AE408" s="514"/>
      <c r="AF408" s="764"/>
      <c r="AG408" s="514"/>
      <c r="AH408" s="514"/>
      <c r="AI408" s="664">
        <f t="shared" si="25"/>
        <v>0</v>
      </c>
      <c r="AJ408" s="521">
        <v>0</v>
      </c>
      <c r="AK408" s="520">
        <f t="shared" si="26"/>
        <v>0</v>
      </c>
      <c r="AL408" s="695" t="s">
        <v>1678</v>
      </c>
      <c r="AM408" s="669">
        <f t="shared" si="27"/>
        <v>18.920000000000002</v>
      </c>
    </row>
    <row r="409" spans="1:39" s="500" customFormat="1" ht="13.5" hidden="1" thickBot="1">
      <c r="A409" s="554" t="s">
        <v>1008</v>
      </c>
      <c r="B409" s="555" t="s">
        <v>1291</v>
      </c>
      <c r="C409" s="561"/>
      <c r="D409" s="519"/>
      <c r="E409" s="520"/>
      <c r="F409" s="520"/>
      <c r="G409" s="726"/>
      <c r="H409" s="520"/>
      <c r="I409" s="521"/>
      <c r="J409" s="521"/>
      <c r="K409" s="521"/>
      <c r="L409" s="514"/>
      <c r="M409" s="514"/>
      <c r="N409" s="756"/>
      <c r="O409" s="514"/>
      <c r="P409" s="514"/>
      <c r="Q409" s="514"/>
      <c r="R409" s="514"/>
      <c r="S409" s="514"/>
      <c r="T409" s="514"/>
      <c r="U409" s="756"/>
      <c r="V409" s="514"/>
      <c r="W409" s="514"/>
      <c r="X409" s="514"/>
      <c r="Y409" s="514"/>
      <c r="Z409" s="514"/>
      <c r="AA409" s="514"/>
      <c r="AB409" s="756"/>
      <c r="AC409" s="514"/>
      <c r="AD409" s="514"/>
      <c r="AE409" s="514"/>
      <c r="AF409" s="764"/>
      <c r="AG409" s="514"/>
      <c r="AH409" s="514"/>
      <c r="AI409" s="664">
        <f t="shared" si="25"/>
        <v>0</v>
      </c>
      <c r="AJ409" s="521">
        <v>0</v>
      </c>
      <c r="AK409" s="520">
        <f t="shared" si="26"/>
        <v>0</v>
      </c>
      <c r="AL409" s="695"/>
      <c r="AM409" s="669">
        <f t="shared" si="27"/>
        <v>0</v>
      </c>
    </row>
    <row r="410" spans="1:39" s="500" customFormat="1" ht="13.5" hidden="1" thickBot="1">
      <c r="A410" s="554" t="s">
        <v>1009</v>
      </c>
      <c r="B410" s="555" t="s">
        <v>1320</v>
      </c>
      <c r="C410" s="561" t="s">
        <v>38</v>
      </c>
      <c r="D410" s="519"/>
      <c r="E410" s="520"/>
      <c r="F410" s="520"/>
      <c r="G410" s="726"/>
      <c r="H410" s="520"/>
      <c r="I410" s="521"/>
      <c r="J410" s="521"/>
      <c r="K410" s="521"/>
      <c r="L410" s="514"/>
      <c r="M410" s="514"/>
      <c r="N410" s="756"/>
      <c r="O410" s="514"/>
      <c r="P410" s="514"/>
      <c r="Q410" s="514"/>
      <c r="R410" s="514"/>
      <c r="S410" s="514"/>
      <c r="T410" s="514"/>
      <c r="U410" s="756"/>
      <c r="V410" s="514"/>
      <c r="W410" s="514"/>
      <c r="X410" s="514"/>
      <c r="Y410" s="514"/>
      <c r="Z410" s="514"/>
      <c r="AA410" s="514"/>
      <c r="AB410" s="756"/>
      <c r="AC410" s="514"/>
      <c r="AD410" s="514"/>
      <c r="AE410" s="514"/>
      <c r="AF410" s="764"/>
      <c r="AG410" s="514"/>
      <c r="AH410" s="514"/>
      <c r="AI410" s="664">
        <f t="shared" si="25"/>
        <v>0</v>
      </c>
      <c r="AJ410" s="521">
        <v>0</v>
      </c>
      <c r="AK410" s="520">
        <f t="shared" si="26"/>
        <v>0</v>
      </c>
      <c r="AL410" s="695" t="s">
        <v>1628</v>
      </c>
      <c r="AM410" s="669">
        <f t="shared" si="27"/>
        <v>90.62</v>
      </c>
    </row>
    <row r="411" spans="1:39" s="500" customFormat="1" ht="13.5" hidden="1" thickBot="1">
      <c r="A411" s="554" t="s">
        <v>1010</v>
      </c>
      <c r="B411" s="555" t="s">
        <v>1321</v>
      </c>
      <c r="C411" s="561"/>
      <c r="D411" s="519"/>
      <c r="E411" s="520"/>
      <c r="F411" s="520"/>
      <c r="G411" s="726"/>
      <c r="H411" s="520"/>
      <c r="I411" s="521"/>
      <c r="J411" s="521"/>
      <c r="K411" s="521"/>
      <c r="L411" s="514"/>
      <c r="M411" s="514"/>
      <c r="N411" s="756"/>
      <c r="O411" s="514"/>
      <c r="P411" s="514"/>
      <c r="Q411" s="514"/>
      <c r="R411" s="514"/>
      <c r="S411" s="514"/>
      <c r="T411" s="514"/>
      <c r="U411" s="756"/>
      <c r="V411" s="514"/>
      <c r="W411" s="514"/>
      <c r="X411" s="514"/>
      <c r="Y411" s="514"/>
      <c r="Z411" s="514"/>
      <c r="AA411" s="514"/>
      <c r="AB411" s="756"/>
      <c r="AC411" s="514"/>
      <c r="AD411" s="514"/>
      <c r="AE411" s="514"/>
      <c r="AF411" s="764"/>
      <c r="AG411" s="514"/>
      <c r="AH411" s="514"/>
      <c r="AI411" s="664">
        <f t="shared" si="25"/>
        <v>0</v>
      </c>
      <c r="AJ411" s="521">
        <v>0</v>
      </c>
      <c r="AK411" s="520">
        <f t="shared" si="26"/>
        <v>0</v>
      </c>
      <c r="AL411" s="695"/>
      <c r="AM411" s="669">
        <f t="shared" si="27"/>
        <v>0</v>
      </c>
    </row>
    <row r="412" spans="1:39" s="500" customFormat="1" ht="13.5" hidden="1" thickBot="1">
      <c r="A412" s="554" t="s">
        <v>1011</v>
      </c>
      <c r="B412" s="555" t="s">
        <v>1314</v>
      </c>
      <c r="C412" s="561" t="s">
        <v>38</v>
      </c>
      <c r="D412" s="519"/>
      <c r="E412" s="520"/>
      <c r="F412" s="520"/>
      <c r="G412" s="726"/>
      <c r="H412" s="520"/>
      <c r="I412" s="521"/>
      <c r="J412" s="521"/>
      <c r="K412" s="521"/>
      <c r="L412" s="514"/>
      <c r="M412" s="514"/>
      <c r="N412" s="756"/>
      <c r="O412" s="514"/>
      <c r="P412" s="514"/>
      <c r="Q412" s="514"/>
      <c r="R412" s="514"/>
      <c r="S412" s="514"/>
      <c r="T412" s="514"/>
      <c r="U412" s="756"/>
      <c r="V412" s="514"/>
      <c r="W412" s="514"/>
      <c r="X412" s="514"/>
      <c r="Y412" s="514"/>
      <c r="Z412" s="514"/>
      <c r="AA412" s="514"/>
      <c r="AB412" s="756"/>
      <c r="AC412" s="514"/>
      <c r="AD412" s="514"/>
      <c r="AE412" s="514"/>
      <c r="AF412" s="764"/>
      <c r="AG412" s="514"/>
      <c r="AH412" s="514"/>
      <c r="AI412" s="664">
        <f t="shared" si="25"/>
        <v>0</v>
      </c>
      <c r="AJ412" s="521">
        <v>0</v>
      </c>
      <c r="AK412" s="520">
        <f t="shared" si="26"/>
        <v>0</v>
      </c>
      <c r="AL412" s="695" t="s">
        <v>1740</v>
      </c>
      <c r="AM412" s="669">
        <f t="shared" si="27"/>
        <v>36.799999999999997</v>
      </c>
    </row>
    <row r="413" spans="1:39" s="500" customFormat="1" ht="13.5" hidden="1" thickBot="1">
      <c r="A413" s="554" t="s">
        <v>1012</v>
      </c>
      <c r="B413" s="555" t="s">
        <v>1322</v>
      </c>
      <c r="C413" s="561"/>
      <c r="D413" s="519"/>
      <c r="E413" s="520"/>
      <c r="F413" s="520"/>
      <c r="G413" s="726"/>
      <c r="H413" s="520"/>
      <c r="I413" s="521"/>
      <c r="J413" s="521"/>
      <c r="K413" s="521"/>
      <c r="L413" s="514"/>
      <c r="M413" s="514"/>
      <c r="N413" s="756"/>
      <c r="O413" s="514"/>
      <c r="P413" s="514"/>
      <c r="Q413" s="514"/>
      <c r="R413" s="514"/>
      <c r="S413" s="514"/>
      <c r="T413" s="514"/>
      <c r="U413" s="756"/>
      <c r="V413" s="514"/>
      <c r="W413" s="514"/>
      <c r="X413" s="514"/>
      <c r="Y413" s="514"/>
      <c r="Z413" s="514"/>
      <c r="AA413" s="514"/>
      <c r="AB413" s="756"/>
      <c r="AC413" s="514"/>
      <c r="AD413" s="514"/>
      <c r="AE413" s="514"/>
      <c r="AF413" s="764"/>
      <c r="AG413" s="514"/>
      <c r="AH413" s="514"/>
      <c r="AI413" s="664">
        <f t="shared" si="25"/>
        <v>0</v>
      </c>
      <c r="AJ413" s="521">
        <v>0</v>
      </c>
      <c r="AK413" s="520">
        <f t="shared" si="26"/>
        <v>0</v>
      </c>
      <c r="AL413" s="695"/>
      <c r="AM413" s="669">
        <f t="shared" si="27"/>
        <v>0</v>
      </c>
    </row>
    <row r="414" spans="1:39" s="500" customFormat="1" ht="13.5" hidden="1" thickBot="1">
      <c r="A414" s="554" t="s">
        <v>1013</v>
      </c>
      <c r="B414" s="555" t="s">
        <v>1323</v>
      </c>
      <c r="C414" s="561"/>
      <c r="D414" s="519"/>
      <c r="E414" s="520"/>
      <c r="F414" s="520"/>
      <c r="G414" s="726"/>
      <c r="H414" s="520"/>
      <c r="I414" s="521"/>
      <c r="J414" s="521"/>
      <c r="K414" s="521"/>
      <c r="L414" s="514"/>
      <c r="M414" s="514"/>
      <c r="N414" s="756"/>
      <c r="O414" s="514"/>
      <c r="P414" s="514"/>
      <c r="Q414" s="514"/>
      <c r="R414" s="514"/>
      <c r="S414" s="514"/>
      <c r="T414" s="514"/>
      <c r="U414" s="756"/>
      <c r="V414" s="514"/>
      <c r="W414" s="514"/>
      <c r="X414" s="514"/>
      <c r="Y414" s="514"/>
      <c r="Z414" s="514"/>
      <c r="AA414" s="514"/>
      <c r="AB414" s="756"/>
      <c r="AC414" s="514"/>
      <c r="AD414" s="514"/>
      <c r="AE414" s="514"/>
      <c r="AF414" s="764"/>
      <c r="AG414" s="514"/>
      <c r="AH414" s="514"/>
      <c r="AI414" s="664">
        <f t="shared" si="25"/>
        <v>0</v>
      </c>
      <c r="AJ414" s="521">
        <v>0</v>
      </c>
      <c r="AK414" s="520">
        <f t="shared" si="26"/>
        <v>0</v>
      </c>
      <c r="AL414" s="695"/>
      <c r="AM414" s="669">
        <f t="shared" si="27"/>
        <v>0</v>
      </c>
    </row>
    <row r="415" spans="1:39" s="500" customFormat="1" ht="13.5" hidden="1" thickBot="1">
      <c r="A415" s="554" t="s">
        <v>1014</v>
      </c>
      <c r="B415" s="555" t="s">
        <v>1324</v>
      </c>
      <c r="C415" s="561" t="s">
        <v>37</v>
      </c>
      <c r="D415" s="519"/>
      <c r="E415" s="520"/>
      <c r="F415" s="520"/>
      <c r="G415" s="726"/>
      <c r="H415" s="520"/>
      <c r="I415" s="521"/>
      <c r="J415" s="521"/>
      <c r="K415" s="521"/>
      <c r="L415" s="514"/>
      <c r="M415" s="514"/>
      <c r="N415" s="756"/>
      <c r="O415" s="514"/>
      <c r="P415" s="514"/>
      <c r="Q415" s="514"/>
      <c r="R415" s="514"/>
      <c r="S415" s="514"/>
      <c r="T415" s="514"/>
      <c r="U415" s="756"/>
      <c r="V415" s="514"/>
      <c r="W415" s="514"/>
      <c r="X415" s="514"/>
      <c r="Y415" s="514"/>
      <c r="Z415" s="514"/>
      <c r="AA415" s="514"/>
      <c r="AB415" s="756"/>
      <c r="AC415" s="514"/>
      <c r="AD415" s="514"/>
      <c r="AE415" s="514"/>
      <c r="AF415" s="764"/>
      <c r="AG415" s="514"/>
      <c r="AH415" s="514"/>
      <c r="AI415" s="664">
        <f t="shared" si="25"/>
        <v>0</v>
      </c>
      <c r="AJ415" s="521">
        <v>0</v>
      </c>
      <c r="AK415" s="520">
        <f t="shared" si="26"/>
        <v>0</v>
      </c>
      <c r="AL415" s="695" t="s">
        <v>1741</v>
      </c>
      <c r="AM415" s="669">
        <f t="shared" si="27"/>
        <v>42.32</v>
      </c>
    </row>
    <row r="416" spans="1:39" s="500" customFormat="1" ht="13.5" hidden="1" thickBot="1">
      <c r="A416" s="554" t="s">
        <v>1015</v>
      </c>
      <c r="B416" s="555" t="s">
        <v>1325</v>
      </c>
      <c r="C416" s="561" t="s">
        <v>37</v>
      </c>
      <c r="D416" s="519"/>
      <c r="E416" s="520"/>
      <c r="F416" s="520"/>
      <c r="G416" s="726"/>
      <c r="H416" s="520"/>
      <c r="I416" s="521"/>
      <c r="J416" s="521"/>
      <c r="K416" s="521"/>
      <c r="L416" s="514"/>
      <c r="M416" s="514"/>
      <c r="N416" s="756"/>
      <c r="O416" s="514"/>
      <c r="P416" s="514"/>
      <c r="Q416" s="514"/>
      <c r="R416" s="514"/>
      <c r="S416" s="514"/>
      <c r="T416" s="514"/>
      <c r="U416" s="756"/>
      <c r="V416" s="514"/>
      <c r="W416" s="514"/>
      <c r="X416" s="514"/>
      <c r="Y416" s="514"/>
      <c r="Z416" s="514"/>
      <c r="AA416" s="514"/>
      <c r="AB416" s="756"/>
      <c r="AC416" s="514"/>
      <c r="AD416" s="514"/>
      <c r="AE416" s="514"/>
      <c r="AF416" s="764"/>
      <c r="AG416" s="514"/>
      <c r="AH416" s="514"/>
      <c r="AI416" s="664">
        <f t="shared" si="25"/>
        <v>0</v>
      </c>
      <c r="AJ416" s="521">
        <v>0</v>
      </c>
      <c r="AK416" s="520">
        <f t="shared" si="26"/>
        <v>0</v>
      </c>
      <c r="AL416" s="695" t="s">
        <v>1741</v>
      </c>
      <c r="AM416" s="669">
        <f t="shared" si="27"/>
        <v>42.32</v>
      </c>
    </row>
    <row r="417" spans="1:39" s="500" customFormat="1" ht="13.5" hidden="1" thickBot="1">
      <c r="A417" s="554" t="s">
        <v>1016</v>
      </c>
      <c r="B417" s="555" t="s">
        <v>1326</v>
      </c>
      <c r="C417" s="561" t="s">
        <v>36</v>
      </c>
      <c r="D417" s="519"/>
      <c r="E417" s="520"/>
      <c r="F417" s="520"/>
      <c r="G417" s="726"/>
      <c r="H417" s="520"/>
      <c r="I417" s="521"/>
      <c r="J417" s="521"/>
      <c r="K417" s="521"/>
      <c r="L417" s="514"/>
      <c r="M417" s="514"/>
      <c r="N417" s="756"/>
      <c r="O417" s="514"/>
      <c r="P417" s="514"/>
      <c r="Q417" s="514"/>
      <c r="R417" s="514"/>
      <c r="S417" s="514"/>
      <c r="T417" s="514"/>
      <c r="U417" s="756"/>
      <c r="V417" s="514"/>
      <c r="W417" s="514"/>
      <c r="X417" s="514"/>
      <c r="Y417" s="514"/>
      <c r="Z417" s="514"/>
      <c r="AA417" s="514"/>
      <c r="AB417" s="756"/>
      <c r="AC417" s="514"/>
      <c r="AD417" s="514"/>
      <c r="AE417" s="514"/>
      <c r="AF417" s="764"/>
      <c r="AG417" s="514"/>
      <c r="AH417" s="514"/>
      <c r="AI417" s="664">
        <f t="shared" si="25"/>
        <v>0</v>
      </c>
      <c r="AJ417" s="521">
        <v>0</v>
      </c>
      <c r="AK417" s="520">
        <f t="shared" si="26"/>
        <v>0</v>
      </c>
      <c r="AL417" s="695" t="s">
        <v>1742</v>
      </c>
      <c r="AM417" s="669">
        <f t="shared" si="27"/>
        <v>10</v>
      </c>
    </row>
    <row r="418" spans="1:39" s="500" customFormat="1" ht="13.5" hidden="1" thickBot="1">
      <c r="A418" s="554" t="s">
        <v>488</v>
      </c>
      <c r="B418" s="555" t="s">
        <v>1327</v>
      </c>
      <c r="C418" s="561"/>
      <c r="D418" s="519"/>
      <c r="E418" s="520"/>
      <c r="F418" s="520"/>
      <c r="G418" s="726"/>
      <c r="H418" s="520"/>
      <c r="I418" s="521"/>
      <c r="J418" s="521"/>
      <c r="K418" s="521"/>
      <c r="L418" s="514"/>
      <c r="M418" s="514"/>
      <c r="N418" s="756"/>
      <c r="O418" s="514"/>
      <c r="P418" s="514"/>
      <c r="Q418" s="514"/>
      <c r="R418" s="514"/>
      <c r="S418" s="514"/>
      <c r="T418" s="514"/>
      <c r="U418" s="756"/>
      <c r="V418" s="514"/>
      <c r="W418" s="514"/>
      <c r="X418" s="514"/>
      <c r="Y418" s="514"/>
      <c r="Z418" s="514"/>
      <c r="AA418" s="514"/>
      <c r="AB418" s="756"/>
      <c r="AC418" s="514"/>
      <c r="AD418" s="514"/>
      <c r="AE418" s="514"/>
      <c r="AF418" s="764"/>
      <c r="AG418" s="514"/>
      <c r="AH418" s="514"/>
      <c r="AI418" s="664">
        <f t="shared" si="25"/>
        <v>0</v>
      </c>
      <c r="AJ418" s="521">
        <v>0</v>
      </c>
      <c r="AK418" s="520">
        <f t="shared" si="26"/>
        <v>0</v>
      </c>
      <c r="AL418" s="695"/>
      <c r="AM418" s="669">
        <f t="shared" si="27"/>
        <v>0</v>
      </c>
    </row>
    <row r="419" spans="1:39" s="500" customFormat="1" ht="13.5" hidden="1" thickBot="1">
      <c r="A419" s="554" t="s">
        <v>489</v>
      </c>
      <c r="B419" s="555" t="s">
        <v>1328</v>
      </c>
      <c r="C419" s="561"/>
      <c r="D419" s="519"/>
      <c r="E419" s="520"/>
      <c r="F419" s="520"/>
      <c r="G419" s="726"/>
      <c r="H419" s="520"/>
      <c r="I419" s="521"/>
      <c r="J419" s="521"/>
      <c r="K419" s="521"/>
      <c r="L419" s="514"/>
      <c r="M419" s="514"/>
      <c r="N419" s="756"/>
      <c r="O419" s="514"/>
      <c r="P419" s="514"/>
      <c r="Q419" s="514"/>
      <c r="R419" s="514"/>
      <c r="S419" s="514"/>
      <c r="T419" s="514"/>
      <c r="U419" s="756"/>
      <c r="V419" s="514"/>
      <c r="W419" s="514"/>
      <c r="X419" s="514"/>
      <c r="Y419" s="514"/>
      <c r="Z419" s="514"/>
      <c r="AA419" s="514"/>
      <c r="AB419" s="756"/>
      <c r="AC419" s="514"/>
      <c r="AD419" s="514"/>
      <c r="AE419" s="514"/>
      <c r="AF419" s="764"/>
      <c r="AG419" s="514"/>
      <c r="AH419" s="514"/>
      <c r="AI419" s="664">
        <f t="shared" si="25"/>
        <v>0</v>
      </c>
      <c r="AJ419" s="521">
        <v>0</v>
      </c>
      <c r="AK419" s="520">
        <f t="shared" si="26"/>
        <v>0</v>
      </c>
      <c r="AL419" s="695"/>
      <c r="AM419" s="669">
        <f t="shared" si="27"/>
        <v>0</v>
      </c>
    </row>
    <row r="420" spans="1:39" s="500" customFormat="1" ht="13.5" hidden="1" thickBot="1">
      <c r="A420" s="554" t="s">
        <v>490</v>
      </c>
      <c r="B420" s="555" t="s">
        <v>1329</v>
      </c>
      <c r="C420" s="561" t="s">
        <v>1450</v>
      </c>
      <c r="D420" s="519"/>
      <c r="E420" s="520"/>
      <c r="F420" s="520"/>
      <c r="G420" s="726"/>
      <c r="H420" s="520"/>
      <c r="I420" s="521"/>
      <c r="J420" s="521"/>
      <c r="K420" s="521"/>
      <c r="L420" s="514"/>
      <c r="M420" s="514"/>
      <c r="N420" s="756"/>
      <c r="O420" s="514"/>
      <c r="P420" s="514"/>
      <c r="Q420" s="514"/>
      <c r="R420" s="514"/>
      <c r="S420" s="514"/>
      <c r="T420" s="514"/>
      <c r="U420" s="756"/>
      <c r="V420" s="514"/>
      <c r="W420" s="514"/>
      <c r="X420" s="514"/>
      <c r="Y420" s="514"/>
      <c r="Z420" s="514"/>
      <c r="AA420" s="514"/>
      <c r="AB420" s="756"/>
      <c r="AC420" s="514"/>
      <c r="AD420" s="514"/>
      <c r="AE420" s="514"/>
      <c r="AF420" s="764"/>
      <c r="AG420" s="514"/>
      <c r="AH420" s="514"/>
      <c r="AI420" s="664">
        <f t="shared" si="25"/>
        <v>0</v>
      </c>
      <c r="AJ420" s="521">
        <v>0</v>
      </c>
      <c r="AK420" s="520">
        <f t="shared" si="26"/>
        <v>0</v>
      </c>
      <c r="AL420" s="695" t="s">
        <v>1671</v>
      </c>
      <c r="AM420" s="669">
        <f t="shared" si="27"/>
        <v>4</v>
      </c>
    </row>
    <row r="421" spans="1:39" s="500" customFormat="1" ht="13.5" hidden="1" thickBot="1">
      <c r="A421" s="554" t="s">
        <v>491</v>
      </c>
      <c r="B421" s="555" t="s">
        <v>1330</v>
      </c>
      <c r="C421" s="561" t="s">
        <v>1450</v>
      </c>
      <c r="D421" s="519"/>
      <c r="E421" s="520"/>
      <c r="F421" s="520"/>
      <c r="G421" s="726"/>
      <c r="H421" s="520"/>
      <c r="I421" s="521"/>
      <c r="J421" s="521"/>
      <c r="K421" s="521"/>
      <c r="L421" s="514"/>
      <c r="M421" s="514"/>
      <c r="N421" s="756"/>
      <c r="O421" s="514"/>
      <c r="P421" s="514"/>
      <c r="Q421" s="514"/>
      <c r="R421" s="514"/>
      <c r="S421" s="514"/>
      <c r="T421" s="514"/>
      <c r="U421" s="756"/>
      <c r="V421" s="514"/>
      <c r="W421" s="514"/>
      <c r="X421" s="514"/>
      <c r="Y421" s="514"/>
      <c r="Z421" s="514"/>
      <c r="AA421" s="514"/>
      <c r="AB421" s="756"/>
      <c r="AC421" s="514"/>
      <c r="AD421" s="514"/>
      <c r="AE421" s="514"/>
      <c r="AF421" s="764"/>
      <c r="AG421" s="514"/>
      <c r="AH421" s="514"/>
      <c r="AI421" s="664">
        <f t="shared" si="25"/>
        <v>0</v>
      </c>
      <c r="AJ421" s="521">
        <v>0</v>
      </c>
      <c r="AK421" s="520">
        <f t="shared" si="26"/>
        <v>0</v>
      </c>
      <c r="AL421" s="695" t="s">
        <v>1698</v>
      </c>
      <c r="AM421" s="669">
        <f t="shared" si="27"/>
        <v>2</v>
      </c>
    </row>
    <row r="422" spans="1:39" s="500" customFormat="1" ht="13.5" hidden="1" thickBot="1">
      <c r="A422" s="554" t="s">
        <v>492</v>
      </c>
      <c r="B422" s="555" t="s">
        <v>1331</v>
      </c>
      <c r="C422" s="561" t="s">
        <v>1450</v>
      </c>
      <c r="D422" s="519"/>
      <c r="E422" s="520"/>
      <c r="F422" s="520"/>
      <c r="G422" s="726"/>
      <c r="H422" s="520"/>
      <c r="I422" s="521"/>
      <c r="J422" s="521"/>
      <c r="K422" s="521"/>
      <c r="L422" s="514"/>
      <c r="M422" s="514"/>
      <c r="N422" s="756"/>
      <c r="O422" s="514"/>
      <c r="P422" s="514"/>
      <c r="Q422" s="514"/>
      <c r="R422" s="514"/>
      <c r="S422" s="514"/>
      <c r="T422" s="514"/>
      <c r="U422" s="756"/>
      <c r="V422" s="514"/>
      <c r="W422" s="514"/>
      <c r="X422" s="514"/>
      <c r="Y422" s="514"/>
      <c r="Z422" s="514"/>
      <c r="AA422" s="514"/>
      <c r="AB422" s="756"/>
      <c r="AC422" s="514"/>
      <c r="AD422" s="514"/>
      <c r="AE422" s="514"/>
      <c r="AF422" s="764"/>
      <c r="AG422" s="514"/>
      <c r="AH422" s="514"/>
      <c r="AI422" s="664">
        <f t="shared" si="25"/>
        <v>0</v>
      </c>
      <c r="AJ422" s="521">
        <v>0</v>
      </c>
      <c r="AK422" s="520">
        <f t="shared" si="26"/>
        <v>0</v>
      </c>
      <c r="AL422" s="695" t="s">
        <v>1671</v>
      </c>
      <c r="AM422" s="669">
        <f t="shared" si="27"/>
        <v>4</v>
      </c>
    </row>
    <row r="423" spans="1:39" s="500" customFormat="1" ht="13.5" hidden="1" thickBot="1">
      <c r="A423" s="554" t="s">
        <v>1017</v>
      </c>
      <c r="B423" s="555" t="s">
        <v>1332</v>
      </c>
      <c r="C423" s="561" t="s">
        <v>1450</v>
      </c>
      <c r="D423" s="519"/>
      <c r="E423" s="520"/>
      <c r="F423" s="520"/>
      <c r="G423" s="726"/>
      <c r="H423" s="520"/>
      <c r="I423" s="521"/>
      <c r="J423" s="521"/>
      <c r="K423" s="521"/>
      <c r="L423" s="514"/>
      <c r="M423" s="514"/>
      <c r="N423" s="756"/>
      <c r="O423" s="514"/>
      <c r="P423" s="514"/>
      <c r="Q423" s="514"/>
      <c r="R423" s="514"/>
      <c r="S423" s="514"/>
      <c r="T423" s="514"/>
      <c r="U423" s="756"/>
      <c r="V423" s="514"/>
      <c r="W423" s="514"/>
      <c r="X423" s="514"/>
      <c r="Y423" s="514"/>
      <c r="Z423" s="514"/>
      <c r="AA423" s="514"/>
      <c r="AB423" s="756"/>
      <c r="AC423" s="514"/>
      <c r="AD423" s="514"/>
      <c r="AE423" s="514"/>
      <c r="AF423" s="764"/>
      <c r="AG423" s="514"/>
      <c r="AH423" s="514"/>
      <c r="AI423" s="664">
        <f t="shared" si="25"/>
        <v>0</v>
      </c>
      <c r="AJ423" s="521">
        <v>0</v>
      </c>
      <c r="AK423" s="520">
        <f t="shared" si="26"/>
        <v>0</v>
      </c>
      <c r="AL423" s="695" t="s">
        <v>1698</v>
      </c>
      <c r="AM423" s="669">
        <f t="shared" si="27"/>
        <v>2</v>
      </c>
    </row>
    <row r="424" spans="1:39" s="500" customFormat="1" ht="13.5" hidden="1" thickBot="1">
      <c r="A424" s="554" t="s">
        <v>1018</v>
      </c>
      <c r="B424" s="555" t="s">
        <v>1333</v>
      </c>
      <c r="C424" s="561" t="s">
        <v>1450</v>
      </c>
      <c r="D424" s="519"/>
      <c r="E424" s="520"/>
      <c r="F424" s="520"/>
      <c r="G424" s="726"/>
      <c r="H424" s="520"/>
      <c r="I424" s="521"/>
      <c r="J424" s="521"/>
      <c r="K424" s="521"/>
      <c r="L424" s="514"/>
      <c r="M424" s="514"/>
      <c r="N424" s="756"/>
      <c r="O424" s="514"/>
      <c r="P424" s="514"/>
      <c r="Q424" s="514"/>
      <c r="R424" s="514"/>
      <c r="S424" s="514"/>
      <c r="T424" s="514"/>
      <c r="U424" s="756"/>
      <c r="V424" s="514"/>
      <c r="W424" s="514"/>
      <c r="X424" s="514"/>
      <c r="Y424" s="514"/>
      <c r="Z424" s="514"/>
      <c r="AA424" s="514"/>
      <c r="AB424" s="756"/>
      <c r="AC424" s="514"/>
      <c r="AD424" s="514"/>
      <c r="AE424" s="514"/>
      <c r="AF424" s="764"/>
      <c r="AG424" s="514"/>
      <c r="AH424" s="514"/>
      <c r="AI424" s="664">
        <f t="shared" si="25"/>
        <v>0</v>
      </c>
      <c r="AJ424" s="521">
        <v>0</v>
      </c>
      <c r="AK424" s="520">
        <f t="shared" si="26"/>
        <v>0</v>
      </c>
      <c r="AL424" s="695" t="s">
        <v>1455</v>
      </c>
      <c r="AM424" s="669">
        <f t="shared" si="27"/>
        <v>1</v>
      </c>
    </row>
    <row r="425" spans="1:39" s="500" customFormat="1" ht="13.5" hidden="1" thickBot="1">
      <c r="A425" s="554" t="s">
        <v>1019</v>
      </c>
      <c r="B425" s="555" t="s">
        <v>1334</v>
      </c>
      <c r="C425" s="561" t="s">
        <v>1450</v>
      </c>
      <c r="D425" s="519"/>
      <c r="E425" s="520"/>
      <c r="F425" s="520"/>
      <c r="G425" s="726"/>
      <c r="H425" s="520"/>
      <c r="I425" s="521"/>
      <c r="J425" s="521"/>
      <c r="K425" s="521"/>
      <c r="L425" s="514"/>
      <c r="M425" s="514"/>
      <c r="N425" s="756"/>
      <c r="O425" s="514"/>
      <c r="P425" s="514"/>
      <c r="Q425" s="514"/>
      <c r="R425" s="514"/>
      <c r="S425" s="514"/>
      <c r="T425" s="514"/>
      <c r="U425" s="756"/>
      <c r="V425" s="514"/>
      <c r="W425" s="514"/>
      <c r="X425" s="514"/>
      <c r="Y425" s="514"/>
      <c r="Z425" s="514"/>
      <c r="AA425" s="514"/>
      <c r="AB425" s="756"/>
      <c r="AC425" s="514"/>
      <c r="AD425" s="514"/>
      <c r="AE425" s="514"/>
      <c r="AF425" s="764"/>
      <c r="AG425" s="514"/>
      <c r="AH425" s="514"/>
      <c r="AI425" s="664">
        <f t="shared" si="25"/>
        <v>0</v>
      </c>
      <c r="AJ425" s="521">
        <v>0</v>
      </c>
      <c r="AK425" s="520">
        <f t="shared" si="26"/>
        <v>0</v>
      </c>
      <c r="AL425" s="695" t="s">
        <v>1617</v>
      </c>
      <c r="AM425" s="669">
        <f t="shared" si="27"/>
        <v>6</v>
      </c>
    </row>
    <row r="426" spans="1:39" s="500" customFormat="1" ht="13.5" hidden="1" thickBot="1">
      <c r="A426" s="554" t="s">
        <v>1020</v>
      </c>
      <c r="B426" s="555" t="s">
        <v>1335</v>
      </c>
      <c r="C426" s="561" t="s">
        <v>1450</v>
      </c>
      <c r="D426" s="519"/>
      <c r="E426" s="520"/>
      <c r="F426" s="520"/>
      <c r="G426" s="726"/>
      <c r="H426" s="520"/>
      <c r="I426" s="521"/>
      <c r="J426" s="521"/>
      <c r="K426" s="521"/>
      <c r="L426" s="514"/>
      <c r="M426" s="514"/>
      <c r="N426" s="756"/>
      <c r="O426" s="514"/>
      <c r="P426" s="514"/>
      <c r="Q426" s="514"/>
      <c r="R426" s="514"/>
      <c r="S426" s="514"/>
      <c r="T426" s="514"/>
      <c r="U426" s="756"/>
      <c r="V426" s="514"/>
      <c r="W426" s="514"/>
      <c r="X426" s="514"/>
      <c r="Y426" s="514"/>
      <c r="Z426" s="514"/>
      <c r="AA426" s="514"/>
      <c r="AB426" s="756"/>
      <c r="AC426" s="514"/>
      <c r="AD426" s="514"/>
      <c r="AE426" s="514"/>
      <c r="AF426" s="764"/>
      <c r="AG426" s="514"/>
      <c r="AH426" s="514"/>
      <c r="AI426" s="664">
        <f t="shared" si="25"/>
        <v>0</v>
      </c>
      <c r="AJ426" s="521">
        <v>0</v>
      </c>
      <c r="AK426" s="520">
        <f t="shared" si="26"/>
        <v>0</v>
      </c>
      <c r="AL426" s="695" t="s">
        <v>1671</v>
      </c>
      <c r="AM426" s="669">
        <f t="shared" si="27"/>
        <v>4</v>
      </c>
    </row>
    <row r="427" spans="1:39" s="500" customFormat="1" ht="13.5" hidden="1" thickBot="1">
      <c r="A427" s="554" t="s">
        <v>1021</v>
      </c>
      <c r="B427" s="555" t="s">
        <v>1336</v>
      </c>
      <c r="C427" s="561" t="s">
        <v>1451</v>
      </c>
      <c r="D427" s="519"/>
      <c r="E427" s="520"/>
      <c r="F427" s="520"/>
      <c r="G427" s="726"/>
      <c r="H427" s="520"/>
      <c r="I427" s="521"/>
      <c r="J427" s="521"/>
      <c r="K427" s="521"/>
      <c r="L427" s="514"/>
      <c r="M427" s="514"/>
      <c r="N427" s="756"/>
      <c r="O427" s="514"/>
      <c r="P427" s="514"/>
      <c r="Q427" s="514"/>
      <c r="R427" s="514"/>
      <c r="S427" s="514"/>
      <c r="T427" s="514"/>
      <c r="U427" s="756"/>
      <c r="V427" s="514"/>
      <c r="W427" s="514"/>
      <c r="X427" s="514"/>
      <c r="Y427" s="514"/>
      <c r="Z427" s="514"/>
      <c r="AA427" s="514"/>
      <c r="AB427" s="756"/>
      <c r="AC427" s="514"/>
      <c r="AD427" s="514"/>
      <c r="AE427" s="514"/>
      <c r="AF427" s="764"/>
      <c r="AG427" s="514"/>
      <c r="AH427" s="514"/>
      <c r="AI427" s="664">
        <f t="shared" si="25"/>
        <v>0</v>
      </c>
      <c r="AJ427" s="521">
        <v>0</v>
      </c>
      <c r="AK427" s="520">
        <f t="shared" si="26"/>
        <v>0</v>
      </c>
      <c r="AL427" s="695" t="s">
        <v>1455</v>
      </c>
      <c r="AM427" s="669">
        <f t="shared" si="27"/>
        <v>1</v>
      </c>
    </row>
    <row r="428" spans="1:39" s="500" customFormat="1" ht="13.5" hidden="1" thickBot="1">
      <c r="A428" s="554" t="s">
        <v>1022</v>
      </c>
      <c r="B428" s="555" t="s">
        <v>1337</v>
      </c>
      <c r="C428" s="561" t="s">
        <v>41</v>
      </c>
      <c r="D428" s="519"/>
      <c r="E428" s="520"/>
      <c r="F428" s="520"/>
      <c r="G428" s="726"/>
      <c r="H428" s="520"/>
      <c r="I428" s="521"/>
      <c r="J428" s="521"/>
      <c r="K428" s="521"/>
      <c r="L428" s="514"/>
      <c r="M428" s="514"/>
      <c r="N428" s="756"/>
      <c r="O428" s="514"/>
      <c r="P428" s="514"/>
      <c r="Q428" s="514"/>
      <c r="R428" s="514"/>
      <c r="S428" s="514"/>
      <c r="T428" s="514"/>
      <c r="U428" s="756"/>
      <c r="V428" s="514"/>
      <c r="W428" s="514"/>
      <c r="X428" s="514"/>
      <c r="Y428" s="514"/>
      <c r="Z428" s="514"/>
      <c r="AA428" s="514"/>
      <c r="AB428" s="756"/>
      <c r="AC428" s="514"/>
      <c r="AD428" s="514"/>
      <c r="AE428" s="514"/>
      <c r="AF428" s="764"/>
      <c r="AG428" s="514"/>
      <c r="AH428" s="514"/>
      <c r="AI428" s="664">
        <f t="shared" si="25"/>
        <v>0</v>
      </c>
      <c r="AJ428" s="521">
        <v>0</v>
      </c>
      <c r="AK428" s="520">
        <f t="shared" si="26"/>
        <v>0</v>
      </c>
      <c r="AL428" s="695" t="s">
        <v>1455</v>
      </c>
      <c r="AM428" s="669">
        <f t="shared" si="27"/>
        <v>1</v>
      </c>
    </row>
    <row r="429" spans="1:39" s="500" customFormat="1" ht="13.5" hidden="1" thickBot="1">
      <c r="A429" s="554" t="s">
        <v>1023</v>
      </c>
      <c r="B429" s="555" t="s">
        <v>1338</v>
      </c>
      <c r="C429" s="561" t="s">
        <v>1450</v>
      </c>
      <c r="D429" s="519"/>
      <c r="E429" s="520"/>
      <c r="F429" s="520"/>
      <c r="G429" s="726"/>
      <c r="H429" s="520"/>
      <c r="I429" s="521"/>
      <c r="J429" s="521"/>
      <c r="K429" s="521"/>
      <c r="L429" s="514"/>
      <c r="M429" s="514"/>
      <c r="N429" s="756"/>
      <c r="O429" s="514"/>
      <c r="P429" s="514"/>
      <c r="Q429" s="514"/>
      <c r="R429" s="514"/>
      <c r="S429" s="514"/>
      <c r="T429" s="514"/>
      <c r="U429" s="756"/>
      <c r="V429" s="514"/>
      <c r="W429" s="514"/>
      <c r="X429" s="514"/>
      <c r="Y429" s="514"/>
      <c r="Z429" s="514"/>
      <c r="AA429" s="514"/>
      <c r="AB429" s="756"/>
      <c r="AC429" s="514"/>
      <c r="AD429" s="514"/>
      <c r="AE429" s="514"/>
      <c r="AF429" s="764"/>
      <c r="AG429" s="514"/>
      <c r="AH429" s="514"/>
      <c r="AI429" s="664">
        <f t="shared" si="25"/>
        <v>0</v>
      </c>
      <c r="AJ429" s="521">
        <v>0</v>
      </c>
      <c r="AK429" s="520">
        <f t="shared" si="26"/>
        <v>0</v>
      </c>
      <c r="AL429" s="695" t="s">
        <v>1455</v>
      </c>
      <c r="AM429" s="669">
        <f t="shared" si="27"/>
        <v>1</v>
      </c>
    </row>
    <row r="430" spans="1:39" s="500" customFormat="1" ht="13.5" hidden="1" thickBot="1">
      <c r="A430" s="554" t="s">
        <v>1024</v>
      </c>
      <c r="B430" s="555" t="s">
        <v>1339</v>
      </c>
      <c r="C430" s="561" t="s">
        <v>1451</v>
      </c>
      <c r="D430" s="519"/>
      <c r="E430" s="520"/>
      <c r="F430" s="520"/>
      <c r="G430" s="726"/>
      <c r="H430" s="520"/>
      <c r="I430" s="521"/>
      <c r="J430" s="521"/>
      <c r="K430" s="521"/>
      <c r="L430" s="514"/>
      <c r="M430" s="514"/>
      <c r="N430" s="756"/>
      <c r="O430" s="514"/>
      <c r="P430" s="514"/>
      <c r="Q430" s="514"/>
      <c r="R430" s="514"/>
      <c r="S430" s="514"/>
      <c r="T430" s="514"/>
      <c r="U430" s="756"/>
      <c r="V430" s="514"/>
      <c r="W430" s="514"/>
      <c r="X430" s="514"/>
      <c r="Y430" s="514"/>
      <c r="Z430" s="514"/>
      <c r="AA430" s="514"/>
      <c r="AB430" s="756"/>
      <c r="AC430" s="514"/>
      <c r="AD430" s="514"/>
      <c r="AE430" s="514"/>
      <c r="AF430" s="764"/>
      <c r="AG430" s="514"/>
      <c r="AH430" s="514"/>
      <c r="AI430" s="664">
        <f t="shared" si="25"/>
        <v>0</v>
      </c>
      <c r="AJ430" s="521">
        <v>0</v>
      </c>
      <c r="AK430" s="520">
        <f t="shared" si="26"/>
        <v>0</v>
      </c>
      <c r="AL430" s="695" t="s">
        <v>1743</v>
      </c>
      <c r="AM430" s="669">
        <f t="shared" si="27"/>
        <v>19</v>
      </c>
    </row>
    <row r="431" spans="1:39" s="500" customFormat="1" ht="13.5" hidden="1" thickBot="1">
      <c r="A431" s="554" t="s">
        <v>493</v>
      </c>
      <c r="B431" s="555" t="s">
        <v>1340</v>
      </c>
      <c r="C431" s="561"/>
      <c r="D431" s="519"/>
      <c r="E431" s="520"/>
      <c r="F431" s="520"/>
      <c r="G431" s="726"/>
      <c r="H431" s="520"/>
      <c r="I431" s="521"/>
      <c r="J431" s="521"/>
      <c r="K431" s="521"/>
      <c r="L431" s="514"/>
      <c r="M431" s="514"/>
      <c r="N431" s="756"/>
      <c r="O431" s="514"/>
      <c r="P431" s="514"/>
      <c r="Q431" s="514"/>
      <c r="R431" s="514"/>
      <c r="S431" s="514"/>
      <c r="T431" s="514"/>
      <c r="U431" s="756"/>
      <c r="V431" s="514"/>
      <c r="W431" s="514"/>
      <c r="X431" s="514"/>
      <c r="Y431" s="514"/>
      <c r="Z431" s="514"/>
      <c r="AA431" s="514"/>
      <c r="AB431" s="756"/>
      <c r="AC431" s="514"/>
      <c r="AD431" s="514"/>
      <c r="AE431" s="514"/>
      <c r="AF431" s="764"/>
      <c r="AG431" s="514"/>
      <c r="AH431" s="514"/>
      <c r="AI431" s="664">
        <f t="shared" si="25"/>
        <v>0</v>
      </c>
      <c r="AJ431" s="521">
        <v>0</v>
      </c>
      <c r="AK431" s="520">
        <f t="shared" si="26"/>
        <v>0</v>
      </c>
      <c r="AL431" s="695"/>
      <c r="AM431" s="669">
        <f t="shared" si="27"/>
        <v>0</v>
      </c>
    </row>
    <row r="432" spans="1:39" s="500" customFormat="1" ht="13.5" hidden="1" thickBot="1">
      <c r="A432" s="554" t="s">
        <v>494</v>
      </c>
      <c r="B432" s="555" t="s">
        <v>1341</v>
      </c>
      <c r="C432" s="561" t="s">
        <v>1452</v>
      </c>
      <c r="D432" s="519"/>
      <c r="E432" s="520"/>
      <c r="F432" s="520"/>
      <c r="G432" s="726"/>
      <c r="H432" s="520"/>
      <c r="I432" s="521"/>
      <c r="J432" s="521"/>
      <c r="K432" s="521"/>
      <c r="L432" s="514"/>
      <c r="M432" s="514"/>
      <c r="N432" s="756"/>
      <c r="O432" s="514"/>
      <c r="P432" s="514"/>
      <c r="Q432" s="514"/>
      <c r="R432" s="514"/>
      <c r="S432" s="514"/>
      <c r="T432" s="514"/>
      <c r="U432" s="756"/>
      <c r="V432" s="514"/>
      <c r="W432" s="514"/>
      <c r="X432" s="514"/>
      <c r="Y432" s="514"/>
      <c r="Z432" s="514"/>
      <c r="AA432" s="514"/>
      <c r="AB432" s="756"/>
      <c r="AC432" s="514"/>
      <c r="AD432" s="514"/>
      <c r="AE432" s="514"/>
      <c r="AF432" s="764"/>
      <c r="AG432" s="514"/>
      <c r="AH432" s="514"/>
      <c r="AI432" s="664">
        <f t="shared" si="25"/>
        <v>0</v>
      </c>
      <c r="AJ432" s="521">
        <v>0</v>
      </c>
      <c r="AK432" s="520">
        <f t="shared" si="26"/>
        <v>0</v>
      </c>
      <c r="AL432" s="695" t="s">
        <v>1671</v>
      </c>
      <c r="AM432" s="669">
        <f t="shared" si="27"/>
        <v>4</v>
      </c>
    </row>
    <row r="433" spans="1:39" s="500" customFormat="1" ht="13.5" hidden="1" thickBot="1">
      <c r="A433" s="554" t="s">
        <v>495</v>
      </c>
      <c r="B433" s="555" t="s">
        <v>1342</v>
      </c>
      <c r="C433" s="561" t="s">
        <v>1452</v>
      </c>
      <c r="D433" s="519"/>
      <c r="E433" s="520"/>
      <c r="F433" s="520"/>
      <c r="G433" s="726"/>
      <c r="H433" s="520"/>
      <c r="I433" s="521"/>
      <c r="J433" s="521"/>
      <c r="K433" s="521"/>
      <c r="L433" s="514"/>
      <c r="M433" s="514"/>
      <c r="N433" s="756"/>
      <c r="O433" s="514"/>
      <c r="P433" s="514"/>
      <c r="Q433" s="514"/>
      <c r="R433" s="514"/>
      <c r="S433" s="514"/>
      <c r="T433" s="514"/>
      <c r="U433" s="756"/>
      <c r="V433" s="514"/>
      <c r="W433" s="514"/>
      <c r="X433" s="514"/>
      <c r="Y433" s="514"/>
      <c r="Z433" s="514"/>
      <c r="AA433" s="514"/>
      <c r="AB433" s="756"/>
      <c r="AC433" s="514"/>
      <c r="AD433" s="514"/>
      <c r="AE433" s="514"/>
      <c r="AF433" s="764"/>
      <c r="AG433" s="514"/>
      <c r="AH433" s="514"/>
      <c r="AI433" s="664">
        <f t="shared" si="25"/>
        <v>0</v>
      </c>
      <c r="AJ433" s="521">
        <v>0</v>
      </c>
      <c r="AK433" s="520">
        <f t="shared" si="26"/>
        <v>0</v>
      </c>
      <c r="AL433" s="695" t="s">
        <v>1617</v>
      </c>
      <c r="AM433" s="669">
        <f t="shared" si="27"/>
        <v>6</v>
      </c>
    </row>
    <row r="434" spans="1:39" s="500" customFormat="1" ht="13.5" hidden="1" thickBot="1">
      <c r="A434" s="554" t="s">
        <v>496</v>
      </c>
      <c r="B434" s="555" t="s">
        <v>1343</v>
      </c>
      <c r="C434" s="561" t="s">
        <v>1452</v>
      </c>
      <c r="D434" s="519"/>
      <c r="E434" s="520"/>
      <c r="F434" s="520"/>
      <c r="G434" s="726"/>
      <c r="H434" s="520"/>
      <c r="I434" s="521"/>
      <c r="J434" s="521"/>
      <c r="K434" s="521"/>
      <c r="L434" s="514"/>
      <c r="M434" s="514"/>
      <c r="N434" s="756"/>
      <c r="O434" s="514"/>
      <c r="P434" s="514"/>
      <c r="Q434" s="514"/>
      <c r="R434" s="514"/>
      <c r="S434" s="514"/>
      <c r="T434" s="514"/>
      <c r="U434" s="756"/>
      <c r="V434" s="514"/>
      <c r="W434" s="514"/>
      <c r="X434" s="514"/>
      <c r="Y434" s="514"/>
      <c r="Z434" s="514"/>
      <c r="AA434" s="514"/>
      <c r="AB434" s="756"/>
      <c r="AC434" s="514"/>
      <c r="AD434" s="514"/>
      <c r="AE434" s="514"/>
      <c r="AF434" s="764"/>
      <c r="AG434" s="514"/>
      <c r="AH434" s="514"/>
      <c r="AI434" s="664">
        <f t="shared" si="25"/>
        <v>0</v>
      </c>
      <c r="AJ434" s="521">
        <v>0</v>
      </c>
      <c r="AK434" s="520">
        <f t="shared" si="26"/>
        <v>0</v>
      </c>
      <c r="AL434" s="695" t="s">
        <v>1742</v>
      </c>
      <c r="AM434" s="669">
        <f t="shared" si="27"/>
        <v>10</v>
      </c>
    </row>
    <row r="435" spans="1:39" s="500" customFormat="1" ht="13.5" hidden="1" thickBot="1">
      <c r="A435" s="554" t="s">
        <v>1025</v>
      </c>
      <c r="B435" s="555" t="s">
        <v>1344</v>
      </c>
      <c r="C435" s="561" t="s">
        <v>38</v>
      </c>
      <c r="D435" s="519"/>
      <c r="E435" s="520"/>
      <c r="F435" s="520"/>
      <c r="G435" s="726"/>
      <c r="H435" s="520"/>
      <c r="I435" s="521"/>
      <c r="J435" s="521"/>
      <c r="K435" s="521"/>
      <c r="L435" s="514"/>
      <c r="M435" s="514"/>
      <c r="N435" s="756"/>
      <c r="O435" s="514"/>
      <c r="P435" s="514"/>
      <c r="Q435" s="514"/>
      <c r="R435" s="514"/>
      <c r="S435" s="514"/>
      <c r="T435" s="514"/>
      <c r="U435" s="756"/>
      <c r="V435" s="514"/>
      <c r="W435" s="514"/>
      <c r="X435" s="514"/>
      <c r="Y435" s="514"/>
      <c r="Z435" s="514"/>
      <c r="AA435" s="514"/>
      <c r="AB435" s="756"/>
      <c r="AC435" s="514"/>
      <c r="AD435" s="514"/>
      <c r="AE435" s="514"/>
      <c r="AF435" s="764"/>
      <c r="AG435" s="514"/>
      <c r="AH435" s="514"/>
      <c r="AI435" s="664">
        <f t="shared" ref="AI435:AI498" si="28">ROUND((SUM(D435:L435)),2)</f>
        <v>0</v>
      </c>
      <c r="AJ435" s="521">
        <v>0</v>
      </c>
      <c r="AK435" s="520">
        <f t="shared" si="26"/>
        <v>0</v>
      </c>
      <c r="AL435" s="695" t="s">
        <v>1744</v>
      </c>
      <c r="AM435" s="669">
        <f t="shared" si="27"/>
        <v>32.450000000000003</v>
      </c>
    </row>
    <row r="436" spans="1:39" s="500" customFormat="1" ht="13.5" hidden="1" thickBot="1">
      <c r="A436" s="554" t="s">
        <v>1026</v>
      </c>
      <c r="B436" s="555" t="s">
        <v>1345</v>
      </c>
      <c r="C436" s="561" t="s">
        <v>38</v>
      </c>
      <c r="D436" s="519"/>
      <c r="E436" s="520"/>
      <c r="F436" s="520"/>
      <c r="G436" s="726"/>
      <c r="H436" s="520"/>
      <c r="I436" s="521"/>
      <c r="J436" s="521"/>
      <c r="K436" s="521"/>
      <c r="L436" s="514"/>
      <c r="M436" s="514"/>
      <c r="N436" s="756"/>
      <c r="O436" s="514"/>
      <c r="P436" s="514"/>
      <c r="Q436" s="514"/>
      <c r="R436" s="514"/>
      <c r="S436" s="514"/>
      <c r="T436" s="514"/>
      <c r="U436" s="756"/>
      <c r="V436" s="514"/>
      <c r="W436" s="514"/>
      <c r="X436" s="514"/>
      <c r="Y436" s="514"/>
      <c r="Z436" s="514"/>
      <c r="AA436" s="514"/>
      <c r="AB436" s="756"/>
      <c r="AC436" s="514"/>
      <c r="AD436" s="514"/>
      <c r="AE436" s="514"/>
      <c r="AF436" s="764"/>
      <c r="AG436" s="514"/>
      <c r="AH436" s="514"/>
      <c r="AI436" s="664">
        <f t="shared" si="28"/>
        <v>0</v>
      </c>
      <c r="AJ436" s="521">
        <v>0</v>
      </c>
      <c r="AK436" s="520">
        <f t="shared" si="26"/>
        <v>0</v>
      </c>
      <c r="AL436" s="695" t="s">
        <v>1745</v>
      </c>
      <c r="AM436" s="669">
        <f t="shared" si="27"/>
        <v>45.55</v>
      </c>
    </row>
    <row r="437" spans="1:39" s="500" customFormat="1" ht="13.5" hidden="1" thickBot="1">
      <c r="A437" s="554" t="s">
        <v>1027</v>
      </c>
      <c r="B437" s="555" t="s">
        <v>1346</v>
      </c>
      <c r="C437" s="561" t="s">
        <v>1450</v>
      </c>
      <c r="D437" s="519"/>
      <c r="E437" s="520"/>
      <c r="F437" s="520"/>
      <c r="G437" s="726"/>
      <c r="H437" s="520"/>
      <c r="I437" s="521"/>
      <c r="J437" s="521"/>
      <c r="K437" s="521"/>
      <c r="L437" s="514"/>
      <c r="M437" s="514"/>
      <c r="N437" s="756"/>
      <c r="O437" s="514"/>
      <c r="P437" s="514"/>
      <c r="Q437" s="514"/>
      <c r="R437" s="514"/>
      <c r="S437" s="514"/>
      <c r="T437" s="514"/>
      <c r="U437" s="756"/>
      <c r="V437" s="514"/>
      <c r="W437" s="514"/>
      <c r="X437" s="514"/>
      <c r="Y437" s="514"/>
      <c r="Z437" s="514"/>
      <c r="AA437" s="514"/>
      <c r="AB437" s="756"/>
      <c r="AC437" s="514"/>
      <c r="AD437" s="514"/>
      <c r="AE437" s="514"/>
      <c r="AF437" s="764"/>
      <c r="AG437" s="514"/>
      <c r="AH437" s="514"/>
      <c r="AI437" s="664">
        <f t="shared" si="28"/>
        <v>0</v>
      </c>
      <c r="AJ437" s="521">
        <v>0</v>
      </c>
      <c r="AK437" s="520">
        <f t="shared" si="26"/>
        <v>0</v>
      </c>
      <c r="AL437" s="695" t="s">
        <v>1671</v>
      </c>
      <c r="AM437" s="669">
        <f t="shared" si="27"/>
        <v>4</v>
      </c>
    </row>
    <row r="438" spans="1:39" s="500" customFormat="1" ht="13.5" hidden="1" thickBot="1">
      <c r="A438" s="554" t="s">
        <v>1028</v>
      </c>
      <c r="B438" s="555" t="s">
        <v>1347</v>
      </c>
      <c r="C438" s="561" t="s">
        <v>1450</v>
      </c>
      <c r="D438" s="519"/>
      <c r="E438" s="520"/>
      <c r="F438" s="520"/>
      <c r="G438" s="726"/>
      <c r="H438" s="520"/>
      <c r="I438" s="521"/>
      <c r="J438" s="521"/>
      <c r="K438" s="521"/>
      <c r="L438" s="514"/>
      <c r="M438" s="514"/>
      <c r="N438" s="756"/>
      <c r="O438" s="514"/>
      <c r="P438" s="514"/>
      <c r="Q438" s="514"/>
      <c r="R438" s="514"/>
      <c r="S438" s="514"/>
      <c r="T438" s="514"/>
      <c r="U438" s="756"/>
      <c r="V438" s="514"/>
      <c r="W438" s="514"/>
      <c r="X438" s="514"/>
      <c r="Y438" s="514"/>
      <c r="Z438" s="514"/>
      <c r="AA438" s="514"/>
      <c r="AB438" s="756"/>
      <c r="AC438" s="514"/>
      <c r="AD438" s="514"/>
      <c r="AE438" s="514"/>
      <c r="AF438" s="764"/>
      <c r="AG438" s="514"/>
      <c r="AH438" s="514"/>
      <c r="AI438" s="664">
        <f t="shared" si="28"/>
        <v>0</v>
      </c>
      <c r="AJ438" s="521">
        <v>0</v>
      </c>
      <c r="AK438" s="520">
        <f t="shared" si="26"/>
        <v>0</v>
      </c>
      <c r="AL438" s="695" t="s">
        <v>1698</v>
      </c>
      <c r="AM438" s="669">
        <f t="shared" si="27"/>
        <v>2</v>
      </c>
    </row>
    <row r="439" spans="1:39" s="500" customFormat="1" ht="13.5" hidden="1" thickBot="1">
      <c r="A439" s="554" t="s">
        <v>1029</v>
      </c>
      <c r="B439" s="555" t="s">
        <v>1348</v>
      </c>
      <c r="C439" s="561" t="s">
        <v>1450</v>
      </c>
      <c r="D439" s="519"/>
      <c r="E439" s="520"/>
      <c r="F439" s="520"/>
      <c r="G439" s="726"/>
      <c r="H439" s="520"/>
      <c r="I439" s="521"/>
      <c r="J439" s="521"/>
      <c r="K439" s="521"/>
      <c r="L439" s="514"/>
      <c r="M439" s="514"/>
      <c r="N439" s="756"/>
      <c r="O439" s="514"/>
      <c r="P439" s="514"/>
      <c r="Q439" s="514"/>
      <c r="R439" s="514"/>
      <c r="S439" s="514"/>
      <c r="T439" s="514"/>
      <c r="U439" s="756"/>
      <c r="V439" s="514"/>
      <c r="W439" s="514"/>
      <c r="X439" s="514"/>
      <c r="Y439" s="514"/>
      <c r="Z439" s="514"/>
      <c r="AA439" s="514"/>
      <c r="AB439" s="756"/>
      <c r="AC439" s="514"/>
      <c r="AD439" s="514"/>
      <c r="AE439" s="514"/>
      <c r="AF439" s="764"/>
      <c r="AG439" s="514"/>
      <c r="AH439" s="514"/>
      <c r="AI439" s="664">
        <f t="shared" si="28"/>
        <v>0</v>
      </c>
      <c r="AJ439" s="521">
        <v>0</v>
      </c>
      <c r="AK439" s="520">
        <f t="shared" si="26"/>
        <v>0</v>
      </c>
      <c r="AL439" s="695" t="s">
        <v>1617</v>
      </c>
      <c r="AM439" s="669">
        <f t="shared" si="27"/>
        <v>6</v>
      </c>
    </row>
    <row r="440" spans="1:39" s="500" customFormat="1" ht="13.5" hidden="1" thickBot="1">
      <c r="A440" s="554" t="s">
        <v>1030</v>
      </c>
      <c r="B440" s="555" t="s">
        <v>1349</v>
      </c>
      <c r="C440" s="561" t="s">
        <v>1450</v>
      </c>
      <c r="D440" s="519"/>
      <c r="E440" s="520"/>
      <c r="F440" s="520"/>
      <c r="G440" s="726"/>
      <c r="H440" s="520"/>
      <c r="I440" s="521"/>
      <c r="J440" s="521"/>
      <c r="K440" s="521"/>
      <c r="L440" s="514"/>
      <c r="M440" s="514"/>
      <c r="N440" s="756"/>
      <c r="O440" s="514"/>
      <c r="P440" s="514"/>
      <c r="Q440" s="514"/>
      <c r="R440" s="514"/>
      <c r="S440" s="514"/>
      <c r="T440" s="514"/>
      <c r="U440" s="756"/>
      <c r="V440" s="514"/>
      <c r="W440" s="514"/>
      <c r="X440" s="514"/>
      <c r="Y440" s="514"/>
      <c r="Z440" s="514"/>
      <c r="AA440" s="514"/>
      <c r="AB440" s="756"/>
      <c r="AC440" s="514"/>
      <c r="AD440" s="514"/>
      <c r="AE440" s="514"/>
      <c r="AF440" s="764"/>
      <c r="AG440" s="514"/>
      <c r="AH440" s="514"/>
      <c r="AI440" s="664">
        <f t="shared" si="28"/>
        <v>0</v>
      </c>
      <c r="AJ440" s="521">
        <v>0</v>
      </c>
      <c r="AK440" s="520">
        <f t="shared" si="26"/>
        <v>0</v>
      </c>
      <c r="AL440" s="695" t="s">
        <v>1617</v>
      </c>
      <c r="AM440" s="669">
        <f t="shared" si="27"/>
        <v>6</v>
      </c>
    </row>
    <row r="441" spans="1:39" s="500" customFormat="1" ht="13.5" hidden="1" thickBot="1">
      <c r="A441" s="554" t="s">
        <v>1031</v>
      </c>
      <c r="B441" s="555" t="s">
        <v>1350</v>
      </c>
      <c r="C441" s="561" t="s">
        <v>1451</v>
      </c>
      <c r="D441" s="519"/>
      <c r="E441" s="520"/>
      <c r="F441" s="520"/>
      <c r="G441" s="726"/>
      <c r="H441" s="520"/>
      <c r="I441" s="521"/>
      <c r="J441" s="521"/>
      <c r="K441" s="521"/>
      <c r="L441" s="514"/>
      <c r="M441" s="514"/>
      <c r="N441" s="756"/>
      <c r="O441" s="514"/>
      <c r="P441" s="514"/>
      <c r="Q441" s="514"/>
      <c r="R441" s="514"/>
      <c r="S441" s="514"/>
      <c r="T441" s="514"/>
      <c r="U441" s="756"/>
      <c r="V441" s="514"/>
      <c r="W441" s="514"/>
      <c r="X441" s="514"/>
      <c r="Y441" s="514"/>
      <c r="Z441" s="514"/>
      <c r="AA441" s="514"/>
      <c r="AB441" s="756"/>
      <c r="AC441" s="514"/>
      <c r="AD441" s="514"/>
      <c r="AE441" s="514"/>
      <c r="AF441" s="764"/>
      <c r="AG441" s="514"/>
      <c r="AH441" s="514"/>
      <c r="AI441" s="664">
        <f t="shared" si="28"/>
        <v>0</v>
      </c>
      <c r="AJ441" s="521">
        <v>0</v>
      </c>
      <c r="AK441" s="520">
        <f t="shared" si="26"/>
        <v>0</v>
      </c>
      <c r="AL441" s="695" t="s">
        <v>1617</v>
      </c>
      <c r="AM441" s="669">
        <f t="shared" si="27"/>
        <v>6</v>
      </c>
    </row>
    <row r="442" spans="1:39" s="500" customFormat="1" ht="13.5" hidden="1" thickBot="1">
      <c r="A442" s="554" t="s">
        <v>497</v>
      </c>
      <c r="B442" s="555" t="s">
        <v>1351</v>
      </c>
      <c r="C442" s="561"/>
      <c r="D442" s="519"/>
      <c r="E442" s="520"/>
      <c r="F442" s="520"/>
      <c r="G442" s="726"/>
      <c r="H442" s="520"/>
      <c r="I442" s="521"/>
      <c r="J442" s="521"/>
      <c r="K442" s="521"/>
      <c r="L442" s="514"/>
      <c r="M442" s="514"/>
      <c r="N442" s="756"/>
      <c r="O442" s="514"/>
      <c r="P442" s="514"/>
      <c r="Q442" s="514"/>
      <c r="R442" s="514"/>
      <c r="S442" s="514"/>
      <c r="T442" s="514"/>
      <c r="U442" s="756"/>
      <c r="V442" s="514"/>
      <c r="W442" s="514"/>
      <c r="X442" s="514"/>
      <c r="Y442" s="514"/>
      <c r="Z442" s="514"/>
      <c r="AA442" s="514"/>
      <c r="AB442" s="756"/>
      <c r="AC442" s="514"/>
      <c r="AD442" s="514"/>
      <c r="AE442" s="514"/>
      <c r="AF442" s="764"/>
      <c r="AG442" s="514"/>
      <c r="AH442" s="514"/>
      <c r="AI442" s="664">
        <f t="shared" si="28"/>
        <v>0</v>
      </c>
      <c r="AJ442" s="521">
        <v>0</v>
      </c>
      <c r="AK442" s="520">
        <f t="shared" si="26"/>
        <v>0</v>
      </c>
      <c r="AL442" s="695"/>
      <c r="AM442" s="669">
        <f t="shared" si="27"/>
        <v>0</v>
      </c>
    </row>
    <row r="443" spans="1:39" s="500" customFormat="1" ht="13.5" hidden="1" thickBot="1">
      <c r="A443" s="554" t="s">
        <v>498</v>
      </c>
      <c r="B443" s="555" t="s">
        <v>1352</v>
      </c>
      <c r="C443" s="561" t="s">
        <v>40</v>
      </c>
      <c r="D443" s="519"/>
      <c r="E443" s="520"/>
      <c r="F443" s="520"/>
      <c r="G443" s="726"/>
      <c r="H443" s="520"/>
      <c r="I443" s="521"/>
      <c r="J443" s="521"/>
      <c r="K443" s="521"/>
      <c r="L443" s="514"/>
      <c r="M443" s="514"/>
      <c r="N443" s="756"/>
      <c r="O443" s="514"/>
      <c r="P443" s="514"/>
      <c r="Q443" s="514"/>
      <c r="R443" s="514"/>
      <c r="S443" s="514"/>
      <c r="T443" s="514"/>
      <c r="U443" s="756"/>
      <c r="V443" s="514"/>
      <c r="W443" s="514"/>
      <c r="X443" s="514"/>
      <c r="Y443" s="514"/>
      <c r="Z443" s="514"/>
      <c r="AA443" s="514"/>
      <c r="AB443" s="756"/>
      <c r="AC443" s="514"/>
      <c r="AD443" s="514"/>
      <c r="AE443" s="514"/>
      <c r="AF443" s="764"/>
      <c r="AG443" s="514"/>
      <c r="AH443" s="514"/>
      <c r="AI443" s="664">
        <f t="shared" si="28"/>
        <v>0</v>
      </c>
      <c r="AJ443" s="521">
        <v>0</v>
      </c>
      <c r="AK443" s="520">
        <f t="shared" si="26"/>
        <v>0</v>
      </c>
      <c r="AL443" s="695" t="s">
        <v>1746</v>
      </c>
      <c r="AM443" s="669">
        <f t="shared" si="27"/>
        <v>18.04</v>
      </c>
    </row>
    <row r="444" spans="1:39" s="500" customFormat="1" ht="13.5" hidden="1" thickBot="1">
      <c r="A444" s="554" t="s">
        <v>499</v>
      </c>
      <c r="B444" s="555" t="s">
        <v>1353</v>
      </c>
      <c r="C444" s="561" t="s">
        <v>40</v>
      </c>
      <c r="D444" s="519"/>
      <c r="E444" s="520"/>
      <c r="F444" s="520"/>
      <c r="G444" s="726"/>
      <c r="H444" s="520"/>
      <c r="I444" s="521"/>
      <c r="J444" s="521"/>
      <c r="K444" s="521"/>
      <c r="L444" s="514"/>
      <c r="M444" s="514"/>
      <c r="N444" s="756"/>
      <c r="O444" s="514"/>
      <c r="P444" s="514"/>
      <c r="Q444" s="514"/>
      <c r="R444" s="514"/>
      <c r="S444" s="514"/>
      <c r="T444" s="514"/>
      <c r="U444" s="756"/>
      <c r="V444" s="514"/>
      <c r="W444" s="514"/>
      <c r="X444" s="514"/>
      <c r="Y444" s="514"/>
      <c r="Z444" s="514"/>
      <c r="AA444" s="514"/>
      <c r="AB444" s="756"/>
      <c r="AC444" s="514"/>
      <c r="AD444" s="514"/>
      <c r="AE444" s="514"/>
      <c r="AF444" s="764"/>
      <c r="AG444" s="514"/>
      <c r="AH444" s="514"/>
      <c r="AI444" s="664">
        <f t="shared" si="28"/>
        <v>0</v>
      </c>
      <c r="AJ444" s="521">
        <v>0</v>
      </c>
      <c r="AK444" s="520">
        <f t="shared" si="26"/>
        <v>0</v>
      </c>
      <c r="AL444" s="695" t="s">
        <v>1746</v>
      </c>
      <c r="AM444" s="669">
        <f t="shared" si="27"/>
        <v>18.04</v>
      </c>
    </row>
    <row r="445" spans="1:39" s="500" customFormat="1" ht="13.5" hidden="1" thickBot="1">
      <c r="A445" s="554" t="s">
        <v>1032</v>
      </c>
      <c r="B445" s="555" t="s">
        <v>1354</v>
      </c>
      <c r="C445" s="561" t="s">
        <v>36</v>
      </c>
      <c r="D445" s="519"/>
      <c r="E445" s="520"/>
      <c r="F445" s="520"/>
      <c r="G445" s="726"/>
      <c r="H445" s="520"/>
      <c r="I445" s="521"/>
      <c r="J445" s="521"/>
      <c r="K445" s="521"/>
      <c r="L445" s="514"/>
      <c r="M445" s="514"/>
      <c r="N445" s="756"/>
      <c r="O445" s="514"/>
      <c r="P445" s="514"/>
      <c r="Q445" s="514"/>
      <c r="R445" s="514"/>
      <c r="S445" s="514"/>
      <c r="T445" s="514"/>
      <c r="U445" s="756"/>
      <c r="V445" s="514"/>
      <c r="W445" s="514"/>
      <c r="X445" s="514"/>
      <c r="Y445" s="514"/>
      <c r="Z445" s="514"/>
      <c r="AA445" s="514"/>
      <c r="AB445" s="756"/>
      <c r="AC445" s="514"/>
      <c r="AD445" s="514"/>
      <c r="AE445" s="514"/>
      <c r="AF445" s="764"/>
      <c r="AG445" s="514"/>
      <c r="AH445" s="514"/>
      <c r="AI445" s="664">
        <f t="shared" si="28"/>
        <v>0</v>
      </c>
      <c r="AJ445" s="521">
        <v>0</v>
      </c>
      <c r="AK445" s="520">
        <f t="shared" si="26"/>
        <v>0</v>
      </c>
      <c r="AL445" s="695" t="s">
        <v>1455</v>
      </c>
      <c r="AM445" s="669">
        <f t="shared" si="27"/>
        <v>1</v>
      </c>
    </row>
    <row r="446" spans="1:39" s="500" customFormat="1" ht="13.5" hidden="1" thickBot="1">
      <c r="A446" s="554" t="s">
        <v>1033</v>
      </c>
      <c r="B446" s="555" t="s">
        <v>1355</v>
      </c>
      <c r="C446" s="561" t="s">
        <v>41</v>
      </c>
      <c r="D446" s="519"/>
      <c r="E446" s="520"/>
      <c r="F446" s="520"/>
      <c r="G446" s="726"/>
      <c r="H446" s="520"/>
      <c r="I446" s="521"/>
      <c r="J446" s="521"/>
      <c r="K446" s="521"/>
      <c r="L446" s="514"/>
      <c r="M446" s="514"/>
      <c r="N446" s="756"/>
      <c r="O446" s="514"/>
      <c r="P446" s="514"/>
      <c r="Q446" s="514"/>
      <c r="R446" s="514"/>
      <c r="S446" s="514"/>
      <c r="T446" s="514"/>
      <c r="U446" s="756"/>
      <c r="V446" s="514"/>
      <c r="W446" s="514"/>
      <c r="X446" s="514"/>
      <c r="Y446" s="514"/>
      <c r="Z446" s="514"/>
      <c r="AA446" s="514"/>
      <c r="AB446" s="756"/>
      <c r="AC446" s="514"/>
      <c r="AD446" s="514"/>
      <c r="AE446" s="514"/>
      <c r="AF446" s="764"/>
      <c r="AG446" s="514"/>
      <c r="AH446" s="514"/>
      <c r="AI446" s="664">
        <f t="shared" si="28"/>
        <v>0</v>
      </c>
      <c r="AJ446" s="521">
        <v>0</v>
      </c>
      <c r="AK446" s="520">
        <f t="shared" si="26"/>
        <v>0</v>
      </c>
      <c r="AL446" s="695" t="s">
        <v>1455</v>
      </c>
      <c r="AM446" s="669">
        <f t="shared" si="27"/>
        <v>1</v>
      </c>
    </row>
    <row r="447" spans="1:39" s="500" customFormat="1" ht="13.5" hidden="1" thickBot="1">
      <c r="A447" s="554" t="s">
        <v>500</v>
      </c>
      <c r="B447" s="555" t="s">
        <v>1356</v>
      </c>
      <c r="C447" s="561"/>
      <c r="D447" s="519"/>
      <c r="E447" s="520"/>
      <c r="F447" s="520"/>
      <c r="G447" s="726"/>
      <c r="H447" s="520"/>
      <c r="I447" s="521"/>
      <c r="J447" s="521"/>
      <c r="K447" s="521"/>
      <c r="L447" s="514"/>
      <c r="M447" s="514"/>
      <c r="N447" s="756"/>
      <c r="O447" s="514"/>
      <c r="P447" s="514"/>
      <c r="Q447" s="514"/>
      <c r="R447" s="514"/>
      <c r="S447" s="514"/>
      <c r="T447" s="514"/>
      <c r="U447" s="756"/>
      <c r="V447" s="514"/>
      <c r="W447" s="514"/>
      <c r="X447" s="514"/>
      <c r="Y447" s="514"/>
      <c r="Z447" s="514"/>
      <c r="AA447" s="514"/>
      <c r="AB447" s="756"/>
      <c r="AC447" s="514"/>
      <c r="AD447" s="514"/>
      <c r="AE447" s="514"/>
      <c r="AF447" s="764"/>
      <c r="AG447" s="514"/>
      <c r="AH447" s="514"/>
      <c r="AI447" s="664">
        <f t="shared" si="28"/>
        <v>0</v>
      </c>
      <c r="AJ447" s="521">
        <v>0</v>
      </c>
      <c r="AK447" s="520">
        <f t="shared" si="26"/>
        <v>0</v>
      </c>
      <c r="AL447" s="695"/>
      <c r="AM447" s="669">
        <f t="shared" si="27"/>
        <v>0</v>
      </c>
    </row>
    <row r="448" spans="1:39" s="500" customFormat="1" ht="13.5" hidden="1" thickBot="1">
      <c r="A448" s="554" t="s">
        <v>501</v>
      </c>
      <c r="B448" s="555" t="s">
        <v>1352</v>
      </c>
      <c r="C448" s="561" t="s">
        <v>40</v>
      </c>
      <c r="D448" s="519"/>
      <c r="E448" s="520"/>
      <c r="F448" s="520"/>
      <c r="G448" s="726"/>
      <c r="H448" s="520"/>
      <c r="I448" s="521"/>
      <c r="J448" s="521"/>
      <c r="K448" s="521"/>
      <c r="L448" s="514"/>
      <c r="M448" s="514"/>
      <c r="N448" s="756"/>
      <c r="O448" s="514"/>
      <c r="P448" s="514"/>
      <c r="Q448" s="514"/>
      <c r="R448" s="514"/>
      <c r="S448" s="514"/>
      <c r="T448" s="514"/>
      <c r="U448" s="756"/>
      <c r="V448" s="514"/>
      <c r="W448" s="514"/>
      <c r="X448" s="514"/>
      <c r="Y448" s="514"/>
      <c r="Z448" s="514"/>
      <c r="AA448" s="514"/>
      <c r="AB448" s="756"/>
      <c r="AC448" s="514"/>
      <c r="AD448" s="514"/>
      <c r="AE448" s="514"/>
      <c r="AF448" s="764"/>
      <c r="AG448" s="514"/>
      <c r="AH448" s="514"/>
      <c r="AI448" s="664">
        <f t="shared" si="28"/>
        <v>0</v>
      </c>
      <c r="AJ448" s="521">
        <v>0</v>
      </c>
      <c r="AK448" s="520">
        <f t="shared" si="26"/>
        <v>0</v>
      </c>
      <c r="AL448" s="695" t="s">
        <v>1747</v>
      </c>
      <c r="AM448" s="669">
        <f t="shared" si="27"/>
        <v>10.08</v>
      </c>
    </row>
    <row r="449" spans="1:39" s="500" customFormat="1" ht="13.5" hidden="1" thickBot="1">
      <c r="A449" s="554" t="s">
        <v>502</v>
      </c>
      <c r="B449" s="555" t="s">
        <v>1353</v>
      </c>
      <c r="C449" s="561" t="s">
        <v>40</v>
      </c>
      <c r="D449" s="519"/>
      <c r="E449" s="520"/>
      <c r="F449" s="520"/>
      <c r="G449" s="726"/>
      <c r="H449" s="520"/>
      <c r="I449" s="521"/>
      <c r="J449" s="521"/>
      <c r="K449" s="521"/>
      <c r="L449" s="514"/>
      <c r="M449" s="514"/>
      <c r="N449" s="756"/>
      <c r="O449" s="514"/>
      <c r="P449" s="514"/>
      <c r="Q449" s="514"/>
      <c r="R449" s="514"/>
      <c r="S449" s="514"/>
      <c r="T449" s="514"/>
      <c r="U449" s="756"/>
      <c r="V449" s="514"/>
      <c r="W449" s="514"/>
      <c r="X449" s="514"/>
      <c r="Y449" s="514"/>
      <c r="Z449" s="514"/>
      <c r="AA449" s="514"/>
      <c r="AB449" s="756"/>
      <c r="AC449" s="514"/>
      <c r="AD449" s="514"/>
      <c r="AE449" s="514"/>
      <c r="AF449" s="764"/>
      <c r="AG449" s="514"/>
      <c r="AH449" s="514"/>
      <c r="AI449" s="664">
        <f t="shared" si="28"/>
        <v>0</v>
      </c>
      <c r="AJ449" s="521">
        <v>0</v>
      </c>
      <c r="AK449" s="520">
        <f t="shared" si="26"/>
        <v>0</v>
      </c>
      <c r="AL449" s="695" t="s">
        <v>1747</v>
      </c>
      <c r="AM449" s="669">
        <f t="shared" si="27"/>
        <v>10.08</v>
      </c>
    </row>
    <row r="450" spans="1:39" s="500" customFormat="1" ht="13.5" hidden="1" thickBot="1">
      <c r="A450" s="554" t="s">
        <v>503</v>
      </c>
      <c r="B450" s="555" t="s">
        <v>1357</v>
      </c>
      <c r="C450" s="561" t="s">
        <v>40</v>
      </c>
      <c r="D450" s="519"/>
      <c r="E450" s="520"/>
      <c r="F450" s="520"/>
      <c r="G450" s="726"/>
      <c r="H450" s="520"/>
      <c r="I450" s="521"/>
      <c r="J450" s="521"/>
      <c r="K450" s="521"/>
      <c r="L450" s="514"/>
      <c r="M450" s="514"/>
      <c r="N450" s="756"/>
      <c r="O450" s="514"/>
      <c r="P450" s="514"/>
      <c r="Q450" s="514"/>
      <c r="R450" s="514"/>
      <c r="S450" s="514"/>
      <c r="T450" s="514"/>
      <c r="U450" s="756"/>
      <c r="V450" s="514"/>
      <c r="W450" s="514"/>
      <c r="X450" s="514"/>
      <c r="Y450" s="514"/>
      <c r="Z450" s="514"/>
      <c r="AA450" s="514"/>
      <c r="AB450" s="756"/>
      <c r="AC450" s="514"/>
      <c r="AD450" s="514"/>
      <c r="AE450" s="514"/>
      <c r="AF450" s="764"/>
      <c r="AG450" s="514"/>
      <c r="AH450" s="514"/>
      <c r="AI450" s="664">
        <f t="shared" si="28"/>
        <v>0</v>
      </c>
      <c r="AJ450" s="521">
        <v>0</v>
      </c>
      <c r="AK450" s="520">
        <f t="shared" si="26"/>
        <v>0</v>
      </c>
      <c r="AL450" s="695" t="s">
        <v>1748</v>
      </c>
      <c r="AM450" s="669">
        <f t="shared" si="27"/>
        <v>5.04</v>
      </c>
    </row>
    <row r="451" spans="1:39" s="500" customFormat="1" ht="13.5" hidden="1" thickBot="1">
      <c r="A451" s="554" t="s">
        <v>504</v>
      </c>
      <c r="B451" s="555" t="s">
        <v>1358</v>
      </c>
      <c r="C451" s="561" t="s">
        <v>41</v>
      </c>
      <c r="D451" s="519"/>
      <c r="E451" s="520"/>
      <c r="F451" s="520"/>
      <c r="G451" s="726"/>
      <c r="H451" s="520"/>
      <c r="I451" s="521"/>
      <c r="J451" s="521"/>
      <c r="K451" s="521"/>
      <c r="L451" s="514"/>
      <c r="M451" s="514"/>
      <c r="N451" s="756"/>
      <c r="O451" s="514"/>
      <c r="P451" s="514"/>
      <c r="Q451" s="514"/>
      <c r="R451" s="514"/>
      <c r="S451" s="514"/>
      <c r="T451" s="514"/>
      <c r="U451" s="756"/>
      <c r="V451" s="514"/>
      <c r="W451" s="514"/>
      <c r="X451" s="514"/>
      <c r="Y451" s="514"/>
      <c r="Z451" s="514"/>
      <c r="AA451" s="514"/>
      <c r="AB451" s="756"/>
      <c r="AC451" s="514"/>
      <c r="AD451" s="514"/>
      <c r="AE451" s="514"/>
      <c r="AF451" s="764"/>
      <c r="AG451" s="514"/>
      <c r="AH451" s="514"/>
      <c r="AI451" s="664">
        <f t="shared" si="28"/>
        <v>0</v>
      </c>
      <c r="AJ451" s="521">
        <v>0</v>
      </c>
      <c r="AK451" s="520">
        <f t="shared" si="26"/>
        <v>0</v>
      </c>
      <c r="AL451" s="695" t="s">
        <v>1455</v>
      </c>
      <c r="AM451" s="669">
        <f t="shared" si="27"/>
        <v>1</v>
      </c>
    </row>
    <row r="452" spans="1:39" s="500" customFormat="1" ht="13.5" hidden="1" thickBot="1">
      <c r="A452" s="554" t="s">
        <v>1034</v>
      </c>
      <c r="B452" s="555" t="s">
        <v>1359</v>
      </c>
      <c r="C452" s="561" t="s">
        <v>38</v>
      </c>
      <c r="D452" s="519"/>
      <c r="E452" s="520"/>
      <c r="F452" s="520"/>
      <c r="G452" s="726"/>
      <c r="H452" s="520"/>
      <c r="I452" s="521"/>
      <c r="J452" s="521"/>
      <c r="K452" s="521"/>
      <c r="L452" s="514"/>
      <c r="M452" s="514"/>
      <c r="N452" s="756"/>
      <c r="O452" s="514"/>
      <c r="P452" s="514"/>
      <c r="Q452" s="514"/>
      <c r="R452" s="514"/>
      <c r="S452" s="514"/>
      <c r="T452" s="514"/>
      <c r="U452" s="756"/>
      <c r="V452" s="514"/>
      <c r="W452" s="514"/>
      <c r="X452" s="514"/>
      <c r="Y452" s="514"/>
      <c r="Z452" s="514"/>
      <c r="AA452" s="514"/>
      <c r="AB452" s="756"/>
      <c r="AC452" s="514"/>
      <c r="AD452" s="514"/>
      <c r="AE452" s="514"/>
      <c r="AF452" s="764"/>
      <c r="AG452" s="514"/>
      <c r="AH452" s="514"/>
      <c r="AI452" s="664">
        <f t="shared" si="28"/>
        <v>0</v>
      </c>
      <c r="AJ452" s="521">
        <v>0</v>
      </c>
      <c r="AK452" s="520">
        <f t="shared" si="26"/>
        <v>0</v>
      </c>
      <c r="AL452" s="695" t="s">
        <v>1602</v>
      </c>
      <c r="AM452" s="669">
        <f t="shared" si="27"/>
        <v>24</v>
      </c>
    </row>
    <row r="453" spans="1:39" s="500" customFormat="1" ht="13.5" hidden="1" thickBot="1">
      <c r="A453" s="554" t="s">
        <v>505</v>
      </c>
      <c r="B453" s="555" t="s">
        <v>1360</v>
      </c>
      <c r="C453" s="561"/>
      <c r="D453" s="519"/>
      <c r="E453" s="520"/>
      <c r="F453" s="520"/>
      <c r="G453" s="726"/>
      <c r="H453" s="520"/>
      <c r="I453" s="521"/>
      <c r="J453" s="521"/>
      <c r="K453" s="521"/>
      <c r="L453" s="514"/>
      <c r="M453" s="514"/>
      <c r="N453" s="756"/>
      <c r="O453" s="514"/>
      <c r="P453" s="514"/>
      <c r="Q453" s="514"/>
      <c r="R453" s="514"/>
      <c r="S453" s="514"/>
      <c r="T453" s="514"/>
      <c r="U453" s="756"/>
      <c r="V453" s="514"/>
      <c r="W453" s="514"/>
      <c r="X453" s="514"/>
      <c r="Y453" s="514"/>
      <c r="Z453" s="514"/>
      <c r="AA453" s="514"/>
      <c r="AB453" s="756"/>
      <c r="AC453" s="514"/>
      <c r="AD453" s="514"/>
      <c r="AE453" s="514"/>
      <c r="AF453" s="764"/>
      <c r="AG453" s="514"/>
      <c r="AH453" s="514"/>
      <c r="AI453" s="664">
        <f t="shared" si="28"/>
        <v>0</v>
      </c>
      <c r="AJ453" s="521">
        <v>0</v>
      </c>
      <c r="AK453" s="520">
        <f t="shared" si="26"/>
        <v>0</v>
      </c>
      <c r="AL453" s="695"/>
      <c r="AM453" s="669">
        <f t="shared" si="27"/>
        <v>0</v>
      </c>
    </row>
    <row r="454" spans="1:39" s="500" customFormat="1" ht="13.5" hidden="1" thickBot="1">
      <c r="A454" s="554" t="s">
        <v>506</v>
      </c>
      <c r="B454" s="555" t="s">
        <v>1361</v>
      </c>
      <c r="C454" s="561" t="s">
        <v>1452</v>
      </c>
      <c r="D454" s="519"/>
      <c r="E454" s="520"/>
      <c r="F454" s="520"/>
      <c r="G454" s="726"/>
      <c r="H454" s="520"/>
      <c r="I454" s="521"/>
      <c r="J454" s="521"/>
      <c r="K454" s="521"/>
      <c r="L454" s="514"/>
      <c r="M454" s="514"/>
      <c r="N454" s="756"/>
      <c r="O454" s="514"/>
      <c r="P454" s="514"/>
      <c r="Q454" s="514"/>
      <c r="R454" s="514"/>
      <c r="S454" s="514"/>
      <c r="T454" s="514"/>
      <c r="U454" s="756"/>
      <c r="V454" s="514"/>
      <c r="W454" s="514"/>
      <c r="X454" s="514"/>
      <c r="Y454" s="514"/>
      <c r="Z454" s="514"/>
      <c r="AA454" s="514"/>
      <c r="AB454" s="756"/>
      <c r="AC454" s="514"/>
      <c r="AD454" s="514"/>
      <c r="AE454" s="514"/>
      <c r="AF454" s="764"/>
      <c r="AG454" s="514"/>
      <c r="AH454" s="514"/>
      <c r="AI454" s="664">
        <f t="shared" si="28"/>
        <v>0</v>
      </c>
      <c r="AJ454" s="521">
        <v>0</v>
      </c>
      <c r="AK454" s="520">
        <f t="shared" si="26"/>
        <v>0</v>
      </c>
      <c r="AL454" s="695" t="s">
        <v>1493</v>
      </c>
      <c r="AM454" s="669">
        <f t="shared" si="27"/>
        <v>15</v>
      </c>
    </row>
    <row r="455" spans="1:39" s="500" customFormat="1" ht="13.5" hidden="1" thickBot="1">
      <c r="A455" s="554" t="s">
        <v>507</v>
      </c>
      <c r="B455" s="555" t="s">
        <v>1362</v>
      </c>
      <c r="C455" s="561" t="s">
        <v>38</v>
      </c>
      <c r="D455" s="519"/>
      <c r="E455" s="520"/>
      <c r="F455" s="520"/>
      <c r="G455" s="726"/>
      <c r="H455" s="520"/>
      <c r="I455" s="521"/>
      <c r="J455" s="521"/>
      <c r="K455" s="521"/>
      <c r="L455" s="514"/>
      <c r="M455" s="514"/>
      <c r="N455" s="756"/>
      <c r="O455" s="514"/>
      <c r="P455" s="514"/>
      <c r="Q455" s="514"/>
      <c r="R455" s="514"/>
      <c r="S455" s="514"/>
      <c r="T455" s="514"/>
      <c r="U455" s="756"/>
      <c r="V455" s="514"/>
      <c r="W455" s="514"/>
      <c r="X455" s="514"/>
      <c r="Y455" s="514"/>
      <c r="Z455" s="514"/>
      <c r="AA455" s="514"/>
      <c r="AB455" s="756"/>
      <c r="AC455" s="514"/>
      <c r="AD455" s="514"/>
      <c r="AE455" s="514"/>
      <c r="AF455" s="764"/>
      <c r="AG455" s="514"/>
      <c r="AH455" s="514"/>
      <c r="AI455" s="664">
        <f t="shared" si="28"/>
        <v>0</v>
      </c>
      <c r="AJ455" s="521">
        <v>0</v>
      </c>
      <c r="AK455" s="520">
        <f t="shared" si="26"/>
        <v>0</v>
      </c>
      <c r="AL455" s="695" t="s">
        <v>1749</v>
      </c>
      <c r="AM455" s="669">
        <f t="shared" si="27"/>
        <v>31.6</v>
      </c>
    </row>
    <row r="456" spans="1:39" s="500" customFormat="1" ht="13.5" hidden="1" thickBot="1">
      <c r="A456" s="554" t="s">
        <v>508</v>
      </c>
      <c r="B456" s="555" t="s">
        <v>1363</v>
      </c>
      <c r="C456" s="561" t="s">
        <v>38</v>
      </c>
      <c r="D456" s="519"/>
      <c r="E456" s="520"/>
      <c r="F456" s="520"/>
      <c r="G456" s="726"/>
      <c r="H456" s="520"/>
      <c r="I456" s="521"/>
      <c r="J456" s="521"/>
      <c r="K456" s="521"/>
      <c r="L456" s="514"/>
      <c r="M456" s="514"/>
      <c r="N456" s="756"/>
      <c r="O456" s="514"/>
      <c r="P456" s="514"/>
      <c r="Q456" s="514"/>
      <c r="R456" s="514"/>
      <c r="S456" s="514"/>
      <c r="T456" s="514"/>
      <c r="U456" s="756"/>
      <c r="V456" s="514"/>
      <c r="W456" s="514"/>
      <c r="X456" s="514"/>
      <c r="Y456" s="514"/>
      <c r="Z456" s="514"/>
      <c r="AA456" s="514"/>
      <c r="AB456" s="756"/>
      <c r="AC456" s="514"/>
      <c r="AD456" s="514"/>
      <c r="AE456" s="514"/>
      <c r="AF456" s="764"/>
      <c r="AG456" s="514"/>
      <c r="AH456" s="514"/>
      <c r="AI456" s="664">
        <f t="shared" si="28"/>
        <v>0</v>
      </c>
      <c r="AJ456" s="521">
        <v>0</v>
      </c>
      <c r="AK456" s="520">
        <f t="shared" si="26"/>
        <v>0</v>
      </c>
      <c r="AL456" s="695" t="s">
        <v>1750</v>
      </c>
      <c r="AM456" s="669">
        <f t="shared" si="27"/>
        <v>46.35</v>
      </c>
    </row>
    <row r="457" spans="1:39" s="500" customFormat="1" ht="13.5" hidden="1" thickBot="1">
      <c r="A457" s="554" t="s">
        <v>1035</v>
      </c>
      <c r="B457" s="555" t="s">
        <v>1364</v>
      </c>
      <c r="C457" s="561" t="s">
        <v>1450</v>
      </c>
      <c r="D457" s="519"/>
      <c r="E457" s="520"/>
      <c r="F457" s="520"/>
      <c r="G457" s="726"/>
      <c r="H457" s="520"/>
      <c r="I457" s="521"/>
      <c r="J457" s="521"/>
      <c r="K457" s="521"/>
      <c r="L457" s="514"/>
      <c r="M457" s="514"/>
      <c r="N457" s="756"/>
      <c r="O457" s="514"/>
      <c r="P457" s="514"/>
      <c r="Q457" s="514"/>
      <c r="R457" s="514"/>
      <c r="S457" s="514"/>
      <c r="T457" s="514"/>
      <c r="U457" s="756"/>
      <c r="V457" s="514"/>
      <c r="W457" s="514"/>
      <c r="X457" s="514"/>
      <c r="Y457" s="514"/>
      <c r="Z457" s="514"/>
      <c r="AA457" s="514"/>
      <c r="AB457" s="756"/>
      <c r="AC457" s="514"/>
      <c r="AD457" s="514"/>
      <c r="AE457" s="514"/>
      <c r="AF457" s="764"/>
      <c r="AG457" s="514"/>
      <c r="AH457" s="514"/>
      <c r="AI457" s="664">
        <f t="shared" si="28"/>
        <v>0</v>
      </c>
      <c r="AJ457" s="521">
        <v>0</v>
      </c>
      <c r="AK457" s="520">
        <f t="shared" si="26"/>
        <v>0</v>
      </c>
      <c r="AL457" s="695" t="s">
        <v>1617</v>
      </c>
      <c r="AM457" s="669">
        <f t="shared" si="27"/>
        <v>6</v>
      </c>
    </row>
    <row r="458" spans="1:39" s="500" customFormat="1" ht="13.5" hidden="1" thickBot="1">
      <c r="A458" s="554" t="s">
        <v>1036</v>
      </c>
      <c r="B458" s="555" t="s">
        <v>1365</v>
      </c>
      <c r="C458" s="561" t="s">
        <v>1451</v>
      </c>
      <c r="D458" s="519"/>
      <c r="E458" s="520"/>
      <c r="F458" s="520"/>
      <c r="G458" s="726"/>
      <c r="H458" s="520"/>
      <c r="I458" s="521"/>
      <c r="J458" s="521"/>
      <c r="K458" s="521"/>
      <c r="L458" s="514"/>
      <c r="M458" s="514"/>
      <c r="N458" s="756"/>
      <c r="O458" s="514"/>
      <c r="P458" s="514"/>
      <c r="Q458" s="514"/>
      <c r="R458" s="514"/>
      <c r="S458" s="514"/>
      <c r="T458" s="514"/>
      <c r="U458" s="756"/>
      <c r="V458" s="514"/>
      <c r="W458" s="514"/>
      <c r="X458" s="514"/>
      <c r="Y458" s="514"/>
      <c r="Z458" s="514"/>
      <c r="AA458" s="514"/>
      <c r="AB458" s="756"/>
      <c r="AC458" s="514"/>
      <c r="AD458" s="514"/>
      <c r="AE458" s="514"/>
      <c r="AF458" s="764"/>
      <c r="AG458" s="514"/>
      <c r="AH458" s="514"/>
      <c r="AI458" s="664">
        <f t="shared" si="28"/>
        <v>0</v>
      </c>
      <c r="AJ458" s="521">
        <v>0</v>
      </c>
      <c r="AK458" s="520">
        <f t="shared" si="26"/>
        <v>0</v>
      </c>
      <c r="AL458" s="695" t="s">
        <v>1455</v>
      </c>
      <c r="AM458" s="669">
        <f t="shared" si="27"/>
        <v>1</v>
      </c>
    </row>
    <row r="459" spans="1:39" s="500" customFormat="1" ht="13.5" hidden="1" thickBot="1">
      <c r="A459" s="554" t="s">
        <v>1037</v>
      </c>
      <c r="B459" s="555" t="s">
        <v>1366</v>
      </c>
      <c r="C459" s="561" t="s">
        <v>1450</v>
      </c>
      <c r="D459" s="519"/>
      <c r="E459" s="520"/>
      <c r="F459" s="520"/>
      <c r="G459" s="726"/>
      <c r="H459" s="520"/>
      <c r="I459" s="521"/>
      <c r="J459" s="521"/>
      <c r="K459" s="521"/>
      <c r="L459" s="514"/>
      <c r="M459" s="514"/>
      <c r="N459" s="756"/>
      <c r="O459" s="514"/>
      <c r="P459" s="514"/>
      <c r="Q459" s="514"/>
      <c r="R459" s="514"/>
      <c r="S459" s="514"/>
      <c r="T459" s="514"/>
      <c r="U459" s="756"/>
      <c r="V459" s="514"/>
      <c r="W459" s="514"/>
      <c r="X459" s="514"/>
      <c r="Y459" s="514"/>
      <c r="Z459" s="514"/>
      <c r="AA459" s="514"/>
      <c r="AB459" s="756"/>
      <c r="AC459" s="514"/>
      <c r="AD459" s="514"/>
      <c r="AE459" s="514"/>
      <c r="AF459" s="764"/>
      <c r="AG459" s="514"/>
      <c r="AH459" s="514"/>
      <c r="AI459" s="664">
        <f t="shared" si="28"/>
        <v>0</v>
      </c>
      <c r="AJ459" s="521">
        <v>0</v>
      </c>
      <c r="AK459" s="520">
        <f t="shared" si="26"/>
        <v>0</v>
      </c>
      <c r="AL459" s="695" t="s">
        <v>1698</v>
      </c>
      <c r="AM459" s="669">
        <f t="shared" si="27"/>
        <v>2</v>
      </c>
    </row>
    <row r="460" spans="1:39" s="500" customFormat="1" ht="13.5" hidden="1" thickBot="1">
      <c r="A460" s="554" t="s">
        <v>1038</v>
      </c>
      <c r="B460" s="555" t="s">
        <v>1367</v>
      </c>
      <c r="C460" s="561"/>
      <c r="D460" s="519"/>
      <c r="E460" s="520"/>
      <c r="F460" s="520"/>
      <c r="G460" s="726"/>
      <c r="H460" s="520"/>
      <c r="I460" s="521"/>
      <c r="J460" s="521"/>
      <c r="K460" s="521"/>
      <c r="L460" s="514"/>
      <c r="M460" s="514"/>
      <c r="N460" s="756"/>
      <c r="O460" s="514"/>
      <c r="P460" s="514"/>
      <c r="Q460" s="514"/>
      <c r="R460" s="514"/>
      <c r="S460" s="514"/>
      <c r="T460" s="514"/>
      <c r="U460" s="756"/>
      <c r="V460" s="514"/>
      <c r="W460" s="514"/>
      <c r="X460" s="514"/>
      <c r="Y460" s="514"/>
      <c r="Z460" s="514"/>
      <c r="AA460" s="514"/>
      <c r="AB460" s="756"/>
      <c r="AC460" s="514"/>
      <c r="AD460" s="514"/>
      <c r="AE460" s="514"/>
      <c r="AF460" s="764"/>
      <c r="AG460" s="514"/>
      <c r="AH460" s="514"/>
      <c r="AI460" s="664">
        <f t="shared" si="28"/>
        <v>0</v>
      </c>
      <c r="AJ460" s="521">
        <v>0</v>
      </c>
      <c r="AK460" s="520">
        <f t="shared" si="26"/>
        <v>0</v>
      </c>
      <c r="AL460" s="695"/>
      <c r="AM460" s="669">
        <f t="shared" si="27"/>
        <v>0</v>
      </c>
    </row>
    <row r="461" spans="1:39" s="500" customFormat="1" ht="13.5" hidden="1" thickBot="1">
      <c r="A461" s="554" t="s">
        <v>509</v>
      </c>
      <c r="B461" s="555" t="s">
        <v>1368</v>
      </c>
      <c r="C461" s="561" t="s">
        <v>64</v>
      </c>
      <c r="D461" s="519"/>
      <c r="E461" s="520"/>
      <c r="F461" s="520"/>
      <c r="G461" s="726"/>
      <c r="H461" s="520"/>
      <c r="I461" s="521"/>
      <c r="J461" s="521"/>
      <c r="K461" s="521"/>
      <c r="L461" s="514"/>
      <c r="M461" s="514"/>
      <c r="N461" s="756"/>
      <c r="O461" s="514"/>
      <c r="P461" s="514"/>
      <c r="Q461" s="514"/>
      <c r="R461" s="514"/>
      <c r="S461" s="514"/>
      <c r="T461" s="514"/>
      <c r="U461" s="756"/>
      <c r="V461" s="514"/>
      <c r="W461" s="514"/>
      <c r="X461" s="514"/>
      <c r="Y461" s="514"/>
      <c r="Z461" s="514"/>
      <c r="AA461" s="514"/>
      <c r="AB461" s="756"/>
      <c r="AC461" s="514"/>
      <c r="AD461" s="514"/>
      <c r="AE461" s="514"/>
      <c r="AF461" s="764"/>
      <c r="AG461" s="514"/>
      <c r="AH461" s="514"/>
      <c r="AI461" s="664">
        <f t="shared" si="28"/>
        <v>0</v>
      </c>
      <c r="AJ461" s="521">
        <v>0</v>
      </c>
      <c r="AK461" s="520">
        <f t="shared" si="26"/>
        <v>0</v>
      </c>
      <c r="AL461" s="695" t="s">
        <v>1455</v>
      </c>
      <c r="AM461" s="669">
        <f t="shared" si="27"/>
        <v>1</v>
      </c>
    </row>
    <row r="462" spans="1:39" s="500" customFormat="1" ht="13.5" hidden="1" thickBot="1">
      <c r="A462" s="554" t="s">
        <v>510</v>
      </c>
      <c r="B462" s="555" t="s">
        <v>1369</v>
      </c>
      <c r="C462" s="561" t="s">
        <v>38</v>
      </c>
      <c r="D462" s="519"/>
      <c r="E462" s="520"/>
      <c r="F462" s="520"/>
      <c r="G462" s="726"/>
      <c r="H462" s="520"/>
      <c r="I462" s="521"/>
      <c r="J462" s="521"/>
      <c r="K462" s="521"/>
      <c r="L462" s="514"/>
      <c r="M462" s="514"/>
      <c r="N462" s="756"/>
      <c r="O462" s="514"/>
      <c r="P462" s="514"/>
      <c r="Q462" s="514"/>
      <c r="R462" s="514"/>
      <c r="S462" s="514"/>
      <c r="T462" s="514"/>
      <c r="U462" s="756"/>
      <c r="V462" s="514"/>
      <c r="W462" s="514"/>
      <c r="X462" s="514"/>
      <c r="Y462" s="514"/>
      <c r="Z462" s="514"/>
      <c r="AA462" s="514"/>
      <c r="AB462" s="756"/>
      <c r="AC462" s="514"/>
      <c r="AD462" s="514"/>
      <c r="AE462" s="514"/>
      <c r="AF462" s="764"/>
      <c r="AG462" s="514"/>
      <c r="AH462" s="514"/>
      <c r="AI462" s="664">
        <f t="shared" si="28"/>
        <v>0</v>
      </c>
      <c r="AJ462" s="521">
        <v>0</v>
      </c>
      <c r="AK462" s="520">
        <f t="shared" si="26"/>
        <v>0</v>
      </c>
      <c r="AL462" s="695" t="s">
        <v>1751</v>
      </c>
      <c r="AM462" s="669">
        <f t="shared" si="27"/>
        <v>77.95</v>
      </c>
    </row>
    <row r="463" spans="1:39" s="500" customFormat="1" ht="13.5" hidden="1" thickBot="1">
      <c r="A463" s="554" t="s">
        <v>1039</v>
      </c>
      <c r="B463" s="555" t="s">
        <v>1370</v>
      </c>
      <c r="C463" s="561"/>
      <c r="D463" s="519"/>
      <c r="E463" s="520"/>
      <c r="F463" s="520"/>
      <c r="G463" s="726"/>
      <c r="H463" s="520"/>
      <c r="I463" s="521"/>
      <c r="J463" s="521"/>
      <c r="K463" s="521"/>
      <c r="L463" s="514"/>
      <c r="M463" s="514"/>
      <c r="N463" s="756"/>
      <c r="O463" s="514"/>
      <c r="P463" s="514"/>
      <c r="Q463" s="514"/>
      <c r="R463" s="514"/>
      <c r="S463" s="514"/>
      <c r="T463" s="514"/>
      <c r="U463" s="756"/>
      <c r="V463" s="514"/>
      <c r="W463" s="514"/>
      <c r="X463" s="514"/>
      <c r="Y463" s="514"/>
      <c r="Z463" s="514"/>
      <c r="AA463" s="514"/>
      <c r="AB463" s="756"/>
      <c r="AC463" s="514"/>
      <c r="AD463" s="514"/>
      <c r="AE463" s="514"/>
      <c r="AF463" s="764"/>
      <c r="AG463" s="514"/>
      <c r="AH463" s="514"/>
      <c r="AI463" s="664">
        <f t="shared" si="28"/>
        <v>0</v>
      </c>
      <c r="AJ463" s="521">
        <v>0</v>
      </c>
      <c r="AK463" s="520">
        <f t="shared" si="26"/>
        <v>0</v>
      </c>
      <c r="AL463" s="695"/>
      <c r="AM463" s="669">
        <f t="shared" si="27"/>
        <v>0</v>
      </c>
    </row>
    <row r="464" spans="1:39" s="500" customFormat="1" ht="13.5" hidden="1" thickBot="1">
      <c r="A464" s="554" t="s">
        <v>1040</v>
      </c>
      <c r="B464" s="555" t="s">
        <v>1371</v>
      </c>
      <c r="C464" s="561" t="s">
        <v>38</v>
      </c>
      <c r="D464" s="519"/>
      <c r="E464" s="520"/>
      <c r="F464" s="520"/>
      <c r="G464" s="726"/>
      <c r="H464" s="520"/>
      <c r="I464" s="521"/>
      <c r="J464" s="521"/>
      <c r="K464" s="521"/>
      <c r="L464" s="514"/>
      <c r="M464" s="514"/>
      <c r="N464" s="756"/>
      <c r="O464" s="514"/>
      <c r="P464" s="514"/>
      <c r="Q464" s="514"/>
      <c r="R464" s="514"/>
      <c r="S464" s="514"/>
      <c r="T464" s="514"/>
      <c r="U464" s="756"/>
      <c r="V464" s="514"/>
      <c r="W464" s="514"/>
      <c r="X464" s="514"/>
      <c r="Y464" s="514"/>
      <c r="Z464" s="514"/>
      <c r="AA464" s="514"/>
      <c r="AB464" s="756"/>
      <c r="AC464" s="514"/>
      <c r="AD464" s="514"/>
      <c r="AE464" s="514"/>
      <c r="AF464" s="764"/>
      <c r="AG464" s="514"/>
      <c r="AH464" s="514"/>
      <c r="AI464" s="664">
        <f t="shared" si="28"/>
        <v>0</v>
      </c>
      <c r="AJ464" s="521">
        <v>0</v>
      </c>
      <c r="AK464" s="520">
        <f t="shared" si="26"/>
        <v>0</v>
      </c>
      <c r="AL464" s="695" t="s">
        <v>1752</v>
      </c>
      <c r="AM464" s="669">
        <f t="shared" si="27"/>
        <v>110.78</v>
      </c>
    </row>
    <row r="465" spans="1:39" s="500" customFormat="1" ht="13.5" hidden="1" thickBot="1">
      <c r="A465" s="554" t="s">
        <v>1041</v>
      </c>
      <c r="B465" s="555" t="s">
        <v>1372</v>
      </c>
      <c r="C465" s="561" t="s">
        <v>1450</v>
      </c>
      <c r="D465" s="519"/>
      <c r="E465" s="520"/>
      <c r="F465" s="520"/>
      <c r="G465" s="726"/>
      <c r="H465" s="520"/>
      <c r="I465" s="521"/>
      <c r="J465" s="521"/>
      <c r="K465" s="521"/>
      <c r="L465" s="514"/>
      <c r="M465" s="514"/>
      <c r="N465" s="756"/>
      <c r="O465" s="514"/>
      <c r="P465" s="514"/>
      <c r="Q465" s="514"/>
      <c r="R465" s="514"/>
      <c r="S465" s="514"/>
      <c r="T465" s="514"/>
      <c r="U465" s="756"/>
      <c r="V465" s="514"/>
      <c r="W465" s="514"/>
      <c r="X465" s="514"/>
      <c r="Y465" s="514"/>
      <c r="Z465" s="514"/>
      <c r="AA465" s="514"/>
      <c r="AB465" s="756"/>
      <c r="AC465" s="514"/>
      <c r="AD465" s="514"/>
      <c r="AE465" s="514"/>
      <c r="AF465" s="764"/>
      <c r="AG465" s="514"/>
      <c r="AH465" s="514"/>
      <c r="AI465" s="664">
        <f t="shared" si="28"/>
        <v>0</v>
      </c>
      <c r="AJ465" s="521">
        <v>0</v>
      </c>
      <c r="AK465" s="520">
        <f t="shared" si="26"/>
        <v>0</v>
      </c>
      <c r="AL465" s="695" t="s">
        <v>1753</v>
      </c>
      <c r="AM465" s="669">
        <f t="shared" si="27"/>
        <v>34</v>
      </c>
    </row>
    <row r="466" spans="1:39" s="500" customFormat="1" ht="13.5" hidden="1" thickBot="1">
      <c r="A466" s="554" t="s">
        <v>1042</v>
      </c>
      <c r="B466" s="555" t="s">
        <v>1373</v>
      </c>
      <c r="C466" s="561" t="s">
        <v>37</v>
      </c>
      <c r="D466" s="519"/>
      <c r="E466" s="520"/>
      <c r="F466" s="520"/>
      <c r="G466" s="726"/>
      <c r="H466" s="520"/>
      <c r="I466" s="521"/>
      <c r="J466" s="521"/>
      <c r="K466" s="521"/>
      <c r="L466" s="514"/>
      <c r="M466" s="514"/>
      <c r="N466" s="756"/>
      <c r="O466" s="514"/>
      <c r="P466" s="514"/>
      <c r="Q466" s="514"/>
      <c r="R466" s="514"/>
      <c r="S466" s="514"/>
      <c r="T466" s="514"/>
      <c r="U466" s="756"/>
      <c r="V466" s="514"/>
      <c r="W466" s="514"/>
      <c r="X466" s="514"/>
      <c r="Y466" s="514"/>
      <c r="Z466" s="514"/>
      <c r="AA466" s="514"/>
      <c r="AB466" s="756"/>
      <c r="AC466" s="514"/>
      <c r="AD466" s="514"/>
      <c r="AE466" s="514"/>
      <c r="AF466" s="764"/>
      <c r="AG466" s="514"/>
      <c r="AH466" s="514"/>
      <c r="AI466" s="664">
        <f t="shared" si="28"/>
        <v>0</v>
      </c>
      <c r="AJ466" s="521">
        <v>0</v>
      </c>
      <c r="AK466" s="520">
        <f t="shared" si="26"/>
        <v>0</v>
      </c>
      <c r="AL466" s="695" t="s">
        <v>1754</v>
      </c>
      <c r="AM466" s="669">
        <f t="shared" si="27"/>
        <v>35.200000000000003</v>
      </c>
    </row>
    <row r="467" spans="1:39" s="500" customFormat="1" ht="13.5" hidden="1" thickBot="1">
      <c r="A467" s="554" t="s">
        <v>1043</v>
      </c>
      <c r="B467" s="555" t="s">
        <v>1374</v>
      </c>
      <c r="C467" s="561" t="s">
        <v>40</v>
      </c>
      <c r="D467" s="519"/>
      <c r="E467" s="520"/>
      <c r="F467" s="520"/>
      <c r="G467" s="726"/>
      <c r="H467" s="520"/>
      <c r="I467" s="521"/>
      <c r="J467" s="521"/>
      <c r="K467" s="521"/>
      <c r="L467" s="514"/>
      <c r="M467" s="514"/>
      <c r="N467" s="756"/>
      <c r="O467" s="514"/>
      <c r="P467" s="514"/>
      <c r="Q467" s="514"/>
      <c r="R467" s="514"/>
      <c r="S467" s="514"/>
      <c r="T467" s="514"/>
      <c r="U467" s="756"/>
      <c r="V467" s="514"/>
      <c r="W467" s="514"/>
      <c r="X467" s="514"/>
      <c r="Y467" s="514"/>
      <c r="Z467" s="514"/>
      <c r="AA467" s="514"/>
      <c r="AB467" s="756"/>
      <c r="AC467" s="514"/>
      <c r="AD467" s="514"/>
      <c r="AE467" s="514"/>
      <c r="AF467" s="764"/>
      <c r="AG467" s="514"/>
      <c r="AH467" s="514"/>
      <c r="AI467" s="664">
        <f t="shared" si="28"/>
        <v>0</v>
      </c>
      <c r="AJ467" s="521">
        <v>0</v>
      </c>
      <c r="AK467" s="520">
        <f t="shared" si="26"/>
        <v>0</v>
      </c>
      <c r="AL467" s="695" t="s">
        <v>1755</v>
      </c>
      <c r="AM467" s="669">
        <f t="shared" si="27"/>
        <v>1.32</v>
      </c>
    </row>
    <row r="468" spans="1:39" s="500" customFormat="1" ht="13.5" hidden="1" thickBot="1">
      <c r="A468" s="554" t="s">
        <v>1044</v>
      </c>
      <c r="B468" s="555" t="s">
        <v>1375</v>
      </c>
      <c r="C468" s="561" t="s">
        <v>48</v>
      </c>
      <c r="D468" s="519"/>
      <c r="E468" s="520"/>
      <c r="F468" s="520"/>
      <c r="G468" s="726"/>
      <c r="H468" s="520"/>
      <c r="I468" s="521"/>
      <c r="J468" s="521"/>
      <c r="K468" s="521"/>
      <c r="L468" s="514"/>
      <c r="M468" s="514"/>
      <c r="N468" s="756"/>
      <c r="O468" s="514"/>
      <c r="P468" s="514"/>
      <c r="Q468" s="514"/>
      <c r="R468" s="514"/>
      <c r="S468" s="514"/>
      <c r="T468" s="514"/>
      <c r="U468" s="756"/>
      <c r="V468" s="514"/>
      <c r="W468" s="514"/>
      <c r="X468" s="514"/>
      <c r="Y468" s="514"/>
      <c r="Z468" s="514"/>
      <c r="AA468" s="514"/>
      <c r="AB468" s="756"/>
      <c r="AC468" s="514"/>
      <c r="AD468" s="514"/>
      <c r="AE468" s="514"/>
      <c r="AF468" s="764"/>
      <c r="AG468" s="514"/>
      <c r="AH468" s="514"/>
      <c r="AI468" s="664">
        <f t="shared" si="28"/>
        <v>0</v>
      </c>
      <c r="AJ468" s="521">
        <v>0</v>
      </c>
      <c r="AK468" s="520">
        <f t="shared" si="26"/>
        <v>0</v>
      </c>
      <c r="AL468" s="695" t="s">
        <v>1756</v>
      </c>
      <c r="AM468" s="669">
        <f t="shared" si="27"/>
        <v>114.4</v>
      </c>
    </row>
    <row r="469" spans="1:39" s="500" customFormat="1" ht="13.5" hidden="1" thickBot="1">
      <c r="A469" s="554" t="s">
        <v>1045</v>
      </c>
      <c r="B469" s="555" t="s">
        <v>1376</v>
      </c>
      <c r="C469" s="561" t="s">
        <v>38</v>
      </c>
      <c r="D469" s="519"/>
      <c r="E469" s="520"/>
      <c r="F469" s="520"/>
      <c r="G469" s="726"/>
      <c r="H469" s="520"/>
      <c r="I469" s="521"/>
      <c r="J469" s="521"/>
      <c r="K469" s="521"/>
      <c r="L469" s="514"/>
      <c r="M469" s="514"/>
      <c r="N469" s="756"/>
      <c r="O469" s="514"/>
      <c r="P469" s="514"/>
      <c r="Q469" s="514"/>
      <c r="R469" s="514"/>
      <c r="S469" s="514"/>
      <c r="T469" s="514"/>
      <c r="U469" s="756"/>
      <c r="V469" s="514"/>
      <c r="W469" s="514"/>
      <c r="X469" s="514"/>
      <c r="Y469" s="514"/>
      <c r="Z469" s="514"/>
      <c r="AA469" s="514"/>
      <c r="AB469" s="756"/>
      <c r="AC469" s="514"/>
      <c r="AD469" s="514"/>
      <c r="AE469" s="514"/>
      <c r="AF469" s="764"/>
      <c r="AG469" s="514"/>
      <c r="AH469" s="514"/>
      <c r="AI469" s="664">
        <f t="shared" si="28"/>
        <v>0</v>
      </c>
      <c r="AJ469" s="521">
        <v>0</v>
      </c>
      <c r="AK469" s="520">
        <f t="shared" si="26"/>
        <v>0</v>
      </c>
      <c r="AL469" s="695" t="s">
        <v>1757</v>
      </c>
      <c r="AM469" s="669">
        <f t="shared" si="27"/>
        <v>89.98</v>
      </c>
    </row>
    <row r="470" spans="1:39" s="500" customFormat="1" ht="13.5" hidden="1" thickBot="1">
      <c r="A470" s="554" t="s">
        <v>1046</v>
      </c>
      <c r="B470" s="555" t="s">
        <v>1377</v>
      </c>
      <c r="C470" s="561" t="s">
        <v>38</v>
      </c>
      <c r="D470" s="519"/>
      <c r="E470" s="520"/>
      <c r="F470" s="520"/>
      <c r="G470" s="726"/>
      <c r="H470" s="520"/>
      <c r="I470" s="521"/>
      <c r="J470" s="521"/>
      <c r="K470" s="521"/>
      <c r="L470" s="514"/>
      <c r="M470" s="514"/>
      <c r="N470" s="756"/>
      <c r="O470" s="514"/>
      <c r="P470" s="514"/>
      <c r="Q470" s="514"/>
      <c r="R470" s="514"/>
      <c r="S470" s="514"/>
      <c r="T470" s="514"/>
      <c r="U470" s="756"/>
      <c r="V470" s="514"/>
      <c r="W470" s="514"/>
      <c r="X470" s="514"/>
      <c r="Y470" s="514"/>
      <c r="Z470" s="514"/>
      <c r="AA470" s="514"/>
      <c r="AB470" s="756"/>
      <c r="AC470" s="514"/>
      <c r="AD470" s="514"/>
      <c r="AE470" s="514"/>
      <c r="AF470" s="764"/>
      <c r="AG470" s="514"/>
      <c r="AH470" s="514"/>
      <c r="AI470" s="664">
        <f t="shared" si="28"/>
        <v>0</v>
      </c>
      <c r="AJ470" s="521">
        <v>0</v>
      </c>
      <c r="AK470" s="520">
        <f t="shared" ref="AK470:AK533" si="29">AI470+AJ470</f>
        <v>0</v>
      </c>
      <c r="AL470" s="695" t="s">
        <v>1758</v>
      </c>
      <c r="AM470" s="669">
        <f t="shared" ref="AM470:AM533" si="30">AL470-AK470</f>
        <v>33.78</v>
      </c>
    </row>
    <row r="471" spans="1:39" s="500" customFormat="1" ht="13.5" hidden="1" thickBot="1">
      <c r="A471" s="554" t="s">
        <v>1047</v>
      </c>
      <c r="B471" s="555" t="s">
        <v>1353</v>
      </c>
      <c r="C471" s="561" t="s">
        <v>40</v>
      </c>
      <c r="D471" s="519"/>
      <c r="E471" s="520"/>
      <c r="F471" s="520"/>
      <c r="G471" s="726"/>
      <c r="H471" s="520"/>
      <c r="I471" s="521"/>
      <c r="J471" s="521"/>
      <c r="K471" s="521"/>
      <c r="L471" s="514"/>
      <c r="M471" s="514"/>
      <c r="N471" s="756"/>
      <c r="O471" s="514"/>
      <c r="P471" s="514"/>
      <c r="Q471" s="514"/>
      <c r="R471" s="514"/>
      <c r="S471" s="514"/>
      <c r="T471" s="514"/>
      <c r="U471" s="756"/>
      <c r="V471" s="514"/>
      <c r="W471" s="514"/>
      <c r="X471" s="514"/>
      <c r="Y471" s="514"/>
      <c r="Z471" s="514"/>
      <c r="AA471" s="514"/>
      <c r="AB471" s="756"/>
      <c r="AC471" s="514"/>
      <c r="AD471" s="514"/>
      <c r="AE471" s="514"/>
      <c r="AF471" s="764"/>
      <c r="AG471" s="514"/>
      <c r="AH471" s="514"/>
      <c r="AI471" s="664">
        <f t="shared" si="28"/>
        <v>0</v>
      </c>
      <c r="AJ471" s="521">
        <v>0</v>
      </c>
      <c r="AK471" s="520">
        <f t="shared" si="29"/>
        <v>0</v>
      </c>
      <c r="AL471" s="695" t="s">
        <v>1759</v>
      </c>
      <c r="AM471" s="669">
        <f t="shared" si="30"/>
        <v>18</v>
      </c>
    </row>
    <row r="472" spans="1:39" s="500" customFormat="1" ht="13.5" hidden="1" thickBot="1">
      <c r="A472" s="554" t="s">
        <v>1048</v>
      </c>
      <c r="B472" s="555" t="s">
        <v>1378</v>
      </c>
      <c r="C472" s="561" t="s">
        <v>38</v>
      </c>
      <c r="D472" s="519"/>
      <c r="E472" s="520"/>
      <c r="F472" s="520"/>
      <c r="G472" s="726"/>
      <c r="H472" s="520"/>
      <c r="I472" s="521"/>
      <c r="J472" s="521"/>
      <c r="K472" s="521"/>
      <c r="L472" s="514"/>
      <c r="M472" s="514"/>
      <c r="N472" s="756"/>
      <c r="O472" s="514"/>
      <c r="P472" s="514"/>
      <c r="Q472" s="514"/>
      <c r="R472" s="514"/>
      <c r="S472" s="514"/>
      <c r="T472" s="514"/>
      <c r="U472" s="756"/>
      <c r="V472" s="514"/>
      <c r="W472" s="514"/>
      <c r="X472" s="514"/>
      <c r="Y472" s="514"/>
      <c r="Z472" s="514"/>
      <c r="AA472" s="514"/>
      <c r="AB472" s="756"/>
      <c r="AC472" s="514"/>
      <c r="AD472" s="514"/>
      <c r="AE472" s="514"/>
      <c r="AF472" s="764"/>
      <c r="AG472" s="514"/>
      <c r="AH472" s="514"/>
      <c r="AI472" s="664">
        <f t="shared" si="28"/>
        <v>0</v>
      </c>
      <c r="AJ472" s="521">
        <v>0</v>
      </c>
      <c r="AK472" s="520">
        <f t="shared" si="29"/>
        <v>0</v>
      </c>
      <c r="AL472" s="695" t="s">
        <v>1760</v>
      </c>
      <c r="AM472" s="669">
        <f t="shared" si="30"/>
        <v>56.2</v>
      </c>
    </row>
    <row r="473" spans="1:39" s="500" customFormat="1" ht="13.5" hidden="1" thickBot="1">
      <c r="A473" s="554" t="s">
        <v>1049</v>
      </c>
      <c r="B473" s="555" t="s">
        <v>1379</v>
      </c>
      <c r="C473" s="561" t="s">
        <v>38</v>
      </c>
      <c r="D473" s="519"/>
      <c r="E473" s="520"/>
      <c r="F473" s="520"/>
      <c r="G473" s="726"/>
      <c r="H473" s="520"/>
      <c r="I473" s="521"/>
      <c r="J473" s="521"/>
      <c r="K473" s="521"/>
      <c r="L473" s="514"/>
      <c r="M473" s="514"/>
      <c r="N473" s="756"/>
      <c r="O473" s="514"/>
      <c r="P473" s="514"/>
      <c r="Q473" s="514"/>
      <c r="R473" s="514"/>
      <c r="S473" s="514"/>
      <c r="T473" s="514"/>
      <c r="U473" s="756"/>
      <c r="V473" s="514"/>
      <c r="W473" s="514"/>
      <c r="X473" s="514"/>
      <c r="Y473" s="514"/>
      <c r="Z473" s="514"/>
      <c r="AA473" s="514"/>
      <c r="AB473" s="756"/>
      <c r="AC473" s="514"/>
      <c r="AD473" s="514"/>
      <c r="AE473" s="514"/>
      <c r="AF473" s="764"/>
      <c r="AG473" s="514"/>
      <c r="AH473" s="514"/>
      <c r="AI473" s="664">
        <f t="shared" si="28"/>
        <v>0</v>
      </c>
      <c r="AJ473" s="521">
        <v>0</v>
      </c>
      <c r="AK473" s="520">
        <f t="shared" si="29"/>
        <v>0</v>
      </c>
      <c r="AL473" s="695" t="s">
        <v>1760</v>
      </c>
      <c r="AM473" s="669">
        <f t="shared" si="30"/>
        <v>56.2</v>
      </c>
    </row>
    <row r="474" spans="1:39" s="500" customFormat="1" ht="13.5" hidden="1" thickBot="1">
      <c r="A474" s="554" t="s">
        <v>1050</v>
      </c>
      <c r="B474" s="555" t="s">
        <v>1380</v>
      </c>
      <c r="C474" s="561" t="s">
        <v>37</v>
      </c>
      <c r="D474" s="519"/>
      <c r="E474" s="520"/>
      <c r="F474" s="520"/>
      <c r="G474" s="726"/>
      <c r="H474" s="520"/>
      <c r="I474" s="521"/>
      <c r="J474" s="521"/>
      <c r="K474" s="521"/>
      <c r="L474" s="514"/>
      <c r="M474" s="514"/>
      <c r="N474" s="756"/>
      <c r="O474" s="514"/>
      <c r="P474" s="514"/>
      <c r="Q474" s="514"/>
      <c r="R474" s="514"/>
      <c r="S474" s="514"/>
      <c r="T474" s="514"/>
      <c r="U474" s="756"/>
      <c r="V474" s="514"/>
      <c r="W474" s="514"/>
      <c r="X474" s="514"/>
      <c r="Y474" s="514"/>
      <c r="Z474" s="514"/>
      <c r="AA474" s="514"/>
      <c r="AB474" s="756"/>
      <c r="AC474" s="514"/>
      <c r="AD474" s="514"/>
      <c r="AE474" s="514"/>
      <c r="AF474" s="764"/>
      <c r="AG474" s="514"/>
      <c r="AH474" s="514"/>
      <c r="AI474" s="664">
        <f t="shared" si="28"/>
        <v>0</v>
      </c>
      <c r="AJ474" s="521">
        <v>0</v>
      </c>
      <c r="AK474" s="520">
        <f t="shared" si="29"/>
        <v>0</v>
      </c>
      <c r="AL474" s="695" t="s">
        <v>1761</v>
      </c>
      <c r="AM474" s="669">
        <f t="shared" si="30"/>
        <v>59.01</v>
      </c>
    </row>
    <row r="475" spans="1:39" s="500" customFormat="1" ht="13.5" hidden="1" thickBot="1">
      <c r="A475" s="554" t="s">
        <v>1051</v>
      </c>
      <c r="B475" s="555" t="s">
        <v>1381</v>
      </c>
      <c r="C475" s="561" t="s">
        <v>38</v>
      </c>
      <c r="D475" s="519"/>
      <c r="E475" s="520"/>
      <c r="F475" s="520"/>
      <c r="G475" s="726"/>
      <c r="H475" s="520"/>
      <c r="I475" s="521"/>
      <c r="J475" s="521"/>
      <c r="K475" s="521"/>
      <c r="L475" s="514"/>
      <c r="M475" s="514"/>
      <c r="N475" s="756"/>
      <c r="O475" s="514"/>
      <c r="P475" s="514"/>
      <c r="Q475" s="514"/>
      <c r="R475" s="514"/>
      <c r="S475" s="514"/>
      <c r="T475" s="514"/>
      <c r="U475" s="756"/>
      <c r="V475" s="514"/>
      <c r="W475" s="514"/>
      <c r="X475" s="514"/>
      <c r="Y475" s="514"/>
      <c r="Z475" s="514"/>
      <c r="AA475" s="514"/>
      <c r="AB475" s="756"/>
      <c r="AC475" s="514"/>
      <c r="AD475" s="514"/>
      <c r="AE475" s="514"/>
      <c r="AF475" s="764"/>
      <c r="AG475" s="514"/>
      <c r="AH475" s="514"/>
      <c r="AI475" s="664">
        <f t="shared" si="28"/>
        <v>0</v>
      </c>
      <c r="AJ475" s="521">
        <v>0</v>
      </c>
      <c r="AK475" s="520">
        <f t="shared" si="29"/>
        <v>0</v>
      </c>
      <c r="AL475" s="695" t="s">
        <v>1762</v>
      </c>
      <c r="AM475" s="669">
        <f t="shared" si="30"/>
        <v>36.119999999999997</v>
      </c>
    </row>
    <row r="476" spans="1:39" s="500" customFormat="1" ht="13.5" hidden="1" thickBot="1">
      <c r="A476" s="554" t="s">
        <v>1052</v>
      </c>
      <c r="B476" s="555" t="s">
        <v>1382</v>
      </c>
      <c r="C476" s="561" t="s">
        <v>38</v>
      </c>
      <c r="D476" s="519"/>
      <c r="E476" s="520"/>
      <c r="F476" s="520"/>
      <c r="G476" s="726"/>
      <c r="H476" s="520"/>
      <c r="I476" s="521"/>
      <c r="J476" s="521"/>
      <c r="K476" s="521"/>
      <c r="L476" s="514"/>
      <c r="M476" s="514"/>
      <c r="N476" s="756"/>
      <c r="O476" s="514"/>
      <c r="P476" s="514"/>
      <c r="Q476" s="514"/>
      <c r="R476" s="514"/>
      <c r="S476" s="514"/>
      <c r="T476" s="514"/>
      <c r="U476" s="756"/>
      <c r="V476" s="514"/>
      <c r="W476" s="514"/>
      <c r="X476" s="514"/>
      <c r="Y476" s="514"/>
      <c r="Z476" s="514"/>
      <c r="AA476" s="514"/>
      <c r="AB476" s="756"/>
      <c r="AC476" s="514"/>
      <c r="AD476" s="514"/>
      <c r="AE476" s="514"/>
      <c r="AF476" s="764"/>
      <c r="AG476" s="514"/>
      <c r="AH476" s="514"/>
      <c r="AI476" s="664">
        <f t="shared" si="28"/>
        <v>0</v>
      </c>
      <c r="AJ476" s="521">
        <v>0</v>
      </c>
      <c r="AK476" s="520">
        <f t="shared" si="29"/>
        <v>0</v>
      </c>
      <c r="AL476" s="695" t="s">
        <v>1670</v>
      </c>
      <c r="AM476" s="669">
        <f t="shared" si="30"/>
        <v>20</v>
      </c>
    </row>
    <row r="477" spans="1:39" s="500" customFormat="1" ht="13.5" hidden="1" thickBot="1">
      <c r="A477" s="554" t="s">
        <v>511</v>
      </c>
      <c r="B477" s="555" t="s">
        <v>1383</v>
      </c>
      <c r="C477" s="561"/>
      <c r="D477" s="519"/>
      <c r="E477" s="520"/>
      <c r="F477" s="520"/>
      <c r="G477" s="726"/>
      <c r="H477" s="520"/>
      <c r="I477" s="521"/>
      <c r="J477" s="521"/>
      <c r="K477" s="521"/>
      <c r="L477" s="514"/>
      <c r="M477" s="514"/>
      <c r="N477" s="756"/>
      <c r="O477" s="514"/>
      <c r="P477" s="514"/>
      <c r="Q477" s="514"/>
      <c r="R477" s="514"/>
      <c r="S477" s="514"/>
      <c r="T477" s="514"/>
      <c r="U477" s="756"/>
      <c r="V477" s="514"/>
      <c r="W477" s="514"/>
      <c r="X477" s="514"/>
      <c r="Y477" s="514"/>
      <c r="Z477" s="514"/>
      <c r="AA477" s="514"/>
      <c r="AB477" s="756"/>
      <c r="AC477" s="514"/>
      <c r="AD477" s="514"/>
      <c r="AE477" s="514"/>
      <c r="AF477" s="764"/>
      <c r="AG477" s="514"/>
      <c r="AH477" s="514"/>
      <c r="AI477" s="664">
        <f t="shared" si="28"/>
        <v>0</v>
      </c>
      <c r="AJ477" s="521">
        <v>0</v>
      </c>
      <c r="AK477" s="520">
        <f t="shared" si="29"/>
        <v>0</v>
      </c>
      <c r="AL477" s="695"/>
      <c r="AM477" s="669">
        <f t="shared" si="30"/>
        <v>0</v>
      </c>
    </row>
    <row r="478" spans="1:39" s="500" customFormat="1" ht="13.5" hidden="1" thickBot="1">
      <c r="A478" s="554" t="s">
        <v>512</v>
      </c>
      <c r="B478" s="555" t="s">
        <v>1384</v>
      </c>
      <c r="C478" s="561"/>
      <c r="D478" s="519"/>
      <c r="E478" s="520"/>
      <c r="F478" s="520"/>
      <c r="G478" s="726"/>
      <c r="H478" s="520"/>
      <c r="I478" s="521"/>
      <c r="J478" s="521"/>
      <c r="K478" s="521"/>
      <c r="L478" s="514"/>
      <c r="M478" s="514"/>
      <c r="N478" s="756"/>
      <c r="O478" s="514"/>
      <c r="P478" s="514"/>
      <c r="Q478" s="514"/>
      <c r="R478" s="514"/>
      <c r="S478" s="514"/>
      <c r="T478" s="514"/>
      <c r="U478" s="756"/>
      <c r="V478" s="514"/>
      <c r="W478" s="514"/>
      <c r="X478" s="514"/>
      <c r="Y478" s="514"/>
      <c r="Z478" s="514"/>
      <c r="AA478" s="514"/>
      <c r="AB478" s="756"/>
      <c r="AC478" s="514"/>
      <c r="AD478" s="514"/>
      <c r="AE478" s="514"/>
      <c r="AF478" s="764"/>
      <c r="AG478" s="514"/>
      <c r="AH478" s="514"/>
      <c r="AI478" s="664">
        <f t="shared" si="28"/>
        <v>0</v>
      </c>
      <c r="AJ478" s="521">
        <v>0</v>
      </c>
      <c r="AK478" s="520">
        <f t="shared" si="29"/>
        <v>0</v>
      </c>
      <c r="AL478" s="695"/>
      <c r="AM478" s="669">
        <f t="shared" si="30"/>
        <v>0</v>
      </c>
    </row>
    <row r="479" spans="1:39" s="500" customFormat="1" ht="13.5" hidden="1" thickBot="1">
      <c r="A479" s="554" t="s">
        <v>1053</v>
      </c>
      <c r="B479" s="555" t="s">
        <v>1385</v>
      </c>
      <c r="C479" s="561"/>
      <c r="D479" s="519"/>
      <c r="E479" s="520"/>
      <c r="F479" s="520"/>
      <c r="G479" s="726"/>
      <c r="H479" s="520"/>
      <c r="I479" s="521"/>
      <c r="J479" s="521"/>
      <c r="K479" s="521"/>
      <c r="L479" s="514"/>
      <c r="M479" s="514"/>
      <c r="N479" s="756"/>
      <c r="O479" s="514"/>
      <c r="P479" s="514"/>
      <c r="Q479" s="514"/>
      <c r="R479" s="514"/>
      <c r="S479" s="514"/>
      <c r="T479" s="514"/>
      <c r="U479" s="756"/>
      <c r="V479" s="514"/>
      <c r="W479" s="514"/>
      <c r="X479" s="514"/>
      <c r="Y479" s="514"/>
      <c r="Z479" s="514"/>
      <c r="AA479" s="514"/>
      <c r="AB479" s="756"/>
      <c r="AC479" s="514"/>
      <c r="AD479" s="514"/>
      <c r="AE479" s="514"/>
      <c r="AF479" s="764"/>
      <c r="AG479" s="514"/>
      <c r="AH479" s="514"/>
      <c r="AI479" s="664">
        <f t="shared" si="28"/>
        <v>0</v>
      </c>
      <c r="AJ479" s="521">
        <v>0</v>
      </c>
      <c r="AK479" s="520">
        <f t="shared" si="29"/>
        <v>0</v>
      </c>
      <c r="AL479" s="695"/>
      <c r="AM479" s="669">
        <f t="shared" si="30"/>
        <v>0</v>
      </c>
    </row>
    <row r="480" spans="1:39" s="500" customFormat="1" ht="13.5" hidden="1" thickBot="1">
      <c r="A480" s="554" t="s">
        <v>1054</v>
      </c>
      <c r="B480" s="555" t="s">
        <v>1386</v>
      </c>
      <c r="C480" s="561" t="s">
        <v>1453</v>
      </c>
      <c r="D480" s="519"/>
      <c r="E480" s="520"/>
      <c r="F480" s="520"/>
      <c r="G480" s="726"/>
      <c r="H480" s="520"/>
      <c r="I480" s="521"/>
      <c r="J480" s="521"/>
      <c r="K480" s="521"/>
      <c r="L480" s="514"/>
      <c r="M480" s="514"/>
      <c r="N480" s="756"/>
      <c r="O480" s="514"/>
      <c r="P480" s="514"/>
      <c r="Q480" s="514"/>
      <c r="R480" s="514"/>
      <c r="S480" s="514"/>
      <c r="T480" s="514"/>
      <c r="U480" s="756"/>
      <c r="V480" s="514"/>
      <c r="W480" s="514"/>
      <c r="X480" s="514"/>
      <c r="Y480" s="514"/>
      <c r="Z480" s="514"/>
      <c r="AA480" s="514"/>
      <c r="AB480" s="756"/>
      <c r="AC480" s="514"/>
      <c r="AD480" s="514"/>
      <c r="AE480" s="514"/>
      <c r="AF480" s="764"/>
      <c r="AG480" s="514"/>
      <c r="AH480" s="514"/>
      <c r="AI480" s="664">
        <f t="shared" si="28"/>
        <v>0</v>
      </c>
      <c r="AJ480" s="521">
        <v>0</v>
      </c>
      <c r="AK480" s="520">
        <f t="shared" si="29"/>
        <v>0</v>
      </c>
      <c r="AL480" s="695" t="s">
        <v>1455</v>
      </c>
      <c r="AM480" s="669">
        <f t="shared" si="30"/>
        <v>1</v>
      </c>
    </row>
    <row r="481" spans="1:39" s="500" customFormat="1" ht="13.5" hidden="1" thickBot="1">
      <c r="A481" s="554" t="s">
        <v>1055</v>
      </c>
      <c r="B481" s="555" t="s">
        <v>1387</v>
      </c>
      <c r="C481" s="561" t="s">
        <v>1453</v>
      </c>
      <c r="D481" s="519"/>
      <c r="E481" s="520"/>
      <c r="F481" s="520"/>
      <c r="G481" s="726"/>
      <c r="H481" s="520"/>
      <c r="I481" s="521"/>
      <c r="J481" s="521"/>
      <c r="K481" s="521"/>
      <c r="L481" s="514"/>
      <c r="M481" s="514"/>
      <c r="N481" s="756"/>
      <c r="O481" s="514"/>
      <c r="P481" s="514"/>
      <c r="Q481" s="514"/>
      <c r="R481" s="514"/>
      <c r="S481" s="514"/>
      <c r="T481" s="514"/>
      <c r="U481" s="756"/>
      <c r="V481" s="514"/>
      <c r="W481" s="514"/>
      <c r="X481" s="514"/>
      <c r="Y481" s="514"/>
      <c r="Z481" s="514"/>
      <c r="AA481" s="514"/>
      <c r="AB481" s="756"/>
      <c r="AC481" s="514"/>
      <c r="AD481" s="514"/>
      <c r="AE481" s="514"/>
      <c r="AF481" s="764"/>
      <c r="AG481" s="514"/>
      <c r="AH481" s="514"/>
      <c r="AI481" s="664">
        <f t="shared" si="28"/>
        <v>0</v>
      </c>
      <c r="AJ481" s="521">
        <v>0</v>
      </c>
      <c r="AK481" s="520">
        <f t="shared" si="29"/>
        <v>0</v>
      </c>
      <c r="AL481" s="695" t="s">
        <v>1455</v>
      </c>
      <c r="AM481" s="669">
        <f t="shared" si="30"/>
        <v>1</v>
      </c>
    </row>
    <row r="482" spans="1:39" s="500" customFormat="1" ht="13.5" hidden="1" thickBot="1">
      <c r="A482" s="554" t="s">
        <v>1056</v>
      </c>
      <c r="B482" s="555" t="s">
        <v>1388</v>
      </c>
      <c r="C482" s="561" t="s">
        <v>1453</v>
      </c>
      <c r="D482" s="519"/>
      <c r="E482" s="520"/>
      <c r="F482" s="520"/>
      <c r="G482" s="726"/>
      <c r="H482" s="520"/>
      <c r="I482" s="521"/>
      <c r="J482" s="521"/>
      <c r="K482" s="521"/>
      <c r="L482" s="514"/>
      <c r="M482" s="514"/>
      <c r="N482" s="756"/>
      <c r="O482" s="514"/>
      <c r="P482" s="514"/>
      <c r="Q482" s="514"/>
      <c r="R482" s="514"/>
      <c r="S482" s="514"/>
      <c r="T482" s="514"/>
      <c r="U482" s="756"/>
      <c r="V482" s="514"/>
      <c r="W482" s="514"/>
      <c r="X482" s="514"/>
      <c r="Y482" s="514"/>
      <c r="Z482" s="514"/>
      <c r="AA482" s="514"/>
      <c r="AB482" s="756"/>
      <c r="AC482" s="514"/>
      <c r="AD482" s="514"/>
      <c r="AE482" s="514"/>
      <c r="AF482" s="764"/>
      <c r="AG482" s="514"/>
      <c r="AH482" s="514"/>
      <c r="AI482" s="664">
        <f t="shared" si="28"/>
        <v>0</v>
      </c>
      <c r="AJ482" s="521">
        <v>0</v>
      </c>
      <c r="AK482" s="520">
        <f t="shared" si="29"/>
        <v>0</v>
      </c>
      <c r="AL482" s="695" t="s">
        <v>1455</v>
      </c>
      <c r="AM482" s="669">
        <f t="shared" si="30"/>
        <v>1</v>
      </c>
    </row>
    <row r="483" spans="1:39" s="500" customFormat="1" ht="13.5" hidden="1" thickBot="1">
      <c r="A483" s="554" t="s">
        <v>1057</v>
      </c>
      <c r="B483" s="555" t="s">
        <v>1389</v>
      </c>
      <c r="C483" s="561" t="s">
        <v>1453</v>
      </c>
      <c r="D483" s="519"/>
      <c r="E483" s="520"/>
      <c r="F483" s="520"/>
      <c r="G483" s="726"/>
      <c r="H483" s="520"/>
      <c r="I483" s="521"/>
      <c r="J483" s="521"/>
      <c r="K483" s="521"/>
      <c r="L483" s="514"/>
      <c r="M483" s="514"/>
      <c r="N483" s="756"/>
      <c r="O483" s="514"/>
      <c r="P483" s="514"/>
      <c r="Q483" s="514"/>
      <c r="R483" s="514"/>
      <c r="S483" s="514"/>
      <c r="T483" s="514"/>
      <c r="U483" s="756"/>
      <c r="V483" s="514"/>
      <c r="W483" s="514"/>
      <c r="X483" s="514"/>
      <c r="Y483" s="514"/>
      <c r="Z483" s="514"/>
      <c r="AA483" s="514"/>
      <c r="AB483" s="756"/>
      <c r="AC483" s="514"/>
      <c r="AD483" s="514"/>
      <c r="AE483" s="514"/>
      <c r="AF483" s="764"/>
      <c r="AG483" s="514"/>
      <c r="AH483" s="514"/>
      <c r="AI483" s="664">
        <f t="shared" si="28"/>
        <v>0</v>
      </c>
      <c r="AJ483" s="521">
        <v>0</v>
      </c>
      <c r="AK483" s="520">
        <f t="shared" si="29"/>
        <v>0</v>
      </c>
      <c r="AL483" s="695" t="s">
        <v>1455</v>
      </c>
      <c r="AM483" s="669">
        <f t="shared" si="30"/>
        <v>1</v>
      </c>
    </row>
    <row r="484" spans="1:39" s="500" customFormat="1" ht="13.5" hidden="1" thickBot="1">
      <c r="A484" s="554" t="s">
        <v>1058</v>
      </c>
      <c r="B484" s="555" t="s">
        <v>1390</v>
      </c>
      <c r="C484" s="561"/>
      <c r="D484" s="519"/>
      <c r="E484" s="520"/>
      <c r="F484" s="520"/>
      <c r="G484" s="726"/>
      <c r="H484" s="520"/>
      <c r="I484" s="521"/>
      <c r="J484" s="521"/>
      <c r="K484" s="521"/>
      <c r="L484" s="514"/>
      <c r="M484" s="514"/>
      <c r="N484" s="756"/>
      <c r="O484" s="514"/>
      <c r="P484" s="514"/>
      <c r="Q484" s="514"/>
      <c r="R484" s="514"/>
      <c r="S484" s="514"/>
      <c r="T484" s="514"/>
      <c r="U484" s="756"/>
      <c r="V484" s="514"/>
      <c r="W484" s="514"/>
      <c r="X484" s="514"/>
      <c r="Y484" s="514"/>
      <c r="Z484" s="514"/>
      <c r="AA484" s="514"/>
      <c r="AB484" s="756"/>
      <c r="AC484" s="514"/>
      <c r="AD484" s="514"/>
      <c r="AE484" s="514"/>
      <c r="AF484" s="764"/>
      <c r="AG484" s="514"/>
      <c r="AH484" s="514"/>
      <c r="AI484" s="664">
        <f t="shared" si="28"/>
        <v>0</v>
      </c>
      <c r="AJ484" s="521">
        <v>0</v>
      </c>
      <c r="AK484" s="520">
        <f t="shared" si="29"/>
        <v>0</v>
      </c>
      <c r="AL484" s="695"/>
      <c r="AM484" s="669">
        <f t="shared" si="30"/>
        <v>0</v>
      </c>
    </row>
    <row r="485" spans="1:39" s="500" customFormat="1" ht="13.5" hidden="1" thickBot="1">
      <c r="A485" s="554" t="s">
        <v>1059</v>
      </c>
      <c r="B485" s="555" t="s">
        <v>1390</v>
      </c>
      <c r="C485" s="561" t="s">
        <v>1452</v>
      </c>
      <c r="D485" s="519"/>
      <c r="E485" s="520"/>
      <c r="F485" s="520"/>
      <c r="G485" s="726"/>
      <c r="H485" s="520"/>
      <c r="I485" s="521"/>
      <c r="J485" s="521"/>
      <c r="K485" s="521"/>
      <c r="L485" s="514"/>
      <c r="M485" s="514"/>
      <c r="N485" s="756"/>
      <c r="O485" s="514"/>
      <c r="P485" s="514"/>
      <c r="Q485" s="514"/>
      <c r="R485" s="514"/>
      <c r="S485" s="514"/>
      <c r="T485" s="514"/>
      <c r="U485" s="756"/>
      <c r="V485" s="514"/>
      <c r="W485" s="514"/>
      <c r="X485" s="514"/>
      <c r="Y485" s="514"/>
      <c r="Z485" s="514"/>
      <c r="AA485" s="514"/>
      <c r="AB485" s="756"/>
      <c r="AC485" s="514"/>
      <c r="AD485" s="514"/>
      <c r="AE485" s="514"/>
      <c r="AF485" s="764"/>
      <c r="AG485" s="514"/>
      <c r="AH485" s="514"/>
      <c r="AI485" s="664">
        <f t="shared" si="28"/>
        <v>0</v>
      </c>
      <c r="AJ485" s="521">
        <v>0</v>
      </c>
      <c r="AK485" s="520">
        <f t="shared" si="29"/>
        <v>0</v>
      </c>
      <c r="AL485" s="695" t="s">
        <v>1763</v>
      </c>
      <c r="AM485" s="669">
        <f t="shared" si="30"/>
        <v>43</v>
      </c>
    </row>
    <row r="486" spans="1:39" s="500" customFormat="1" ht="13.5" hidden="1" thickBot="1">
      <c r="A486" s="554" t="s">
        <v>1060</v>
      </c>
      <c r="B486" s="555" t="s">
        <v>1391</v>
      </c>
      <c r="C486" s="561" t="s">
        <v>1452</v>
      </c>
      <c r="D486" s="519"/>
      <c r="E486" s="520"/>
      <c r="F486" s="520"/>
      <c r="G486" s="726"/>
      <c r="H486" s="520"/>
      <c r="I486" s="521"/>
      <c r="J486" s="521"/>
      <c r="K486" s="521"/>
      <c r="L486" s="514"/>
      <c r="M486" s="514"/>
      <c r="N486" s="756"/>
      <c r="O486" s="514"/>
      <c r="P486" s="514"/>
      <c r="Q486" s="514"/>
      <c r="R486" s="514"/>
      <c r="S486" s="514"/>
      <c r="T486" s="514"/>
      <c r="U486" s="756"/>
      <c r="V486" s="514"/>
      <c r="W486" s="514"/>
      <c r="X486" s="514"/>
      <c r="Y486" s="514"/>
      <c r="Z486" s="514"/>
      <c r="AA486" s="514"/>
      <c r="AB486" s="756"/>
      <c r="AC486" s="514"/>
      <c r="AD486" s="514"/>
      <c r="AE486" s="514"/>
      <c r="AF486" s="764"/>
      <c r="AG486" s="514"/>
      <c r="AH486" s="514"/>
      <c r="AI486" s="664">
        <f t="shared" si="28"/>
        <v>0</v>
      </c>
      <c r="AJ486" s="521">
        <v>0</v>
      </c>
      <c r="AK486" s="520">
        <f t="shared" si="29"/>
        <v>0</v>
      </c>
      <c r="AL486" s="695" t="s">
        <v>1764</v>
      </c>
      <c r="AM486" s="669">
        <f t="shared" si="30"/>
        <v>7</v>
      </c>
    </row>
    <row r="487" spans="1:39" s="500" customFormat="1" ht="13.5" hidden="1" thickBot="1">
      <c r="A487" s="554" t="s">
        <v>1061</v>
      </c>
      <c r="B487" s="555" t="s">
        <v>1392</v>
      </c>
      <c r="C487" s="561"/>
      <c r="D487" s="519"/>
      <c r="E487" s="520"/>
      <c r="F487" s="520"/>
      <c r="G487" s="726"/>
      <c r="H487" s="520"/>
      <c r="I487" s="521"/>
      <c r="J487" s="521"/>
      <c r="K487" s="521"/>
      <c r="L487" s="514"/>
      <c r="M487" s="514"/>
      <c r="N487" s="756"/>
      <c r="O487" s="514"/>
      <c r="P487" s="514"/>
      <c r="Q487" s="514"/>
      <c r="R487" s="514"/>
      <c r="S487" s="514"/>
      <c r="T487" s="514"/>
      <c r="U487" s="756"/>
      <c r="V487" s="514"/>
      <c r="W487" s="514"/>
      <c r="X487" s="514"/>
      <c r="Y487" s="514"/>
      <c r="Z487" s="514"/>
      <c r="AA487" s="514"/>
      <c r="AB487" s="756"/>
      <c r="AC487" s="514"/>
      <c r="AD487" s="514"/>
      <c r="AE487" s="514"/>
      <c r="AF487" s="764"/>
      <c r="AG487" s="514"/>
      <c r="AH487" s="514"/>
      <c r="AI487" s="664">
        <f t="shared" si="28"/>
        <v>0</v>
      </c>
      <c r="AJ487" s="521">
        <v>0</v>
      </c>
      <c r="AK487" s="520">
        <f t="shared" si="29"/>
        <v>0</v>
      </c>
      <c r="AL487" s="695"/>
      <c r="AM487" s="669">
        <f t="shared" si="30"/>
        <v>0</v>
      </c>
    </row>
    <row r="488" spans="1:39" s="500" customFormat="1" ht="13.5" hidden="1" thickBot="1">
      <c r="A488" s="554" t="s">
        <v>1062</v>
      </c>
      <c r="B488" s="555" t="s">
        <v>1393</v>
      </c>
      <c r="C488" s="561" t="s">
        <v>36</v>
      </c>
      <c r="D488" s="519"/>
      <c r="E488" s="520"/>
      <c r="F488" s="520"/>
      <c r="G488" s="726"/>
      <c r="H488" s="520"/>
      <c r="I488" s="521"/>
      <c r="J488" s="521"/>
      <c r="K488" s="521"/>
      <c r="L488" s="514"/>
      <c r="M488" s="514"/>
      <c r="N488" s="756"/>
      <c r="O488" s="514"/>
      <c r="P488" s="514"/>
      <c r="Q488" s="514"/>
      <c r="R488" s="514"/>
      <c r="S488" s="514"/>
      <c r="T488" s="514"/>
      <c r="U488" s="756"/>
      <c r="V488" s="514"/>
      <c r="W488" s="514"/>
      <c r="X488" s="514"/>
      <c r="Y488" s="514"/>
      <c r="Z488" s="514"/>
      <c r="AA488" s="514"/>
      <c r="AB488" s="756"/>
      <c r="AC488" s="514"/>
      <c r="AD488" s="514"/>
      <c r="AE488" s="514"/>
      <c r="AF488" s="764"/>
      <c r="AG488" s="514"/>
      <c r="AH488" s="514"/>
      <c r="AI488" s="664">
        <f t="shared" si="28"/>
        <v>0</v>
      </c>
      <c r="AJ488" s="521">
        <v>0</v>
      </c>
      <c r="AK488" s="520">
        <f t="shared" si="29"/>
        <v>0</v>
      </c>
      <c r="AL488" s="695" t="s">
        <v>1765</v>
      </c>
      <c r="AM488" s="669">
        <f t="shared" si="30"/>
        <v>17</v>
      </c>
    </row>
    <row r="489" spans="1:39" s="500" customFormat="1" ht="13.5" hidden="1" thickBot="1">
      <c r="A489" s="554" t="s">
        <v>1063</v>
      </c>
      <c r="B489" s="555" t="s">
        <v>1394</v>
      </c>
      <c r="C489" s="561" t="s">
        <v>36</v>
      </c>
      <c r="D489" s="519"/>
      <c r="E489" s="520"/>
      <c r="F489" s="520"/>
      <c r="G489" s="726"/>
      <c r="H489" s="520"/>
      <c r="I489" s="521"/>
      <c r="J489" s="521"/>
      <c r="K489" s="521"/>
      <c r="L489" s="514"/>
      <c r="M489" s="514"/>
      <c r="N489" s="756"/>
      <c r="O489" s="514"/>
      <c r="P489" s="514"/>
      <c r="Q489" s="514"/>
      <c r="R489" s="514"/>
      <c r="S489" s="514"/>
      <c r="T489" s="514"/>
      <c r="U489" s="756"/>
      <c r="V489" s="514"/>
      <c r="W489" s="514"/>
      <c r="X489" s="514"/>
      <c r="Y489" s="514"/>
      <c r="Z489" s="514"/>
      <c r="AA489" s="514"/>
      <c r="AB489" s="756"/>
      <c r="AC489" s="514"/>
      <c r="AD489" s="514"/>
      <c r="AE489" s="514"/>
      <c r="AF489" s="764"/>
      <c r="AG489" s="514"/>
      <c r="AH489" s="514"/>
      <c r="AI489" s="664">
        <f t="shared" si="28"/>
        <v>0</v>
      </c>
      <c r="AJ489" s="521">
        <v>0</v>
      </c>
      <c r="AK489" s="520">
        <f t="shared" si="29"/>
        <v>0</v>
      </c>
      <c r="AL489" s="695" t="s">
        <v>1766</v>
      </c>
      <c r="AM489" s="669">
        <f t="shared" si="30"/>
        <v>23</v>
      </c>
    </row>
    <row r="490" spans="1:39" s="500" customFormat="1" ht="13.5" hidden="1" thickBot="1">
      <c r="A490" s="554" t="s">
        <v>1064</v>
      </c>
      <c r="B490" s="555" t="s">
        <v>1395</v>
      </c>
      <c r="C490" s="561" t="s">
        <v>36</v>
      </c>
      <c r="D490" s="519"/>
      <c r="E490" s="520"/>
      <c r="F490" s="520"/>
      <c r="G490" s="726"/>
      <c r="H490" s="520"/>
      <c r="I490" s="521"/>
      <c r="J490" s="521"/>
      <c r="K490" s="521"/>
      <c r="L490" s="514"/>
      <c r="M490" s="514"/>
      <c r="N490" s="756"/>
      <c r="O490" s="514"/>
      <c r="P490" s="514"/>
      <c r="Q490" s="514"/>
      <c r="R490" s="514"/>
      <c r="S490" s="514"/>
      <c r="T490" s="514"/>
      <c r="U490" s="756"/>
      <c r="V490" s="514"/>
      <c r="W490" s="514"/>
      <c r="X490" s="514"/>
      <c r="Y490" s="514"/>
      <c r="Z490" s="514"/>
      <c r="AA490" s="514"/>
      <c r="AB490" s="756"/>
      <c r="AC490" s="514"/>
      <c r="AD490" s="514"/>
      <c r="AE490" s="514"/>
      <c r="AF490" s="764"/>
      <c r="AG490" s="514"/>
      <c r="AH490" s="514"/>
      <c r="AI490" s="664">
        <f t="shared" si="28"/>
        <v>0</v>
      </c>
      <c r="AJ490" s="521">
        <v>0</v>
      </c>
      <c r="AK490" s="520">
        <f t="shared" si="29"/>
        <v>0</v>
      </c>
      <c r="AL490" s="695" t="s">
        <v>1698</v>
      </c>
      <c r="AM490" s="669">
        <f t="shared" si="30"/>
        <v>2</v>
      </c>
    </row>
    <row r="491" spans="1:39" s="500" customFormat="1" ht="13.5" hidden="1" thickBot="1">
      <c r="A491" s="554" t="s">
        <v>1065</v>
      </c>
      <c r="B491" s="555" t="s">
        <v>1396</v>
      </c>
      <c r="C491" s="561" t="s">
        <v>36</v>
      </c>
      <c r="D491" s="519"/>
      <c r="E491" s="520"/>
      <c r="F491" s="520"/>
      <c r="G491" s="726"/>
      <c r="H491" s="520"/>
      <c r="I491" s="521"/>
      <c r="J491" s="521"/>
      <c r="K491" s="521"/>
      <c r="L491" s="514"/>
      <c r="M491" s="514"/>
      <c r="N491" s="756"/>
      <c r="O491" s="514"/>
      <c r="P491" s="514"/>
      <c r="Q491" s="514"/>
      <c r="R491" s="514"/>
      <c r="S491" s="514"/>
      <c r="T491" s="514"/>
      <c r="U491" s="756"/>
      <c r="V491" s="514"/>
      <c r="W491" s="514"/>
      <c r="X491" s="514"/>
      <c r="Y491" s="514"/>
      <c r="Z491" s="514"/>
      <c r="AA491" s="514"/>
      <c r="AB491" s="756"/>
      <c r="AC491" s="514"/>
      <c r="AD491" s="514"/>
      <c r="AE491" s="514"/>
      <c r="AF491" s="764"/>
      <c r="AG491" s="514"/>
      <c r="AH491" s="514"/>
      <c r="AI491" s="664">
        <f t="shared" si="28"/>
        <v>0</v>
      </c>
      <c r="AJ491" s="521">
        <v>0</v>
      </c>
      <c r="AK491" s="520">
        <f t="shared" si="29"/>
        <v>0</v>
      </c>
      <c r="AL491" s="695" t="s">
        <v>1455</v>
      </c>
      <c r="AM491" s="669">
        <f t="shared" si="30"/>
        <v>1</v>
      </c>
    </row>
    <row r="492" spans="1:39" s="500" customFormat="1" ht="13.5" hidden="1" thickBot="1">
      <c r="A492" s="554" t="s">
        <v>1066</v>
      </c>
      <c r="B492" s="555" t="s">
        <v>1397</v>
      </c>
      <c r="C492" s="561" t="s">
        <v>36</v>
      </c>
      <c r="D492" s="519"/>
      <c r="E492" s="520"/>
      <c r="F492" s="520"/>
      <c r="G492" s="726"/>
      <c r="H492" s="520"/>
      <c r="I492" s="521"/>
      <c r="J492" s="521"/>
      <c r="K492" s="521"/>
      <c r="L492" s="514"/>
      <c r="M492" s="514"/>
      <c r="N492" s="756"/>
      <c r="O492" s="514"/>
      <c r="P492" s="514"/>
      <c r="Q492" s="514"/>
      <c r="R492" s="514"/>
      <c r="S492" s="514"/>
      <c r="T492" s="514"/>
      <c r="U492" s="756"/>
      <c r="V492" s="514"/>
      <c r="W492" s="514"/>
      <c r="X492" s="514"/>
      <c r="Y492" s="514"/>
      <c r="Z492" s="514"/>
      <c r="AA492" s="514"/>
      <c r="AB492" s="756"/>
      <c r="AC492" s="514"/>
      <c r="AD492" s="514"/>
      <c r="AE492" s="514"/>
      <c r="AF492" s="764"/>
      <c r="AG492" s="514"/>
      <c r="AH492" s="514"/>
      <c r="AI492" s="664">
        <f t="shared" si="28"/>
        <v>0</v>
      </c>
      <c r="AJ492" s="521">
        <v>0</v>
      </c>
      <c r="AK492" s="520">
        <f t="shared" si="29"/>
        <v>0</v>
      </c>
      <c r="AL492" s="695" t="s">
        <v>1764</v>
      </c>
      <c r="AM492" s="669">
        <f t="shared" si="30"/>
        <v>7</v>
      </c>
    </row>
    <row r="493" spans="1:39" s="500" customFormat="1" ht="13.5" hidden="1" thickBot="1">
      <c r="A493" s="554" t="s">
        <v>1067</v>
      </c>
      <c r="B493" s="555" t="s">
        <v>1398</v>
      </c>
      <c r="C493" s="561"/>
      <c r="D493" s="519"/>
      <c r="E493" s="520"/>
      <c r="F493" s="520"/>
      <c r="G493" s="726"/>
      <c r="H493" s="520"/>
      <c r="I493" s="521"/>
      <c r="J493" s="521"/>
      <c r="K493" s="521"/>
      <c r="L493" s="514"/>
      <c r="M493" s="514"/>
      <c r="N493" s="756"/>
      <c r="O493" s="514"/>
      <c r="P493" s="514"/>
      <c r="Q493" s="514"/>
      <c r="R493" s="514"/>
      <c r="S493" s="514"/>
      <c r="T493" s="514"/>
      <c r="U493" s="756"/>
      <c r="V493" s="514"/>
      <c r="W493" s="514"/>
      <c r="X493" s="514"/>
      <c r="Y493" s="514"/>
      <c r="Z493" s="514"/>
      <c r="AA493" s="514"/>
      <c r="AB493" s="756"/>
      <c r="AC493" s="514"/>
      <c r="AD493" s="514"/>
      <c r="AE493" s="514"/>
      <c r="AF493" s="764"/>
      <c r="AG493" s="514"/>
      <c r="AH493" s="514"/>
      <c r="AI493" s="664">
        <f t="shared" si="28"/>
        <v>0</v>
      </c>
      <c r="AJ493" s="521">
        <v>0</v>
      </c>
      <c r="AK493" s="520">
        <f t="shared" si="29"/>
        <v>0</v>
      </c>
      <c r="AL493" s="695"/>
      <c r="AM493" s="669">
        <f t="shared" si="30"/>
        <v>0</v>
      </c>
    </row>
    <row r="494" spans="1:39" s="500" customFormat="1" ht="13.5" hidden="1" thickBot="1">
      <c r="A494" s="554" t="s">
        <v>1068</v>
      </c>
      <c r="B494" s="555" t="s">
        <v>1399</v>
      </c>
      <c r="C494" s="561" t="s">
        <v>1452</v>
      </c>
      <c r="D494" s="519"/>
      <c r="E494" s="520"/>
      <c r="F494" s="520"/>
      <c r="G494" s="726"/>
      <c r="H494" s="520"/>
      <c r="I494" s="521"/>
      <c r="J494" s="521"/>
      <c r="K494" s="521"/>
      <c r="L494" s="514"/>
      <c r="M494" s="514"/>
      <c r="N494" s="756"/>
      <c r="O494" s="514"/>
      <c r="P494" s="514"/>
      <c r="Q494" s="514"/>
      <c r="R494" s="514"/>
      <c r="S494" s="514"/>
      <c r="T494" s="514"/>
      <c r="U494" s="756"/>
      <c r="V494" s="514"/>
      <c r="W494" s="514"/>
      <c r="X494" s="514"/>
      <c r="Y494" s="514"/>
      <c r="Z494" s="514"/>
      <c r="AA494" s="514"/>
      <c r="AB494" s="756"/>
      <c r="AC494" s="514"/>
      <c r="AD494" s="514"/>
      <c r="AE494" s="514"/>
      <c r="AF494" s="764"/>
      <c r="AG494" s="514"/>
      <c r="AH494" s="514"/>
      <c r="AI494" s="664">
        <f t="shared" si="28"/>
        <v>0</v>
      </c>
      <c r="AJ494" s="521">
        <v>0</v>
      </c>
      <c r="AK494" s="520">
        <f t="shared" si="29"/>
        <v>0</v>
      </c>
      <c r="AL494" s="695" t="s">
        <v>1489</v>
      </c>
      <c r="AM494" s="669">
        <f t="shared" si="30"/>
        <v>16</v>
      </c>
    </row>
    <row r="495" spans="1:39" s="500" customFormat="1" ht="13.5" hidden="1" thickBot="1">
      <c r="A495" s="554" t="s">
        <v>1069</v>
      </c>
      <c r="B495" s="555" t="s">
        <v>1400</v>
      </c>
      <c r="C495" s="561" t="s">
        <v>1452</v>
      </c>
      <c r="D495" s="519"/>
      <c r="E495" s="520"/>
      <c r="F495" s="520"/>
      <c r="G495" s="726"/>
      <c r="H495" s="520"/>
      <c r="I495" s="521"/>
      <c r="J495" s="521"/>
      <c r="K495" s="521"/>
      <c r="L495" s="514"/>
      <c r="M495" s="514"/>
      <c r="N495" s="756"/>
      <c r="O495" s="514"/>
      <c r="P495" s="514"/>
      <c r="Q495" s="514"/>
      <c r="R495" s="514"/>
      <c r="S495" s="514"/>
      <c r="T495" s="514"/>
      <c r="U495" s="756"/>
      <c r="V495" s="514"/>
      <c r="W495" s="514"/>
      <c r="X495" s="514"/>
      <c r="Y495" s="514"/>
      <c r="Z495" s="514"/>
      <c r="AA495" s="514"/>
      <c r="AB495" s="756"/>
      <c r="AC495" s="514"/>
      <c r="AD495" s="514"/>
      <c r="AE495" s="514"/>
      <c r="AF495" s="764"/>
      <c r="AG495" s="514"/>
      <c r="AH495" s="514"/>
      <c r="AI495" s="664">
        <f t="shared" si="28"/>
        <v>0</v>
      </c>
      <c r="AJ495" s="521">
        <v>0</v>
      </c>
      <c r="AK495" s="520">
        <f t="shared" si="29"/>
        <v>0</v>
      </c>
      <c r="AL495" s="695" t="s">
        <v>1698</v>
      </c>
      <c r="AM495" s="669">
        <f t="shared" si="30"/>
        <v>2</v>
      </c>
    </row>
    <row r="496" spans="1:39" s="500" customFormat="1" ht="13.5" hidden="1" thickBot="1">
      <c r="A496" s="554" t="s">
        <v>1070</v>
      </c>
      <c r="B496" s="555" t="s">
        <v>1401</v>
      </c>
      <c r="C496" s="561" t="s">
        <v>1452</v>
      </c>
      <c r="D496" s="519"/>
      <c r="E496" s="520"/>
      <c r="F496" s="520"/>
      <c r="G496" s="726"/>
      <c r="H496" s="520"/>
      <c r="I496" s="521"/>
      <c r="J496" s="521"/>
      <c r="K496" s="521"/>
      <c r="L496" s="514"/>
      <c r="M496" s="514"/>
      <c r="N496" s="756"/>
      <c r="O496" s="514"/>
      <c r="P496" s="514"/>
      <c r="Q496" s="514"/>
      <c r="R496" s="514"/>
      <c r="S496" s="514"/>
      <c r="T496" s="514"/>
      <c r="U496" s="756"/>
      <c r="V496" s="514"/>
      <c r="W496" s="514"/>
      <c r="X496" s="514"/>
      <c r="Y496" s="514"/>
      <c r="Z496" s="514"/>
      <c r="AA496" s="514"/>
      <c r="AB496" s="756"/>
      <c r="AC496" s="514"/>
      <c r="AD496" s="514"/>
      <c r="AE496" s="514"/>
      <c r="AF496" s="764"/>
      <c r="AG496" s="514"/>
      <c r="AH496" s="514"/>
      <c r="AI496" s="664">
        <f t="shared" si="28"/>
        <v>0</v>
      </c>
      <c r="AJ496" s="521">
        <v>0</v>
      </c>
      <c r="AK496" s="520">
        <f t="shared" si="29"/>
        <v>0</v>
      </c>
      <c r="AL496" s="695" t="s">
        <v>1698</v>
      </c>
      <c r="AM496" s="669">
        <f t="shared" si="30"/>
        <v>2</v>
      </c>
    </row>
    <row r="497" spans="1:39" s="500" customFormat="1" ht="13.5" hidden="1" thickBot="1">
      <c r="A497" s="554" t="s">
        <v>1071</v>
      </c>
      <c r="B497" s="555" t="s">
        <v>1402</v>
      </c>
      <c r="C497" s="561"/>
      <c r="D497" s="519"/>
      <c r="E497" s="520"/>
      <c r="F497" s="520"/>
      <c r="G497" s="726"/>
      <c r="H497" s="520"/>
      <c r="I497" s="521"/>
      <c r="J497" s="521"/>
      <c r="K497" s="521"/>
      <c r="L497" s="514"/>
      <c r="M497" s="514"/>
      <c r="N497" s="756"/>
      <c r="O497" s="514"/>
      <c r="P497" s="514"/>
      <c r="Q497" s="514"/>
      <c r="R497" s="514"/>
      <c r="S497" s="514"/>
      <c r="T497" s="514"/>
      <c r="U497" s="756"/>
      <c r="V497" s="514"/>
      <c r="W497" s="514"/>
      <c r="X497" s="514"/>
      <c r="Y497" s="514"/>
      <c r="Z497" s="514"/>
      <c r="AA497" s="514"/>
      <c r="AB497" s="756"/>
      <c r="AC497" s="514"/>
      <c r="AD497" s="514"/>
      <c r="AE497" s="514"/>
      <c r="AF497" s="764"/>
      <c r="AG497" s="514"/>
      <c r="AH497" s="514"/>
      <c r="AI497" s="664">
        <f t="shared" si="28"/>
        <v>0</v>
      </c>
      <c r="AJ497" s="521">
        <v>0</v>
      </c>
      <c r="AK497" s="520">
        <f t="shared" si="29"/>
        <v>0</v>
      </c>
      <c r="AL497" s="695"/>
      <c r="AM497" s="669">
        <f t="shared" si="30"/>
        <v>0</v>
      </c>
    </row>
    <row r="498" spans="1:39" s="500" customFormat="1" ht="13.5" hidden="1" thickBot="1">
      <c r="A498" s="554" t="s">
        <v>1072</v>
      </c>
      <c r="B498" s="555" t="s">
        <v>1403</v>
      </c>
      <c r="C498" s="561" t="s">
        <v>1452</v>
      </c>
      <c r="D498" s="519"/>
      <c r="E498" s="520"/>
      <c r="F498" s="520"/>
      <c r="G498" s="726"/>
      <c r="H498" s="520"/>
      <c r="I498" s="521"/>
      <c r="J498" s="521"/>
      <c r="K498" s="521"/>
      <c r="L498" s="514"/>
      <c r="M498" s="514"/>
      <c r="N498" s="756"/>
      <c r="O498" s="514"/>
      <c r="P498" s="514"/>
      <c r="Q498" s="514"/>
      <c r="R498" s="514"/>
      <c r="S498" s="514"/>
      <c r="T498" s="514"/>
      <c r="U498" s="756"/>
      <c r="V498" s="514"/>
      <c r="W498" s="514"/>
      <c r="X498" s="514"/>
      <c r="Y498" s="514"/>
      <c r="Z498" s="514"/>
      <c r="AA498" s="514"/>
      <c r="AB498" s="756"/>
      <c r="AC498" s="514"/>
      <c r="AD498" s="514"/>
      <c r="AE498" s="514"/>
      <c r="AF498" s="764"/>
      <c r="AG498" s="514"/>
      <c r="AH498" s="514"/>
      <c r="AI498" s="664">
        <f t="shared" si="28"/>
        <v>0</v>
      </c>
      <c r="AJ498" s="521">
        <v>0</v>
      </c>
      <c r="AK498" s="520">
        <f t="shared" si="29"/>
        <v>0</v>
      </c>
      <c r="AL498" s="695" t="s">
        <v>1767</v>
      </c>
      <c r="AM498" s="669">
        <f t="shared" si="30"/>
        <v>14</v>
      </c>
    </row>
    <row r="499" spans="1:39" s="500" customFormat="1" ht="13.5" hidden="1" thickBot="1">
      <c r="A499" s="554" t="s">
        <v>1073</v>
      </c>
      <c r="B499" s="555" t="s">
        <v>1404</v>
      </c>
      <c r="C499" s="561" t="s">
        <v>1452</v>
      </c>
      <c r="D499" s="519"/>
      <c r="E499" s="520"/>
      <c r="F499" s="520"/>
      <c r="G499" s="726"/>
      <c r="H499" s="520"/>
      <c r="I499" s="521"/>
      <c r="J499" s="521"/>
      <c r="K499" s="521"/>
      <c r="L499" s="514"/>
      <c r="M499" s="514"/>
      <c r="N499" s="756"/>
      <c r="O499" s="514"/>
      <c r="P499" s="514"/>
      <c r="Q499" s="514"/>
      <c r="R499" s="514"/>
      <c r="S499" s="514"/>
      <c r="T499" s="514"/>
      <c r="U499" s="756"/>
      <c r="V499" s="514"/>
      <c r="W499" s="514"/>
      <c r="X499" s="514"/>
      <c r="Y499" s="514"/>
      <c r="Z499" s="514"/>
      <c r="AA499" s="514"/>
      <c r="AB499" s="756"/>
      <c r="AC499" s="514"/>
      <c r="AD499" s="514"/>
      <c r="AE499" s="514"/>
      <c r="AF499" s="764"/>
      <c r="AG499" s="514"/>
      <c r="AH499" s="514"/>
      <c r="AI499" s="664">
        <f t="shared" ref="AI499:AI558" si="31">ROUND((SUM(D499:L499)),2)</f>
        <v>0</v>
      </c>
      <c r="AJ499" s="521">
        <v>0</v>
      </c>
      <c r="AK499" s="520">
        <f t="shared" si="29"/>
        <v>0</v>
      </c>
      <c r="AL499" s="695" t="s">
        <v>1455</v>
      </c>
      <c r="AM499" s="669">
        <f t="shared" si="30"/>
        <v>1</v>
      </c>
    </row>
    <row r="500" spans="1:39" s="500" customFormat="1" ht="13.5" hidden="1" thickBot="1">
      <c r="A500" s="554" t="s">
        <v>1074</v>
      </c>
      <c r="B500" s="555" t="s">
        <v>1405</v>
      </c>
      <c r="C500" s="561" t="s">
        <v>1452</v>
      </c>
      <c r="D500" s="519"/>
      <c r="E500" s="520"/>
      <c r="F500" s="520"/>
      <c r="G500" s="726"/>
      <c r="H500" s="520"/>
      <c r="I500" s="521"/>
      <c r="J500" s="521"/>
      <c r="K500" s="521"/>
      <c r="L500" s="514"/>
      <c r="M500" s="514"/>
      <c r="N500" s="756"/>
      <c r="O500" s="514"/>
      <c r="P500" s="514"/>
      <c r="Q500" s="514"/>
      <c r="R500" s="514"/>
      <c r="S500" s="514"/>
      <c r="T500" s="514"/>
      <c r="U500" s="756"/>
      <c r="V500" s="514"/>
      <c r="W500" s="514"/>
      <c r="X500" s="514"/>
      <c r="Y500" s="514"/>
      <c r="Z500" s="514"/>
      <c r="AA500" s="514"/>
      <c r="AB500" s="756"/>
      <c r="AC500" s="514"/>
      <c r="AD500" s="514"/>
      <c r="AE500" s="514"/>
      <c r="AF500" s="764"/>
      <c r="AG500" s="514"/>
      <c r="AH500" s="514"/>
      <c r="AI500" s="664">
        <f t="shared" si="31"/>
        <v>0</v>
      </c>
      <c r="AJ500" s="521">
        <v>0</v>
      </c>
      <c r="AK500" s="520">
        <f t="shared" si="29"/>
        <v>0</v>
      </c>
      <c r="AL500" s="695" t="s">
        <v>1618</v>
      </c>
      <c r="AM500" s="669">
        <f t="shared" si="30"/>
        <v>3</v>
      </c>
    </row>
    <row r="501" spans="1:39" s="500" customFormat="1" ht="13.5" hidden="1" thickBot="1">
      <c r="A501" s="554" t="s">
        <v>1075</v>
      </c>
      <c r="B501" s="555" t="s">
        <v>1406</v>
      </c>
      <c r="C501" s="561" t="s">
        <v>1452</v>
      </c>
      <c r="D501" s="519"/>
      <c r="E501" s="520"/>
      <c r="F501" s="520"/>
      <c r="G501" s="726"/>
      <c r="H501" s="520"/>
      <c r="I501" s="521"/>
      <c r="J501" s="521"/>
      <c r="K501" s="521"/>
      <c r="L501" s="514"/>
      <c r="M501" s="514"/>
      <c r="N501" s="756"/>
      <c r="O501" s="514"/>
      <c r="P501" s="514"/>
      <c r="Q501" s="514"/>
      <c r="R501" s="514"/>
      <c r="S501" s="514"/>
      <c r="T501" s="514"/>
      <c r="U501" s="756"/>
      <c r="V501" s="514"/>
      <c r="W501" s="514"/>
      <c r="X501" s="514"/>
      <c r="Y501" s="514"/>
      <c r="Z501" s="514"/>
      <c r="AA501" s="514"/>
      <c r="AB501" s="756"/>
      <c r="AC501" s="514"/>
      <c r="AD501" s="514"/>
      <c r="AE501" s="514"/>
      <c r="AF501" s="764"/>
      <c r="AG501" s="514"/>
      <c r="AH501" s="514"/>
      <c r="AI501" s="664">
        <f t="shared" si="31"/>
        <v>0</v>
      </c>
      <c r="AJ501" s="521">
        <v>0</v>
      </c>
      <c r="AK501" s="520">
        <f t="shared" si="29"/>
        <v>0</v>
      </c>
      <c r="AL501" s="695" t="s">
        <v>1641</v>
      </c>
      <c r="AM501" s="669">
        <f t="shared" si="30"/>
        <v>9</v>
      </c>
    </row>
    <row r="502" spans="1:39" s="500" customFormat="1" ht="13.5" hidden="1" thickBot="1">
      <c r="A502" s="554" t="s">
        <v>1076</v>
      </c>
      <c r="B502" s="555" t="s">
        <v>1407</v>
      </c>
      <c r="C502" s="561" t="s">
        <v>1452</v>
      </c>
      <c r="D502" s="519"/>
      <c r="E502" s="520"/>
      <c r="F502" s="520"/>
      <c r="G502" s="726"/>
      <c r="H502" s="520"/>
      <c r="I502" s="521"/>
      <c r="J502" s="521"/>
      <c r="K502" s="521"/>
      <c r="L502" s="514"/>
      <c r="M502" s="514"/>
      <c r="N502" s="756"/>
      <c r="O502" s="514"/>
      <c r="P502" s="514"/>
      <c r="Q502" s="514"/>
      <c r="R502" s="514"/>
      <c r="S502" s="514"/>
      <c r="T502" s="514"/>
      <c r="U502" s="756"/>
      <c r="V502" s="514"/>
      <c r="W502" s="514"/>
      <c r="X502" s="514"/>
      <c r="Y502" s="514"/>
      <c r="Z502" s="514"/>
      <c r="AA502" s="514"/>
      <c r="AB502" s="756"/>
      <c r="AC502" s="514"/>
      <c r="AD502" s="514"/>
      <c r="AE502" s="514"/>
      <c r="AF502" s="764"/>
      <c r="AG502" s="514"/>
      <c r="AH502" s="514"/>
      <c r="AI502" s="664">
        <f t="shared" si="31"/>
        <v>0</v>
      </c>
      <c r="AJ502" s="521">
        <v>0</v>
      </c>
      <c r="AK502" s="520">
        <f t="shared" si="29"/>
        <v>0</v>
      </c>
      <c r="AL502" s="695" t="s">
        <v>1455</v>
      </c>
      <c r="AM502" s="669">
        <f t="shared" si="30"/>
        <v>1</v>
      </c>
    </row>
    <row r="503" spans="1:39" s="500" customFormat="1" ht="13.5" hidden="1" thickBot="1">
      <c r="A503" s="554" t="s">
        <v>1077</v>
      </c>
      <c r="B503" s="555" t="s">
        <v>1408</v>
      </c>
      <c r="C503" s="561"/>
      <c r="D503" s="519"/>
      <c r="E503" s="520"/>
      <c r="F503" s="520"/>
      <c r="G503" s="726"/>
      <c r="H503" s="520"/>
      <c r="I503" s="521"/>
      <c r="J503" s="521"/>
      <c r="K503" s="521"/>
      <c r="L503" s="514"/>
      <c r="M503" s="514"/>
      <c r="N503" s="756"/>
      <c r="O503" s="514"/>
      <c r="P503" s="514"/>
      <c r="Q503" s="514"/>
      <c r="R503" s="514"/>
      <c r="S503" s="514"/>
      <c r="T503" s="514"/>
      <c r="U503" s="756"/>
      <c r="V503" s="514"/>
      <c r="W503" s="514"/>
      <c r="X503" s="514"/>
      <c r="Y503" s="514"/>
      <c r="Z503" s="514"/>
      <c r="AA503" s="514"/>
      <c r="AB503" s="756"/>
      <c r="AC503" s="514"/>
      <c r="AD503" s="514"/>
      <c r="AE503" s="514"/>
      <c r="AF503" s="764"/>
      <c r="AG503" s="514"/>
      <c r="AH503" s="514"/>
      <c r="AI503" s="664">
        <f t="shared" si="31"/>
        <v>0</v>
      </c>
      <c r="AJ503" s="521">
        <v>0</v>
      </c>
      <c r="AK503" s="520">
        <f t="shared" si="29"/>
        <v>0</v>
      </c>
      <c r="AL503" s="695"/>
      <c r="AM503" s="669">
        <f t="shared" si="30"/>
        <v>0</v>
      </c>
    </row>
    <row r="504" spans="1:39" s="500" customFormat="1" ht="13.5" hidden="1" thickBot="1">
      <c r="A504" s="554" t="s">
        <v>1078</v>
      </c>
      <c r="B504" s="555" t="s">
        <v>1409</v>
      </c>
      <c r="C504" s="561" t="s">
        <v>1452</v>
      </c>
      <c r="D504" s="519"/>
      <c r="E504" s="520"/>
      <c r="F504" s="520"/>
      <c r="G504" s="726"/>
      <c r="H504" s="520"/>
      <c r="I504" s="521"/>
      <c r="J504" s="521"/>
      <c r="K504" s="521"/>
      <c r="L504" s="514"/>
      <c r="M504" s="514"/>
      <c r="N504" s="756"/>
      <c r="O504" s="514"/>
      <c r="P504" s="514"/>
      <c r="Q504" s="514"/>
      <c r="R504" s="514"/>
      <c r="S504" s="514"/>
      <c r="T504" s="514"/>
      <c r="U504" s="756"/>
      <c r="V504" s="514"/>
      <c r="W504" s="514"/>
      <c r="X504" s="514"/>
      <c r="Y504" s="514"/>
      <c r="Z504" s="514"/>
      <c r="AA504" s="514"/>
      <c r="AB504" s="756"/>
      <c r="AC504" s="514"/>
      <c r="AD504" s="514"/>
      <c r="AE504" s="514"/>
      <c r="AF504" s="764"/>
      <c r="AG504" s="514"/>
      <c r="AH504" s="514"/>
      <c r="AI504" s="664">
        <f t="shared" si="31"/>
        <v>0</v>
      </c>
      <c r="AJ504" s="521">
        <v>0</v>
      </c>
      <c r="AK504" s="520">
        <f t="shared" si="29"/>
        <v>0</v>
      </c>
      <c r="AL504" s="695" t="s">
        <v>1455</v>
      </c>
      <c r="AM504" s="669">
        <f t="shared" si="30"/>
        <v>1</v>
      </c>
    </row>
    <row r="505" spans="1:39" s="500" customFormat="1" ht="13.5" hidden="1" thickBot="1">
      <c r="A505" s="554" t="s">
        <v>1079</v>
      </c>
      <c r="B505" s="555" t="s">
        <v>1410</v>
      </c>
      <c r="C505" s="561" t="s">
        <v>1452</v>
      </c>
      <c r="D505" s="519"/>
      <c r="E505" s="520"/>
      <c r="F505" s="520"/>
      <c r="G505" s="726"/>
      <c r="H505" s="520"/>
      <c r="I505" s="521"/>
      <c r="J505" s="521"/>
      <c r="K505" s="521"/>
      <c r="L505" s="514"/>
      <c r="M505" s="514"/>
      <c r="N505" s="756"/>
      <c r="O505" s="514"/>
      <c r="P505" s="514"/>
      <c r="Q505" s="514"/>
      <c r="R505" s="514"/>
      <c r="S505" s="514"/>
      <c r="T505" s="514"/>
      <c r="U505" s="756"/>
      <c r="V505" s="514"/>
      <c r="W505" s="514"/>
      <c r="X505" s="514"/>
      <c r="Y505" s="514"/>
      <c r="Z505" s="514"/>
      <c r="AA505" s="514"/>
      <c r="AB505" s="756"/>
      <c r="AC505" s="514"/>
      <c r="AD505" s="514"/>
      <c r="AE505" s="514"/>
      <c r="AF505" s="764"/>
      <c r="AG505" s="514"/>
      <c r="AH505" s="514"/>
      <c r="AI505" s="664">
        <f t="shared" si="31"/>
        <v>0</v>
      </c>
      <c r="AJ505" s="521">
        <v>0</v>
      </c>
      <c r="AK505" s="520">
        <f t="shared" si="29"/>
        <v>0</v>
      </c>
      <c r="AL505" s="695" t="s">
        <v>1455</v>
      </c>
      <c r="AM505" s="669">
        <f t="shared" si="30"/>
        <v>1</v>
      </c>
    </row>
    <row r="506" spans="1:39" s="500" customFormat="1" ht="13.5" hidden="1" thickBot="1">
      <c r="A506" s="554" t="s">
        <v>1080</v>
      </c>
      <c r="B506" s="555" t="s">
        <v>1411</v>
      </c>
      <c r="C506" s="561" t="s">
        <v>1452</v>
      </c>
      <c r="D506" s="519"/>
      <c r="E506" s="520"/>
      <c r="F506" s="520"/>
      <c r="G506" s="726"/>
      <c r="H506" s="520"/>
      <c r="I506" s="521"/>
      <c r="J506" s="521"/>
      <c r="K506" s="521"/>
      <c r="L506" s="514"/>
      <c r="M506" s="514"/>
      <c r="N506" s="756"/>
      <c r="O506" s="514"/>
      <c r="P506" s="514"/>
      <c r="Q506" s="514"/>
      <c r="R506" s="514"/>
      <c r="S506" s="514"/>
      <c r="T506" s="514"/>
      <c r="U506" s="756"/>
      <c r="V506" s="514"/>
      <c r="W506" s="514"/>
      <c r="X506" s="514"/>
      <c r="Y506" s="514"/>
      <c r="Z506" s="514"/>
      <c r="AA506" s="514"/>
      <c r="AB506" s="756"/>
      <c r="AC506" s="514"/>
      <c r="AD506" s="514"/>
      <c r="AE506" s="514"/>
      <c r="AF506" s="764"/>
      <c r="AG506" s="514"/>
      <c r="AH506" s="514"/>
      <c r="AI506" s="664">
        <f t="shared" si="31"/>
        <v>0</v>
      </c>
      <c r="AJ506" s="521">
        <v>0</v>
      </c>
      <c r="AK506" s="520">
        <f t="shared" si="29"/>
        <v>0</v>
      </c>
      <c r="AL506" s="695" t="s">
        <v>1726</v>
      </c>
      <c r="AM506" s="669">
        <f t="shared" si="30"/>
        <v>11</v>
      </c>
    </row>
    <row r="507" spans="1:39" s="500" customFormat="1" ht="13.5" hidden="1" thickBot="1">
      <c r="A507" s="554" t="s">
        <v>1081</v>
      </c>
      <c r="B507" s="555" t="s">
        <v>1412</v>
      </c>
      <c r="C507" s="561" t="s">
        <v>1452</v>
      </c>
      <c r="D507" s="519"/>
      <c r="E507" s="520"/>
      <c r="F507" s="520"/>
      <c r="G507" s="726"/>
      <c r="H507" s="520"/>
      <c r="I507" s="521"/>
      <c r="J507" s="521"/>
      <c r="K507" s="521"/>
      <c r="L507" s="514"/>
      <c r="M507" s="514"/>
      <c r="N507" s="756"/>
      <c r="O507" s="514"/>
      <c r="P507" s="514"/>
      <c r="Q507" s="514"/>
      <c r="R507" s="514"/>
      <c r="S507" s="514"/>
      <c r="T507" s="514"/>
      <c r="U507" s="756"/>
      <c r="V507" s="514"/>
      <c r="W507" s="514"/>
      <c r="X507" s="514"/>
      <c r="Y507" s="514"/>
      <c r="Z507" s="514"/>
      <c r="AA507" s="514"/>
      <c r="AB507" s="756"/>
      <c r="AC507" s="514"/>
      <c r="AD507" s="514"/>
      <c r="AE507" s="514"/>
      <c r="AF507" s="764"/>
      <c r="AG507" s="514"/>
      <c r="AH507" s="514"/>
      <c r="AI507" s="664">
        <f t="shared" si="31"/>
        <v>0</v>
      </c>
      <c r="AJ507" s="521">
        <v>0</v>
      </c>
      <c r="AK507" s="520">
        <f t="shared" si="29"/>
        <v>0</v>
      </c>
      <c r="AL507" s="695" t="s">
        <v>1698</v>
      </c>
      <c r="AM507" s="669">
        <f t="shared" si="30"/>
        <v>2</v>
      </c>
    </row>
    <row r="508" spans="1:39" s="500" customFormat="1" ht="13.5" hidden="1" thickBot="1">
      <c r="A508" s="554" t="s">
        <v>1082</v>
      </c>
      <c r="B508" s="555" t="s">
        <v>1413</v>
      </c>
      <c r="C508" s="561" t="s">
        <v>1452</v>
      </c>
      <c r="D508" s="519"/>
      <c r="E508" s="520"/>
      <c r="F508" s="520"/>
      <c r="G508" s="726"/>
      <c r="H508" s="520"/>
      <c r="I508" s="521"/>
      <c r="J508" s="521"/>
      <c r="K508" s="521"/>
      <c r="L508" s="514"/>
      <c r="M508" s="514"/>
      <c r="N508" s="756"/>
      <c r="O508" s="514"/>
      <c r="P508" s="514"/>
      <c r="Q508" s="514"/>
      <c r="R508" s="514"/>
      <c r="S508" s="514"/>
      <c r="T508" s="514"/>
      <c r="U508" s="756"/>
      <c r="V508" s="514"/>
      <c r="W508" s="514"/>
      <c r="X508" s="514"/>
      <c r="Y508" s="514"/>
      <c r="Z508" s="514"/>
      <c r="AA508" s="514"/>
      <c r="AB508" s="756"/>
      <c r="AC508" s="514"/>
      <c r="AD508" s="514"/>
      <c r="AE508" s="514"/>
      <c r="AF508" s="764"/>
      <c r="AG508" s="514"/>
      <c r="AH508" s="514"/>
      <c r="AI508" s="664">
        <f t="shared" si="31"/>
        <v>0</v>
      </c>
      <c r="AJ508" s="521">
        <v>0</v>
      </c>
      <c r="AK508" s="520">
        <f t="shared" si="29"/>
        <v>0</v>
      </c>
      <c r="AL508" s="695" t="s">
        <v>1698</v>
      </c>
      <c r="AM508" s="669">
        <f t="shared" si="30"/>
        <v>2</v>
      </c>
    </row>
    <row r="509" spans="1:39" s="500" customFormat="1" ht="13.5" hidden="1" thickBot="1">
      <c r="A509" s="554" t="s">
        <v>1083</v>
      </c>
      <c r="B509" s="555" t="s">
        <v>1414</v>
      </c>
      <c r="C509" s="561"/>
      <c r="D509" s="519"/>
      <c r="E509" s="520"/>
      <c r="F509" s="520"/>
      <c r="G509" s="726"/>
      <c r="H509" s="520"/>
      <c r="I509" s="521"/>
      <c r="J509" s="521"/>
      <c r="K509" s="521"/>
      <c r="L509" s="514"/>
      <c r="M509" s="514"/>
      <c r="N509" s="756"/>
      <c r="O509" s="514"/>
      <c r="P509" s="514"/>
      <c r="Q509" s="514"/>
      <c r="R509" s="514"/>
      <c r="S509" s="514"/>
      <c r="T509" s="514"/>
      <c r="U509" s="756"/>
      <c r="V509" s="514"/>
      <c r="W509" s="514"/>
      <c r="X509" s="514"/>
      <c r="Y509" s="514"/>
      <c r="Z509" s="514"/>
      <c r="AA509" s="514"/>
      <c r="AB509" s="756"/>
      <c r="AC509" s="514"/>
      <c r="AD509" s="514"/>
      <c r="AE509" s="514"/>
      <c r="AF509" s="764"/>
      <c r="AG509" s="514"/>
      <c r="AH509" s="514"/>
      <c r="AI509" s="664">
        <f t="shared" si="31"/>
        <v>0</v>
      </c>
      <c r="AJ509" s="521">
        <v>0</v>
      </c>
      <c r="AK509" s="520">
        <f t="shared" si="29"/>
        <v>0</v>
      </c>
      <c r="AL509" s="695"/>
      <c r="AM509" s="669">
        <f t="shared" si="30"/>
        <v>0</v>
      </c>
    </row>
    <row r="510" spans="1:39" s="500" customFormat="1" ht="13.5" hidden="1" thickBot="1">
      <c r="A510" s="554" t="s">
        <v>1084</v>
      </c>
      <c r="B510" s="555" t="s">
        <v>1415</v>
      </c>
      <c r="C510" s="561" t="s">
        <v>36</v>
      </c>
      <c r="D510" s="519"/>
      <c r="E510" s="520"/>
      <c r="F510" s="520"/>
      <c r="G510" s="726"/>
      <c r="H510" s="520"/>
      <c r="I510" s="521"/>
      <c r="J510" s="521"/>
      <c r="K510" s="521"/>
      <c r="L510" s="514"/>
      <c r="M510" s="514"/>
      <c r="N510" s="756"/>
      <c r="O510" s="514"/>
      <c r="P510" s="514"/>
      <c r="Q510" s="514"/>
      <c r="R510" s="514"/>
      <c r="S510" s="514"/>
      <c r="T510" s="514"/>
      <c r="U510" s="756"/>
      <c r="V510" s="514"/>
      <c r="W510" s="514"/>
      <c r="X510" s="514"/>
      <c r="Y510" s="514"/>
      <c r="Z510" s="514"/>
      <c r="AA510" s="514"/>
      <c r="AB510" s="756"/>
      <c r="AC510" s="514"/>
      <c r="AD510" s="514"/>
      <c r="AE510" s="514"/>
      <c r="AF510" s="764"/>
      <c r="AG510" s="514"/>
      <c r="AH510" s="514"/>
      <c r="AI510" s="664">
        <f t="shared" si="31"/>
        <v>0</v>
      </c>
      <c r="AJ510" s="521">
        <v>0</v>
      </c>
      <c r="AK510" s="520">
        <f t="shared" si="29"/>
        <v>0</v>
      </c>
      <c r="AL510" s="695" t="s">
        <v>1455</v>
      </c>
      <c r="AM510" s="669">
        <f t="shared" si="30"/>
        <v>1</v>
      </c>
    </row>
    <row r="511" spans="1:39" s="500" customFormat="1" ht="13.5" hidden="1" thickBot="1">
      <c r="A511" s="554" t="s">
        <v>1085</v>
      </c>
      <c r="B511" s="555" t="s">
        <v>1416</v>
      </c>
      <c r="C511" s="561"/>
      <c r="D511" s="519"/>
      <c r="E511" s="520"/>
      <c r="F511" s="520"/>
      <c r="G511" s="726"/>
      <c r="H511" s="520"/>
      <c r="I511" s="521"/>
      <c r="J511" s="521"/>
      <c r="K511" s="521"/>
      <c r="L511" s="514"/>
      <c r="M511" s="514"/>
      <c r="N511" s="756"/>
      <c r="O511" s="514"/>
      <c r="P511" s="514"/>
      <c r="Q511" s="514"/>
      <c r="R511" s="514"/>
      <c r="S511" s="514"/>
      <c r="T511" s="514"/>
      <c r="U511" s="756"/>
      <c r="V511" s="514"/>
      <c r="W511" s="514"/>
      <c r="X511" s="514"/>
      <c r="Y511" s="514"/>
      <c r="Z511" s="514"/>
      <c r="AA511" s="514"/>
      <c r="AB511" s="756"/>
      <c r="AC511" s="514"/>
      <c r="AD511" s="514"/>
      <c r="AE511" s="514"/>
      <c r="AF511" s="764"/>
      <c r="AG511" s="514"/>
      <c r="AH511" s="514"/>
      <c r="AI511" s="664">
        <f t="shared" si="31"/>
        <v>0</v>
      </c>
      <c r="AJ511" s="521">
        <v>0</v>
      </c>
      <c r="AK511" s="520">
        <f t="shared" si="29"/>
        <v>0</v>
      </c>
      <c r="AL511" s="695"/>
      <c r="AM511" s="669">
        <f t="shared" si="30"/>
        <v>0</v>
      </c>
    </row>
    <row r="512" spans="1:39" s="500" customFormat="1" ht="13.5" hidden="1" thickBot="1">
      <c r="A512" s="554" t="s">
        <v>1086</v>
      </c>
      <c r="B512" s="555" t="s">
        <v>1417</v>
      </c>
      <c r="C512" s="561" t="s">
        <v>36</v>
      </c>
      <c r="D512" s="519"/>
      <c r="E512" s="520"/>
      <c r="F512" s="520"/>
      <c r="G512" s="726"/>
      <c r="H512" s="520"/>
      <c r="I512" s="521"/>
      <c r="J512" s="521"/>
      <c r="K512" s="521"/>
      <c r="L512" s="514"/>
      <c r="M512" s="514"/>
      <c r="N512" s="756"/>
      <c r="O512" s="514"/>
      <c r="P512" s="514"/>
      <c r="Q512" s="514"/>
      <c r="R512" s="514"/>
      <c r="S512" s="514"/>
      <c r="T512" s="514"/>
      <c r="U512" s="756"/>
      <c r="V512" s="514"/>
      <c r="W512" s="514"/>
      <c r="X512" s="514"/>
      <c r="Y512" s="514"/>
      <c r="Z512" s="514"/>
      <c r="AA512" s="514"/>
      <c r="AB512" s="756"/>
      <c r="AC512" s="514"/>
      <c r="AD512" s="514"/>
      <c r="AE512" s="514"/>
      <c r="AF512" s="764"/>
      <c r="AG512" s="514"/>
      <c r="AH512" s="514"/>
      <c r="AI512" s="664">
        <f t="shared" si="31"/>
        <v>0</v>
      </c>
      <c r="AJ512" s="521">
        <v>0</v>
      </c>
      <c r="AK512" s="520">
        <f t="shared" si="29"/>
        <v>0</v>
      </c>
      <c r="AL512" s="695" t="s">
        <v>1455</v>
      </c>
      <c r="AM512" s="669">
        <f t="shared" si="30"/>
        <v>1</v>
      </c>
    </row>
    <row r="513" spans="1:39" s="500" customFormat="1" ht="13.5" hidden="1" thickBot="1">
      <c r="A513" s="554" t="s">
        <v>513</v>
      </c>
      <c r="B513" s="555" t="s">
        <v>1418</v>
      </c>
      <c r="C513" s="561"/>
      <c r="D513" s="519"/>
      <c r="E513" s="520"/>
      <c r="F513" s="520"/>
      <c r="G513" s="726"/>
      <c r="H513" s="520"/>
      <c r="I513" s="521"/>
      <c r="J513" s="521"/>
      <c r="K513" s="521"/>
      <c r="L513" s="514"/>
      <c r="M513" s="514"/>
      <c r="N513" s="756"/>
      <c r="O513" s="514"/>
      <c r="P513" s="514"/>
      <c r="Q513" s="514"/>
      <c r="R513" s="514"/>
      <c r="S513" s="514"/>
      <c r="T513" s="514"/>
      <c r="U513" s="756"/>
      <c r="V513" s="514"/>
      <c r="W513" s="514"/>
      <c r="X513" s="514"/>
      <c r="Y513" s="514"/>
      <c r="Z513" s="514"/>
      <c r="AA513" s="514"/>
      <c r="AB513" s="756"/>
      <c r="AC513" s="514"/>
      <c r="AD513" s="514"/>
      <c r="AE513" s="514"/>
      <c r="AF513" s="764"/>
      <c r="AG513" s="514"/>
      <c r="AH513" s="514"/>
      <c r="AI513" s="664">
        <f t="shared" si="31"/>
        <v>0</v>
      </c>
      <c r="AJ513" s="521">
        <v>0</v>
      </c>
      <c r="AK513" s="520">
        <f t="shared" si="29"/>
        <v>0</v>
      </c>
      <c r="AL513" s="695"/>
      <c r="AM513" s="669">
        <f t="shared" si="30"/>
        <v>0</v>
      </c>
    </row>
    <row r="514" spans="1:39" s="500" customFormat="1" ht="13.5" hidden="1" thickBot="1">
      <c r="A514" s="554" t="s">
        <v>1087</v>
      </c>
      <c r="B514" s="555" t="s">
        <v>1419</v>
      </c>
      <c r="C514" s="561"/>
      <c r="D514" s="519"/>
      <c r="E514" s="520"/>
      <c r="F514" s="520"/>
      <c r="G514" s="726"/>
      <c r="H514" s="520"/>
      <c r="I514" s="521"/>
      <c r="J514" s="521"/>
      <c r="K514" s="521"/>
      <c r="L514" s="514"/>
      <c r="M514" s="514"/>
      <c r="N514" s="756"/>
      <c r="O514" s="514"/>
      <c r="P514" s="514"/>
      <c r="Q514" s="514"/>
      <c r="R514" s="514"/>
      <c r="S514" s="514"/>
      <c r="T514" s="514"/>
      <c r="U514" s="756"/>
      <c r="V514" s="514"/>
      <c r="W514" s="514"/>
      <c r="X514" s="514"/>
      <c r="Y514" s="514"/>
      <c r="Z514" s="514"/>
      <c r="AA514" s="514"/>
      <c r="AB514" s="756"/>
      <c r="AC514" s="514"/>
      <c r="AD514" s="514"/>
      <c r="AE514" s="514"/>
      <c r="AF514" s="764"/>
      <c r="AG514" s="514"/>
      <c r="AH514" s="514"/>
      <c r="AI514" s="664">
        <f t="shared" si="31"/>
        <v>0</v>
      </c>
      <c r="AJ514" s="521">
        <v>0</v>
      </c>
      <c r="AK514" s="520">
        <f t="shared" si="29"/>
        <v>0</v>
      </c>
      <c r="AL514" s="695"/>
      <c r="AM514" s="669">
        <f t="shared" si="30"/>
        <v>0</v>
      </c>
    </row>
    <row r="515" spans="1:39" s="500" customFormat="1" ht="13.5" hidden="1" thickBot="1">
      <c r="A515" s="554" t="s">
        <v>1088</v>
      </c>
      <c r="B515" s="555" t="s">
        <v>1420</v>
      </c>
      <c r="C515" s="561" t="s">
        <v>38</v>
      </c>
      <c r="D515" s="519"/>
      <c r="E515" s="520"/>
      <c r="F515" s="520"/>
      <c r="G515" s="726"/>
      <c r="H515" s="520"/>
      <c r="I515" s="521"/>
      <c r="J515" s="521"/>
      <c r="K515" s="521"/>
      <c r="L515" s="514"/>
      <c r="M515" s="514"/>
      <c r="N515" s="756"/>
      <c r="O515" s="514"/>
      <c r="P515" s="514"/>
      <c r="Q515" s="514"/>
      <c r="R515" s="514"/>
      <c r="S515" s="514"/>
      <c r="T515" s="514"/>
      <c r="U515" s="756"/>
      <c r="V515" s="514"/>
      <c r="W515" s="514"/>
      <c r="X515" s="514"/>
      <c r="Y515" s="514"/>
      <c r="Z515" s="514"/>
      <c r="AA515" s="514"/>
      <c r="AB515" s="756"/>
      <c r="AC515" s="514"/>
      <c r="AD515" s="514"/>
      <c r="AE515" s="514"/>
      <c r="AF515" s="764"/>
      <c r="AG515" s="514"/>
      <c r="AH515" s="514"/>
      <c r="AI515" s="664">
        <f t="shared" si="31"/>
        <v>0</v>
      </c>
      <c r="AJ515" s="521">
        <v>0</v>
      </c>
      <c r="AK515" s="520">
        <f t="shared" si="29"/>
        <v>0</v>
      </c>
      <c r="AL515" s="695" t="s">
        <v>1768</v>
      </c>
      <c r="AM515" s="669">
        <f t="shared" si="30"/>
        <v>29</v>
      </c>
    </row>
    <row r="516" spans="1:39" s="500" customFormat="1" ht="13.5" hidden="1" thickBot="1">
      <c r="A516" s="554" t="s">
        <v>1089</v>
      </c>
      <c r="B516" s="555" t="s">
        <v>1421</v>
      </c>
      <c r="C516" s="561"/>
      <c r="D516" s="519"/>
      <c r="E516" s="520"/>
      <c r="F516" s="520"/>
      <c r="G516" s="726"/>
      <c r="H516" s="520"/>
      <c r="I516" s="521"/>
      <c r="J516" s="521"/>
      <c r="K516" s="521"/>
      <c r="L516" s="514"/>
      <c r="M516" s="514"/>
      <c r="N516" s="756"/>
      <c r="O516" s="514"/>
      <c r="P516" s="514"/>
      <c r="Q516" s="514"/>
      <c r="R516" s="514"/>
      <c r="S516" s="514"/>
      <c r="T516" s="514"/>
      <c r="U516" s="756"/>
      <c r="V516" s="514"/>
      <c r="W516" s="514"/>
      <c r="X516" s="514"/>
      <c r="Y516" s="514"/>
      <c r="Z516" s="514"/>
      <c r="AA516" s="514"/>
      <c r="AB516" s="756"/>
      <c r="AC516" s="514"/>
      <c r="AD516" s="514"/>
      <c r="AE516" s="514"/>
      <c r="AF516" s="764"/>
      <c r="AG516" s="514"/>
      <c r="AH516" s="514"/>
      <c r="AI516" s="664">
        <f t="shared" si="31"/>
        <v>0</v>
      </c>
      <c r="AJ516" s="521">
        <v>0</v>
      </c>
      <c r="AK516" s="520">
        <f t="shared" si="29"/>
        <v>0</v>
      </c>
      <c r="AL516" s="695"/>
      <c r="AM516" s="669">
        <f t="shared" si="30"/>
        <v>0</v>
      </c>
    </row>
    <row r="517" spans="1:39" s="500" customFormat="1" ht="13.5" hidden="1" thickBot="1">
      <c r="A517" s="554" t="s">
        <v>1090</v>
      </c>
      <c r="B517" s="555" t="s">
        <v>1422</v>
      </c>
      <c r="C517" s="561" t="s">
        <v>38</v>
      </c>
      <c r="D517" s="519"/>
      <c r="E517" s="520"/>
      <c r="F517" s="520"/>
      <c r="G517" s="726"/>
      <c r="H517" s="520"/>
      <c r="I517" s="521"/>
      <c r="J517" s="521"/>
      <c r="K517" s="521"/>
      <c r="L517" s="514"/>
      <c r="M517" s="514"/>
      <c r="N517" s="756"/>
      <c r="O517" s="514"/>
      <c r="P517" s="514"/>
      <c r="Q517" s="514"/>
      <c r="R517" s="514"/>
      <c r="S517" s="514"/>
      <c r="T517" s="514"/>
      <c r="U517" s="756"/>
      <c r="V517" s="514"/>
      <c r="W517" s="514"/>
      <c r="X517" s="514"/>
      <c r="Y517" s="514"/>
      <c r="Z517" s="514"/>
      <c r="AA517" s="514"/>
      <c r="AB517" s="756"/>
      <c r="AC517" s="514"/>
      <c r="AD517" s="514"/>
      <c r="AE517" s="514"/>
      <c r="AF517" s="764"/>
      <c r="AG517" s="514"/>
      <c r="AH517" s="514"/>
      <c r="AI517" s="664">
        <f t="shared" si="31"/>
        <v>0</v>
      </c>
      <c r="AJ517" s="521">
        <v>0</v>
      </c>
      <c r="AK517" s="520">
        <f t="shared" si="29"/>
        <v>0</v>
      </c>
      <c r="AL517" s="695" t="s">
        <v>1736</v>
      </c>
      <c r="AM517" s="669">
        <f t="shared" si="30"/>
        <v>64</v>
      </c>
    </row>
    <row r="518" spans="1:39" s="500" customFormat="1" ht="13.5" hidden="1" thickBot="1">
      <c r="A518" s="554" t="s">
        <v>1091</v>
      </c>
      <c r="B518" s="555" t="s">
        <v>1423</v>
      </c>
      <c r="C518" s="561"/>
      <c r="D518" s="519"/>
      <c r="E518" s="520"/>
      <c r="F518" s="520"/>
      <c r="G518" s="726"/>
      <c r="H518" s="520"/>
      <c r="I518" s="521"/>
      <c r="J518" s="521"/>
      <c r="K518" s="521"/>
      <c r="L518" s="514"/>
      <c r="M518" s="514"/>
      <c r="N518" s="756"/>
      <c r="O518" s="514"/>
      <c r="P518" s="514"/>
      <c r="Q518" s="514"/>
      <c r="R518" s="514"/>
      <c r="S518" s="514"/>
      <c r="T518" s="514"/>
      <c r="U518" s="756"/>
      <c r="V518" s="514"/>
      <c r="W518" s="514"/>
      <c r="X518" s="514"/>
      <c r="Y518" s="514"/>
      <c r="Z518" s="514"/>
      <c r="AA518" s="514"/>
      <c r="AB518" s="756"/>
      <c r="AC518" s="514"/>
      <c r="AD518" s="514"/>
      <c r="AE518" s="514"/>
      <c r="AF518" s="764"/>
      <c r="AG518" s="514"/>
      <c r="AH518" s="514"/>
      <c r="AI518" s="664">
        <f t="shared" si="31"/>
        <v>0</v>
      </c>
      <c r="AJ518" s="521">
        <v>0</v>
      </c>
      <c r="AK518" s="520">
        <f t="shared" si="29"/>
        <v>0</v>
      </c>
      <c r="AL518" s="695"/>
      <c r="AM518" s="669">
        <f t="shared" si="30"/>
        <v>0</v>
      </c>
    </row>
    <row r="519" spans="1:39" s="500" customFormat="1" ht="13.5" hidden="1" thickBot="1">
      <c r="A519" s="554" t="s">
        <v>1092</v>
      </c>
      <c r="B519" s="555" t="s">
        <v>1424</v>
      </c>
      <c r="C519" s="561" t="s">
        <v>38</v>
      </c>
      <c r="D519" s="519"/>
      <c r="E519" s="520"/>
      <c r="F519" s="520"/>
      <c r="G519" s="726"/>
      <c r="H519" s="520"/>
      <c r="I519" s="521"/>
      <c r="J519" s="521"/>
      <c r="K519" s="521"/>
      <c r="L519" s="514"/>
      <c r="M519" s="514"/>
      <c r="N519" s="756"/>
      <c r="O519" s="514"/>
      <c r="P519" s="514"/>
      <c r="Q519" s="514"/>
      <c r="R519" s="514"/>
      <c r="S519" s="514"/>
      <c r="T519" s="514"/>
      <c r="U519" s="756"/>
      <c r="V519" s="514"/>
      <c r="W519" s="514"/>
      <c r="X519" s="514"/>
      <c r="Y519" s="514"/>
      <c r="Z519" s="514"/>
      <c r="AA519" s="514"/>
      <c r="AB519" s="756"/>
      <c r="AC519" s="514"/>
      <c r="AD519" s="514"/>
      <c r="AE519" s="514"/>
      <c r="AF519" s="764"/>
      <c r="AG519" s="514"/>
      <c r="AH519" s="514"/>
      <c r="AI519" s="664">
        <f t="shared" si="31"/>
        <v>0</v>
      </c>
      <c r="AJ519" s="521">
        <v>0</v>
      </c>
      <c r="AK519" s="520">
        <f t="shared" si="29"/>
        <v>0</v>
      </c>
      <c r="AL519" s="695" t="s">
        <v>1736</v>
      </c>
      <c r="AM519" s="669">
        <f t="shared" si="30"/>
        <v>64</v>
      </c>
    </row>
    <row r="520" spans="1:39" s="500" customFormat="1" ht="13.5" hidden="1" thickBot="1">
      <c r="A520" s="554" t="s">
        <v>1093</v>
      </c>
      <c r="B520" s="555" t="s">
        <v>1425</v>
      </c>
      <c r="C520" s="561"/>
      <c r="D520" s="519"/>
      <c r="E520" s="520"/>
      <c r="F520" s="520"/>
      <c r="G520" s="726"/>
      <c r="H520" s="520"/>
      <c r="I520" s="521"/>
      <c r="J520" s="521"/>
      <c r="K520" s="521"/>
      <c r="L520" s="514"/>
      <c r="M520" s="514"/>
      <c r="N520" s="756"/>
      <c r="O520" s="514"/>
      <c r="P520" s="514"/>
      <c r="Q520" s="514"/>
      <c r="R520" s="514"/>
      <c r="S520" s="514"/>
      <c r="T520" s="514"/>
      <c r="U520" s="756"/>
      <c r="V520" s="514"/>
      <c r="W520" s="514"/>
      <c r="X520" s="514"/>
      <c r="Y520" s="514"/>
      <c r="Z520" s="514"/>
      <c r="AA520" s="514"/>
      <c r="AB520" s="756"/>
      <c r="AC520" s="514"/>
      <c r="AD520" s="514"/>
      <c r="AE520" s="514"/>
      <c r="AF520" s="764"/>
      <c r="AG520" s="514"/>
      <c r="AH520" s="514"/>
      <c r="AI520" s="664">
        <f t="shared" si="31"/>
        <v>0</v>
      </c>
      <c r="AJ520" s="521">
        <v>0</v>
      </c>
      <c r="AK520" s="520">
        <f t="shared" si="29"/>
        <v>0</v>
      </c>
      <c r="AL520" s="695"/>
      <c r="AM520" s="669">
        <f t="shared" si="30"/>
        <v>0</v>
      </c>
    </row>
    <row r="521" spans="1:39" s="500" customFormat="1" ht="13.5" hidden="1" thickBot="1">
      <c r="A521" s="554" t="s">
        <v>1094</v>
      </c>
      <c r="B521" s="555" t="s">
        <v>1426</v>
      </c>
      <c r="C521" s="561" t="s">
        <v>1452</v>
      </c>
      <c r="D521" s="519"/>
      <c r="E521" s="520"/>
      <c r="F521" s="520"/>
      <c r="G521" s="726"/>
      <c r="H521" s="520"/>
      <c r="I521" s="521"/>
      <c r="J521" s="521"/>
      <c r="K521" s="521"/>
      <c r="L521" s="514"/>
      <c r="M521" s="514"/>
      <c r="N521" s="756"/>
      <c r="O521" s="514"/>
      <c r="P521" s="514"/>
      <c r="Q521" s="514"/>
      <c r="R521" s="514"/>
      <c r="S521" s="514"/>
      <c r="T521" s="514"/>
      <c r="U521" s="756"/>
      <c r="V521" s="514"/>
      <c r="W521" s="514"/>
      <c r="X521" s="514"/>
      <c r="Y521" s="514"/>
      <c r="Z521" s="514"/>
      <c r="AA521" s="514"/>
      <c r="AB521" s="756"/>
      <c r="AC521" s="514"/>
      <c r="AD521" s="514"/>
      <c r="AE521" s="514"/>
      <c r="AF521" s="764"/>
      <c r="AG521" s="514"/>
      <c r="AH521" s="514"/>
      <c r="AI521" s="664">
        <f t="shared" si="31"/>
        <v>0</v>
      </c>
      <c r="AJ521" s="521">
        <v>0</v>
      </c>
      <c r="AK521" s="520">
        <f t="shared" si="29"/>
        <v>0</v>
      </c>
      <c r="AL521" s="695" t="s">
        <v>1617</v>
      </c>
      <c r="AM521" s="669">
        <f t="shared" si="30"/>
        <v>6</v>
      </c>
    </row>
    <row r="522" spans="1:39" s="500" customFormat="1" ht="13.5" hidden="1" thickBot="1">
      <c r="A522" s="554" t="s">
        <v>1095</v>
      </c>
      <c r="B522" s="555" t="s">
        <v>1392</v>
      </c>
      <c r="C522" s="561"/>
      <c r="D522" s="519"/>
      <c r="E522" s="520"/>
      <c r="F522" s="520"/>
      <c r="G522" s="726"/>
      <c r="H522" s="520"/>
      <c r="I522" s="521"/>
      <c r="J522" s="521"/>
      <c r="K522" s="521"/>
      <c r="L522" s="514"/>
      <c r="M522" s="514"/>
      <c r="N522" s="756"/>
      <c r="O522" s="514"/>
      <c r="P522" s="514"/>
      <c r="Q522" s="514"/>
      <c r="R522" s="514"/>
      <c r="S522" s="514"/>
      <c r="T522" s="514"/>
      <c r="U522" s="756"/>
      <c r="V522" s="514"/>
      <c r="W522" s="514"/>
      <c r="X522" s="514"/>
      <c r="Y522" s="514"/>
      <c r="Z522" s="514"/>
      <c r="AA522" s="514"/>
      <c r="AB522" s="756"/>
      <c r="AC522" s="514"/>
      <c r="AD522" s="514"/>
      <c r="AE522" s="514"/>
      <c r="AF522" s="764"/>
      <c r="AG522" s="514"/>
      <c r="AH522" s="514"/>
      <c r="AI522" s="664">
        <f t="shared" si="31"/>
        <v>0</v>
      </c>
      <c r="AJ522" s="521">
        <v>0</v>
      </c>
      <c r="AK522" s="520">
        <f t="shared" si="29"/>
        <v>0</v>
      </c>
      <c r="AL522" s="695"/>
      <c r="AM522" s="669">
        <f t="shared" si="30"/>
        <v>0</v>
      </c>
    </row>
    <row r="523" spans="1:39" s="500" customFormat="1" ht="13.5" hidden="1" thickBot="1">
      <c r="A523" s="554" t="s">
        <v>1096</v>
      </c>
      <c r="B523" s="555" t="s">
        <v>1427</v>
      </c>
      <c r="C523" s="561" t="s">
        <v>36</v>
      </c>
      <c r="D523" s="519"/>
      <c r="E523" s="520"/>
      <c r="F523" s="520"/>
      <c r="G523" s="726"/>
      <c r="H523" s="520"/>
      <c r="I523" s="521"/>
      <c r="J523" s="521"/>
      <c r="K523" s="521"/>
      <c r="L523" s="514"/>
      <c r="M523" s="514"/>
      <c r="N523" s="756"/>
      <c r="O523" s="514"/>
      <c r="P523" s="514"/>
      <c r="Q523" s="514"/>
      <c r="R523" s="514"/>
      <c r="S523" s="514"/>
      <c r="T523" s="514"/>
      <c r="U523" s="756"/>
      <c r="V523" s="514"/>
      <c r="W523" s="514"/>
      <c r="X523" s="514"/>
      <c r="Y523" s="514"/>
      <c r="Z523" s="514"/>
      <c r="AA523" s="514"/>
      <c r="AB523" s="756"/>
      <c r="AC523" s="514"/>
      <c r="AD523" s="514"/>
      <c r="AE523" s="514"/>
      <c r="AF523" s="764"/>
      <c r="AG523" s="514"/>
      <c r="AH523" s="514"/>
      <c r="AI523" s="664">
        <f t="shared" si="31"/>
        <v>0</v>
      </c>
      <c r="AJ523" s="521">
        <v>0</v>
      </c>
      <c r="AK523" s="520">
        <f t="shared" si="29"/>
        <v>0</v>
      </c>
      <c r="AL523" s="695" t="s">
        <v>1617</v>
      </c>
      <c r="AM523" s="669">
        <f t="shared" si="30"/>
        <v>6</v>
      </c>
    </row>
    <row r="524" spans="1:39" s="500" customFormat="1" ht="13.5" hidden="1" thickBot="1">
      <c r="A524" s="554" t="s">
        <v>1097</v>
      </c>
      <c r="B524" s="555" t="s">
        <v>1428</v>
      </c>
      <c r="C524" s="561"/>
      <c r="D524" s="519"/>
      <c r="E524" s="520"/>
      <c r="F524" s="520"/>
      <c r="G524" s="726"/>
      <c r="H524" s="520"/>
      <c r="I524" s="521"/>
      <c r="J524" s="521"/>
      <c r="K524" s="521"/>
      <c r="L524" s="514"/>
      <c r="M524" s="514"/>
      <c r="N524" s="756"/>
      <c r="O524" s="514"/>
      <c r="P524" s="514"/>
      <c r="Q524" s="514"/>
      <c r="R524" s="514"/>
      <c r="S524" s="514"/>
      <c r="T524" s="514"/>
      <c r="U524" s="756"/>
      <c r="V524" s="514"/>
      <c r="W524" s="514"/>
      <c r="X524" s="514"/>
      <c r="Y524" s="514"/>
      <c r="Z524" s="514"/>
      <c r="AA524" s="514"/>
      <c r="AB524" s="756"/>
      <c r="AC524" s="514"/>
      <c r="AD524" s="514"/>
      <c r="AE524" s="514"/>
      <c r="AF524" s="764"/>
      <c r="AG524" s="514"/>
      <c r="AH524" s="514"/>
      <c r="AI524" s="664">
        <f t="shared" si="31"/>
        <v>0</v>
      </c>
      <c r="AJ524" s="521">
        <v>0</v>
      </c>
      <c r="AK524" s="520">
        <f t="shared" si="29"/>
        <v>0</v>
      </c>
      <c r="AL524" s="695"/>
      <c r="AM524" s="669">
        <f t="shared" si="30"/>
        <v>0</v>
      </c>
    </row>
    <row r="525" spans="1:39" s="500" customFormat="1" ht="13.5" hidden="1" thickBot="1">
      <c r="A525" s="554" t="s">
        <v>1098</v>
      </c>
      <c r="B525" s="555" t="s">
        <v>1419</v>
      </c>
      <c r="C525" s="561"/>
      <c r="D525" s="519"/>
      <c r="E525" s="520"/>
      <c r="F525" s="520"/>
      <c r="G525" s="726"/>
      <c r="H525" s="520"/>
      <c r="I525" s="521"/>
      <c r="J525" s="521"/>
      <c r="K525" s="521"/>
      <c r="L525" s="514"/>
      <c r="M525" s="514"/>
      <c r="N525" s="756"/>
      <c r="O525" s="514"/>
      <c r="P525" s="514"/>
      <c r="Q525" s="514"/>
      <c r="R525" s="514"/>
      <c r="S525" s="514"/>
      <c r="T525" s="514"/>
      <c r="U525" s="756"/>
      <c r="V525" s="514"/>
      <c r="W525" s="514"/>
      <c r="X525" s="514"/>
      <c r="Y525" s="514"/>
      <c r="Z525" s="514"/>
      <c r="AA525" s="514"/>
      <c r="AB525" s="756"/>
      <c r="AC525" s="514"/>
      <c r="AD525" s="514"/>
      <c r="AE525" s="514"/>
      <c r="AF525" s="764"/>
      <c r="AG525" s="514"/>
      <c r="AH525" s="514"/>
      <c r="AI525" s="664">
        <f t="shared" si="31"/>
        <v>0</v>
      </c>
      <c r="AJ525" s="521">
        <v>0</v>
      </c>
      <c r="AK525" s="520">
        <f t="shared" si="29"/>
        <v>0</v>
      </c>
      <c r="AL525" s="695"/>
      <c r="AM525" s="669">
        <f t="shared" si="30"/>
        <v>0</v>
      </c>
    </row>
    <row r="526" spans="1:39" s="500" customFormat="1" ht="13.5" hidden="1" thickBot="1">
      <c r="A526" s="554" t="s">
        <v>1099</v>
      </c>
      <c r="B526" s="555" t="s">
        <v>1420</v>
      </c>
      <c r="C526" s="561" t="s">
        <v>38</v>
      </c>
      <c r="D526" s="519"/>
      <c r="E526" s="520"/>
      <c r="F526" s="520"/>
      <c r="G526" s="726"/>
      <c r="H526" s="520"/>
      <c r="I526" s="521"/>
      <c r="J526" s="521"/>
      <c r="K526" s="521"/>
      <c r="L526" s="514"/>
      <c r="M526" s="514"/>
      <c r="N526" s="756"/>
      <c r="O526" s="514"/>
      <c r="P526" s="514"/>
      <c r="Q526" s="514"/>
      <c r="R526" s="514"/>
      <c r="S526" s="514"/>
      <c r="T526" s="514"/>
      <c r="U526" s="756"/>
      <c r="V526" s="514"/>
      <c r="W526" s="514"/>
      <c r="X526" s="514"/>
      <c r="Y526" s="514"/>
      <c r="Z526" s="514"/>
      <c r="AA526" s="514"/>
      <c r="AB526" s="756"/>
      <c r="AC526" s="514"/>
      <c r="AD526" s="514"/>
      <c r="AE526" s="514"/>
      <c r="AF526" s="764"/>
      <c r="AG526" s="514"/>
      <c r="AH526" s="514"/>
      <c r="AI526" s="664">
        <f t="shared" si="31"/>
        <v>0</v>
      </c>
      <c r="AJ526" s="521">
        <v>0</v>
      </c>
      <c r="AK526" s="520">
        <f t="shared" si="29"/>
        <v>0</v>
      </c>
      <c r="AL526" s="695" t="s">
        <v>1769</v>
      </c>
      <c r="AM526" s="669">
        <f t="shared" si="30"/>
        <v>56</v>
      </c>
    </row>
    <row r="527" spans="1:39" s="500" customFormat="1" ht="13.5" hidden="1" thickBot="1">
      <c r="A527" s="554" t="s">
        <v>1100</v>
      </c>
      <c r="B527" s="555" t="s">
        <v>1421</v>
      </c>
      <c r="C527" s="561"/>
      <c r="D527" s="519"/>
      <c r="E527" s="520"/>
      <c r="F527" s="520"/>
      <c r="G527" s="726"/>
      <c r="H527" s="520"/>
      <c r="I527" s="521"/>
      <c r="J527" s="521"/>
      <c r="K527" s="521"/>
      <c r="L527" s="514"/>
      <c r="M527" s="514"/>
      <c r="N527" s="756"/>
      <c r="O527" s="514"/>
      <c r="P527" s="514"/>
      <c r="Q527" s="514"/>
      <c r="R527" s="514"/>
      <c r="S527" s="514"/>
      <c r="T527" s="514"/>
      <c r="U527" s="756"/>
      <c r="V527" s="514"/>
      <c r="W527" s="514"/>
      <c r="X527" s="514"/>
      <c r="Y527" s="514"/>
      <c r="Z527" s="514"/>
      <c r="AA527" s="514"/>
      <c r="AB527" s="756"/>
      <c r="AC527" s="514"/>
      <c r="AD527" s="514"/>
      <c r="AE527" s="514"/>
      <c r="AF527" s="764"/>
      <c r="AG527" s="514"/>
      <c r="AH527" s="514"/>
      <c r="AI527" s="664">
        <f t="shared" si="31"/>
        <v>0</v>
      </c>
      <c r="AJ527" s="521">
        <v>0</v>
      </c>
      <c r="AK527" s="520">
        <f t="shared" si="29"/>
        <v>0</v>
      </c>
      <c r="AL527" s="695"/>
      <c r="AM527" s="669">
        <f t="shared" si="30"/>
        <v>0</v>
      </c>
    </row>
    <row r="528" spans="1:39" s="500" customFormat="1" ht="13.5" hidden="1" thickBot="1">
      <c r="A528" s="554" t="s">
        <v>1101</v>
      </c>
      <c r="B528" s="555" t="s">
        <v>1429</v>
      </c>
      <c r="C528" s="561" t="s">
        <v>38</v>
      </c>
      <c r="D528" s="519"/>
      <c r="E528" s="520"/>
      <c r="F528" s="520"/>
      <c r="G528" s="726"/>
      <c r="H528" s="520"/>
      <c r="I528" s="521"/>
      <c r="J528" s="521"/>
      <c r="K528" s="521"/>
      <c r="L528" s="514"/>
      <c r="M528" s="514"/>
      <c r="N528" s="756"/>
      <c r="O528" s="514"/>
      <c r="P528" s="514"/>
      <c r="Q528" s="514"/>
      <c r="R528" s="514"/>
      <c r="S528" s="514"/>
      <c r="T528" s="514"/>
      <c r="U528" s="756"/>
      <c r="V528" s="514"/>
      <c r="W528" s="514"/>
      <c r="X528" s="514"/>
      <c r="Y528" s="514"/>
      <c r="Z528" s="514"/>
      <c r="AA528" s="514"/>
      <c r="AB528" s="756"/>
      <c r="AC528" s="514"/>
      <c r="AD528" s="514"/>
      <c r="AE528" s="514"/>
      <c r="AF528" s="764"/>
      <c r="AG528" s="514"/>
      <c r="AH528" s="514"/>
      <c r="AI528" s="664">
        <f t="shared" si="31"/>
        <v>0</v>
      </c>
      <c r="AJ528" s="521">
        <v>0</v>
      </c>
      <c r="AK528" s="520">
        <f t="shared" si="29"/>
        <v>0</v>
      </c>
      <c r="AL528" s="695" t="s">
        <v>1770</v>
      </c>
      <c r="AM528" s="669">
        <f t="shared" si="30"/>
        <v>80</v>
      </c>
    </row>
    <row r="529" spans="1:39" s="500" customFormat="1" ht="13.5" hidden="1" thickBot="1">
      <c r="A529" s="554" t="s">
        <v>1102</v>
      </c>
      <c r="B529" s="555" t="s">
        <v>1423</v>
      </c>
      <c r="C529" s="561"/>
      <c r="D529" s="519"/>
      <c r="E529" s="520"/>
      <c r="F529" s="520"/>
      <c r="G529" s="726"/>
      <c r="H529" s="520"/>
      <c r="I529" s="521"/>
      <c r="J529" s="521"/>
      <c r="K529" s="521"/>
      <c r="L529" s="514"/>
      <c r="M529" s="514"/>
      <c r="N529" s="756"/>
      <c r="O529" s="514"/>
      <c r="P529" s="514"/>
      <c r="Q529" s="514"/>
      <c r="R529" s="514"/>
      <c r="S529" s="514"/>
      <c r="T529" s="514"/>
      <c r="U529" s="756"/>
      <c r="V529" s="514"/>
      <c r="W529" s="514"/>
      <c r="X529" s="514"/>
      <c r="Y529" s="514"/>
      <c r="Z529" s="514"/>
      <c r="AA529" s="514"/>
      <c r="AB529" s="756"/>
      <c r="AC529" s="514"/>
      <c r="AD529" s="514"/>
      <c r="AE529" s="514"/>
      <c r="AF529" s="764"/>
      <c r="AG529" s="514"/>
      <c r="AH529" s="514"/>
      <c r="AI529" s="664">
        <f t="shared" si="31"/>
        <v>0</v>
      </c>
      <c r="AJ529" s="521">
        <v>0</v>
      </c>
      <c r="AK529" s="520">
        <f t="shared" si="29"/>
        <v>0</v>
      </c>
      <c r="AL529" s="695"/>
      <c r="AM529" s="669">
        <f t="shared" si="30"/>
        <v>0</v>
      </c>
    </row>
    <row r="530" spans="1:39" s="500" customFormat="1" ht="13.5" hidden="1" thickBot="1">
      <c r="A530" s="554" t="s">
        <v>1103</v>
      </c>
      <c r="B530" s="555" t="s">
        <v>1430</v>
      </c>
      <c r="C530" s="561" t="s">
        <v>38</v>
      </c>
      <c r="D530" s="519"/>
      <c r="E530" s="520"/>
      <c r="F530" s="520"/>
      <c r="G530" s="726"/>
      <c r="H530" s="520"/>
      <c r="I530" s="521"/>
      <c r="J530" s="521"/>
      <c r="K530" s="521"/>
      <c r="L530" s="514"/>
      <c r="M530" s="514"/>
      <c r="N530" s="756"/>
      <c r="O530" s="514"/>
      <c r="P530" s="514"/>
      <c r="Q530" s="514"/>
      <c r="R530" s="514"/>
      <c r="S530" s="514"/>
      <c r="T530" s="514"/>
      <c r="U530" s="756"/>
      <c r="V530" s="514"/>
      <c r="W530" s="514"/>
      <c r="X530" s="514"/>
      <c r="Y530" s="514"/>
      <c r="Z530" s="514"/>
      <c r="AA530" s="514"/>
      <c r="AB530" s="756"/>
      <c r="AC530" s="514"/>
      <c r="AD530" s="514"/>
      <c r="AE530" s="514"/>
      <c r="AF530" s="764"/>
      <c r="AG530" s="514"/>
      <c r="AH530" s="514"/>
      <c r="AI530" s="664">
        <f t="shared" si="31"/>
        <v>0</v>
      </c>
      <c r="AJ530" s="521">
        <v>0</v>
      </c>
      <c r="AK530" s="520">
        <f t="shared" si="29"/>
        <v>0</v>
      </c>
      <c r="AL530" s="695" t="s">
        <v>1769</v>
      </c>
      <c r="AM530" s="669">
        <f t="shared" si="30"/>
        <v>56</v>
      </c>
    </row>
    <row r="531" spans="1:39" s="500" customFormat="1" ht="13.5" hidden="1" thickBot="1">
      <c r="A531" s="554" t="s">
        <v>1104</v>
      </c>
      <c r="B531" s="555" t="s">
        <v>1431</v>
      </c>
      <c r="C531" s="561"/>
      <c r="D531" s="519"/>
      <c r="E531" s="520"/>
      <c r="F531" s="520"/>
      <c r="G531" s="726"/>
      <c r="H531" s="520"/>
      <c r="I531" s="521"/>
      <c r="J531" s="521"/>
      <c r="K531" s="521"/>
      <c r="L531" s="514"/>
      <c r="M531" s="514"/>
      <c r="N531" s="756"/>
      <c r="O531" s="514"/>
      <c r="P531" s="514"/>
      <c r="Q531" s="514"/>
      <c r="R531" s="514"/>
      <c r="S531" s="514"/>
      <c r="T531" s="514"/>
      <c r="U531" s="756"/>
      <c r="V531" s="514"/>
      <c r="W531" s="514"/>
      <c r="X531" s="514"/>
      <c r="Y531" s="514"/>
      <c r="Z531" s="514"/>
      <c r="AA531" s="514"/>
      <c r="AB531" s="756"/>
      <c r="AC531" s="514"/>
      <c r="AD531" s="514"/>
      <c r="AE531" s="514"/>
      <c r="AF531" s="764"/>
      <c r="AG531" s="514"/>
      <c r="AH531" s="514"/>
      <c r="AI531" s="664">
        <f t="shared" si="31"/>
        <v>0</v>
      </c>
      <c r="AJ531" s="521">
        <v>0</v>
      </c>
      <c r="AK531" s="520">
        <f t="shared" si="29"/>
        <v>0</v>
      </c>
      <c r="AL531" s="695"/>
      <c r="AM531" s="669">
        <f t="shared" si="30"/>
        <v>0</v>
      </c>
    </row>
    <row r="532" spans="1:39" s="500" customFormat="1" ht="13.5" hidden="1" thickBot="1">
      <c r="A532" s="554" t="s">
        <v>1105</v>
      </c>
      <c r="B532" s="555" t="s">
        <v>1432</v>
      </c>
      <c r="C532" s="561" t="s">
        <v>36</v>
      </c>
      <c r="D532" s="519"/>
      <c r="E532" s="520"/>
      <c r="F532" s="520"/>
      <c r="G532" s="726"/>
      <c r="H532" s="520"/>
      <c r="I532" s="521"/>
      <c r="J532" s="521"/>
      <c r="K532" s="521"/>
      <c r="L532" s="514"/>
      <c r="M532" s="514"/>
      <c r="N532" s="756"/>
      <c r="O532" s="514"/>
      <c r="P532" s="514"/>
      <c r="Q532" s="514"/>
      <c r="R532" s="514"/>
      <c r="S532" s="514"/>
      <c r="T532" s="514"/>
      <c r="U532" s="756"/>
      <c r="V532" s="514"/>
      <c r="W532" s="514"/>
      <c r="X532" s="514"/>
      <c r="Y532" s="514"/>
      <c r="Z532" s="514"/>
      <c r="AA532" s="514"/>
      <c r="AB532" s="756"/>
      <c r="AC532" s="514"/>
      <c r="AD532" s="514"/>
      <c r="AE532" s="514"/>
      <c r="AF532" s="764"/>
      <c r="AG532" s="514"/>
      <c r="AH532" s="514"/>
      <c r="AI532" s="664">
        <f t="shared" si="31"/>
        <v>0</v>
      </c>
      <c r="AJ532" s="521">
        <v>0</v>
      </c>
      <c r="AK532" s="520">
        <f t="shared" si="29"/>
        <v>0</v>
      </c>
      <c r="AL532" s="695" t="s">
        <v>1617</v>
      </c>
      <c r="AM532" s="669">
        <f t="shared" si="30"/>
        <v>6</v>
      </c>
    </row>
    <row r="533" spans="1:39" s="500" customFormat="1" ht="13.5" hidden="1" thickBot="1">
      <c r="A533" s="554" t="s">
        <v>1106</v>
      </c>
      <c r="B533" s="555" t="s">
        <v>1433</v>
      </c>
      <c r="C533" s="561"/>
      <c r="D533" s="519"/>
      <c r="E533" s="520"/>
      <c r="F533" s="520"/>
      <c r="G533" s="726"/>
      <c r="H533" s="520"/>
      <c r="I533" s="521"/>
      <c r="J533" s="521"/>
      <c r="K533" s="521"/>
      <c r="L533" s="514"/>
      <c r="M533" s="514"/>
      <c r="N533" s="756"/>
      <c r="O533" s="514"/>
      <c r="P533" s="514"/>
      <c r="Q533" s="514"/>
      <c r="R533" s="514"/>
      <c r="S533" s="514"/>
      <c r="T533" s="514"/>
      <c r="U533" s="756"/>
      <c r="V533" s="514"/>
      <c r="W533" s="514"/>
      <c r="X533" s="514"/>
      <c r="Y533" s="514"/>
      <c r="Z533" s="514"/>
      <c r="AA533" s="514"/>
      <c r="AB533" s="756"/>
      <c r="AC533" s="514"/>
      <c r="AD533" s="514"/>
      <c r="AE533" s="514"/>
      <c r="AF533" s="764"/>
      <c r="AG533" s="514"/>
      <c r="AH533" s="514"/>
      <c r="AI533" s="664">
        <f t="shared" si="31"/>
        <v>0</v>
      </c>
      <c r="AJ533" s="521">
        <v>0</v>
      </c>
      <c r="AK533" s="520">
        <f t="shared" si="29"/>
        <v>0</v>
      </c>
      <c r="AL533" s="695"/>
      <c r="AM533" s="669">
        <f t="shared" si="30"/>
        <v>0</v>
      </c>
    </row>
    <row r="534" spans="1:39" s="500" customFormat="1" ht="13.5" hidden="1" thickBot="1">
      <c r="A534" s="554" t="s">
        <v>1107</v>
      </c>
      <c r="B534" s="555" t="s">
        <v>1434</v>
      </c>
      <c r="C534" s="561" t="s">
        <v>1452</v>
      </c>
      <c r="D534" s="519"/>
      <c r="E534" s="520"/>
      <c r="F534" s="520"/>
      <c r="G534" s="726"/>
      <c r="H534" s="520"/>
      <c r="I534" s="521"/>
      <c r="J534" s="521"/>
      <c r="K534" s="521"/>
      <c r="L534" s="514"/>
      <c r="M534" s="514"/>
      <c r="N534" s="756"/>
      <c r="O534" s="514"/>
      <c r="P534" s="514"/>
      <c r="Q534" s="514"/>
      <c r="R534" s="514"/>
      <c r="S534" s="514"/>
      <c r="T534" s="514"/>
      <c r="U534" s="756"/>
      <c r="V534" s="514"/>
      <c r="W534" s="514"/>
      <c r="X534" s="514"/>
      <c r="Y534" s="514"/>
      <c r="Z534" s="514"/>
      <c r="AA534" s="514"/>
      <c r="AB534" s="756"/>
      <c r="AC534" s="514"/>
      <c r="AD534" s="514"/>
      <c r="AE534" s="514"/>
      <c r="AF534" s="764"/>
      <c r="AG534" s="514"/>
      <c r="AH534" s="514"/>
      <c r="AI534" s="664">
        <f t="shared" si="31"/>
        <v>0</v>
      </c>
      <c r="AJ534" s="521">
        <v>0</v>
      </c>
      <c r="AK534" s="520">
        <f t="shared" ref="AK534:AK558" si="32">AI534+AJ534</f>
        <v>0</v>
      </c>
      <c r="AL534" s="695" t="s">
        <v>1617</v>
      </c>
      <c r="AM534" s="669">
        <f t="shared" ref="AM534:AM558" si="33">AL534-AK534</f>
        <v>6</v>
      </c>
    </row>
    <row r="535" spans="1:39" s="500" customFormat="1" ht="13.5" hidden="1" thickBot="1">
      <c r="A535" s="554" t="s">
        <v>1108</v>
      </c>
      <c r="B535" s="555" t="s">
        <v>1416</v>
      </c>
      <c r="C535" s="561"/>
      <c r="D535" s="519"/>
      <c r="E535" s="520"/>
      <c r="F535" s="520"/>
      <c r="G535" s="726"/>
      <c r="H535" s="520"/>
      <c r="I535" s="521"/>
      <c r="J535" s="521"/>
      <c r="K535" s="521"/>
      <c r="L535" s="514"/>
      <c r="M535" s="514"/>
      <c r="N535" s="756"/>
      <c r="O535" s="514"/>
      <c r="P535" s="514"/>
      <c r="Q535" s="514"/>
      <c r="R535" s="514"/>
      <c r="S535" s="514"/>
      <c r="T535" s="514"/>
      <c r="U535" s="756"/>
      <c r="V535" s="514"/>
      <c r="W535" s="514"/>
      <c r="X535" s="514"/>
      <c r="Y535" s="514"/>
      <c r="Z535" s="514"/>
      <c r="AA535" s="514"/>
      <c r="AB535" s="756"/>
      <c r="AC535" s="514"/>
      <c r="AD535" s="514"/>
      <c r="AE535" s="514"/>
      <c r="AF535" s="764"/>
      <c r="AG535" s="514"/>
      <c r="AH535" s="514"/>
      <c r="AI535" s="664">
        <f t="shared" si="31"/>
        <v>0</v>
      </c>
      <c r="AJ535" s="521">
        <v>0</v>
      </c>
      <c r="AK535" s="520">
        <f t="shared" si="32"/>
        <v>0</v>
      </c>
      <c r="AL535" s="695"/>
      <c r="AM535" s="669">
        <f t="shared" si="33"/>
        <v>0</v>
      </c>
    </row>
    <row r="536" spans="1:39" s="500" customFormat="1" ht="13.5" hidden="1" thickBot="1">
      <c r="A536" s="554" t="s">
        <v>1109</v>
      </c>
      <c r="B536" s="555" t="s">
        <v>1435</v>
      </c>
      <c r="C536" s="561" t="s">
        <v>36</v>
      </c>
      <c r="D536" s="519"/>
      <c r="E536" s="520"/>
      <c r="F536" s="520"/>
      <c r="G536" s="726"/>
      <c r="H536" s="520"/>
      <c r="I536" s="521"/>
      <c r="J536" s="521"/>
      <c r="K536" s="521"/>
      <c r="L536" s="514"/>
      <c r="M536" s="514"/>
      <c r="N536" s="756"/>
      <c r="O536" s="514"/>
      <c r="P536" s="514"/>
      <c r="Q536" s="514"/>
      <c r="R536" s="514"/>
      <c r="S536" s="514"/>
      <c r="T536" s="514"/>
      <c r="U536" s="756"/>
      <c r="V536" s="514"/>
      <c r="W536" s="514"/>
      <c r="X536" s="514"/>
      <c r="Y536" s="514"/>
      <c r="Z536" s="514"/>
      <c r="AA536" s="514"/>
      <c r="AB536" s="756"/>
      <c r="AC536" s="514"/>
      <c r="AD536" s="514"/>
      <c r="AE536" s="514"/>
      <c r="AF536" s="764"/>
      <c r="AG536" s="514"/>
      <c r="AH536" s="514"/>
      <c r="AI536" s="664">
        <f t="shared" si="31"/>
        <v>0</v>
      </c>
      <c r="AJ536" s="521">
        <v>0</v>
      </c>
      <c r="AK536" s="520">
        <f t="shared" si="32"/>
        <v>0</v>
      </c>
      <c r="AL536" s="695" t="s">
        <v>1617</v>
      </c>
      <c r="AM536" s="669">
        <f t="shared" si="33"/>
        <v>6</v>
      </c>
    </row>
    <row r="537" spans="1:39" s="500" customFormat="1" ht="13.5" hidden="1" thickBot="1">
      <c r="A537" s="554" t="s">
        <v>1110</v>
      </c>
      <c r="B537" s="555" t="s">
        <v>1425</v>
      </c>
      <c r="C537" s="561"/>
      <c r="D537" s="519"/>
      <c r="E537" s="520"/>
      <c r="F537" s="520"/>
      <c r="G537" s="726"/>
      <c r="H537" s="520"/>
      <c r="I537" s="521"/>
      <c r="J537" s="521"/>
      <c r="K537" s="521"/>
      <c r="L537" s="514"/>
      <c r="M537" s="514"/>
      <c r="N537" s="756"/>
      <c r="O537" s="514"/>
      <c r="P537" s="514"/>
      <c r="Q537" s="514"/>
      <c r="R537" s="514"/>
      <c r="S537" s="514"/>
      <c r="T537" s="514"/>
      <c r="U537" s="756"/>
      <c r="V537" s="514"/>
      <c r="W537" s="514"/>
      <c r="X537" s="514"/>
      <c r="Y537" s="514"/>
      <c r="Z537" s="514"/>
      <c r="AA537" s="514"/>
      <c r="AB537" s="756"/>
      <c r="AC537" s="514"/>
      <c r="AD537" s="514"/>
      <c r="AE537" s="514"/>
      <c r="AF537" s="764"/>
      <c r="AG537" s="514"/>
      <c r="AH537" s="514"/>
      <c r="AI537" s="664">
        <f t="shared" si="31"/>
        <v>0</v>
      </c>
      <c r="AJ537" s="521">
        <v>0</v>
      </c>
      <c r="AK537" s="520">
        <f t="shared" si="32"/>
        <v>0</v>
      </c>
      <c r="AL537" s="695"/>
      <c r="AM537" s="669">
        <f t="shared" si="33"/>
        <v>0</v>
      </c>
    </row>
    <row r="538" spans="1:39" s="500" customFormat="1" ht="13.5" hidden="1" thickBot="1">
      <c r="A538" s="554" t="s">
        <v>1111</v>
      </c>
      <c r="B538" s="555" t="s">
        <v>1436</v>
      </c>
      <c r="C538" s="561" t="s">
        <v>1452</v>
      </c>
      <c r="D538" s="519"/>
      <c r="E538" s="520"/>
      <c r="F538" s="520"/>
      <c r="G538" s="726"/>
      <c r="H538" s="520"/>
      <c r="I538" s="521"/>
      <c r="J538" s="521"/>
      <c r="K538" s="521"/>
      <c r="L538" s="514"/>
      <c r="M538" s="514"/>
      <c r="N538" s="756"/>
      <c r="O538" s="514"/>
      <c r="P538" s="514"/>
      <c r="Q538" s="514"/>
      <c r="R538" s="514"/>
      <c r="S538" s="514"/>
      <c r="T538" s="514"/>
      <c r="U538" s="756"/>
      <c r="V538" s="514"/>
      <c r="W538" s="514"/>
      <c r="X538" s="514"/>
      <c r="Y538" s="514"/>
      <c r="Z538" s="514"/>
      <c r="AA538" s="514"/>
      <c r="AB538" s="756"/>
      <c r="AC538" s="514"/>
      <c r="AD538" s="514"/>
      <c r="AE538" s="514"/>
      <c r="AF538" s="764"/>
      <c r="AG538" s="514"/>
      <c r="AH538" s="514"/>
      <c r="AI538" s="664">
        <f t="shared" si="31"/>
        <v>0</v>
      </c>
      <c r="AJ538" s="521">
        <v>0</v>
      </c>
      <c r="AK538" s="520">
        <f t="shared" si="32"/>
        <v>0</v>
      </c>
      <c r="AL538" s="695" t="s">
        <v>1617</v>
      </c>
      <c r="AM538" s="669">
        <f t="shared" si="33"/>
        <v>6</v>
      </c>
    </row>
    <row r="539" spans="1:39" s="500" customFormat="1" ht="13.5" hidden="1" thickBot="1">
      <c r="A539" s="554" t="s">
        <v>1112</v>
      </c>
      <c r="B539" s="555" t="s">
        <v>1392</v>
      </c>
      <c r="C539" s="561"/>
      <c r="D539" s="519"/>
      <c r="E539" s="520"/>
      <c r="F539" s="520"/>
      <c r="G539" s="726"/>
      <c r="H539" s="520"/>
      <c r="I539" s="521"/>
      <c r="J539" s="521"/>
      <c r="K539" s="521"/>
      <c r="L539" s="514"/>
      <c r="M539" s="514"/>
      <c r="N539" s="756"/>
      <c r="O539" s="514"/>
      <c r="P539" s="514"/>
      <c r="Q539" s="514"/>
      <c r="R539" s="514"/>
      <c r="S539" s="514"/>
      <c r="T539" s="514"/>
      <c r="U539" s="756"/>
      <c r="V539" s="514"/>
      <c r="W539" s="514"/>
      <c r="X539" s="514"/>
      <c r="Y539" s="514"/>
      <c r="Z539" s="514"/>
      <c r="AA539" s="514"/>
      <c r="AB539" s="756"/>
      <c r="AC539" s="514"/>
      <c r="AD539" s="514"/>
      <c r="AE539" s="514"/>
      <c r="AF539" s="764"/>
      <c r="AG539" s="514"/>
      <c r="AH539" s="514"/>
      <c r="AI539" s="664">
        <f t="shared" si="31"/>
        <v>0</v>
      </c>
      <c r="AJ539" s="521">
        <v>0</v>
      </c>
      <c r="AK539" s="520">
        <f t="shared" si="32"/>
        <v>0</v>
      </c>
      <c r="AL539" s="695"/>
      <c r="AM539" s="669">
        <f t="shared" si="33"/>
        <v>0</v>
      </c>
    </row>
    <row r="540" spans="1:39" s="500" customFormat="1" ht="13.5" hidden="1" thickBot="1">
      <c r="A540" s="554" t="s">
        <v>1113</v>
      </c>
      <c r="B540" s="555" t="s">
        <v>1437</v>
      </c>
      <c r="C540" s="561" t="s">
        <v>36</v>
      </c>
      <c r="D540" s="519"/>
      <c r="E540" s="520"/>
      <c r="F540" s="520"/>
      <c r="G540" s="726"/>
      <c r="H540" s="520"/>
      <c r="I540" s="521"/>
      <c r="J540" s="521"/>
      <c r="K540" s="521"/>
      <c r="L540" s="514"/>
      <c r="M540" s="514"/>
      <c r="N540" s="756"/>
      <c r="O540" s="514"/>
      <c r="P540" s="514"/>
      <c r="Q540" s="514"/>
      <c r="R540" s="514"/>
      <c r="S540" s="514"/>
      <c r="T540" s="514"/>
      <c r="U540" s="756"/>
      <c r="V540" s="514"/>
      <c r="W540" s="514"/>
      <c r="X540" s="514"/>
      <c r="Y540" s="514"/>
      <c r="Z540" s="514"/>
      <c r="AA540" s="514"/>
      <c r="AB540" s="756"/>
      <c r="AC540" s="514"/>
      <c r="AD540" s="514"/>
      <c r="AE540" s="514"/>
      <c r="AF540" s="764"/>
      <c r="AG540" s="514"/>
      <c r="AH540" s="514"/>
      <c r="AI540" s="664">
        <f t="shared" si="31"/>
        <v>0</v>
      </c>
      <c r="AJ540" s="521">
        <v>0</v>
      </c>
      <c r="AK540" s="520">
        <f t="shared" si="32"/>
        <v>0</v>
      </c>
      <c r="AL540" s="695" t="s">
        <v>1617</v>
      </c>
      <c r="AM540" s="669">
        <f t="shared" si="33"/>
        <v>6</v>
      </c>
    </row>
    <row r="541" spans="1:39" s="500" customFormat="1" ht="13.5" hidden="1" thickBot="1">
      <c r="A541" s="554" t="s">
        <v>1114</v>
      </c>
      <c r="B541" s="555" t="s">
        <v>1438</v>
      </c>
      <c r="C541" s="561"/>
      <c r="D541" s="519"/>
      <c r="E541" s="520"/>
      <c r="F541" s="520"/>
      <c r="G541" s="726"/>
      <c r="H541" s="520"/>
      <c r="I541" s="521"/>
      <c r="J541" s="521"/>
      <c r="K541" s="521"/>
      <c r="L541" s="514"/>
      <c r="M541" s="514"/>
      <c r="N541" s="756"/>
      <c r="O541" s="514"/>
      <c r="P541" s="514"/>
      <c r="Q541" s="514"/>
      <c r="R541" s="514"/>
      <c r="S541" s="514"/>
      <c r="T541" s="514"/>
      <c r="U541" s="756"/>
      <c r="V541" s="514"/>
      <c r="W541" s="514"/>
      <c r="X541" s="514"/>
      <c r="Y541" s="514"/>
      <c r="Z541" s="514"/>
      <c r="AA541" s="514"/>
      <c r="AB541" s="756"/>
      <c r="AC541" s="514"/>
      <c r="AD541" s="514"/>
      <c r="AE541" s="514"/>
      <c r="AF541" s="764"/>
      <c r="AG541" s="514"/>
      <c r="AH541" s="514"/>
      <c r="AI541" s="664">
        <f t="shared" si="31"/>
        <v>0</v>
      </c>
      <c r="AJ541" s="521">
        <v>0</v>
      </c>
      <c r="AK541" s="520">
        <f t="shared" si="32"/>
        <v>0</v>
      </c>
      <c r="AL541" s="695"/>
      <c r="AM541" s="669">
        <f t="shared" si="33"/>
        <v>0</v>
      </c>
    </row>
    <row r="542" spans="1:39" s="500" customFormat="1" ht="13.5" hidden="1" thickBot="1">
      <c r="A542" s="554" t="s">
        <v>1115</v>
      </c>
      <c r="B542" s="555" t="s">
        <v>1439</v>
      </c>
      <c r="C542" s="561"/>
      <c r="D542" s="519"/>
      <c r="E542" s="520"/>
      <c r="F542" s="520"/>
      <c r="G542" s="726"/>
      <c r="H542" s="520"/>
      <c r="I542" s="521"/>
      <c r="J542" s="521"/>
      <c r="K542" s="521"/>
      <c r="L542" s="514"/>
      <c r="M542" s="514"/>
      <c r="N542" s="756"/>
      <c r="O542" s="514"/>
      <c r="P542" s="514"/>
      <c r="Q542" s="514"/>
      <c r="R542" s="514"/>
      <c r="S542" s="514"/>
      <c r="T542" s="514"/>
      <c r="U542" s="756"/>
      <c r="V542" s="514"/>
      <c r="W542" s="514"/>
      <c r="X542" s="514"/>
      <c r="Y542" s="514"/>
      <c r="Z542" s="514"/>
      <c r="AA542" s="514"/>
      <c r="AB542" s="756"/>
      <c r="AC542" s="514"/>
      <c r="AD542" s="514"/>
      <c r="AE542" s="514"/>
      <c r="AF542" s="764"/>
      <c r="AG542" s="514"/>
      <c r="AH542" s="514"/>
      <c r="AI542" s="664">
        <f t="shared" si="31"/>
        <v>0</v>
      </c>
      <c r="AJ542" s="521">
        <v>0</v>
      </c>
      <c r="AK542" s="520">
        <f t="shared" si="32"/>
        <v>0</v>
      </c>
      <c r="AL542" s="695"/>
      <c r="AM542" s="669">
        <f t="shared" si="33"/>
        <v>0</v>
      </c>
    </row>
    <row r="543" spans="1:39" s="500" customFormat="1" ht="13.5" hidden="1" thickBot="1">
      <c r="A543" s="554" t="s">
        <v>1116</v>
      </c>
      <c r="B543" s="555" t="s">
        <v>1440</v>
      </c>
      <c r="C543" s="561" t="s">
        <v>1453</v>
      </c>
      <c r="D543" s="519"/>
      <c r="E543" s="520"/>
      <c r="F543" s="520"/>
      <c r="G543" s="726"/>
      <c r="H543" s="520"/>
      <c r="I543" s="521"/>
      <c r="J543" s="521"/>
      <c r="K543" s="521"/>
      <c r="L543" s="514"/>
      <c r="M543" s="514"/>
      <c r="N543" s="756"/>
      <c r="O543" s="514"/>
      <c r="P543" s="514"/>
      <c r="Q543" s="514"/>
      <c r="R543" s="514"/>
      <c r="S543" s="514"/>
      <c r="T543" s="514"/>
      <c r="U543" s="756"/>
      <c r="V543" s="514"/>
      <c r="W543" s="514"/>
      <c r="X543" s="514"/>
      <c r="Y543" s="514"/>
      <c r="Z543" s="514"/>
      <c r="AA543" s="514"/>
      <c r="AB543" s="756"/>
      <c r="AC543" s="514"/>
      <c r="AD543" s="514"/>
      <c r="AE543" s="514"/>
      <c r="AF543" s="764"/>
      <c r="AG543" s="514"/>
      <c r="AH543" s="514"/>
      <c r="AI543" s="664">
        <f t="shared" si="31"/>
        <v>0</v>
      </c>
      <c r="AJ543" s="521">
        <v>0</v>
      </c>
      <c r="AK543" s="520">
        <f t="shared" si="32"/>
        <v>0</v>
      </c>
      <c r="AL543" s="695" t="s">
        <v>1455</v>
      </c>
      <c r="AM543" s="669">
        <f t="shared" si="33"/>
        <v>1</v>
      </c>
    </row>
    <row r="544" spans="1:39" s="500" customFormat="1" ht="13.5" hidden="1" thickBot="1">
      <c r="A544" s="554" t="s">
        <v>1117</v>
      </c>
      <c r="B544" s="555" t="s">
        <v>1441</v>
      </c>
      <c r="C544" s="561"/>
      <c r="D544" s="519"/>
      <c r="E544" s="520"/>
      <c r="F544" s="520"/>
      <c r="G544" s="726"/>
      <c r="H544" s="520"/>
      <c r="I544" s="521"/>
      <c r="J544" s="521"/>
      <c r="K544" s="521"/>
      <c r="L544" s="514"/>
      <c r="M544" s="514"/>
      <c r="N544" s="756"/>
      <c r="O544" s="514"/>
      <c r="P544" s="514"/>
      <c r="Q544" s="514"/>
      <c r="R544" s="514"/>
      <c r="S544" s="514"/>
      <c r="T544" s="514"/>
      <c r="U544" s="756"/>
      <c r="V544" s="514"/>
      <c r="W544" s="514"/>
      <c r="X544" s="514"/>
      <c r="Y544" s="514"/>
      <c r="Z544" s="514"/>
      <c r="AA544" s="514"/>
      <c r="AB544" s="756"/>
      <c r="AC544" s="514"/>
      <c r="AD544" s="514"/>
      <c r="AE544" s="514"/>
      <c r="AF544" s="764"/>
      <c r="AG544" s="514"/>
      <c r="AH544" s="514"/>
      <c r="AI544" s="664">
        <f t="shared" si="31"/>
        <v>0</v>
      </c>
      <c r="AJ544" s="521">
        <v>0</v>
      </c>
      <c r="AK544" s="520">
        <f t="shared" si="32"/>
        <v>0</v>
      </c>
      <c r="AL544" s="695"/>
      <c r="AM544" s="669">
        <f t="shared" si="33"/>
        <v>0</v>
      </c>
    </row>
    <row r="545" spans="1:39" s="500" customFormat="1" ht="13.5" hidden="1" thickBot="1">
      <c r="A545" s="554" t="s">
        <v>1118</v>
      </c>
      <c r="B545" s="555" t="s">
        <v>1442</v>
      </c>
      <c r="C545" s="561" t="s">
        <v>1454</v>
      </c>
      <c r="D545" s="519"/>
      <c r="E545" s="520"/>
      <c r="F545" s="520"/>
      <c r="G545" s="726"/>
      <c r="H545" s="520"/>
      <c r="I545" s="521"/>
      <c r="J545" s="521"/>
      <c r="K545" s="521"/>
      <c r="L545" s="514"/>
      <c r="M545" s="514"/>
      <c r="N545" s="756"/>
      <c r="O545" s="514"/>
      <c r="P545" s="514"/>
      <c r="Q545" s="514"/>
      <c r="R545" s="514"/>
      <c r="S545" s="514"/>
      <c r="T545" s="514"/>
      <c r="U545" s="756"/>
      <c r="V545" s="514"/>
      <c r="W545" s="514"/>
      <c r="X545" s="514"/>
      <c r="Y545" s="514"/>
      <c r="Z545" s="514"/>
      <c r="AA545" s="514"/>
      <c r="AB545" s="756"/>
      <c r="AC545" s="514"/>
      <c r="AD545" s="514"/>
      <c r="AE545" s="514"/>
      <c r="AF545" s="764"/>
      <c r="AG545" s="514"/>
      <c r="AH545" s="514"/>
      <c r="AI545" s="664">
        <f t="shared" si="31"/>
        <v>0</v>
      </c>
      <c r="AJ545" s="521">
        <v>0</v>
      </c>
      <c r="AK545" s="520">
        <f t="shared" si="32"/>
        <v>0</v>
      </c>
      <c r="AL545" s="695" t="s">
        <v>1698</v>
      </c>
      <c r="AM545" s="669">
        <f t="shared" si="33"/>
        <v>2</v>
      </c>
    </row>
    <row r="546" spans="1:39" s="500" customFormat="1" ht="13.5" hidden="1" thickBot="1">
      <c r="A546" s="554" t="s">
        <v>1119</v>
      </c>
      <c r="B546" s="555" t="s">
        <v>1419</v>
      </c>
      <c r="C546" s="561"/>
      <c r="D546" s="519"/>
      <c r="E546" s="520"/>
      <c r="F546" s="520"/>
      <c r="G546" s="726"/>
      <c r="H546" s="520"/>
      <c r="I546" s="521"/>
      <c r="J546" s="521"/>
      <c r="K546" s="521"/>
      <c r="L546" s="514"/>
      <c r="M546" s="514"/>
      <c r="N546" s="756"/>
      <c r="O546" s="514"/>
      <c r="P546" s="514"/>
      <c r="Q546" s="514"/>
      <c r="R546" s="514"/>
      <c r="S546" s="514"/>
      <c r="T546" s="514"/>
      <c r="U546" s="756"/>
      <c r="V546" s="514"/>
      <c r="W546" s="514"/>
      <c r="X546" s="514"/>
      <c r="Y546" s="514"/>
      <c r="Z546" s="514"/>
      <c r="AA546" s="514"/>
      <c r="AB546" s="756"/>
      <c r="AC546" s="514"/>
      <c r="AD546" s="514"/>
      <c r="AE546" s="514"/>
      <c r="AF546" s="764"/>
      <c r="AG546" s="514"/>
      <c r="AH546" s="514"/>
      <c r="AI546" s="664">
        <f t="shared" si="31"/>
        <v>0</v>
      </c>
      <c r="AJ546" s="521">
        <v>0</v>
      </c>
      <c r="AK546" s="520">
        <f t="shared" si="32"/>
        <v>0</v>
      </c>
      <c r="AL546" s="695"/>
      <c r="AM546" s="669">
        <f t="shared" si="33"/>
        <v>0</v>
      </c>
    </row>
    <row r="547" spans="1:39" s="500" customFormat="1" ht="13.5" hidden="1" thickBot="1">
      <c r="A547" s="554" t="s">
        <v>1120</v>
      </c>
      <c r="B547" s="555" t="s">
        <v>1420</v>
      </c>
      <c r="C547" s="561" t="s">
        <v>38</v>
      </c>
      <c r="D547" s="519"/>
      <c r="E547" s="520"/>
      <c r="F547" s="520"/>
      <c r="G547" s="726"/>
      <c r="H547" s="520"/>
      <c r="I547" s="521"/>
      <c r="J547" s="521"/>
      <c r="K547" s="521"/>
      <c r="L547" s="514"/>
      <c r="M547" s="514"/>
      <c r="N547" s="756"/>
      <c r="O547" s="514"/>
      <c r="P547" s="514"/>
      <c r="Q547" s="514"/>
      <c r="R547" s="514"/>
      <c r="S547" s="514"/>
      <c r="T547" s="514"/>
      <c r="U547" s="756"/>
      <c r="V547" s="514"/>
      <c r="W547" s="514"/>
      <c r="X547" s="514"/>
      <c r="Y547" s="514"/>
      <c r="Z547" s="514"/>
      <c r="AA547" s="514"/>
      <c r="AB547" s="756"/>
      <c r="AC547" s="514"/>
      <c r="AD547" s="514"/>
      <c r="AE547" s="514"/>
      <c r="AF547" s="764"/>
      <c r="AG547" s="514"/>
      <c r="AH547" s="514"/>
      <c r="AI547" s="664">
        <f t="shared" si="31"/>
        <v>0</v>
      </c>
      <c r="AJ547" s="521">
        <v>0</v>
      </c>
      <c r="AK547" s="520">
        <f t="shared" si="32"/>
        <v>0</v>
      </c>
      <c r="AL547" s="695" t="s">
        <v>1771</v>
      </c>
      <c r="AM547" s="669">
        <f t="shared" si="33"/>
        <v>90</v>
      </c>
    </row>
    <row r="548" spans="1:39" s="500" customFormat="1" ht="13.5" hidden="1" thickBot="1">
      <c r="A548" s="554" t="s">
        <v>1121</v>
      </c>
      <c r="B548" s="555" t="s">
        <v>1421</v>
      </c>
      <c r="C548" s="561"/>
      <c r="D548" s="519"/>
      <c r="E548" s="520"/>
      <c r="F548" s="520"/>
      <c r="G548" s="726"/>
      <c r="H548" s="520"/>
      <c r="I548" s="521"/>
      <c r="J548" s="521"/>
      <c r="K548" s="521"/>
      <c r="L548" s="514"/>
      <c r="M548" s="514"/>
      <c r="N548" s="756"/>
      <c r="O548" s="514"/>
      <c r="P548" s="514"/>
      <c r="Q548" s="514"/>
      <c r="R548" s="514"/>
      <c r="S548" s="514"/>
      <c r="T548" s="514"/>
      <c r="U548" s="756"/>
      <c r="V548" s="514"/>
      <c r="W548" s="514"/>
      <c r="X548" s="514"/>
      <c r="Y548" s="514"/>
      <c r="Z548" s="514"/>
      <c r="AA548" s="514"/>
      <c r="AB548" s="756"/>
      <c r="AC548" s="514"/>
      <c r="AD548" s="514"/>
      <c r="AE548" s="514"/>
      <c r="AF548" s="764"/>
      <c r="AG548" s="514"/>
      <c r="AH548" s="514"/>
      <c r="AI548" s="664">
        <f t="shared" si="31"/>
        <v>0</v>
      </c>
      <c r="AJ548" s="521">
        <v>0</v>
      </c>
      <c r="AK548" s="520">
        <f t="shared" si="32"/>
        <v>0</v>
      </c>
      <c r="AL548" s="695"/>
      <c r="AM548" s="669">
        <f t="shared" si="33"/>
        <v>0</v>
      </c>
    </row>
    <row r="549" spans="1:39" s="500" customFormat="1" ht="13.5" hidden="1" thickBot="1">
      <c r="A549" s="554" t="s">
        <v>1122</v>
      </c>
      <c r="B549" s="555" t="s">
        <v>1443</v>
      </c>
      <c r="C549" s="561" t="s">
        <v>38</v>
      </c>
      <c r="D549" s="519"/>
      <c r="E549" s="520"/>
      <c r="F549" s="520"/>
      <c r="G549" s="726"/>
      <c r="H549" s="520"/>
      <c r="I549" s="521"/>
      <c r="J549" s="521"/>
      <c r="K549" s="521"/>
      <c r="L549" s="514"/>
      <c r="M549" s="514"/>
      <c r="N549" s="756"/>
      <c r="O549" s="514"/>
      <c r="P549" s="514"/>
      <c r="Q549" s="514"/>
      <c r="R549" s="514"/>
      <c r="S549" s="514"/>
      <c r="T549" s="514"/>
      <c r="U549" s="756"/>
      <c r="V549" s="514"/>
      <c r="W549" s="514"/>
      <c r="X549" s="514"/>
      <c r="Y549" s="514"/>
      <c r="Z549" s="514"/>
      <c r="AA549" s="514"/>
      <c r="AB549" s="756"/>
      <c r="AC549" s="514"/>
      <c r="AD549" s="514"/>
      <c r="AE549" s="514"/>
      <c r="AF549" s="764"/>
      <c r="AG549" s="514"/>
      <c r="AH549" s="514"/>
      <c r="AI549" s="664">
        <f t="shared" si="31"/>
        <v>0</v>
      </c>
      <c r="AJ549" s="521">
        <v>0</v>
      </c>
      <c r="AK549" s="520">
        <f t="shared" si="32"/>
        <v>0</v>
      </c>
      <c r="AL549" s="695">
        <v>12</v>
      </c>
      <c r="AM549" s="669">
        <f t="shared" si="33"/>
        <v>12</v>
      </c>
    </row>
    <row r="550" spans="1:39" s="500" customFormat="1" ht="13.5" hidden="1" thickBot="1">
      <c r="A550" s="554" t="s">
        <v>1123</v>
      </c>
      <c r="B550" s="555" t="s">
        <v>1444</v>
      </c>
      <c r="C550" s="561" t="s">
        <v>38</v>
      </c>
      <c r="D550" s="519"/>
      <c r="E550" s="520"/>
      <c r="F550" s="520"/>
      <c r="G550" s="726"/>
      <c r="H550" s="520"/>
      <c r="I550" s="521"/>
      <c r="J550" s="521"/>
      <c r="K550" s="521"/>
      <c r="L550" s="514"/>
      <c r="M550" s="514"/>
      <c r="N550" s="756"/>
      <c r="O550" s="514"/>
      <c r="P550" s="514"/>
      <c r="Q550" s="514"/>
      <c r="R550" s="514"/>
      <c r="S550" s="514"/>
      <c r="T550" s="514"/>
      <c r="U550" s="756"/>
      <c r="V550" s="514"/>
      <c r="W550" s="514"/>
      <c r="X550" s="514"/>
      <c r="Y550" s="514"/>
      <c r="Z550" s="514"/>
      <c r="AA550" s="514"/>
      <c r="AB550" s="756"/>
      <c r="AC550" s="514"/>
      <c r="AD550" s="514"/>
      <c r="AE550" s="514"/>
      <c r="AF550" s="764"/>
      <c r="AG550" s="514"/>
      <c r="AH550" s="514"/>
      <c r="AI550" s="664">
        <f t="shared" si="31"/>
        <v>0</v>
      </c>
      <c r="AJ550" s="521">
        <v>0</v>
      </c>
      <c r="AK550" s="520">
        <f t="shared" si="32"/>
        <v>0</v>
      </c>
      <c r="AL550" s="695">
        <v>106</v>
      </c>
      <c r="AM550" s="669">
        <f t="shared" si="33"/>
        <v>106</v>
      </c>
    </row>
    <row r="551" spans="1:39" s="500" customFormat="1" ht="13.5" hidden="1" thickBot="1">
      <c r="A551" s="554" t="s">
        <v>1124</v>
      </c>
      <c r="B551" s="555" t="s">
        <v>1423</v>
      </c>
      <c r="C551" s="561"/>
      <c r="D551" s="519"/>
      <c r="E551" s="520"/>
      <c r="F551" s="520"/>
      <c r="G551" s="726"/>
      <c r="H551" s="520"/>
      <c r="I551" s="521"/>
      <c r="J551" s="521"/>
      <c r="K551" s="521"/>
      <c r="L551" s="514"/>
      <c r="M551" s="514"/>
      <c r="N551" s="756"/>
      <c r="O551" s="514"/>
      <c r="P551" s="514"/>
      <c r="Q551" s="514"/>
      <c r="R551" s="514"/>
      <c r="S551" s="514"/>
      <c r="T551" s="514"/>
      <c r="U551" s="756"/>
      <c r="V551" s="514"/>
      <c r="W551" s="514"/>
      <c r="X551" s="514"/>
      <c r="Y551" s="514"/>
      <c r="Z551" s="514"/>
      <c r="AA551" s="514"/>
      <c r="AB551" s="756"/>
      <c r="AC551" s="514"/>
      <c r="AD551" s="514"/>
      <c r="AE551" s="514"/>
      <c r="AF551" s="764"/>
      <c r="AG551" s="514"/>
      <c r="AH551" s="514"/>
      <c r="AI551" s="664">
        <f t="shared" si="31"/>
        <v>0</v>
      </c>
      <c r="AJ551" s="521">
        <v>0</v>
      </c>
      <c r="AK551" s="520">
        <f t="shared" si="32"/>
        <v>0</v>
      </c>
      <c r="AL551" s="695"/>
      <c r="AM551" s="669">
        <f t="shared" si="33"/>
        <v>0</v>
      </c>
    </row>
    <row r="552" spans="1:39" s="500" customFormat="1" ht="13.5" hidden="1" thickBot="1">
      <c r="A552" s="554" t="s">
        <v>1125</v>
      </c>
      <c r="B552" s="555" t="s">
        <v>1445</v>
      </c>
      <c r="C552" s="561" t="s">
        <v>38</v>
      </c>
      <c r="D552" s="519"/>
      <c r="E552" s="520"/>
      <c r="F552" s="520"/>
      <c r="G552" s="726"/>
      <c r="H552" s="520"/>
      <c r="I552" s="521"/>
      <c r="J552" s="521"/>
      <c r="K552" s="521"/>
      <c r="L552" s="514"/>
      <c r="M552" s="514"/>
      <c r="N552" s="756"/>
      <c r="O552" s="514"/>
      <c r="P552" s="514"/>
      <c r="Q552" s="514"/>
      <c r="R552" s="514"/>
      <c r="S552" s="514"/>
      <c r="T552" s="514"/>
      <c r="U552" s="756"/>
      <c r="V552" s="514"/>
      <c r="W552" s="514"/>
      <c r="X552" s="514"/>
      <c r="Y552" s="514"/>
      <c r="Z552" s="514"/>
      <c r="AA552" s="514"/>
      <c r="AB552" s="756"/>
      <c r="AC552" s="514"/>
      <c r="AD552" s="514"/>
      <c r="AE552" s="514"/>
      <c r="AF552" s="764"/>
      <c r="AG552" s="514"/>
      <c r="AH552" s="514"/>
      <c r="AI552" s="664">
        <f t="shared" si="31"/>
        <v>0</v>
      </c>
      <c r="AJ552" s="521">
        <v>0</v>
      </c>
      <c r="AK552" s="520">
        <f t="shared" si="32"/>
        <v>0</v>
      </c>
      <c r="AL552" s="695">
        <v>106</v>
      </c>
      <c r="AM552" s="669">
        <f t="shared" si="33"/>
        <v>106</v>
      </c>
    </row>
    <row r="553" spans="1:39" s="500" customFormat="1" ht="13.5" hidden="1" thickBot="1">
      <c r="A553" s="554" t="s">
        <v>1126</v>
      </c>
      <c r="B553" s="555" t="s">
        <v>1416</v>
      </c>
      <c r="C553" s="561"/>
      <c r="D553" s="519"/>
      <c r="E553" s="520"/>
      <c r="F553" s="520"/>
      <c r="G553" s="726"/>
      <c r="H553" s="520"/>
      <c r="I553" s="521"/>
      <c r="J553" s="521"/>
      <c r="K553" s="521"/>
      <c r="L553" s="514"/>
      <c r="M553" s="514"/>
      <c r="N553" s="756"/>
      <c r="O553" s="514"/>
      <c r="P553" s="514"/>
      <c r="Q553" s="514"/>
      <c r="R553" s="514"/>
      <c r="S553" s="514"/>
      <c r="T553" s="514"/>
      <c r="U553" s="756"/>
      <c r="V553" s="514"/>
      <c r="W553" s="514"/>
      <c r="X553" s="514"/>
      <c r="Y553" s="514"/>
      <c r="Z553" s="514"/>
      <c r="AA553" s="514"/>
      <c r="AB553" s="756"/>
      <c r="AC553" s="514"/>
      <c r="AD553" s="514"/>
      <c r="AE553" s="514"/>
      <c r="AF553" s="764"/>
      <c r="AG553" s="514"/>
      <c r="AH553" s="514"/>
      <c r="AI553" s="664">
        <f t="shared" si="31"/>
        <v>0</v>
      </c>
      <c r="AJ553" s="521">
        <v>0</v>
      </c>
      <c r="AK553" s="520">
        <f t="shared" si="32"/>
        <v>0</v>
      </c>
      <c r="AL553" s="695"/>
      <c r="AM553" s="669">
        <f t="shared" si="33"/>
        <v>0</v>
      </c>
    </row>
    <row r="554" spans="1:39" s="500" customFormat="1" ht="13.5" hidden="1" thickBot="1">
      <c r="A554" s="554" t="s">
        <v>1127</v>
      </c>
      <c r="B554" s="555" t="s">
        <v>1417</v>
      </c>
      <c r="C554" s="561" t="s">
        <v>36</v>
      </c>
      <c r="D554" s="519"/>
      <c r="E554" s="520"/>
      <c r="F554" s="520"/>
      <c r="G554" s="726"/>
      <c r="H554" s="520"/>
      <c r="I554" s="521"/>
      <c r="J554" s="521"/>
      <c r="K554" s="521"/>
      <c r="L554" s="514"/>
      <c r="M554" s="514"/>
      <c r="N554" s="756"/>
      <c r="O554" s="514"/>
      <c r="P554" s="514"/>
      <c r="Q554" s="514"/>
      <c r="R554" s="514"/>
      <c r="S554" s="514"/>
      <c r="T554" s="514"/>
      <c r="U554" s="756"/>
      <c r="V554" s="514"/>
      <c r="W554" s="514"/>
      <c r="X554" s="514"/>
      <c r="Y554" s="514"/>
      <c r="Z554" s="514"/>
      <c r="AA554" s="514"/>
      <c r="AB554" s="756"/>
      <c r="AC554" s="514"/>
      <c r="AD554" s="514"/>
      <c r="AE554" s="514"/>
      <c r="AF554" s="764"/>
      <c r="AG554" s="514"/>
      <c r="AH554" s="514"/>
      <c r="AI554" s="664">
        <f t="shared" si="31"/>
        <v>0</v>
      </c>
      <c r="AJ554" s="521">
        <v>0</v>
      </c>
      <c r="AK554" s="520">
        <f t="shared" si="32"/>
        <v>0</v>
      </c>
      <c r="AL554" s="695">
        <v>5</v>
      </c>
      <c r="AM554" s="669">
        <f t="shared" si="33"/>
        <v>5</v>
      </c>
    </row>
    <row r="555" spans="1:39" s="500" customFormat="1" ht="13.5" hidden="1" thickBot="1">
      <c r="A555" s="554" t="s">
        <v>1128</v>
      </c>
      <c r="B555" s="555" t="s">
        <v>1446</v>
      </c>
      <c r="C555" s="561"/>
      <c r="D555" s="519"/>
      <c r="E555" s="520"/>
      <c r="F555" s="520"/>
      <c r="G555" s="726"/>
      <c r="H555" s="520"/>
      <c r="I555" s="521"/>
      <c r="J555" s="521"/>
      <c r="K555" s="521"/>
      <c r="L555" s="514"/>
      <c r="M555" s="514"/>
      <c r="N555" s="756"/>
      <c r="O555" s="514"/>
      <c r="P555" s="514"/>
      <c r="Q555" s="514"/>
      <c r="R555" s="514"/>
      <c r="S555" s="514"/>
      <c r="T555" s="514"/>
      <c r="U555" s="756"/>
      <c r="V555" s="514"/>
      <c r="W555" s="514"/>
      <c r="X555" s="514"/>
      <c r="Y555" s="514"/>
      <c r="Z555" s="514"/>
      <c r="AA555" s="514"/>
      <c r="AB555" s="756"/>
      <c r="AC555" s="514"/>
      <c r="AD555" s="514"/>
      <c r="AE555" s="514"/>
      <c r="AF555" s="764"/>
      <c r="AG555" s="514"/>
      <c r="AH555" s="514"/>
      <c r="AI555" s="664">
        <f t="shared" si="31"/>
        <v>0</v>
      </c>
      <c r="AJ555" s="521">
        <v>0</v>
      </c>
      <c r="AK555" s="520">
        <f t="shared" si="32"/>
        <v>0</v>
      </c>
      <c r="AL555" s="695"/>
      <c r="AM555" s="669">
        <f t="shared" si="33"/>
        <v>0</v>
      </c>
    </row>
    <row r="556" spans="1:39" s="500" customFormat="1" ht="13.5" hidden="1" thickBot="1">
      <c r="A556" s="554" t="s">
        <v>1129</v>
      </c>
      <c r="B556" s="555" t="s">
        <v>1447</v>
      </c>
      <c r="C556" s="561" t="s">
        <v>64</v>
      </c>
      <c r="D556" s="519"/>
      <c r="E556" s="520"/>
      <c r="F556" s="520"/>
      <c r="G556" s="726"/>
      <c r="H556" s="520"/>
      <c r="I556" s="521"/>
      <c r="J556" s="521"/>
      <c r="K556" s="521"/>
      <c r="L556" s="514"/>
      <c r="M556" s="514"/>
      <c r="N556" s="756"/>
      <c r="O556" s="514"/>
      <c r="P556" s="514"/>
      <c r="Q556" s="514"/>
      <c r="R556" s="514"/>
      <c r="S556" s="514"/>
      <c r="T556" s="514"/>
      <c r="U556" s="756"/>
      <c r="V556" s="514"/>
      <c r="W556" s="514"/>
      <c r="X556" s="514"/>
      <c r="Y556" s="514"/>
      <c r="Z556" s="514"/>
      <c r="AA556" s="514"/>
      <c r="AB556" s="756"/>
      <c r="AC556" s="514"/>
      <c r="AD556" s="514"/>
      <c r="AE556" s="514"/>
      <c r="AF556" s="764"/>
      <c r="AG556" s="514"/>
      <c r="AH556" s="514"/>
      <c r="AI556" s="664">
        <f t="shared" si="31"/>
        <v>0</v>
      </c>
      <c r="AJ556" s="521">
        <v>0</v>
      </c>
      <c r="AK556" s="520">
        <f t="shared" si="32"/>
        <v>0</v>
      </c>
      <c r="AL556" s="695">
        <v>1</v>
      </c>
      <c r="AM556" s="669">
        <f t="shared" si="33"/>
        <v>1</v>
      </c>
    </row>
    <row r="557" spans="1:39" s="500" customFormat="1" ht="13.5" hidden="1" thickBot="1">
      <c r="A557" s="554" t="s">
        <v>1130</v>
      </c>
      <c r="B557" s="555" t="s">
        <v>1448</v>
      </c>
      <c r="C557" s="561"/>
      <c r="D557" s="519"/>
      <c r="E557" s="520"/>
      <c r="F557" s="520"/>
      <c r="G557" s="726"/>
      <c r="H557" s="520"/>
      <c r="I557" s="521"/>
      <c r="J557" s="521"/>
      <c r="K557" s="521"/>
      <c r="L557" s="514"/>
      <c r="M557" s="514"/>
      <c r="N557" s="756"/>
      <c r="O557" s="514"/>
      <c r="P557" s="514"/>
      <c r="Q557" s="514"/>
      <c r="R557" s="514"/>
      <c r="S557" s="514"/>
      <c r="T557" s="514"/>
      <c r="U557" s="756"/>
      <c r="V557" s="514"/>
      <c r="W557" s="514"/>
      <c r="X557" s="514"/>
      <c r="Y557" s="514"/>
      <c r="Z557" s="514"/>
      <c r="AA557" s="514"/>
      <c r="AB557" s="756"/>
      <c r="AC557" s="514"/>
      <c r="AD557" s="514"/>
      <c r="AE557" s="514"/>
      <c r="AF557" s="764"/>
      <c r="AG557" s="514"/>
      <c r="AH557" s="514"/>
      <c r="AI557" s="664">
        <f t="shared" si="31"/>
        <v>0</v>
      </c>
      <c r="AJ557" s="521">
        <v>0</v>
      </c>
      <c r="AK557" s="520">
        <f t="shared" si="32"/>
        <v>0</v>
      </c>
      <c r="AL557" s="695"/>
      <c r="AM557" s="669">
        <f t="shared" si="33"/>
        <v>0</v>
      </c>
    </row>
    <row r="558" spans="1:39" s="500" customFormat="1" ht="13.5" hidden="1" thickBot="1">
      <c r="A558" s="554" t="s">
        <v>1131</v>
      </c>
      <c r="B558" s="555" t="s">
        <v>1449</v>
      </c>
      <c r="C558" s="561" t="s">
        <v>64</v>
      </c>
      <c r="D558" s="519"/>
      <c r="E558" s="520"/>
      <c r="F558" s="520"/>
      <c r="G558" s="726"/>
      <c r="H558" s="520"/>
      <c r="I558" s="521"/>
      <c r="J558" s="521"/>
      <c r="K558" s="521"/>
      <c r="L558" s="514"/>
      <c r="M558" s="514"/>
      <c r="N558" s="756"/>
      <c r="O558" s="514"/>
      <c r="P558" s="514"/>
      <c r="Q558" s="514"/>
      <c r="R558" s="514"/>
      <c r="S558" s="514"/>
      <c r="T558" s="514"/>
      <c r="U558" s="756"/>
      <c r="V558" s="514"/>
      <c r="W558" s="514"/>
      <c r="X558" s="514"/>
      <c r="Y558" s="514"/>
      <c r="Z558" s="514"/>
      <c r="AA558" s="514"/>
      <c r="AB558" s="756"/>
      <c r="AC558" s="514"/>
      <c r="AD558" s="514"/>
      <c r="AE558" s="514"/>
      <c r="AF558" s="764"/>
      <c r="AG558" s="514"/>
      <c r="AH558" s="514"/>
      <c r="AI558" s="664">
        <f t="shared" si="31"/>
        <v>0</v>
      </c>
      <c r="AJ558" s="521">
        <v>0</v>
      </c>
      <c r="AK558" s="520">
        <f t="shared" si="32"/>
        <v>0</v>
      </c>
      <c r="AL558" s="695">
        <v>1</v>
      </c>
      <c r="AM558" s="669">
        <f t="shared" si="33"/>
        <v>1</v>
      </c>
    </row>
    <row r="559" spans="1:39" ht="13.5" thickBot="1">
      <c r="B559" s="776" t="s">
        <v>257</v>
      </c>
    </row>
    <row r="560" spans="1:39">
      <c r="A560" s="716" t="s">
        <v>33</v>
      </c>
      <c r="B560" s="717" t="s">
        <v>1132</v>
      </c>
      <c r="C560" s="558"/>
      <c r="D560" s="510"/>
      <c r="E560" s="511"/>
      <c r="F560" s="511"/>
      <c r="G560" s="738"/>
      <c r="H560" s="511"/>
      <c r="I560" s="512"/>
      <c r="J560" s="512"/>
      <c r="K560" s="512"/>
      <c r="L560" s="512"/>
      <c r="M560" s="512"/>
      <c r="N560" s="740"/>
      <c r="O560" s="512"/>
      <c r="P560" s="512"/>
      <c r="Q560" s="512"/>
      <c r="R560" s="512"/>
      <c r="S560" s="512"/>
      <c r="T560" s="512"/>
      <c r="U560" s="740"/>
      <c r="V560" s="512"/>
      <c r="W560" s="512"/>
      <c r="X560" s="512"/>
      <c r="Y560" s="512"/>
      <c r="Z560" s="512"/>
      <c r="AA560" s="512"/>
      <c r="AB560" s="744"/>
      <c r="AC560" s="513"/>
      <c r="AD560" s="513"/>
      <c r="AE560" s="513"/>
      <c r="AF560" s="764"/>
      <c r="AG560" s="514"/>
      <c r="AH560" s="514"/>
      <c r="AI560" s="664">
        <f>ROUND((SUM(D560:AH560)),2)</f>
        <v>0</v>
      </c>
    </row>
    <row r="561" spans="1:35">
      <c r="A561" s="539" t="s">
        <v>39</v>
      </c>
      <c r="B561" s="697" t="s">
        <v>34</v>
      </c>
      <c r="C561" s="524"/>
      <c r="D561" s="519"/>
      <c r="E561" s="520"/>
      <c r="F561" s="520"/>
      <c r="G561" s="726"/>
      <c r="H561" s="520"/>
      <c r="I561" s="520"/>
      <c r="J561" s="520"/>
      <c r="K561" s="520"/>
      <c r="L561" s="521"/>
      <c r="M561" s="521"/>
      <c r="N561" s="725"/>
      <c r="O561" s="521"/>
      <c r="P561" s="521"/>
      <c r="Q561" s="521"/>
      <c r="R561" s="521"/>
      <c r="S561" s="521"/>
      <c r="T561" s="663"/>
      <c r="U561" s="741"/>
      <c r="V561" s="663"/>
      <c r="W561" s="663"/>
      <c r="X561" s="663"/>
      <c r="Y561" s="663"/>
      <c r="Z561" s="663"/>
      <c r="AA561" s="663"/>
      <c r="AB561" s="741"/>
      <c r="AC561" s="663"/>
      <c r="AD561" s="663"/>
      <c r="AE561" s="663"/>
      <c r="AF561" s="765"/>
      <c r="AG561" s="663"/>
      <c r="AH561" s="663"/>
      <c r="AI561" s="664"/>
    </row>
    <row r="562" spans="1:35">
      <c r="A562" s="720" t="s">
        <v>543</v>
      </c>
      <c r="B562" s="659" t="s">
        <v>1140</v>
      </c>
      <c r="C562" s="660" t="s">
        <v>40</v>
      </c>
      <c r="D562" s="742">
        <v>22</v>
      </c>
      <c r="E562" s="661">
        <v>22</v>
      </c>
      <c r="F562" s="661">
        <v>22</v>
      </c>
      <c r="G562" s="739"/>
      <c r="H562" s="661">
        <v>22</v>
      </c>
      <c r="I562" s="662">
        <v>22</v>
      </c>
      <c r="J562" s="661">
        <v>22</v>
      </c>
      <c r="K562" s="661">
        <v>16</v>
      </c>
      <c r="L562" s="663">
        <v>16</v>
      </c>
      <c r="M562" s="663">
        <v>16</v>
      </c>
      <c r="N562" s="741"/>
      <c r="O562" s="663">
        <v>16</v>
      </c>
      <c r="P562" s="663">
        <v>16</v>
      </c>
      <c r="Q562" s="663">
        <v>16</v>
      </c>
      <c r="R562" s="663">
        <v>16</v>
      </c>
      <c r="S562" s="663">
        <v>16</v>
      </c>
      <c r="T562" s="663">
        <v>16</v>
      </c>
      <c r="U562" s="741"/>
      <c r="V562" s="663">
        <v>16</v>
      </c>
      <c r="W562" s="663">
        <v>16</v>
      </c>
      <c r="X562" s="663">
        <v>16</v>
      </c>
      <c r="Y562" s="663">
        <v>16</v>
      </c>
      <c r="Z562" s="663">
        <v>16</v>
      </c>
      <c r="AA562" s="663"/>
      <c r="AB562" s="741"/>
      <c r="AC562" s="663"/>
      <c r="AD562" s="663"/>
      <c r="AE562" s="663"/>
      <c r="AF562" s="765"/>
      <c r="AG562" s="663"/>
      <c r="AH562" s="663"/>
      <c r="AI562" s="786">
        <f>ROUND((SUM(D562:AH562)),2)</f>
        <v>356</v>
      </c>
    </row>
    <row r="563" spans="1:35" ht="13.5" thickBot="1"/>
    <row r="564" spans="1:35">
      <c r="A564" s="777" t="s">
        <v>514</v>
      </c>
      <c r="B564" s="778" t="s">
        <v>1804</v>
      </c>
      <c r="C564" s="779"/>
      <c r="D564" s="780"/>
      <c r="E564" s="781"/>
      <c r="F564" s="781"/>
      <c r="G564" s="781"/>
      <c r="H564" s="781"/>
      <c r="I564" s="782"/>
      <c r="J564" s="782"/>
      <c r="K564" s="782"/>
      <c r="L564" s="782"/>
      <c r="M564" s="782"/>
      <c r="N564" s="782"/>
      <c r="O564" s="782"/>
      <c r="P564" s="782"/>
      <c r="Q564" s="782"/>
      <c r="R564" s="782"/>
      <c r="S564" s="782"/>
      <c r="T564" s="782"/>
      <c r="U564" s="782"/>
      <c r="V564" s="782"/>
      <c r="W564" s="782"/>
      <c r="X564" s="782"/>
      <c r="Y564" s="782"/>
      <c r="Z564" s="782"/>
      <c r="AA564" s="782"/>
      <c r="AB564" s="783"/>
      <c r="AC564" s="783"/>
      <c r="AD564" s="783"/>
      <c r="AE564" s="783"/>
      <c r="AF564" s="784"/>
      <c r="AG564" s="784"/>
      <c r="AH564" s="784"/>
      <c r="AI564" s="785">
        <f>SUM(D564:AH564)</f>
        <v>0</v>
      </c>
    </row>
    <row r="565" spans="1:35">
      <c r="A565" s="539" t="s">
        <v>515</v>
      </c>
      <c r="B565" s="279" t="s">
        <v>34</v>
      </c>
      <c r="C565" s="529"/>
      <c r="D565" s="519"/>
      <c r="E565" s="520"/>
      <c r="F565" s="520"/>
      <c r="G565" s="726"/>
      <c r="H565" s="520"/>
      <c r="I565" s="521"/>
      <c r="J565" s="521"/>
      <c r="K565" s="521"/>
      <c r="L565" s="521"/>
      <c r="M565" s="521"/>
      <c r="N565" s="725"/>
      <c r="O565" s="521"/>
      <c r="P565" s="521"/>
      <c r="Q565" s="521"/>
      <c r="R565" s="521"/>
      <c r="S565" s="521"/>
      <c r="T565" s="521"/>
      <c r="U565" s="725"/>
      <c r="V565" s="521"/>
      <c r="W565" s="521"/>
      <c r="X565" s="521"/>
      <c r="Y565" s="521"/>
      <c r="Z565" s="521"/>
      <c r="AA565" s="521"/>
      <c r="AB565" s="745"/>
      <c r="AC565" s="522"/>
      <c r="AD565" s="514"/>
      <c r="AE565" s="514"/>
      <c r="AF565" s="764"/>
      <c r="AG565" s="514"/>
      <c r="AH565" s="514"/>
      <c r="AI565" s="515">
        <f>SUM(D565:AH565)</f>
        <v>0</v>
      </c>
    </row>
    <row r="566" spans="1:35">
      <c r="A566" s="539" t="s">
        <v>1805</v>
      </c>
      <c r="B566" s="279" t="s">
        <v>1820</v>
      </c>
      <c r="C566" s="524" t="s">
        <v>40</v>
      </c>
      <c r="D566" s="519">
        <v>30</v>
      </c>
      <c r="E566" s="519">
        <v>30</v>
      </c>
      <c r="F566" s="519">
        <v>30</v>
      </c>
      <c r="G566" s="743"/>
      <c r="H566" s="519">
        <v>30</v>
      </c>
      <c r="I566" s="519">
        <v>30</v>
      </c>
      <c r="J566" s="519">
        <v>30</v>
      </c>
      <c r="K566" s="519">
        <v>30</v>
      </c>
      <c r="L566" s="519">
        <v>30</v>
      </c>
      <c r="M566" s="519">
        <v>30</v>
      </c>
      <c r="N566" s="743"/>
      <c r="O566" s="519">
        <v>30</v>
      </c>
      <c r="P566" s="519">
        <v>30</v>
      </c>
      <c r="Q566" s="519">
        <v>30</v>
      </c>
      <c r="R566" s="519">
        <v>30</v>
      </c>
      <c r="S566" s="519">
        <v>30</v>
      </c>
      <c r="T566" s="519">
        <v>30</v>
      </c>
      <c r="U566" s="743"/>
      <c r="V566" s="519">
        <v>30</v>
      </c>
      <c r="W566" s="519">
        <v>30</v>
      </c>
      <c r="X566" s="519">
        <v>30</v>
      </c>
      <c r="Y566" s="519">
        <v>30</v>
      </c>
      <c r="Z566" s="519">
        <v>30</v>
      </c>
      <c r="AA566" s="519">
        <v>30</v>
      </c>
      <c r="AB566" s="743"/>
      <c r="AC566" s="519">
        <v>30</v>
      </c>
      <c r="AD566" s="519">
        <v>30</v>
      </c>
      <c r="AE566" s="519">
        <v>30</v>
      </c>
      <c r="AF566" s="771"/>
      <c r="AG566" s="519">
        <v>30</v>
      </c>
      <c r="AH566" s="522"/>
      <c r="AI566" s="787">
        <f>SUM(D566:AH566)</f>
        <v>750</v>
      </c>
    </row>
    <row r="567" spans="1:35">
      <c r="A567" s="539" t="s">
        <v>1929</v>
      </c>
      <c r="B567" s="752" t="s">
        <v>1935</v>
      </c>
      <c r="C567" s="746" t="s">
        <v>40</v>
      </c>
      <c r="D567" s="520">
        <v>7</v>
      </c>
      <c r="E567" s="520">
        <v>7</v>
      </c>
      <c r="F567" s="520">
        <v>7</v>
      </c>
      <c r="G567" s="726"/>
      <c r="H567" s="520">
        <v>7</v>
      </c>
      <c r="I567" s="521">
        <v>7</v>
      </c>
      <c r="J567" s="521">
        <v>7</v>
      </c>
      <c r="K567" s="521"/>
      <c r="L567" s="521"/>
      <c r="M567" s="521"/>
      <c r="N567" s="725"/>
      <c r="O567" s="521"/>
      <c r="P567" s="521"/>
      <c r="Q567" s="521"/>
      <c r="R567" s="521"/>
      <c r="S567" s="521"/>
      <c r="T567" s="521"/>
      <c r="U567" s="725"/>
      <c r="V567" s="521"/>
      <c r="W567" s="521"/>
      <c r="X567" s="521"/>
      <c r="Y567" s="521"/>
      <c r="Z567" s="521"/>
      <c r="AA567" s="521"/>
      <c r="AB567" s="725"/>
      <c r="AC567" s="521"/>
      <c r="AD567" s="521"/>
      <c r="AE567" s="521"/>
      <c r="AF567" s="772"/>
      <c r="AG567" s="521"/>
      <c r="AH567" s="734"/>
      <c r="AI567" s="787">
        <v>84</v>
      </c>
    </row>
    <row r="568" spans="1:35">
      <c r="A568" s="539" t="s">
        <v>1932</v>
      </c>
      <c r="B568" s="752" t="s">
        <v>1937</v>
      </c>
      <c r="C568" s="746" t="s">
        <v>40</v>
      </c>
      <c r="D568" s="524"/>
      <c r="E568" s="520"/>
      <c r="F568" s="520"/>
      <c r="G568" s="726"/>
      <c r="H568" s="520"/>
      <c r="I568" s="521"/>
      <c r="J568" s="521"/>
      <c r="K568" s="521">
        <v>36</v>
      </c>
      <c r="L568" s="521"/>
      <c r="M568" s="521"/>
      <c r="N568" s="725"/>
      <c r="O568" s="521"/>
      <c r="P568" s="521"/>
      <c r="Q568" s="521"/>
      <c r="R568" s="521"/>
      <c r="S568" s="521"/>
      <c r="T568" s="521"/>
      <c r="U568" s="725"/>
      <c r="V568" s="521"/>
      <c r="W568" s="521"/>
      <c r="X568" s="521"/>
      <c r="Y568" s="521">
        <v>32</v>
      </c>
      <c r="Z568" s="521">
        <v>4</v>
      </c>
      <c r="AA568" s="521"/>
      <c r="AB568" s="725"/>
      <c r="AC568" s="521"/>
      <c r="AD568" s="521"/>
      <c r="AE568" s="521"/>
      <c r="AF568" s="772"/>
      <c r="AG568" s="521"/>
      <c r="AH568" s="734"/>
      <c r="AI568" s="787">
        <f t="shared" ref="AI568" si="34">SUM(D568:AH568)</f>
        <v>72</v>
      </c>
    </row>
    <row r="569" spans="1:35">
      <c r="A569" s="539" t="s">
        <v>1933</v>
      </c>
      <c r="B569" s="752" t="s">
        <v>1939</v>
      </c>
      <c r="C569" s="746" t="s">
        <v>1938</v>
      </c>
      <c r="D569" s="500"/>
      <c r="E569" s="520">
        <f>1023*0.99*9.05</f>
        <v>9165.5685000000012</v>
      </c>
      <c r="F569" s="520"/>
      <c r="G569" s="726"/>
      <c r="H569" s="520"/>
      <c r="I569" s="521">
        <v>781.2</v>
      </c>
      <c r="J569" s="521"/>
      <c r="K569" s="521"/>
      <c r="L569" s="521">
        <v>539.1</v>
      </c>
      <c r="M569" s="521"/>
      <c r="N569" s="725"/>
      <c r="O569" s="521">
        <v>3414.84</v>
      </c>
      <c r="P569" s="521">
        <v>4190.3999999999996</v>
      </c>
      <c r="Q569" s="521"/>
      <c r="R569" s="521"/>
      <c r="S569" s="521"/>
      <c r="T569" s="521"/>
      <c r="U569" s="725"/>
      <c r="V569" s="521"/>
      <c r="W569" s="521"/>
      <c r="X569" s="521"/>
      <c r="Y569" s="521"/>
      <c r="Z569" s="521"/>
      <c r="AA569" s="521"/>
      <c r="AB569" s="725"/>
      <c r="AC569" s="521"/>
      <c r="AD569" s="521"/>
      <c r="AE569" s="500"/>
      <c r="AF569" s="772"/>
      <c r="AG569" s="521">
        <f>812*9*0.25+1067*9*0.599</f>
        <v>7579.1970000000001</v>
      </c>
      <c r="AH569" s="734"/>
      <c r="AI569" s="787">
        <f>SUM(E569:AH569)</f>
        <v>25670.305500000002</v>
      </c>
    </row>
    <row r="570" spans="1:35">
      <c r="A570" s="539" t="s">
        <v>1934</v>
      </c>
      <c r="B570" s="752" t="s">
        <v>1930</v>
      </c>
      <c r="C570" s="747" t="s">
        <v>40</v>
      </c>
      <c r="D570" s="748"/>
      <c r="E570" s="748"/>
      <c r="F570" s="748"/>
      <c r="G570" s="749"/>
      <c r="H570" s="748">
        <v>14</v>
      </c>
      <c r="I570" s="750">
        <v>14</v>
      </c>
      <c r="J570" s="750">
        <v>14</v>
      </c>
      <c r="K570" s="750"/>
      <c r="L570" s="750"/>
      <c r="M570" s="750"/>
      <c r="N570" s="751"/>
      <c r="O570" s="750"/>
      <c r="P570" s="750"/>
      <c r="Q570" s="750"/>
      <c r="R570" s="750"/>
      <c r="S570" s="750"/>
      <c r="T570" s="750"/>
      <c r="U570" s="751"/>
      <c r="V570" s="750"/>
      <c r="W570" s="750"/>
      <c r="X570" s="750"/>
      <c r="Y570" s="750"/>
      <c r="Z570" s="750"/>
      <c r="AA570" s="750"/>
      <c r="AB570" s="751"/>
      <c r="AC570" s="750"/>
      <c r="AD570" s="750"/>
      <c r="AE570" s="750"/>
      <c r="AF570" s="773"/>
      <c r="AG570" s="750"/>
      <c r="AH570" s="734"/>
      <c r="AI570" s="787">
        <f t="shared" ref="AI570:AI582" si="35">SUM(D570:AH570)</f>
        <v>42</v>
      </c>
    </row>
    <row r="571" spans="1:35">
      <c r="A571" s="539" t="s">
        <v>1940</v>
      </c>
      <c r="B571" s="752" t="s">
        <v>1944</v>
      </c>
      <c r="C571" s="747" t="s">
        <v>1943</v>
      </c>
      <c r="D571" s="748"/>
      <c r="E571" s="748"/>
      <c r="F571" s="748"/>
      <c r="G571" s="749"/>
      <c r="H571" s="748"/>
      <c r="I571" s="750"/>
      <c r="J571" s="750"/>
      <c r="K571" s="750"/>
      <c r="L571" s="750">
        <v>3525</v>
      </c>
      <c r="M571" s="750">
        <v>3867</v>
      </c>
      <c r="N571" s="751"/>
      <c r="O571" s="750"/>
      <c r="P571" s="750"/>
      <c r="Q571" s="521"/>
      <c r="R571" s="521"/>
      <c r="S571" s="750"/>
      <c r="T571" s="750"/>
      <c r="U571" s="751"/>
      <c r="V571" s="750"/>
      <c r="W571" s="750"/>
      <c r="X571" s="750"/>
      <c r="Y571" s="750"/>
      <c r="Z571" s="750"/>
      <c r="AA571" s="750"/>
      <c r="AB571" s="751"/>
      <c r="AC571" s="750"/>
      <c r="AD571" s="750"/>
      <c r="AE571" s="750"/>
      <c r="AF571" s="773"/>
      <c r="AG571" s="750"/>
      <c r="AH571" s="734"/>
      <c r="AI571" s="787">
        <f t="shared" si="35"/>
        <v>7392</v>
      </c>
    </row>
    <row r="572" spans="1:35">
      <c r="A572" s="539" t="s">
        <v>1941</v>
      </c>
      <c r="B572" s="752" t="s">
        <v>1945</v>
      </c>
      <c r="C572" s="747" t="s">
        <v>1943</v>
      </c>
      <c r="D572" s="748"/>
      <c r="E572" s="748"/>
      <c r="F572" s="748"/>
      <c r="G572" s="749"/>
      <c r="H572" s="748"/>
      <c r="I572" s="750"/>
      <c r="J572" s="750"/>
      <c r="K572" s="750"/>
      <c r="L572" s="750"/>
      <c r="M572" s="750"/>
      <c r="N572" s="751"/>
      <c r="O572" s="750"/>
      <c r="P572" s="750"/>
      <c r="Q572" s="667"/>
      <c r="R572" s="521"/>
      <c r="S572" s="750"/>
      <c r="T572" s="750"/>
      <c r="U572" s="751"/>
      <c r="V572" s="750"/>
      <c r="W572" s="750"/>
      <c r="X572" s="750">
        <f>450*18.04</f>
        <v>8118</v>
      </c>
      <c r="Y572" s="750"/>
      <c r="Z572" s="750"/>
      <c r="AA572" s="750"/>
      <c r="AB572" s="751"/>
      <c r="AC572" s="750"/>
      <c r="AD572" s="750"/>
      <c r="AE572" s="750"/>
      <c r="AF572" s="773"/>
      <c r="AG572" s="750"/>
      <c r="AH572" s="734"/>
      <c r="AI572" s="787">
        <f t="shared" si="35"/>
        <v>8118</v>
      </c>
    </row>
    <row r="573" spans="1:35">
      <c r="A573" s="539" t="s">
        <v>1942</v>
      </c>
      <c r="B573" s="752" t="s">
        <v>1946</v>
      </c>
      <c r="C573" s="747" t="s">
        <v>37</v>
      </c>
      <c r="D573" s="748"/>
      <c r="E573" s="748"/>
      <c r="F573" s="748"/>
      <c r="G573" s="749"/>
      <c r="H573" s="748"/>
      <c r="I573" s="750"/>
      <c r="J573" s="750"/>
      <c r="K573" s="750"/>
      <c r="L573" s="750"/>
      <c r="M573" s="750"/>
      <c r="N573" s="751"/>
      <c r="O573" s="750"/>
      <c r="P573" s="750"/>
      <c r="Q573" s="667"/>
      <c r="R573" s="521"/>
      <c r="S573" s="750">
        <f>100*1.22*2.44</f>
        <v>297.68</v>
      </c>
      <c r="T573" s="750"/>
      <c r="U573" s="751"/>
      <c r="V573" s="750"/>
      <c r="W573" s="750"/>
      <c r="X573" s="750"/>
      <c r="Y573" s="750"/>
      <c r="Z573" s="750"/>
      <c r="AA573" s="750"/>
      <c r="AB573" s="751"/>
      <c r="AC573" s="750"/>
      <c r="AD573" s="750"/>
      <c r="AE573" s="750"/>
      <c r="AF573" s="773"/>
      <c r="AG573" s="750"/>
      <c r="AH573" s="734"/>
      <c r="AI573" s="787">
        <f t="shared" si="35"/>
        <v>297.68</v>
      </c>
    </row>
    <row r="574" spans="1:35">
      <c r="A574" s="767"/>
      <c r="B574" s="752" t="s">
        <v>1202</v>
      </c>
      <c r="C574" s="747"/>
      <c r="D574" s="748"/>
      <c r="E574" s="748"/>
      <c r="F574" s="748"/>
      <c r="G574" s="749"/>
      <c r="H574" s="748"/>
      <c r="I574" s="750"/>
      <c r="J574" s="750"/>
      <c r="K574" s="750"/>
      <c r="L574" s="750"/>
      <c r="M574" s="750"/>
      <c r="N574" s="751"/>
      <c r="O574" s="750"/>
      <c r="P574" s="750"/>
      <c r="Q574" s="667"/>
      <c r="R574" s="521"/>
      <c r="S574" s="750"/>
      <c r="T574" s="750"/>
      <c r="U574" s="751"/>
      <c r="V574" s="750"/>
      <c r="W574" s="750"/>
      <c r="X574" s="750"/>
      <c r="Y574" s="750"/>
      <c r="Z574" s="750"/>
      <c r="AA574" s="750"/>
      <c r="AB574" s="751"/>
      <c r="AC574" s="750"/>
      <c r="AD574" s="750"/>
      <c r="AE574" s="750"/>
      <c r="AF574" s="773"/>
      <c r="AG574" s="750"/>
      <c r="AH574" s="734"/>
      <c r="AI574" s="787">
        <f t="shared" si="35"/>
        <v>0</v>
      </c>
    </row>
    <row r="575" spans="1:35">
      <c r="A575" s="759"/>
      <c r="B575" s="752" t="s">
        <v>1949</v>
      </c>
      <c r="C575" s="747"/>
      <c r="D575" s="748"/>
      <c r="E575" s="748"/>
      <c r="F575" s="748"/>
      <c r="G575" s="749"/>
      <c r="H575" s="748"/>
      <c r="I575" s="750"/>
      <c r="J575" s="750"/>
      <c r="K575" s="750"/>
      <c r="L575" s="750"/>
      <c r="M575" s="750"/>
      <c r="N575" s="751"/>
      <c r="O575" s="750"/>
      <c r="P575" s="750"/>
      <c r="Q575" s="667"/>
      <c r="R575" s="521"/>
      <c r="S575" s="750"/>
      <c r="T575" s="750"/>
      <c r="U575" s="751"/>
      <c r="V575" s="750"/>
      <c r="W575" s="750"/>
      <c r="X575" s="750"/>
      <c r="Y575" s="750"/>
      <c r="Z575" s="750"/>
      <c r="AA575" s="750"/>
      <c r="AB575" s="751"/>
      <c r="AC575" s="750"/>
      <c r="AD575" s="750"/>
      <c r="AE575" s="750"/>
      <c r="AF575" s="773"/>
      <c r="AG575" s="750"/>
      <c r="AH575" s="734"/>
      <c r="AI575" s="787">
        <f t="shared" si="35"/>
        <v>0</v>
      </c>
    </row>
    <row r="576" spans="1:35">
      <c r="A576" s="759"/>
      <c r="B576" s="752" t="s">
        <v>1950</v>
      </c>
      <c r="C576" s="747"/>
      <c r="D576" s="748"/>
      <c r="E576" s="748"/>
      <c r="F576" s="748"/>
      <c r="G576" s="749"/>
      <c r="H576" s="748"/>
      <c r="I576" s="750"/>
      <c r="J576" s="750"/>
      <c r="K576" s="750"/>
      <c r="L576" s="750"/>
      <c r="M576" s="750"/>
      <c r="N576" s="751"/>
      <c r="O576" s="750"/>
      <c r="P576" s="500"/>
      <c r="Q576" s="768">
        <f>4*1.2*1.2*0.55</f>
        <v>3.1680000000000001</v>
      </c>
      <c r="R576" s="521"/>
      <c r="S576" s="750"/>
      <c r="T576" s="750"/>
      <c r="U576" s="751"/>
      <c r="V576" s="750"/>
      <c r="W576" s="750"/>
      <c r="X576" s="750"/>
      <c r="Y576" s="750"/>
      <c r="Z576" s="750"/>
      <c r="AA576" s="750"/>
      <c r="AB576" s="751"/>
      <c r="AC576" s="750"/>
      <c r="AD576" s="750"/>
      <c r="AE576" s="750"/>
      <c r="AF576" s="773"/>
      <c r="AG576" s="750"/>
      <c r="AH576" s="734"/>
      <c r="AI576" s="787">
        <f t="shared" si="35"/>
        <v>3.1680000000000001</v>
      </c>
    </row>
    <row r="577" spans="1:35">
      <c r="A577" s="759"/>
      <c r="B577" s="752" t="s">
        <v>1209</v>
      </c>
      <c r="C577" s="747"/>
      <c r="D577" s="748"/>
      <c r="E577" s="748"/>
      <c r="F577" s="748"/>
      <c r="G577" s="749"/>
      <c r="H577" s="748"/>
      <c r="I577" s="750"/>
      <c r="J577" s="750"/>
      <c r="K577" s="750"/>
      <c r="L577" s="750"/>
      <c r="M577" s="750"/>
      <c r="N577" s="751"/>
      <c r="O577" s="750"/>
      <c r="P577" s="750"/>
      <c r="Q577" s="667"/>
      <c r="R577" s="521"/>
      <c r="S577" s="750"/>
      <c r="T577" s="750"/>
      <c r="U577" s="751"/>
      <c r="V577" s="750"/>
      <c r="W577" s="750"/>
      <c r="X577" s="750"/>
      <c r="Y577" s="750"/>
      <c r="Z577" s="750"/>
      <c r="AA577" s="750"/>
      <c r="AB577" s="751"/>
      <c r="AC577" s="750"/>
      <c r="AD577" s="750"/>
      <c r="AE577" s="750"/>
      <c r="AF577" s="773"/>
      <c r="AG577" s="750"/>
      <c r="AH577" s="734"/>
      <c r="AI577" s="787">
        <f t="shared" si="35"/>
        <v>0</v>
      </c>
    </row>
    <row r="578" spans="1:35">
      <c r="A578" s="759"/>
      <c r="B578" s="752" t="s">
        <v>1949</v>
      </c>
      <c r="C578" s="747"/>
      <c r="D578" s="748"/>
      <c r="E578" s="748"/>
      <c r="F578" s="748"/>
      <c r="G578" s="749"/>
      <c r="H578" s="748"/>
      <c r="I578" s="750"/>
      <c r="J578" s="750"/>
      <c r="K578" s="750"/>
      <c r="L578" s="750"/>
      <c r="M578" s="750"/>
      <c r="N578" s="751"/>
      <c r="O578" s="750"/>
      <c r="P578" s="750"/>
      <c r="Q578" s="667"/>
      <c r="R578" s="521"/>
      <c r="S578" s="750"/>
      <c r="T578" s="750"/>
      <c r="U578" s="751"/>
      <c r="V578" s="750"/>
      <c r="W578" s="750"/>
      <c r="X578" s="750"/>
      <c r="Y578" s="750"/>
      <c r="Z578" s="750"/>
      <c r="AA578" s="750"/>
      <c r="AB578" s="751"/>
      <c r="AC578" s="750"/>
      <c r="AD578" s="750"/>
      <c r="AE578" s="750"/>
      <c r="AF578" s="773"/>
      <c r="AG578" s="750"/>
      <c r="AH578" s="734"/>
      <c r="AI578" s="787">
        <f t="shared" si="35"/>
        <v>0</v>
      </c>
    </row>
    <row r="579" spans="1:35">
      <c r="A579" s="759"/>
      <c r="B579" s="752" t="s">
        <v>1950</v>
      </c>
      <c r="C579" s="747"/>
      <c r="D579" s="748"/>
      <c r="E579" s="748"/>
      <c r="F579" s="748"/>
      <c r="G579" s="749"/>
      <c r="H579" s="748"/>
      <c r="I579" s="750"/>
      <c r="J579" s="750"/>
      <c r="K579" s="750"/>
      <c r="L579" s="750"/>
      <c r="M579" s="750"/>
      <c r="N579" s="751"/>
      <c r="O579" s="750"/>
      <c r="P579" s="750"/>
      <c r="Q579" s="667"/>
      <c r="R579" s="521">
        <f>11*1.2*1.2*1.5</f>
        <v>23.759999999999998</v>
      </c>
      <c r="S579" s="750"/>
      <c r="T579" s="750"/>
      <c r="U579" s="751"/>
      <c r="V579" s="750"/>
      <c r="W579" s="750"/>
      <c r="X579" s="750"/>
      <c r="Y579" s="750"/>
      <c r="Z579" s="750"/>
      <c r="AA579" s="750"/>
      <c r="AB579" s="751"/>
      <c r="AC579" s="750"/>
      <c r="AD579" s="750"/>
      <c r="AE579" s="750"/>
      <c r="AF579" s="773"/>
      <c r="AG579" s="750"/>
      <c r="AH579" s="734"/>
      <c r="AI579" s="787">
        <f t="shared" si="35"/>
        <v>23.759999999999998</v>
      </c>
    </row>
    <row r="580" spans="1:35">
      <c r="A580" s="759"/>
      <c r="B580" s="539" t="s">
        <v>1211</v>
      </c>
      <c r="C580" s="747"/>
      <c r="D580" s="748"/>
      <c r="E580" s="748"/>
      <c r="F580" s="748"/>
      <c r="G580" s="749"/>
      <c r="H580" s="748"/>
      <c r="I580" s="750"/>
      <c r="J580" s="750"/>
      <c r="K580" s="750"/>
      <c r="L580" s="750"/>
      <c r="M580" s="750"/>
      <c r="N580" s="751"/>
      <c r="O580" s="750"/>
      <c r="P580" s="750"/>
      <c r="Q580" s="667"/>
      <c r="R580" s="500"/>
      <c r="S580" s="750"/>
      <c r="T580" s="750"/>
      <c r="U580" s="751"/>
      <c r="V580" s="750"/>
      <c r="W580" s="750"/>
      <c r="X580" s="750"/>
      <c r="Y580" s="750"/>
      <c r="Z580" s="750"/>
      <c r="AA580" s="750"/>
      <c r="AB580" s="751"/>
      <c r="AC580" s="750"/>
      <c r="AD580" s="750"/>
      <c r="AE580" s="750"/>
      <c r="AF580" s="773"/>
      <c r="AG580" s="750"/>
      <c r="AH580" s="734"/>
      <c r="AI580" s="787">
        <f t="shared" si="35"/>
        <v>0</v>
      </c>
    </row>
    <row r="581" spans="1:35">
      <c r="A581" s="759"/>
      <c r="B581" s="752" t="s">
        <v>1949</v>
      </c>
      <c r="C581" s="747"/>
      <c r="D581" s="748"/>
      <c r="E581" s="748"/>
      <c r="F581" s="748"/>
      <c r="G581" s="749"/>
      <c r="H581" s="748"/>
      <c r="I581" s="750"/>
      <c r="J581" s="750"/>
      <c r="K581" s="750"/>
      <c r="L581" s="750"/>
      <c r="M581" s="750"/>
      <c r="N581" s="751"/>
      <c r="O581" s="750"/>
      <c r="P581" s="750"/>
      <c r="Q581" s="667"/>
      <c r="R581" s="521"/>
      <c r="S581" s="750"/>
      <c r="T581" s="750"/>
      <c r="U581" s="751"/>
      <c r="V581" s="750"/>
      <c r="W581" s="750"/>
      <c r="X581" s="750"/>
      <c r="Y581" s="750"/>
      <c r="Z581" s="750"/>
      <c r="AA581" s="750"/>
      <c r="AB581" s="751"/>
      <c r="AC581" s="750"/>
      <c r="AD581" s="750"/>
      <c r="AE581" s="750"/>
      <c r="AF581" s="773"/>
      <c r="AG581" s="750"/>
      <c r="AH581" s="734"/>
      <c r="AI581" s="787">
        <f t="shared" si="35"/>
        <v>0</v>
      </c>
    </row>
    <row r="582" spans="1:35">
      <c r="A582" s="759"/>
      <c r="B582" s="752" t="s">
        <v>1950</v>
      </c>
      <c r="C582" s="747"/>
      <c r="D582" s="748"/>
      <c r="E582" s="748"/>
      <c r="F582" s="748"/>
      <c r="G582" s="749"/>
      <c r="H582" s="748"/>
      <c r="I582" s="750"/>
      <c r="J582" s="750"/>
      <c r="K582" s="750"/>
      <c r="L582" s="750"/>
      <c r="M582" s="750"/>
      <c r="N582" s="751"/>
      <c r="O582" s="750"/>
      <c r="P582" s="750"/>
      <c r="Q582" s="667"/>
      <c r="R582" s="521"/>
      <c r="S582" s="750"/>
      <c r="T582" s="750"/>
      <c r="U582" s="751"/>
      <c r="V582" s="751">
        <f>9.2*1.4*0.8</f>
        <v>10.304</v>
      </c>
      <c r="W582" s="750"/>
      <c r="X582" s="751">
        <f>15.57*1.4*0.9</f>
        <v>19.618199999999998</v>
      </c>
      <c r="Y582" s="750"/>
      <c r="Z582" s="751">
        <f>7.51*1.4*0.5</f>
        <v>5.2569999999999997</v>
      </c>
      <c r="AA582" s="751">
        <f>9.2*1.4*0.7</f>
        <v>9.0159999999999982</v>
      </c>
      <c r="AB582" s="751"/>
      <c r="AC582" s="750"/>
      <c r="AD582" s="750"/>
      <c r="AE582" s="750"/>
      <c r="AF582" s="773"/>
      <c r="AG582" s="750"/>
      <c r="AH582" s="734"/>
      <c r="AI582" s="787">
        <f t="shared" si="35"/>
        <v>44.195199999999993</v>
      </c>
    </row>
  </sheetData>
  <mergeCells count="7">
    <mergeCell ref="B5:K5"/>
    <mergeCell ref="D8:AI8"/>
    <mergeCell ref="A9:A10"/>
    <mergeCell ref="B9:B10"/>
    <mergeCell ref="A1:K1"/>
    <mergeCell ref="A2:K2"/>
    <mergeCell ref="B4:K4"/>
  </mergeCells>
  <pageMargins left="0.7" right="0.7" top="0.75" bottom="0.75" header="0.3" footer="0.3"/>
  <pageSetup paperSize="9" scale="25" orientation="portrait" r:id="rId1"/>
  <colBreaks count="2" manualBreakCount="2">
    <brk id="35" max="1048575" man="1"/>
    <brk id="98" max="1048575" man="1"/>
  </colBreaks>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002060"/>
  </sheetPr>
  <dimension ref="A1:AQ87"/>
  <sheetViews>
    <sheetView workbookViewId="0">
      <selection sqref="A1:X1"/>
    </sheetView>
  </sheetViews>
  <sheetFormatPr baseColWidth="10" defaultColWidth="11.42578125" defaultRowHeight="12.75"/>
  <cols>
    <col min="1" max="1" width="10.42578125" style="552" customWidth="1"/>
    <col min="2" max="2" width="99.42578125" style="550" customWidth="1"/>
    <col min="3" max="3" width="5" style="498" customWidth="1"/>
    <col min="4" max="4" width="7" style="498" customWidth="1"/>
    <col min="5" max="5" width="7" style="735" customWidth="1"/>
    <col min="6" max="11" width="7" style="498" customWidth="1"/>
    <col min="12" max="12" width="7" style="735" customWidth="1"/>
    <col min="13" max="18" width="7" style="498" customWidth="1"/>
    <col min="19" max="19" width="7" style="735" customWidth="1"/>
    <col min="20" max="25" width="7" style="498" customWidth="1"/>
    <col min="26" max="26" width="7" style="735" customWidth="1"/>
    <col min="27" max="29" width="7" style="498" customWidth="1"/>
    <col min="30" max="30" width="7" style="499" customWidth="1"/>
    <col min="31" max="31" width="10.42578125" style="761" customWidth="1"/>
    <col min="32" max="32" width="7" style="499" customWidth="1"/>
    <col min="33" max="33" width="7" style="755" customWidth="1"/>
    <col min="34" max="34" width="7" style="499" customWidth="1"/>
    <col min="35" max="36" width="9.42578125" style="498" customWidth="1"/>
    <col min="37" max="37" width="8.42578125" style="498" customWidth="1"/>
    <col min="38" max="38" width="11.42578125" style="498" customWidth="1"/>
    <col min="39" max="256" width="11.42578125" style="498"/>
    <col min="257" max="257" width="6.42578125" style="498" customWidth="1"/>
    <col min="258" max="258" width="47.5703125" style="498" customWidth="1"/>
    <col min="259" max="260" width="5" style="498" customWidth="1"/>
    <col min="261" max="261" width="5.42578125" style="498" customWidth="1"/>
    <col min="262" max="262" width="4.5703125" style="498" customWidth="1"/>
    <col min="263" max="264" width="4.42578125" style="498" customWidth="1"/>
    <col min="265" max="265" width="3.5703125" style="498" customWidth="1"/>
    <col min="266" max="266" width="5" style="498" customWidth="1"/>
    <col min="267" max="267" width="4" style="498" customWidth="1"/>
    <col min="268" max="269" width="4.5703125" style="498" customWidth="1"/>
    <col min="270" max="270" width="4.42578125" style="498" customWidth="1"/>
    <col min="271" max="271" width="4" style="498" customWidth="1"/>
    <col min="272" max="272" width="3.5703125" style="498" customWidth="1"/>
    <col min="273" max="274" width="4.5703125" style="498" customWidth="1"/>
    <col min="275" max="275" width="4" style="498" customWidth="1"/>
    <col min="276" max="277" width="4.42578125" style="498" customWidth="1"/>
    <col min="278" max="278" width="3.5703125" style="498" customWidth="1"/>
    <col min="279" max="279" width="4.42578125" style="498" customWidth="1"/>
    <col min="280" max="280" width="5.5703125" style="498" customWidth="1"/>
    <col min="281" max="281" width="3.5703125" style="498" customWidth="1"/>
    <col min="282" max="282" width="4" style="498" customWidth="1"/>
    <col min="283" max="283" width="4.5703125" style="498" customWidth="1"/>
    <col min="284" max="286" width="4.42578125" style="498" customWidth="1"/>
    <col min="287" max="288" width="4.5703125" style="498" customWidth="1"/>
    <col min="289" max="289" width="4" style="498" customWidth="1"/>
    <col min="290" max="290" width="4.5703125" style="498" customWidth="1"/>
    <col min="291" max="291" width="6" style="498" customWidth="1"/>
    <col min="292" max="292" width="8.5703125" style="498" customWidth="1"/>
    <col min="293" max="512" width="11.42578125" style="498"/>
    <col min="513" max="513" width="6.42578125" style="498" customWidth="1"/>
    <col min="514" max="514" width="47.5703125" style="498" customWidth="1"/>
    <col min="515" max="516" width="5" style="498" customWidth="1"/>
    <col min="517" max="517" width="5.42578125" style="498" customWidth="1"/>
    <col min="518" max="518" width="4.5703125" style="498" customWidth="1"/>
    <col min="519" max="520" width="4.42578125" style="498" customWidth="1"/>
    <col min="521" max="521" width="3.5703125" style="498" customWidth="1"/>
    <col min="522" max="522" width="5" style="498" customWidth="1"/>
    <col min="523" max="523" width="4" style="498" customWidth="1"/>
    <col min="524" max="525" width="4.5703125" style="498" customWidth="1"/>
    <col min="526" max="526" width="4.42578125" style="498" customWidth="1"/>
    <col min="527" max="527" width="4" style="498" customWidth="1"/>
    <col min="528" max="528" width="3.5703125" style="498" customWidth="1"/>
    <col min="529" max="530" width="4.5703125" style="498" customWidth="1"/>
    <col min="531" max="531" width="4" style="498" customWidth="1"/>
    <col min="532" max="533" width="4.42578125" style="498" customWidth="1"/>
    <col min="534" max="534" width="3.5703125" style="498" customWidth="1"/>
    <col min="535" max="535" width="4.42578125" style="498" customWidth="1"/>
    <col min="536" max="536" width="5.5703125" style="498" customWidth="1"/>
    <col min="537" max="537" width="3.5703125" style="498" customWidth="1"/>
    <col min="538" max="538" width="4" style="498" customWidth="1"/>
    <col min="539" max="539" width="4.5703125" style="498" customWidth="1"/>
    <col min="540" max="542" width="4.42578125" style="498" customWidth="1"/>
    <col min="543" max="544" width="4.5703125" style="498" customWidth="1"/>
    <col min="545" max="545" width="4" style="498" customWidth="1"/>
    <col min="546" max="546" width="4.5703125" style="498" customWidth="1"/>
    <col min="547" max="547" width="6" style="498" customWidth="1"/>
    <col min="548" max="548" width="8.5703125" style="498" customWidth="1"/>
    <col min="549" max="768" width="11.42578125" style="498"/>
    <col min="769" max="769" width="6.42578125" style="498" customWidth="1"/>
    <col min="770" max="770" width="47.5703125" style="498" customWidth="1"/>
    <col min="771" max="772" width="5" style="498" customWidth="1"/>
    <col min="773" max="773" width="5.42578125" style="498" customWidth="1"/>
    <col min="774" max="774" width="4.5703125" style="498" customWidth="1"/>
    <col min="775" max="776" width="4.42578125" style="498" customWidth="1"/>
    <col min="777" max="777" width="3.5703125" style="498" customWidth="1"/>
    <col min="778" max="778" width="5" style="498" customWidth="1"/>
    <col min="779" max="779" width="4" style="498" customWidth="1"/>
    <col min="780" max="781" width="4.5703125" style="498" customWidth="1"/>
    <col min="782" max="782" width="4.42578125" style="498" customWidth="1"/>
    <col min="783" max="783" width="4" style="498" customWidth="1"/>
    <col min="784" max="784" width="3.5703125" style="498" customWidth="1"/>
    <col min="785" max="786" width="4.5703125" style="498" customWidth="1"/>
    <col min="787" max="787" width="4" style="498" customWidth="1"/>
    <col min="788" max="789" width="4.42578125" style="498" customWidth="1"/>
    <col min="790" max="790" width="3.5703125" style="498" customWidth="1"/>
    <col min="791" max="791" width="4.42578125" style="498" customWidth="1"/>
    <col min="792" max="792" width="5.5703125" style="498" customWidth="1"/>
    <col min="793" max="793" width="3.5703125" style="498" customWidth="1"/>
    <col min="794" max="794" width="4" style="498" customWidth="1"/>
    <col min="795" max="795" width="4.5703125" style="498" customWidth="1"/>
    <col min="796" max="798" width="4.42578125" style="498" customWidth="1"/>
    <col min="799" max="800" width="4.5703125" style="498" customWidth="1"/>
    <col min="801" max="801" width="4" style="498" customWidth="1"/>
    <col min="802" max="802" width="4.5703125" style="498" customWidth="1"/>
    <col min="803" max="803" width="6" style="498" customWidth="1"/>
    <col min="804" max="804" width="8.5703125" style="498" customWidth="1"/>
    <col min="805" max="1024" width="11.42578125" style="498"/>
    <col min="1025" max="1025" width="6.42578125" style="498" customWidth="1"/>
    <col min="1026" max="1026" width="47.5703125" style="498" customWidth="1"/>
    <col min="1027" max="1028" width="5" style="498" customWidth="1"/>
    <col min="1029" max="1029" width="5.42578125" style="498" customWidth="1"/>
    <col min="1030" max="1030" width="4.5703125" style="498" customWidth="1"/>
    <col min="1031" max="1032" width="4.42578125" style="498" customWidth="1"/>
    <col min="1033" max="1033" width="3.5703125" style="498" customWidth="1"/>
    <col min="1034" max="1034" width="5" style="498" customWidth="1"/>
    <col min="1035" max="1035" width="4" style="498" customWidth="1"/>
    <col min="1036" max="1037" width="4.5703125" style="498" customWidth="1"/>
    <col min="1038" max="1038" width="4.42578125" style="498" customWidth="1"/>
    <col min="1039" max="1039" width="4" style="498" customWidth="1"/>
    <col min="1040" max="1040" width="3.5703125" style="498" customWidth="1"/>
    <col min="1041" max="1042" width="4.5703125" style="498" customWidth="1"/>
    <col min="1043" max="1043" width="4" style="498" customWidth="1"/>
    <col min="1044" max="1045" width="4.42578125" style="498" customWidth="1"/>
    <col min="1046" max="1046" width="3.5703125" style="498" customWidth="1"/>
    <col min="1047" max="1047" width="4.42578125" style="498" customWidth="1"/>
    <col min="1048" max="1048" width="5.5703125" style="498" customWidth="1"/>
    <col min="1049" max="1049" width="3.5703125" style="498" customWidth="1"/>
    <col min="1050" max="1050" width="4" style="498" customWidth="1"/>
    <col min="1051" max="1051" width="4.5703125" style="498" customWidth="1"/>
    <col min="1052" max="1054" width="4.42578125" style="498" customWidth="1"/>
    <col min="1055" max="1056" width="4.5703125" style="498" customWidth="1"/>
    <col min="1057" max="1057" width="4" style="498" customWidth="1"/>
    <col min="1058" max="1058" width="4.5703125" style="498" customWidth="1"/>
    <col min="1059" max="1059" width="6" style="498" customWidth="1"/>
    <col min="1060" max="1060" width="8.5703125" style="498" customWidth="1"/>
    <col min="1061" max="1280" width="11.42578125" style="498"/>
    <col min="1281" max="1281" width="6.42578125" style="498" customWidth="1"/>
    <col min="1282" max="1282" width="47.5703125" style="498" customWidth="1"/>
    <col min="1283" max="1284" width="5" style="498" customWidth="1"/>
    <col min="1285" max="1285" width="5.42578125" style="498" customWidth="1"/>
    <col min="1286" max="1286" width="4.5703125" style="498" customWidth="1"/>
    <col min="1287" max="1288" width="4.42578125" style="498" customWidth="1"/>
    <col min="1289" max="1289" width="3.5703125" style="498" customWidth="1"/>
    <col min="1290" max="1290" width="5" style="498" customWidth="1"/>
    <col min="1291" max="1291" width="4" style="498" customWidth="1"/>
    <col min="1292" max="1293" width="4.5703125" style="498" customWidth="1"/>
    <col min="1294" max="1294" width="4.42578125" style="498" customWidth="1"/>
    <col min="1295" max="1295" width="4" style="498" customWidth="1"/>
    <col min="1296" max="1296" width="3.5703125" style="498" customWidth="1"/>
    <col min="1297" max="1298" width="4.5703125" style="498" customWidth="1"/>
    <col min="1299" max="1299" width="4" style="498" customWidth="1"/>
    <col min="1300" max="1301" width="4.42578125" style="498" customWidth="1"/>
    <col min="1302" max="1302" width="3.5703125" style="498" customWidth="1"/>
    <col min="1303" max="1303" width="4.42578125" style="498" customWidth="1"/>
    <col min="1304" max="1304" width="5.5703125" style="498" customWidth="1"/>
    <col min="1305" max="1305" width="3.5703125" style="498" customWidth="1"/>
    <col min="1306" max="1306" width="4" style="498" customWidth="1"/>
    <col min="1307" max="1307" width="4.5703125" style="498" customWidth="1"/>
    <col min="1308" max="1310" width="4.42578125" style="498" customWidth="1"/>
    <col min="1311" max="1312" width="4.5703125" style="498" customWidth="1"/>
    <col min="1313" max="1313" width="4" style="498" customWidth="1"/>
    <col min="1314" max="1314" width="4.5703125" style="498" customWidth="1"/>
    <col min="1315" max="1315" width="6" style="498" customWidth="1"/>
    <col min="1316" max="1316" width="8.5703125" style="498" customWidth="1"/>
    <col min="1317" max="1536" width="11.42578125" style="498"/>
    <col min="1537" max="1537" width="6.42578125" style="498" customWidth="1"/>
    <col min="1538" max="1538" width="47.5703125" style="498" customWidth="1"/>
    <col min="1539" max="1540" width="5" style="498" customWidth="1"/>
    <col min="1541" max="1541" width="5.42578125" style="498" customWidth="1"/>
    <col min="1542" max="1542" width="4.5703125" style="498" customWidth="1"/>
    <col min="1543" max="1544" width="4.42578125" style="498" customWidth="1"/>
    <col min="1545" max="1545" width="3.5703125" style="498" customWidth="1"/>
    <col min="1546" max="1546" width="5" style="498" customWidth="1"/>
    <col min="1547" max="1547" width="4" style="498" customWidth="1"/>
    <col min="1548" max="1549" width="4.5703125" style="498" customWidth="1"/>
    <col min="1550" max="1550" width="4.42578125" style="498" customWidth="1"/>
    <col min="1551" max="1551" width="4" style="498" customWidth="1"/>
    <col min="1552" max="1552" width="3.5703125" style="498" customWidth="1"/>
    <col min="1553" max="1554" width="4.5703125" style="498" customWidth="1"/>
    <col min="1555" max="1555" width="4" style="498" customWidth="1"/>
    <col min="1556" max="1557" width="4.42578125" style="498" customWidth="1"/>
    <col min="1558" max="1558" width="3.5703125" style="498" customWidth="1"/>
    <col min="1559" max="1559" width="4.42578125" style="498" customWidth="1"/>
    <col min="1560" max="1560" width="5.5703125" style="498" customWidth="1"/>
    <col min="1561" max="1561" width="3.5703125" style="498" customWidth="1"/>
    <col min="1562" max="1562" width="4" style="498" customWidth="1"/>
    <col min="1563" max="1563" width="4.5703125" style="498" customWidth="1"/>
    <col min="1564" max="1566" width="4.42578125" style="498" customWidth="1"/>
    <col min="1567" max="1568" width="4.5703125" style="498" customWidth="1"/>
    <col min="1569" max="1569" width="4" style="498" customWidth="1"/>
    <col min="1570" max="1570" width="4.5703125" style="498" customWidth="1"/>
    <col min="1571" max="1571" width="6" style="498" customWidth="1"/>
    <col min="1572" max="1572" width="8.5703125" style="498" customWidth="1"/>
    <col min="1573" max="1792" width="11.42578125" style="498"/>
    <col min="1793" max="1793" width="6.42578125" style="498" customWidth="1"/>
    <col min="1794" max="1794" width="47.5703125" style="498" customWidth="1"/>
    <col min="1795" max="1796" width="5" style="498" customWidth="1"/>
    <col min="1797" max="1797" width="5.42578125" style="498" customWidth="1"/>
    <col min="1798" max="1798" width="4.5703125" style="498" customWidth="1"/>
    <col min="1799" max="1800" width="4.42578125" style="498" customWidth="1"/>
    <col min="1801" max="1801" width="3.5703125" style="498" customWidth="1"/>
    <col min="1802" max="1802" width="5" style="498" customWidth="1"/>
    <col min="1803" max="1803" width="4" style="498" customWidth="1"/>
    <col min="1804" max="1805" width="4.5703125" style="498" customWidth="1"/>
    <col min="1806" max="1806" width="4.42578125" style="498" customWidth="1"/>
    <col min="1807" max="1807" width="4" style="498" customWidth="1"/>
    <col min="1808" max="1808" width="3.5703125" style="498" customWidth="1"/>
    <col min="1809" max="1810" width="4.5703125" style="498" customWidth="1"/>
    <col min="1811" max="1811" width="4" style="498" customWidth="1"/>
    <col min="1812" max="1813" width="4.42578125" style="498" customWidth="1"/>
    <col min="1814" max="1814" width="3.5703125" style="498" customWidth="1"/>
    <col min="1815" max="1815" width="4.42578125" style="498" customWidth="1"/>
    <col min="1816" max="1816" width="5.5703125" style="498" customWidth="1"/>
    <col min="1817" max="1817" width="3.5703125" style="498" customWidth="1"/>
    <col min="1818" max="1818" width="4" style="498" customWidth="1"/>
    <col min="1819" max="1819" width="4.5703125" style="498" customWidth="1"/>
    <col min="1820" max="1822" width="4.42578125" style="498" customWidth="1"/>
    <col min="1823" max="1824" width="4.5703125" style="498" customWidth="1"/>
    <col min="1825" max="1825" width="4" style="498" customWidth="1"/>
    <col min="1826" max="1826" width="4.5703125" style="498" customWidth="1"/>
    <col min="1827" max="1827" width="6" style="498" customWidth="1"/>
    <col min="1828" max="1828" width="8.5703125" style="498" customWidth="1"/>
    <col min="1829" max="2048" width="11.42578125" style="498"/>
    <col min="2049" max="2049" width="6.42578125" style="498" customWidth="1"/>
    <col min="2050" max="2050" width="47.5703125" style="498" customWidth="1"/>
    <col min="2051" max="2052" width="5" style="498" customWidth="1"/>
    <col min="2053" max="2053" width="5.42578125" style="498" customWidth="1"/>
    <col min="2054" max="2054" width="4.5703125" style="498" customWidth="1"/>
    <col min="2055" max="2056" width="4.42578125" style="498" customWidth="1"/>
    <col min="2057" max="2057" width="3.5703125" style="498" customWidth="1"/>
    <col min="2058" max="2058" width="5" style="498" customWidth="1"/>
    <col min="2059" max="2059" width="4" style="498" customWidth="1"/>
    <col min="2060" max="2061" width="4.5703125" style="498" customWidth="1"/>
    <col min="2062" max="2062" width="4.42578125" style="498" customWidth="1"/>
    <col min="2063" max="2063" width="4" style="498" customWidth="1"/>
    <col min="2064" max="2064" width="3.5703125" style="498" customWidth="1"/>
    <col min="2065" max="2066" width="4.5703125" style="498" customWidth="1"/>
    <col min="2067" max="2067" width="4" style="498" customWidth="1"/>
    <col min="2068" max="2069" width="4.42578125" style="498" customWidth="1"/>
    <col min="2070" max="2070" width="3.5703125" style="498" customWidth="1"/>
    <col min="2071" max="2071" width="4.42578125" style="498" customWidth="1"/>
    <col min="2072" max="2072" width="5.5703125" style="498" customWidth="1"/>
    <col min="2073" max="2073" width="3.5703125" style="498" customWidth="1"/>
    <col min="2074" max="2074" width="4" style="498" customWidth="1"/>
    <col min="2075" max="2075" width="4.5703125" style="498" customWidth="1"/>
    <col min="2076" max="2078" width="4.42578125" style="498" customWidth="1"/>
    <col min="2079" max="2080" width="4.5703125" style="498" customWidth="1"/>
    <col min="2081" max="2081" width="4" style="498" customWidth="1"/>
    <col min="2082" max="2082" width="4.5703125" style="498" customWidth="1"/>
    <col min="2083" max="2083" width="6" style="498" customWidth="1"/>
    <col min="2084" max="2084" width="8.5703125" style="498" customWidth="1"/>
    <col min="2085" max="2304" width="11.42578125" style="498"/>
    <col min="2305" max="2305" width="6.42578125" style="498" customWidth="1"/>
    <col min="2306" max="2306" width="47.5703125" style="498" customWidth="1"/>
    <col min="2307" max="2308" width="5" style="498" customWidth="1"/>
    <col min="2309" max="2309" width="5.42578125" style="498" customWidth="1"/>
    <col min="2310" max="2310" width="4.5703125" style="498" customWidth="1"/>
    <col min="2311" max="2312" width="4.42578125" style="498" customWidth="1"/>
    <col min="2313" max="2313" width="3.5703125" style="498" customWidth="1"/>
    <col min="2314" max="2314" width="5" style="498" customWidth="1"/>
    <col min="2315" max="2315" width="4" style="498" customWidth="1"/>
    <col min="2316" max="2317" width="4.5703125" style="498" customWidth="1"/>
    <col min="2318" max="2318" width="4.42578125" style="498" customWidth="1"/>
    <col min="2319" max="2319" width="4" style="498" customWidth="1"/>
    <col min="2320" max="2320" width="3.5703125" style="498" customWidth="1"/>
    <col min="2321" max="2322" width="4.5703125" style="498" customWidth="1"/>
    <col min="2323" max="2323" width="4" style="498" customWidth="1"/>
    <col min="2324" max="2325" width="4.42578125" style="498" customWidth="1"/>
    <col min="2326" max="2326" width="3.5703125" style="498" customWidth="1"/>
    <col min="2327" max="2327" width="4.42578125" style="498" customWidth="1"/>
    <col min="2328" max="2328" width="5.5703125" style="498" customWidth="1"/>
    <col min="2329" max="2329" width="3.5703125" style="498" customWidth="1"/>
    <col min="2330" max="2330" width="4" style="498" customWidth="1"/>
    <col min="2331" max="2331" width="4.5703125" style="498" customWidth="1"/>
    <col min="2332" max="2334" width="4.42578125" style="498" customWidth="1"/>
    <col min="2335" max="2336" width="4.5703125" style="498" customWidth="1"/>
    <col min="2337" max="2337" width="4" style="498" customWidth="1"/>
    <col min="2338" max="2338" width="4.5703125" style="498" customWidth="1"/>
    <col min="2339" max="2339" width="6" style="498" customWidth="1"/>
    <col min="2340" max="2340" width="8.5703125" style="498" customWidth="1"/>
    <col min="2341" max="2560" width="11.42578125" style="498"/>
    <col min="2561" max="2561" width="6.42578125" style="498" customWidth="1"/>
    <col min="2562" max="2562" width="47.5703125" style="498" customWidth="1"/>
    <col min="2563" max="2564" width="5" style="498" customWidth="1"/>
    <col min="2565" max="2565" width="5.42578125" style="498" customWidth="1"/>
    <col min="2566" max="2566" width="4.5703125" style="498" customWidth="1"/>
    <col min="2567" max="2568" width="4.42578125" style="498" customWidth="1"/>
    <col min="2569" max="2569" width="3.5703125" style="498" customWidth="1"/>
    <col min="2570" max="2570" width="5" style="498" customWidth="1"/>
    <col min="2571" max="2571" width="4" style="498" customWidth="1"/>
    <col min="2572" max="2573" width="4.5703125" style="498" customWidth="1"/>
    <col min="2574" max="2574" width="4.42578125" style="498" customWidth="1"/>
    <col min="2575" max="2575" width="4" style="498" customWidth="1"/>
    <col min="2576" max="2576" width="3.5703125" style="498" customWidth="1"/>
    <col min="2577" max="2578" width="4.5703125" style="498" customWidth="1"/>
    <col min="2579" max="2579" width="4" style="498" customWidth="1"/>
    <col min="2580" max="2581" width="4.42578125" style="498" customWidth="1"/>
    <col min="2582" max="2582" width="3.5703125" style="498" customWidth="1"/>
    <col min="2583" max="2583" width="4.42578125" style="498" customWidth="1"/>
    <col min="2584" max="2584" width="5.5703125" style="498" customWidth="1"/>
    <col min="2585" max="2585" width="3.5703125" style="498" customWidth="1"/>
    <col min="2586" max="2586" width="4" style="498" customWidth="1"/>
    <col min="2587" max="2587" width="4.5703125" style="498" customWidth="1"/>
    <col min="2588" max="2590" width="4.42578125" style="498" customWidth="1"/>
    <col min="2591" max="2592" width="4.5703125" style="498" customWidth="1"/>
    <col min="2593" max="2593" width="4" style="498" customWidth="1"/>
    <col min="2594" max="2594" width="4.5703125" style="498" customWidth="1"/>
    <col min="2595" max="2595" width="6" style="498" customWidth="1"/>
    <col min="2596" max="2596" width="8.5703125" style="498" customWidth="1"/>
    <col min="2597" max="2816" width="11.42578125" style="498"/>
    <col min="2817" max="2817" width="6.42578125" style="498" customWidth="1"/>
    <col min="2818" max="2818" width="47.5703125" style="498" customWidth="1"/>
    <col min="2819" max="2820" width="5" style="498" customWidth="1"/>
    <col min="2821" max="2821" width="5.42578125" style="498" customWidth="1"/>
    <col min="2822" max="2822" width="4.5703125" style="498" customWidth="1"/>
    <col min="2823" max="2824" width="4.42578125" style="498" customWidth="1"/>
    <col min="2825" max="2825" width="3.5703125" style="498" customWidth="1"/>
    <col min="2826" max="2826" width="5" style="498" customWidth="1"/>
    <col min="2827" max="2827" width="4" style="498" customWidth="1"/>
    <col min="2828" max="2829" width="4.5703125" style="498" customWidth="1"/>
    <col min="2830" max="2830" width="4.42578125" style="498" customWidth="1"/>
    <col min="2831" max="2831" width="4" style="498" customWidth="1"/>
    <col min="2832" max="2832" width="3.5703125" style="498" customWidth="1"/>
    <col min="2833" max="2834" width="4.5703125" style="498" customWidth="1"/>
    <col min="2835" max="2835" width="4" style="498" customWidth="1"/>
    <col min="2836" max="2837" width="4.42578125" style="498" customWidth="1"/>
    <col min="2838" max="2838" width="3.5703125" style="498" customWidth="1"/>
    <col min="2839" max="2839" width="4.42578125" style="498" customWidth="1"/>
    <col min="2840" max="2840" width="5.5703125" style="498" customWidth="1"/>
    <col min="2841" max="2841" width="3.5703125" style="498" customWidth="1"/>
    <col min="2842" max="2842" width="4" style="498" customWidth="1"/>
    <col min="2843" max="2843" width="4.5703125" style="498" customWidth="1"/>
    <col min="2844" max="2846" width="4.42578125" style="498" customWidth="1"/>
    <col min="2847" max="2848" width="4.5703125" style="498" customWidth="1"/>
    <col min="2849" max="2849" width="4" style="498" customWidth="1"/>
    <col min="2850" max="2850" width="4.5703125" style="498" customWidth="1"/>
    <col min="2851" max="2851" width="6" style="498" customWidth="1"/>
    <col min="2852" max="2852" width="8.5703125" style="498" customWidth="1"/>
    <col min="2853" max="3072" width="11.42578125" style="498"/>
    <col min="3073" max="3073" width="6.42578125" style="498" customWidth="1"/>
    <col min="3074" max="3074" width="47.5703125" style="498" customWidth="1"/>
    <col min="3075" max="3076" width="5" style="498" customWidth="1"/>
    <col min="3077" max="3077" width="5.42578125" style="498" customWidth="1"/>
    <col min="3078" max="3078" width="4.5703125" style="498" customWidth="1"/>
    <col min="3079" max="3080" width="4.42578125" style="498" customWidth="1"/>
    <col min="3081" max="3081" width="3.5703125" style="498" customWidth="1"/>
    <col min="3082" max="3082" width="5" style="498" customWidth="1"/>
    <col min="3083" max="3083" width="4" style="498" customWidth="1"/>
    <col min="3084" max="3085" width="4.5703125" style="498" customWidth="1"/>
    <col min="3086" max="3086" width="4.42578125" style="498" customWidth="1"/>
    <col min="3087" max="3087" width="4" style="498" customWidth="1"/>
    <col min="3088" max="3088" width="3.5703125" style="498" customWidth="1"/>
    <col min="3089" max="3090" width="4.5703125" style="498" customWidth="1"/>
    <col min="3091" max="3091" width="4" style="498" customWidth="1"/>
    <col min="3092" max="3093" width="4.42578125" style="498" customWidth="1"/>
    <col min="3094" max="3094" width="3.5703125" style="498" customWidth="1"/>
    <col min="3095" max="3095" width="4.42578125" style="498" customWidth="1"/>
    <col min="3096" max="3096" width="5.5703125" style="498" customWidth="1"/>
    <col min="3097" max="3097" width="3.5703125" style="498" customWidth="1"/>
    <col min="3098" max="3098" width="4" style="498" customWidth="1"/>
    <col min="3099" max="3099" width="4.5703125" style="498" customWidth="1"/>
    <col min="3100" max="3102" width="4.42578125" style="498" customWidth="1"/>
    <col min="3103" max="3104" width="4.5703125" style="498" customWidth="1"/>
    <col min="3105" max="3105" width="4" style="498" customWidth="1"/>
    <col min="3106" max="3106" width="4.5703125" style="498" customWidth="1"/>
    <col min="3107" max="3107" width="6" style="498" customWidth="1"/>
    <col min="3108" max="3108" width="8.5703125" style="498" customWidth="1"/>
    <col min="3109" max="3328" width="11.42578125" style="498"/>
    <col min="3329" max="3329" width="6.42578125" style="498" customWidth="1"/>
    <col min="3330" max="3330" width="47.5703125" style="498" customWidth="1"/>
    <col min="3331" max="3332" width="5" style="498" customWidth="1"/>
    <col min="3333" max="3333" width="5.42578125" style="498" customWidth="1"/>
    <col min="3334" max="3334" width="4.5703125" style="498" customWidth="1"/>
    <col min="3335" max="3336" width="4.42578125" style="498" customWidth="1"/>
    <col min="3337" max="3337" width="3.5703125" style="498" customWidth="1"/>
    <col min="3338" max="3338" width="5" style="498" customWidth="1"/>
    <col min="3339" max="3339" width="4" style="498" customWidth="1"/>
    <col min="3340" max="3341" width="4.5703125" style="498" customWidth="1"/>
    <col min="3342" max="3342" width="4.42578125" style="498" customWidth="1"/>
    <col min="3343" max="3343" width="4" style="498" customWidth="1"/>
    <col min="3344" max="3344" width="3.5703125" style="498" customWidth="1"/>
    <col min="3345" max="3346" width="4.5703125" style="498" customWidth="1"/>
    <col min="3347" max="3347" width="4" style="498" customWidth="1"/>
    <col min="3348" max="3349" width="4.42578125" style="498" customWidth="1"/>
    <col min="3350" max="3350" width="3.5703125" style="498" customWidth="1"/>
    <col min="3351" max="3351" width="4.42578125" style="498" customWidth="1"/>
    <col min="3352" max="3352" width="5.5703125" style="498" customWidth="1"/>
    <col min="3353" max="3353" width="3.5703125" style="498" customWidth="1"/>
    <col min="3354" max="3354" width="4" style="498" customWidth="1"/>
    <col min="3355" max="3355" width="4.5703125" style="498" customWidth="1"/>
    <col min="3356" max="3358" width="4.42578125" style="498" customWidth="1"/>
    <col min="3359" max="3360" width="4.5703125" style="498" customWidth="1"/>
    <col min="3361" max="3361" width="4" style="498" customWidth="1"/>
    <col min="3362" max="3362" width="4.5703125" style="498" customWidth="1"/>
    <col min="3363" max="3363" width="6" style="498" customWidth="1"/>
    <col min="3364" max="3364" width="8.5703125" style="498" customWidth="1"/>
    <col min="3365" max="3584" width="11.42578125" style="498"/>
    <col min="3585" max="3585" width="6.42578125" style="498" customWidth="1"/>
    <col min="3586" max="3586" width="47.5703125" style="498" customWidth="1"/>
    <col min="3587" max="3588" width="5" style="498" customWidth="1"/>
    <col min="3589" max="3589" width="5.42578125" style="498" customWidth="1"/>
    <col min="3590" max="3590" width="4.5703125" style="498" customWidth="1"/>
    <col min="3591" max="3592" width="4.42578125" style="498" customWidth="1"/>
    <col min="3593" max="3593" width="3.5703125" style="498" customWidth="1"/>
    <col min="3594" max="3594" width="5" style="498" customWidth="1"/>
    <col min="3595" max="3595" width="4" style="498" customWidth="1"/>
    <col min="3596" max="3597" width="4.5703125" style="498" customWidth="1"/>
    <col min="3598" max="3598" width="4.42578125" style="498" customWidth="1"/>
    <col min="3599" max="3599" width="4" style="498" customWidth="1"/>
    <col min="3600" max="3600" width="3.5703125" style="498" customWidth="1"/>
    <col min="3601" max="3602" width="4.5703125" style="498" customWidth="1"/>
    <col min="3603" max="3603" width="4" style="498" customWidth="1"/>
    <col min="3604" max="3605" width="4.42578125" style="498" customWidth="1"/>
    <col min="3606" max="3606" width="3.5703125" style="498" customWidth="1"/>
    <col min="3607" max="3607" width="4.42578125" style="498" customWidth="1"/>
    <col min="3608" max="3608" width="5.5703125" style="498" customWidth="1"/>
    <col min="3609" max="3609" width="3.5703125" style="498" customWidth="1"/>
    <col min="3610" max="3610" width="4" style="498" customWidth="1"/>
    <col min="3611" max="3611" width="4.5703125" style="498" customWidth="1"/>
    <col min="3612" max="3614" width="4.42578125" style="498" customWidth="1"/>
    <col min="3615" max="3616" width="4.5703125" style="498" customWidth="1"/>
    <col min="3617" max="3617" width="4" style="498" customWidth="1"/>
    <col min="3618" max="3618" width="4.5703125" style="498" customWidth="1"/>
    <col min="3619" max="3619" width="6" style="498" customWidth="1"/>
    <col min="3620" max="3620" width="8.5703125" style="498" customWidth="1"/>
    <col min="3621" max="3840" width="11.42578125" style="498"/>
    <col min="3841" max="3841" width="6.42578125" style="498" customWidth="1"/>
    <col min="3842" max="3842" width="47.5703125" style="498" customWidth="1"/>
    <col min="3843" max="3844" width="5" style="498" customWidth="1"/>
    <col min="3845" max="3845" width="5.42578125" style="498" customWidth="1"/>
    <col min="3846" max="3846" width="4.5703125" style="498" customWidth="1"/>
    <col min="3847" max="3848" width="4.42578125" style="498" customWidth="1"/>
    <col min="3849" max="3849" width="3.5703125" style="498" customWidth="1"/>
    <col min="3850" max="3850" width="5" style="498" customWidth="1"/>
    <col min="3851" max="3851" width="4" style="498" customWidth="1"/>
    <col min="3852" max="3853" width="4.5703125" style="498" customWidth="1"/>
    <col min="3854" max="3854" width="4.42578125" style="498" customWidth="1"/>
    <col min="3855" max="3855" width="4" style="498" customWidth="1"/>
    <col min="3856" max="3856" width="3.5703125" style="498" customWidth="1"/>
    <col min="3857" max="3858" width="4.5703125" style="498" customWidth="1"/>
    <col min="3859" max="3859" width="4" style="498" customWidth="1"/>
    <col min="3860" max="3861" width="4.42578125" style="498" customWidth="1"/>
    <col min="3862" max="3862" width="3.5703125" style="498" customWidth="1"/>
    <col min="3863" max="3863" width="4.42578125" style="498" customWidth="1"/>
    <col min="3864" max="3864" width="5.5703125" style="498" customWidth="1"/>
    <col min="3865" max="3865" width="3.5703125" style="498" customWidth="1"/>
    <col min="3866" max="3866" width="4" style="498" customWidth="1"/>
    <col min="3867" max="3867" width="4.5703125" style="498" customWidth="1"/>
    <col min="3868" max="3870" width="4.42578125" style="498" customWidth="1"/>
    <col min="3871" max="3872" width="4.5703125" style="498" customWidth="1"/>
    <col min="3873" max="3873" width="4" style="498" customWidth="1"/>
    <col min="3874" max="3874" width="4.5703125" style="498" customWidth="1"/>
    <col min="3875" max="3875" width="6" style="498" customWidth="1"/>
    <col min="3876" max="3876" width="8.5703125" style="498" customWidth="1"/>
    <col min="3877" max="4096" width="11.42578125" style="498"/>
    <col min="4097" max="4097" width="6.42578125" style="498" customWidth="1"/>
    <col min="4098" max="4098" width="47.5703125" style="498" customWidth="1"/>
    <col min="4099" max="4100" width="5" style="498" customWidth="1"/>
    <col min="4101" max="4101" width="5.42578125" style="498" customWidth="1"/>
    <col min="4102" max="4102" width="4.5703125" style="498" customWidth="1"/>
    <col min="4103" max="4104" width="4.42578125" style="498" customWidth="1"/>
    <col min="4105" max="4105" width="3.5703125" style="498" customWidth="1"/>
    <col min="4106" max="4106" width="5" style="498" customWidth="1"/>
    <col min="4107" max="4107" width="4" style="498" customWidth="1"/>
    <col min="4108" max="4109" width="4.5703125" style="498" customWidth="1"/>
    <col min="4110" max="4110" width="4.42578125" style="498" customWidth="1"/>
    <col min="4111" max="4111" width="4" style="498" customWidth="1"/>
    <col min="4112" max="4112" width="3.5703125" style="498" customWidth="1"/>
    <col min="4113" max="4114" width="4.5703125" style="498" customWidth="1"/>
    <col min="4115" max="4115" width="4" style="498" customWidth="1"/>
    <col min="4116" max="4117" width="4.42578125" style="498" customWidth="1"/>
    <col min="4118" max="4118" width="3.5703125" style="498" customWidth="1"/>
    <col min="4119" max="4119" width="4.42578125" style="498" customWidth="1"/>
    <col min="4120" max="4120" width="5.5703125" style="498" customWidth="1"/>
    <col min="4121" max="4121" width="3.5703125" style="498" customWidth="1"/>
    <col min="4122" max="4122" width="4" style="498" customWidth="1"/>
    <col min="4123" max="4123" width="4.5703125" style="498" customWidth="1"/>
    <col min="4124" max="4126" width="4.42578125" style="498" customWidth="1"/>
    <col min="4127" max="4128" width="4.5703125" style="498" customWidth="1"/>
    <col min="4129" max="4129" width="4" style="498" customWidth="1"/>
    <col min="4130" max="4130" width="4.5703125" style="498" customWidth="1"/>
    <col min="4131" max="4131" width="6" style="498" customWidth="1"/>
    <col min="4132" max="4132" width="8.5703125" style="498" customWidth="1"/>
    <col min="4133" max="4352" width="11.42578125" style="498"/>
    <col min="4353" max="4353" width="6.42578125" style="498" customWidth="1"/>
    <col min="4354" max="4354" width="47.5703125" style="498" customWidth="1"/>
    <col min="4355" max="4356" width="5" style="498" customWidth="1"/>
    <col min="4357" max="4357" width="5.42578125" style="498" customWidth="1"/>
    <col min="4358" max="4358" width="4.5703125" style="498" customWidth="1"/>
    <col min="4359" max="4360" width="4.42578125" style="498" customWidth="1"/>
    <col min="4361" max="4361" width="3.5703125" style="498" customWidth="1"/>
    <col min="4362" max="4362" width="5" style="498" customWidth="1"/>
    <col min="4363" max="4363" width="4" style="498" customWidth="1"/>
    <col min="4364" max="4365" width="4.5703125" style="498" customWidth="1"/>
    <col min="4366" max="4366" width="4.42578125" style="498" customWidth="1"/>
    <col min="4367" max="4367" width="4" style="498" customWidth="1"/>
    <col min="4368" max="4368" width="3.5703125" style="498" customWidth="1"/>
    <col min="4369" max="4370" width="4.5703125" style="498" customWidth="1"/>
    <col min="4371" max="4371" width="4" style="498" customWidth="1"/>
    <col min="4372" max="4373" width="4.42578125" style="498" customWidth="1"/>
    <col min="4374" max="4374" width="3.5703125" style="498" customWidth="1"/>
    <col min="4375" max="4375" width="4.42578125" style="498" customWidth="1"/>
    <col min="4376" max="4376" width="5.5703125" style="498" customWidth="1"/>
    <col min="4377" max="4377" width="3.5703125" style="498" customWidth="1"/>
    <col min="4378" max="4378" width="4" style="498" customWidth="1"/>
    <col min="4379" max="4379" width="4.5703125" style="498" customWidth="1"/>
    <col min="4380" max="4382" width="4.42578125" style="498" customWidth="1"/>
    <col min="4383" max="4384" width="4.5703125" style="498" customWidth="1"/>
    <col min="4385" max="4385" width="4" style="498" customWidth="1"/>
    <col min="4386" max="4386" width="4.5703125" style="498" customWidth="1"/>
    <col min="4387" max="4387" width="6" style="498" customWidth="1"/>
    <col min="4388" max="4388" width="8.5703125" style="498" customWidth="1"/>
    <col min="4389" max="4608" width="11.42578125" style="498"/>
    <col min="4609" max="4609" width="6.42578125" style="498" customWidth="1"/>
    <col min="4610" max="4610" width="47.5703125" style="498" customWidth="1"/>
    <col min="4611" max="4612" width="5" style="498" customWidth="1"/>
    <col min="4613" max="4613" width="5.42578125" style="498" customWidth="1"/>
    <col min="4614" max="4614" width="4.5703125" style="498" customWidth="1"/>
    <col min="4615" max="4616" width="4.42578125" style="498" customWidth="1"/>
    <col min="4617" max="4617" width="3.5703125" style="498" customWidth="1"/>
    <col min="4618" max="4618" width="5" style="498" customWidth="1"/>
    <col min="4619" max="4619" width="4" style="498" customWidth="1"/>
    <col min="4620" max="4621" width="4.5703125" style="498" customWidth="1"/>
    <col min="4622" max="4622" width="4.42578125" style="498" customWidth="1"/>
    <col min="4623" max="4623" width="4" style="498" customWidth="1"/>
    <col min="4624" max="4624" width="3.5703125" style="498" customWidth="1"/>
    <col min="4625" max="4626" width="4.5703125" style="498" customWidth="1"/>
    <col min="4627" max="4627" width="4" style="498" customWidth="1"/>
    <col min="4628" max="4629" width="4.42578125" style="498" customWidth="1"/>
    <col min="4630" max="4630" width="3.5703125" style="498" customWidth="1"/>
    <col min="4631" max="4631" width="4.42578125" style="498" customWidth="1"/>
    <col min="4632" max="4632" width="5.5703125" style="498" customWidth="1"/>
    <col min="4633" max="4633" width="3.5703125" style="498" customWidth="1"/>
    <col min="4634" max="4634" width="4" style="498" customWidth="1"/>
    <col min="4635" max="4635" width="4.5703125" style="498" customWidth="1"/>
    <col min="4636" max="4638" width="4.42578125" style="498" customWidth="1"/>
    <col min="4639" max="4640" width="4.5703125" style="498" customWidth="1"/>
    <col min="4641" max="4641" width="4" style="498" customWidth="1"/>
    <col min="4642" max="4642" width="4.5703125" style="498" customWidth="1"/>
    <col min="4643" max="4643" width="6" style="498" customWidth="1"/>
    <col min="4644" max="4644" width="8.5703125" style="498" customWidth="1"/>
    <col min="4645" max="4864" width="11.42578125" style="498"/>
    <col min="4865" max="4865" width="6.42578125" style="498" customWidth="1"/>
    <col min="4866" max="4866" width="47.5703125" style="498" customWidth="1"/>
    <col min="4867" max="4868" width="5" style="498" customWidth="1"/>
    <col min="4869" max="4869" width="5.42578125" style="498" customWidth="1"/>
    <col min="4870" max="4870" width="4.5703125" style="498" customWidth="1"/>
    <col min="4871" max="4872" width="4.42578125" style="498" customWidth="1"/>
    <col min="4873" max="4873" width="3.5703125" style="498" customWidth="1"/>
    <col min="4874" max="4874" width="5" style="498" customWidth="1"/>
    <col min="4875" max="4875" width="4" style="498" customWidth="1"/>
    <col min="4876" max="4877" width="4.5703125" style="498" customWidth="1"/>
    <col min="4878" max="4878" width="4.42578125" style="498" customWidth="1"/>
    <col min="4879" max="4879" width="4" style="498" customWidth="1"/>
    <col min="4880" max="4880" width="3.5703125" style="498" customWidth="1"/>
    <col min="4881" max="4882" width="4.5703125" style="498" customWidth="1"/>
    <col min="4883" max="4883" width="4" style="498" customWidth="1"/>
    <col min="4884" max="4885" width="4.42578125" style="498" customWidth="1"/>
    <col min="4886" max="4886" width="3.5703125" style="498" customWidth="1"/>
    <col min="4887" max="4887" width="4.42578125" style="498" customWidth="1"/>
    <col min="4888" max="4888" width="5.5703125" style="498" customWidth="1"/>
    <col min="4889" max="4889" width="3.5703125" style="498" customWidth="1"/>
    <col min="4890" max="4890" width="4" style="498" customWidth="1"/>
    <col min="4891" max="4891" width="4.5703125" style="498" customWidth="1"/>
    <col min="4892" max="4894" width="4.42578125" style="498" customWidth="1"/>
    <col min="4895" max="4896" width="4.5703125" style="498" customWidth="1"/>
    <col min="4897" max="4897" width="4" style="498" customWidth="1"/>
    <col min="4898" max="4898" width="4.5703125" style="498" customWidth="1"/>
    <col min="4899" max="4899" width="6" style="498" customWidth="1"/>
    <col min="4900" max="4900" width="8.5703125" style="498" customWidth="1"/>
    <col min="4901" max="5120" width="11.42578125" style="498"/>
    <col min="5121" max="5121" width="6.42578125" style="498" customWidth="1"/>
    <col min="5122" max="5122" width="47.5703125" style="498" customWidth="1"/>
    <col min="5123" max="5124" width="5" style="498" customWidth="1"/>
    <col min="5125" max="5125" width="5.42578125" style="498" customWidth="1"/>
    <col min="5126" max="5126" width="4.5703125" style="498" customWidth="1"/>
    <col min="5127" max="5128" width="4.42578125" style="498" customWidth="1"/>
    <col min="5129" max="5129" width="3.5703125" style="498" customWidth="1"/>
    <col min="5130" max="5130" width="5" style="498" customWidth="1"/>
    <col min="5131" max="5131" width="4" style="498" customWidth="1"/>
    <col min="5132" max="5133" width="4.5703125" style="498" customWidth="1"/>
    <col min="5134" max="5134" width="4.42578125" style="498" customWidth="1"/>
    <col min="5135" max="5135" width="4" style="498" customWidth="1"/>
    <col min="5136" max="5136" width="3.5703125" style="498" customWidth="1"/>
    <col min="5137" max="5138" width="4.5703125" style="498" customWidth="1"/>
    <col min="5139" max="5139" width="4" style="498" customWidth="1"/>
    <col min="5140" max="5141" width="4.42578125" style="498" customWidth="1"/>
    <col min="5142" max="5142" width="3.5703125" style="498" customWidth="1"/>
    <col min="5143" max="5143" width="4.42578125" style="498" customWidth="1"/>
    <col min="5144" max="5144" width="5.5703125" style="498" customWidth="1"/>
    <col min="5145" max="5145" width="3.5703125" style="498" customWidth="1"/>
    <col min="5146" max="5146" width="4" style="498" customWidth="1"/>
    <col min="5147" max="5147" width="4.5703125" style="498" customWidth="1"/>
    <col min="5148" max="5150" width="4.42578125" style="498" customWidth="1"/>
    <col min="5151" max="5152" width="4.5703125" style="498" customWidth="1"/>
    <col min="5153" max="5153" width="4" style="498" customWidth="1"/>
    <col min="5154" max="5154" width="4.5703125" style="498" customWidth="1"/>
    <col min="5155" max="5155" width="6" style="498" customWidth="1"/>
    <col min="5156" max="5156" width="8.5703125" style="498" customWidth="1"/>
    <col min="5157" max="5376" width="11.42578125" style="498"/>
    <col min="5377" max="5377" width="6.42578125" style="498" customWidth="1"/>
    <col min="5378" max="5378" width="47.5703125" style="498" customWidth="1"/>
    <col min="5379" max="5380" width="5" style="498" customWidth="1"/>
    <col min="5381" max="5381" width="5.42578125" style="498" customWidth="1"/>
    <col min="5382" max="5382" width="4.5703125" style="498" customWidth="1"/>
    <col min="5383" max="5384" width="4.42578125" style="498" customWidth="1"/>
    <col min="5385" max="5385" width="3.5703125" style="498" customWidth="1"/>
    <col min="5386" max="5386" width="5" style="498" customWidth="1"/>
    <col min="5387" max="5387" width="4" style="498" customWidth="1"/>
    <col min="5388" max="5389" width="4.5703125" style="498" customWidth="1"/>
    <col min="5390" max="5390" width="4.42578125" style="498" customWidth="1"/>
    <col min="5391" max="5391" width="4" style="498" customWidth="1"/>
    <col min="5392" max="5392" width="3.5703125" style="498" customWidth="1"/>
    <col min="5393" max="5394" width="4.5703125" style="498" customWidth="1"/>
    <col min="5395" max="5395" width="4" style="498" customWidth="1"/>
    <col min="5396" max="5397" width="4.42578125" style="498" customWidth="1"/>
    <col min="5398" max="5398" width="3.5703125" style="498" customWidth="1"/>
    <col min="5399" max="5399" width="4.42578125" style="498" customWidth="1"/>
    <col min="5400" max="5400" width="5.5703125" style="498" customWidth="1"/>
    <col min="5401" max="5401" width="3.5703125" style="498" customWidth="1"/>
    <col min="5402" max="5402" width="4" style="498" customWidth="1"/>
    <col min="5403" max="5403" width="4.5703125" style="498" customWidth="1"/>
    <col min="5404" max="5406" width="4.42578125" style="498" customWidth="1"/>
    <col min="5407" max="5408" width="4.5703125" style="498" customWidth="1"/>
    <col min="5409" max="5409" width="4" style="498" customWidth="1"/>
    <col min="5410" max="5410" width="4.5703125" style="498" customWidth="1"/>
    <col min="5411" max="5411" width="6" style="498" customWidth="1"/>
    <col min="5412" max="5412" width="8.5703125" style="498" customWidth="1"/>
    <col min="5413" max="5632" width="11.42578125" style="498"/>
    <col min="5633" max="5633" width="6.42578125" style="498" customWidth="1"/>
    <col min="5634" max="5634" width="47.5703125" style="498" customWidth="1"/>
    <col min="5635" max="5636" width="5" style="498" customWidth="1"/>
    <col min="5637" max="5637" width="5.42578125" style="498" customWidth="1"/>
    <col min="5638" max="5638" width="4.5703125" style="498" customWidth="1"/>
    <col min="5639" max="5640" width="4.42578125" style="498" customWidth="1"/>
    <col min="5641" max="5641" width="3.5703125" style="498" customWidth="1"/>
    <col min="5642" max="5642" width="5" style="498" customWidth="1"/>
    <col min="5643" max="5643" width="4" style="498" customWidth="1"/>
    <col min="5644" max="5645" width="4.5703125" style="498" customWidth="1"/>
    <col min="5646" max="5646" width="4.42578125" style="498" customWidth="1"/>
    <col min="5647" max="5647" width="4" style="498" customWidth="1"/>
    <col min="5648" max="5648" width="3.5703125" style="498" customWidth="1"/>
    <col min="5649" max="5650" width="4.5703125" style="498" customWidth="1"/>
    <col min="5651" max="5651" width="4" style="498" customWidth="1"/>
    <col min="5652" max="5653" width="4.42578125" style="498" customWidth="1"/>
    <col min="5654" max="5654" width="3.5703125" style="498" customWidth="1"/>
    <col min="5655" max="5655" width="4.42578125" style="498" customWidth="1"/>
    <col min="5656" max="5656" width="5.5703125" style="498" customWidth="1"/>
    <col min="5657" max="5657" width="3.5703125" style="498" customWidth="1"/>
    <col min="5658" max="5658" width="4" style="498" customWidth="1"/>
    <col min="5659" max="5659" width="4.5703125" style="498" customWidth="1"/>
    <col min="5660" max="5662" width="4.42578125" style="498" customWidth="1"/>
    <col min="5663" max="5664" width="4.5703125" style="498" customWidth="1"/>
    <col min="5665" max="5665" width="4" style="498" customWidth="1"/>
    <col min="5666" max="5666" width="4.5703125" style="498" customWidth="1"/>
    <col min="5667" max="5667" width="6" style="498" customWidth="1"/>
    <col min="5668" max="5668" width="8.5703125" style="498" customWidth="1"/>
    <col min="5669" max="5888" width="11.42578125" style="498"/>
    <col min="5889" max="5889" width="6.42578125" style="498" customWidth="1"/>
    <col min="5890" max="5890" width="47.5703125" style="498" customWidth="1"/>
    <col min="5891" max="5892" width="5" style="498" customWidth="1"/>
    <col min="5893" max="5893" width="5.42578125" style="498" customWidth="1"/>
    <col min="5894" max="5894" width="4.5703125" style="498" customWidth="1"/>
    <col min="5895" max="5896" width="4.42578125" style="498" customWidth="1"/>
    <col min="5897" max="5897" width="3.5703125" style="498" customWidth="1"/>
    <col min="5898" max="5898" width="5" style="498" customWidth="1"/>
    <col min="5899" max="5899" width="4" style="498" customWidth="1"/>
    <col min="5900" max="5901" width="4.5703125" style="498" customWidth="1"/>
    <col min="5902" max="5902" width="4.42578125" style="498" customWidth="1"/>
    <col min="5903" max="5903" width="4" style="498" customWidth="1"/>
    <col min="5904" max="5904" width="3.5703125" style="498" customWidth="1"/>
    <col min="5905" max="5906" width="4.5703125" style="498" customWidth="1"/>
    <col min="5907" max="5907" width="4" style="498" customWidth="1"/>
    <col min="5908" max="5909" width="4.42578125" style="498" customWidth="1"/>
    <col min="5910" max="5910" width="3.5703125" style="498" customWidth="1"/>
    <col min="5911" max="5911" width="4.42578125" style="498" customWidth="1"/>
    <col min="5912" max="5912" width="5.5703125" style="498" customWidth="1"/>
    <col min="5913" max="5913" width="3.5703125" style="498" customWidth="1"/>
    <col min="5914" max="5914" width="4" style="498" customWidth="1"/>
    <col min="5915" max="5915" width="4.5703125" style="498" customWidth="1"/>
    <col min="5916" max="5918" width="4.42578125" style="498" customWidth="1"/>
    <col min="5919" max="5920" width="4.5703125" style="498" customWidth="1"/>
    <col min="5921" max="5921" width="4" style="498" customWidth="1"/>
    <col min="5922" max="5922" width="4.5703125" style="498" customWidth="1"/>
    <col min="5923" max="5923" width="6" style="498" customWidth="1"/>
    <col min="5924" max="5924" width="8.5703125" style="498" customWidth="1"/>
    <col min="5925" max="6144" width="11.42578125" style="498"/>
    <col min="6145" max="6145" width="6.42578125" style="498" customWidth="1"/>
    <col min="6146" max="6146" width="47.5703125" style="498" customWidth="1"/>
    <col min="6147" max="6148" width="5" style="498" customWidth="1"/>
    <col min="6149" max="6149" width="5.42578125" style="498" customWidth="1"/>
    <col min="6150" max="6150" width="4.5703125" style="498" customWidth="1"/>
    <col min="6151" max="6152" width="4.42578125" style="498" customWidth="1"/>
    <col min="6153" max="6153" width="3.5703125" style="498" customWidth="1"/>
    <col min="6154" max="6154" width="5" style="498" customWidth="1"/>
    <col min="6155" max="6155" width="4" style="498" customWidth="1"/>
    <col min="6156" max="6157" width="4.5703125" style="498" customWidth="1"/>
    <col min="6158" max="6158" width="4.42578125" style="498" customWidth="1"/>
    <col min="6159" max="6159" width="4" style="498" customWidth="1"/>
    <col min="6160" max="6160" width="3.5703125" style="498" customWidth="1"/>
    <col min="6161" max="6162" width="4.5703125" style="498" customWidth="1"/>
    <col min="6163" max="6163" width="4" style="498" customWidth="1"/>
    <col min="6164" max="6165" width="4.42578125" style="498" customWidth="1"/>
    <col min="6166" max="6166" width="3.5703125" style="498" customWidth="1"/>
    <col min="6167" max="6167" width="4.42578125" style="498" customWidth="1"/>
    <col min="6168" max="6168" width="5.5703125" style="498" customWidth="1"/>
    <col min="6169" max="6169" width="3.5703125" style="498" customWidth="1"/>
    <col min="6170" max="6170" width="4" style="498" customWidth="1"/>
    <col min="6171" max="6171" width="4.5703125" style="498" customWidth="1"/>
    <col min="6172" max="6174" width="4.42578125" style="498" customWidth="1"/>
    <col min="6175" max="6176" width="4.5703125" style="498" customWidth="1"/>
    <col min="6177" max="6177" width="4" style="498" customWidth="1"/>
    <col min="6178" max="6178" width="4.5703125" style="498" customWidth="1"/>
    <col min="6179" max="6179" width="6" style="498" customWidth="1"/>
    <col min="6180" max="6180" width="8.5703125" style="498" customWidth="1"/>
    <col min="6181" max="6400" width="11.42578125" style="498"/>
    <col min="6401" max="6401" width="6.42578125" style="498" customWidth="1"/>
    <col min="6402" max="6402" width="47.5703125" style="498" customWidth="1"/>
    <col min="6403" max="6404" width="5" style="498" customWidth="1"/>
    <col min="6405" max="6405" width="5.42578125" style="498" customWidth="1"/>
    <col min="6406" max="6406" width="4.5703125" style="498" customWidth="1"/>
    <col min="6407" max="6408" width="4.42578125" style="498" customWidth="1"/>
    <col min="6409" max="6409" width="3.5703125" style="498" customWidth="1"/>
    <col min="6410" max="6410" width="5" style="498" customWidth="1"/>
    <col min="6411" max="6411" width="4" style="498" customWidth="1"/>
    <col min="6412" max="6413" width="4.5703125" style="498" customWidth="1"/>
    <col min="6414" max="6414" width="4.42578125" style="498" customWidth="1"/>
    <col min="6415" max="6415" width="4" style="498" customWidth="1"/>
    <col min="6416" max="6416" width="3.5703125" style="498" customWidth="1"/>
    <col min="6417" max="6418" width="4.5703125" style="498" customWidth="1"/>
    <col min="6419" max="6419" width="4" style="498" customWidth="1"/>
    <col min="6420" max="6421" width="4.42578125" style="498" customWidth="1"/>
    <col min="6422" max="6422" width="3.5703125" style="498" customWidth="1"/>
    <col min="6423" max="6423" width="4.42578125" style="498" customWidth="1"/>
    <col min="6424" max="6424" width="5.5703125" style="498" customWidth="1"/>
    <col min="6425" max="6425" width="3.5703125" style="498" customWidth="1"/>
    <col min="6426" max="6426" width="4" style="498" customWidth="1"/>
    <col min="6427" max="6427" width="4.5703125" style="498" customWidth="1"/>
    <col min="6428" max="6430" width="4.42578125" style="498" customWidth="1"/>
    <col min="6431" max="6432" width="4.5703125" style="498" customWidth="1"/>
    <col min="6433" max="6433" width="4" style="498" customWidth="1"/>
    <col min="6434" max="6434" width="4.5703125" style="498" customWidth="1"/>
    <col min="6435" max="6435" width="6" style="498" customWidth="1"/>
    <col min="6436" max="6436" width="8.5703125" style="498" customWidth="1"/>
    <col min="6437" max="6656" width="11.42578125" style="498"/>
    <col min="6657" max="6657" width="6.42578125" style="498" customWidth="1"/>
    <col min="6658" max="6658" width="47.5703125" style="498" customWidth="1"/>
    <col min="6659" max="6660" width="5" style="498" customWidth="1"/>
    <col min="6661" max="6661" width="5.42578125" style="498" customWidth="1"/>
    <col min="6662" max="6662" width="4.5703125" style="498" customWidth="1"/>
    <col min="6663" max="6664" width="4.42578125" style="498" customWidth="1"/>
    <col min="6665" max="6665" width="3.5703125" style="498" customWidth="1"/>
    <col min="6666" max="6666" width="5" style="498" customWidth="1"/>
    <col min="6667" max="6667" width="4" style="498" customWidth="1"/>
    <col min="6668" max="6669" width="4.5703125" style="498" customWidth="1"/>
    <col min="6670" max="6670" width="4.42578125" style="498" customWidth="1"/>
    <col min="6671" max="6671" width="4" style="498" customWidth="1"/>
    <col min="6672" max="6672" width="3.5703125" style="498" customWidth="1"/>
    <col min="6673" max="6674" width="4.5703125" style="498" customWidth="1"/>
    <col min="6675" max="6675" width="4" style="498" customWidth="1"/>
    <col min="6676" max="6677" width="4.42578125" style="498" customWidth="1"/>
    <col min="6678" max="6678" width="3.5703125" style="498" customWidth="1"/>
    <col min="6679" max="6679" width="4.42578125" style="498" customWidth="1"/>
    <col min="6680" max="6680" width="5.5703125" style="498" customWidth="1"/>
    <col min="6681" max="6681" width="3.5703125" style="498" customWidth="1"/>
    <col min="6682" max="6682" width="4" style="498" customWidth="1"/>
    <col min="6683" max="6683" width="4.5703125" style="498" customWidth="1"/>
    <col min="6684" max="6686" width="4.42578125" style="498" customWidth="1"/>
    <col min="6687" max="6688" width="4.5703125" style="498" customWidth="1"/>
    <col min="6689" max="6689" width="4" style="498" customWidth="1"/>
    <col min="6690" max="6690" width="4.5703125" style="498" customWidth="1"/>
    <col min="6691" max="6691" width="6" style="498" customWidth="1"/>
    <col min="6692" max="6692" width="8.5703125" style="498" customWidth="1"/>
    <col min="6693" max="6912" width="11.42578125" style="498"/>
    <col min="6913" max="6913" width="6.42578125" style="498" customWidth="1"/>
    <col min="6914" max="6914" width="47.5703125" style="498" customWidth="1"/>
    <col min="6915" max="6916" width="5" style="498" customWidth="1"/>
    <col min="6917" max="6917" width="5.42578125" style="498" customWidth="1"/>
    <col min="6918" max="6918" width="4.5703125" style="498" customWidth="1"/>
    <col min="6919" max="6920" width="4.42578125" style="498" customWidth="1"/>
    <col min="6921" max="6921" width="3.5703125" style="498" customWidth="1"/>
    <col min="6922" max="6922" width="5" style="498" customWidth="1"/>
    <col min="6923" max="6923" width="4" style="498" customWidth="1"/>
    <col min="6924" max="6925" width="4.5703125" style="498" customWidth="1"/>
    <col min="6926" max="6926" width="4.42578125" style="498" customWidth="1"/>
    <col min="6927" max="6927" width="4" style="498" customWidth="1"/>
    <col min="6928" max="6928" width="3.5703125" style="498" customWidth="1"/>
    <col min="6929" max="6930" width="4.5703125" style="498" customWidth="1"/>
    <col min="6931" max="6931" width="4" style="498" customWidth="1"/>
    <col min="6932" max="6933" width="4.42578125" style="498" customWidth="1"/>
    <col min="6934" max="6934" width="3.5703125" style="498" customWidth="1"/>
    <col min="6935" max="6935" width="4.42578125" style="498" customWidth="1"/>
    <col min="6936" max="6936" width="5.5703125" style="498" customWidth="1"/>
    <col min="6937" max="6937" width="3.5703125" style="498" customWidth="1"/>
    <col min="6938" max="6938" width="4" style="498" customWidth="1"/>
    <col min="6939" max="6939" width="4.5703125" style="498" customWidth="1"/>
    <col min="6940" max="6942" width="4.42578125" style="498" customWidth="1"/>
    <col min="6943" max="6944" width="4.5703125" style="498" customWidth="1"/>
    <col min="6945" max="6945" width="4" style="498" customWidth="1"/>
    <col min="6946" max="6946" width="4.5703125" style="498" customWidth="1"/>
    <col min="6947" max="6947" width="6" style="498" customWidth="1"/>
    <col min="6948" max="6948" width="8.5703125" style="498" customWidth="1"/>
    <col min="6949" max="7168" width="11.42578125" style="498"/>
    <col min="7169" max="7169" width="6.42578125" style="498" customWidth="1"/>
    <col min="7170" max="7170" width="47.5703125" style="498" customWidth="1"/>
    <col min="7171" max="7172" width="5" style="498" customWidth="1"/>
    <col min="7173" max="7173" width="5.42578125" style="498" customWidth="1"/>
    <col min="7174" max="7174" width="4.5703125" style="498" customWidth="1"/>
    <col min="7175" max="7176" width="4.42578125" style="498" customWidth="1"/>
    <col min="7177" max="7177" width="3.5703125" style="498" customWidth="1"/>
    <col min="7178" max="7178" width="5" style="498" customWidth="1"/>
    <col min="7179" max="7179" width="4" style="498" customWidth="1"/>
    <col min="7180" max="7181" width="4.5703125" style="498" customWidth="1"/>
    <col min="7182" max="7182" width="4.42578125" style="498" customWidth="1"/>
    <col min="7183" max="7183" width="4" style="498" customWidth="1"/>
    <col min="7184" max="7184" width="3.5703125" style="498" customWidth="1"/>
    <col min="7185" max="7186" width="4.5703125" style="498" customWidth="1"/>
    <col min="7187" max="7187" width="4" style="498" customWidth="1"/>
    <col min="7188" max="7189" width="4.42578125" style="498" customWidth="1"/>
    <col min="7190" max="7190" width="3.5703125" style="498" customWidth="1"/>
    <col min="7191" max="7191" width="4.42578125" style="498" customWidth="1"/>
    <col min="7192" max="7192" width="5.5703125" style="498" customWidth="1"/>
    <col min="7193" max="7193" width="3.5703125" style="498" customWidth="1"/>
    <col min="7194" max="7194" width="4" style="498" customWidth="1"/>
    <col min="7195" max="7195" width="4.5703125" style="498" customWidth="1"/>
    <col min="7196" max="7198" width="4.42578125" style="498" customWidth="1"/>
    <col min="7199" max="7200" width="4.5703125" style="498" customWidth="1"/>
    <col min="7201" max="7201" width="4" style="498" customWidth="1"/>
    <col min="7202" max="7202" width="4.5703125" style="498" customWidth="1"/>
    <col min="7203" max="7203" width="6" style="498" customWidth="1"/>
    <col min="7204" max="7204" width="8.5703125" style="498" customWidth="1"/>
    <col min="7205" max="7424" width="11.42578125" style="498"/>
    <col min="7425" max="7425" width="6.42578125" style="498" customWidth="1"/>
    <col min="7426" max="7426" width="47.5703125" style="498" customWidth="1"/>
    <col min="7427" max="7428" width="5" style="498" customWidth="1"/>
    <col min="7429" max="7429" width="5.42578125" style="498" customWidth="1"/>
    <col min="7430" max="7430" width="4.5703125" style="498" customWidth="1"/>
    <col min="7431" max="7432" width="4.42578125" style="498" customWidth="1"/>
    <col min="7433" max="7433" width="3.5703125" style="498" customWidth="1"/>
    <col min="7434" max="7434" width="5" style="498" customWidth="1"/>
    <col min="7435" max="7435" width="4" style="498" customWidth="1"/>
    <col min="7436" max="7437" width="4.5703125" style="498" customWidth="1"/>
    <col min="7438" max="7438" width="4.42578125" style="498" customWidth="1"/>
    <col min="7439" max="7439" width="4" style="498" customWidth="1"/>
    <col min="7440" max="7440" width="3.5703125" style="498" customWidth="1"/>
    <col min="7441" max="7442" width="4.5703125" style="498" customWidth="1"/>
    <col min="7443" max="7443" width="4" style="498" customWidth="1"/>
    <col min="7444" max="7445" width="4.42578125" style="498" customWidth="1"/>
    <col min="7446" max="7446" width="3.5703125" style="498" customWidth="1"/>
    <col min="7447" max="7447" width="4.42578125" style="498" customWidth="1"/>
    <col min="7448" max="7448" width="5.5703125" style="498" customWidth="1"/>
    <col min="7449" max="7449" width="3.5703125" style="498" customWidth="1"/>
    <col min="7450" max="7450" width="4" style="498" customWidth="1"/>
    <col min="7451" max="7451" width="4.5703125" style="498" customWidth="1"/>
    <col min="7452" max="7454" width="4.42578125" style="498" customWidth="1"/>
    <col min="7455" max="7456" width="4.5703125" style="498" customWidth="1"/>
    <col min="7457" max="7457" width="4" style="498" customWidth="1"/>
    <col min="7458" max="7458" width="4.5703125" style="498" customWidth="1"/>
    <col min="7459" max="7459" width="6" style="498" customWidth="1"/>
    <col min="7460" max="7460" width="8.5703125" style="498" customWidth="1"/>
    <col min="7461" max="7680" width="11.42578125" style="498"/>
    <col min="7681" max="7681" width="6.42578125" style="498" customWidth="1"/>
    <col min="7682" max="7682" width="47.5703125" style="498" customWidth="1"/>
    <col min="7683" max="7684" width="5" style="498" customWidth="1"/>
    <col min="7685" max="7685" width="5.42578125" style="498" customWidth="1"/>
    <col min="7686" max="7686" width="4.5703125" style="498" customWidth="1"/>
    <col min="7687" max="7688" width="4.42578125" style="498" customWidth="1"/>
    <col min="7689" max="7689" width="3.5703125" style="498" customWidth="1"/>
    <col min="7690" max="7690" width="5" style="498" customWidth="1"/>
    <col min="7691" max="7691" width="4" style="498" customWidth="1"/>
    <col min="7692" max="7693" width="4.5703125" style="498" customWidth="1"/>
    <col min="7694" max="7694" width="4.42578125" style="498" customWidth="1"/>
    <col min="7695" max="7695" width="4" style="498" customWidth="1"/>
    <col min="7696" max="7696" width="3.5703125" style="498" customWidth="1"/>
    <col min="7697" max="7698" width="4.5703125" style="498" customWidth="1"/>
    <col min="7699" max="7699" width="4" style="498" customWidth="1"/>
    <col min="7700" max="7701" width="4.42578125" style="498" customWidth="1"/>
    <col min="7702" max="7702" width="3.5703125" style="498" customWidth="1"/>
    <col min="7703" max="7703" width="4.42578125" style="498" customWidth="1"/>
    <col min="7704" max="7704" width="5.5703125" style="498" customWidth="1"/>
    <col min="7705" max="7705" width="3.5703125" style="498" customWidth="1"/>
    <col min="7706" max="7706" width="4" style="498" customWidth="1"/>
    <col min="7707" max="7707" width="4.5703125" style="498" customWidth="1"/>
    <col min="7708" max="7710" width="4.42578125" style="498" customWidth="1"/>
    <col min="7711" max="7712" width="4.5703125" style="498" customWidth="1"/>
    <col min="7713" max="7713" width="4" style="498" customWidth="1"/>
    <col min="7714" max="7714" width="4.5703125" style="498" customWidth="1"/>
    <col min="7715" max="7715" width="6" style="498" customWidth="1"/>
    <col min="7716" max="7716" width="8.5703125" style="498" customWidth="1"/>
    <col min="7717" max="7936" width="11.42578125" style="498"/>
    <col min="7937" max="7937" width="6.42578125" style="498" customWidth="1"/>
    <col min="7938" max="7938" width="47.5703125" style="498" customWidth="1"/>
    <col min="7939" max="7940" width="5" style="498" customWidth="1"/>
    <col min="7941" max="7941" width="5.42578125" style="498" customWidth="1"/>
    <col min="7942" max="7942" width="4.5703125" style="498" customWidth="1"/>
    <col min="7943" max="7944" width="4.42578125" style="498" customWidth="1"/>
    <col min="7945" max="7945" width="3.5703125" style="498" customWidth="1"/>
    <col min="7946" max="7946" width="5" style="498" customWidth="1"/>
    <col min="7947" max="7947" width="4" style="498" customWidth="1"/>
    <col min="7948" max="7949" width="4.5703125" style="498" customWidth="1"/>
    <col min="7950" max="7950" width="4.42578125" style="498" customWidth="1"/>
    <col min="7951" max="7951" width="4" style="498" customWidth="1"/>
    <col min="7952" max="7952" width="3.5703125" style="498" customWidth="1"/>
    <col min="7953" max="7954" width="4.5703125" style="498" customWidth="1"/>
    <col min="7955" max="7955" width="4" style="498" customWidth="1"/>
    <col min="7956" max="7957" width="4.42578125" style="498" customWidth="1"/>
    <col min="7958" max="7958" width="3.5703125" style="498" customWidth="1"/>
    <col min="7959" max="7959" width="4.42578125" style="498" customWidth="1"/>
    <col min="7960" max="7960" width="5.5703125" style="498" customWidth="1"/>
    <col min="7961" max="7961" width="3.5703125" style="498" customWidth="1"/>
    <col min="7962" max="7962" width="4" style="498" customWidth="1"/>
    <col min="7963" max="7963" width="4.5703125" style="498" customWidth="1"/>
    <col min="7964" max="7966" width="4.42578125" style="498" customWidth="1"/>
    <col min="7967" max="7968" width="4.5703125" style="498" customWidth="1"/>
    <col min="7969" max="7969" width="4" style="498" customWidth="1"/>
    <col min="7970" max="7970" width="4.5703125" style="498" customWidth="1"/>
    <col min="7971" max="7971" width="6" style="498" customWidth="1"/>
    <col min="7972" max="7972" width="8.5703125" style="498" customWidth="1"/>
    <col min="7973" max="8192" width="11.42578125" style="498"/>
    <col min="8193" max="8193" width="6.42578125" style="498" customWidth="1"/>
    <col min="8194" max="8194" width="47.5703125" style="498" customWidth="1"/>
    <col min="8195" max="8196" width="5" style="498" customWidth="1"/>
    <col min="8197" max="8197" width="5.42578125" style="498" customWidth="1"/>
    <col min="8198" max="8198" width="4.5703125" style="498" customWidth="1"/>
    <col min="8199" max="8200" width="4.42578125" style="498" customWidth="1"/>
    <col min="8201" max="8201" width="3.5703125" style="498" customWidth="1"/>
    <col min="8202" max="8202" width="5" style="498" customWidth="1"/>
    <col min="8203" max="8203" width="4" style="498" customWidth="1"/>
    <col min="8204" max="8205" width="4.5703125" style="498" customWidth="1"/>
    <col min="8206" max="8206" width="4.42578125" style="498" customWidth="1"/>
    <col min="8207" max="8207" width="4" style="498" customWidth="1"/>
    <col min="8208" max="8208" width="3.5703125" style="498" customWidth="1"/>
    <col min="8209" max="8210" width="4.5703125" style="498" customWidth="1"/>
    <col min="8211" max="8211" width="4" style="498" customWidth="1"/>
    <col min="8212" max="8213" width="4.42578125" style="498" customWidth="1"/>
    <col min="8214" max="8214" width="3.5703125" style="498" customWidth="1"/>
    <col min="8215" max="8215" width="4.42578125" style="498" customWidth="1"/>
    <col min="8216" max="8216" width="5.5703125" style="498" customWidth="1"/>
    <col min="8217" max="8217" width="3.5703125" style="498" customWidth="1"/>
    <col min="8218" max="8218" width="4" style="498" customWidth="1"/>
    <col min="8219" max="8219" width="4.5703125" style="498" customWidth="1"/>
    <col min="8220" max="8222" width="4.42578125" style="498" customWidth="1"/>
    <col min="8223" max="8224" width="4.5703125" style="498" customWidth="1"/>
    <col min="8225" max="8225" width="4" style="498" customWidth="1"/>
    <col min="8226" max="8226" width="4.5703125" style="498" customWidth="1"/>
    <col min="8227" max="8227" width="6" style="498" customWidth="1"/>
    <col min="8228" max="8228" width="8.5703125" style="498" customWidth="1"/>
    <col min="8229" max="8448" width="11.42578125" style="498"/>
    <col min="8449" max="8449" width="6.42578125" style="498" customWidth="1"/>
    <col min="8450" max="8450" width="47.5703125" style="498" customWidth="1"/>
    <col min="8451" max="8452" width="5" style="498" customWidth="1"/>
    <col min="8453" max="8453" width="5.42578125" style="498" customWidth="1"/>
    <col min="8454" max="8454" width="4.5703125" style="498" customWidth="1"/>
    <col min="8455" max="8456" width="4.42578125" style="498" customWidth="1"/>
    <col min="8457" max="8457" width="3.5703125" style="498" customWidth="1"/>
    <col min="8458" max="8458" width="5" style="498" customWidth="1"/>
    <col min="8459" max="8459" width="4" style="498" customWidth="1"/>
    <col min="8460" max="8461" width="4.5703125" style="498" customWidth="1"/>
    <col min="8462" max="8462" width="4.42578125" style="498" customWidth="1"/>
    <col min="8463" max="8463" width="4" style="498" customWidth="1"/>
    <col min="8464" max="8464" width="3.5703125" style="498" customWidth="1"/>
    <col min="8465" max="8466" width="4.5703125" style="498" customWidth="1"/>
    <col min="8467" max="8467" width="4" style="498" customWidth="1"/>
    <col min="8468" max="8469" width="4.42578125" style="498" customWidth="1"/>
    <col min="8470" max="8470" width="3.5703125" style="498" customWidth="1"/>
    <col min="8471" max="8471" width="4.42578125" style="498" customWidth="1"/>
    <col min="8472" max="8472" width="5.5703125" style="498" customWidth="1"/>
    <col min="8473" max="8473" width="3.5703125" style="498" customWidth="1"/>
    <col min="8474" max="8474" width="4" style="498" customWidth="1"/>
    <col min="8475" max="8475" width="4.5703125" style="498" customWidth="1"/>
    <col min="8476" max="8478" width="4.42578125" style="498" customWidth="1"/>
    <col min="8479" max="8480" width="4.5703125" style="498" customWidth="1"/>
    <col min="8481" max="8481" width="4" style="498" customWidth="1"/>
    <col min="8482" max="8482" width="4.5703125" style="498" customWidth="1"/>
    <col min="8483" max="8483" width="6" style="498" customWidth="1"/>
    <col min="8484" max="8484" width="8.5703125" style="498" customWidth="1"/>
    <col min="8485" max="8704" width="11.42578125" style="498"/>
    <col min="8705" max="8705" width="6.42578125" style="498" customWidth="1"/>
    <col min="8706" max="8706" width="47.5703125" style="498" customWidth="1"/>
    <col min="8707" max="8708" width="5" style="498" customWidth="1"/>
    <col min="8709" max="8709" width="5.42578125" style="498" customWidth="1"/>
    <col min="8710" max="8710" width="4.5703125" style="498" customWidth="1"/>
    <col min="8711" max="8712" width="4.42578125" style="498" customWidth="1"/>
    <col min="8713" max="8713" width="3.5703125" style="498" customWidth="1"/>
    <col min="8714" max="8714" width="5" style="498" customWidth="1"/>
    <col min="8715" max="8715" width="4" style="498" customWidth="1"/>
    <col min="8716" max="8717" width="4.5703125" style="498" customWidth="1"/>
    <col min="8718" max="8718" width="4.42578125" style="498" customWidth="1"/>
    <col min="8719" max="8719" width="4" style="498" customWidth="1"/>
    <col min="8720" max="8720" width="3.5703125" style="498" customWidth="1"/>
    <col min="8721" max="8722" width="4.5703125" style="498" customWidth="1"/>
    <col min="8723" max="8723" width="4" style="498" customWidth="1"/>
    <col min="8724" max="8725" width="4.42578125" style="498" customWidth="1"/>
    <col min="8726" max="8726" width="3.5703125" style="498" customWidth="1"/>
    <col min="8727" max="8727" width="4.42578125" style="498" customWidth="1"/>
    <col min="8728" max="8728" width="5.5703125" style="498" customWidth="1"/>
    <col min="8729" max="8729" width="3.5703125" style="498" customWidth="1"/>
    <col min="8730" max="8730" width="4" style="498" customWidth="1"/>
    <col min="8731" max="8731" width="4.5703125" style="498" customWidth="1"/>
    <col min="8732" max="8734" width="4.42578125" style="498" customWidth="1"/>
    <col min="8735" max="8736" width="4.5703125" style="498" customWidth="1"/>
    <col min="8737" max="8737" width="4" style="498" customWidth="1"/>
    <col min="8738" max="8738" width="4.5703125" style="498" customWidth="1"/>
    <col min="8739" max="8739" width="6" style="498" customWidth="1"/>
    <col min="8740" max="8740" width="8.5703125" style="498" customWidth="1"/>
    <col min="8741" max="8960" width="11.42578125" style="498"/>
    <col min="8961" max="8961" width="6.42578125" style="498" customWidth="1"/>
    <col min="8962" max="8962" width="47.5703125" style="498" customWidth="1"/>
    <col min="8963" max="8964" width="5" style="498" customWidth="1"/>
    <col min="8965" max="8965" width="5.42578125" style="498" customWidth="1"/>
    <col min="8966" max="8966" width="4.5703125" style="498" customWidth="1"/>
    <col min="8967" max="8968" width="4.42578125" style="498" customWidth="1"/>
    <col min="8969" max="8969" width="3.5703125" style="498" customWidth="1"/>
    <col min="8970" max="8970" width="5" style="498" customWidth="1"/>
    <col min="8971" max="8971" width="4" style="498" customWidth="1"/>
    <col min="8972" max="8973" width="4.5703125" style="498" customWidth="1"/>
    <col min="8974" max="8974" width="4.42578125" style="498" customWidth="1"/>
    <col min="8975" max="8975" width="4" style="498" customWidth="1"/>
    <col min="8976" max="8976" width="3.5703125" style="498" customWidth="1"/>
    <col min="8977" max="8978" width="4.5703125" style="498" customWidth="1"/>
    <col min="8979" max="8979" width="4" style="498" customWidth="1"/>
    <col min="8980" max="8981" width="4.42578125" style="498" customWidth="1"/>
    <col min="8982" max="8982" width="3.5703125" style="498" customWidth="1"/>
    <col min="8983" max="8983" width="4.42578125" style="498" customWidth="1"/>
    <col min="8984" max="8984" width="5.5703125" style="498" customWidth="1"/>
    <col min="8985" max="8985" width="3.5703125" style="498" customWidth="1"/>
    <col min="8986" max="8986" width="4" style="498" customWidth="1"/>
    <col min="8987" max="8987" width="4.5703125" style="498" customWidth="1"/>
    <col min="8988" max="8990" width="4.42578125" style="498" customWidth="1"/>
    <col min="8991" max="8992" width="4.5703125" style="498" customWidth="1"/>
    <col min="8993" max="8993" width="4" style="498" customWidth="1"/>
    <col min="8994" max="8994" width="4.5703125" style="498" customWidth="1"/>
    <col min="8995" max="8995" width="6" style="498" customWidth="1"/>
    <col min="8996" max="8996" width="8.5703125" style="498" customWidth="1"/>
    <col min="8997" max="9216" width="11.42578125" style="498"/>
    <col min="9217" max="9217" width="6.42578125" style="498" customWidth="1"/>
    <col min="9218" max="9218" width="47.5703125" style="498" customWidth="1"/>
    <col min="9219" max="9220" width="5" style="498" customWidth="1"/>
    <col min="9221" max="9221" width="5.42578125" style="498" customWidth="1"/>
    <col min="9222" max="9222" width="4.5703125" style="498" customWidth="1"/>
    <col min="9223" max="9224" width="4.42578125" style="498" customWidth="1"/>
    <col min="9225" max="9225" width="3.5703125" style="498" customWidth="1"/>
    <col min="9226" max="9226" width="5" style="498" customWidth="1"/>
    <col min="9227" max="9227" width="4" style="498" customWidth="1"/>
    <col min="9228" max="9229" width="4.5703125" style="498" customWidth="1"/>
    <col min="9230" max="9230" width="4.42578125" style="498" customWidth="1"/>
    <col min="9231" max="9231" width="4" style="498" customWidth="1"/>
    <col min="9232" max="9232" width="3.5703125" style="498" customWidth="1"/>
    <col min="9233" max="9234" width="4.5703125" style="498" customWidth="1"/>
    <col min="9235" max="9235" width="4" style="498" customWidth="1"/>
    <col min="9236" max="9237" width="4.42578125" style="498" customWidth="1"/>
    <col min="9238" max="9238" width="3.5703125" style="498" customWidth="1"/>
    <col min="9239" max="9239" width="4.42578125" style="498" customWidth="1"/>
    <col min="9240" max="9240" width="5.5703125" style="498" customWidth="1"/>
    <col min="9241" max="9241" width="3.5703125" style="498" customWidth="1"/>
    <col min="9242" max="9242" width="4" style="498" customWidth="1"/>
    <col min="9243" max="9243" width="4.5703125" style="498" customWidth="1"/>
    <col min="9244" max="9246" width="4.42578125" style="498" customWidth="1"/>
    <col min="9247" max="9248" width="4.5703125" style="498" customWidth="1"/>
    <col min="9249" max="9249" width="4" style="498" customWidth="1"/>
    <col min="9250" max="9250" width="4.5703125" style="498" customWidth="1"/>
    <col min="9251" max="9251" width="6" style="498" customWidth="1"/>
    <col min="9252" max="9252" width="8.5703125" style="498" customWidth="1"/>
    <col min="9253" max="9472" width="11.42578125" style="498"/>
    <col min="9473" max="9473" width="6.42578125" style="498" customWidth="1"/>
    <col min="9474" max="9474" width="47.5703125" style="498" customWidth="1"/>
    <col min="9475" max="9476" width="5" style="498" customWidth="1"/>
    <col min="9477" max="9477" width="5.42578125" style="498" customWidth="1"/>
    <col min="9478" max="9478" width="4.5703125" style="498" customWidth="1"/>
    <col min="9479" max="9480" width="4.42578125" style="498" customWidth="1"/>
    <col min="9481" max="9481" width="3.5703125" style="498" customWidth="1"/>
    <col min="9482" max="9482" width="5" style="498" customWidth="1"/>
    <col min="9483" max="9483" width="4" style="498" customWidth="1"/>
    <col min="9484" max="9485" width="4.5703125" style="498" customWidth="1"/>
    <col min="9486" max="9486" width="4.42578125" style="498" customWidth="1"/>
    <col min="9487" max="9487" width="4" style="498" customWidth="1"/>
    <col min="9488" max="9488" width="3.5703125" style="498" customWidth="1"/>
    <col min="9489" max="9490" width="4.5703125" style="498" customWidth="1"/>
    <col min="9491" max="9491" width="4" style="498" customWidth="1"/>
    <col min="9492" max="9493" width="4.42578125" style="498" customWidth="1"/>
    <col min="9494" max="9494" width="3.5703125" style="498" customWidth="1"/>
    <col min="9495" max="9495" width="4.42578125" style="498" customWidth="1"/>
    <col min="9496" max="9496" width="5.5703125" style="498" customWidth="1"/>
    <col min="9497" max="9497" width="3.5703125" style="498" customWidth="1"/>
    <col min="9498" max="9498" width="4" style="498" customWidth="1"/>
    <col min="9499" max="9499" width="4.5703125" style="498" customWidth="1"/>
    <col min="9500" max="9502" width="4.42578125" style="498" customWidth="1"/>
    <col min="9503" max="9504" width="4.5703125" style="498" customWidth="1"/>
    <col min="9505" max="9505" width="4" style="498" customWidth="1"/>
    <col min="9506" max="9506" width="4.5703125" style="498" customWidth="1"/>
    <col min="9507" max="9507" width="6" style="498" customWidth="1"/>
    <col min="9508" max="9508" width="8.5703125" style="498" customWidth="1"/>
    <col min="9509" max="9728" width="11.42578125" style="498"/>
    <col min="9729" max="9729" width="6.42578125" style="498" customWidth="1"/>
    <col min="9730" max="9730" width="47.5703125" style="498" customWidth="1"/>
    <col min="9731" max="9732" width="5" style="498" customWidth="1"/>
    <col min="9733" max="9733" width="5.42578125" style="498" customWidth="1"/>
    <col min="9734" max="9734" width="4.5703125" style="498" customWidth="1"/>
    <col min="9735" max="9736" width="4.42578125" style="498" customWidth="1"/>
    <col min="9737" max="9737" width="3.5703125" style="498" customWidth="1"/>
    <col min="9738" max="9738" width="5" style="498" customWidth="1"/>
    <col min="9739" max="9739" width="4" style="498" customWidth="1"/>
    <col min="9740" max="9741" width="4.5703125" style="498" customWidth="1"/>
    <col min="9742" max="9742" width="4.42578125" style="498" customWidth="1"/>
    <col min="9743" max="9743" width="4" style="498" customWidth="1"/>
    <col min="9744" max="9744" width="3.5703125" style="498" customWidth="1"/>
    <col min="9745" max="9746" width="4.5703125" style="498" customWidth="1"/>
    <col min="9747" max="9747" width="4" style="498" customWidth="1"/>
    <col min="9748" max="9749" width="4.42578125" style="498" customWidth="1"/>
    <col min="9750" max="9750" width="3.5703125" style="498" customWidth="1"/>
    <col min="9751" max="9751" width="4.42578125" style="498" customWidth="1"/>
    <col min="9752" max="9752" width="5.5703125" style="498" customWidth="1"/>
    <col min="9753" max="9753" width="3.5703125" style="498" customWidth="1"/>
    <col min="9754" max="9754" width="4" style="498" customWidth="1"/>
    <col min="9755" max="9755" width="4.5703125" style="498" customWidth="1"/>
    <col min="9756" max="9758" width="4.42578125" style="498" customWidth="1"/>
    <col min="9759" max="9760" width="4.5703125" style="498" customWidth="1"/>
    <col min="9761" max="9761" width="4" style="498" customWidth="1"/>
    <col min="9762" max="9762" width="4.5703125" style="498" customWidth="1"/>
    <col min="9763" max="9763" width="6" style="498" customWidth="1"/>
    <col min="9764" max="9764" width="8.5703125" style="498" customWidth="1"/>
    <col min="9765" max="9984" width="11.42578125" style="498"/>
    <col min="9985" max="9985" width="6.42578125" style="498" customWidth="1"/>
    <col min="9986" max="9986" width="47.5703125" style="498" customWidth="1"/>
    <col min="9987" max="9988" width="5" style="498" customWidth="1"/>
    <col min="9989" max="9989" width="5.42578125" style="498" customWidth="1"/>
    <col min="9990" max="9990" width="4.5703125" style="498" customWidth="1"/>
    <col min="9991" max="9992" width="4.42578125" style="498" customWidth="1"/>
    <col min="9993" max="9993" width="3.5703125" style="498" customWidth="1"/>
    <col min="9994" max="9994" width="5" style="498" customWidth="1"/>
    <col min="9995" max="9995" width="4" style="498" customWidth="1"/>
    <col min="9996" max="9997" width="4.5703125" style="498" customWidth="1"/>
    <col min="9998" max="9998" width="4.42578125" style="498" customWidth="1"/>
    <col min="9999" max="9999" width="4" style="498" customWidth="1"/>
    <col min="10000" max="10000" width="3.5703125" style="498" customWidth="1"/>
    <col min="10001" max="10002" width="4.5703125" style="498" customWidth="1"/>
    <col min="10003" max="10003" width="4" style="498" customWidth="1"/>
    <col min="10004" max="10005" width="4.42578125" style="498" customWidth="1"/>
    <col min="10006" max="10006" width="3.5703125" style="498" customWidth="1"/>
    <col min="10007" max="10007" width="4.42578125" style="498" customWidth="1"/>
    <col min="10008" max="10008" width="5.5703125" style="498" customWidth="1"/>
    <col min="10009" max="10009" width="3.5703125" style="498" customWidth="1"/>
    <col min="10010" max="10010" width="4" style="498" customWidth="1"/>
    <col min="10011" max="10011" width="4.5703125" style="498" customWidth="1"/>
    <col min="10012" max="10014" width="4.42578125" style="498" customWidth="1"/>
    <col min="10015" max="10016" width="4.5703125" style="498" customWidth="1"/>
    <col min="10017" max="10017" width="4" style="498" customWidth="1"/>
    <col min="10018" max="10018" width="4.5703125" style="498" customWidth="1"/>
    <col min="10019" max="10019" width="6" style="498" customWidth="1"/>
    <col min="10020" max="10020" width="8.5703125" style="498" customWidth="1"/>
    <col min="10021" max="10240" width="11.42578125" style="498"/>
    <col min="10241" max="10241" width="6.42578125" style="498" customWidth="1"/>
    <col min="10242" max="10242" width="47.5703125" style="498" customWidth="1"/>
    <col min="10243" max="10244" width="5" style="498" customWidth="1"/>
    <col min="10245" max="10245" width="5.42578125" style="498" customWidth="1"/>
    <col min="10246" max="10246" width="4.5703125" style="498" customWidth="1"/>
    <col min="10247" max="10248" width="4.42578125" style="498" customWidth="1"/>
    <col min="10249" max="10249" width="3.5703125" style="498" customWidth="1"/>
    <col min="10250" max="10250" width="5" style="498" customWidth="1"/>
    <col min="10251" max="10251" width="4" style="498" customWidth="1"/>
    <col min="10252" max="10253" width="4.5703125" style="498" customWidth="1"/>
    <col min="10254" max="10254" width="4.42578125" style="498" customWidth="1"/>
    <col min="10255" max="10255" width="4" style="498" customWidth="1"/>
    <col min="10256" max="10256" width="3.5703125" style="498" customWidth="1"/>
    <col min="10257" max="10258" width="4.5703125" style="498" customWidth="1"/>
    <col min="10259" max="10259" width="4" style="498" customWidth="1"/>
    <col min="10260" max="10261" width="4.42578125" style="498" customWidth="1"/>
    <col min="10262" max="10262" width="3.5703125" style="498" customWidth="1"/>
    <col min="10263" max="10263" width="4.42578125" style="498" customWidth="1"/>
    <col min="10264" max="10264" width="5.5703125" style="498" customWidth="1"/>
    <col min="10265" max="10265" width="3.5703125" style="498" customWidth="1"/>
    <col min="10266" max="10266" width="4" style="498" customWidth="1"/>
    <col min="10267" max="10267" width="4.5703125" style="498" customWidth="1"/>
    <col min="10268" max="10270" width="4.42578125" style="498" customWidth="1"/>
    <col min="10271" max="10272" width="4.5703125" style="498" customWidth="1"/>
    <col min="10273" max="10273" width="4" style="498" customWidth="1"/>
    <col min="10274" max="10274" width="4.5703125" style="498" customWidth="1"/>
    <col min="10275" max="10275" width="6" style="498" customWidth="1"/>
    <col min="10276" max="10276" width="8.5703125" style="498" customWidth="1"/>
    <col min="10277" max="10496" width="11.42578125" style="498"/>
    <col min="10497" max="10497" width="6.42578125" style="498" customWidth="1"/>
    <col min="10498" max="10498" width="47.5703125" style="498" customWidth="1"/>
    <col min="10499" max="10500" width="5" style="498" customWidth="1"/>
    <col min="10501" max="10501" width="5.42578125" style="498" customWidth="1"/>
    <col min="10502" max="10502" width="4.5703125" style="498" customWidth="1"/>
    <col min="10503" max="10504" width="4.42578125" style="498" customWidth="1"/>
    <col min="10505" max="10505" width="3.5703125" style="498" customWidth="1"/>
    <col min="10506" max="10506" width="5" style="498" customWidth="1"/>
    <col min="10507" max="10507" width="4" style="498" customWidth="1"/>
    <col min="10508" max="10509" width="4.5703125" style="498" customWidth="1"/>
    <col min="10510" max="10510" width="4.42578125" style="498" customWidth="1"/>
    <col min="10511" max="10511" width="4" style="498" customWidth="1"/>
    <col min="10512" max="10512" width="3.5703125" style="498" customWidth="1"/>
    <col min="10513" max="10514" width="4.5703125" style="498" customWidth="1"/>
    <col min="10515" max="10515" width="4" style="498" customWidth="1"/>
    <col min="10516" max="10517" width="4.42578125" style="498" customWidth="1"/>
    <col min="10518" max="10518" width="3.5703125" style="498" customWidth="1"/>
    <col min="10519" max="10519" width="4.42578125" style="498" customWidth="1"/>
    <col min="10520" max="10520" width="5.5703125" style="498" customWidth="1"/>
    <col min="10521" max="10521" width="3.5703125" style="498" customWidth="1"/>
    <col min="10522" max="10522" width="4" style="498" customWidth="1"/>
    <col min="10523" max="10523" width="4.5703125" style="498" customWidth="1"/>
    <col min="10524" max="10526" width="4.42578125" style="498" customWidth="1"/>
    <col min="10527" max="10528" width="4.5703125" style="498" customWidth="1"/>
    <col min="10529" max="10529" width="4" style="498" customWidth="1"/>
    <col min="10530" max="10530" width="4.5703125" style="498" customWidth="1"/>
    <col min="10531" max="10531" width="6" style="498" customWidth="1"/>
    <col min="10532" max="10532" width="8.5703125" style="498" customWidth="1"/>
    <col min="10533" max="10752" width="11.42578125" style="498"/>
    <col min="10753" max="10753" width="6.42578125" style="498" customWidth="1"/>
    <col min="10754" max="10754" width="47.5703125" style="498" customWidth="1"/>
    <col min="10755" max="10756" width="5" style="498" customWidth="1"/>
    <col min="10757" max="10757" width="5.42578125" style="498" customWidth="1"/>
    <col min="10758" max="10758" width="4.5703125" style="498" customWidth="1"/>
    <col min="10759" max="10760" width="4.42578125" style="498" customWidth="1"/>
    <col min="10761" max="10761" width="3.5703125" style="498" customWidth="1"/>
    <col min="10762" max="10762" width="5" style="498" customWidth="1"/>
    <col min="10763" max="10763" width="4" style="498" customWidth="1"/>
    <col min="10764" max="10765" width="4.5703125" style="498" customWidth="1"/>
    <col min="10766" max="10766" width="4.42578125" style="498" customWidth="1"/>
    <col min="10767" max="10767" width="4" style="498" customWidth="1"/>
    <col min="10768" max="10768" width="3.5703125" style="498" customWidth="1"/>
    <col min="10769" max="10770" width="4.5703125" style="498" customWidth="1"/>
    <col min="10771" max="10771" width="4" style="498" customWidth="1"/>
    <col min="10772" max="10773" width="4.42578125" style="498" customWidth="1"/>
    <col min="10774" max="10774" width="3.5703125" style="498" customWidth="1"/>
    <col min="10775" max="10775" width="4.42578125" style="498" customWidth="1"/>
    <col min="10776" max="10776" width="5.5703125" style="498" customWidth="1"/>
    <col min="10777" max="10777" width="3.5703125" style="498" customWidth="1"/>
    <col min="10778" max="10778" width="4" style="498" customWidth="1"/>
    <col min="10779" max="10779" width="4.5703125" style="498" customWidth="1"/>
    <col min="10780" max="10782" width="4.42578125" style="498" customWidth="1"/>
    <col min="10783" max="10784" width="4.5703125" style="498" customWidth="1"/>
    <col min="10785" max="10785" width="4" style="498" customWidth="1"/>
    <col min="10786" max="10786" width="4.5703125" style="498" customWidth="1"/>
    <col min="10787" max="10787" width="6" style="498" customWidth="1"/>
    <col min="10788" max="10788" width="8.5703125" style="498" customWidth="1"/>
    <col min="10789" max="11008" width="11.42578125" style="498"/>
    <col min="11009" max="11009" width="6.42578125" style="498" customWidth="1"/>
    <col min="11010" max="11010" width="47.5703125" style="498" customWidth="1"/>
    <col min="11011" max="11012" width="5" style="498" customWidth="1"/>
    <col min="11013" max="11013" width="5.42578125" style="498" customWidth="1"/>
    <col min="11014" max="11014" width="4.5703125" style="498" customWidth="1"/>
    <col min="11015" max="11016" width="4.42578125" style="498" customWidth="1"/>
    <col min="11017" max="11017" width="3.5703125" style="498" customWidth="1"/>
    <col min="11018" max="11018" width="5" style="498" customWidth="1"/>
    <col min="11019" max="11019" width="4" style="498" customWidth="1"/>
    <col min="11020" max="11021" width="4.5703125" style="498" customWidth="1"/>
    <col min="11022" max="11022" width="4.42578125" style="498" customWidth="1"/>
    <col min="11023" max="11023" width="4" style="498" customWidth="1"/>
    <col min="11024" max="11024" width="3.5703125" style="498" customWidth="1"/>
    <col min="11025" max="11026" width="4.5703125" style="498" customWidth="1"/>
    <col min="11027" max="11027" width="4" style="498" customWidth="1"/>
    <col min="11028" max="11029" width="4.42578125" style="498" customWidth="1"/>
    <col min="11030" max="11030" width="3.5703125" style="498" customWidth="1"/>
    <col min="11031" max="11031" width="4.42578125" style="498" customWidth="1"/>
    <col min="11032" max="11032" width="5.5703125" style="498" customWidth="1"/>
    <col min="11033" max="11033" width="3.5703125" style="498" customWidth="1"/>
    <col min="11034" max="11034" width="4" style="498" customWidth="1"/>
    <col min="11035" max="11035" width="4.5703125" style="498" customWidth="1"/>
    <col min="11036" max="11038" width="4.42578125" style="498" customWidth="1"/>
    <col min="11039" max="11040" width="4.5703125" style="498" customWidth="1"/>
    <col min="11041" max="11041" width="4" style="498" customWidth="1"/>
    <col min="11042" max="11042" width="4.5703125" style="498" customWidth="1"/>
    <col min="11043" max="11043" width="6" style="498" customWidth="1"/>
    <col min="11044" max="11044" width="8.5703125" style="498" customWidth="1"/>
    <col min="11045" max="11264" width="11.42578125" style="498"/>
    <col min="11265" max="11265" width="6.42578125" style="498" customWidth="1"/>
    <col min="11266" max="11266" width="47.5703125" style="498" customWidth="1"/>
    <col min="11267" max="11268" width="5" style="498" customWidth="1"/>
    <col min="11269" max="11269" width="5.42578125" style="498" customWidth="1"/>
    <col min="11270" max="11270" width="4.5703125" style="498" customWidth="1"/>
    <col min="11271" max="11272" width="4.42578125" style="498" customWidth="1"/>
    <col min="11273" max="11273" width="3.5703125" style="498" customWidth="1"/>
    <col min="11274" max="11274" width="5" style="498" customWidth="1"/>
    <col min="11275" max="11275" width="4" style="498" customWidth="1"/>
    <col min="11276" max="11277" width="4.5703125" style="498" customWidth="1"/>
    <col min="11278" max="11278" width="4.42578125" style="498" customWidth="1"/>
    <col min="11279" max="11279" width="4" style="498" customWidth="1"/>
    <col min="11280" max="11280" width="3.5703125" style="498" customWidth="1"/>
    <col min="11281" max="11282" width="4.5703125" style="498" customWidth="1"/>
    <col min="11283" max="11283" width="4" style="498" customWidth="1"/>
    <col min="11284" max="11285" width="4.42578125" style="498" customWidth="1"/>
    <col min="11286" max="11286" width="3.5703125" style="498" customWidth="1"/>
    <col min="11287" max="11287" width="4.42578125" style="498" customWidth="1"/>
    <col min="11288" max="11288" width="5.5703125" style="498" customWidth="1"/>
    <col min="11289" max="11289" width="3.5703125" style="498" customWidth="1"/>
    <col min="11290" max="11290" width="4" style="498" customWidth="1"/>
    <col min="11291" max="11291" width="4.5703125" style="498" customWidth="1"/>
    <col min="11292" max="11294" width="4.42578125" style="498" customWidth="1"/>
    <col min="11295" max="11296" width="4.5703125" style="498" customWidth="1"/>
    <col min="11297" max="11297" width="4" style="498" customWidth="1"/>
    <col min="11298" max="11298" width="4.5703125" style="498" customWidth="1"/>
    <col min="11299" max="11299" width="6" style="498" customWidth="1"/>
    <col min="11300" max="11300" width="8.5703125" style="498" customWidth="1"/>
    <col min="11301" max="11520" width="11.42578125" style="498"/>
    <col min="11521" max="11521" width="6.42578125" style="498" customWidth="1"/>
    <col min="11522" max="11522" width="47.5703125" style="498" customWidth="1"/>
    <col min="11523" max="11524" width="5" style="498" customWidth="1"/>
    <col min="11525" max="11525" width="5.42578125" style="498" customWidth="1"/>
    <col min="11526" max="11526" width="4.5703125" style="498" customWidth="1"/>
    <col min="11527" max="11528" width="4.42578125" style="498" customWidth="1"/>
    <col min="11529" max="11529" width="3.5703125" style="498" customWidth="1"/>
    <col min="11530" max="11530" width="5" style="498" customWidth="1"/>
    <col min="11531" max="11531" width="4" style="498" customWidth="1"/>
    <col min="11532" max="11533" width="4.5703125" style="498" customWidth="1"/>
    <col min="11534" max="11534" width="4.42578125" style="498" customWidth="1"/>
    <col min="11535" max="11535" width="4" style="498" customWidth="1"/>
    <col min="11536" max="11536" width="3.5703125" style="498" customWidth="1"/>
    <col min="11537" max="11538" width="4.5703125" style="498" customWidth="1"/>
    <col min="11539" max="11539" width="4" style="498" customWidth="1"/>
    <col min="11540" max="11541" width="4.42578125" style="498" customWidth="1"/>
    <col min="11542" max="11542" width="3.5703125" style="498" customWidth="1"/>
    <col min="11543" max="11543" width="4.42578125" style="498" customWidth="1"/>
    <col min="11544" max="11544" width="5.5703125" style="498" customWidth="1"/>
    <col min="11545" max="11545" width="3.5703125" style="498" customWidth="1"/>
    <col min="11546" max="11546" width="4" style="498" customWidth="1"/>
    <col min="11547" max="11547" width="4.5703125" style="498" customWidth="1"/>
    <col min="11548" max="11550" width="4.42578125" style="498" customWidth="1"/>
    <col min="11551" max="11552" width="4.5703125" style="498" customWidth="1"/>
    <col min="11553" max="11553" width="4" style="498" customWidth="1"/>
    <col min="11554" max="11554" width="4.5703125" style="498" customWidth="1"/>
    <col min="11555" max="11555" width="6" style="498" customWidth="1"/>
    <col min="11556" max="11556" width="8.5703125" style="498" customWidth="1"/>
    <col min="11557" max="11776" width="11.42578125" style="498"/>
    <col min="11777" max="11777" width="6.42578125" style="498" customWidth="1"/>
    <col min="11778" max="11778" width="47.5703125" style="498" customWidth="1"/>
    <col min="11779" max="11780" width="5" style="498" customWidth="1"/>
    <col min="11781" max="11781" width="5.42578125" style="498" customWidth="1"/>
    <col min="11782" max="11782" width="4.5703125" style="498" customWidth="1"/>
    <col min="11783" max="11784" width="4.42578125" style="498" customWidth="1"/>
    <col min="11785" max="11785" width="3.5703125" style="498" customWidth="1"/>
    <col min="11786" max="11786" width="5" style="498" customWidth="1"/>
    <col min="11787" max="11787" width="4" style="498" customWidth="1"/>
    <col min="11788" max="11789" width="4.5703125" style="498" customWidth="1"/>
    <col min="11790" max="11790" width="4.42578125" style="498" customWidth="1"/>
    <col min="11791" max="11791" width="4" style="498" customWidth="1"/>
    <col min="11792" max="11792" width="3.5703125" style="498" customWidth="1"/>
    <col min="11793" max="11794" width="4.5703125" style="498" customWidth="1"/>
    <col min="11795" max="11795" width="4" style="498" customWidth="1"/>
    <col min="11796" max="11797" width="4.42578125" style="498" customWidth="1"/>
    <col min="11798" max="11798" width="3.5703125" style="498" customWidth="1"/>
    <col min="11799" max="11799" width="4.42578125" style="498" customWidth="1"/>
    <col min="11800" max="11800" width="5.5703125" style="498" customWidth="1"/>
    <col min="11801" max="11801" width="3.5703125" style="498" customWidth="1"/>
    <col min="11802" max="11802" width="4" style="498" customWidth="1"/>
    <col min="11803" max="11803" width="4.5703125" style="498" customWidth="1"/>
    <col min="11804" max="11806" width="4.42578125" style="498" customWidth="1"/>
    <col min="11807" max="11808" width="4.5703125" style="498" customWidth="1"/>
    <col min="11809" max="11809" width="4" style="498" customWidth="1"/>
    <col min="11810" max="11810" width="4.5703125" style="498" customWidth="1"/>
    <col min="11811" max="11811" width="6" style="498" customWidth="1"/>
    <col min="11812" max="11812" width="8.5703125" style="498" customWidth="1"/>
    <col min="11813" max="12032" width="11.42578125" style="498"/>
    <col min="12033" max="12033" width="6.42578125" style="498" customWidth="1"/>
    <col min="12034" max="12034" width="47.5703125" style="498" customWidth="1"/>
    <col min="12035" max="12036" width="5" style="498" customWidth="1"/>
    <col min="12037" max="12037" width="5.42578125" style="498" customWidth="1"/>
    <col min="12038" max="12038" width="4.5703125" style="498" customWidth="1"/>
    <col min="12039" max="12040" width="4.42578125" style="498" customWidth="1"/>
    <col min="12041" max="12041" width="3.5703125" style="498" customWidth="1"/>
    <col min="12042" max="12042" width="5" style="498" customWidth="1"/>
    <col min="12043" max="12043" width="4" style="498" customWidth="1"/>
    <col min="12044" max="12045" width="4.5703125" style="498" customWidth="1"/>
    <col min="12046" max="12046" width="4.42578125" style="498" customWidth="1"/>
    <col min="12047" max="12047" width="4" style="498" customWidth="1"/>
    <col min="12048" max="12048" width="3.5703125" style="498" customWidth="1"/>
    <col min="12049" max="12050" width="4.5703125" style="498" customWidth="1"/>
    <col min="12051" max="12051" width="4" style="498" customWidth="1"/>
    <col min="12052" max="12053" width="4.42578125" style="498" customWidth="1"/>
    <col min="12054" max="12054" width="3.5703125" style="498" customWidth="1"/>
    <col min="12055" max="12055" width="4.42578125" style="498" customWidth="1"/>
    <col min="12056" max="12056" width="5.5703125" style="498" customWidth="1"/>
    <col min="12057" max="12057" width="3.5703125" style="498" customWidth="1"/>
    <col min="12058" max="12058" width="4" style="498" customWidth="1"/>
    <col min="12059" max="12059" width="4.5703125" style="498" customWidth="1"/>
    <col min="12060" max="12062" width="4.42578125" style="498" customWidth="1"/>
    <col min="12063" max="12064" width="4.5703125" style="498" customWidth="1"/>
    <col min="12065" max="12065" width="4" style="498" customWidth="1"/>
    <col min="12066" max="12066" width="4.5703125" style="498" customWidth="1"/>
    <col min="12067" max="12067" width="6" style="498" customWidth="1"/>
    <col min="12068" max="12068" width="8.5703125" style="498" customWidth="1"/>
    <col min="12069" max="12288" width="11.42578125" style="498"/>
    <col min="12289" max="12289" width="6.42578125" style="498" customWidth="1"/>
    <col min="12290" max="12290" width="47.5703125" style="498" customWidth="1"/>
    <col min="12291" max="12292" width="5" style="498" customWidth="1"/>
    <col min="12293" max="12293" width="5.42578125" style="498" customWidth="1"/>
    <col min="12294" max="12294" width="4.5703125" style="498" customWidth="1"/>
    <col min="12295" max="12296" width="4.42578125" style="498" customWidth="1"/>
    <col min="12297" max="12297" width="3.5703125" style="498" customWidth="1"/>
    <col min="12298" max="12298" width="5" style="498" customWidth="1"/>
    <col min="12299" max="12299" width="4" style="498" customWidth="1"/>
    <col min="12300" max="12301" width="4.5703125" style="498" customWidth="1"/>
    <col min="12302" max="12302" width="4.42578125" style="498" customWidth="1"/>
    <col min="12303" max="12303" width="4" style="498" customWidth="1"/>
    <col min="12304" max="12304" width="3.5703125" style="498" customWidth="1"/>
    <col min="12305" max="12306" width="4.5703125" style="498" customWidth="1"/>
    <col min="12307" max="12307" width="4" style="498" customWidth="1"/>
    <col min="12308" max="12309" width="4.42578125" style="498" customWidth="1"/>
    <col min="12310" max="12310" width="3.5703125" style="498" customWidth="1"/>
    <col min="12311" max="12311" width="4.42578125" style="498" customWidth="1"/>
    <col min="12312" max="12312" width="5.5703125" style="498" customWidth="1"/>
    <col min="12313" max="12313" width="3.5703125" style="498" customWidth="1"/>
    <col min="12314" max="12314" width="4" style="498" customWidth="1"/>
    <col min="12315" max="12315" width="4.5703125" style="498" customWidth="1"/>
    <col min="12316" max="12318" width="4.42578125" style="498" customWidth="1"/>
    <col min="12319" max="12320" width="4.5703125" style="498" customWidth="1"/>
    <col min="12321" max="12321" width="4" style="498" customWidth="1"/>
    <col min="12322" max="12322" width="4.5703125" style="498" customWidth="1"/>
    <col min="12323" max="12323" width="6" style="498" customWidth="1"/>
    <col min="12324" max="12324" width="8.5703125" style="498" customWidth="1"/>
    <col min="12325" max="12544" width="11.42578125" style="498"/>
    <col min="12545" max="12545" width="6.42578125" style="498" customWidth="1"/>
    <col min="12546" max="12546" width="47.5703125" style="498" customWidth="1"/>
    <col min="12547" max="12548" width="5" style="498" customWidth="1"/>
    <col min="12549" max="12549" width="5.42578125" style="498" customWidth="1"/>
    <col min="12550" max="12550" width="4.5703125" style="498" customWidth="1"/>
    <col min="12551" max="12552" width="4.42578125" style="498" customWidth="1"/>
    <col min="12553" max="12553" width="3.5703125" style="498" customWidth="1"/>
    <col min="12554" max="12554" width="5" style="498" customWidth="1"/>
    <col min="12555" max="12555" width="4" style="498" customWidth="1"/>
    <col min="12556" max="12557" width="4.5703125" style="498" customWidth="1"/>
    <col min="12558" max="12558" width="4.42578125" style="498" customWidth="1"/>
    <col min="12559" max="12559" width="4" style="498" customWidth="1"/>
    <col min="12560" max="12560" width="3.5703125" style="498" customWidth="1"/>
    <col min="12561" max="12562" width="4.5703125" style="498" customWidth="1"/>
    <col min="12563" max="12563" width="4" style="498" customWidth="1"/>
    <col min="12564" max="12565" width="4.42578125" style="498" customWidth="1"/>
    <col min="12566" max="12566" width="3.5703125" style="498" customWidth="1"/>
    <col min="12567" max="12567" width="4.42578125" style="498" customWidth="1"/>
    <col min="12568" max="12568" width="5.5703125" style="498" customWidth="1"/>
    <col min="12569" max="12569" width="3.5703125" style="498" customWidth="1"/>
    <col min="12570" max="12570" width="4" style="498" customWidth="1"/>
    <col min="12571" max="12571" width="4.5703125" style="498" customWidth="1"/>
    <col min="12572" max="12574" width="4.42578125" style="498" customWidth="1"/>
    <col min="12575" max="12576" width="4.5703125" style="498" customWidth="1"/>
    <col min="12577" max="12577" width="4" style="498" customWidth="1"/>
    <col min="12578" max="12578" width="4.5703125" style="498" customWidth="1"/>
    <col min="12579" max="12579" width="6" style="498" customWidth="1"/>
    <col min="12580" max="12580" width="8.5703125" style="498" customWidth="1"/>
    <col min="12581" max="12800" width="11.42578125" style="498"/>
    <col min="12801" max="12801" width="6.42578125" style="498" customWidth="1"/>
    <col min="12802" max="12802" width="47.5703125" style="498" customWidth="1"/>
    <col min="12803" max="12804" width="5" style="498" customWidth="1"/>
    <col min="12805" max="12805" width="5.42578125" style="498" customWidth="1"/>
    <col min="12806" max="12806" width="4.5703125" style="498" customWidth="1"/>
    <col min="12807" max="12808" width="4.42578125" style="498" customWidth="1"/>
    <col min="12809" max="12809" width="3.5703125" style="498" customWidth="1"/>
    <col min="12810" max="12810" width="5" style="498" customWidth="1"/>
    <col min="12811" max="12811" width="4" style="498" customWidth="1"/>
    <col min="12812" max="12813" width="4.5703125" style="498" customWidth="1"/>
    <col min="12814" max="12814" width="4.42578125" style="498" customWidth="1"/>
    <col min="12815" max="12815" width="4" style="498" customWidth="1"/>
    <col min="12816" max="12816" width="3.5703125" style="498" customWidth="1"/>
    <col min="12817" max="12818" width="4.5703125" style="498" customWidth="1"/>
    <col min="12819" max="12819" width="4" style="498" customWidth="1"/>
    <col min="12820" max="12821" width="4.42578125" style="498" customWidth="1"/>
    <col min="12822" max="12822" width="3.5703125" style="498" customWidth="1"/>
    <col min="12823" max="12823" width="4.42578125" style="498" customWidth="1"/>
    <col min="12824" max="12824" width="5.5703125" style="498" customWidth="1"/>
    <col min="12825" max="12825" width="3.5703125" style="498" customWidth="1"/>
    <col min="12826" max="12826" width="4" style="498" customWidth="1"/>
    <col min="12827" max="12827" width="4.5703125" style="498" customWidth="1"/>
    <col min="12828" max="12830" width="4.42578125" style="498" customWidth="1"/>
    <col min="12831" max="12832" width="4.5703125" style="498" customWidth="1"/>
    <col min="12833" max="12833" width="4" style="498" customWidth="1"/>
    <col min="12834" max="12834" width="4.5703125" style="498" customWidth="1"/>
    <col min="12835" max="12835" width="6" style="498" customWidth="1"/>
    <col min="12836" max="12836" width="8.5703125" style="498" customWidth="1"/>
    <col min="12837" max="13056" width="11.42578125" style="498"/>
    <col min="13057" max="13057" width="6.42578125" style="498" customWidth="1"/>
    <col min="13058" max="13058" width="47.5703125" style="498" customWidth="1"/>
    <col min="13059" max="13060" width="5" style="498" customWidth="1"/>
    <col min="13061" max="13061" width="5.42578125" style="498" customWidth="1"/>
    <col min="13062" max="13062" width="4.5703125" style="498" customWidth="1"/>
    <col min="13063" max="13064" width="4.42578125" style="498" customWidth="1"/>
    <col min="13065" max="13065" width="3.5703125" style="498" customWidth="1"/>
    <col min="13066" max="13066" width="5" style="498" customWidth="1"/>
    <col min="13067" max="13067" width="4" style="498" customWidth="1"/>
    <col min="13068" max="13069" width="4.5703125" style="498" customWidth="1"/>
    <col min="13070" max="13070" width="4.42578125" style="498" customWidth="1"/>
    <col min="13071" max="13071" width="4" style="498" customWidth="1"/>
    <col min="13072" max="13072" width="3.5703125" style="498" customWidth="1"/>
    <col min="13073" max="13074" width="4.5703125" style="498" customWidth="1"/>
    <col min="13075" max="13075" width="4" style="498" customWidth="1"/>
    <col min="13076" max="13077" width="4.42578125" style="498" customWidth="1"/>
    <col min="13078" max="13078" width="3.5703125" style="498" customWidth="1"/>
    <col min="13079" max="13079" width="4.42578125" style="498" customWidth="1"/>
    <col min="13080" max="13080" width="5.5703125" style="498" customWidth="1"/>
    <col min="13081" max="13081" width="3.5703125" style="498" customWidth="1"/>
    <col min="13082" max="13082" width="4" style="498" customWidth="1"/>
    <col min="13083" max="13083" width="4.5703125" style="498" customWidth="1"/>
    <col min="13084" max="13086" width="4.42578125" style="498" customWidth="1"/>
    <col min="13087" max="13088" width="4.5703125" style="498" customWidth="1"/>
    <col min="13089" max="13089" width="4" style="498" customWidth="1"/>
    <col min="13090" max="13090" width="4.5703125" style="498" customWidth="1"/>
    <col min="13091" max="13091" width="6" style="498" customWidth="1"/>
    <col min="13092" max="13092" width="8.5703125" style="498" customWidth="1"/>
    <col min="13093" max="13312" width="11.42578125" style="498"/>
    <col min="13313" max="13313" width="6.42578125" style="498" customWidth="1"/>
    <col min="13314" max="13314" width="47.5703125" style="498" customWidth="1"/>
    <col min="13315" max="13316" width="5" style="498" customWidth="1"/>
    <col min="13317" max="13317" width="5.42578125" style="498" customWidth="1"/>
    <col min="13318" max="13318" width="4.5703125" style="498" customWidth="1"/>
    <col min="13319" max="13320" width="4.42578125" style="498" customWidth="1"/>
    <col min="13321" max="13321" width="3.5703125" style="498" customWidth="1"/>
    <col min="13322" max="13322" width="5" style="498" customWidth="1"/>
    <col min="13323" max="13323" width="4" style="498" customWidth="1"/>
    <col min="13324" max="13325" width="4.5703125" style="498" customWidth="1"/>
    <col min="13326" max="13326" width="4.42578125" style="498" customWidth="1"/>
    <col min="13327" max="13327" width="4" style="498" customWidth="1"/>
    <col min="13328" max="13328" width="3.5703125" style="498" customWidth="1"/>
    <col min="13329" max="13330" width="4.5703125" style="498" customWidth="1"/>
    <col min="13331" max="13331" width="4" style="498" customWidth="1"/>
    <col min="13332" max="13333" width="4.42578125" style="498" customWidth="1"/>
    <col min="13334" max="13334" width="3.5703125" style="498" customWidth="1"/>
    <col min="13335" max="13335" width="4.42578125" style="498" customWidth="1"/>
    <col min="13336" max="13336" width="5.5703125" style="498" customWidth="1"/>
    <col min="13337" max="13337" width="3.5703125" style="498" customWidth="1"/>
    <col min="13338" max="13338" width="4" style="498" customWidth="1"/>
    <col min="13339" max="13339" width="4.5703125" style="498" customWidth="1"/>
    <col min="13340" max="13342" width="4.42578125" style="498" customWidth="1"/>
    <col min="13343" max="13344" width="4.5703125" style="498" customWidth="1"/>
    <col min="13345" max="13345" width="4" style="498" customWidth="1"/>
    <col min="13346" max="13346" width="4.5703125" style="498" customWidth="1"/>
    <col min="13347" max="13347" width="6" style="498" customWidth="1"/>
    <col min="13348" max="13348" width="8.5703125" style="498" customWidth="1"/>
    <col min="13349" max="13568" width="11.42578125" style="498"/>
    <col min="13569" max="13569" width="6.42578125" style="498" customWidth="1"/>
    <col min="13570" max="13570" width="47.5703125" style="498" customWidth="1"/>
    <col min="13571" max="13572" width="5" style="498" customWidth="1"/>
    <col min="13573" max="13573" width="5.42578125" style="498" customWidth="1"/>
    <col min="13574" max="13574" width="4.5703125" style="498" customWidth="1"/>
    <col min="13575" max="13576" width="4.42578125" style="498" customWidth="1"/>
    <col min="13577" max="13577" width="3.5703125" style="498" customWidth="1"/>
    <col min="13578" max="13578" width="5" style="498" customWidth="1"/>
    <col min="13579" max="13579" width="4" style="498" customWidth="1"/>
    <col min="13580" max="13581" width="4.5703125" style="498" customWidth="1"/>
    <col min="13582" max="13582" width="4.42578125" style="498" customWidth="1"/>
    <col min="13583" max="13583" width="4" style="498" customWidth="1"/>
    <col min="13584" max="13584" width="3.5703125" style="498" customWidth="1"/>
    <col min="13585" max="13586" width="4.5703125" style="498" customWidth="1"/>
    <col min="13587" max="13587" width="4" style="498" customWidth="1"/>
    <col min="13588" max="13589" width="4.42578125" style="498" customWidth="1"/>
    <col min="13590" max="13590" width="3.5703125" style="498" customWidth="1"/>
    <col min="13591" max="13591" width="4.42578125" style="498" customWidth="1"/>
    <col min="13592" max="13592" width="5.5703125" style="498" customWidth="1"/>
    <col min="13593" max="13593" width="3.5703125" style="498" customWidth="1"/>
    <col min="13594" max="13594" width="4" style="498" customWidth="1"/>
    <col min="13595" max="13595" width="4.5703125" style="498" customWidth="1"/>
    <col min="13596" max="13598" width="4.42578125" style="498" customWidth="1"/>
    <col min="13599" max="13600" width="4.5703125" style="498" customWidth="1"/>
    <col min="13601" max="13601" width="4" style="498" customWidth="1"/>
    <col min="13602" max="13602" width="4.5703125" style="498" customWidth="1"/>
    <col min="13603" max="13603" width="6" style="498" customWidth="1"/>
    <col min="13604" max="13604" width="8.5703125" style="498" customWidth="1"/>
    <col min="13605" max="13824" width="11.42578125" style="498"/>
    <col min="13825" max="13825" width="6.42578125" style="498" customWidth="1"/>
    <col min="13826" max="13826" width="47.5703125" style="498" customWidth="1"/>
    <col min="13827" max="13828" width="5" style="498" customWidth="1"/>
    <col min="13829" max="13829" width="5.42578125" style="498" customWidth="1"/>
    <col min="13830" max="13830" width="4.5703125" style="498" customWidth="1"/>
    <col min="13831" max="13832" width="4.42578125" style="498" customWidth="1"/>
    <col min="13833" max="13833" width="3.5703125" style="498" customWidth="1"/>
    <col min="13834" max="13834" width="5" style="498" customWidth="1"/>
    <col min="13835" max="13835" width="4" style="498" customWidth="1"/>
    <col min="13836" max="13837" width="4.5703125" style="498" customWidth="1"/>
    <col min="13838" max="13838" width="4.42578125" style="498" customWidth="1"/>
    <col min="13839" max="13839" width="4" style="498" customWidth="1"/>
    <col min="13840" max="13840" width="3.5703125" style="498" customWidth="1"/>
    <col min="13841" max="13842" width="4.5703125" style="498" customWidth="1"/>
    <col min="13843" max="13843" width="4" style="498" customWidth="1"/>
    <col min="13844" max="13845" width="4.42578125" style="498" customWidth="1"/>
    <col min="13846" max="13846" width="3.5703125" style="498" customWidth="1"/>
    <col min="13847" max="13847" width="4.42578125" style="498" customWidth="1"/>
    <col min="13848" max="13848" width="5.5703125" style="498" customWidth="1"/>
    <col min="13849" max="13849" width="3.5703125" style="498" customWidth="1"/>
    <col min="13850" max="13850" width="4" style="498" customWidth="1"/>
    <col min="13851" max="13851" width="4.5703125" style="498" customWidth="1"/>
    <col min="13852" max="13854" width="4.42578125" style="498" customWidth="1"/>
    <col min="13855" max="13856" width="4.5703125" style="498" customWidth="1"/>
    <col min="13857" max="13857" width="4" style="498" customWidth="1"/>
    <col min="13858" max="13858" width="4.5703125" style="498" customWidth="1"/>
    <col min="13859" max="13859" width="6" style="498" customWidth="1"/>
    <col min="13860" max="13860" width="8.5703125" style="498" customWidth="1"/>
    <col min="13861" max="14080" width="11.42578125" style="498"/>
    <col min="14081" max="14081" width="6.42578125" style="498" customWidth="1"/>
    <col min="14082" max="14082" width="47.5703125" style="498" customWidth="1"/>
    <col min="14083" max="14084" width="5" style="498" customWidth="1"/>
    <col min="14085" max="14085" width="5.42578125" style="498" customWidth="1"/>
    <col min="14086" max="14086" width="4.5703125" style="498" customWidth="1"/>
    <col min="14087" max="14088" width="4.42578125" style="498" customWidth="1"/>
    <col min="14089" max="14089" width="3.5703125" style="498" customWidth="1"/>
    <col min="14090" max="14090" width="5" style="498" customWidth="1"/>
    <col min="14091" max="14091" width="4" style="498" customWidth="1"/>
    <col min="14092" max="14093" width="4.5703125" style="498" customWidth="1"/>
    <col min="14094" max="14094" width="4.42578125" style="498" customWidth="1"/>
    <col min="14095" max="14095" width="4" style="498" customWidth="1"/>
    <col min="14096" max="14096" width="3.5703125" style="498" customWidth="1"/>
    <col min="14097" max="14098" width="4.5703125" style="498" customWidth="1"/>
    <col min="14099" max="14099" width="4" style="498" customWidth="1"/>
    <col min="14100" max="14101" width="4.42578125" style="498" customWidth="1"/>
    <col min="14102" max="14102" width="3.5703125" style="498" customWidth="1"/>
    <col min="14103" max="14103" width="4.42578125" style="498" customWidth="1"/>
    <col min="14104" max="14104" width="5.5703125" style="498" customWidth="1"/>
    <col min="14105" max="14105" width="3.5703125" style="498" customWidth="1"/>
    <col min="14106" max="14106" width="4" style="498" customWidth="1"/>
    <col min="14107" max="14107" width="4.5703125" style="498" customWidth="1"/>
    <col min="14108" max="14110" width="4.42578125" style="498" customWidth="1"/>
    <col min="14111" max="14112" width="4.5703125" style="498" customWidth="1"/>
    <col min="14113" max="14113" width="4" style="498" customWidth="1"/>
    <col min="14114" max="14114" width="4.5703125" style="498" customWidth="1"/>
    <col min="14115" max="14115" width="6" style="498" customWidth="1"/>
    <col min="14116" max="14116" width="8.5703125" style="498" customWidth="1"/>
    <col min="14117" max="14336" width="11.42578125" style="498"/>
    <col min="14337" max="14337" width="6.42578125" style="498" customWidth="1"/>
    <col min="14338" max="14338" width="47.5703125" style="498" customWidth="1"/>
    <col min="14339" max="14340" width="5" style="498" customWidth="1"/>
    <col min="14341" max="14341" width="5.42578125" style="498" customWidth="1"/>
    <col min="14342" max="14342" width="4.5703125" style="498" customWidth="1"/>
    <col min="14343" max="14344" width="4.42578125" style="498" customWidth="1"/>
    <col min="14345" max="14345" width="3.5703125" style="498" customWidth="1"/>
    <col min="14346" max="14346" width="5" style="498" customWidth="1"/>
    <col min="14347" max="14347" width="4" style="498" customWidth="1"/>
    <col min="14348" max="14349" width="4.5703125" style="498" customWidth="1"/>
    <col min="14350" max="14350" width="4.42578125" style="498" customWidth="1"/>
    <col min="14351" max="14351" width="4" style="498" customWidth="1"/>
    <col min="14352" max="14352" width="3.5703125" style="498" customWidth="1"/>
    <col min="14353" max="14354" width="4.5703125" style="498" customWidth="1"/>
    <col min="14355" max="14355" width="4" style="498" customWidth="1"/>
    <col min="14356" max="14357" width="4.42578125" style="498" customWidth="1"/>
    <col min="14358" max="14358" width="3.5703125" style="498" customWidth="1"/>
    <col min="14359" max="14359" width="4.42578125" style="498" customWidth="1"/>
    <col min="14360" max="14360" width="5.5703125" style="498" customWidth="1"/>
    <col min="14361" max="14361" width="3.5703125" style="498" customWidth="1"/>
    <col min="14362" max="14362" width="4" style="498" customWidth="1"/>
    <col min="14363" max="14363" width="4.5703125" style="498" customWidth="1"/>
    <col min="14364" max="14366" width="4.42578125" style="498" customWidth="1"/>
    <col min="14367" max="14368" width="4.5703125" style="498" customWidth="1"/>
    <col min="14369" max="14369" width="4" style="498" customWidth="1"/>
    <col min="14370" max="14370" width="4.5703125" style="498" customWidth="1"/>
    <col min="14371" max="14371" width="6" style="498" customWidth="1"/>
    <col min="14372" max="14372" width="8.5703125" style="498" customWidth="1"/>
    <col min="14373" max="14592" width="11.42578125" style="498"/>
    <col min="14593" max="14593" width="6.42578125" style="498" customWidth="1"/>
    <col min="14594" max="14594" width="47.5703125" style="498" customWidth="1"/>
    <col min="14595" max="14596" width="5" style="498" customWidth="1"/>
    <col min="14597" max="14597" width="5.42578125" style="498" customWidth="1"/>
    <col min="14598" max="14598" width="4.5703125" style="498" customWidth="1"/>
    <col min="14599" max="14600" width="4.42578125" style="498" customWidth="1"/>
    <col min="14601" max="14601" width="3.5703125" style="498" customWidth="1"/>
    <col min="14602" max="14602" width="5" style="498" customWidth="1"/>
    <col min="14603" max="14603" width="4" style="498" customWidth="1"/>
    <col min="14604" max="14605" width="4.5703125" style="498" customWidth="1"/>
    <col min="14606" max="14606" width="4.42578125" style="498" customWidth="1"/>
    <col min="14607" max="14607" width="4" style="498" customWidth="1"/>
    <col min="14608" max="14608" width="3.5703125" style="498" customWidth="1"/>
    <col min="14609" max="14610" width="4.5703125" style="498" customWidth="1"/>
    <col min="14611" max="14611" width="4" style="498" customWidth="1"/>
    <col min="14612" max="14613" width="4.42578125" style="498" customWidth="1"/>
    <col min="14614" max="14614" width="3.5703125" style="498" customWidth="1"/>
    <col min="14615" max="14615" width="4.42578125" style="498" customWidth="1"/>
    <col min="14616" max="14616" width="5.5703125" style="498" customWidth="1"/>
    <col min="14617" max="14617" width="3.5703125" style="498" customWidth="1"/>
    <col min="14618" max="14618" width="4" style="498" customWidth="1"/>
    <col min="14619" max="14619" width="4.5703125" style="498" customWidth="1"/>
    <col min="14620" max="14622" width="4.42578125" style="498" customWidth="1"/>
    <col min="14623" max="14624" width="4.5703125" style="498" customWidth="1"/>
    <col min="14625" max="14625" width="4" style="498" customWidth="1"/>
    <col min="14626" max="14626" width="4.5703125" style="498" customWidth="1"/>
    <col min="14627" max="14627" width="6" style="498" customWidth="1"/>
    <col min="14628" max="14628" width="8.5703125" style="498" customWidth="1"/>
    <col min="14629" max="14848" width="11.42578125" style="498"/>
    <col min="14849" max="14849" width="6.42578125" style="498" customWidth="1"/>
    <col min="14850" max="14850" width="47.5703125" style="498" customWidth="1"/>
    <col min="14851" max="14852" width="5" style="498" customWidth="1"/>
    <col min="14853" max="14853" width="5.42578125" style="498" customWidth="1"/>
    <col min="14854" max="14854" width="4.5703125" style="498" customWidth="1"/>
    <col min="14855" max="14856" width="4.42578125" style="498" customWidth="1"/>
    <col min="14857" max="14857" width="3.5703125" style="498" customWidth="1"/>
    <col min="14858" max="14858" width="5" style="498" customWidth="1"/>
    <col min="14859" max="14859" width="4" style="498" customWidth="1"/>
    <col min="14860" max="14861" width="4.5703125" style="498" customWidth="1"/>
    <col min="14862" max="14862" width="4.42578125" style="498" customWidth="1"/>
    <col min="14863" max="14863" width="4" style="498" customWidth="1"/>
    <col min="14864" max="14864" width="3.5703125" style="498" customWidth="1"/>
    <col min="14865" max="14866" width="4.5703125" style="498" customWidth="1"/>
    <col min="14867" max="14867" width="4" style="498" customWidth="1"/>
    <col min="14868" max="14869" width="4.42578125" style="498" customWidth="1"/>
    <col min="14870" max="14870" width="3.5703125" style="498" customWidth="1"/>
    <col min="14871" max="14871" width="4.42578125" style="498" customWidth="1"/>
    <col min="14872" max="14872" width="5.5703125" style="498" customWidth="1"/>
    <col min="14873" max="14873" width="3.5703125" style="498" customWidth="1"/>
    <col min="14874" max="14874" width="4" style="498" customWidth="1"/>
    <col min="14875" max="14875" width="4.5703125" style="498" customWidth="1"/>
    <col min="14876" max="14878" width="4.42578125" style="498" customWidth="1"/>
    <col min="14879" max="14880" width="4.5703125" style="498" customWidth="1"/>
    <col min="14881" max="14881" width="4" style="498" customWidth="1"/>
    <col min="14882" max="14882" width="4.5703125" style="498" customWidth="1"/>
    <col min="14883" max="14883" width="6" style="498" customWidth="1"/>
    <col min="14884" max="14884" width="8.5703125" style="498" customWidth="1"/>
    <col min="14885" max="15104" width="11.42578125" style="498"/>
    <col min="15105" max="15105" width="6.42578125" style="498" customWidth="1"/>
    <col min="15106" max="15106" width="47.5703125" style="498" customWidth="1"/>
    <col min="15107" max="15108" width="5" style="498" customWidth="1"/>
    <col min="15109" max="15109" width="5.42578125" style="498" customWidth="1"/>
    <col min="15110" max="15110" width="4.5703125" style="498" customWidth="1"/>
    <col min="15111" max="15112" width="4.42578125" style="498" customWidth="1"/>
    <col min="15113" max="15113" width="3.5703125" style="498" customWidth="1"/>
    <col min="15114" max="15114" width="5" style="498" customWidth="1"/>
    <col min="15115" max="15115" width="4" style="498" customWidth="1"/>
    <col min="15116" max="15117" width="4.5703125" style="498" customWidth="1"/>
    <col min="15118" max="15118" width="4.42578125" style="498" customWidth="1"/>
    <col min="15119" max="15119" width="4" style="498" customWidth="1"/>
    <col min="15120" max="15120" width="3.5703125" style="498" customWidth="1"/>
    <col min="15121" max="15122" width="4.5703125" style="498" customWidth="1"/>
    <col min="15123" max="15123" width="4" style="498" customWidth="1"/>
    <col min="15124" max="15125" width="4.42578125" style="498" customWidth="1"/>
    <col min="15126" max="15126" width="3.5703125" style="498" customWidth="1"/>
    <col min="15127" max="15127" width="4.42578125" style="498" customWidth="1"/>
    <col min="15128" max="15128" width="5.5703125" style="498" customWidth="1"/>
    <col min="15129" max="15129" width="3.5703125" style="498" customWidth="1"/>
    <col min="15130" max="15130" width="4" style="498" customWidth="1"/>
    <col min="15131" max="15131" width="4.5703125" style="498" customWidth="1"/>
    <col min="15132" max="15134" width="4.42578125" style="498" customWidth="1"/>
    <col min="15135" max="15136" width="4.5703125" style="498" customWidth="1"/>
    <col min="15137" max="15137" width="4" style="498" customWidth="1"/>
    <col min="15138" max="15138" width="4.5703125" style="498" customWidth="1"/>
    <col min="15139" max="15139" width="6" style="498" customWidth="1"/>
    <col min="15140" max="15140" width="8.5703125" style="498" customWidth="1"/>
    <col min="15141" max="15360" width="11.42578125" style="498"/>
    <col min="15361" max="15361" width="6.42578125" style="498" customWidth="1"/>
    <col min="15362" max="15362" width="47.5703125" style="498" customWidth="1"/>
    <col min="15363" max="15364" width="5" style="498" customWidth="1"/>
    <col min="15365" max="15365" width="5.42578125" style="498" customWidth="1"/>
    <col min="15366" max="15366" width="4.5703125" style="498" customWidth="1"/>
    <col min="15367" max="15368" width="4.42578125" style="498" customWidth="1"/>
    <col min="15369" max="15369" width="3.5703125" style="498" customWidth="1"/>
    <col min="15370" max="15370" width="5" style="498" customWidth="1"/>
    <col min="15371" max="15371" width="4" style="498" customWidth="1"/>
    <col min="15372" max="15373" width="4.5703125" style="498" customWidth="1"/>
    <col min="15374" max="15374" width="4.42578125" style="498" customWidth="1"/>
    <col min="15375" max="15375" width="4" style="498" customWidth="1"/>
    <col min="15376" max="15376" width="3.5703125" style="498" customWidth="1"/>
    <col min="15377" max="15378" width="4.5703125" style="498" customWidth="1"/>
    <col min="15379" max="15379" width="4" style="498" customWidth="1"/>
    <col min="15380" max="15381" width="4.42578125" style="498" customWidth="1"/>
    <col min="15382" max="15382" width="3.5703125" style="498" customWidth="1"/>
    <col min="15383" max="15383" width="4.42578125" style="498" customWidth="1"/>
    <col min="15384" max="15384" width="5.5703125" style="498" customWidth="1"/>
    <col min="15385" max="15385" width="3.5703125" style="498" customWidth="1"/>
    <col min="15386" max="15386" width="4" style="498" customWidth="1"/>
    <col min="15387" max="15387" width="4.5703125" style="498" customWidth="1"/>
    <col min="15388" max="15390" width="4.42578125" style="498" customWidth="1"/>
    <col min="15391" max="15392" width="4.5703125" style="498" customWidth="1"/>
    <col min="15393" max="15393" width="4" style="498" customWidth="1"/>
    <col min="15394" max="15394" width="4.5703125" style="498" customWidth="1"/>
    <col min="15395" max="15395" width="6" style="498" customWidth="1"/>
    <col min="15396" max="15396" width="8.5703125" style="498" customWidth="1"/>
    <col min="15397" max="15616" width="11.42578125" style="498"/>
    <col min="15617" max="15617" width="6.42578125" style="498" customWidth="1"/>
    <col min="15618" max="15618" width="47.5703125" style="498" customWidth="1"/>
    <col min="15619" max="15620" width="5" style="498" customWidth="1"/>
    <col min="15621" max="15621" width="5.42578125" style="498" customWidth="1"/>
    <col min="15622" max="15622" width="4.5703125" style="498" customWidth="1"/>
    <col min="15623" max="15624" width="4.42578125" style="498" customWidth="1"/>
    <col min="15625" max="15625" width="3.5703125" style="498" customWidth="1"/>
    <col min="15626" max="15626" width="5" style="498" customWidth="1"/>
    <col min="15627" max="15627" width="4" style="498" customWidth="1"/>
    <col min="15628" max="15629" width="4.5703125" style="498" customWidth="1"/>
    <col min="15630" max="15630" width="4.42578125" style="498" customWidth="1"/>
    <col min="15631" max="15631" width="4" style="498" customWidth="1"/>
    <col min="15632" max="15632" width="3.5703125" style="498" customWidth="1"/>
    <col min="15633" max="15634" width="4.5703125" style="498" customWidth="1"/>
    <col min="15635" max="15635" width="4" style="498" customWidth="1"/>
    <col min="15636" max="15637" width="4.42578125" style="498" customWidth="1"/>
    <col min="15638" max="15638" width="3.5703125" style="498" customWidth="1"/>
    <col min="15639" max="15639" width="4.42578125" style="498" customWidth="1"/>
    <col min="15640" max="15640" width="5.5703125" style="498" customWidth="1"/>
    <col min="15641" max="15641" width="3.5703125" style="498" customWidth="1"/>
    <col min="15642" max="15642" width="4" style="498" customWidth="1"/>
    <col min="15643" max="15643" width="4.5703125" style="498" customWidth="1"/>
    <col min="15644" max="15646" width="4.42578125" style="498" customWidth="1"/>
    <col min="15647" max="15648" width="4.5703125" style="498" customWidth="1"/>
    <col min="15649" max="15649" width="4" style="498" customWidth="1"/>
    <col min="15650" max="15650" width="4.5703125" style="498" customWidth="1"/>
    <col min="15651" max="15651" width="6" style="498" customWidth="1"/>
    <col min="15652" max="15652" width="8.5703125" style="498" customWidth="1"/>
    <col min="15653" max="15872" width="11.42578125" style="498"/>
    <col min="15873" max="15873" width="6.42578125" style="498" customWidth="1"/>
    <col min="15874" max="15874" width="47.5703125" style="498" customWidth="1"/>
    <col min="15875" max="15876" width="5" style="498" customWidth="1"/>
    <col min="15877" max="15877" width="5.42578125" style="498" customWidth="1"/>
    <col min="15878" max="15878" width="4.5703125" style="498" customWidth="1"/>
    <col min="15879" max="15880" width="4.42578125" style="498" customWidth="1"/>
    <col min="15881" max="15881" width="3.5703125" style="498" customWidth="1"/>
    <col min="15882" max="15882" width="5" style="498" customWidth="1"/>
    <col min="15883" max="15883" width="4" style="498" customWidth="1"/>
    <col min="15884" max="15885" width="4.5703125" style="498" customWidth="1"/>
    <col min="15886" max="15886" width="4.42578125" style="498" customWidth="1"/>
    <col min="15887" max="15887" width="4" style="498" customWidth="1"/>
    <col min="15888" max="15888" width="3.5703125" style="498" customWidth="1"/>
    <col min="15889" max="15890" width="4.5703125" style="498" customWidth="1"/>
    <col min="15891" max="15891" width="4" style="498" customWidth="1"/>
    <col min="15892" max="15893" width="4.42578125" style="498" customWidth="1"/>
    <col min="15894" max="15894" width="3.5703125" style="498" customWidth="1"/>
    <col min="15895" max="15895" width="4.42578125" style="498" customWidth="1"/>
    <col min="15896" max="15896" width="5.5703125" style="498" customWidth="1"/>
    <col min="15897" max="15897" width="3.5703125" style="498" customWidth="1"/>
    <col min="15898" max="15898" width="4" style="498" customWidth="1"/>
    <col min="15899" max="15899" width="4.5703125" style="498" customWidth="1"/>
    <col min="15900" max="15902" width="4.42578125" style="498" customWidth="1"/>
    <col min="15903" max="15904" width="4.5703125" style="498" customWidth="1"/>
    <col min="15905" max="15905" width="4" style="498" customWidth="1"/>
    <col min="15906" max="15906" width="4.5703125" style="498" customWidth="1"/>
    <col min="15907" max="15907" width="6" style="498" customWidth="1"/>
    <col min="15908" max="15908" width="8.5703125" style="498" customWidth="1"/>
    <col min="15909" max="16128" width="11.42578125" style="498"/>
    <col min="16129" max="16129" width="6.42578125" style="498" customWidth="1"/>
    <col min="16130" max="16130" width="47.5703125" style="498" customWidth="1"/>
    <col min="16131" max="16132" width="5" style="498" customWidth="1"/>
    <col min="16133" max="16133" width="5.42578125" style="498" customWidth="1"/>
    <col min="16134" max="16134" width="4.5703125" style="498" customWidth="1"/>
    <col min="16135" max="16136" width="4.42578125" style="498" customWidth="1"/>
    <col min="16137" max="16137" width="3.5703125" style="498" customWidth="1"/>
    <col min="16138" max="16138" width="5" style="498" customWidth="1"/>
    <col min="16139" max="16139" width="4" style="498" customWidth="1"/>
    <col min="16140" max="16141" width="4.5703125" style="498" customWidth="1"/>
    <col min="16142" max="16142" width="4.42578125" style="498" customWidth="1"/>
    <col min="16143" max="16143" width="4" style="498" customWidth="1"/>
    <col min="16144" max="16144" width="3.5703125" style="498" customWidth="1"/>
    <col min="16145" max="16146" width="4.5703125" style="498" customWidth="1"/>
    <col min="16147" max="16147" width="4" style="498" customWidth="1"/>
    <col min="16148" max="16149" width="4.42578125" style="498" customWidth="1"/>
    <col min="16150" max="16150" width="3.5703125" style="498" customWidth="1"/>
    <col min="16151" max="16151" width="4.42578125" style="498" customWidth="1"/>
    <col min="16152" max="16152" width="5.5703125" style="498" customWidth="1"/>
    <col min="16153" max="16153" width="3.5703125" style="498" customWidth="1"/>
    <col min="16154" max="16154" width="4" style="498" customWidth="1"/>
    <col min="16155" max="16155" width="4.5703125" style="498" customWidth="1"/>
    <col min="16156" max="16158" width="4.42578125" style="498" customWidth="1"/>
    <col min="16159" max="16160" width="4.5703125" style="498" customWidth="1"/>
    <col min="16161" max="16161" width="4" style="498" customWidth="1"/>
    <col min="16162" max="16162" width="4.5703125" style="498" customWidth="1"/>
    <col min="16163" max="16163" width="6" style="498" customWidth="1"/>
    <col min="16164" max="16164" width="8.5703125" style="498" customWidth="1"/>
    <col min="16165" max="16384" width="11.42578125" style="498"/>
  </cols>
  <sheetData>
    <row r="1" spans="1:43">
      <c r="A1" s="2213" t="s">
        <v>283</v>
      </c>
      <c r="B1" s="2213"/>
      <c r="C1" s="2213"/>
      <c r="D1" s="2213"/>
      <c r="E1" s="2213"/>
      <c r="F1" s="2213"/>
      <c r="G1" s="2213"/>
      <c r="H1" s="2213"/>
      <c r="I1" s="2213"/>
      <c r="J1" s="2213"/>
      <c r="K1" s="2213"/>
      <c r="L1" s="2213"/>
      <c r="M1" s="2213"/>
      <c r="N1" s="2213"/>
      <c r="O1" s="2213"/>
      <c r="P1" s="2213"/>
      <c r="Q1" s="2213"/>
      <c r="R1" s="2213"/>
      <c r="S1" s="2213"/>
      <c r="T1" s="2213"/>
      <c r="U1" s="2213"/>
      <c r="V1" s="2213"/>
      <c r="W1" s="2213"/>
      <c r="X1" s="2213"/>
    </row>
    <row r="2" spans="1:43">
      <c r="A2" s="2214" t="s">
        <v>1803</v>
      </c>
      <c r="B2" s="2214"/>
      <c r="C2" s="2214"/>
      <c r="D2" s="2214"/>
      <c r="E2" s="2214"/>
      <c r="F2" s="2214"/>
      <c r="G2" s="2214"/>
      <c r="H2" s="2214"/>
      <c r="I2" s="2214"/>
      <c r="J2" s="2214"/>
      <c r="K2" s="2214"/>
      <c r="L2" s="2214"/>
      <c r="M2" s="2214"/>
      <c r="N2" s="2214"/>
      <c r="O2" s="2214"/>
      <c r="P2" s="2214"/>
      <c r="Q2" s="2214"/>
      <c r="R2" s="2214"/>
      <c r="S2" s="2214"/>
      <c r="T2" s="2214"/>
      <c r="U2" s="2214"/>
      <c r="V2" s="2214"/>
      <c r="W2" s="2214"/>
      <c r="X2" s="2214"/>
    </row>
    <row r="3" spans="1:43">
      <c r="A3" s="549"/>
    </row>
    <row r="4" spans="1:43">
      <c r="A4" s="551"/>
      <c r="B4" s="2215" t="s">
        <v>1800</v>
      </c>
      <c r="C4" s="2215"/>
      <c r="D4" s="2215"/>
      <c r="E4" s="2215"/>
      <c r="F4" s="2215"/>
      <c r="G4" s="2215"/>
      <c r="H4" s="2215"/>
      <c r="I4" s="2215"/>
      <c r="J4" s="2215"/>
      <c r="K4" s="2215"/>
      <c r="L4" s="2215"/>
    </row>
    <row r="5" spans="1:43" ht="12.75" customHeight="1">
      <c r="A5" s="551"/>
      <c r="B5" s="2216" t="e">
        <f>#REF!</f>
        <v>#REF!</v>
      </c>
      <c r="C5" s="2217"/>
      <c r="D5" s="2217"/>
      <c r="E5" s="2217"/>
      <c r="F5" s="2217"/>
      <c r="G5" s="2217"/>
      <c r="H5" s="2217"/>
      <c r="I5" s="2217"/>
      <c r="J5" s="2217"/>
      <c r="K5" s="2217"/>
      <c r="L5" s="2217"/>
      <c r="M5" s="2217"/>
      <c r="N5" s="2217"/>
      <c r="O5" s="2217"/>
      <c r="P5" s="2217"/>
      <c r="Q5" s="2217"/>
      <c r="R5" s="2217"/>
      <c r="S5" s="2217"/>
      <c r="T5" s="2217"/>
      <c r="U5" s="2217"/>
      <c r="V5" s="2217"/>
      <c r="W5" s="2217"/>
      <c r="X5" s="2217"/>
      <c r="Y5" s="2217"/>
      <c r="Z5" s="2217"/>
      <c r="AA5" s="2217"/>
    </row>
    <row r="6" spans="1:43" ht="13.5" customHeight="1">
      <c r="B6" s="553"/>
      <c r="C6" s="500"/>
    </row>
    <row r="7" spans="1:43" ht="13.5" customHeight="1" thickBot="1">
      <c r="B7" s="553"/>
      <c r="C7" s="500"/>
      <c r="Q7" s="2220" t="s">
        <v>284</v>
      </c>
      <c r="R7" s="2220"/>
      <c r="S7" s="2220"/>
      <c r="T7" s="2220"/>
      <c r="U7" s="2220"/>
      <c r="V7" s="2220"/>
      <c r="W7" s="2221">
        <v>42857</v>
      </c>
      <c r="X7" s="2221"/>
      <c r="Y7" s="2221"/>
      <c r="Z7" s="2221"/>
    </row>
    <row r="8" spans="1:43" ht="13.5" customHeight="1" thickBot="1">
      <c r="B8" s="553"/>
      <c r="C8" s="500"/>
      <c r="D8" s="871" t="s">
        <v>1991</v>
      </c>
      <c r="E8" s="871" t="s">
        <v>1992</v>
      </c>
      <c r="F8" s="871" t="s">
        <v>1984</v>
      </c>
      <c r="G8" s="871" t="s">
        <v>1985</v>
      </c>
      <c r="H8" s="871" t="s">
        <v>1986</v>
      </c>
      <c r="I8" s="871" t="s">
        <v>1987</v>
      </c>
      <c r="J8" s="871" t="s">
        <v>1988</v>
      </c>
      <c r="K8" s="871" t="s">
        <v>1989</v>
      </c>
      <c r="L8" s="871" t="s">
        <v>1990</v>
      </c>
      <c r="M8" s="871" t="s">
        <v>1984</v>
      </c>
      <c r="N8" s="871" t="s">
        <v>1985</v>
      </c>
      <c r="O8" s="871" t="s">
        <v>1986</v>
      </c>
      <c r="P8" s="871" t="s">
        <v>1987</v>
      </c>
      <c r="Q8" s="871" t="s">
        <v>1988</v>
      </c>
      <c r="R8" s="871" t="s">
        <v>1989</v>
      </c>
      <c r="S8" s="871" t="s">
        <v>1990</v>
      </c>
      <c r="T8" s="871" t="s">
        <v>1984</v>
      </c>
      <c r="U8" s="871" t="s">
        <v>1985</v>
      </c>
      <c r="V8" s="871" t="s">
        <v>1986</v>
      </c>
      <c r="W8" s="871" t="s">
        <v>1987</v>
      </c>
      <c r="X8" s="871" t="s">
        <v>1988</v>
      </c>
      <c r="Y8" s="871" t="s">
        <v>1989</v>
      </c>
      <c r="Z8" s="871" t="s">
        <v>1990</v>
      </c>
      <c r="AA8" s="871" t="s">
        <v>1984</v>
      </c>
      <c r="AB8" s="871" t="s">
        <v>1985</v>
      </c>
      <c r="AC8" s="871" t="s">
        <v>1986</v>
      </c>
      <c r="AD8" s="871" t="s">
        <v>1987</v>
      </c>
      <c r="AE8" s="871" t="s">
        <v>1988</v>
      </c>
      <c r="AF8" s="871" t="s">
        <v>1989</v>
      </c>
      <c r="AG8" s="871" t="s">
        <v>1990</v>
      </c>
      <c r="AH8" s="871" t="s">
        <v>1984</v>
      </c>
      <c r="AI8" s="871"/>
      <c r="AJ8" s="2222" t="s">
        <v>1982</v>
      </c>
      <c r="AK8" s="2223"/>
      <c r="AL8" s="2223"/>
      <c r="AM8" s="2224"/>
      <c r="AN8" s="2222" t="s">
        <v>1983</v>
      </c>
      <c r="AO8" s="2223"/>
      <c r="AP8" s="2223"/>
      <c r="AQ8" s="2224"/>
    </row>
    <row r="9" spans="1:43" ht="13.5" thickBot="1">
      <c r="A9" s="2218" t="s">
        <v>285</v>
      </c>
      <c r="B9" s="2218" t="s">
        <v>20</v>
      </c>
      <c r="C9" s="501"/>
      <c r="D9" s="502">
        <v>1</v>
      </c>
      <c r="E9" s="736">
        <f t="shared" ref="E9:AH9" si="0">+D9+1</f>
        <v>2</v>
      </c>
      <c r="F9" s="502">
        <f t="shared" si="0"/>
        <v>3</v>
      </c>
      <c r="G9" s="502">
        <f t="shared" si="0"/>
        <v>4</v>
      </c>
      <c r="H9" s="502">
        <f t="shared" si="0"/>
        <v>5</v>
      </c>
      <c r="I9" s="502">
        <f t="shared" si="0"/>
        <v>6</v>
      </c>
      <c r="J9" s="502">
        <f t="shared" si="0"/>
        <v>7</v>
      </c>
      <c r="K9" s="502">
        <f t="shared" si="0"/>
        <v>8</v>
      </c>
      <c r="L9" s="736">
        <f t="shared" si="0"/>
        <v>9</v>
      </c>
      <c r="M9" s="502">
        <f t="shared" si="0"/>
        <v>10</v>
      </c>
      <c r="N9" s="502">
        <f t="shared" si="0"/>
        <v>11</v>
      </c>
      <c r="O9" s="502">
        <f t="shared" si="0"/>
        <v>12</v>
      </c>
      <c r="P9" s="502">
        <f t="shared" si="0"/>
        <v>13</v>
      </c>
      <c r="Q9" s="502">
        <f t="shared" si="0"/>
        <v>14</v>
      </c>
      <c r="R9" s="502">
        <f t="shared" si="0"/>
        <v>15</v>
      </c>
      <c r="S9" s="736">
        <f t="shared" si="0"/>
        <v>16</v>
      </c>
      <c r="T9" s="502">
        <f t="shared" si="0"/>
        <v>17</v>
      </c>
      <c r="U9" s="502">
        <f t="shared" si="0"/>
        <v>18</v>
      </c>
      <c r="V9" s="502">
        <f t="shared" si="0"/>
        <v>19</v>
      </c>
      <c r="W9" s="502">
        <f t="shared" si="0"/>
        <v>20</v>
      </c>
      <c r="X9" s="502">
        <f t="shared" si="0"/>
        <v>21</v>
      </c>
      <c r="Y9" s="502">
        <f t="shared" si="0"/>
        <v>22</v>
      </c>
      <c r="Z9" s="736">
        <f t="shared" si="0"/>
        <v>23</v>
      </c>
      <c r="AA9" s="502">
        <f t="shared" si="0"/>
        <v>24</v>
      </c>
      <c r="AB9" s="502">
        <f t="shared" si="0"/>
        <v>25</v>
      </c>
      <c r="AC9" s="502">
        <f t="shared" si="0"/>
        <v>26</v>
      </c>
      <c r="AD9" s="503">
        <f t="shared" si="0"/>
        <v>27</v>
      </c>
      <c r="AE9" s="762">
        <f t="shared" si="0"/>
        <v>28</v>
      </c>
      <c r="AF9" s="503">
        <f t="shared" si="0"/>
        <v>29</v>
      </c>
      <c r="AG9" s="736">
        <f t="shared" si="0"/>
        <v>30</v>
      </c>
      <c r="AH9" s="503">
        <f t="shared" si="0"/>
        <v>31</v>
      </c>
      <c r="AI9" s="504" t="s">
        <v>359</v>
      </c>
      <c r="AJ9" s="865" t="s">
        <v>26</v>
      </c>
      <c r="AK9" s="866" t="s">
        <v>1822</v>
      </c>
      <c r="AL9" s="866" t="s">
        <v>1821</v>
      </c>
      <c r="AM9" s="867" t="s">
        <v>25</v>
      </c>
      <c r="AN9" s="865" t="s">
        <v>26</v>
      </c>
      <c r="AO9" s="866" t="s">
        <v>1822</v>
      </c>
      <c r="AP9" s="866" t="s">
        <v>1821</v>
      </c>
      <c r="AQ9" s="867" t="s">
        <v>25</v>
      </c>
    </row>
    <row r="10" spans="1:43" ht="13.5" thickBot="1">
      <c r="A10" s="2219"/>
      <c r="B10" s="2219"/>
      <c r="C10" s="506" t="s">
        <v>286</v>
      </c>
      <c r="D10" s="507" t="s">
        <v>305</v>
      </c>
      <c r="E10" s="737" t="s">
        <v>305</v>
      </c>
      <c r="F10" s="507" t="s">
        <v>305</v>
      </c>
      <c r="G10" s="507" t="s">
        <v>305</v>
      </c>
      <c r="H10" s="507" t="s">
        <v>305</v>
      </c>
      <c r="I10" s="507" t="s">
        <v>305</v>
      </c>
      <c r="J10" s="507" t="s">
        <v>305</v>
      </c>
      <c r="K10" s="507" t="s">
        <v>305</v>
      </c>
      <c r="L10" s="737" t="s">
        <v>305</v>
      </c>
      <c r="M10" s="507" t="s">
        <v>305</v>
      </c>
      <c r="N10" s="507" t="s">
        <v>305</v>
      </c>
      <c r="O10" s="507" t="s">
        <v>305</v>
      </c>
      <c r="P10" s="507" t="s">
        <v>305</v>
      </c>
      <c r="Q10" s="507" t="s">
        <v>305</v>
      </c>
      <c r="R10" s="507" t="s">
        <v>305</v>
      </c>
      <c r="S10" s="737" t="s">
        <v>305</v>
      </c>
      <c r="T10" s="507" t="s">
        <v>305</v>
      </c>
      <c r="U10" s="507" t="s">
        <v>305</v>
      </c>
      <c r="V10" s="507" t="s">
        <v>305</v>
      </c>
      <c r="W10" s="507" t="s">
        <v>305</v>
      </c>
      <c r="X10" s="507" t="s">
        <v>305</v>
      </c>
      <c r="Y10" s="507" t="s">
        <v>305</v>
      </c>
      <c r="Z10" s="737" t="s">
        <v>305</v>
      </c>
      <c r="AA10" s="507" t="s">
        <v>305</v>
      </c>
      <c r="AB10" s="507" t="s">
        <v>305</v>
      </c>
      <c r="AC10" s="507" t="s">
        <v>305</v>
      </c>
      <c r="AD10" s="508" t="s">
        <v>305</v>
      </c>
      <c r="AE10" s="763" t="s">
        <v>305</v>
      </c>
      <c r="AF10" s="508" t="s">
        <v>305</v>
      </c>
      <c r="AG10" s="737" t="s">
        <v>305</v>
      </c>
      <c r="AH10" s="507" t="s">
        <v>305</v>
      </c>
      <c r="AI10" s="509" t="s">
        <v>287</v>
      </c>
      <c r="AJ10" s="505"/>
      <c r="AN10" s="505"/>
    </row>
    <row r="11" spans="1:43" s="518" customFormat="1">
      <c r="A11" s="559" t="s">
        <v>514</v>
      </c>
      <c r="B11" s="560" t="s">
        <v>1804</v>
      </c>
      <c r="C11" s="558"/>
      <c r="D11" s="510"/>
      <c r="E11" s="738"/>
      <c r="F11" s="511"/>
      <c r="G11" s="511"/>
      <c r="H11" s="511"/>
      <c r="I11" s="512"/>
      <c r="J11" s="512"/>
      <c r="K11" s="512"/>
      <c r="L11" s="740"/>
      <c r="M11" s="512"/>
      <c r="N11" s="512"/>
      <c r="O11" s="512"/>
      <c r="P11" s="512"/>
      <c r="Q11" s="512"/>
      <c r="R11" s="512"/>
      <c r="S11" s="740"/>
      <c r="T11" s="512"/>
      <c r="U11" s="512"/>
      <c r="V11" s="512"/>
      <c r="W11" s="512"/>
      <c r="X11" s="512"/>
      <c r="Y11" s="512"/>
      <c r="Z11" s="740"/>
      <c r="AA11" s="512"/>
      <c r="AB11" s="513"/>
      <c r="AC11" s="513"/>
      <c r="AD11" s="513"/>
      <c r="AE11" s="809"/>
      <c r="AF11" s="514"/>
      <c r="AG11" s="756"/>
      <c r="AH11" s="514"/>
      <c r="AI11" s="515">
        <f>SUM(D11:AH11)</f>
        <v>0</v>
      </c>
      <c r="AJ11" s="516">
        <v>0</v>
      </c>
      <c r="AK11" s="517">
        <f>AI11-AJ11</f>
        <v>0</v>
      </c>
      <c r="AN11" s="516">
        <v>0</v>
      </c>
      <c r="AO11" s="517">
        <f>AM11-AN11</f>
        <v>0</v>
      </c>
    </row>
    <row r="12" spans="1:43" s="500" customFormat="1">
      <c r="A12" s="539" t="s">
        <v>515</v>
      </c>
      <c r="B12" s="279" t="s">
        <v>34</v>
      </c>
      <c r="C12" s="529"/>
      <c r="D12" s="519"/>
      <c r="E12" s="726"/>
      <c r="F12" s="520"/>
      <c r="G12" s="520"/>
      <c r="H12" s="520"/>
      <c r="I12" s="521"/>
      <c r="J12" s="521"/>
      <c r="K12" s="521"/>
      <c r="L12" s="725"/>
      <c r="M12" s="521"/>
      <c r="N12" s="521"/>
      <c r="O12" s="521"/>
      <c r="P12" s="521"/>
      <c r="Q12" s="521"/>
      <c r="R12" s="521"/>
      <c r="S12" s="725"/>
      <c r="T12" s="521"/>
      <c r="U12" s="521"/>
      <c r="V12" s="521"/>
      <c r="W12" s="521"/>
      <c r="X12" s="521"/>
      <c r="Y12" s="521"/>
      <c r="Z12" s="725"/>
      <c r="AA12" s="521"/>
      <c r="AB12" s="522"/>
      <c r="AC12" s="522"/>
      <c r="AD12" s="514"/>
      <c r="AE12" s="764"/>
      <c r="AF12" s="514"/>
      <c r="AG12" s="756"/>
      <c r="AH12" s="514"/>
      <c r="AI12" s="515">
        <f>SUM(D12:AH12)</f>
        <v>0</v>
      </c>
      <c r="AJ12" s="523">
        <v>0</v>
      </c>
      <c r="AK12" s="517">
        <f>AI12-AJ12</f>
        <v>0</v>
      </c>
      <c r="AN12" s="523">
        <v>0</v>
      </c>
      <c r="AO12" s="517">
        <f>AM12-AN12</f>
        <v>0</v>
      </c>
    </row>
    <row r="13" spans="1:43" s="500" customFormat="1">
      <c r="A13" s="539" t="s">
        <v>1805</v>
      </c>
      <c r="B13" s="279" t="s">
        <v>1820</v>
      </c>
      <c r="C13" s="524" t="s">
        <v>40</v>
      </c>
      <c r="D13" s="519">
        <v>15</v>
      </c>
      <c r="E13" s="743"/>
      <c r="F13" s="519">
        <v>20</v>
      </c>
      <c r="G13" s="519">
        <v>20</v>
      </c>
      <c r="H13" s="519">
        <v>20</v>
      </c>
      <c r="I13" s="519">
        <v>20</v>
      </c>
      <c r="J13" s="519">
        <v>20</v>
      </c>
      <c r="K13" s="519">
        <v>15</v>
      </c>
      <c r="L13" s="743"/>
      <c r="M13" s="519">
        <v>20</v>
      </c>
      <c r="N13" s="519">
        <v>20</v>
      </c>
      <c r="O13" s="519">
        <v>20</v>
      </c>
      <c r="P13" s="519">
        <v>20</v>
      </c>
      <c r="Q13" s="519">
        <v>20</v>
      </c>
      <c r="R13" s="519">
        <v>15</v>
      </c>
      <c r="S13" s="743"/>
      <c r="T13" s="519">
        <v>20</v>
      </c>
      <c r="U13" s="519">
        <v>20</v>
      </c>
      <c r="V13" s="519">
        <v>20</v>
      </c>
      <c r="W13" s="519">
        <v>20</v>
      </c>
      <c r="X13" s="519">
        <v>20</v>
      </c>
      <c r="Y13" s="519">
        <v>15</v>
      </c>
      <c r="Z13" s="743"/>
      <c r="AA13" s="519">
        <v>20</v>
      </c>
      <c r="AB13" s="519">
        <v>20</v>
      </c>
      <c r="AC13" s="519">
        <v>20</v>
      </c>
      <c r="AD13" s="519">
        <v>20</v>
      </c>
      <c r="AE13" s="771"/>
      <c r="AF13" s="519">
        <v>15</v>
      </c>
      <c r="AG13" s="743"/>
      <c r="AH13" s="522">
        <v>21.93</v>
      </c>
      <c r="AI13" s="515">
        <f>SUM(D13:AH13)</f>
        <v>476.93</v>
      </c>
      <c r="AJ13" s="523">
        <v>1088.27</v>
      </c>
      <c r="AK13" s="517">
        <f>AI13+AJ13</f>
        <v>1565.2</v>
      </c>
      <c r="AL13" s="500">
        <f>1.3*1204</f>
        <v>1565.2</v>
      </c>
      <c r="AM13" s="517">
        <f>AL13-AK13</f>
        <v>0</v>
      </c>
      <c r="AN13" s="523">
        <v>1088.27</v>
      </c>
      <c r="AO13" s="517">
        <f>AM13+AN13</f>
        <v>1088.27</v>
      </c>
      <c r="AP13" s="500">
        <f>1.3*1204</f>
        <v>1565.2</v>
      </c>
      <c r="AQ13" s="517">
        <f>AP13-AO13</f>
        <v>476.93000000000006</v>
      </c>
    </row>
    <row r="14" spans="1:43" s="500" customFormat="1">
      <c r="A14" s="539" t="s">
        <v>1929</v>
      </c>
      <c r="B14" s="752" t="s">
        <v>1935</v>
      </c>
      <c r="C14" s="746" t="s">
        <v>40</v>
      </c>
      <c r="D14" s="520"/>
      <c r="E14" s="726"/>
      <c r="F14" s="864">
        <v>14</v>
      </c>
      <c r="G14" s="864">
        <v>14</v>
      </c>
      <c r="H14" s="520"/>
      <c r="I14" s="521">
        <v>14</v>
      </c>
      <c r="J14" s="812"/>
      <c r="K14" s="521"/>
      <c r="L14" s="725"/>
      <c r="M14" s="836"/>
      <c r="N14" s="527"/>
      <c r="O14" s="772"/>
      <c r="P14" s="772">
        <v>21</v>
      </c>
      <c r="Q14" s="772"/>
      <c r="R14" s="521"/>
      <c r="S14" s="725"/>
      <c r="T14" s="521"/>
      <c r="U14" s="521"/>
      <c r="V14" s="521"/>
      <c r="W14" s="521"/>
      <c r="X14" s="521"/>
      <c r="Y14" s="521"/>
      <c r="Z14" s="725"/>
      <c r="AA14" s="521"/>
      <c r="AB14" s="521"/>
      <c r="AC14" s="521"/>
      <c r="AD14" s="521"/>
      <c r="AE14" s="772"/>
      <c r="AF14" s="521"/>
      <c r="AG14" s="725"/>
      <c r="AH14" s="734"/>
      <c r="AI14" s="515">
        <f>SUM(D14:AH14)</f>
        <v>63</v>
      </c>
      <c r="AJ14" s="523">
        <v>339.27</v>
      </c>
      <c r="AK14" s="517">
        <f>AI14+AJ14</f>
        <v>402.27</v>
      </c>
      <c r="AL14" s="500">
        <v>1204.5</v>
      </c>
      <c r="AM14" s="517">
        <f t="shared" ref="AM14:AM17" si="1">AL14-AK14</f>
        <v>802.23</v>
      </c>
      <c r="AN14" s="523">
        <v>339.27</v>
      </c>
      <c r="AO14" s="517">
        <f>AM14+AN14</f>
        <v>1141.5</v>
      </c>
      <c r="AP14" s="500">
        <v>1204.5</v>
      </c>
      <c r="AQ14" s="517">
        <f t="shared" ref="AQ14:AQ17" si="2">AP14-AO14</f>
        <v>63</v>
      </c>
    </row>
    <row r="15" spans="1:43">
      <c r="A15" s="539" t="s">
        <v>1931</v>
      </c>
      <c r="B15" s="752" t="s">
        <v>1936</v>
      </c>
      <c r="C15" s="746" t="s">
        <v>40</v>
      </c>
      <c r="D15" s="520"/>
      <c r="E15" s="726"/>
      <c r="F15" s="520"/>
      <c r="G15" s="520"/>
      <c r="H15" s="520"/>
      <c r="I15" s="521"/>
      <c r="J15" s="521"/>
      <c r="K15" s="521"/>
      <c r="L15" s="725"/>
      <c r="M15" s="521"/>
      <c r="N15" s="772">
        <v>29</v>
      </c>
      <c r="O15" s="521"/>
      <c r="P15" s="521"/>
      <c r="Q15" s="521"/>
      <c r="R15" s="521"/>
      <c r="S15" s="725"/>
      <c r="T15" s="521"/>
      <c r="U15" s="521"/>
      <c r="V15" s="521"/>
      <c r="W15" s="521"/>
      <c r="X15" s="521"/>
      <c r="Y15" s="505"/>
      <c r="Z15" s="807"/>
      <c r="AA15" s="521"/>
      <c r="AB15" s="521"/>
      <c r="AC15" s="521"/>
      <c r="AD15" s="521"/>
      <c r="AE15" s="772"/>
      <c r="AF15" s="521"/>
      <c r="AG15" s="725"/>
      <c r="AH15" s="734"/>
      <c r="AI15" s="515">
        <f t="shared" ref="AI15:AI16" si="3">SUM(D15:AH15)</f>
        <v>29</v>
      </c>
      <c r="AJ15" s="523">
        <v>340.27</v>
      </c>
      <c r="AK15" s="517">
        <f t="shared" ref="AK15:AK18" si="4">AI15+AJ15</f>
        <v>369.27</v>
      </c>
      <c r="AL15" s="500">
        <v>1205.5</v>
      </c>
      <c r="AM15" s="517">
        <f t="shared" si="1"/>
        <v>836.23</v>
      </c>
      <c r="AN15" s="523">
        <v>340.27</v>
      </c>
      <c r="AO15" s="517">
        <f t="shared" ref="AO15:AO18" si="5">AM15+AN15</f>
        <v>1176.5</v>
      </c>
      <c r="AP15" s="500">
        <v>1205.5</v>
      </c>
      <c r="AQ15" s="517">
        <f t="shared" si="2"/>
        <v>29</v>
      </c>
    </row>
    <row r="16" spans="1:43" s="500" customFormat="1">
      <c r="A16" s="539" t="s">
        <v>1932</v>
      </c>
      <c r="B16" s="752" t="s">
        <v>1937</v>
      </c>
      <c r="C16" s="746" t="s">
        <v>40</v>
      </c>
      <c r="D16" s="524"/>
      <c r="E16" s="726"/>
      <c r="F16" s="520"/>
      <c r="G16" s="520"/>
      <c r="H16" s="520"/>
      <c r="I16" s="521"/>
      <c r="J16" s="521"/>
      <c r="K16" s="521"/>
      <c r="L16" s="725"/>
      <c r="M16" s="521"/>
      <c r="N16" s="772">
        <v>8</v>
      </c>
      <c r="O16" s="521"/>
      <c r="P16" s="521"/>
      <c r="Q16" s="521"/>
      <c r="R16" s="521"/>
      <c r="S16" s="725"/>
      <c r="T16" s="521"/>
      <c r="U16" s="521"/>
      <c r="V16" s="521"/>
      <c r="W16" s="521"/>
      <c r="X16" s="521"/>
      <c r="Y16" s="521"/>
      <c r="Z16" s="725"/>
      <c r="AA16" s="521"/>
      <c r="AB16" s="521"/>
      <c r="AC16" s="521"/>
      <c r="AD16" s="521"/>
      <c r="AE16" s="772"/>
      <c r="AF16" s="521"/>
      <c r="AG16" s="725"/>
      <c r="AH16" s="734"/>
      <c r="AI16" s="515">
        <f t="shared" si="3"/>
        <v>8</v>
      </c>
      <c r="AJ16" s="523">
        <v>341.27</v>
      </c>
      <c r="AK16" s="517">
        <f t="shared" si="4"/>
        <v>349.27</v>
      </c>
      <c r="AL16" s="500">
        <v>1206.5</v>
      </c>
      <c r="AM16" s="517">
        <f t="shared" si="1"/>
        <v>857.23</v>
      </c>
      <c r="AN16" s="523">
        <v>341.27</v>
      </c>
      <c r="AO16" s="517">
        <f t="shared" si="5"/>
        <v>1198.5</v>
      </c>
      <c r="AP16" s="500">
        <v>1206.5</v>
      </c>
      <c r="AQ16" s="517">
        <f t="shared" si="2"/>
        <v>8</v>
      </c>
    </row>
    <row r="17" spans="1:43" s="500" customFormat="1">
      <c r="A17" s="539" t="s">
        <v>1933</v>
      </c>
      <c r="B17" s="752" t="s">
        <v>1939</v>
      </c>
      <c r="C17" s="746" t="s">
        <v>1938</v>
      </c>
      <c r="E17" s="726"/>
      <c r="F17" s="520"/>
      <c r="G17" s="520"/>
      <c r="H17" s="520"/>
      <c r="I17" s="521"/>
      <c r="J17" s="521"/>
      <c r="K17" s="521"/>
      <c r="L17" s="725"/>
      <c r="M17" s="521"/>
      <c r="N17" s="521"/>
      <c r="O17" s="521"/>
      <c r="P17" s="521"/>
      <c r="Q17" s="521"/>
      <c r="R17" s="521"/>
      <c r="S17" s="725"/>
      <c r="T17" s="521"/>
      <c r="U17" s="521"/>
      <c r="V17" s="521"/>
      <c r="W17" s="521"/>
      <c r="X17" s="521"/>
      <c r="Y17" s="521"/>
      <c r="Z17" s="725"/>
      <c r="AA17" s="521"/>
      <c r="AB17" s="521"/>
      <c r="AC17" s="521"/>
      <c r="AD17" s="521"/>
      <c r="AE17" s="810"/>
      <c r="AF17" s="521"/>
      <c r="AG17" s="725"/>
      <c r="AH17" s="734"/>
      <c r="AI17" s="515">
        <f>SUM(E17:AH17)</f>
        <v>0</v>
      </c>
      <c r="AJ17" s="523">
        <v>342.27</v>
      </c>
      <c r="AK17" s="517">
        <f t="shared" si="4"/>
        <v>342.27</v>
      </c>
      <c r="AL17" s="500">
        <v>1207.5</v>
      </c>
      <c r="AM17" s="517">
        <f t="shared" si="1"/>
        <v>865.23</v>
      </c>
      <c r="AN17" s="523">
        <v>342.27</v>
      </c>
      <c r="AO17" s="517">
        <f t="shared" si="5"/>
        <v>1207.5</v>
      </c>
      <c r="AP17" s="500">
        <v>1207.5</v>
      </c>
      <c r="AQ17" s="517">
        <f t="shared" si="2"/>
        <v>0</v>
      </c>
    </row>
    <row r="18" spans="1:43" s="500" customFormat="1">
      <c r="A18" s="539" t="s">
        <v>1934</v>
      </c>
      <c r="B18" s="752" t="s">
        <v>1930</v>
      </c>
      <c r="C18" s="747" t="s">
        <v>40</v>
      </c>
      <c r="D18" s="748"/>
      <c r="E18" s="749"/>
      <c r="F18" s="748"/>
      <c r="G18" s="748"/>
      <c r="H18" s="748"/>
      <c r="I18" s="750"/>
      <c r="J18" s="750"/>
      <c r="K18" s="750"/>
      <c r="L18" s="751"/>
      <c r="M18" s="750"/>
      <c r="N18" s="750"/>
      <c r="O18" s="750"/>
      <c r="P18" s="750"/>
      <c r="Q18" s="750"/>
      <c r="R18" s="750"/>
      <c r="S18" s="751"/>
      <c r="T18" s="750"/>
      <c r="U18" s="750"/>
      <c r="V18" s="750"/>
      <c r="W18" s="750"/>
      <c r="X18" s="750"/>
      <c r="Y18" s="750"/>
      <c r="Z18" s="751"/>
      <c r="AA18" s="750"/>
      <c r="AB18" s="750"/>
      <c r="AC18" s="750"/>
      <c r="AD18" s="750"/>
      <c r="AE18" s="773"/>
      <c r="AF18" s="750"/>
      <c r="AG18" s="751"/>
      <c r="AH18" s="734"/>
      <c r="AI18" s="515">
        <f t="shared" ref="AI18:AI64" si="6">SUM(D18:AH18)</f>
        <v>0</v>
      </c>
      <c r="AJ18" s="523">
        <v>340.27</v>
      </c>
      <c r="AK18" s="517">
        <f t="shared" si="4"/>
        <v>340.27</v>
      </c>
      <c r="AL18" s="500">
        <v>1204.5</v>
      </c>
      <c r="AM18" s="517">
        <f>AL18-AK18</f>
        <v>864.23</v>
      </c>
      <c r="AN18" s="523">
        <v>340.27</v>
      </c>
      <c r="AO18" s="517">
        <f t="shared" si="5"/>
        <v>1204.5</v>
      </c>
      <c r="AP18" s="500">
        <v>1204.5</v>
      </c>
      <c r="AQ18" s="517">
        <f>AP18-AO18</f>
        <v>0</v>
      </c>
    </row>
    <row r="19" spans="1:43" s="500" customFormat="1">
      <c r="A19" s="539" t="s">
        <v>1940</v>
      </c>
      <c r="B19" s="752" t="s">
        <v>1944</v>
      </c>
      <c r="C19" s="747" t="s">
        <v>1943</v>
      </c>
      <c r="D19" s="748"/>
      <c r="E19" s="749"/>
      <c r="F19" s="748"/>
      <c r="G19" s="748"/>
      <c r="H19" s="748"/>
      <c r="I19" s="750"/>
      <c r="J19" s="750"/>
      <c r="K19" s="750"/>
      <c r="L19" s="751"/>
      <c r="M19" s="750"/>
      <c r="N19" s="750"/>
      <c r="O19" s="750"/>
      <c r="P19" s="750"/>
      <c r="Q19" s="521"/>
      <c r="R19" s="521"/>
      <c r="S19" s="751"/>
      <c r="T19" s="750"/>
      <c r="U19" s="750"/>
      <c r="V19" s="750"/>
      <c r="W19" s="750"/>
      <c r="X19" s="750"/>
      <c r="Y19" s="750"/>
      <c r="Z19" s="751"/>
      <c r="AA19" s="750"/>
      <c r="AB19" s="750"/>
      <c r="AC19" s="750"/>
      <c r="AD19" s="750"/>
      <c r="AE19" s="773"/>
      <c r="AF19" s="750"/>
      <c r="AG19" s="751"/>
      <c r="AH19" s="734"/>
      <c r="AI19" s="515">
        <f t="shared" si="6"/>
        <v>0</v>
      </c>
      <c r="AJ19" s="758"/>
      <c r="AK19" s="517"/>
      <c r="AM19" s="517"/>
    </row>
    <row r="20" spans="1:43" s="500" customFormat="1">
      <c r="A20" s="539" t="s">
        <v>1941</v>
      </c>
      <c r="B20" s="752" t="s">
        <v>1945</v>
      </c>
      <c r="C20" s="747" t="s">
        <v>1943</v>
      </c>
      <c r="D20" s="748"/>
      <c r="E20" s="749"/>
      <c r="F20" s="748"/>
      <c r="G20" s="748"/>
      <c r="H20" s="748"/>
      <c r="I20" s="750"/>
      <c r="J20" s="750"/>
      <c r="K20" s="750"/>
      <c r="L20" s="751"/>
      <c r="M20" s="750"/>
      <c r="N20" s="750"/>
      <c r="O20" s="750"/>
      <c r="P20" s="750"/>
      <c r="Q20" s="667"/>
      <c r="R20" s="521"/>
      <c r="S20" s="751"/>
      <c r="T20" s="750"/>
      <c r="U20" s="750"/>
      <c r="V20" s="750"/>
      <c r="W20" s="750"/>
      <c r="X20" s="750"/>
      <c r="Y20" s="750"/>
      <c r="Z20" s="751"/>
      <c r="AA20" s="750"/>
      <c r="AB20" s="750"/>
      <c r="AC20" s="750"/>
      <c r="AD20" s="750"/>
      <c r="AE20" s="773"/>
      <c r="AF20" s="750"/>
      <c r="AG20" s="751"/>
      <c r="AH20" s="734"/>
      <c r="AI20" s="515">
        <f t="shared" si="6"/>
        <v>0</v>
      </c>
      <c r="AJ20" s="758"/>
      <c r="AK20" s="517"/>
      <c r="AM20" s="517"/>
    </row>
    <row r="21" spans="1:43" s="500" customFormat="1">
      <c r="A21" s="539" t="s">
        <v>1942</v>
      </c>
      <c r="B21" s="752" t="s">
        <v>1946</v>
      </c>
      <c r="C21" s="747" t="s">
        <v>37</v>
      </c>
      <c r="D21" s="748"/>
      <c r="E21" s="749"/>
      <c r="F21" s="748"/>
      <c r="G21" s="748"/>
      <c r="H21" s="748"/>
      <c r="I21" s="750"/>
      <c r="J21" s="750"/>
      <c r="K21" s="750"/>
      <c r="L21" s="751"/>
      <c r="M21" s="750"/>
      <c r="N21" s="750"/>
      <c r="O21" s="750"/>
      <c r="P21" s="750"/>
      <c r="Q21" s="667"/>
      <c r="R21" s="521"/>
      <c r="S21" s="751"/>
      <c r="T21" s="750"/>
      <c r="U21" s="750"/>
      <c r="V21" s="750"/>
      <c r="W21" s="750"/>
      <c r="X21" s="750"/>
      <c r="Y21" s="750"/>
      <c r="Z21" s="751"/>
      <c r="AA21" s="750"/>
      <c r="AB21" s="750"/>
      <c r="AC21" s="750"/>
      <c r="AD21" s="750"/>
      <c r="AE21" s="773"/>
      <c r="AF21" s="750"/>
      <c r="AG21" s="751"/>
      <c r="AH21" s="734"/>
      <c r="AI21" s="515">
        <f>SUM(D21:AH21)</f>
        <v>0</v>
      </c>
      <c r="AJ21" s="758"/>
      <c r="AK21" s="517"/>
      <c r="AM21" s="517"/>
    </row>
    <row r="22" spans="1:43" s="500" customFormat="1">
      <c r="A22" s="539" t="s">
        <v>1993</v>
      </c>
      <c r="B22" s="752" t="s">
        <v>2006</v>
      </c>
      <c r="C22" s="747" t="s">
        <v>73</v>
      </c>
      <c r="D22" s="748"/>
      <c r="E22" s="749"/>
      <c r="F22" s="748"/>
      <c r="G22" s="748"/>
      <c r="H22" s="748"/>
      <c r="I22" s="750"/>
      <c r="J22" s="773"/>
      <c r="K22" s="773"/>
      <c r="L22" s="751"/>
      <c r="M22" s="750"/>
      <c r="N22" s="750"/>
      <c r="O22" s="750"/>
      <c r="P22" s="750"/>
      <c r="Q22" s="670"/>
      <c r="R22" s="527"/>
      <c r="S22" s="751"/>
      <c r="T22" s="750"/>
      <c r="U22" s="750"/>
      <c r="V22" s="750"/>
      <c r="W22" s="750"/>
      <c r="X22" s="750"/>
      <c r="Y22" s="750"/>
      <c r="Z22" s="751"/>
      <c r="AA22" s="750"/>
      <c r="AB22" s="750"/>
      <c r="AC22" s="750"/>
      <c r="AD22" s="750"/>
      <c r="AE22" s="773"/>
      <c r="AF22" s="750"/>
      <c r="AG22" s="751"/>
      <c r="AH22" s="734"/>
      <c r="AI22" s="515">
        <f>SUM(D22:AH22)</f>
        <v>0</v>
      </c>
      <c r="AJ22" s="758"/>
      <c r="AK22" s="517"/>
      <c r="AM22" s="517"/>
    </row>
    <row r="23" spans="1:43" s="500" customFormat="1">
      <c r="A23" s="539" t="s">
        <v>2004</v>
      </c>
      <c r="B23" s="752" t="s">
        <v>2005</v>
      </c>
      <c r="C23" s="747" t="s">
        <v>73</v>
      </c>
      <c r="D23" s="748"/>
      <c r="E23" s="749"/>
      <c r="F23" s="748"/>
      <c r="G23" s="748"/>
      <c r="H23" s="748"/>
      <c r="I23" s="750"/>
      <c r="J23" s="773"/>
      <c r="K23" s="773"/>
      <c r="L23" s="751"/>
      <c r="M23" s="750"/>
      <c r="N23" s="750"/>
      <c r="O23" s="750"/>
      <c r="P23" s="750"/>
      <c r="Q23" s="670"/>
      <c r="R23" s="527"/>
      <c r="S23" s="751"/>
      <c r="T23" s="750"/>
      <c r="U23" s="750"/>
      <c r="V23" s="750"/>
      <c r="W23" s="750"/>
      <c r="X23" s="750"/>
      <c r="Y23" s="750"/>
      <c r="Z23" s="751"/>
      <c r="AA23" s="750"/>
      <c r="AB23" s="750"/>
      <c r="AC23" s="750"/>
      <c r="AD23" s="750"/>
      <c r="AE23" s="773"/>
      <c r="AF23" s="750"/>
      <c r="AG23" s="751"/>
      <c r="AH23" s="734"/>
      <c r="AI23" s="515">
        <f>SUM(D23:AH23)</f>
        <v>0</v>
      </c>
      <c r="AJ23" s="758"/>
      <c r="AK23" s="517"/>
      <c r="AM23" s="517"/>
    </row>
    <row r="24" spans="1:43" s="500" customFormat="1">
      <c r="A24" s="539" t="s">
        <v>2008</v>
      </c>
      <c r="B24" s="752" t="s">
        <v>2009</v>
      </c>
      <c r="C24" s="747" t="s">
        <v>73</v>
      </c>
      <c r="D24" s="748"/>
      <c r="E24" s="749"/>
      <c r="F24" s="748"/>
      <c r="G24" s="748"/>
      <c r="H24" s="748"/>
      <c r="I24" s="750"/>
      <c r="J24" s="750"/>
      <c r="K24" s="750"/>
      <c r="L24" s="751"/>
      <c r="M24" s="750"/>
      <c r="N24" s="750"/>
      <c r="O24" s="750"/>
      <c r="P24" s="750"/>
      <c r="Q24" s="670"/>
      <c r="R24" s="527"/>
      <c r="S24" s="751"/>
      <c r="T24" s="750"/>
      <c r="U24" s="750"/>
      <c r="V24" s="750"/>
      <c r="W24" s="750"/>
      <c r="X24" s="750"/>
      <c r="Y24" s="750"/>
      <c r="Z24" s="751"/>
      <c r="AA24" s="750"/>
      <c r="AB24" s="750"/>
      <c r="AC24" s="750"/>
      <c r="AD24" s="750"/>
      <c r="AE24" s="773"/>
      <c r="AF24" s="750"/>
      <c r="AG24" s="751"/>
      <c r="AH24" s="734"/>
      <c r="AI24" s="515"/>
      <c r="AJ24" s="758"/>
      <c r="AK24" s="517"/>
      <c r="AM24" s="517"/>
    </row>
    <row r="25" spans="1:43" s="500" customFormat="1">
      <c r="A25" s="539" t="s">
        <v>2010</v>
      </c>
      <c r="B25" s="752" t="s">
        <v>2011</v>
      </c>
      <c r="C25" s="747" t="s">
        <v>73</v>
      </c>
      <c r="D25" s="748"/>
      <c r="E25" s="749"/>
      <c r="F25" s="748"/>
      <c r="G25" s="748"/>
      <c r="H25" s="748"/>
      <c r="I25" s="750"/>
      <c r="J25" s="750"/>
      <c r="K25" s="750"/>
      <c r="L25" s="751"/>
      <c r="M25" s="750"/>
      <c r="N25" s="750"/>
      <c r="O25" s="750"/>
      <c r="P25" s="750"/>
      <c r="Q25" s="670"/>
      <c r="R25" s="527"/>
      <c r="S25" s="751"/>
      <c r="T25" s="750"/>
      <c r="U25" s="750"/>
      <c r="V25" s="750"/>
      <c r="W25" s="750"/>
      <c r="X25" s="750"/>
      <c r="Y25" s="750"/>
      <c r="Z25" s="751"/>
      <c r="AA25" s="750"/>
      <c r="AB25" s="750"/>
      <c r="AC25" s="750"/>
      <c r="AD25" s="750"/>
      <c r="AE25" s="773"/>
      <c r="AF25" s="750"/>
      <c r="AG25" s="751"/>
      <c r="AH25" s="734"/>
      <c r="AI25" s="515"/>
      <c r="AJ25" s="758"/>
      <c r="AK25" s="517"/>
      <c r="AM25" s="517"/>
    </row>
    <row r="26" spans="1:43" s="500" customFormat="1">
      <c r="A26" s="539" t="s">
        <v>2012</v>
      </c>
      <c r="B26" s="752" t="s">
        <v>2017</v>
      </c>
      <c r="C26" s="747" t="s">
        <v>73</v>
      </c>
      <c r="D26" s="748"/>
      <c r="E26" s="749"/>
      <c r="F26" s="748"/>
      <c r="G26" s="748"/>
      <c r="H26" s="748"/>
      <c r="I26" s="750"/>
      <c r="J26" s="750"/>
      <c r="K26" s="750"/>
      <c r="L26" s="751"/>
      <c r="M26" s="750"/>
      <c r="N26" s="750"/>
      <c r="O26" s="750"/>
      <c r="P26" s="750"/>
      <c r="Q26" s="670"/>
      <c r="R26" s="527"/>
      <c r="S26" s="751"/>
      <c r="T26" s="750"/>
      <c r="U26" s="750"/>
      <c r="V26" s="750"/>
      <c r="W26" s="750"/>
      <c r="X26" s="750"/>
      <c r="Y26" s="750"/>
      <c r="Z26" s="751"/>
      <c r="AA26" s="750"/>
      <c r="AB26" s="750"/>
      <c r="AC26" s="750"/>
      <c r="AD26" s="750"/>
      <c r="AE26" s="773"/>
      <c r="AF26" s="750"/>
      <c r="AG26" s="751"/>
      <c r="AH26" s="734"/>
      <c r="AI26" s="515"/>
      <c r="AJ26" s="758"/>
      <c r="AK26" s="517"/>
      <c r="AM26" s="517"/>
    </row>
    <row r="27" spans="1:43" s="500" customFormat="1">
      <c r="A27" s="539" t="s">
        <v>2014</v>
      </c>
      <c r="B27" s="752" t="s">
        <v>2013</v>
      </c>
      <c r="C27" s="747" t="s">
        <v>276</v>
      </c>
      <c r="D27" s="748"/>
      <c r="E27" s="749"/>
      <c r="F27" s="748"/>
      <c r="G27" s="748"/>
      <c r="H27" s="748"/>
      <c r="I27" s="750"/>
      <c r="J27" s="750"/>
      <c r="K27" s="750"/>
      <c r="L27" s="751"/>
      <c r="M27" s="750"/>
      <c r="N27" s="750"/>
      <c r="O27" s="750"/>
      <c r="P27" s="750"/>
      <c r="Q27" s="670"/>
      <c r="R27" s="527"/>
      <c r="S27" s="751"/>
      <c r="T27" s="750"/>
      <c r="U27" s="750"/>
      <c r="V27" s="750"/>
      <c r="W27" s="750"/>
      <c r="X27" s="750"/>
      <c r="Y27" s="750"/>
      <c r="Z27" s="751"/>
      <c r="AA27" s="750"/>
      <c r="AB27" s="750"/>
      <c r="AC27" s="750"/>
      <c r="AD27" s="750"/>
      <c r="AE27" s="773"/>
      <c r="AF27" s="750"/>
      <c r="AG27" s="751"/>
      <c r="AH27" s="734"/>
      <c r="AI27" s="515"/>
      <c r="AJ27" s="758"/>
      <c r="AK27" s="517"/>
      <c r="AM27" s="517"/>
    </row>
    <row r="28" spans="1:43" s="500" customFormat="1">
      <c r="A28" s="539" t="s">
        <v>2016</v>
      </c>
      <c r="B28" s="752" t="s">
        <v>2015</v>
      </c>
      <c r="C28" s="747" t="s">
        <v>276</v>
      </c>
      <c r="D28" s="748"/>
      <c r="E28" s="749"/>
      <c r="F28" s="748"/>
      <c r="G28" s="748"/>
      <c r="H28" s="748"/>
      <c r="I28" s="750"/>
      <c r="J28" s="750"/>
      <c r="K28" s="750"/>
      <c r="L28" s="751"/>
      <c r="M28" s="750"/>
      <c r="N28" s="750"/>
      <c r="O28" s="750"/>
      <c r="P28" s="750"/>
      <c r="Q28" s="670"/>
      <c r="R28" s="527"/>
      <c r="S28" s="751"/>
      <c r="T28" s="750"/>
      <c r="U28" s="750"/>
      <c r="V28" s="750"/>
      <c r="W28" s="750"/>
      <c r="X28" s="750"/>
      <c r="Y28" s="750"/>
      <c r="Z28" s="751"/>
      <c r="AA28" s="750"/>
      <c r="AB28" s="750"/>
      <c r="AC28" s="750"/>
      <c r="AD28" s="750"/>
      <c r="AE28" s="773"/>
      <c r="AF28" s="750"/>
      <c r="AG28" s="751"/>
      <c r="AH28" s="734"/>
      <c r="AI28" s="515"/>
      <c r="AJ28" s="758"/>
      <c r="AK28" s="517"/>
      <c r="AM28" s="517"/>
    </row>
    <row r="29" spans="1:43" s="500" customFormat="1">
      <c r="A29" s="539" t="s">
        <v>2018</v>
      </c>
      <c r="B29" s="752" t="s">
        <v>2019</v>
      </c>
      <c r="C29" s="747" t="s">
        <v>73</v>
      </c>
      <c r="D29" s="748"/>
      <c r="E29" s="749"/>
      <c r="F29" s="748"/>
      <c r="G29" s="748"/>
      <c r="H29" s="748"/>
      <c r="I29" s="750"/>
      <c r="J29" s="750"/>
      <c r="K29" s="750"/>
      <c r="L29" s="751"/>
      <c r="M29" s="750"/>
      <c r="N29" s="750"/>
      <c r="O29" s="750"/>
      <c r="P29" s="750"/>
      <c r="Q29" s="670"/>
      <c r="R29" s="527"/>
      <c r="S29" s="751"/>
      <c r="T29" s="750"/>
      <c r="U29" s="750"/>
      <c r="V29" s="750"/>
      <c r="W29" s="750"/>
      <c r="X29" s="750"/>
      <c r="Y29" s="750"/>
      <c r="Z29" s="751"/>
      <c r="AA29" s="750"/>
      <c r="AB29" s="750"/>
      <c r="AC29" s="750"/>
      <c r="AD29" s="750"/>
      <c r="AE29" s="773"/>
      <c r="AF29" s="750"/>
      <c r="AG29" s="751"/>
      <c r="AH29" s="734"/>
      <c r="AI29" s="515"/>
      <c r="AJ29" s="758"/>
      <c r="AK29" s="517"/>
      <c r="AM29" s="517"/>
    </row>
    <row r="30" spans="1:43" s="500" customFormat="1">
      <c r="A30" s="539" t="s">
        <v>2020</v>
      </c>
      <c r="B30" s="752" t="s">
        <v>2021</v>
      </c>
      <c r="C30" s="747" t="s">
        <v>73</v>
      </c>
      <c r="D30" s="748"/>
      <c r="E30" s="749"/>
      <c r="F30" s="748"/>
      <c r="G30" s="748"/>
      <c r="H30" s="748"/>
      <c r="I30" s="750"/>
      <c r="J30" s="750"/>
      <c r="K30" s="750"/>
      <c r="L30" s="751"/>
      <c r="M30" s="750"/>
      <c r="N30" s="750"/>
      <c r="O30" s="750"/>
      <c r="P30" s="750"/>
      <c r="Q30" s="670"/>
      <c r="R30" s="527"/>
      <c r="S30" s="751"/>
      <c r="T30" s="750"/>
      <c r="U30" s="750"/>
      <c r="V30" s="750"/>
      <c r="W30" s="750"/>
      <c r="X30" s="750"/>
      <c r="Y30" s="750"/>
      <c r="Z30" s="751"/>
      <c r="AA30" s="750"/>
      <c r="AB30" s="750"/>
      <c r="AC30" s="750"/>
      <c r="AD30" s="750"/>
      <c r="AE30" s="773"/>
      <c r="AF30" s="750"/>
      <c r="AG30" s="751"/>
      <c r="AH30" s="734"/>
      <c r="AI30" s="515"/>
      <c r="AJ30" s="758"/>
      <c r="AK30" s="517"/>
      <c r="AM30" s="517"/>
    </row>
    <row r="31" spans="1:43" s="500" customFormat="1">
      <c r="A31" s="539" t="s">
        <v>2022</v>
      </c>
      <c r="B31" s="752" t="s">
        <v>2025</v>
      </c>
      <c r="C31" s="747" t="s">
        <v>73</v>
      </c>
      <c r="D31" s="748"/>
      <c r="E31" s="749"/>
      <c r="F31" s="748"/>
      <c r="G31" s="748"/>
      <c r="H31" s="748"/>
      <c r="I31" s="750"/>
      <c r="J31" s="750"/>
      <c r="K31" s="750"/>
      <c r="L31" s="751"/>
      <c r="M31" s="750"/>
      <c r="N31" s="750"/>
      <c r="O31" s="750"/>
      <c r="P31" s="750"/>
      <c r="Q31" s="670"/>
      <c r="R31" s="527"/>
      <c r="S31" s="751"/>
      <c r="T31" s="750"/>
      <c r="U31" s="750"/>
      <c r="V31" s="750"/>
      <c r="W31" s="750"/>
      <c r="X31" s="750"/>
      <c r="Y31" s="750"/>
      <c r="Z31" s="751"/>
      <c r="AA31" s="750"/>
      <c r="AB31" s="750"/>
      <c r="AC31" s="750"/>
      <c r="AD31" s="750"/>
      <c r="AE31" s="773"/>
      <c r="AF31" s="750"/>
      <c r="AG31" s="751"/>
      <c r="AH31" s="734"/>
      <c r="AI31" s="515"/>
      <c r="AJ31" s="758"/>
      <c r="AK31" s="517"/>
      <c r="AM31" s="517"/>
    </row>
    <row r="32" spans="1:43" s="500" customFormat="1">
      <c r="A32" s="539" t="s">
        <v>2023</v>
      </c>
      <c r="B32" s="752" t="s">
        <v>2034</v>
      </c>
      <c r="C32" s="747" t="s">
        <v>73</v>
      </c>
      <c r="D32" s="748"/>
      <c r="E32" s="749"/>
      <c r="F32" s="748"/>
      <c r="G32" s="748"/>
      <c r="H32" s="748"/>
      <c r="I32" s="750"/>
      <c r="J32" s="750"/>
      <c r="K32" s="750"/>
      <c r="L32" s="751"/>
      <c r="M32" s="750"/>
      <c r="N32" s="750"/>
      <c r="O32" s="750"/>
      <c r="P32" s="750"/>
      <c r="Q32" s="670"/>
      <c r="R32" s="527"/>
      <c r="S32" s="751"/>
      <c r="T32" s="750"/>
      <c r="U32" s="750"/>
      <c r="V32" s="750"/>
      <c r="W32" s="750"/>
      <c r="X32" s="750"/>
      <c r="Y32" s="750"/>
      <c r="Z32" s="751"/>
      <c r="AA32" s="750"/>
      <c r="AB32" s="750"/>
      <c r="AC32" s="750"/>
      <c r="AD32" s="750"/>
      <c r="AE32" s="773"/>
      <c r="AF32" s="750"/>
      <c r="AG32" s="751"/>
      <c r="AH32" s="734"/>
      <c r="AI32" s="515"/>
      <c r="AJ32" s="758"/>
      <c r="AK32" s="517"/>
      <c r="AM32" s="517"/>
    </row>
    <row r="33" spans="1:39" s="500" customFormat="1">
      <c r="A33" s="539" t="s">
        <v>2026</v>
      </c>
      <c r="B33" s="752" t="s">
        <v>2024</v>
      </c>
      <c r="C33" s="747" t="s">
        <v>73</v>
      </c>
      <c r="D33" s="748"/>
      <c r="E33" s="749"/>
      <c r="F33" s="748"/>
      <c r="G33" s="748"/>
      <c r="H33" s="748"/>
      <c r="I33" s="750"/>
      <c r="J33" s="750"/>
      <c r="K33" s="750"/>
      <c r="L33" s="751"/>
      <c r="M33" s="750"/>
      <c r="N33" s="750"/>
      <c r="O33" s="750"/>
      <c r="P33" s="750"/>
      <c r="Q33" s="670"/>
      <c r="R33" s="527"/>
      <c r="S33" s="751"/>
      <c r="T33" s="750"/>
      <c r="U33" s="750"/>
      <c r="V33" s="750"/>
      <c r="W33" s="750"/>
      <c r="X33" s="750"/>
      <c r="Y33" s="750"/>
      <c r="Z33" s="751"/>
      <c r="AA33" s="750"/>
      <c r="AB33" s="750"/>
      <c r="AC33" s="750"/>
      <c r="AD33" s="750"/>
      <c r="AE33" s="773"/>
      <c r="AF33" s="750"/>
      <c r="AG33" s="751"/>
      <c r="AH33" s="734"/>
      <c r="AI33" s="515"/>
      <c r="AJ33" s="758"/>
      <c r="AK33" s="517"/>
      <c r="AM33" s="517"/>
    </row>
    <row r="34" spans="1:39" s="500" customFormat="1">
      <c r="A34" s="539" t="s">
        <v>2027</v>
      </c>
      <c r="B34" s="752" t="s">
        <v>2031</v>
      </c>
      <c r="C34" s="747" t="s">
        <v>2063</v>
      </c>
      <c r="D34" s="748"/>
      <c r="E34" s="749"/>
      <c r="F34" s="748"/>
      <c r="G34" s="748"/>
      <c r="H34" s="748"/>
      <c r="I34" s="750"/>
      <c r="J34" s="750"/>
      <c r="K34" s="750"/>
      <c r="L34" s="751"/>
      <c r="M34" s="750"/>
      <c r="N34" s="750"/>
      <c r="O34" s="750"/>
      <c r="P34" s="750"/>
      <c r="Q34" s="670"/>
      <c r="R34" s="527"/>
      <c r="S34" s="751"/>
      <c r="T34" s="750"/>
      <c r="U34" s="750"/>
      <c r="V34" s="750"/>
      <c r="W34" s="750"/>
      <c r="X34" s="750"/>
      <c r="Y34" s="750"/>
      <c r="Z34" s="751"/>
      <c r="AA34" s="750"/>
      <c r="AB34" s="750"/>
      <c r="AC34" s="750"/>
      <c r="AD34" s="750"/>
      <c r="AE34" s="773"/>
      <c r="AF34" s="750"/>
      <c r="AG34" s="751"/>
      <c r="AH34" s="734"/>
      <c r="AI34" s="515"/>
      <c r="AJ34" s="758"/>
      <c r="AK34" s="517"/>
      <c r="AM34" s="517"/>
    </row>
    <row r="35" spans="1:39" s="500" customFormat="1">
      <c r="A35" s="539" t="s">
        <v>2029</v>
      </c>
      <c r="B35" s="752" t="s">
        <v>2028</v>
      </c>
      <c r="C35" s="747" t="s">
        <v>276</v>
      </c>
      <c r="D35" s="748"/>
      <c r="E35" s="749"/>
      <c r="F35" s="748"/>
      <c r="G35" s="748"/>
      <c r="H35" s="748"/>
      <c r="I35" s="750"/>
      <c r="J35" s="750"/>
      <c r="K35" s="750"/>
      <c r="L35" s="751"/>
      <c r="M35" s="750"/>
      <c r="N35" s="750"/>
      <c r="O35" s="750"/>
      <c r="P35" s="750"/>
      <c r="Q35" s="670"/>
      <c r="R35" s="527"/>
      <c r="S35" s="751"/>
      <c r="T35" s="750"/>
      <c r="U35" s="750"/>
      <c r="V35" s="750"/>
      <c r="W35" s="750"/>
      <c r="X35" s="750"/>
      <c r="Y35" s="750"/>
      <c r="Z35" s="751"/>
      <c r="AA35" s="750"/>
      <c r="AB35" s="750"/>
      <c r="AC35" s="750"/>
      <c r="AD35" s="750"/>
      <c r="AE35" s="773"/>
      <c r="AF35" s="750"/>
      <c r="AG35" s="751"/>
      <c r="AH35" s="734"/>
      <c r="AI35" s="515"/>
      <c r="AJ35" s="758"/>
      <c r="AK35" s="517"/>
      <c r="AM35" s="517"/>
    </row>
    <row r="36" spans="1:39" s="500" customFormat="1">
      <c r="A36" s="539" t="s">
        <v>2032</v>
      </c>
      <c r="B36" s="752" t="s">
        <v>2030</v>
      </c>
      <c r="C36" s="747" t="s">
        <v>276</v>
      </c>
      <c r="D36" s="748"/>
      <c r="E36" s="749"/>
      <c r="F36" s="748"/>
      <c r="G36" s="748"/>
      <c r="H36" s="748"/>
      <c r="I36" s="750"/>
      <c r="J36" s="750"/>
      <c r="K36" s="750"/>
      <c r="L36" s="751"/>
      <c r="M36" s="750"/>
      <c r="N36" s="750"/>
      <c r="O36" s="750"/>
      <c r="P36" s="750"/>
      <c r="Q36" s="670"/>
      <c r="R36" s="527"/>
      <c r="S36" s="751"/>
      <c r="T36" s="750"/>
      <c r="U36" s="750"/>
      <c r="V36" s="750"/>
      <c r="W36" s="750"/>
      <c r="X36" s="750"/>
      <c r="Y36" s="750"/>
      <c r="Z36" s="751"/>
      <c r="AA36" s="750"/>
      <c r="AB36" s="750"/>
      <c r="AC36" s="750"/>
      <c r="AD36" s="750"/>
      <c r="AE36" s="773"/>
      <c r="AF36" s="750"/>
      <c r="AG36" s="751"/>
      <c r="AH36" s="734"/>
      <c r="AI36" s="515"/>
      <c r="AJ36" s="758"/>
      <c r="AK36" s="517"/>
      <c r="AM36" s="517"/>
    </row>
    <row r="37" spans="1:39" s="500" customFormat="1">
      <c r="A37" s="539" t="s">
        <v>2033</v>
      </c>
      <c r="B37" s="752" t="s">
        <v>2007</v>
      </c>
      <c r="C37" s="747" t="s">
        <v>2063</v>
      </c>
      <c r="D37" s="748"/>
      <c r="E37" s="749"/>
      <c r="F37" s="748"/>
      <c r="G37" s="748"/>
      <c r="H37" s="748"/>
      <c r="I37" s="750"/>
      <c r="J37" s="750"/>
      <c r="K37" s="750"/>
      <c r="L37" s="751"/>
      <c r="M37" s="750"/>
      <c r="N37" s="750"/>
      <c r="O37" s="750"/>
      <c r="P37" s="750"/>
      <c r="Q37" s="670"/>
      <c r="R37" s="527"/>
      <c r="S37" s="751"/>
      <c r="T37" s="750"/>
      <c r="U37" s="750"/>
      <c r="V37" s="750"/>
      <c r="W37" s="750"/>
      <c r="X37" s="750"/>
      <c r="Y37" s="750"/>
      <c r="Z37" s="751"/>
      <c r="AA37" s="750"/>
      <c r="AB37" s="750"/>
      <c r="AC37" s="750"/>
      <c r="AD37" s="750"/>
      <c r="AE37" s="773"/>
      <c r="AF37" s="750"/>
      <c r="AG37" s="751"/>
      <c r="AH37" s="734"/>
      <c r="AI37" s="515"/>
      <c r="AJ37" s="758"/>
      <c r="AK37" s="517"/>
      <c r="AM37" s="517"/>
    </row>
    <row r="38" spans="1:39" s="500" customFormat="1">
      <c r="A38" s="878" t="s">
        <v>2035</v>
      </c>
      <c r="B38" s="752" t="s">
        <v>1202</v>
      </c>
      <c r="C38" s="747"/>
      <c r="D38" s="748"/>
      <c r="E38" s="749"/>
      <c r="F38" s="748"/>
      <c r="G38" s="748"/>
      <c r="H38" s="748"/>
      <c r="I38" s="750"/>
      <c r="J38" s="750"/>
      <c r="K38" s="750"/>
      <c r="L38" s="751"/>
      <c r="M38" s="750"/>
      <c r="N38" s="750"/>
      <c r="O38" s="750"/>
      <c r="P38" s="750"/>
      <c r="Q38" s="667"/>
      <c r="R38" s="521"/>
      <c r="S38" s="751"/>
      <c r="T38" s="750"/>
      <c r="U38" s="750"/>
      <c r="V38" s="750"/>
      <c r="W38" s="750"/>
      <c r="X38" s="750"/>
      <c r="Y38" s="750"/>
      <c r="Z38" s="751"/>
      <c r="AA38" s="750"/>
      <c r="AB38" s="750"/>
      <c r="AC38" s="750"/>
      <c r="AD38" s="750"/>
      <c r="AE38" s="773"/>
      <c r="AF38" s="750"/>
      <c r="AG38" s="751"/>
      <c r="AH38" s="734"/>
      <c r="AI38" s="515">
        <f t="shared" si="6"/>
        <v>0</v>
      </c>
      <c r="AJ38" s="758"/>
      <c r="AK38" s="517"/>
      <c r="AM38" s="517"/>
    </row>
    <row r="39" spans="1:39" s="500" customFormat="1">
      <c r="A39" s="879" t="s">
        <v>2037</v>
      </c>
      <c r="B39" s="752" t="s">
        <v>1949</v>
      </c>
      <c r="C39" s="747"/>
      <c r="D39" s="748"/>
      <c r="E39" s="749"/>
      <c r="F39" s="748"/>
      <c r="G39" s="748"/>
      <c r="H39" s="748"/>
      <c r="I39" s="750"/>
      <c r="J39" s="750"/>
      <c r="K39" s="750"/>
      <c r="L39" s="751"/>
      <c r="M39" s="750"/>
      <c r="N39" s="750"/>
      <c r="O39" s="750"/>
      <c r="P39" s="750"/>
      <c r="Q39" s="667"/>
      <c r="R39" s="521"/>
      <c r="S39" s="751"/>
      <c r="T39" s="750"/>
      <c r="U39" s="750"/>
      <c r="V39" s="750"/>
      <c r="W39" s="750"/>
      <c r="X39" s="750"/>
      <c r="Y39" s="750"/>
      <c r="Z39" s="751"/>
      <c r="AA39" s="750"/>
      <c r="AB39" s="750"/>
      <c r="AC39" s="750"/>
      <c r="AD39" s="750"/>
      <c r="AE39" s="773"/>
      <c r="AF39" s="750"/>
      <c r="AG39" s="751"/>
      <c r="AH39" s="734"/>
      <c r="AI39" s="515">
        <f t="shared" si="6"/>
        <v>0</v>
      </c>
      <c r="AJ39" s="758"/>
      <c r="AK39" s="517"/>
      <c r="AM39" s="517"/>
    </row>
    <row r="40" spans="1:39" s="500" customFormat="1">
      <c r="A40" s="879" t="s">
        <v>2038</v>
      </c>
      <c r="B40" s="752" t="s">
        <v>1950</v>
      </c>
      <c r="C40" s="747" t="s">
        <v>40</v>
      </c>
      <c r="D40" s="748"/>
      <c r="E40" s="749"/>
      <c r="F40" s="748"/>
      <c r="G40" s="748"/>
      <c r="H40" s="748"/>
      <c r="I40" s="750"/>
      <c r="J40" s="750"/>
      <c r="K40" s="750"/>
      <c r="L40" s="751"/>
      <c r="M40" s="750"/>
      <c r="N40" s="750"/>
      <c r="O40" s="750"/>
      <c r="Q40" s="768"/>
      <c r="R40" s="521"/>
      <c r="S40" s="751"/>
      <c r="T40" s="750"/>
      <c r="U40" s="750"/>
      <c r="V40" s="750"/>
      <c r="W40" s="750"/>
      <c r="X40" s="750"/>
      <c r="Y40" s="750"/>
      <c r="Z40" s="751"/>
      <c r="AA40" s="750"/>
      <c r="AB40" s="750"/>
      <c r="AC40" s="750"/>
      <c r="AD40" s="750"/>
      <c r="AE40" s="773"/>
      <c r="AF40" s="750"/>
      <c r="AG40" s="751"/>
      <c r="AH40" s="734"/>
      <c r="AI40" s="515">
        <f t="shared" si="6"/>
        <v>0</v>
      </c>
      <c r="AJ40" s="758"/>
      <c r="AK40" s="517"/>
      <c r="AM40" s="517"/>
    </row>
    <row r="41" spans="1:39" s="500" customFormat="1">
      <c r="A41" s="879" t="s">
        <v>2039</v>
      </c>
      <c r="B41" s="752" t="s">
        <v>1994</v>
      </c>
      <c r="C41" s="747"/>
      <c r="D41" s="748"/>
      <c r="E41" s="749"/>
      <c r="F41" s="748"/>
      <c r="G41" s="748"/>
      <c r="H41" s="748"/>
      <c r="I41" s="750"/>
      <c r="J41" s="750"/>
      <c r="K41" s="750"/>
      <c r="L41" s="751"/>
      <c r="M41" s="750"/>
      <c r="N41" s="750"/>
      <c r="O41" s="750"/>
      <c r="Q41" s="768"/>
      <c r="R41" s="521"/>
      <c r="S41" s="751"/>
      <c r="T41" s="750"/>
      <c r="U41" s="750"/>
      <c r="V41" s="750"/>
      <c r="W41" s="750"/>
      <c r="X41" s="750"/>
      <c r="Y41" s="750"/>
      <c r="Z41" s="751"/>
      <c r="AA41" s="750"/>
      <c r="AB41" s="750"/>
      <c r="AC41" s="750"/>
      <c r="AD41" s="750"/>
      <c r="AE41" s="773"/>
      <c r="AF41" s="750"/>
      <c r="AG41" s="751"/>
      <c r="AH41" s="734"/>
      <c r="AI41" s="515"/>
      <c r="AJ41" s="758"/>
      <c r="AK41" s="517"/>
      <c r="AM41" s="517"/>
    </row>
    <row r="42" spans="1:39" s="500" customFormat="1">
      <c r="A42" s="879" t="s">
        <v>2040</v>
      </c>
      <c r="B42" s="752" t="s">
        <v>1995</v>
      </c>
      <c r="C42" s="747"/>
      <c r="D42" s="748"/>
      <c r="E42" s="749"/>
      <c r="F42" s="748"/>
      <c r="G42" s="748"/>
      <c r="H42" s="748"/>
      <c r="I42" s="750"/>
      <c r="J42" s="750"/>
      <c r="K42" s="750"/>
      <c r="L42" s="751"/>
      <c r="M42" s="750"/>
      <c r="N42" s="750"/>
      <c r="O42" s="750"/>
      <c r="Q42" s="768"/>
      <c r="R42" s="521"/>
      <c r="S42" s="751"/>
      <c r="T42" s="750"/>
      <c r="U42" s="750"/>
      <c r="V42" s="750"/>
      <c r="W42" s="750"/>
      <c r="X42" s="750"/>
      <c r="Y42" s="750"/>
      <c r="Z42" s="751"/>
      <c r="AA42" s="750"/>
      <c r="AB42" s="750"/>
      <c r="AC42" s="750"/>
      <c r="AD42" s="750"/>
      <c r="AE42" s="773"/>
      <c r="AF42" s="750"/>
      <c r="AG42" s="751"/>
      <c r="AH42" s="734"/>
      <c r="AI42" s="515"/>
      <c r="AJ42" s="758"/>
      <c r="AK42" s="517"/>
      <c r="AM42" s="517"/>
    </row>
    <row r="43" spans="1:39" s="500" customFormat="1">
      <c r="A43" s="879" t="s">
        <v>2042</v>
      </c>
      <c r="B43" s="752" t="s">
        <v>1996</v>
      </c>
      <c r="C43" s="747" t="s">
        <v>40</v>
      </c>
      <c r="D43" s="748"/>
      <c r="E43" s="749"/>
      <c r="F43" s="748"/>
      <c r="G43" s="748"/>
      <c r="H43" s="748"/>
      <c r="I43" s="750"/>
      <c r="J43" s="521"/>
      <c r="K43" s="773"/>
      <c r="L43" s="751"/>
      <c r="M43" s="750"/>
      <c r="N43" s="773"/>
      <c r="O43" s="773"/>
      <c r="Q43" s="768"/>
      <c r="R43" s="521"/>
      <c r="S43" s="751"/>
      <c r="T43" s="750"/>
      <c r="U43" s="750"/>
      <c r="V43" s="750"/>
      <c r="W43" s="750"/>
      <c r="X43" s="750"/>
      <c r="Y43" s="750"/>
      <c r="Z43" s="751"/>
      <c r="AA43" s="750"/>
      <c r="AB43" s="750"/>
      <c r="AC43" s="750"/>
      <c r="AD43" s="750"/>
      <c r="AE43" s="773"/>
      <c r="AF43" s="750"/>
      <c r="AG43" s="751"/>
      <c r="AH43" s="734"/>
      <c r="AI43" s="515"/>
      <c r="AJ43" s="758"/>
      <c r="AK43" s="517"/>
      <c r="AM43" s="517"/>
    </row>
    <row r="44" spans="1:39" s="500" customFormat="1">
      <c r="A44" s="879" t="s">
        <v>2043</v>
      </c>
      <c r="B44" s="752" t="s">
        <v>1997</v>
      </c>
      <c r="C44" s="747" t="s">
        <v>37</v>
      </c>
      <c r="D44" s="748"/>
      <c r="E44" s="749"/>
      <c r="F44" s="748"/>
      <c r="G44" s="748"/>
      <c r="H44" s="748"/>
      <c r="I44" s="750"/>
      <c r="J44" s="810"/>
      <c r="K44" s="750"/>
      <c r="L44" s="751"/>
      <c r="M44" s="750"/>
      <c r="N44" s="750"/>
      <c r="O44" s="750"/>
      <c r="Q44" s="768"/>
      <c r="R44" s="521"/>
      <c r="S44" s="751"/>
      <c r="T44" s="750"/>
      <c r="U44" s="750"/>
      <c r="V44" s="750"/>
      <c r="W44" s="750"/>
      <c r="X44" s="750"/>
      <c r="Y44" s="750"/>
      <c r="Z44" s="751"/>
      <c r="AA44" s="750"/>
      <c r="AB44" s="750"/>
      <c r="AC44" s="750"/>
      <c r="AD44" s="750"/>
      <c r="AE44" s="773"/>
      <c r="AF44" s="750"/>
      <c r="AG44" s="751"/>
      <c r="AH44" s="734"/>
      <c r="AI44" s="515"/>
      <c r="AJ44" s="758"/>
      <c r="AK44" s="517"/>
      <c r="AM44" s="517"/>
    </row>
    <row r="45" spans="1:39" s="500" customFormat="1">
      <c r="A45" s="879" t="s">
        <v>2044</v>
      </c>
      <c r="B45" s="752" t="s">
        <v>1998</v>
      </c>
      <c r="C45" s="747" t="s">
        <v>1938</v>
      </c>
      <c r="D45" s="748"/>
      <c r="E45" s="749"/>
      <c r="F45" s="748"/>
      <c r="G45" s="748"/>
      <c r="H45" s="748"/>
      <c r="I45" s="750"/>
      <c r="J45" s="773"/>
      <c r="K45" s="750"/>
      <c r="L45" s="751"/>
      <c r="M45" s="750"/>
      <c r="N45" s="750"/>
      <c r="O45" s="750"/>
      <c r="Q45" s="768"/>
      <c r="R45" s="521"/>
      <c r="S45" s="751"/>
      <c r="T45" s="750"/>
      <c r="U45" s="750"/>
      <c r="V45" s="750"/>
      <c r="W45" s="750"/>
      <c r="X45" s="750"/>
      <c r="Y45" s="750"/>
      <c r="Z45" s="751"/>
      <c r="AA45" s="750"/>
      <c r="AB45" s="750"/>
      <c r="AC45" s="750"/>
      <c r="AD45" s="750"/>
      <c r="AE45" s="773"/>
      <c r="AF45" s="750"/>
      <c r="AG45" s="751"/>
      <c r="AH45" s="734"/>
      <c r="AI45" s="515"/>
      <c r="AJ45" s="758"/>
      <c r="AK45" s="517"/>
      <c r="AM45" s="517"/>
    </row>
    <row r="46" spans="1:39" s="500" customFormat="1">
      <c r="A46" s="879" t="s">
        <v>2041</v>
      </c>
      <c r="B46" s="752" t="s">
        <v>1999</v>
      </c>
      <c r="C46" s="747"/>
      <c r="D46" s="748"/>
      <c r="E46" s="749"/>
      <c r="F46" s="748"/>
      <c r="G46" s="748"/>
      <c r="H46" s="748"/>
      <c r="I46" s="750"/>
      <c r="J46" s="750"/>
      <c r="K46" s="750"/>
      <c r="L46" s="751"/>
      <c r="M46" s="750"/>
      <c r="N46" s="750"/>
      <c r="O46" s="750"/>
      <c r="Q46" s="768"/>
      <c r="R46" s="521"/>
      <c r="S46" s="751"/>
      <c r="T46" s="750"/>
      <c r="U46" s="750"/>
      <c r="V46" s="750"/>
      <c r="W46" s="750"/>
      <c r="X46" s="750"/>
      <c r="Y46" s="750"/>
      <c r="Z46" s="751"/>
      <c r="AA46" s="750"/>
      <c r="AB46" s="750"/>
      <c r="AC46" s="750"/>
      <c r="AD46" s="750"/>
      <c r="AE46" s="773"/>
      <c r="AF46" s="750"/>
      <c r="AG46" s="751"/>
      <c r="AH46" s="734"/>
      <c r="AI46" s="515"/>
      <c r="AJ46" s="758"/>
      <c r="AK46" s="517"/>
      <c r="AM46" s="517"/>
    </row>
    <row r="47" spans="1:39" s="500" customFormat="1">
      <c r="A47" s="879" t="s">
        <v>2045</v>
      </c>
      <c r="B47" s="752" t="s">
        <v>2000</v>
      </c>
      <c r="C47" s="747" t="s">
        <v>40</v>
      </c>
      <c r="D47" s="748"/>
      <c r="E47" s="749"/>
      <c r="F47" s="748"/>
      <c r="G47" s="748"/>
      <c r="H47" s="748"/>
      <c r="I47" s="750"/>
      <c r="J47" s="750"/>
      <c r="K47" s="750"/>
      <c r="L47" s="751"/>
      <c r="M47" s="750"/>
      <c r="N47" s="773"/>
      <c r="O47" s="773"/>
      <c r="Q47" s="768"/>
      <c r="R47" s="521"/>
      <c r="S47" s="751"/>
      <c r="T47" s="750"/>
      <c r="U47" s="750"/>
      <c r="V47" s="750"/>
      <c r="W47" s="750"/>
      <c r="X47" s="750"/>
      <c r="Y47" s="750"/>
      <c r="Z47" s="751"/>
      <c r="AA47" s="750"/>
      <c r="AB47" s="750"/>
      <c r="AC47" s="750"/>
      <c r="AD47" s="750"/>
      <c r="AE47" s="773"/>
      <c r="AF47" s="750"/>
      <c r="AG47" s="751"/>
      <c r="AH47" s="734"/>
      <c r="AI47" s="515"/>
      <c r="AJ47" s="758"/>
      <c r="AK47" s="517"/>
      <c r="AM47" s="517"/>
    </row>
    <row r="48" spans="1:39" s="500" customFormat="1">
      <c r="A48" s="879" t="s">
        <v>2046</v>
      </c>
      <c r="B48" s="752" t="s">
        <v>2001</v>
      </c>
      <c r="C48" s="747" t="s">
        <v>37</v>
      </c>
      <c r="D48" s="748"/>
      <c r="E48" s="749"/>
      <c r="F48" s="748"/>
      <c r="G48" s="748"/>
      <c r="H48" s="748"/>
      <c r="I48" s="750"/>
      <c r="J48" s="773"/>
      <c r="K48" s="750"/>
      <c r="L48" s="751"/>
      <c r="M48" s="750"/>
      <c r="N48" s="750"/>
      <c r="O48" s="750"/>
      <c r="Q48" s="768"/>
      <c r="R48" s="521"/>
      <c r="S48" s="751"/>
      <c r="T48" s="750"/>
      <c r="U48" s="750"/>
      <c r="V48" s="750"/>
      <c r="W48" s="750"/>
      <c r="X48" s="750"/>
      <c r="Y48" s="750"/>
      <c r="Z48" s="751"/>
      <c r="AA48" s="750"/>
      <c r="AB48" s="750"/>
      <c r="AC48" s="750"/>
      <c r="AD48" s="750"/>
      <c r="AE48" s="773"/>
      <c r="AF48" s="750"/>
      <c r="AG48" s="751"/>
      <c r="AH48" s="734"/>
      <c r="AI48" s="515"/>
      <c r="AJ48" s="758"/>
      <c r="AK48" s="517"/>
      <c r="AM48" s="517"/>
    </row>
    <row r="49" spans="1:39" s="500" customFormat="1">
      <c r="A49" s="879" t="s">
        <v>2047</v>
      </c>
      <c r="B49" s="752" t="s">
        <v>2002</v>
      </c>
      <c r="C49" s="747" t="s">
        <v>1938</v>
      </c>
      <c r="D49" s="748"/>
      <c r="E49" s="749"/>
      <c r="F49" s="748"/>
      <c r="G49" s="748"/>
      <c r="H49" s="748"/>
      <c r="I49" s="750"/>
      <c r="J49" s="773"/>
      <c r="K49" s="750"/>
      <c r="L49" s="751"/>
      <c r="M49" s="750"/>
      <c r="N49" s="750"/>
      <c r="O49" s="750"/>
      <c r="Q49" s="768"/>
      <c r="R49" s="521"/>
      <c r="S49" s="751"/>
      <c r="T49" s="750"/>
      <c r="U49" s="750"/>
      <c r="V49" s="750"/>
      <c r="W49" s="750"/>
      <c r="X49" s="750"/>
      <c r="Y49" s="750"/>
      <c r="Z49" s="751"/>
      <c r="AA49" s="750"/>
      <c r="AB49" s="750"/>
      <c r="AC49" s="750"/>
      <c r="AD49" s="750"/>
      <c r="AE49" s="773"/>
      <c r="AF49" s="750"/>
      <c r="AG49" s="751"/>
      <c r="AH49" s="734"/>
      <c r="AI49" s="515"/>
      <c r="AJ49" s="758"/>
      <c r="AK49" s="517"/>
      <c r="AM49" s="517"/>
    </row>
    <row r="50" spans="1:39" s="500" customFormat="1">
      <c r="A50" s="878" t="s">
        <v>2036</v>
      </c>
      <c r="B50" s="752" t="s">
        <v>1209</v>
      </c>
      <c r="C50" s="747"/>
      <c r="D50" s="748"/>
      <c r="E50" s="749"/>
      <c r="F50" s="748"/>
      <c r="G50" s="748"/>
      <c r="H50" s="748"/>
      <c r="I50" s="750"/>
      <c r="J50" s="750"/>
      <c r="K50" s="750"/>
      <c r="L50" s="751"/>
      <c r="M50" s="750"/>
      <c r="N50" s="750"/>
      <c r="O50" s="750"/>
      <c r="P50" s="750"/>
      <c r="Q50" s="667"/>
      <c r="R50" s="521"/>
      <c r="S50" s="751"/>
      <c r="T50" s="750"/>
      <c r="U50" s="750"/>
      <c r="V50" s="750"/>
      <c r="W50" s="750"/>
      <c r="X50" s="750"/>
      <c r="Y50" s="750"/>
      <c r="Z50" s="751"/>
      <c r="AA50" s="750"/>
      <c r="AB50" s="750"/>
      <c r="AC50" s="750"/>
      <c r="AD50" s="750"/>
      <c r="AE50" s="773"/>
      <c r="AF50" s="750"/>
      <c r="AG50" s="751"/>
      <c r="AH50" s="734"/>
      <c r="AI50" s="515">
        <f t="shared" si="6"/>
        <v>0</v>
      </c>
      <c r="AJ50" s="758"/>
      <c r="AK50" s="517"/>
      <c r="AM50" s="517"/>
    </row>
    <row r="51" spans="1:39" s="500" customFormat="1">
      <c r="A51" s="879" t="s">
        <v>2048</v>
      </c>
      <c r="B51" s="752" t="s">
        <v>1949</v>
      </c>
      <c r="C51" s="747"/>
      <c r="D51" s="748"/>
      <c r="E51" s="749"/>
      <c r="F51" s="748"/>
      <c r="G51" s="748"/>
      <c r="H51" s="748"/>
      <c r="I51" s="750"/>
      <c r="J51" s="750"/>
      <c r="K51" s="750"/>
      <c r="L51" s="751"/>
      <c r="M51" s="750"/>
      <c r="N51" s="750"/>
      <c r="O51" s="750"/>
      <c r="P51" s="750"/>
      <c r="Q51" s="667"/>
      <c r="R51" s="521"/>
      <c r="S51" s="751"/>
      <c r="T51" s="750"/>
      <c r="U51" s="750"/>
      <c r="V51" s="750"/>
      <c r="W51" s="750"/>
      <c r="X51" s="750"/>
      <c r="Y51" s="750"/>
      <c r="Z51" s="751"/>
      <c r="AA51" s="750"/>
      <c r="AB51" s="750"/>
      <c r="AC51" s="750"/>
      <c r="AD51" s="750"/>
      <c r="AE51" s="773"/>
      <c r="AF51" s="750"/>
      <c r="AG51" s="751"/>
      <c r="AH51" s="734"/>
      <c r="AI51" s="515">
        <f t="shared" si="6"/>
        <v>0</v>
      </c>
      <c r="AJ51" s="758"/>
      <c r="AK51" s="517"/>
      <c r="AM51" s="517"/>
    </row>
    <row r="52" spans="1:39" s="500" customFormat="1">
      <c r="A52" s="879" t="s">
        <v>2050</v>
      </c>
      <c r="B52" s="752" t="s">
        <v>1950</v>
      </c>
      <c r="C52" s="747" t="s">
        <v>40</v>
      </c>
      <c r="D52" s="748"/>
      <c r="E52" s="749"/>
      <c r="F52" s="748"/>
      <c r="G52" s="748"/>
      <c r="H52" s="748"/>
      <c r="I52" s="750"/>
      <c r="J52" s="750"/>
      <c r="K52" s="750"/>
      <c r="L52" s="751"/>
      <c r="M52" s="750"/>
      <c r="N52" s="750"/>
      <c r="O52" s="750"/>
      <c r="P52" s="750"/>
      <c r="Q52" s="667"/>
      <c r="R52" s="521"/>
      <c r="S52" s="751"/>
      <c r="T52" s="750"/>
      <c r="U52" s="750"/>
      <c r="V52" s="750"/>
      <c r="W52" s="750"/>
      <c r="X52" s="750"/>
      <c r="Y52" s="750"/>
      <c r="Z52" s="751"/>
      <c r="AA52" s="750"/>
      <c r="AB52" s="750"/>
      <c r="AC52" s="750"/>
      <c r="AD52" s="750"/>
      <c r="AE52" s="773"/>
      <c r="AF52" s="750"/>
      <c r="AG52" s="751"/>
      <c r="AH52" s="734"/>
      <c r="AI52" s="515">
        <f t="shared" si="6"/>
        <v>0</v>
      </c>
      <c r="AJ52" s="758"/>
      <c r="AK52" s="517"/>
      <c r="AM52" s="517"/>
    </row>
    <row r="53" spans="1:39" s="500" customFormat="1">
      <c r="A53" s="879" t="s">
        <v>2049</v>
      </c>
      <c r="B53" s="752" t="s">
        <v>1994</v>
      </c>
      <c r="C53" s="747"/>
      <c r="D53" s="748"/>
      <c r="E53" s="749"/>
      <c r="F53" s="748"/>
      <c r="G53" s="748"/>
      <c r="H53" s="748"/>
      <c r="I53" s="750"/>
      <c r="J53" s="750"/>
      <c r="K53" s="750"/>
      <c r="L53" s="751"/>
      <c r="M53" s="750"/>
      <c r="N53" s="750"/>
      <c r="O53" s="750"/>
      <c r="P53" s="750"/>
      <c r="Q53" s="667"/>
      <c r="R53" s="734"/>
      <c r="S53" s="751"/>
      <c r="T53" s="750"/>
      <c r="U53" s="750"/>
      <c r="V53" s="750"/>
      <c r="W53" s="750"/>
      <c r="X53" s="750"/>
      <c r="Y53" s="750"/>
      <c r="Z53" s="751"/>
      <c r="AA53" s="750"/>
      <c r="AB53" s="750"/>
      <c r="AC53" s="750"/>
      <c r="AD53" s="750"/>
      <c r="AE53" s="773"/>
      <c r="AF53" s="750"/>
      <c r="AG53" s="751"/>
      <c r="AH53" s="734"/>
      <c r="AI53" s="515"/>
      <c r="AJ53" s="758"/>
      <c r="AK53" s="517"/>
      <c r="AM53" s="517"/>
    </row>
    <row r="54" spans="1:39" s="500" customFormat="1">
      <c r="A54" s="879" t="s">
        <v>2051</v>
      </c>
      <c r="B54" s="752" t="s">
        <v>1995</v>
      </c>
      <c r="C54" s="747"/>
      <c r="D54" s="748"/>
      <c r="E54" s="749"/>
      <c r="F54" s="748"/>
      <c r="G54" s="748"/>
      <c r="H54" s="748"/>
      <c r="I54" s="750"/>
      <c r="J54" s="521"/>
      <c r="K54" s="750"/>
      <c r="L54" s="751"/>
      <c r="M54" s="750"/>
      <c r="N54" s="750"/>
      <c r="O54" s="750"/>
      <c r="P54" s="750"/>
      <c r="Q54" s="667"/>
      <c r="R54" s="734"/>
      <c r="S54" s="751"/>
      <c r="T54" s="750"/>
      <c r="U54" s="750"/>
      <c r="V54" s="750"/>
      <c r="W54" s="750"/>
      <c r="X54" s="750"/>
      <c r="Y54" s="750"/>
      <c r="Z54" s="751"/>
      <c r="AA54" s="750"/>
      <c r="AB54" s="750"/>
      <c r="AC54" s="750"/>
      <c r="AD54" s="750"/>
      <c r="AE54" s="773"/>
      <c r="AF54" s="750"/>
      <c r="AG54" s="751"/>
      <c r="AH54" s="734"/>
      <c r="AI54" s="515"/>
      <c r="AJ54" s="758"/>
      <c r="AK54" s="517"/>
      <c r="AM54" s="517"/>
    </row>
    <row r="55" spans="1:39" s="500" customFormat="1">
      <c r="A55" s="879" t="s">
        <v>2053</v>
      </c>
      <c r="B55" s="752" t="s">
        <v>1996</v>
      </c>
      <c r="C55" s="747" t="s">
        <v>40</v>
      </c>
      <c r="D55" s="748"/>
      <c r="E55" s="749"/>
      <c r="F55" s="748"/>
      <c r="G55" s="748"/>
      <c r="H55" s="748"/>
      <c r="J55" s="773"/>
      <c r="K55" s="750"/>
      <c r="L55" s="751"/>
      <c r="M55" s="750"/>
      <c r="N55" s="750"/>
      <c r="O55" s="750"/>
      <c r="P55" s="750"/>
      <c r="Q55" s="667"/>
      <c r="R55" s="734"/>
      <c r="S55" s="751"/>
      <c r="T55" s="750"/>
      <c r="U55" s="750"/>
      <c r="V55" s="750"/>
      <c r="W55" s="750"/>
      <c r="X55" s="750"/>
      <c r="Y55" s="750"/>
      <c r="Z55" s="751"/>
      <c r="AA55" s="750"/>
      <c r="AB55" s="750"/>
      <c r="AC55" s="750"/>
      <c r="AD55" s="750"/>
      <c r="AE55" s="773"/>
      <c r="AF55" s="750"/>
      <c r="AG55" s="751"/>
      <c r="AH55" s="734"/>
      <c r="AI55" s="515"/>
      <c r="AJ55" s="758"/>
      <c r="AK55" s="517"/>
      <c r="AM55" s="517"/>
    </row>
    <row r="56" spans="1:39" s="500" customFormat="1">
      <c r="A56" s="879" t="s">
        <v>2054</v>
      </c>
      <c r="B56" s="752" t="s">
        <v>1997</v>
      </c>
      <c r="C56" s="747" t="s">
        <v>37</v>
      </c>
      <c r="D56" s="748"/>
      <c r="E56" s="749"/>
      <c r="F56" s="748"/>
      <c r="G56" s="748"/>
      <c r="I56" s="874"/>
      <c r="J56" s="750"/>
      <c r="K56" s="750"/>
      <c r="L56" s="751"/>
      <c r="M56" s="750"/>
      <c r="N56" s="750"/>
      <c r="O56" s="750"/>
      <c r="P56" s="750"/>
      <c r="Q56" s="667"/>
      <c r="R56" s="734"/>
      <c r="S56" s="751"/>
      <c r="T56" s="750"/>
      <c r="U56" s="750"/>
      <c r="V56" s="750"/>
      <c r="W56" s="750"/>
      <c r="X56" s="750"/>
      <c r="Y56" s="750"/>
      <c r="Z56" s="751"/>
      <c r="AA56" s="750"/>
      <c r="AB56" s="750"/>
      <c r="AC56" s="750"/>
      <c r="AD56" s="750"/>
      <c r="AE56" s="773"/>
      <c r="AF56" s="750"/>
      <c r="AG56" s="751"/>
      <c r="AH56" s="734"/>
      <c r="AI56" s="515"/>
      <c r="AJ56" s="758"/>
      <c r="AK56" s="517"/>
      <c r="AM56" s="517"/>
    </row>
    <row r="57" spans="1:39" s="500" customFormat="1">
      <c r="A57" s="879" t="s">
        <v>2055</v>
      </c>
      <c r="B57" s="752" t="s">
        <v>1998</v>
      </c>
      <c r="C57" s="747" t="s">
        <v>1938</v>
      </c>
      <c r="D57" s="748"/>
      <c r="E57" s="749"/>
      <c r="F57" s="748"/>
      <c r="G57" s="874"/>
      <c r="H57" s="748"/>
      <c r="I57" s="750"/>
      <c r="J57" s="750"/>
      <c r="K57" s="750"/>
      <c r="L57" s="751"/>
      <c r="M57" s="750"/>
      <c r="N57" s="750"/>
      <c r="O57" s="750"/>
      <c r="P57" s="750"/>
      <c r="Q57" s="667"/>
      <c r="R57" s="734"/>
      <c r="S57" s="751"/>
      <c r="T57" s="750"/>
      <c r="U57" s="750"/>
      <c r="V57" s="750"/>
      <c r="W57" s="750"/>
      <c r="X57" s="750"/>
      <c r="Y57" s="750"/>
      <c r="Z57" s="751"/>
      <c r="AA57" s="750"/>
      <c r="AB57" s="750"/>
      <c r="AC57" s="750"/>
      <c r="AD57" s="750"/>
      <c r="AE57" s="773"/>
      <c r="AF57" s="750"/>
      <c r="AG57" s="751"/>
      <c r="AH57" s="734"/>
      <c r="AI57" s="515"/>
      <c r="AJ57" s="758"/>
      <c r="AK57" s="517"/>
      <c r="AM57" s="517"/>
    </row>
    <row r="58" spans="1:39" s="500" customFormat="1">
      <c r="A58" s="879" t="s">
        <v>2052</v>
      </c>
      <c r="B58" s="752" t="s">
        <v>1999</v>
      </c>
      <c r="C58" s="747"/>
      <c r="D58" s="748"/>
      <c r="E58" s="749"/>
      <c r="F58" s="748"/>
      <c r="G58" s="748"/>
      <c r="H58" s="748"/>
      <c r="I58" s="750"/>
      <c r="J58" s="750"/>
      <c r="K58" s="750"/>
      <c r="L58" s="751"/>
      <c r="M58" s="750"/>
      <c r="N58" s="750"/>
      <c r="O58" s="750"/>
      <c r="P58" s="750"/>
      <c r="Q58" s="667"/>
      <c r="R58" s="734"/>
      <c r="S58" s="751"/>
      <c r="T58" s="750"/>
      <c r="U58" s="750"/>
      <c r="V58" s="750"/>
      <c r="W58" s="750"/>
      <c r="X58" s="750"/>
      <c r="Y58" s="750"/>
      <c r="Z58" s="751"/>
      <c r="AA58" s="750"/>
      <c r="AB58" s="750"/>
      <c r="AC58" s="750"/>
      <c r="AD58" s="750"/>
      <c r="AE58" s="773"/>
      <c r="AF58" s="750"/>
      <c r="AG58" s="751"/>
      <c r="AH58" s="734"/>
      <c r="AI58" s="515"/>
      <c r="AJ58" s="758"/>
      <c r="AK58" s="517"/>
      <c r="AM58" s="517"/>
    </row>
    <row r="59" spans="1:39" s="500" customFormat="1">
      <c r="A59" s="879" t="s">
        <v>2056</v>
      </c>
      <c r="B59" s="752" t="s">
        <v>2000</v>
      </c>
      <c r="C59" s="747" t="s">
        <v>40</v>
      </c>
      <c r="D59" s="748"/>
      <c r="E59" s="749"/>
      <c r="F59" s="748"/>
      <c r="G59" s="748"/>
      <c r="H59" s="748"/>
      <c r="I59" s="750"/>
      <c r="J59" s="521"/>
      <c r="K59" s="773"/>
      <c r="L59" s="751"/>
      <c r="M59" s="750"/>
      <c r="N59" s="750"/>
      <c r="O59" s="750"/>
      <c r="P59" s="750"/>
      <c r="Q59" s="667"/>
      <c r="R59" s="734"/>
      <c r="S59" s="751"/>
      <c r="T59" s="750"/>
      <c r="U59" s="750"/>
      <c r="V59" s="750"/>
      <c r="W59" s="750"/>
      <c r="X59" s="750"/>
      <c r="Y59" s="750"/>
      <c r="Z59" s="751"/>
      <c r="AA59" s="750"/>
      <c r="AB59" s="750"/>
      <c r="AC59" s="750"/>
      <c r="AD59" s="750"/>
      <c r="AE59" s="773"/>
      <c r="AF59" s="750"/>
      <c r="AG59" s="751"/>
      <c r="AH59" s="734"/>
      <c r="AI59" s="515"/>
      <c r="AJ59" s="758"/>
      <c r="AK59" s="517"/>
      <c r="AM59" s="517"/>
    </row>
    <row r="60" spans="1:39" s="500" customFormat="1">
      <c r="A60" s="879" t="s">
        <v>2057</v>
      </c>
      <c r="B60" s="752" t="s">
        <v>2001</v>
      </c>
      <c r="C60" s="747" t="s">
        <v>37</v>
      </c>
      <c r="D60" s="748"/>
      <c r="E60" s="749"/>
      <c r="F60" s="748"/>
      <c r="G60" s="748"/>
      <c r="H60" s="748"/>
      <c r="J60" s="773"/>
      <c r="K60" s="750"/>
      <c r="L60" s="751"/>
      <c r="M60" s="750"/>
      <c r="N60" s="750"/>
      <c r="O60" s="750"/>
      <c r="P60" s="750"/>
      <c r="Q60" s="667"/>
      <c r="R60" s="734"/>
      <c r="S60" s="751"/>
      <c r="T60" s="750"/>
      <c r="U60" s="750"/>
      <c r="V60" s="750"/>
      <c r="W60" s="750"/>
      <c r="X60" s="750"/>
      <c r="Y60" s="750"/>
      <c r="Z60" s="751"/>
      <c r="AA60" s="750"/>
      <c r="AB60" s="750"/>
      <c r="AC60" s="750"/>
      <c r="AD60" s="750"/>
      <c r="AE60" s="773"/>
      <c r="AF60" s="750"/>
      <c r="AG60" s="751"/>
      <c r="AH60" s="734"/>
      <c r="AI60" s="515"/>
      <c r="AJ60" s="758"/>
      <c r="AK60" s="517"/>
      <c r="AM60" s="517"/>
    </row>
    <row r="61" spans="1:39" s="500" customFormat="1">
      <c r="A61" s="879" t="s">
        <v>2058</v>
      </c>
      <c r="B61" s="752" t="s">
        <v>2002</v>
      </c>
      <c r="C61" s="747" t="s">
        <v>1938</v>
      </c>
      <c r="D61" s="748"/>
      <c r="E61" s="749"/>
      <c r="F61" s="748"/>
      <c r="G61" s="874"/>
      <c r="H61" s="748"/>
      <c r="I61" s="750"/>
      <c r="J61" s="750"/>
      <c r="K61" s="750"/>
      <c r="L61" s="751"/>
      <c r="M61" s="750"/>
      <c r="N61" s="750"/>
      <c r="O61" s="750"/>
      <c r="P61" s="750"/>
      <c r="Q61" s="667"/>
      <c r="R61" s="734"/>
      <c r="S61" s="751"/>
      <c r="T61" s="750"/>
      <c r="U61" s="750"/>
      <c r="V61" s="750"/>
      <c r="W61" s="750"/>
      <c r="X61" s="750"/>
      <c r="Y61" s="750"/>
      <c r="Z61" s="751"/>
      <c r="AA61" s="750"/>
      <c r="AB61" s="750"/>
      <c r="AC61" s="750"/>
      <c r="AD61" s="750"/>
      <c r="AE61" s="773"/>
      <c r="AF61" s="750"/>
      <c r="AG61" s="751"/>
      <c r="AH61" s="734"/>
      <c r="AI61" s="515"/>
      <c r="AJ61" s="758"/>
      <c r="AK61" s="517"/>
      <c r="AM61" s="517"/>
    </row>
    <row r="62" spans="1:39" s="500" customFormat="1">
      <c r="A62" s="878" t="s">
        <v>2059</v>
      </c>
      <c r="B62" s="539" t="s">
        <v>1211</v>
      </c>
      <c r="C62" s="747"/>
      <c r="D62" s="748"/>
      <c r="E62" s="749"/>
      <c r="F62" s="748"/>
      <c r="G62" s="748"/>
      <c r="H62" s="748"/>
      <c r="I62" s="750"/>
      <c r="J62" s="750"/>
      <c r="K62" s="750"/>
      <c r="L62" s="751"/>
      <c r="M62" s="750"/>
      <c r="N62" s="750"/>
      <c r="O62" s="750"/>
      <c r="P62" s="750"/>
      <c r="Q62" s="667"/>
      <c r="S62" s="751"/>
      <c r="T62" s="750"/>
      <c r="U62" s="750"/>
      <c r="V62" s="750"/>
      <c r="W62" s="750"/>
      <c r="X62" s="750"/>
      <c r="Y62" s="750"/>
      <c r="Z62" s="751"/>
      <c r="AA62" s="750"/>
      <c r="AB62" s="750"/>
      <c r="AC62" s="750"/>
      <c r="AD62" s="750"/>
      <c r="AE62" s="773"/>
      <c r="AF62" s="750"/>
      <c r="AG62" s="751"/>
      <c r="AH62" s="734"/>
      <c r="AI62" s="515">
        <f t="shared" si="6"/>
        <v>0</v>
      </c>
      <c r="AJ62" s="758"/>
      <c r="AK62" s="517"/>
      <c r="AM62" s="517"/>
    </row>
    <row r="63" spans="1:39" s="500" customFormat="1">
      <c r="A63" s="879" t="s">
        <v>2060</v>
      </c>
      <c r="B63" s="752" t="s">
        <v>1949</v>
      </c>
      <c r="C63" s="747"/>
      <c r="D63" s="748"/>
      <c r="E63" s="749"/>
      <c r="F63" s="748"/>
      <c r="G63" s="748"/>
      <c r="H63" s="748"/>
      <c r="I63" s="750"/>
      <c r="J63" s="750"/>
      <c r="K63" s="750"/>
      <c r="L63" s="751"/>
      <c r="M63" s="750"/>
      <c r="N63" s="750"/>
      <c r="O63" s="750"/>
      <c r="P63" s="750"/>
      <c r="Q63" s="667"/>
      <c r="R63" s="521"/>
      <c r="S63" s="751"/>
      <c r="T63" s="750"/>
      <c r="U63" s="750"/>
      <c r="V63" s="750"/>
      <c r="W63" s="750"/>
      <c r="X63" s="750"/>
      <c r="Y63" s="750"/>
      <c r="Z63" s="751"/>
      <c r="AA63" s="750"/>
      <c r="AB63" s="750"/>
      <c r="AC63" s="750"/>
      <c r="AD63" s="750"/>
      <c r="AE63" s="773"/>
      <c r="AF63" s="750"/>
      <c r="AG63" s="751"/>
      <c r="AH63" s="734"/>
      <c r="AI63" s="515">
        <f t="shared" si="6"/>
        <v>0</v>
      </c>
      <c r="AJ63" s="758"/>
      <c r="AK63" s="517"/>
      <c r="AM63" s="517"/>
    </row>
    <row r="64" spans="1:39" s="500" customFormat="1">
      <c r="A64" s="879" t="s">
        <v>2061</v>
      </c>
      <c r="B64" s="752" t="s">
        <v>1950</v>
      </c>
      <c r="C64" s="747" t="s">
        <v>40</v>
      </c>
      <c r="D64" s="863"/>
      <c r="E64" s="749"/>
      <c r="F64" s="748"/>
      <c r="G64" s="748"/>
      <c r="H64" s="748"/>
      <c r="I64" s="873"/>
      <c r="J64" s="750"/>
      <c r="K64" s="750"/>
      <c r="L64" s="751"/>
      <c r="M64" s="750"/>
      <c r="N64" s="750"/>
      <c r="O64" s="750"/>
      <c r="P64" s="750"/>
      <c r="Q64" s="667"/>
      <c r="R64" s="521"/>
      <c r="S64" s="751"/>
      <c r="T64" s="750"/>
      <c r="U64" s="750"/>
      <c r="V64" s="751"/>
      <c r="W64" s="750"/>
      <c r="X64" s="751"/>
      <c r="Y64" s="750"/>
      <c r="Z64" s="751"/>
      <c r="AA64" s="751"/>
      <c r="AB64" s="750"/>
      <c r="AC64" s="750"/>
      <c r="AD64" s="750"/>
      <c r="AE64" s="773"/>
      <c r="AF64" s="750"/>
      <c r="AG64" s="751"/>
      <c r="AH64" s="734"/>
      <c r="AI64" s="515">
        <f t="shared" si="6"/>
        <v>0</v>
      </c>
      <c r="AJ64" s="758"/>
      <c r="AK64" s="517"/>
      <c r="AM64" s="517"/>
    </row>
    <row r="65" spans="1:39" s="500" customFormat="1" ht="13.5" thickBot="1">
      <c r="A65" s="879" t="s">
        <v>2062</v>
      </c>
      <c r="B65" s="752" t="s">
        <v>2003</v>
      </c>
      <c r="C65" s="747"/>
      <c r="D65" s="863"/>
      <c r="E65" s="749"/>
      <c r="F65" s="748"/>
      <c r="G65" s="748"/>
      <c r="H65" s="748"/>
      <c r="I65" s="750"/>
      <c r="J65" s="750"/>
      <c r="K65" s="750"/>
      <c r="L65" s="751"/>
      <c r="M65" s="773"/>
      <c r="N65" s="773"/>
      <c r="O65" s="876"/>
      <c r="P65" s="750"/>
      <c r="Q65" s="876"/>
      <c r="R65" s="772"/>
      <c r="S65" s="751"/>
      <c r="T65" s="750"/>
      <c r="U65" s="750"/>
      <c r="V65" s="751"/>
      <c r="W65" s="750"/>
      <c r="X65" s="751"/>
      <c r="Y65" s="750"/>
      <c r="Z65" s="751"/>
      <c r="AA65" s="751"/>
      <c r="AB65" s="750"/>
      <c r="AC65" s="750"/>
      <c r="AD65" s="750"/>
      <c r="AE65" s="773"/>
      <c r="AF65" s="750"/>
      <c r="AG65" s="751"/>
      <c r="AH65" s="734"/>
      <c r="AI65" s="875"/>
      <c r="AJ65" s="758"/>
      <c r="AK65" s="517"/>
      <c r="AM65" s="517"/>
    </row>
    <row r="66" spans="1:39" ht="13.5" thickBot="1">
      <c r="A66" s="696"/>
      <c r="B66" s="753" t="s">
        <v>2</v>
      </c>
      <c r="C66" s="505"/>
      <c r="D66" s="671"/>
      <c r="E66" s="806"/>
      <c r="F66" s="671"/>
      <c r="G66" s="671"/>
      <c r="H66" s="671"/>
      <c r="I66" s="671"/>
      <c r="J66" s="671"/>
      <c r="K66" s="671"/>
      <c r="L66" s="806"/>
      <c r="M66" s="671"/>
      <c r="N66" s="671"/>
      <c r="O66" s="671"/>
      <c r="P66" s="671"/>
      <c r="Q66" s="671"/>
      <c r="R66" s="671"/>
      <c r="S66" s="806"/>
      <c r="T66" s="671"/>
      <c r="U66" s="671"/>
      <c r="V66" s="671"/>
      <c r="W66" s="671"/>
      <c r="X66" s="671"/>
      <c r="Y66" s="671"/>
      <c r="Z66" s="806"/>
      <c r="AA66" s="671"/>
      <c r="AB66" s="671"/>
      <c r="AC66" s="671"/>
      <c r="AD66" s="699"/>
      <c r="AE66" s="811"/>
      <c r="AF66" s="699"/>
      <c r="AG66" s="808"/>
      <c r="AH66" s="532"/>
      <c r="AI66" s="533" t="s">
        <v>9</v>
      </c>
      <c r="AJ66" s="534"/>
      <c r="AL66" s="498">
        <f>AK66/10</f>
        <v>0</v>
      </c>
    </row>
    <row r="67" spans="1:39">
      <c r="A67" s="552" t="s">
        <v>288</v>
      </c>
    </row>
    <row r="69" spans="1:39">
      <c r="B69" s="550" t="s">
        <v>1801</v>
      </c>
    </row>
    <row r="70" spans="1:39">
      <c r="B70" s="550" t="s">
        <v>289</v>
      </c>
      <c r="AL70" s="500">
        <v>1204.5</v>
      </c>
    </row>
    <row r="87" spans="2:2">
      <c r="B87" s="552"/>
    </row>
  </sheetData>
  <mergeCells count="10">
    <mergeCell ref="AJ8:AM8"/>
    <mergeCell ref="AN8:AQ8"/>
    <mergeCell ref="A9:A10"/>
    <mergeCell ref="B9:B10"/>
    <mergeCell ref="A1:X1"/>
    <mergeCell ref="A2:X2"/>
    <mergeCell ref="B4:L4"/>
    <mergeCell ref="B5:AA5"/>
    <mergeCell ref="Q7:V7"/>
    <mergeCell ref="W7:Z7"/>
  </mergeCells>
  <pageMargins left="0.7" right="0.7" top="0.75" bottom="0.75" header="0.3" footer="0.3"/>
  <pageSetup scale="26" orientation="portrait" r:id="rId1"/>
  <colBreaks count="1" manualBreakCount="1">
    <brk id="35" max="1048575" man="1"/>
  </colBreaks>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002060"/>
  </sheetPr>
  <dimension ref="A1:AS679"/>
  <sheetViews>
    <sheetView workbookViewId="0">
      <selection sqref="A1:X1"/>
    </sheetView>
  </sheetViews>
  <sheetFormatPr baseColWidth="10" defaultColWidth="11.42578125" defaultRowHeight="12.75"/>
  <cols>
    <col min="1" max="1" width="13" style="552" customWidth="1"/>
    <col min="2" max="2" width="69.42578125" style="550" customWidth="1"/>
    <col min="3" max="3" width="5" style="498" customWidth="1"/>
    <col min="4" max="5" width="9.42578125" style="498" customWidth="1"/>
    <col min="6" max="6" width="7" style="735" customWidth="1"/>
    <col min="7" max="10" width="7" style="498" customWidth="1"/>
    <col min="11" max="11" width="7" style="1049" customWidth="1"/>
    <col min="12" max="12" width="7" style="498" customWidth="1"/>
    <col min="13" max="13" width="7" style="735" customWidth="1"/>
    <col min="14" max="19" width="7" style="498" customWidth="1"/>
    <col min="20" max="20" width="7" style="735" customWidth="1"/>
    <col min="21" max="26" width="7" style="498" customWidth="1"/>
    <col min="27" max="27" width="7" style="735" customWidth="1"/>
    <col min="28" max="28" width="7" style="1049" customWidth="1"/>
    <col min="29" max="29" width="7" style="498" customWidth="1"/>
    <col min="30" max="32" width="7" style="499" customWidth="1"/>
    <col min="33" max="34" width="7" style="499" hidden="1" customWidth="1"/>
    <col min="35" max="35" width="9.42578125" style="500" customWidth="1"/>
    <col min="36" max="36" width="9.42578125" style="498" customWidth="1"/>
    <col min="37" max="37" width="11.42578125" style="498"/>
    <col min="38" max="38" width="14.42578125" style="498" customWidth="1"/>
    <col min="39" max="256" width="11.42578125" style="498"/>
    <col min="257" max="257" width="6.42578125" style="498" customWidth="1"/>
    <col min="258" max="258" width="47.5703125" style="498" customWidth="1"/>
    <col min="259" max="260" width="5" style="498" customWidth="1"/>
    <col min="261" max="261" width="5.42578125" style="498" customWidth="1"/>
    <col min="262" max="262" width="4.5703125" style="498" customWidth="1"/>
    <col min="263" max="264" width="4.42578125" style="498" customWidth="1"/>
    <col min="265" max="265" width="3.5703125" style="498" customWidth="1"/>
    <col min="266" max="266" width="5" style="498" customWidth="1"/>
    <col min="267" max="267" width="4" style="498" customWidth="1"/>
    <col min="268" max="269" width="4.5703125" style="498" customWidth="1"/>
    <col min="270" max="270" width="4.42578125" style="498" customWidth="1"/>
    <col min="271" max="271" width="4" style="498" customWidth="1"/>
    <col min="272" max="272" width="3.5703125" style="498" customWidth="1"/>
    <col min="273" max="274" width="4.5703125" style="498" customWidth="1"/>
    <col min="275" max="275" width="4" style="498" customWidth="1"/>
    <col min="276" max="277" width="4.42578125" style="498" customWidth="1"/>
    <col min="278" max="278" width="3.5703125" style="498" customWidth="1"/>
    <col min="279" max="279" width="4.42578125" style="498" customWidth="1"/>
    <col min="280" max="280" width="5.5703125" style="498" customWidth="1"/>
    <col min="281" max="281" width="3.5703125" style="498" customWidth="1"/>
    <col min="282" max="282" width="4" style="498" customWidth="1"/>
    <col min="283" max="283" width="4.5703125" style="498" customWidth="1"/>
    <col min="284" max="286" width="4.42578125" style="498" customWidth="1"/>
    <col min="287" max="288" width="4.5703125" style="498" customWidth="1"/>
    <col min="289" max="289" width="4" style="498" customWidth="1"/>
    <col min="290" max="290" width="4.5703125" style="498" customWidth="1"/>
    <col min="291" max="291" width="6" style="498" customWidth="1"/>
    <col min="292" max="292" width="8.5703125" style="498" customWidth="1"/>
    <col min="293" max="512" width="11.42578125" style="498"/>
    <col min="513" max="513" width="6.42578125" style="498" customWidth="1"/>
    <col min="514" max="514" width="47.5703125" style="498" customWidth="1"/>
    <col min="515" max="516" width="5" style="498" customWidth="1"/>
    <col min="517" max="517" width="5.42578125" style="498" customWidth="1"/>
    <col min="518" max="518" width="4.5703125" style="498" customWidth="1"/>
    <col min="519" max="520" width="4.42578125" style="498" customWidth="1"/>
    <col min="521" max="521" width="3.5703125" style="498" customWidth="1"/>
    <col min="522" max="522" width="5" style="498" customWidth="1"/>
    <col min="523" max="523" width="4" style="498" customWidth="1"/>
    <col min="524" max="525" width="4.5703125" style="498" customWidth="1"/>
    <col min="526" max="526" width="4.42578125" style="498" customWidth="1"/>
    <col min="527" max="527" width="4" style="498" customWidth="1"/>
    <col min="528" max="528" width="3.5703125" style="498" customWidth="1"/>
    <col min="529" max="530" width="4.5703125" style="498" customWidth="1"/>
    <col min="531" max="531" width="4" style="498" customWidth="1"/>
    <col min="532" max="533" width="4.42578125" style="498" customWidth="1"/>
    <col min="534" max="534" width="3.5703125" style="498" customWidth="1"/>
    <col min="535" max="535" width="4.42578125" style="498" customWidth="1"/>
    <col min="536" max="536" width="5.5703125" style="498" customWidth="1"/>
    <col min="537" max="537" width="3.5703125" style="498" customWidth="1"/>
    <col min="538" max="538" width="4" style="498" customWidth="1"/>
    <col min="539" max="539" width="4.5703125" style="498" customWidth="1"/>
    <col min="540" max="542" width="4.42578125" style="498" customWidth="1"/>
    <col min="543" max="544" width="4.5703125" style="498" customWidth="1"/>
    <col min="545" max="545" width="4" style="498" customWidth="1"/>
    <col min="546" max="546" width="4.5703125" style="498" customWidth="1"/>
    <col min="547" max="547" width="6" style="498" customWidth="1"/>
    <col min="548" max="548" width="8.5703125" style="498" customWidth="1"/>
    <col min="549" max="768" width="11.42578125" style="498"/>
    <col min="769" max="769" width="6.42578125" style="498" customWidth="1"/>
    <col min="770" max="770" width="47.5703125" style="498" customWidth="1"/>
    <col min="771" max="772" width="5" style="498" customWidth="1"/>
    <col min="773" max="773" width="5.42578125" style="498" customWidth="1"/>
    <col min="774" max="774" width="4.5703125" style="498" customWidth="1"/>
    <col min="775" max="776" width="4.42578125" style="498" customWidth="1"/>
    <col min="777" max="777" width="3.5703125" style="498" customWidth="1"/>
    <col min="778" max="778" width="5" style="498" customWidth="1"/>
    <col min="779" max="779" width="4" style="498" customWidth="1"/>
    <col min="780" max="781" width="4.5703125" style="498" customWidth="1"/>
    <col min="782" max="782" width="4.42578125" style="498" customWidth="1"/>
    <col min="783" max="783" width="4" style="498" customWidth="1"/>
    <col min="784" max="784" width="3.5703125" style="498" customWidth="1"/>
    <col min="785" max="786" width="4.5703125" style="498" customWidth="1"/>
    <col min="787" max="787" width="4" style="498" customWidth="1"/>
    <col min="788" max="789" width="4.42578125" style="498" customWidth="1"/>
    <col min="790" max="790" width="3.5703125" style="498" customWidth="1"/>
    <col min="791" max="791" width="4.42578125" style="498" customWidth="1"/>
    <col min="792" max="792" width="5.5703125" style="498" customWidth="1"/>
    <col min="793" max="793" width="3.5703125" style="498" customWidth="1"/>
    <col min="794" max="794" width="4" style="498" customWidth="1"/>
    <col min="795" max="795" width="4.5703125" style="498" customWidth="1"/>
    <col min="796" max="798" width="4.42578125" style="498" customWidth="1"/>
    <col min="799" max="800" width="4.5703125" style="498" customWidth="1"/>
    <col min="801" max="801" width="4" style="498" customWidth="1"/>
    <col min="802" max="802" width="4.5703125" style="498" customWidth="1"/>
    <col min="803" max="803" width="6" style="498" customWidth="1"/>
    <col min="804" max="804" width="8.5703125" style="498" customWidth="1"/>
    <col min="805" max="1024" width="11.42578125" style="498"/>
    <col min="1025" max="1025" width="6.42578125" style="498" customWidth="1"/>
    <col min="1026" max="1026" width="47.5703125" style="498" customWidth="1"/>
    <col min="1027" max="1028" width="5" style="498" customWidth="1"/>
    <col min="1029" max="1029" width="5.42578125" style="498" customWidth="1"/>
    <col min="1030" max="1030" width="4.5703125" style="498" customWidth="1"/>
    <col min="1031" max="1032" width="4.42578125" style="498" customWidth="1"/>
    <col min="1033" max="1033" width="3.5703125" style="498" customWidth="1"/>
    <col min="1034" max="1034" width="5" style="498" customWidth="1"/>
    <col min="1035" max="1035" width="4" style="498" customWidth="1"/>
    <col min="1036" max="1037" width="4.5703125" style="498" customWidth="1"/>
    <col min="1038" max="1038" width="4.42578125" style="498" customWidth="1"/>
    <col min="1039" max="1039" width="4" style="498" customWidth="1"/>
    <col min="1040" max="1040" width="3.5703125" style="498" customWidth="1"/>
    <col min="1041" max="1042" width="4.5703125" style="498" customWidth="1"/>
    <col min="1043" max="1043" width="4" style="498" customWidth="1"/>
    <col min="1044" max="1045" width="4.42578125" style="498" customWidth="1"/>
    <col min="1046" max="1046" width="3.5703125" style="498" customWidth="1"/>
    <col min="1047" max="1047" width="4.42578125" style="498" customWidth="1"/>
    <col min="1048" max="1048" width="5.5703125" style="498" customWidth="1"/>
    <col min="1049" max="1049" width="3.5703125" style="498" customWidth="1"/>
    <col min="1050" max="1050" width="4" style="498" customWidth="1"/>
    <col min="1051" max="1051" width="4.5703125" style="498" customWidth="1"/>
    <col min="1052" max="1054" width="4.42578125" style="498" customWidth="1"/>
    <col min="1055" max="1056" width="4.5703125" style="498" customWidth="1"/>
    <col min="1057" max="1057" width="4" style="498" customWidth="1"/>
    <col min="1058" max="1058" width="4.5703125" style="498" customWidth="1"/>
    <col min="1059" max="1059" width="6" style="498" customWidth="1"/>
    <col min="1060" max="1060" width="8.5703125" style="498" customWidth="1"/>
    <col min="1061" max="1280" width="11.42578125" style="498"/>
    <col min="1281" max="1281" width="6.42578125" style="498" customWidth="1"/>
    <col min="1282" max="1282" width="47.5703125" style="498" customWidth="1"/>
    <col min="1283" max="1284" width="5" style="498" customWidth="1"/>
    <col min="1285" max="1285" width="5.42578125" style="498" customWidth="1"/>
    <col min="1286" max="1286" width="4.5703125" style="498" customWidth="1"/>
    <col min="1287" max="1288" width="4.42578125" style="498" customWidth="1"/>
    <col min="1289" max="1289" width="3.5703125" style="498" customWidth="1"/>
    <col min="1290" max="1290" width="5" style="498" customWidth="1"/>
    <col min="1291" max="1291" width="4" style="498" customWidth="1"/>
    <col min="1292" max="1293" width="4.5703125" style="498" customWidth="1"/>
    <col min="1294" max="1294" width="4.42578125" style="498" customWidth="1"/>
    <col min="1295" max="1295" width="4" style="498" customWidth="1"/>
    <col min="1296" max="1296" width="3.5703125" style="498" customWidth="1"/>
    <col min="1297" max="1298" width="4.5703125" style="498" customWidth="1"/>
    <col min="1299" max="1299" width="4" style="498" customWidth="1"/>
    <col min="1300" max="1301" width="4.42578125" style="498" customWidth="1"/>
    <col min="1302" max="1302" width="3.5703125" style="498" customWidth="1"/>
    <col min="1303" max="1303" width="4.42578125" style="498" customWidth="1"/>
    <col min="1304" max="1304" width="5.5703125" style="498" customWidth="1"/>
    <col min="1305" max="1305" width="3.5703125" style="498" customWidth="1"/>
    <col min="1306" max="1306" width="4" style="498" customWidth="1"/>
    <col min="1307" max="1307" width="4.5703125" style="498" customWidth="1"/>
    <col min="1308" max="1310" width="4.42578125" style="498" customWidth="1"/>
    <col min="1311" max="1312" width="4.5703125" style="498" customWidth="1"/>
    <col min="1313" max="1313" width="4" style="498" customWidth="1"/>
    <col min="1314" max="1314" width="4.5703125" style="498" customWidth="1"/>
    <col min="1315" max="1315" width="6" style="498" customWidth="1"/>
    <col min="1316" max="1316" width="8.5703125" style="498" customWidth="1"/>
    <col min="1317" max="1536" width="11.42578125" style="498"/>
    <col min="1537" max="1537" width="6.42578125" style="498" customWidth="1"/>
    <col min="1538" max="1538" width="47.5703125" style="498" customWidth="1"/>
    <col min="1539" max="1540" width="5" style="498" customWidth="1"/>
    <col min="1541" max="1541" width="5.42578125" style="498" customWidth="1"/>
    <col min="1542" max="1542" width="4.5703125" style="498" customWidth="1"/>
    <col min="1543" max="1544" width="4.42578125" style="498" customWidth="1"/>
    <col min="1545" max="1545" width="3.5703125" style="498" customWidth="1"/>
    <col min="1546" max="1546" width="5" style="498" customWidth="1"/>
    <col min="1547" max="1547" width="4" style="498" customWidth="1"/>
    <col min="1548" max="1549" width="4.5703125" style="498" customWidth="1"/>
    <col min="1550" max="1550" width="4.42578125" style="498" customWidth="1"/>
    <col min="1551" max="1551" width="4" style="498" customWidth="1"/>
    <col min="1552" max="1552" width="3.5703125" style="498" customWidth="1"/>
    <col min="1553" max="1554" width="4.5703125" style="498" customWidth="1"/>
    <col min="1555" max="1555" width="4" style="498" customWidth="1"/>
    <col min="1556" max="1557" width="4.42578125" style="498" customWidth="1"/>
    <col min="1558" max="1558" width="3.5703125" style="498" customWidth="1"/>
    <col min="1559" max="1559" width="4.42578125" style="498" customWidth="1"/>
    <col min="1560" max="1560" width="5.5703125" style="498" customWidth="1"/>
    <col min="1561" max="1561" width="3.5703125" style="498" customWidth="1"/>
    <col min="1562" max="1562" width="4" style="498" customWidth="1"/>
    <col min="1563" max="1563" width="4.5703125" style="498" customWidth="1"/>
    <col min="1564" max="1566" width="4.42578125" style="498" customWidth="1"/>
    <col min="1567" max="1568" width="4.5703125" style="498" customWidth="1"/>
    <col min="1569" max="1569" width="4" style="498" customWidth="1"/>
    <col min="1570" max="1570" width="4.5703125" style="498" customWidth="1"/>
    <col min="1571" max="1571" width="6" style="498" customWidth="1"/>
    <col min="1572" max="1572" width="8.5703125" style="498" customWidth="1"/>
    <col min="1573" max="1792" width="11.42578125" style="498"/>
    <col min="1793" max="1793" width="6.42578125" style="498" customWidth="1"/>
    <col min="1794" max="1794" width="47.5703125" style="498" customWidth="1"/>
    <col min="1795" max="1796" width="5" style="498" customWidth="1"/>
    <col min="1797" max="1797" width="5.42578125" style="498" customWidth="1"/>
    <col min="1798" max="1798" width="4.5703125" style="498" customWidth="1"/>
    <col min="1799" max="1800" width="4.42578125" style="498" customWidth="1"/>
    <col min="1801" max="1801" width="3.5703125" style="498" customWidth="1"/>
    <col min="1802" max="1802" width="5" style="498" customWidth="1"/>
    <col min="1803" max="1803" width="4" style="498" customWidth="1"/>
    <col min="1804" max="1805" width="4.5703125" style="498" customWidth="1"/>
    <col min="1806" max="1806" width="4.42578125" style="498" customWidth="1"/>
    <col min="1807" max="1807" width="4" style="498" customWidth="1"/>
    <col min="1808" max="1808" width="3.5703125" style="498" customWidth="1"/>
    <col min="1809" max="1810" width="4.5703125" style="498" customWidth="1"/>
    <col min="1811" max="1811" width="4" style="498" customWidth="1"/>
    <col min="1812" max="1813" width="4.42578125" style="498" customWidth="1"/>
    <col min="1814" max="1814" width="3.5703125" style="498" customWidth="1"/>
    <col min="1815" max="1815" width="4.42578125" style="498" customWidth="1"/>
    <col min="1816" max="1816" width="5.5703125" style="498" customWidth="1"/>
    <col min="1817" max="1817" width="3.5703125" style="498" customWidth="1"/>
    <col min="1818" max="1818" width="4" style="498" customWidth="1"/>
    <col min="1819" max="1819" width="4.5703125" style="498" customWidth="1"/>
    <col min="1820" max="1822" width="4.42578125" style="498" customWidth="1"/>
    <col min="1823" max="1824" width="4.5703125" style="498" customWidth="1"/>
    <col min="1825" max="1825" width="4" style="498" customWidth="1"/>
    <col min="1826" max="1826" width="4.5703125" style="498" customWidth="1"/>
    <col min="1827" max="1827" width="6" style="498" customWidth="1"/>
    <col min="1828" max="1828" width="8.5703125" style="498" customWidth="1"/>
    <col min="1829" max="2048" width="11.42578125" style="498"/>
    <col min="2049" max="2049" width="6.42578125" style="498" customWidth="1"/>
    <col min="2050" max="2050" width="47.5703125" style="498" customWidth="1"/>
    <col min="2051" max="2052" width="5" style="498" customWidth="1"/>
    <col min="2053" max="2053" width="5.42578125" style="498" customWidth="1"/>
    <col min="2054" max="2054" width="4.5703125" style="498" customWidth="1"/>
    <col min="2055" max="2056" width="4.42578125" style="498" customWidth="1"/>
    <col min="2057" max="2057" width="3.5703125" style="498" customWidth="1"/>
    <col min="2058" max="2058" width="5" style="498" customWidth="1"/>
    <col min="2059" max="2059" width="4" style="498" customWidth="1"/>
    <col min="2060" max="2061" width="4.5703125" style="498" customWidth="1"/>
    <col min="2062" max="2062" width="4.42578125" style="498" customWidth="1"/>
    <col min="2063" max="2063" width="4" style="498" customWidth="1"/>
    <col min="2064" max="2064" width="3.5703125" style="498" customWidth="1"/>
    <col min="2065" max="2066" width="4.5703125" style="498" customWidth="1"/>
    <col min="2067" max="2067" width="4" style="498" customWidth="1"/>
    <col min="2068" max="2069" width="4.42578125" style="498" customWidth="1"/>
    <col min="2070" max="2070" width="3.5703125" style="498" customWidth="1"/>
    <col min="2071" max="2071" width="4.42578125" style="498" customWidth="1"/>
    <col min="2072" max="2072" width="5.5703125" style="498" customWidth="1"/>
    <col min="2073" max="2073" width="3.5703125" style="498" customWidth="1"/>
    <col min="2074" max="2074" width="4" style="498" customWidth="1"/>
    <col min="2075" max="2075" width="4.5703125" style="498" customWidth="1"/>
    <col min="2076" max="2078" width="4.42578125" style="498" customWidth="1"/>
    <col min="2079" max="2080" width="4.5703125" style="498" customWidth="1"/>
    <col min="2081" max="2081" width="4" style="498" customWidth="1"/>
    <col min="2082" max="2082" width="4.5703125" style="498" customWidth="1"/>
    <col min="2083" max="2083" width="6" style="498" customWidth="1"/>
    <col min="2084" max="2084" width="8.5703125" style="498" customWidth="1"/>
    <col min="2085" max="2304" width="11.42578125" style="498"/>
    <col min="2305" max="2305" width="6.42578125" style="498" customWidth="1"/>
    <col min="2306" max="2306" width="47.5703125" style="498" customWidth="1"/>
    <col min="2307" max="2308" width="5" style="498" customWidth="1"/>
    <col min="2309" max="2309" width="5.42578125" style="498" customWidth="1"/>
    <col min="2310" max="2310" width="4.5703125" style="498" customWidth="1"/>
    <col min="2311" max="2312" width="4.42578125" style="498" customWidth="1"/>
    <col min="2313" max="2313" width="3.5703125" style="498" customWidth="1"/>
    <col min="2314" max="2314" width="5" style="498" customWidth="1"/>
    <col min="2315" max="2315" width="4" style="498" customWidth="1"/>
    <col min="2316" max="2317" width="4.5703125" style="498" customWidth="1"/>
    <col min="2318" max="2318" width="4.42578125" style="498" customWidth="1"/>
    <col min="2319" max="2319" width="4" style="498" customWidth="1"/>
    <col min="2320" max="2320" width="3.5703125" style="498" customWidth="1"/>
    <col min="2321" max="2322" width="4.5703125" style="498" customWidth="1"/>
    <col min="2323" max="2323" width="4" style="498" customWidth="1"/>
    <col min="2324" max="2325" width="4.42578125" style="498" customWidth="1"/>
    <col min="2326" max="2326" width="3.5703125" style="498" customWidth="1"/>
    <col min="2327" max="2327" width="4.42578125" style="498" customWidth="1"/>
    <col min="2328" max="2328" width="5.5703125" style="498" customWidth="1"/>
    <col min="2329" max="2329" width="3.5703125" style="498" customWidth="1"/>
    <col min="2330" max="2330" width="4" style="498" customWidth="1"/>
    <col min="2331" max="2331" width="4.5703125" style="498" customWidth="1"/>
    <col min="2332" max="2334" width="4.42578125" style="498" customWidth="1"/>
    <col min="2335" max="2336" width="4.5703125" style="498" customWidth="1"/>
    <col min="2337" max="2337" width="4" style="498" customWidth="1"/>
    <col min="2338" max="2338" width="4.5703125" style="498" customWidth="1"/>
    <col min="2339" max="2339" width="6" style="498" customWidth="1"/>
    <col min="2340" max="2340" width="8.5703125" style="498" customWidth="1"/>
    <col min="2341" max="2560" width="11.42578125" style="498"/>
    <col min="2561" max="2561" width="6.42578125" style="498" customWidth="1"/>
    <col min="2562" max="2562" width="47.5703125" style="498" customWidth="1"/>
    <col min="2563" max="2564" width="5" style="498" customWidth="1"/>
    <col min="2565" max="2565" width="5.42578125" style="498" customWidth="1"/>
    <col min="2566" max="2566" width="4.5703125" style="498" customWidth="1"/>
    <col min="2567" max="2568" width="4.42578125" style="498" customWidth="1"/>
    <col min="2569" max="2569" width="3.5703125" style="498" customWidth="1"/>
    <col min="2570" max="2570" width="5" style="498" customWidth="1"/>
    <col min="2571" max="2571" width="4" style="498" customWidth="1"/>
    <col min="2572" max="2573" width="4.5703125" style="498" customWidth="1"/>
    <col min="2574" max="2574" width="4.42578125" style="498" customWidth="1"/>
    <col min="2575" max="2575" width="4" style="498" customWidth="1"/>
    <col min="2576" max="2576" width="3.5703125" style="498" customWidth="1"/>
    <col min="2577" max="2578" width="4.5703125" style="498" customWidth="1"/>
    <col min="2579" max="2579" width="4" style="498" customWidth="1"/>
    <col min="2580" max="2581" width="4.42578125" style="498" customWidth="1"/>
    <col min="2582" max="2582" width="3.5703125" style="498" customWidth="1"/>
    <col min="2583" max="2583" width="4.42578125" style="498" customWidth="1"/>
    <col min="2584" max="2584" width="5.5703125" style="498" customWidth="1"/>
    <col min="2585" max="2585" width="3.5703125" style="498" customWidth="1"/>
    <col min="2586" max="2586" width="4" style="498" customWidth="1"/>
    <col min="2587" max="2587" width="4.5703125" style="498" customWidth="1"/>
    <col min="2588" max="2590" width="4.42578125" style="498" customWidth="1"/>
    <col min="2591" max="2592" width="4.5703125" style="498" customWidth="1"/>
    <col min="2593" max="2593" width="4" style="498" customWidth="1"/>
    <col min="2594" max="2594" width="4.5703125" style="498" customWidth="1"/>
    <col min="2595" max="2595" width="6" style="498" customWidth="1"/>
    <col min="2596" max="2596" width="8.5703125" style="498" customWidth="1"/>
    <col min="2597" max="2816" width="11.42578125" style="498"/>
    <col min="2817" max="2817" width="6.42578125" style="498" customWidth="1"/>
    <col min="2818" max="2818" width="47.5703125" style="498" customWidth="1"/>
    <col min="2819" max="2820" width="5" style="498" customWidth="1"/>
    <col min="2821" max="2821" width="5.42578125" style="498" customWidth="1"/>
    <col min="2822" max="2822" width="4.5703125" style="498" customWidth="1"/>
    <col min="2823" max="2824" width="4.42578125" style="498" customWidth="1"/>
    <col min="2825" max="2825" width="3.5703125" style="498" customWidth="1"/>
    <col min="2826" max="2826" width="5" style="498" customWidth="1"/>
    <col min="2827" max="2827" width="4" style="498" customWidth="1"/>
    <col min="2828" max="2829" width="4.5703125" style="498" customWidth="1"/>
    <col min="2830" max="2830" width="4.42578125" style="498" customWidth="1"/>
    <col min="2831" max="2831" width="4" style="498" customWidth="1"/>
    <col min="2832" max="2832" width="3.5703125" style="498" customWidth="1"/>
    <col min="2833" max="2834" width="4.5703125" style="498" customWidth="1"/>
    <col min="2835" max="2835" width="4" style="498" customWidth="1"/>
    <col min="2836" max="2837" width="4.42578125" style="498" customWidth="1"/>
    <col min="2838" max="2838" width="3.5703125" style="498" customWidth="1"/>
    <col min="2839" max="2839" width="4.42578125" style="498" customWidth="1"/>
    <col min="2840" max="2840" width="5.5703125" style="498" customWidth="1"/>
    <col min="2841" max="2841" width="3.5703125" style="498" customWidth="1"/>
    <col min="2842" max="2842" width="4" style="498" customWidth="1"/>
    <col min="2843" max="2843" width="4.5703125" style="498" customWidth="1"/>
    <col min="2844" max="2846" width="4.42578125" style="498" customWidth="1"/>
    <col min="2847" max="2848" width="4.5703125" style="498" customWidth="1"/>
    <col min="2849" max="2849" width="4" style="498" customWidth="1"/>
    <col min="2850" max="2850" width="4.5703125" style="498" customWidth="1"/>
    <col min="2851" max="2851" width="6" style="498" customWidth="1"/>
    <col min="2852" max="2852" width="8.5703125" style="498" customWidth="1"/>
    <col min="2853" max="3072" width="11.42578125" style="498"/>
    <col min="3073" max="3073" width="6.42578125" style="498" customWidth="1"/>
    <col min="3074" max="3074" width="47.5703125" style="498" customWidth="1"/>
    <col min="3075" max="3076" width="5" style="498" customWidth="1"/>
    <col min="3077" max="3077" width="5.42578125" style="498" customWidth="1"/>
    <col min="3078" max="3078" width="4.5703125" style="498" customWidth="1"/>
    <col min="3079" max="3080" width="4.42578125" style="498" customWidth="1"/>
    <col min="3081" max="3081" width="3.5703125" style="498" customWidth="1"/>
    <col min="3082" max="3082" width="5" style="498" customWidth="1"/>
    <col min="3083" max="3083" width="4" style="498" customWidth="1"/>
    <col min="3084" max="3085" width="4.5703125" style="498" customWidth="1"/>
    <col min="3086" max="3086" width="4.42578125" style="498" customWidth="1"/>
    <col min="3087" max="3087" width="4" style="498" customWidth="1"/>
    <col min="3088" max="3088" width="3.5703125" style="498" customWidth="1"/>
    <col min="3089" max="3090" width="4.5703125" style="498" customWidth="1"/>
    <col min="3091" max="3091" width="4" style="498" customWidth="1"/>
    <col min="3092" max="3093" width="4.42578125" style="498" customWidth="1"/>
    <col min="3094" max="3094" width="3.5703125" style="498" customWidth="1"/>
    <col min="3095" max="3095" width="4.42578125" style="498" customWidth="1"/>
    <col min="3096" max="3096" width="5.5703125" style="498" customWidth="1"/>
    <col min="3097" max="3097" width="3.5703125" style="498" customWidth="1"/>
    <col min="3098" max="3098" width="4" style="498" customWidth="1"/>
    <col min="3099" max="3099" width="4.5703125" style="498" customWidth="1"/>
    <col min="3100" max="3102" width="4.42578125" style="498" customWidth="1"/>
    <col min="3103" max="3104" width="4.5703125" style="498" customWidth="1"/>
    <col min="3105" max="3105" width="4" style="498" customWidth="1"/>
    <col min="3106" max="3106" width="4.5703125" style="498" customWidth="1"/>
    <col min="3107" max="3107" width="6" style="498" customWidth="1"/>
    <col min="3108" max="3108" width="8.5703125" style="498" customWidth="1"/>
    <col min="3109" max="3328" width="11.42578125" style="498"/>
    <col min="3329" max="3329" width="6.42578125" style="498" customWidth="1"/>
    <col min="3330" max="3330" width="47.5703125" style="498" customWidth="1"/>
    <col min="3331" max="3332" width="5" style="498" customWidth="1"/>
    <col min="3333" max="3333" width="5.42578125" style="498" customWidth="1"/>
    <col min="3334" max="3334" width="4.5703125" style="498" customWidth="1"/>
    <col min="3335" max="3336" width="4.42578125" style="498" customWidth="1"/>
    <col min="3337" max="3337" width="3.5703125" style="498" customWidth="1"/>
    <col min="3338" max="3338" width="5" style="498" customWidth="1"/>
    <col min="3339" max="3339" width="4" style="498" customWidth="1"/>
    <col min="3340" max="3341" width="4.5703125" style="498" customWidth="1"/>
    <col min="3342" max="3342" width="4.42578125" style="498" customWidth="1"/>
    <col min="3343" max="3343" width="4" style="498" customWidth="1"/>
    <col min="3344" max="3344" width="3.5703125" style="498" customWidth="1"/>
    <col min="3345" max="3346" width="4.5703125" style="498" customWidth="1"/>
    <col min="3347" max="3347" width="4" style="498" customWidth="1"/>
    <col min="3348" max="3349" width="4.42578125" style="498" customWidth="1"/>
    <col min="3350" max="3350" width="3.5703125" style="498" customWidth="1"/>
    <col min="3351" max="3351" width="4.42578125" style="498" customWidth="1"/>
    <col min="3352" max="3352" width="5.5703125" style="498" customWidth="1"/>
    <col min="3353" max="3353" width="3.5703125" style="498" customWidth="1"/>
    <col min="3354" max="3354" width="4" style="498" customWidth="1"/>
    <col min="3355" max="3355" width="4.5703125" style="498" customWidth="1"/>
    <col min="3356" max="3358" width="4.42578125" style="498" customWidth="1"/>
    <col min="3359" max="3360" width="4.5703125" style="498" customWidth="1"/>
    <col min="3361" max="3361" width="4" style="498" customWidth="1"/>
    <col min="3362" max="3362" width="4.5703125" style="498" customWidth="1"/>
    <col min="3363" max="3363" width="6" style="498" customWidth="1"/>
    <col min="3364" max="3364" width="8.5703125" style="498" customWidth="1"/>
    <col min="3365" max="3584" width="11.42578125" style="498"/>
    <col min="3585" max="3585" width="6.42578125" style="498" customWidth="1"/>
    <col min="3586" max="3586" width="47.5703125" style="498" customWidth="1"/>
    <col min="3587" max="3588" width="5" style="498" customWidth="1"/>
    <col min="3589" max="3589" width="5.42578125" style="498" customWidth="1"/>
    <col min="3590" max="3590" width="4.5703125" style="498" customWidth="1"/>
    <col min="3591" max="3592" width="4.42578125" style="498" customWidth="1"/>
    <col min="3593" max="3593" width="3.5703125" style="498" customWidth="1"/>
    <col min="3594" max="3594" width="5" style="498" customWidth="1"/>
    <col min="3595" max="3595" width="4" style="498" customWidth="1"/>
    <col min="3596" max="3597" width="4.5703125" style="498" customWidth="1"/>
    <col min="3598" max="3598" width="4.42578125" style="498" customWidth="1"/>
    <col min="3599" max="3599" width="4" style="498" customWidth="1"/>
    <col min="3600" max="3600" width="3.5703125" style="498" customWidth="1"/>
    <col min="3601" max="3602" width="4.5703125" style="498" customWidth="1"/>
    <col min="3603" max="3603" width="4" style="498" customWidth="1"/>
    <col min="3604" max="3605" width="4.42578125" style="498" customWidth="1"/>
    <col min="3606" max="3606" width="3.5703125" style="498" customWidth="1"/>
    <col min="3607" max="3607" width="4.42578125" style="498" customWidth="1"/>
    <col min="3608" max="3608" width="5.5703125" style="498" customWidth="1"/>
    <col min="3609" max="3609" width="3.5703125" style="498" customWidth="1"/>
    <col min="3610" max="3610" width="4" style="498" customWidth="1"/>
    <col min="3611" max="3611" width="4.5703125" style="498" customWidth="1"/>
    <col min="3612" max="3614" width="4.42578125" style="498" customWidth="1"/>
    <col min="3615" max="3616" width="4.5703125" style="498" customWidth="1"/>
    <col min="3617" max="3617" width="4" style="498" customWidth="1"/>
    <col min="3618" max="3618" width="4.5703125" style="498" customWidth="1"/>
    <col min="3619" max="3619" width="6" style="498" customWidth="1"/>
    <col min="3620" max="3620" width="8.5703125" style="498" customWidth="1"/>
    <col min="3621" max="3840" width="11.42578125" style="498"/>
    <col min="3841" max="3841" width="6.42578125" style="498" customWidth="1"/>
    <col min="3842" max="3842" width="47.5703125" style="498" customWidth="1"/>
    <col min="3843" max="3844" width="5" style="498" customWidth="1"/>
    <col min="3845" max="3845" width="5.42578125" style="498" customWidth="1"/>
    <col min="3846" max="3846" width="4.5703125" style="498" customWidth="1"/>
    <col min="3847" max="3848" width="4.42578125" style="498" customWidth="1"/>
    <col min="3849" max="3849" width="3.5703125" style="498" customWidth="1"/>
    <col min="3850" max="3850" width="5" style="498" customWidth="1"/>
    <col min="3851" max="3851" width="4" style="498" customWidth="1"/>
    <col min="3852" max="3853" width="4.5703125" style="498" customWidth="1"/>
    <col min="3854" max="3854" width="4.42578125" style="498" customWidth="1"/>
    <col min="3855" max="3855" width="4" style="498" customWidth="1"/>
    <col min="3856" max="3856" width="3.5703125" style="498" customWidth="1"/>
    <col min="3857" max="3858" width="4.5703125" style="498" customWidth="1"/>
    <col min="3859" max="3859" width="4" style="498" customWidth="1"/>
    <col min="3860" max="3861" width="4.42578125" style="498" customWidth="1"/>
    <col min="3862" max="3862" width="3.5703125" style="498" customWidth="1"/>
    <col min="3863" max="3863" width="4.42578125" style="498" customWidth="1"/>
    <col min="3864" max="3864" width="5.5703125" style="498" customWidth="1"/>
    <col min="3865" max="3865" width="3.5703125" style="498" customWidth="1"/>
    <col min="3866" max="3866" width="4" style="498" customWidth="1"/>
    <col min="3867" max="3867" width="4.5703125" style="498" customWidth="1"/>
    <col min="3868" max="3870" width="4.42578125" style="498" customWidth="1"/>
    <col min="3871" max="3872" width="4.5703125" style="498" customWidth="1"/>
    <col min="3873" max="3873" width="4" style="498" customWidth="1"/>
    <col min="3874" max="3874" width="4.5703125" style="498" customWidth="1"/>
    <col min="3875" max="3875" width="6" style="498" customWidth="1"/>
    <col min="3876" max="3876" width="8.5703125" style="498" customWidth="1"/>
    <col min="3877" max="4096" width="11.42578125" style="498"/>
    <col min="4097" max="4097" width="6.42578125" style="498" customWidth="1"/>
    <col min="4098" max="4098" width="47.5703125" style="498" customWidth="1"/>
    <col min="4099" max="4100" width="5" style="498" customWidth="1"/>
    <col min="4101" max="4101" width="5.42578125" style="498" customWidth="1"/>
    <col min="4102" max="4102" width="4.5703125" style="498" customWidth="1"/>
    <col min="4103" max="4104" width="4.42578125" style="498" customWidth="1"/>
    <col min="4105" max="4105" width="3.5703125" style="498" customWidth="1"/>
    <col min="4106" max="4106" width="5" style="498" customWidth="1"/>
    <col min="4107" max="4107" width="4" style="498" customWidth="1"/>
    <col min="4108" max="4109" width="4.5703125" style="498" customWidth="1"/>
    <col min="4110" max="4110" width="4.42578125" style="498" customWidth="1"/>
    <col min="4111" max="4111" width="4" style="498" customWidth="1"/>
    <col min="4112" max="4112" width="3.5703125" style="498" customWidth="1"/>
    <col min="4113" max="4114" width="4.5703125" style="498" customWidth="1"/>
    <col min="4115" max="4115" width="4" style="498" customWidth="1"/>
    <col min="4116" max="4117" width="4.42578125" style="498" customWidth="1"/>
    <col min="4118" max="4118" width="3.5703125" style="498" customWidth="1"/>
    <col min="4119" max="4119" width="4.42578125" style="498" customWidth="1"/>
    <col min="4120" max="4120" width="5.5703125" style="498" customWidth="1"/>
    <col min="4121" max="4121" width="3.5703125" style="498" customWidth="1"/>
    <col min="4122" max="4122" width="4" style="498" customWidth="1"/>
    <col min="4123" max="4123" width="4.5703125" style="498" customWidth="1"/>
    <col min="4124" max="4126" width="4.42578125" style="498" customWidth="1"/>
    <col min="4127" max="4128" width="4.5703125" style="498" customWidth="1"/>
    <col min="4129" max="4129" width="4" style="498" customWidth="1"/>
    <col min="4130" max="4130" width="4.5703125" style="498" customWidth="1"/>
    <col min="4131" max="4131" width="6" style="498" customWidth="1"/>
    <col min="4132" max="4132" width="8.5703125" style="498" customWidth="1"/>
    <col min="4133" max="4352" width="11.42578125" style="498"/>
    <col min="4353" max="4353" width="6.42578125" style="498" customWidth="1"/>
    <col min="4354" max="4354" width="47.5703125" style="498" customWidth="1"/>
    <col min="4355" max="4356" width="5" style="498" customWidth="1"/>
    <col min="4357" max="4357" width="5.42578125" style="498" customWidth="1"/>
    <col min="4358" max="4358" width="4.5703125" style="498" customWidth="1"/>
    <col min="4359" max="4360" width="4.42578125" style="498" customWidth="1"/>
    <col min="4361" max="4361" width="3.5703125" style="498" customWidth="1"/>
    <col min="4362" max="4362" width="5" style="498" customWidth="1"/>
    <col min="4363" max="4363" width="4" style="498" customWidth="1"/>
    <col min="4364" max="4365" width="4.5703125" style="498" customWidth="1"/>
    <col min="4366" max="4366" width="4.42578125" style="498" customWidth="1"/>
    <col min="4367" max="4367" width="4" style="498" customWidth="1"/>
    <col min="4368" max="4368" width="3.5703125" style="498" customWidth="1"/>
    <col min="4369" max="4370" width="4.5703125" style="498" customWidth="1"/>
    <col min="4371" max="4371" width="4" style="498" customWidth="1"/>
    <col min="4372" max="4373" width="4.42578125" style="498" customWidth="1"/>
    <col min="4374" max="4374" width="3.5703125" style="498" customWidth="1"/>
    <col min="4375" max="4375" width="4.42578125" style="498" customWidth="1"/>
    <col min="4376" max="4376" width="5.5703125" style="498" customWidth="1"/>
    <col min="4377" max="4377" width="3.5703125" style="498" customWidth="1"/>
    <col min="4378" max="4378" width="4" style="498" customWidth="1"/>
    <col min="4379" max="4379" width="4.5703125" style="498" customWidth="1"/>
    <col min="4380" max="4382" width="4.42578125" style="498" customWidth="1"/>
    <col min="4383" max="4384" width="4.5703125" style="498" customWidth="1"/>
    <col min="4385" max="4385" width="4" style="498" customWidth="1"/>
    <col min="4386" max="4386" width="4.5703125" style="498" customWidth="1"/>
    <col min="4387" max="4387" width="6" style="498" customWidth="1"/>
    <col min="4388" max="4388" width="8.5703125" style="498" customWidth="1"/>
    <col min="4389" max="4608" width="11.42578125" style="498"/>
    <col min="4609" max="4609" width="6.42578125" style="498" customWidth="1"/>
    <col min="4610" max="4610" width="47.5703125" style="498" customWidth="1"/>
    <col min="4611" max="4612" width="5" style="498" customWidth="1"/>
    <col min="4613" max="4613" width="5.42578125" style="498" customWidth="1"/>
    <col min="4614" max="4614" width="4.5703125" style="498" customWidth="1"/>
    <col min="4615" max="4616" width="4.42578125" style="498" customWidth="1"/>
    <col min="4617" max="4617" width="3.5703125" style="498" customWidth="1"/>
    <col min="4618" max="4618" width="5" style="498" customWidth="1"/>
    <col min="4619" max="4619" width="4" style="498" customWidth="1"/>
    <col min="4620" max="4621" width="4.5703125" style="498" customWidth="1"/>
    <col min="4622" max="4622" width="4.42578125" style="498" customWidth="1"/>
    <col min="4623" max="4623" width="4" style="498" customWidth="1"/>
    <col min="4624" max="4624" width="3.5703125" style="498" customWidth="1"/>
    <col min="4625" max="4626" width="4.5703125" style="498" customWidth="1"/>
    <col min="4627" max="4627" width="4" style="498" customWidth="1"/>
    <col min="4628" max="4629" width="4.42578125" style="498" customWidth="1"/>
    <col min="4630" max="4630" width="3.5703125" style="498" customWidth="1"/>
    <col min="4631" max="4631" width="4.42578125" style="498" customWidth="1"/>
    <col min="4632" max="4632" width="5.5703125" style="498" customWidth="1"/>
    <col min="4633" max="4633" width="3.5703125" style="498" customWidth="1"/>
    <col min="4634" max="4634" width="4" style="498" customWidth="1"/>
    <col min="4635" max="4635" width="4.5703125" style="498" customWidth="1"/>
    <col min="4636" max="4638" width="4.42578125" style="498" customWidth="1"/>
    <col min="4639" max="4640" width="4.5703125" style="498" customWidth="1"/>
    <col min="4641" max="4641" width="4" style="498" customWidth="1"/>
    <col min="4642" max="4642" width="4.5703125" style="498" customWidth="1"/>
    <col min="4643" max="4643" width="6" style="498" customWidth="1"/>
    <col min="4644" max="4644" width="8.5703125" style="498" customWidth="1"/>
    <col min="4645" max="4864" width="11.42578125" style="498"/>
    <col min="4865" max="4865" width="6.42578125" style="498" customWidth="1"/>
    <col min="4866" max="4866" width="47.5703125" style="498" customWidth="1"/>
    <col min="4867" max="4868" width="5" style="498" customWidth="1"/>
    <col min="4869" max="4869" width="5.42578125" style="498" customWidth="1"/>
    <col min="4870" max="4870" width="4.5703125" style="498" customWidth="1"/>
    <col min="4871" max="4872" width="4.42578125" style="498" customWidth="1"/>
    <col min="4873" max="4873" width="3.5703125" style="498" customWidth="1"/>
    <col min="4874" max="4874" width="5" style="498" customWidth="1"/>
    <col min="4875" max="4875" width="4" style="498" customWidth="1"/>
    <col min="4876" max="4877" width="4.5703125" style="498" customWidth="1"/>
    <col min="4878" max="4878" width="4.42578125" style="498" customWidth="1"/>
    <col min="4879" max="4879" width="4" style="498" customWidth="1"/>
    <col min="4880" max="4880" width="3.5703125" style="498" customWidth="1"/>
    <col min="4881" max="4882" width="4.5703125" style="498" customWidth="1"/>
    <col min="4883" max="4883" width="4" style="498" customWidth="1"/>
    <col min="4884" max="4885" width="4.42578125" style="498" customWidth="1"/>
    <col min="4886" max="4886" width="3.5703125" style="498" customWidth="1"/>
    <col min="4887" max="4887" width="4.42578125" style="498" customWidth="1"/>
    <col min="4888" max="4888" width="5.5703125" style="498" customWidth="1"/>
    <col min="4889" max="4889" width="3.5703125" style="498" customWidth="1"/>
    <col min="4890" max="4890" width="4" style="498" customWidth="1"/>
    <col min="4891" max="4891" width="4.5703125" style="498" customWidth="1"/>
    <col min="4892" max="4894" width="4.42578125" style="498" customWidth="1"/>
    <col min="4895" max="4896" width="4.5703125" style="498" customWidth="1"/>
    <col min="4897" max="4897" width="4" style="498" customWidth="1"/>
    <col min="4898" max="4898" width="4.5703125" style="498" customWidth="1"/>
    <col min="4899" max="4899" width="6" style="498" customWidth="1"/>
    <col min="4900" max="4900" width="8.5703125" style="498" customWidth="1"/>
    <col min="4901" max="5120" width="11.42578125" style="498"/>
    <col min="5121" max="5121" width="6.42578125" style="498" customWidth="1"/>
    <col min="5122" max="5122" width="47.5703125" style="498" customWidth="1"/>
    <col min="5123" max="5124" width="5" style="498" customWidth="1"/>
    <col min="5125" max="5125" width="5.42578125" style="498" customWidth="1"/>
    <col min="5126" max="5126" width="4.5703125" style="498" customWidth="1"/>
    <col min="5127" max="5128" width="4.42578125" style="498" customWidth="1"/>
    <col min="5129" max="5129" width="3.5703125" style="498" customWidth="1"/>
    <col min="5130" max="5130" width="5" style="498" customWidth="1"/>
    <col min="5131" max="5131" width="4" style="498" customWidth="1"/>
    <col min="5132" max="5133" width="4.5703125" style="498" customWidth="1"/>
    <col min="5134" max="5134" width="4.42578125" style="498" customWidth="1"/>
    <col min="5135" max="5135" width="4" style="498" customWidth="1"/>
    <col min="5136" max="5136" width="3.5703125" style="498" customWidth="1"/>
    <col min="5137" max="5138" width="4.5703125" style="498" customWidth="1"/>
    <col min="5139" max="5139" width="4" style="498" customWidth="1"/>
    <col min="5140" max="5141" width="4.42578125" style="498" customWidth="1"/>
    <col min="5142" max="5142" width="3.5703125" style="498" customWidth="1"/>
    <col min="5143" max="5143" width="4.42578125" style="498" customWidth="1"/>
    <col min="5144" max="5144" width="5.5703125" style="498" customWidth="1"/>
    <col min="5145" max="5145" width="3.5703125" style="498" customWidth="1"/>
    <col min="5146" max="5146" width="4" style="498" customWidth="1"/>
    <col min="5147" max="5147" width="4.5703125" style="498" customWidth="1"/>
    <col min="5148" max="5150" width="4.42578125" style="498" customWidth="1"/>
    <col min="5151" max="5152" width="4.5703125" style="498" customWidth="1"/>
    <col min="5153" max="5153" width="4" style="498" customWidth="1"/>
    <col min="5154" max="5154" width="4.5703125" style="498" customWidth="1"/>
    <col min="5155" max="5155" width="6" style="498" customWidth="1"/>
    <col min="5156" max="5156" width="8.5703125" style="498" customWidth="1"/>
    <col min="5157" max="5376" width="11.42578125" style="498"/>
    <col min="5377" max="5377" width="6.42578125" style="498" customWidth="1"/>
    <col min="5378" max="5378" width="47.5703125" style="498" customWidth="1"/>
    <col min="5379" max="5380" width="5" style="498" customWidth="1"/>
    <col min="5381" max="5381" width="5.42578125" style="498" customWidth="1"/>
    <col min="5382" max="5382" width="4.5703125" style="498" customWidth="1"/>
    <col min="5383" max="5384" width="4.42578125" style="498" customWidth="1"/>
    <col min="5385" max="5385" width="3.5703125" style="498" customWidth="1"/>
    <col min="5386" max="5386" width="5" style="498" customWidth="1"/>
    <col min="5387" max="5387" width="4" style="498" customWidth="1"/>
    <col min="5388" max="5389" width="4.5703125" style="498" customWidth="1"/>
    <col min="5390" max="5390" width="4.42578125" style="498" customWidth="1"/>
    <col min="5391" max="5391" width="4" style="498" customWidth="1"/>
    <col min="5392" max="5392" width="3.5703125" style="498" customWidth="1"/>
    <col min="5393" max="5394" width="4.5703125" style="498" customWidth="1"/>
    <col min="5395" max="5395" width="4" style="498" customWidth="1"/>
    <col min="5396" max="5397" width="4.42578125" style="498" customWidth="1"/>
    <col min="5398" max="5398" width="3.5703125" style="498" customWidth="1"/>
    <col min="5399" max="5399" width="4.42578125" style="498" customWidth="1"/>
    <col min="5400" max="5400" width="5.5703125" style="498" customWidth="1"/>
    <col min="5401" max="5401" width="3.5703125" style="498" customWidth="1"/>
    <col min="5402" max="5402" width="4" style="498" customWidth="1"/>
    <col min="5403" max="5403" width="4.5703125" style="498" customWidth="1"/>
    <col min="5404" max="5406" width="4.42578125" style="498" customWidth="1"/>
    <col min="5407" max="5408" width="4.5703125" style="498" customWidth="1"/>
    <col min="5409" max="5409" width="4" style="498" customWidth="1"/>
    <col min="5410" max="5410" width="4.5703125" style="498" customWidth="1"/>
    <col min="5411" max="5411" width="6" style="498" customWidth="1"/>
    <col min="5412" max="5412" width="8.5703125" style="498" customWidth="1"/>
    <col min="5413" max="5632" width="11.42578125" style="498"/>
    <col min="5633" max="5633" width="6.42578125" style="498" customWidth="1"/>
    <col min="5634" max="5634" width="47.5703125" style="498" customWidth="1"/>
    <col min="5635" max="5636" width="5" style="498" customWidth="1"/>
    <col min="5637" max="5637" width="5.42578125" style="498" customWidth="1"/>
    <col min="5638" max="5638" width="4.5703125" style="498" customWidth="1"/>
    <col min="5639" max="5640" width="4.42578125" style="498" customWidth="1"/>
    <col min="5641" max="5641" width="3.5703125" style="498" customWidth="1"/>
    <col min="5642" max="5642" width="5" style="498" customWidth="1"/>
    <col min="5643" max="5643" width="4" style="498" customWidth="1"/>
    <col min="5644" max="5645" width="4.5703125" style="498" customWidth="1"/>
    <col min="5646" max="5646" width="4.42578125" style="498" customWidth="1"/>
    <col min="5647" max="5647" width="4" style="498" customWidth="1"/>
    <col min="5648" max="5648" width="3.5703125" style="498" customWidth="1"/>
    <col min="5649" max="5650" width="4.5703125" style="498" customWidth="1"/>
    <col min="5651" max="5651" width="4" style="498" customWidth="1"/>
    <col min="5652" max="5653" width="4.42578125" style="498" customWidth="1"/>
    <col min="5654" max="5654" width="3.5703125" style="498" customWidth="1"/>
    <col min="5655" max="5655" width="4.42578125" style="498" customWidth="1"/>
    <col min="5656" max="5656" width="5.5703125" style="498" customWidth="1"/>
    <col min="5657" max="5657" width="3.5703125" style="498" customWidth="1"/>
    <col min="5658" max="5658" width="4" style="498" customWidth="1"/>
    <col min="5659" max="5659" width="4.5703125" style="498" customWidth="1"/>
    <col min="5660" max="5662" width="4.42578125" style="498" customWidth="1"/>
    <col min="5663" max="5664" width="4.5703125" style="498" customWidth="1"/>
    <col min="5665" max="5665" width="4" style="498" customWidth="1"/>
    <col min="5666" max="5666" width="4.5703125" style="498" customWidth="1"/>
    <col min="5667" max="5667" width="6" style="498" customWidth="1"/>
    <col min="5668" max="5668" width="8.5703125" style="498" customWidth="1"/>
    <col min="5669" max="5888" width="11.42578125" style="498"/>
    <col min="5889" max="5889" width="6.42578125" style="498" customWidth="1"/>
    <col min="5890" max="5890" width="47.5703125" style="498" customWidth="1"/>
    <col min="5891" max="5892" width="5" style="498" customWidth="1"/>
    <col min="5893" max="5893" width="5.42578125" style="498" customWidth="1"/>
    <col min="5894" max="5894" width="4.5703125" style="498" customWidth="1"/>
    <col min="5895" max="5896" width="4.42578125" style="498" customWidth="1"/>
    <col min="5897" max="5897" width="3.5703125" style="498" customWidth="1"/>
    <col min="5898" max="5898" width="5" style="498" customWidth="1"/>
    <col min="5899" max="5899" width="4" style="498" customWidth="1"/>
    <col min="5900" max="5901" width="4.5703125" style="498" customWidth="1"/>
    <col min="5902" max="5902" width="4.42578125" style="498" customWidth="1"/>
    <col min="5903" max="5903" width="4" style="498" customWidth="1"/>
    <col min="5904" max="5904" width="3.5703125" style="498" customWidth="1"/>
    <col min="5905" max="5906" width="4.5703125" style="498" customWidth="1"/>
    <col min="5907" max="5907" width="4" style="498" customWidth="1"/>
    <col min="5908" max="5909" width="4.42578125" style="498" customWidth="1"/>
    <col min="5910" max="5910" width="3.5703125" style="498" customWidth="1"/>
    <col min="5911" max="5911" width="4.42578125" style="498" customWidth="1"/>
    <col min="5912" max="5912" width="5.5703125" style="498" customWidth="1"/>
    <col min="5913" max="5913" width="3.5703125" style="498" customWidth="1"/>
    <col min="5914" max="5914" width="4" style="498" customWidth="1"/>
    <col min="5915" max="5915" width="4.5703125" style="498" customWidth="1"/>
    <col min="5916" max="5918" width="4.42578125" style="498" customWidth="1"/>
    <col min="5919" max="5920" width="4.5703125" style="498" customWidth="1"/>
    <col min="5921" max="5921" width="4" style="498" customWidth="1"/>
    <col min="5922" max="5922" width="4.5703125" style="498" customWidth="1"/>
    <col min="5923" max="5923" width="6" style="498" customWidth="1"/>
    <col min="5924" max="5924" width="8.5703125" style="498" customWidth="1"/>
    <col min="5925" max="6144" width="11.42578125" style="498"/>
    <col min="6145" max="6145" width="6.42578125" style="498" customWidth="1"/>
    <col min="6146" max="6146" width="47.5703125" style="498" customWidth="1"/>
    <col min="6147" max="6148" width="5" style="498" customWidth="1"/>
    <col min="6149" max="6149" width="5.42578125" style="498" customWidth="1"/>
    <col min="6150" max="6150" width="4.5703125" style="498" customWidth="1"/>
    <col min="6151" max="6152" width="4.42578125" style="498" customWidth="1"/>
    <col min="6153" max="6153" width="3.5703125" style="498" customWidth="1"/>
    <col min="6154" max="6154" width="5" style="498" customWidth="1"/>
    <col min="6155" max="6155" width="4" style="498" customWidth="1"/>
    <col min="6156" max="6157" width="4.5703125" style="498" customWidth="1"/>
    <col min="6158" max="6158" width="4.42578125" style="498" customWidth="1"/>
    <col min="6159" max="6159" width="4" style="498" customWidth="1"/>
    <col min="6160" max="6160" width="3.5703125" style="498" customWidth="1"/>
    <col min="6161" max="6162" width="4.5703125" style="498" customWidth="1"/>
    <col min="6163" max="6163" width="4" style="498" customWidth="1"/>
    <col min="6164" max="6165" width="4.42578125" style="498" customWidth="1"/>
    <col min="6166" max="6166" width="3.5703125" style="498" customWidth="1"/>
    <col min="6167" max="6167" width="4.42578125" style="498" customWidth="1"/>
    <col min="6168" max="6168" width="5.5703125" style="498" customWidth="1"/>
    <col min="6169" max="6169" width="3.5703125" style="498" customWidth="1"/>
    <col min="6170" max="6170" width="4" style="498" customWidth="1"/>
    <col min="6171" max="6171" width="4.5703125" style="498" customWidth="1"/>
    <col min="6172" max="6174" width="4.42578125" style="498" customWidth="1"/>
    <col min="6175" max="6176" width="4.5703125" style="498" customWidth="1"/>
    <col min="6177" max="6177" width="4" style="498" customWidth="1"/>
    <col min="6178" max="6178" width="4.5703125" style="498" customWidth="1"/>
    <col min="6179" max="6179" width="6" style="498" customWidth="1"/>
    <col min="6180" max="6180" width="8.5703125" style="498" customWidth="1"/>
    <col min="6181" max="6400" width="11.42578125" style="498"/>
    <col min="6401" max="6401" width="6.42578125" style="498" customWidth="1"/>
    <col min="6402" max="6402" width="47.5703125" style="498" customWidth="1"/>
    <col min="6403" max="6404" width="5" style="498" customWidth="1"/>
    <col min="6405" max="6405" width="5.42578125" style="498" customWidth="1"/>
    <col min="6406" max="6406" width="4.5703125" style="498" customWidth="1"/>
    <col min="6407" max="6408" width="4.42578125" style="498" customWidth="1"/>
    <col min="6409" max="6409" width="3.5703125" style="498" customWidth="1"/>
    <col min="6410" max="6410" width="5" style="498" customWidth="1"/>
    <col min="6411" max="6411" width="4" style="498" customWidth="1"/>
    <col min="6412" max="6413" width="4.5703125" style="498" customWidth="1"/>
    <col min="6414" max="6414" width="4.42578125" style="498" customWidth="1"/>
    <col min="6415" max="6415" width="4" style="498" customWidth="1"/>
    <col min="6416" max="6416" width="3.5703125" style="498" customWidth="1"/>
    <col min="6417" max="6418" width="4.5703125" style="498" customWidth="1"/>
    <col min="6419" max="6419" width="4" style="498" customWidth="1"/>
    <col min="6420" max="6421" width="4.42578125" style="498" customWidth="1"/>
    <col min="6422" max="6422" width="3.5703125" style="498" customWidth="1"/>
    <col min="6423" max="6423" width="4.42578125" style="498" customWidth="1"/>
    <col min="6424" max="6424" width="5.5703125" style="498" customWidth="1"/>
    <col min="6425" max="6425" width="3.5703125" style="498" customWidth="1"/>
    <col min="6426" max="6426" width="4" style="498" customWidth="1"/>
    <col min="6427" max="6427" width="4.5703125" style="498" customWidth="1"/>
    <col min="6428" max="6430" width="4.42578125" style="498" customWidth="1"/>
    <col min="6431" max="6432" width="4.5703125" style="498" customWidth="1"/>
    <col min="6433" max="6433" width="4" style="498" customWidth="1"/>
    <col min="6434" max="6434" width="4.5703125" style="498" customWidth="1"/>
    <col min="6435" max="6435" width="6" style="498" customWidth="1"/>
    <col min="6436" max="6436" width="8.5703125" style="498" customWidth="1"/>
    <col min="6437" max="6656" width="11.42578125" style="498"/>
    <col min="6657" max="6657" width="6.42578125" style="498" customWidth="1"/>
    <col min="6658" max="6658" width="47.5703125" style="498" customWidth="1"/>
    <col min="6659" max="6660" width="5" style="498" customWidth="1"/>
    <col min="6661" max="6661" width="5.42578125" style="498" customWidth="1"/>
    <col min="6662" max="6662" width="4.5703125" style="498" customWidth="1"/>
    <col min="6663" max="6664" width="4.42578125" style="498" customWidth="1"/>
    <col min="6665" max="6665" width="3.5703125" style="498" customWidth="1"/>
    <col min="6666" max="6666" width="5" style="498" customWidth="1"/>
    <col min="6667" max="6667" width="4" style="498" customWidth="1"/>
    <col min="6668" max="6669" width="4.5703125" style="498" customWidth="1"/>
    <col min="6670" max="6670" width="4.42578125" style="498" customWidth="1"/>
    <col min="6671" max="6671" width="4" style="498" customWidth="1"/>
    <col min="6672" max="6672" width="3.5703125" style="498" customWidth="1"/>
    <col min="6673" max="6674" width="4.5703125" style="498" customWidth="1"/>
    <col min="6675" max="6675" width="4" style="498" customWidth="1"/>
    <col min="6676" max="6677" width="4.42578125" style="498" customWidth="1"/>
    <col min="6678" max="6678" width="3.5703125" style="498" customWidth="1"/>
    <col min="6679" max="6679" width="4.42578125" style="498" customWidth="1"/>
    <col min="6680" max="6680" width="5.5703125" style="498" customWidth="1"/>
    <col min="6681" max="6681" width="3.5703125" style="498" customWidth="1"/>
    <col min="6682" max="6682" width="4" style="498" customWidth="1"/>
    <col min="6683" max="6683" width="4.5703125" style="498" customWidth="1"/>
    <col min="6684" max="6686" width="4.42578125" style="498" customWidth="1"/>
    <col min="6687" max="6688" width="4.5703125" style="498" customWidth="1"/>
    <col min="6689" max="6689" width="4" style="498" customWidth="1"/>
    <col min="6690" max="6690" width="4.5703125" style="498" customWidth="1"/>
    <col min="6691" max="6691" width="6" style="498" customWidth="1"/>
    <col min="6692" max="6692" width="8.5703125" style="498" customWidth="1"/>
    <col min="6693" max="6912" width="11.42578125" style="498"/>
    <col min="6913" max="6913" width="6.42578125" style="498" customWidth="1"/>
    <col min="6914" max="6914" width="47.5703125" style="498" customWidth="1"/>
    <col min="6915" max="6916" width="5" style="498" customWidth="1"/>
    <col min="6917" max="6917" width="5.42578125" style="498" customWidth="1"/>
    <col min="6918" max="6918" width="4.5703125" style="498" customWidth="1"/>
    <col min="6919" max="6920" width="4.42578125" style="498" customWidth="1"/>
    <col min="6921" max="6921" width="3.5703125" style="498" customWidth="1"/>
    <col min="6922" max="6922" width="5" style="498" customWidth="1"/>
    <col min="6923" max="6923" width="4" style="498" customWidth="1"/>
    <col min="6924" max="6925" width="4.5703125" style="498" customWidth="1"/>
    <col min="6926" max="6926" width="4.42578125" style="498" customWidth="1"/>
    <col min="6927" max="6927" width="4" style="498" customWidth="1"/>
    <col min="6928" max="6928" width="3.5703125" style="498" customWidth="1"/>
    <col min="6929" max="6930" width="4.5703125" style="498" customWidth="1"/>
    <col min="6931" max="6931" width="4" style="498" customWidth="1"/>
    <col min="6932" max="6933" width="4.42578125" style="498" customWidth="1"/>
    <col min="6934" max="6934" width="3.5703125" style="498" customWidth="1"/>
    <col min="6935" max="6935" width="4.42578125" style="498" customWidth="1"/>
    <col min="6936" max="6936" width="5.5703125" style="498" customWidth="1"/>
    <col min="6937" max="6937" width="3.5703125" style="498" customWidth="1"/>
    <col min="6938" max="6938" width="4" style="498" customWidth="1"/>
    <col min="6939" max="6939" width="4.5703125" style="498" customWidth="1"/>
    <col min="6940" max="6942" width="4.42578125" style="498" customWidth="1"/>
    <col min="6943" max="6944" width="4.5703125" style="498" customWidth="1"/>
    <col min="6945" max="6945" width="4" style="498" customWidth="1"/>
    <col min="6946" max="6946" width="4.5703125" style="498" customWidth="1"/>
    <col min="6947" max="6947" width="6" style="498" customWidth="1"/>
    <col min="6948" max="6948" width="8.5703125" style="498" customWidth="1"/>
    <col min="6949" max="7168" width="11.42578125" style="498"/>
    <col min="7169" max="7169" width="6.42578125" style="498" customWidth="1"/>
    <col min="7170" max="7170" width="47.5703125" style="498" customWidth="1"/>
    <col min="7171" max="7172" width="5" style="498" customWidth="1"/>
    <col min="7173" max="7173" width="5.42578125" style="498" customWidth="1"/>
    <col min="7174" max="7174" width="4.5703125" style="498" customWidth="1"/>
    <col min="7175" max="7176" width="4.42578125" style="498" customWidth="1"/>
    <col min="7177" max="7177" width="3.5703125" style="498" customWidth="1"/>
    <col min="7178" max="7178" width="5" style="498" customWidth="1"/>
    <col min="7179" max="7179" width="4" style="498" customWidth="1"/>
    <col min="7180" max="7181" width="4.5703125" style="498" customWidth="1"/>
    <col min="7182" max="7182" width="4.42578125" style="498" customWidth="1"/>
    <col min="7183" max="7183" width="4" style="498" customWidth="1"/>
    <col min="7184" max="7184" width="3.5703125" style="498" customWidth="1"/>
    <col min="7185" max="7186" width="4.5703125" style="498" customWidth="1"/>
    <col min="7187" max="7187" width="4" style="498" customWidth="1"/>
    <col min="7188" max="7189" width="4.42578125" style="498" customWidth="1"/>
    <col min="7190" max="7190" width="3.5703125" style="498" customWidth="1"/>
    <col min="7191" max="7191" width="4.42578125" style="498" customWidth="1"/>
    <col min="7192" max="7192" width="5.5703125" style="498" customWidth="1"/>
    <col min="7193" max="7193" width="3.5703125" style="498" customWidth="1"/>
    <col min="7194" max="7194" width="4" style="498" customWidth="1"/>
    <col min="7195" max="7195" width="4.5703125" style="498" customWidth="1"/>
    <col min="7196" max="7198" width="4.42578125" style="498" customWidth="1"/>
    <col min="7199" max="7200" width="4.5703125" style="498" customWidth="1"/>
    <col min="7201" max="7201" width="4" style="498" customWidth="1"/>
    <col min="7202" max="7202" width="4.5703125" style="498" customWidth="1"/>
    <col min="7203" max="7203" width="6" style="498" customWidth="1"/>
    <col min="7204" max="7204" width="8.5703125" style="498" customWidth="1"/>
    <col min="7205" max="7424" width="11.42578125" style="498"/>
    <col min="7425" max="7425" width="6.42578125" style="498" customWidth="1"/>
    <col min="7426" max="7426" width="47.5703125" style="498" customWidth="1"/>
    <col min="7427" max="7428" width="5" style="498" customWidth="1"/>
    <col min="7429" max="7429" width="5.42578125" style="498" customWidth="1"/>
    <col min="7430" max="7430" width="4.5703125" style="498" customWidth="1"/>
    <col min="7431" max="7432" width="4.42578125" style="498" customWidth="1"/>
    <col min="7433" max="7433" width="3.5703125" style="498" customWidth="1"/>
    <col min="7434" max="7434" width="5" style="498" customWidth="1"/>
    <col min="7435" max="7435" width="4" style="498" customWidth="1"/>
    <col min="7436" max="7437" width="4.5703125" style="498" customWidth="1"/>
    <col min="7438" max="7438" width="4.42578125" style="498" customWidth="1"/>
    <col min="7439" max="7439" width="4" style="498" customWidth="1"/>
    <col min="7440" max="7440" width="3.5703125" style="498" customWidth="1"/>
    <col min="7441" max="7442" width="4.5703125" style="498" customWidth="1"/>
    <col min="7443" max="7443" width="4" style="498" customWidth="1"/>
    <col min="7444" max="7445" width="4.42578125" style="498" customWidth="1"/>
    <col min="7446" max="7446" width="3.5703125" style="498" customWidth="1"/>
    <col min="7447" max="7447" width="4.42578125" style="498" customWidth="1"/>
    <col min="7448" max="7448" width="5.5703125" style="498" customWidth="1"/>
    <col min="7449" max="7449" width="3.5703125" style="498" customWidth="1"/>
    <col min="7450" max="7450" width="4" style="498" customWidth="1"/>
    <col min="7451" max="7451" width="4.5703125" style="498" customWidth="1"/>
    <col min="7452" max="7454" width="4.42578125" style="498" customWidth="1"/>
    <col min="7455" max="7456" width="4.5703125" style="498" customWidth="1"/>
    <col min="7457" max="7457" width="4" style="498" customWidth="1"/>
    <col min="7458" max="7458" width="4.5703125" style="498" customWidth="1"/>
    <col min="7459" max="7459" width="6" style="498" customWidth="1"/>
    <col min="7460" max="7460" width="8.5703125" style="498" customWidth="1"/>
    <col min="7461" max="7680" width="11.42578125" style="498"/>
    <col min="7681" max="7681" width="6.42578125" style="498" customWidth="1"/>
    <col min="7682" max="7682" width="47.5703125" style="498" customWidth="1"/>
    <col min="7683" max="7684" width="5" style="498" customWidth="1"/>
    <col min="7685" max="7685" width="5.42578125" style="498" customWidth="1"/>
    <col min="7686" max="7686" width="4.5703125" style="498" customWidth="1"/>
    <col min="7687" max="7688" width="4.42578125" style="498" customWidth="1"/>
    <col min="7689" max="7689" width="3.5703125" style="498" customWidth="1"/>
    <col min="7690" max="7690" width="5" style="498" customWidth="1"/>
    <col min="7691" max="7691" width="4" style="498" customWidth="1"/>
    <col min="7692" max="7693" width="4.5703125" style="498" customWidth="1"/>
    <col min="7694" max="7694" width="4.42578125" style="498" customWidth="1"/>
    <col min="7695" max="7695" width="4" style="498" customWidth="1"/>
    <col min="7696" max="7696" width="3.5703125" style="498" customWidth="1"/>
    <col min="7697" max="7698" width="4.5703125" style="498" customWidth="1"/>
    <col min="7699" max="7699" width="4" style="498" customWidth="1"/>
    <col min="7700" max="7701" width="4.42578125" style="498" customWidth="1"/>
    <col min="7702" max="7702" width="3.5703125" style="498" customWidth="1"/>
    <col min="7703" max="7703" width="4.42578125" style="498" customWidth="1"/>
    <col min="7704" max="7704" width="5.5703125" style="498" customWidth="1"/>
    <col min="7705" max="7705" width="3.5703125" style="498" customWidth="1"/>
    <col min="7706" max="7706" width="4" style="498" customWidth="1"/>
    <col min="7707" max="7707" width="4.5703125" style="498" customWidth="1"/>
    <col min="7708" max="7710" width="4.42578125" style="498" customWidth="1"/>
    <col min="7711" max="7712" width="4.5703125" style="498" customWidth="1"/>
    <col min="7713" max="7713" width="4" style="498" customWidth="1"/>
    <col min="7714" max="7714" width="4.5703125" style="498" customWidth="1"/>
    <col min="7715" max="7715" width="6" style="498" customWidth="1"/>
    <col min="7716" max="7716" width="8.5703125" style="498" customWidth="1"/>
    <col min="7717" max="7936" width="11.42578125" style="498"/>
    <col min="7937" max="7937" width="6.42578125" style="498" customWidth="1"/>
    <col min="7938" max="7938" width="47.5703125" style="498" customWidth="1"/>
    <col min="7939" max="7940" width="5" style="498" customWidth="1"/>
    <col min="7941" max="7941" width="5.42578125" style="498" customWidth="1"/>
    <col min="7942" max="7942" width="4.5703125" style="498" customWidth="1"/>
    <col min="7943" max="7944" width="4.42578125" style="498" customWidth="1"/>
    <col min="7945" max="7945" width="3.5703125" style="498" customWidth="1"/>
    <col min="7946" max="7946" width="5" style="498" customWidth="1"/>
    <col min="7947" max="7947" width="4" style="498" customWidth="1"/>
    <col min="7948" max="7949" width="4.5703125" style="498" customWidth="1"/>
    <col min="7950" max="7950" width="4.42578125" style="498" customWidth="1"/>
    <col min="7951" max="7951" width="4" style="498" customWidth="1"/>
    <col min="7952" max="7952" width="3.5703125" style="498" customWidth="1"/>
    <col min="7953" max="7954" width="4.5703125" style="498" customWidth="1"/>
    <col min="7955" max="7955" width="4" style="498" customWidth="1"/>
    <col min="7956" max="7957" width="4.42578125" style="498" customWidth="1"/>
    <col min="7958" max="7958" width="3.5703125" style="498" customWidth="1"/>
    <col min="7959" max="7959" width="4.42578125" style="498" customWidth="1"/>
    <col min="7960" max="7960" width="5.5703125" style="498" customWidth="1"/>
    <col min="7961" max="7961" width="3.5703125" style="498" customWidth="1"/>
    <col min="7962" max="7962" width="4" style="498" customWidth="1"/>
    <col min="7963" max="7963" width="4.5703125" style="498" customWidth="1"/>
    <col min="7964" max="7966" width="4.42578125" style="498" customWidth="1"/>
    <col min="7967" max="7968" width="4.5703125" style="498" customWidth="1"/>
    <col min="7969" max="7969" width="4" style="498" customWidth="1"/>
    <col min="7970" max="7970" width="4.5703125" style="498" customWidth="1"/>
    <col min="7971" max="7971" width="6" style="498" customWidth="1"/>
    <col min="7972" max="7972" width="8.5703125" style="498" customWidth="1"/>
    <col min="7973" max="8192" width="11.42578125" style="498"/>
    <col min="8193" max="8193" width="6.42578125" style="498" customWidth="1"/>
    <col min="8194" max="8194" width="47.5703125" style="498" customWidth="1"/>
    <col min="8195" max="8196" width="5" style="498" customWidth="1"/>
    <col min="8197" max="8197" width="5.42578125" style="498" customWidth="1"/>
    <col min="8198" max="8198" width="4.5703125" style="498" customWidth="1"/>
    <col min="8199" max="8200" width="4.42578125" style="498" customWidth="1"/>
    <col min="8201" max="8201" width="3.5703125" style="498" customWidth="1"/>
    <col min="8202" max="8202" width="5" style="498" customWidth="1"/>
    <col min="8203" max="8203" width="4" style="498" customWidth="1"/>
    <col min="8204" max="8205" width="4.5703125" style="498" customWidth="1"/>
    <col min="8206" max="8206" width="4.42578125" style="498" customWidth="1"/>
    <col min="8207" max="8207" width="4" style="498" customWidth="1"/>
    <col min="8208" max="8208" width="3.5703125" style="498" customWidth="1"/>
    <col min="8209" max="8210" width="4.5703125" style="498" customWidth="1"/>
    <col min="8211" max="8211" width="4" style="498" customWidth="1"/>
    <col min="8212" max="8213" width="4.42578125" style="498" customWidth="1"/>
    <col min="8214" max="8214" width="3.5703125" style="498" customWidth="1"/>
    <col min="8215" max="8215" width="4.42578125" style="498" customWidth="1"/>
    <col min="8216" max="8216" width="5.5703125" style="498" customWidth="1"/>
    <col min="8217" max="8217" width="3.5703125" style="498" customWidth="1"/>
    <col min="8218" max="8218" width="4" style="498" customWidth="1"/>
    <col min="8219" max="8219" width="4.5703125" style="498" customWidth="1"/>
    <col min="8220" max="8222" width="4.42578125" style="498" customWidth="1"/>
    <col min="8223" max="8224" width="4.5703125" style="498" customWidth="1"/>
    <col min="8225" max="8225" width="4" style="498" customWidth="1"/>
    <col min="8226" max="8226" width="4.5703125" style="498" customWidth="1"/>
    <col min="8227" max="8227" width="6" style="498" customWidth="1"/>
    <col min="8228" max="8228" width="8.5703125" style="498" customWidth="1"/>
    <col min="8229" max="8448" width="11.42578125" style="498"/>
    <col min="8449" max="8449" width="6.42578125" style="498" customWidth="1"/>
    <col min="8450" max="8450" width="47.5703125" style="498" customWidth="1"/>
    <col min="8451" max="8452" width="5" style="498" customWidth="1"/>
    <col min="8453" max="8453" width="5.42578125" style="498" customWidth="1"/>
    <col min="8454" max="8454" width="4.5703125" style="498" customWidth="1"/>
    <col min="8455" max="8456" width="4.42578125" style="498" customWidth="1"/>
    <col min="8457" max="8457" width="3.5703125" style="498" customWidth="1"/>
    <col min="8458" max="8458" width="5" style="498" customWidth="1"/>
    <col min="8459" max="8459" width="4" style="498" customWidth="1"/>
    <col min="8460" max="8461" width="4.5703125" style="498" customWidth="1"/>
    <col min="8462" max="8462" width="4.42578125" style="498" customWidth="1"/>
    <col min="8463" max="8463" width="4" style="498" customWidth="1"/>
    <col min="8464" max="8464" width="3.5703125" style="498" customWidth="1"/>
    <col min="8465" max="8466" width="4.5703125" style="498" customWidth="1"/>
    <col min="8467" max="8467" width="4" style="498" customWidth="1"/>
    <col min="8468" max="8469" width="4.42578125" style="498" customWidth="1"/>
    <col min="8470" max="8470" width="3.5703125" style="498" customWidth="1"/>
    <col min="8471" max="8471" width="4.42578125" style="498" customWidth="1"/>
    <col min="8472" max="8472" width="5.5703125" style="498" customWidth="1"/>
    <col min="8473" max="8473" width="3.5703125" style="498" customWidth="1"/>
    <col min="8474" max="8474" width="4" style="498" customWidth="1"/>
    <col min="8475" max="8475" width="4.5703125" style="498" customWidth="1"/>
    <col min="8476" max="8478" width="4.42578125" style="498" customWidth="1"/>
    <col min="8479" max="8480" width="4.5703125" style="498" customWidth="1"/>
    <col min="8481" max="8481" width="4" style="498" customWidth="1"/>
    <col min="8482" max="8482" width="4.5703125" style="498" customWidth="1"/>
    <col min="8483" max="8483" width="6" style="498" customWidth="1"/>
    <col min="8484" max="8484" width="8.5703125" style="498" customWidth="1"/>
    <col min="8485" max="8704" width="11.42578125" style="498"/>
    <col min="8705" max="8705" width="6.42578125" style="498" customWidth="1"/>
    <col min="8706" max="8706" width="47.5703125" style="498" customWidth="1"/>
    <col min="8707" max="8708" width="5" style="498" customWidth="1"/>
    <col min="8709" max="8709" width="5.42578125" style="498" customWidth="1"/>
    <col min="8710" max="8710" width="4.5703125" style="498" customWidth="1"/>
    <col min="8711" max="8712" width="4.42578125" style="498" customWidth="1"/>
    <col min="8713" max="8713" width="3.5703125" style="498" customWidth="1"/>
    <col min="8714" max="8714" width="5" style="498" customWidth="1"/>
    <col min="8715" max="8715" width="4" style="498" customWidth="1"/>
    <col min="8716" max="8717" width="4.5703125" style="498" customWidth="1"/>
    <col min="8718" max="8718" width="4.42578125" style="498" customWidth="1"/>
    <col min="8719" max="8719" width="4" style="498" customWidth="1"/>
    <col min="8720" max="8720" width="3.5703125" style="498" customWidth="1"/>
    <col min="8721" max="8722" width="4.5703125" style="498" customWidth="1"/>
    <col min="8723" max="8723" width="4" style="498" customWidth="1"/>
    <col min="8724" max="8725" width="4.42578125" style="498" customWidth="1"/>
    <col min="8726" max="8726" width="3.5703125" style="498" customWidth="1"/>
    <col min="8727" max="8727" width="4.42578125" style="498" customWidth="1"/>
    <col min="8728" max="8728" width="5.5703125" style="498" customWidth="1"/>
    <col min="8729" max="8729" width="3.5703125" style="498" customWidth="1"/>
    <col min="8730" max="8730" width="4" style="498" customWidth="1"/>
    <col min="8731" max="8731" width="4.5703125" style="498" customWidth="1"/>
    <col min="8732" max="8734" width="4.42578125" style="498" customWidth="1"/>
    <col min="8735" max="8736" width="4.5703125" style="498" customWidth="1"/>
    <col min="8737" max="8737" width="4" style="498" customWidth="1"/>
    <col min="8738" max="8738" width="4.5703125" style="498" customWidth="1"/>
    <col min="8739" max="8739" width="6" style="498" customWidth="1"/>
    <col min="8740" max="8740" width="8.5703125" style="498" customWidth="1"/>
    <col min="8741" max="8960" width="11.42578125" style="498"/>
    <col min="8961" max="8961" width="6.42578125" style="498" customWidth="1"/>
    <col min="8962" max="8962" width="47.5703125" style="498" customWidth="1"/>
    <col min="8963" max="8964" width="5" style="498" customWidth="1"/>
    <col min="8965" max="8965" width="5.42578125" style="498" customWidth="1"/>
    <col min="8966" max="8966" width="4.5703125" style="498" customWidth="1"/>
    <col min="8967" max="8968" width="4.42578125" style="498" customWidth="1"/>
    <col min="8969" max="8969" width="3.5703125" style="498" customWidth="1"/>
    <col min="8970" max="8970" width="5" style="498" customWidth="1"/>
    <col min="8971" max="8971" width="4" style="498" customWidth="1"/>
    <col min="8972" max="8973" width="4.5703125" style="498" customWidth="1"/>
    <col min="8974" max="8974" width="4.42578125" style="498" customWidth="1"/>
    <col min="8975" max="8975" width="4" style="498" customWidth="1"/>
    <col min="8976" max="8976" width="3.5703125" style="498" customWidth="1"/>
    <col min="8977" max="8978" width="4.5703125" style="498" customWidth="1"/>
    <col min="8979" max="8979" width="4" style="498" customWidth="1"/>
    <col min="8980" max="8981" width="4.42578125" style="498" customWidth="1"/>
    <col min="8982" max="8982" width="3.5703125" style="498" customWidth="1"/>
    <col min="8983" max="8983" width="4.42578125" style="498" customWidth="1"/>
    <col min="8984" max="8984" width="5.5703125" style="498" customWidth="1"/>
    <col min="8985" max="8985" width="3.5703125" style="498" customWidth="1"/>
    <col min="8986" max="8986" width="4" style="498" customWidth="1"/>
    <col min="8987" max="8987" width="4.5703125" style="498" customWidth="1"/>
    <col min="8988" max="8990" width="4.42578125" style="498" customWidth="1"/>
    <col min="8991" max="8992" width="4.5703125" style="498" customWidth="1"/>
    <col min="8993" max="8993" width="4" style="498" customWidth="1"/>
    <col min="8994" max="8994" width="4.5703125" style="498" customWidth="1"/>
    <col min="8995" max="8995" width="6" style="498" customWidth="1"/>
    <col min="8996" max="8996" width="8.5703125" style="498" customWidth="1"/>
    <col min="8997" max="9216" width="11.42578125" style="498"/>
    <col min="9217" max="9217" width="6.42578125" style="498" customWidth="1"/>
    <col min="9218" max="9218" width="47.5703125" style="498" customWidth="1"/>
    <col min="9219" max="9220" width="5" style="498" customWidth="1"/>
    <col min="9221" max="9221" width="5.42578125" style="498" customWidth="1"/>
    <col min="9222" max="9222" width="4.5703125" style="498" customWidth="1"/>
    <col min="9223" max="9224" width="4.42578125" style="498" customWidth="1"/>
    <col min="9225" max="9225" width="3.5703125" style="498" customWidth="1"/>
    <col min="9226" max="9226" width="5" style="498" customWidth="1"/>
    <col min="9227" max="9227" width="4" style="498" customWidth="1"/>
    <col min="9228" max="9229" width="4.5703125" style="498" customWidth="1"/>
    <col min="9230" max="9230" width="4.42578125" style="498" customWidth="1"/>
    <col min="9231" max="9231" width="4" style="498" customWidth="1"/>
    <col min="9232" max="9232" width="3.5703125" style="498" customWidth="1"/>
    <col min="9233" max="9234" width="4.5703125" style="498" customWidth="1"/>
    <col min="9235" max="9235" width="4" style="498" customWidth="1"/>
    <col min="9236" max="9237" width="4.42578125" style="498" customWidth="1"/>
    <col min="9238" max="9238" width="3.5703125" style="498" customWidth="1"/>
    <col min="9239" max="9239" width="4.42578125" style="498" customWidth="1"/>
    <col min="9240" max="9240" width="5.5703125" style="498" customWidth="1"/>
    <col min="9241" max="9241" width="3.5703125" style="498" customWidth="1"/>
    <col min="9242" max="9242" width="4" style="498" customWidth="1"/>
    <col min="9243" max="9243" width="4.5703125" style="498" customWidth="1"/>
    <col min="9244" max="9246" width="4.42578125" style="498" customWidth="1"/>
    <col min="9247" max="9248" width="4.5703125" style="498" customWidth="1"/>
    <col min="9249" max="9249" width="4" style="498" customWidth="1"/>
    <col min="9250" max="9250" width="4.5703125" style="498" customWidth="1"/>
    <col min="9251" max="9251" width="6" style="498" customWidth="1"/>
    <col min="9252" max="9252" width="8.5703125" style="498" customWidth="1"/>
    <col min="9253" max="9472" width="11.42578125" style="498"/>
    <col min="9473" max="9473" width="6.42578125" style="498" customWidth="1"/>
    <col min="9474" max="9474" width="47.5703125" style="498" customWidth="1"/>
    <col min="9475" max="9476" width="5" style="498" customWidth="1"/>
    <col min="9477" max="9477" width="5.42578125" style="498" customWidth="1"/>
    <col min="9478" max="9478" width="4.5703125" style="498" customWidth="1"/>
    <col min="9479" max="9480" width="4.42578125" style="498" customWidth="1"/>
    <col min="9481" max="9481" width="3.5703125" style="498" customWidth="1"/>
    <col min="9482" max="9482" width="5" style="498" customWidth="1"/>
    <col min="9483" max="9483" width="4" style="498" customWidth="1"/>
    <col min="9484" max="9485" width="4.5703125" style="498" customWidth="1"/>
    <col min="9486" max="9486" width="4.42578125" style="498" customWidth="1"/>
    <col min="9487" max="9487" width="4" style="498" customWidth="1"/>
    <col min="9488" max="9488" width="3.5703125" style="498" customWidth="1"/>
    <col min="9489" max="9490" width="4.5703125" style="498" customWidth="1"/>
    <col min="9491" max="9491" width="4" style="498" customWidth="1"/>
    <col min="9492" max="9493" width="4.42578125" style="498" customWidth="1"/>
    <col min="9494" max="9494" width="3.5703125" style="498" customWidth="1"/>
    <col min="9495" max="9495" width="4.42578125" style="498" customWidth="1"/>
    <col min="9496" max="9496" width="5.5703125" style="498" customWidth="1"/>
    <col min="9497" max="9497" width="3.5703125" style="498" customWidth="1"/>
    <col min="9498" max="9498" width="4" style="498" customWidth="1"/>
    <col min="9499" max="9499" width="4.5703125" style="498" customWidth="1"/>
    <col min="9500" max="9502" width="4.42578125" style="498" customWidth="1"/>
    <col min="9503" max="9504" width="4.5703125" style="498" customWidth="1"/>
    <col min="9505" max="9505" width="4" style="498" customWidth="1"/>
    <col min="9506" max="9506" width="4.5703125" style="498" customWidth="1"/>
    <col min="9507" max="9507" width="6" style="498" customWidth="1"/>
    <col min="9508" max="9508" width="8.5703125" style="498" customWidth="1"/>
    <col min="9509" max="9728" width="11.42578125" style="498"/>
    <col min="9729" max="9729" width="6.42578125" style="498" customWidth="1"/>
    <col min="9730" max="9730" width="47.5703125" style="498" customWidth="1"/>
    <col min="9731" max="9732" width="5" style="498" customWidth="1"/>
    <col min="9733" max="9733" width="5.42578125" style="498" customWidth="1"/>
    <col min="9734" max="9734" width="4.5703125" style="498" customWidth="1"/>
    <col min="9735" max="9736" width="4.42578125" style="498" customWidth="1"/>
    <col min="9737" max="9737" width="3.5703125" style="498" customWidth="1"/>
    <col min="9738" max="9738" width="5" style="498" customWidth="1"/>
    <col min="9739" max="9739" width="4" style="498" customWidth="1"/>
    <col min="9740" max="9741" width="4.5703125" style="498" customWidth="1"/>
    <col min="9742" max="9742" width="4.42578125" style="498" customWidth="1"/>
    <col min="9743" max="9743" width="4" style="498" customWidth="1"/>
    <col min="9744" max="9744" width="3.5703125" style="498" customWidth="1"/>
    <col min="9745" max="9746" width="4.5703125" style="498" customWidth="1"/>
    <col min="9747" max="9747" width="4" style="498" customWidth="1"/>
    <col min="9748" max="9749" width="4.42578125" style="498" customWidth="1"/>
    <col min="9750" max="9750" width="3.5703125" style="498" customWidth="1"/>
    <col min="9751" max="9751" width="4.42578125" style="498" customWidth="1"/>
    <col min="9752" max="9752" width="5.5703125" style="498" customWidth="1"/>
    <col min="9753" max="9753" width="3.5703125" style="498" customWidth="1"/>
    <col min="9754" max="9754" width="4" style="498" customWidth="1"/>
    <col min="9755" max="9755" width="4.5703125" style="498" customWidth="1"/>
    <col min="9756" max="9758" width="4.42578125" style="498" customWidth="1"/>
    <col min="9759" max="9760" width="4.5703125" style="498" customWidth="1"/>
    <col min="9761" max="9761" width="4" style="498" customWidth="1"/>
    <col min="9762" max="9762" width="4.5703125" style="498" customWidth="1"/>
    <col min="9763" max="9763" width="6" style="498" customWidth="1"/>
    <col min="9764" max="9764" width="8.5703125" style="498" customWidth="1"/>
    <col min="9765" max="9984" width="11.42578125" style="498"/>
    <col min="9985" max="9985" width="6.42578125" style="498" customWidth="1"/>
    <col min="9986" max="9986" width="47.5703125" style="498" customWidth="1"/>
    <col min="9987" max="9988" width="5" style="498" customWidth="1"/>
    <col min="9989" max="9989" width="5.42578125" style="498" customWidth="1"/>
    <col min="9990" max="9990" width="4.5703125" style="498" customWidth="1"/>
    <col min="9991" max="9992" width="4.42578125" style="498" customWidth="1"/>
    <col min="9993" max="9993" width="3.5703125" style="498" customWidth="1"/>
    <col min="9994" max="9994" width="5" style="498" customWidth="1"/>
    <col min="9995" max="9995" width="4" style="498" customWidth="1"/>
    <col min="9996" max="9997" width="4.5703125" style="498" customWidth="1"/>
    <col min="9998" max="9998" width="4.42578125" style="498" customWidth="1"/>
    <col min="9999" max="9999" width="4" style="498" customWidth="1"/>
    <col min="10000" max="10000" width="3.5703125" style="498" customWidth="1"/>
    <col min="10001" max="10002" width="4.5703125" style="498" customWidth="1"/>
    <col min="10003" max="10003" width="4" style="498" customWidth="1"/>
    <col min="10004" max="10005" width="4.42578125" style="498" customWidth="1"/>
    <col min="10006" max="10006" width="3.5703125" style="498" customWidth="1"/>
    <col min="10007" max="10007" width="4.42578125" style="498" customWidth="1"/>
    <col min="10008" max="10008" width="5.5703125" style="498" customWidth="1"/>
    <col min="10009" max="10009" width="3.5703125" style="498" customWidth="1"/>
    <col min="10010" max="10010" width="4" style="498" customWidth="1"/>
    <col min="10011" max="10011" width="4.5703125" style="498" customWidth="1"/>
    <col min="10012" max="10014" width="4.42578125" style="498" customWidth="1"/>
    <col min="10015" max="10016" width="4.5703125" style="498" customWidth="1"/>
    <col min="10017" max="10017" width="4" style="498" customWidth="1"/>
    <col min="10018" max="10018" width="4.5703125" style="498" customWidth="1"/>
    <col min="10019" max="10019" width="6" style="498" customWidth="1"/>
    <col min="10020" max="10020" width="8.5703125" style="498" customWidth="1"/>
    <col min="10021" max="10240" width="11.42578125" style="498"/>
    <col min="10241" max="10241" width="6.42578125" style="498" customWidth="1"/>
    <col min="10242" max="10242" width="47.5703125" style="498" customWidth="1"/>
    <col min="10243" max="10244" width="5" style="498" customWidth="1"/>
    <col min="10245" max="10245" width="5.42578125" style="498" customWidth="1"/>
    <col min="10246" max="10246" width="4.5703125" style="498" customWidth="1"/>
    <col min="10247" max="10248" width="4.42578125" style="498" customWidth="1"/>
    <col min="10249" max="10249" width="3.5703125" style="498" customWidth="1"/>
    <col min="10250" max="10250" width="5" style="498" customWidth="1"/>
    <col min="10251" max="10251" width="4" style="498" customWidth="1"/>
    <col min="10252" max="10253" width="4.5703125" style="498" customWidth="1"/>
    <col min="10254" max="10254" width="4.42578125" style="498" customWidth="1"/>
    <col min="10255" max="10255" width="4" style="498" customWidth="1"/>
    <col min="10256" max="10256" width="3.5703125" style="498" customWidth="1"/>
    <col min="10257" max="10258" width="4.5703125" style="498" customWidth="1"/>
    <col min="10259" max="10259" width="4" style="498" customWidth="1"/>
    <col min="10260" max="10261" width="4.42578125" style="498" customWidth="1"/>
    <col min="10262" max="10262" width="3.5703125" style="498" customWidth="1"/>
    <col min="10263" max="10263" width="4.42578125" style="498" customWidth="1"/>
    <col min="10264" max="10264" width="5.5703125" style="498" customWidth="1"/>
    <col min="10265" max="10265" width="3.5703125" style="498" customWidth="1"/>
    <col min="10266" max="10266" width="4" style="498" customWidth="1"/>
    <col min="10267" max="10267" width="4.5703125" style="498" customWidth="1"/>
    <col min="10268" max="10270" width="4.42578125" style="498" customWidth="1"/>
    <col min="10271" max="10272" width="4.5703125" style="498" customWidth="1"/>
    <col min="10273" max="10273" width="4" style="498" customWidth="1"/>
    <col min="10274" max="10274" width="4.5703125" style="498" customWidth="1"/>
    <col min="10275" max="10275" width="6" style="498" customWidth="1"/>
    <col min="10276" max="10276" width="8.5703125" style="498" customWidth="1"/>
    <col min="10277" max="10496" width="11.42578125" style="498"/>
    <col min="10497" max="10497" width="6.42578125" style="498" customWidth="1"/>
    <col min="10498" max="10498" width="47.5703125" style="498" customWidth="1"/>
    <col min="10499" max="10500" width="5" style="498" customWidth="1"/>
    <col min="10501" max="10501" width="5.42578125" style="498" customWidth="1"/>
    <col min="10502" max="10502" width="4.5703125" style="498" customWidth="1"/>
    <col min="10503" max="10504" width="4.42578125" style="498" customWidth="1"/>
    <col min="10505" max="10505" width="3.5703125" style="498" customWidth="1"/>
    <col min="10506" max="10506" width="5" style="498" customWidth="1"/>
    <col min="10507" max="10507" width="4" style="498" customWidth="1"/>
    <col min="10508" max="10509" width="4.5703125" style="498" customWidth="1"/>
    <col min="10510" max="10510" width="4.42578125" style="498" customWidth="1"/>
    <col min="10511" max="10511" width="4" style="498" customWidth="1"/>
    <col min="10512" max="10512" width="3.5703125" style="498" customWidth="1"/>
    <col min="10513" max="10514" width="4.5703125" style="498" customWidth="1"/>
    <col min="10515" max="10515" width="4" style="498" customWidth="1"/>
    <col min="10516" max="10517" width="4.42578125" style="498" customWidth="1"/>
    <col min="10518" max="10518" width="3.5703125" style="498" customWidth="1"/>
    <col min="10519" max="10519" width="4.42578125" style="498" customWidth="1"/>
    <col min="10520" max="10520" width="5.5703125" style="498" customWidth="1"/>
    <col min="10521" max="10521" width="3.5703125" style="498" customWidth="1"/>
    <col min="10522" max="10522" width="4" style="498" customWidth="1"/>
    <col min="10523" max="10523" width="4.5703125" style="498" customWidth="1"/>
    <col min="10524" max="10526" width="4.42578125" style="498" customWidth="1"/>
    <col min="10527" max="10528" width="4.5703125" style="498" customWidth="1"/>
    <col min="10529" max="10529" width="4" style="498" customWidth="1"/>
    <col min="10530" max="10530" width="4.5703125" style="498" customWidth="1"/>
    <col min="10531" max="10531" width="6" style="498" customWidth="1"/>
    <col min="10532" max="10532" width="8.5703125" style="498" customWidth="1"/>
    <col min="10533" max="10752" width="11.42578125" style="498"/>
    <col min="10753" max="10753" width="6.42578125" style="498" customWidth="1"/>
    <col min="10754" max="10754" width="47.5703125" style="498" customWidth="1"/>
    <col min="10755" max="10756" width="5" style="498" customWidth="1"/>
    <col min="10757" max="10757" width="5.42578125" style="498" customWidth="1"/>
    <col min="10758" max="10758" width="4.5703125" style="498" customWidth="1"/>
    <col min="10759" max="10760" width="4.42578125" style="498" customWidth="1"/>
    <col min="10761" max="10761" width="3.5703125" style="498" customWidth="1"/>
    <col min="10762" max="10762" width="5" style="498" customWidth="1"/>
    <col min="10763" max="10763" width="4" style="498" customWidth="1"/>
    <col min="10764" max="10765" width="4.5703125" style="498" customWidth="1"/>
    <col min="10766" max="10766" width="4.42578125" style="498" customWidth="1"/>
    <col min="10767" max="10767" width="4" style="498" customWidth="1"/>
    <col min="10768" max="10768" width="3.5703125" style="498" customWidth="1"/>
    <col min="10769" max="10770" width="4.5703125" style="498" customWidth="1"/>
    <col min="10771" max="10771" width="4" style="498" customWidth="1"/>
    <col min="10772" max="10773" width="4.42578125" style="498" customWidth="1"/>
    <col min="10774" max="10774" width="3.5703125" style="498" customWidth="1"/>
    <col min="10775" max="10775" width="4.42578125" style="498" customWidth="1"/>
    <col min="10776" max="10776" width="5.5703125" style="498" customWidth="1"/>
    <col min="10777" max="10777" width="3.5703125" style="498" customWidth="1"/>
    <col min="10778" max="10778" width="4" style="498" customWidth="1"/>
    <col min="10779" max="10779" width="4.5703125" style="498" customWidth="1"/>
    <col min="10780" max="10782" width="4.42578125" style="498" customWidth="1"/>
    <col min="10783" max="10784" width="4.5703125" style="498" customWidth="1"/>
    <col min="10785" max="10785" width="4" style="498" customWidth="1"/>
    <col min="10786" max="10786" width="4.5703125" style="498" customWidth="1"/>
    <col min="10787" max="10787" width="6" style="498" customWidth="1"/>
    <col min="10788" max="10788" width="8.5703125" style="498" customWidth="1"/>
    <col min="10789" max="11008" width="11.42578125" style="498"/>
    <col min="11009" max="11009" width="6.42578125" style="498" customWidth="1"/>
    <col min="11010" max="11010" width="47.5703125" style="498" customWidth="1"/>
    <col min="11011" max="11012" width="5" style="498" customWidth="1"/>
    <col min="11013" max="11013" width="5.42578125" style="498" customWidth="1"/>
    <col min="11014" max="11014" width="4.5703125" style="498" customWidth="1"/>
    <col min="11015" max="11016" width="4.42578125" style="498" customWidth="1"/>
    <col min="11017" max="11017" width="3.5703125" style="498" customWidth="1"/>
    <col min="11018" max="11018" width="5" style="498" customWidth="1"/>
    <col min="11019" max="11019" width="4" style="498" customWidth="1"/>
    <col min="11020" max="11021" width="4.5703125" style="498" customWidth="1"/>
    <col min="11022" max="11022" width="4.42578125" style="498" customWidth="1"/>
    <col min="11023" max="11023" width="4" style="498" customWidth="1"/>
    <col min="11024" max="11024" width="3.5703125" style="498" customWidth="1"/>
    <col min="11025" max="11026" width="4.5703125" style="498" customWidth="1"/>
    <col min="11027" max="11027" width="4" style="498" customWidth="1"/>
    <col min="11028" max="11029" width="4.42578125" style="498" customWidth="1"/>
    <col min="11030" max="11030" width="3.5703125" style="498" customWidth="1"/>
    <col min="11031" max="11031" width="4.42578125" style="498" customWidth="1"/>
    <col min="11032" max="11032" width="5.5703125" style="498" customWidth="1"/>
    <col min="11033" max="11033" width="3.5703125" style="498" customWidth="1"/>
    <col min="11034" max="11034" width="4" style="498" customWidth="1"/>
    <col min="11035" max="11035" width="4.5703125" style="498" customWidth="1"/>
    <col min="11036" max="11038" width="4.42578125" style="498" customWidth="1"/>
    <col min="11039" max="11040" width="4.5703125" style="498" customWidth="1"/>
    <col min="11041" max="11041" width="4" style="498" customWidth="1"/>
    <col min="11042" max="11042" width="4.5703125" style="498" customWidth="1"/>
    <col min="11043" max="11043" width="6" style="498" customWidth="1"/>
    <col min="11044" max="11044" width="8.5703125" style="498" customWidth="1"/>
    <col min="11045" max="11264" width="11.42578125" style="498"/>
    <col min="11265" max="11265" width="6.42578125" style="498" customWidth="1"/>
    <col min="11266" max="11266" width="47.5703125" style="498" customWidth="1"/>
    <col min="11267" max="11268" width="5" style="498" customWidth="1"/>
    <col min="11269" max="11269" width="5.42578125" style="498" customWidth="1"/>
    <col min="11270" max="11270" width="4.5703125" style="498" customWidth="1"/>
    <col min="11271" max="11272" width="4.42578125" style="498" customWidth="1"/>
    <col min="11273" max="11273" width="3.5703125" style="498" customWidth="1"/>
    <col min="11274" max="11274" width="5" style="498" customWidth="1"/>
    <col min="11275" max="11275" width="4" style="498" customWidth="1"/>
    <col min="11276" max="11277" width="4.5703125" style="498" customWidth="1"/>
    <col min="11278" max="11278" width="4.42578125" style="498" customWidth="1"/>
    <col min="11279" max="11279" width="4" style="498" customWidth="1"/>
    <col min="11280" max="11280" width="3.5703125" style="498" customWidth="1"/>
    <col min="11281" max="11282" width="4.5703125" style="498" customWidth="1"/>
    <col min="11283" max="11283" width="4" style="498" customWidth="1"/>
    <col min="11284" max="11285" width="4.42578125" style="498" customWidth="1"/>
    <col min="11286" max="11286" width="3.5703125" style="498" customWidth="1"/>
    <col min="11287" max="11287" width="4.42578125" style="498" customWidth="1"/>
    <col min="11288" max="11288" width="5.5703125" style="498" customWidth="1"/>
    <col min="11289" max="11289" width="3.5703125" style="498" customWidth="1"/>
    <col min="11290" max="11290" width="4" style="498" customWidth="1"/>
    <col min="11291" max="11291" width="4.5703125" style="498" customWidth="1"/>
    <col min="11292" max="11294" width="4.42578125" style="498" customWidth="1"/>
    <col min="11295" max="11296" width="4.5703125" style="498" customWidth="1"/>
    <col min="11297" max="11297" width="4" style="498" customWidth="1"/>
    <col min="11298" max="11298" width="4.5703125" style="498" customWidth="1"/>
    <col min="11299" max="11299" width="6" style="498" customWidth="1"/>
    <col min="11300" max="11300" width="8.5703125" style="498" customWidth="1"/>
    <col min="11301" max="11520" width="11.42578125" style="498"/>
    <col min="11521" max="11521" width="6.42578125" style="498" customWidth="1"/>
    <col min="11522" max="11522" width="47.5703125" style="498" customWidth="1"/>
    <col min="11523" max="11524" width="5" style="498" customWidth="1"/>
    <col min="11525" max="11525" width="5.42578125" style="498" customWidth="1"/>
    <col min="11526" max="11526" width="4.5703125" style="498" customWidth="1"/>
    <col min="11527" max="11528" width="4.42578125" style="498" customWidth="1"/>
    <col min="11529" max="11529" width="3.5703125" style="498" customWidth="1"/>
    <col min="11530" max="11530" width="5" style="498" customWidth="1"/>
    <col min="11531" max="11531" width="4" style="498" customWidth="1"/>
    <col min="11532" max="11533" width="4.5703125" style="498" customWidth="1"/>
    <col min="11534" max="11534" width="4.42578125" style="498" customWidth="1"/>
    <col min="11535" max="11535" width="4" style="498" customWidth="1"/>
    <col min="11536" max="11536" width="3.5703125" style="498" customWidth="1"/>
    <col min="11537" max="11538" width="4.5703125" style="498" customWidth="1"/>
    <col min="11539" max="11539" width="4" style="498" customWidth="1"/>
    <col min="11540" max="11541" width="4.42578125" style="498" customWidth="1"/>
    <col min="11542" max="11542" width="3.5703125" style="498" customWidth="1"/>
    <col min="11543" max="11543" width="4.42578125" style="498" customWidth="1"/>
    <col min="11544" max="11544" width="5.5703125" style="498" customWidth="1"/>
    <col min="11545" max="11545" width="3.5703125" style="498" customWidth="1"/>
    <col min="11546" max="11546" width="4" style="498" customWidth="1"/>
    <col min="11547" max="11547" width="4.5703125" style="498" customWidth="1"/>
    <col min="11548" max="11550" width="4.42578125" style="498" customWidth="1"/>
    <col min="11551" max="11552" width="4.5703125" style="498" customWidth="1"/>
    <col min="11553" max="11553" width="4" style="498" customWidth="1"/>
    <col min="11554" max="11554" width="4.5703125" style="498" customWidth="1"/>
    <col min="11555" max="11555" width="6" style="498" customWidth="1"/>
    <col min="11556" max="11556" width="8.5703125" style="498" customWidth="1"/>
    <col min="11557" max="11776" width="11.42578125" style="498"/>
    <col min="11777" max="11777" width="6.42578125" style="498" customWidth="1"/>
    <col min="11778" max="11778" width="47.5703125" style="498" customWidth="1"/>
    <col min="11779" max="11780" width="5" style="498" customWidth="1"/>
    <col min="11781" max="11781" width="5.42578125" style="498" customWidth="1"/>
    <col min="11782" max="11782" width="4.5703125" style="498" customWidth="1"/>
    <col min="11783" max="11784" width="4.42578125" style="498" customWidth="1"/>
    <col min="11785" max="11785" width="3.5703125" style="498" customWidth="1"/>
    <col min="11786" max="11786" width="5" style="498" customWidth="1"/>
    <col min="11787" max="11787" width="4" style="498" customWidth="1"/>
    <col min="11788" max="11789" width="4.5703125" style="498" customWidth="1"/>
    <col min="11790" max="11790" width="4.42578125" style="498" customWidth="1"/>
    <col min="11791" max="11791" width="4" style="498" customWidth="1"/>
    <col min="11792" max="11792" width="3.5703125" style="498" customWidth="1"/>
    <col min="11793" max="11794" width="4.5703125" style="498" customWidth="1"/>
    <col min="11795" max="11795" width="4" style="498" customWidth="1"/>
    <col min="11796" max="11797" width="4.42578125" style="498" customWidth="1"/>
    <col min="11798" max="11798" width="3.5703125" style="498" customWidth="1"/>
    <col min="11799" max="11799" width="4.42578125" style="498" customWidth="1"/>
    <col min="11800" max="11800" width="5.5703125" style="498" customWidth="1"/>
    <col min="11801" max="11801" width="3.5703125" style="498" customWidth="1"/>
    <col min="11802" max="11802" width="4" style="498" customWidth="1"/>
    <col min="11803" max="11803" width="4.5703125" style="498" customWidth="1"/>
    <col min="11804" max="11806" width="4.42578125" style="498" customWidth="1"/>
    <col min="11807" max="11808" width="4.5703125" style="498" customWidth="1"/>
    <col min="11809" max="11809" width="4" style="498" customWidth="1"/>
    <col min="11810" max="11810" width="4.5703125" style="498" customWidth="1"/>
    <col min="11811" max="11811" width="6" style="498" customWidth="1"/>
    <col min="11812" max="11812" width="8.5703125" style="498" customWidth="1"/>
    <col min="11813" max="12032" width="11.42578125" style="498"/>
    <col min="12033" max="12033" width="6.42578125" style="498" customWidth="1"/>
    <col min="12034" max="12034" width="47.5703125" style="498" customWidth="1"/>
    <col min="12035" max="12036" width="5" style="498" customWidth="1"/>
    <col min="12037" max="12037" width="5.42578125" style="498" customWidth="1"/>
    <col min="12038" max="12038" width="4.5703125" style="498" customWidth="1"/>
    <col min="12039" max="12040" width="4.42578125" style="498" customWidth="1"/>
    <col min="12041" max="12041" width="3.5703125" style="498" customWidth="1"/>
    <col min="12042" max="12042" width="5" style="498" customWidth="1"/>
    <col min="12043" max="12043" width="4" style="498" customWidth="1"/>
    <col min="12044" max="12045" width="4.5703125" style="498" customWidth="1"/>
    <col min="12046" max="12046" width="4.42578125" style="498" customWidth="1"/>
    <col min="12047" max="12047" width="4" style="498" customWidth="1"/>
    <col min="12048" max="12048" width="3.5703125" style="498" customWidth="1"/>
    <col min="12049" max="12050" width="4.5703125" style="498" customWidth="1"/>
    <col min="12051" max="12051" width="4" style="498" customWidth="1"/>
    <col min="12052" max="12053" width="4.42578125" style="498" customWidth="1"/>
    <col min="12054" max="12054" width="3.5703125" style="498" customWidth="1"/>
    <col min="12055" max="12055" width="4.42578125" style="498" customWidth="1"/>
    <col min="12056" max="12056" width="5.5703125" style="498" customWidth="1"/>
    <col min="12057" max="12057" width="3.5703125" style="498" customWidth="1"/>
    <col min="12058" max="12058" width="4" style="498" customWidth="1"/>
    <col min="12059" max="12059" width="4.5703125" style="498" customWidth="1"/>
    <col min="12060" max="12062" width="4.42578125" style="498" customWidth="1"/>
    <col min="12063" max="12064" width="4.5703125" style="498" customWidth="1"/>
    <col min="12065" max="12065" width="4" style="498" customWidth="1"/>
    <col min="12066" max="12066" width="4.5703125" style="498" customWidth="1"/>
    <col min="12067" max="12067" width="6" style="498" customWidth="1"/>
    <col min="12068" max="12068" width="8.5703125" style="498" customWidth="1"/>
    <col min="12069" max="12288" width="11.42578125" style="498"/>
    <col min="12289" max="12289" width="6.42578125" style="498" customWidth="1"/>
    <col min="12290" max="12290" width="47.5703125" style="498" customWidth="1"/>
    <col min="12291" max="12292" width="5" style="498" customWidth="1"/>
    <col min="12293" max="12293" width="5.42578125" style="498" customWidth="1"/>
    <col min="12294" max="12294" width="4.5703125" style="498" customWidth="1"/>
    <col min="12295" max="12296" width="4.42578125" style="498" customWidth="1"/>
    <col min="12297" max="12297" width="3.5703125" style="498" customWidth="1"/>
    <col min="12298" max="12298" width="5" style="498" customWidth="1"/>
    <col min="12299" max="12299" width="4" style="498" customWidth="1"/>
    <col min="12300" max="12301" width="4.5703125" style="498" customWidth="1"/>
    <col min="12302" max="12302" width="4.42578125" style="498" customWidth="1"/>
    <col min="12303" max="12303" width="4" style="498" customWidth="1"/>
    <col min="12304" max="12304" width="3.5703125" style="498" customWidth="1"/>
    <col min="12305" max="12306" width="4.5703125" style="498" customWidth="1"/>
    <col min="12307" max="12307" width="4" style="498" customWidth="1"/>
    <col min="12308" max="12309" width="4.42578125" style="498" customWidth="1"/>
    <col min="12310" max="12310" width="3.5703125" style="498" customWidth="1"/>
    <col min="12311" max="12311" width="4.42578125" style="498" customWidth="1"/>
    <col min="12312" max="12312" width="5.5703125" style="498" customWidth="1"/>
    <col min="12313" max="12313" width="3.5703125" style="498" customWidth="1"/>
    <col min="12314" max="12314" width="4" style="498" customWidth="1"/>
    <col min="12315" max="12315" width="4.5703125" style="498" customWidth="1"/>
    <col min="12316" max="12318" width="4.42578125" style="498" customWidth="1"/>
    <col min="12319" max="12320" width="4.5703125" style="498" customWidth="1"/>
    <col min="12321" max="12321" width="4" style="498" customWidth="1"/>
    <col min="12322" max="12322" width="4.5703125" style="498" customWidth="1"/>
    <col min="12323" max="12323" width="6" style="498" customWidth="1"/>
    <col min="12324" max="12324" width="8.5703125" style="498" customWidth="1"/>
    <col min="12325" max="12544" width="11.42578125" style="498"/>
    <col min="12545" max="12545" width="6.42578125" style="498" customWidth="1"/>
    <col min="12546" max="12546" width="47.5703125" style="498" customWidth="1"/>
    <col min="12547" max="12548" width="5" style="498" customWidth="1"/>
    <col min="12549" max="12549" width="5.42578125" style="498" customWidth="1"/>
    <col min="12550" max="12550" width="4.5703125" style="498" customWidth="1"/>
    <col min="12551" max="12552" width="4.42578125" style="498" customWidth="1"/>
    <col min="12553" max="12553" width="3.5703125" style="498" customWidth="1"/>
    <col min="12554" max="12554" width="5" style="498" customWidth="1"/>
    <col min="12555" max="12555" width="4" style="498" customWidth="1"/>
    <col min="12556" max="12557" width="4.5703125" style="498" customWidth="1"/>
    <col min="12558" max="12558" width="4.42578125" style="498" customWidth="1"/>
    <col min="12559" max="12559" width="4" style="498" customWidth="1"/>
    <col min="12560" max="12560" width="3.5703125" style="498" customWidth="1"/>
    <col min="12561" max="12562" width="4.5703125" style="498" customWidth="1"/>
    <col min="12563" max="12563" width="4" style="498" customWidth="1"/>
    <col min="12564" max="12565" width="4.42578125" style="498" customWidth="1"/>
    <col min="12566" max="12566" width="3.5703125" style="498" customWidth="1"/>
    <col min="12567" max="12567" width="4.42578125" style="498" customWidth="1"/>
    <col min="12568" max="12568" width="5.5703125" style="498" customWidth="1"/>
    <col min="12569" max="12569" width="3.5703125" style="498" customWidth="1"/>
    <col min="12570" max="12570" width="4" style="498" customWidth="1"/>
    <col min="12571" max="12571" width="4.5703125" style="498" customWidth="1"/>
    <col min="12572" max="12574" width="4.42578125" style="498" customWidth="1"/>
    <col min="12575" max="12576" width="4.5703125" style="498" customWidth="1"/>
    <col min="12577" max="12577" width="4" style="498" customWidth="1"/>
    <col min="12578" max="12578" width="4.5703125" style="498" customWidth="1"/>
    <col min="12579" max="12579" width="6" style="498" customWidth="1"/>
    <col min="12580" max="12580" width="8.5703125" style="498" customWidth="1"/>
    <col min="12581" max="12800" width="11.42578125" style="498"/>
    <col min="12801" max="12801" width="6.42578125" style="498" customWidth="1"/>
    <col min="12802" max="12802" width="47.5703125" style="498" customWidth="1"/>
    <col min="12803" max="12804" width="5" style="498" customWidth="1"/>
    <col min="12805" max="12805" width="5.42578125" style="498" customWidth="1"/>
    <col min="12806" max="12806" width="4.5703125" style="498" customWidth="1"/>
    <col min="12807" max="12808" width="4.42578125" style="498" customWidth="1"/>
    <col min="12809" max="12809" width="3.5703125" style="498" customWidth="1"/>
    <col min="12810" max="12810" width="5" style="498" customWidth="1"/>
    <col min="12811" max="12811" width="4" style="498" customWidth="1"/>
    <col min="12812" max="12813" width="4.5703125" style="498" customWidth="1"/>
    <col min="12814" max="12814" width="4.42578125" style="498" customWidth="1"/>
    <col min="12815" max="12815" width="4" style="498" customWidth="1"/>
    <col min="12816" max="12816" width="3.5703125" style="498" customWidth="1"/>
    <col min="12817" max="12818" width="4.5703125" style="498" customWidth="1"/>
    <col min="12819" max="12819" width="4" style="498" customWidth="1"/>
    <col min="12820" max="12821" width="4.42578125" style="498" customWidth="1"/>
    <col min="12822" max="12822" width="3.5703125" style="498" customWidth="1"/>
    <col min="12823" max="12823" width="4.42578125" style="498" customWidth="1"/>
    <col min="12824" max="12824" width="5.5703125" style="498" customWidth="1"/>
    <col min="12825" max="12825" width="3.5703125" style="498" customWidth="1"/>
    <col min="12826" max="12826" width="4" style="498" customWidth="1"/>
    <col min="12827" max="12827" width="4.5703125" style="498" customWidth="1"/>
    <col min="12828" max="12830" width="4.42578125" style="498" customWidth="1"/>
    <col min="12831" max="12832" width="4.5703125" style="498" customWidth="1"/>
    <col min="12833" max="12833" width="4" style="498" customWidth="1"/>
    <col min="12834" max="12834" width="4.5703125" style="498" customWidth="1"/>
    <col min="12835" max="12835" width="6" style="498" customWidth="1"/>
    <col min="12836" max="12836" width="8.5703125" style="498" customWidth="1"/>
    <col min="12837" max="13056" width="11.42578125" style="498"/>
    <col min="13057" max="13057" width="6.42578125" style="498" customWidth="1"/>
    <col min="13058" max="13058" width="47.5703125" style="498" customWidth="1"/>
    <col min="13059" max="13060" width="5" style="498" customWidth="1"/>
    <col min="13061" max="13061" width="5.42578125" style="498" customWidth="1"/>
    <col min="13062" max="13062" width="4.5703125" style="498" customWidth="1"/>
    <col min="13063" max="13064" width="4.42578125" style="498" customWidth="1"/>
    <col min="13065" max="13065" width="3.5703125" style="498" customWidth="1"/>
    <col min="13066" max="13066" width="5" style="498" customWidth="1"/>
    <col min="13067" max="13067" width="4" style="498" customWidth="1"/>
    <col min="13068" max="13069" width="4.5703125" style="498" customWidth="1"/>
    <col min="13070" max="13070" width="4.42578125" style="498" customWidth="1"/>
    <col min="13071" max="13071" width="4" style="498" customWidth="1"/>
    <col min="13072" max="13072" width="3.5703125" style="498" customWidth="1"/>
    <col min="13073" max="13074" width="4.5703125" style="498" customWidth="1"/>
    <col min="13075" max="13075" width="4" style="498" customWidth="1"/>
    <col min="13076" max="13077" width="4.42578125" style="498" customWidth="1"/>
    <col min="13078" max="13078" width="3.5703125" style="498" customWidth="1"/>
    <col min="13079" max="13079" width="4.42578125" style="498" customWidth="1"/>
    <col min="13080" max="13080" width="5.5703125" style="498" customWidth="1"/>
    <col min="13081" max="13081" width="3.5703125" style="498" customWidth="1"/>
    <col min="13082" max="13082" width="4" style="498" customWidth="1"/>
    <col min="13083" max="13083" width="4.5703125" style="498" customWidth="1"/>
    <col min="13084" max="13086" width="4.42578125" style="498" customWidth="1"/>
    <col min="13087" max="13088" width="4.5703125" style="498" customWidth="1"/>
    <col min="13089" max="13089" width="4" style="498" customWidth="1"/>
    <col min="13090" max="13090" width="4.5703125" style="498" customWidth="1"/>
    <col min="13091" max="13091" width="6" style="498" customWidth="1"/>
    <col min="13092" max="13092" width="8.5703125" style="498" customWidth="1"/>
    <col min="13093" max="13312" width="11.42578125" style="498"/>
    <col min="13313" max="13313" width="6.42578125" style="498" customWidth="1"/>
    <col min="13314" max="13314" width="47.5703125" style="498" customWidth="1"/>
    <col min="13315" max="13316" width="5" style="498" customWidth="1"/>
    <col min="13317" max="13317" width="5.42578125" style="498" customWidth="1"/>
    <col min="13318" max="13318" width="4.5703125" style="498" customWidth="1"/>
    <col min="13319" max="13320" width="4.42578125" style="498" customWidth="1"/>
    <col min="13321" max="13321" width="3.5703125" style="498" customWidth="1"/>
    <col min="13322" max="13322" width="5" style="498" customWidth="1"/>
    <col min="13323" max="13323" width="4" style="498" customWidth="1"/>
    <col min="13324" max="13325" width="4.5703125" style="498" customWidth="1"/>
    <col min="13326" max="13326" width="4.42578125" style="498" customWidth="1"/>
    <col min="13327" max="13327" width="4" style="498" customWidth="1"/>
    <col min="13328" max="13328" width="3.5703125" style="498" customWidth="1"/>
    <col min="13329" max="13330" width="4.5703125" style="498" customWidth="1"/>
    <col min="13331" max="13331" width="4" style="498" customWidth="1"/>
    <col min="13332" max="13333" width="4.42578125" style="498" customWidth="1"/>
    <col min="13334" max="13334" width="3.5703125" style="498" customWidth="1"/>
    <col min="13335" max="13335" width="4.42578125" style="498" customWidth="1"/>
    <col min="13336" max="13336" width="5.5703125" style="498" customWidth="1"/>
    <col min="13337" max="13337" width="3.5703125" style="498" customWidth="1"/>
    <col min="13338" max="13338" width="4" style="498" customWidth="1"/>
    <col min="13339" max="13339" width="4.5703125" style="498" customWidth="1"/>
    <col min="13340" max="13342" width="4.42578125" style="498" customWidth="1"/>
    <col min="13343" max="13344" width="4.5703125" style="498" customWidth="1"/>
    <col min="13345" max="13345" width="4" style="498" customWidth="1"/>
    <col min="13346" max="13346" width="4.5703125" style="498" customWidth="1"/>
    <col min="13347" max="13347" width="6" style="498" customWidth="1"/>
    <col min="13348" max="13348" width="8.5703125" style="498" customWidth="1"/>
    <col min="13349" max="13568" width="11.42578125" style="498"/>
    <col min="13569" max="13569" width="6.42578125" style="498" customWidth="1"/>
    <col min="13570" max="13570" width="47.5703125" style="498" customWidth="1"/>
    <col min="13571" max="13572" width="5" style="498" customWidth="1"/>
    <col min="13573" max="13573" width="5.42578125" style="498" customWidth="1"/>
    <col min="13574" max="13574" width="4.5703125" style="498" customWidth="1"/>
    <col min="13575" max="13576" width="4.42578125" style="498" customWidth="1"/>
    <col min="13577" max="13577" width="3.5703125" style="498" customWidth="1"/>
    <col min="13578" max="13578" width="5" style="498" customWidth="1"/>
    <col min="13579" max="13579" width="4" style="498" customWidth="1"/>
    <col min="13580" max="13581" width="4.5703125" style="498" customWidth="1"/>
    <col min="13582" max="13582" width="4.42578125" style="498" customWidth="1"/>
    <col min="13583" max="13583" width="4" style="498" customWidth="1"/>
    <col min="13584" max="13584" width="3.5703125" style="498" customWidth="1"/>
    <col min="13585" max="13586" width="4.5703125" style="498" customWidth="1"/>
    <col min="13587" max="13587" width="4" style="498" customWidth="1"/>
    <col min="13588" max="13589" width="4.42578125" style="498" customWidth="1"/>
    <col min="13590" max="13590" width="3.5703125" style="498" customWidth="1"/>
    <col min="13591" max="13591" width="4.42578125" style="498" customWidth="1"/>
    <col min="13592" max="13592" width="5.5703125" style="498" customWidth="1"/>
    <col min="13593" max="13593" width="3.5703125" style="498" customWidth="1"/>
    <col min="13594" max="13594" width="4" style="498" customWidth="1"/>
    <col min="13595" max="13595" width="4.5703125" style="498" customWidth="1"/>
    <col min="13596" max="13598" width="4.42578125" style="498" customWidth="1"/>
    <col min="13599" max="13600" width="4.5703125" style="498" customWidth="1"/>
    <col min="13601" max="13601" width="4" style="498" customWidth="1"/>
    <col min="13602" max="13602" width="4.5703125" style="498" customWidth="1"/>
    <col min="13603" max="13603" width="6" style="498" customWidth="1"/>
    <col min="13604" max="13604" width="8.5703125" style="498" customWidth="1"/>
    <col min="13605" max="13824" width="11.42578125" style="498"/>
    <col min="13825" max="13825" width="6.42578125" style="498" customWidth="1"/>
    <col min="13826" max="13826" width="47.5703125" style="498" customWidth="1"/>
    <col min="13827" max="13828" width="5" style="498" customWidth="1"/>
    <col min="13829" max="13829" width="5.42578125" style="498" customWidth="1"/>
    <col min="13830" max="13830" width="4.5703125" style="498" customWidth="1"/>
    <col min="13831" max="13832" width="4.42578125" style="498" customWidth="1"/>
    <col min="13833" max="13833" width="3.5703125" style="498" customWidth="1"/>
    <col min="13834" max="13834" width="5" style="498" customWidth="1"/>
    <col min="13835" max="13835" width="4" style="498" customWidth="1"/>
    <col min="13836" max="13837" width="4.5703125" style="498" customWidth="1"/>
    <col min="13838" max="13838" width="4.42578125" style="498" customWidth="1"/>
    <col min="13839" max="13839" width="4" style="498" customWidth="1"/>
    <col min="13840" max="13840" width="3.5703125" style="498" customWidth="1"/>
    <col min="13841" max="13842" width="4.5703125" style="498" customWidth="1"/>
    <col min="13843" max="13843" width="4" style="498" customWidth="1"/>
    <col min="13844" max="13845" width="4.42578125" style="498" customWidth="1"/>
    <col min="13846" max="13846" width="3.5703125" style="498" customWidth="1"/>
    <col min="13847" max="13847" width="4.42578125" style="498" customWidth="1"/>
    <col min="13848" max="13848" width="5.5703125" style="498" customWidth="1"/>
    <col min="13849" max="13849" width="3.5703125" style="498" customWidth="1"/>
    <col min="13850" max="13850" width="4" style="498" customWidth="1"/>
    <col min="13851" max="13851" width="4.5703125" style="498" customWidth="1"/>
    <col min="13852" max="13854" width="4.42578125" style="498" customWidth="1"/>
    <col min="13855" max="13856" width="4.5703125" style="498" customWidth="1"/>
    <col min="13857" max="13857" width="4" style="498" customWidth="1"/>
    <col min="13858" max="13858" width="4.5703125" style="498" customWidth="1"/>
    <col min="13859" max="13859" width="6" style="498" customWidth="1"/>
    <col min="13860" max="13860" width="8.5703125" style="498" customWidth="1"/>
    <col min="13861" max="14080" width="11.42578125" style="498"/>
    <col min="14081" max="14081" width="6.42578125" style="498" customWidth="1"/>
    <col min="14082" max="14082" width="47.5703125" style="498" customWidth="1"/>
    <col min="14083" max="14084" width="5" style="498" customWidth="1"/>
    <col min="14085" max="14085" width="5.42578125" style="498" customWidth="1"/>
    <col min="14086" max="14086" width="4.5703125" style="498" customWidth="1"/>
    <col min="14087" max="14088" width="4.42578125" style="498" customWidth="1"/>
    <col min="14089" max="14089" width="3.5703125" style="498" customWidth="1"/>
    <col min="14090" max="14090" width="5" style="498" customWidth="1"/>
    <col min="14091" max="14091" width="4" style="498" customWidth="1"/>
    <col min="14092" max="14093" width="4.5703125" style="498" customWidth="1"/>
    <col min="14094" max="14094" width="4.42578125" style="498" customWidth="1"/>
    <col min="14095" max="14095" width="4" style="498" customWidth="1"/>
    <col min="14096" max="14096" width="3.5703125" style="498" customWidth="1"/>
    <col min="14097" max="14098" width="4.5703125" style="498" customWidth="1"/>
    <col min="14099" max="14099" width="4" style="498" customWidth="1"/>
    <col min="14100" max="14101" width="4.42578125" style="498" customWidth="1"/>
    <col min="14102" max="14102" width="3.5703125" style="498" customWidth="1"/>
    <col min="14103" max="14103" width="4.42578125" style="498" customWidth="1"/>
    <col min="14104" max="14104" width="5.5703125" style="498" customWidth="1"/>
    <col min="14105" max="14105" width="3.5703125" style="498" customWidth="1"/>
    <col min="14106" max="14106" width="4" style="498" customWidth="1"/>
    <col min="14107" max="14107" width="4.5703125" style="498" customWidth="1"/>
    <col min="14108" max="14110" width="4.42578125" style="498" customWidth="1"/>
    <col min="14111" max="14112" width="4.5703125" style="498" customWidth="1"/>
    <col min="14113" max="14113" width="4" style="498" customWidth="1"/>
    <col min="14114" max="14114" width="4.5703125" style="498" customWidth="1"/>
    <col min="14115" max="14115" width="6" style="498" customWidth="1"/>
    <col min="14116" max="14116" width="8.5703125" style="498" customWidth="1"/>
    <col min="14117" max="14336" width="11.42578125" style="498"/>
    <col min="14337" max="14337" width="6.42578125" style="498" customWidth="1"/>
    <col min="14338" max="14338" width="47.5703125" style="498" customWidth="1"/>
    <col min="14339" max="14340" width="5" style="498" customWidth="1"/>
    <col min="14341" max="14341" width="5.42578125" style="498" customWidth="1"/>
    <col min="14342" max="14342" width="4.5703125" style="498" customWidth="1"/>
    <col min="14343" max="14344" width="4.42578125" style="498" customWidth="1"/>
    <col min="14345" max="14345" width="3.5703125" style="498" customWidth="1"/>
    <col min="14346" max="14346" width="5" style="498" customWidth="1"/>
    <col min="14347" max="14347" width="4" style="498" customWidth="1"/>
    <col min="14348" max="14349" width="4.5703125" style="498" customWidth="1"/>
    <col min="14350" max="14350" width="4.42578125" style="498" customWidth="1"/>
    <col min="14351" max="14351" width="4" style="498" customWidth="1"/>
    <col min="14352" max="14352" width="3.5703125" style="498" customWidth="1"/>
    <col min="14353" max="14354" width="4.5703125" style="498" customWidth="1"/>
    <col min="14355" max="14355" width="4" style="498" customWidth="1"/>
    <col min="14356" max="14357" width="4.42578125" style="498" customWidth="1"/>
    <col min="14358" max="14358" width="3.5703125" style="498" customWidth="1"/>
    <col min="14359" max="14359" width="4.42578125" style="498" customWidth="1"/>
    <col min="14360" max="14360" width="5.5703125" style="498" customWidth="1"/>
    <col min="14361" max="14361" width="3.5703125" style="498" customWidth="1"/>
    <col min="14362" max="14362" width="4" style="498" customWidth="1"/>
    <col min="14363" max="14363" width="4.5703125" style="498" customWidth="1"/>
    <col min="14364" max="14366" width="4.42578125" style="498" customWidth="1"/>
    <col min="14367" max="14368" width="4.5703125" style="498" customWidth="1"/>
    <col min="14369" max="14369" width="4" style="498" customWidth="1"/>
    <col min="14370" max="14370" width="4.5703125" style="498" customWidth="1"/>
    <col min="14371" max="14371" width="6" style="498" customWidth="1"/>
    <col min="14372" max="14372" width="8.5703125" style="498" customWidth="1"/>
    <col min="14373" max="14592" width="11.42578125" style="498"/>
    <col min="14593" max="14593" width="6.42578125" style="498" customWidth="1"/>
    <col min="14594" max="14594" width="47.5703125" style="498" customWidth="1"/>
    <col min="14595" max="14596" width="5" style="498" customWidth="1"/>
    <col min="14597" max="14597" width="5.42578125" style="498" customWidth="1"/>
    <col min="14598" max="14598" width="4.5703125" style="498" customWidth="1"/>
    <col min="14599" max="14600" width="4.42578125" style="498" customWidth="1"/>
    <col min="14601" max="14601" width="3.5703125" style="498" customWidth="1"/>
    <col min="14602" max="14602" width="5" style="498" customWidth="1"/>
    <col min="14603" max="14603" width="4" style="498" customWidth="1"/>
    <col min="14604" max="14605" width="4.5703125" style="498" customWidth="1"/>
    <col min="14606" max="14606" width="4.42578125" style="498" customWidth="1"/>
    <col min="14607" max="14607" width="4" style="498" customWidth="1"/>
    <col min="14608" max="14608" width="3.5703125" style="498" customWidth="1"/>
    <col min="14609" max="14610" width="4.5703125" style="498" customWidth="1"/>
    <col min="14611" max="14611" width="4" style="498" customWidth="1"/>
    <col min="14612" max="14613" width="4.42578125" style="498" customWidth="1"/>
    <col min="14614" max="14614" width="3.5703125" style="498" customWidth="1"/>
    <col min="14615" max="14615" width="4.42578125" style="498" customWidth="1"/>
    <col min="14616" max="14616" width="5.5703125" style="498" customWidth="1"/>
    <col min="14617" max="14617" width="3.5703125" style="498" customWidth="1"/>
    <col min="14618" max="14618" width="4" style="498" customWidth="1"/>
    <col min="14619" max="14619" width="4.5703125" style="498" customWidth="1"/>
    <col min="14620" max="14622" width="4.42578125" style="498" customWidth="1"/>
    <col min="14623" max="14624" width="4.5703125" style="498" customWidth="1"/>
    <col min="14625" max="14625" width="4" style="498" customWidth="1"/>
    <col min="14626" max="14626" width="4.5703125" style="498" customWidth="1"/>
    <col min="14627" max="14627" width="6" style="498" customWidth="1"/>
    <col min="14628" max="14628" width="8.5703125" style="498" customWidth="1"/>
    <col min="14629" max="14848" width="11.42578125" style="498"/>
    <col min="14849" max="14849" width="6.42578125" style="498" customWidth="1"/>
    <col min="14850" max="14850" width="47.5703125" style="498" customWidth="1"/>
    <col min="14851" max="14852" width="5" style="498" customWidth="1"/>
    <col min="14853" max="14853" width="5.42578125" style="498" customWidth="1"/>
    <col min="14854" max="14854" width="4.5703125" style="498" customWidth="1"/>
    <col min="14855" max="14856" width="4.42578125" style="498" customWidth="1"/>
    <col min="14857" max="14857" width="3.5703125" style="498" customWidth="1"/>
    <col min="14858" max="14858" width="5" style="498" customWidth="1"/>
    <col min="14859" max="14859" width="4" style="498" customWidth="1"/>
    <col min="14860" max="14861" width="4.5703125" style="498" customWidth="1"/>
    <col min="14862" max="14862" width="4.42578125" style="498" customWidth="1"/>
    <col min="14863" max="14863" width="4" style="498" customWidth="1"/>
    <col min="14864" max="14864" width="3.5703125" style="498" customWidth="1"/>
    <col min="14865" max="14866" width="4.5703125" style="498" customWidth="1"/>
    <col min="14867" max="14867" width="4" style="498" customWidth="1"/>
    <col min="14868" max="14869" width="4.42578125" style="498" customWidth="1"/>
    <col min="14870" max="14870" width="3.5703125" style="498" customWidth="1"/>
    <col min="14871" max="14871" width="4.42578125" style="498" customWidth="1"/>
    <col min="14872" max="14872" width="5.5703125" style="498" customWidth="1"/>
    <col min="14873" max="14873" width="3.5703125" style="498" customWidth="1"/>
    <col min="14874" max="14874" width="4" style="498" customWidth="1"/>
    <col min="14875" max="14875" width="4.5703125" style="498" customWidth="1"/>
    <col min="14876" max="14878" width="4.42578125" style="498" customWidth="1"/>
    <col min="14879" max="14880" width="4.5703125" style="498" customWidth="1"/>
    <col min="14881" max="14881" width="4" style="498" customWidth="1"/>
    <col min="14882" max="14882" width="4.5703125" style="498" customWidth="1"/>
    <col min="14883" max="14883" width="6" style="498" customWidth="1"/>
    <col min="14884" max="14884" width="8.5703125" style="498" customWidth="1"/>
    <col min="14885" max="15104" width="11.42578125" style="498"/>
    <col min="15105" max="15105" width="6.42578125" style="498" customWidth="1"/>
    <col min="15106" max="15106" width="47.5703125" style="498" customWidth="1"/>
    <col min="15107" max="15108" width="5" style="498" customWidth="1"/>
    <col min="15109" max="15109" width="5.42578125" style="498" customWidth="1"/>
    <col min="15110" max="15110" width="4.5703125" style="498" customWidth="1"/>
    <col min="15111" max="15112" width="4.42578125" style="498" customWidth="1"/>
    <col min="15113" max="15113" width="3.5703125" style="498" customWidth="1"/>
    <col min="15114" max="15114" width="5" style="498" customWidth="1"/>
    <col min="15115" max="15115" width="4" style="498" customWidth="1"/>
    <col min="15116" max="15117" width="4.5703125" style="498" customWidth="1"/>
    <col min="15118" max="15118" width="4.42578125" style="498" customWidth="1"/>
    <col min="15119" max="15119" width="4" style="498" customWidth="1"/>
    <col min="15120" max="15120" width="3.5703125" style="498" customWidth="1"/>
    <col min="15121" max="15122" width="4.5703125" style="498" customWidth="1"/>
    <col min="15123" max="15123" width="4" style="498" customWidth="1"/>
    <col min="15124" max="15125" width="4.42578125" style="498" customWidth="1"/>
    <col min="15126" max="15126" width="3.5703125" style="498" customWidth="1"/>
    <col min="15127" max="15127" width="4.42578125" style="498" customWidth="1"/>
    <col min="15128" max="15128" width="5.5703125" style="498" customWidth="1"/>
    <col min="15129" max="15129" width="3.5703125" style="498" customWidth="1"/>
    <col min="15130" max="15130" width="4" style="498" customWidth="1"/>
    <col min="15131" max="15131" width="4.5703125" style="498" customWidth="1"/>
    <col min="15132" max="15134" width="4.42578125" style="498" customWidth="1"/>
    <col min="15135" max="15136" width="4.5703125" style="498" customWidth="1"/>
    <col min="15137" max="15137" width="4" style="498" customWidth="1"/>
    <col min="15138" max="15138" width="4.5703125" style="498" customWidth="1"/>
    <col min="15139" max="15139" width="6" style="498" customWidth="1"/>
    <col min="15140" max="15140" width="8.5703125" style="498" customWidth="1"/>
    <col min="15141" max="15360" width="11.42578125" style="498"/>
    <col min="15361" max="15361" width="6.42578125" style="498" customWidth="1"/>
    <col min="15362" max="15362" width="47.5703125" style="498" customWidth="1"/>
    <col min="15363" max="15364" width="5" style="498" customWidth="1"/>
    <col min="15365" max="15365" width="5.42578125" style="498" customWidth="1"/>
    <col min="15366" max="15366" width="4.5703125" style="498" customWidth="1"/>
    <col min="15367" max="15368" width="4.42578125" style="498" customWidth="1"/>
    <col min="15369" max="15369" width="3.5703125" style="498" customWidth="1"/>
    <col min="15370" max="15370" width="5" style="498" customWidth="1"/>
    <col min="15371" max="15371" width="4" style="498" customWidth="1"/>
    <col min="15372" max="15373" width="4.5703125" style="498" customWidth="1"/>
    <col min="15374" max="15374" width="4.42578125" style="498" customWidth="1"/>
    <col min="15375" max="15375" width="4" style="498" customWidth="1"/>
    <col min="15376" max="15376" width="3.5703125" style="498" customWidth="1"/>
    <col min="15377" max="15378" width="4.5703125" style="498" customWidth="1"/>
    <col min="15379" max="15379" width="4" style="498" customWidth="1"/>
    <col min="15380" max="15381" width="4.42578125" style="498" customWidth="1"/>
    <col min="15382" max="15382" width="3.5703125" style="498" customWidth="1"/>
    <col min="15383" max="15383" width="4.42578125" style="498" customWidth="1"/>
    <col min="15384" max="15384" width="5.5703125" style="498" customWidth="1"/>
    <col min="15385" max="15385" width="3.5703125" style="498" customWidth="1"/>
    <col min="15386" max="15386" width="4" style="498" customWidth="1"/>
    <col min="15387" max="15387" width="4.5703125" style="498" customWidth="1"/>
    <col min="15388" max="15390" width="4.42578125" style="498" customWidth="1"/>
    <col min="15391" max="15392" width="4.5703125" style="498" customWidth="1"/>
    <col min="15393" max="15393" width="4" style="498" customWidth="1"/>
    <col min="15394" max="15394" width="4.5703125" style="498" customWidth="1"/>
    <col min="15395" max="15395" width="6" style="498" customWidth="1"/>
    <col min="15396" max="15396" width="8.5703125" style="498" customWidth="1"/>
    <col min="15397" max="15616" width="11.42578125" style="498"/>
    <col min="15617" max="15617" width="6.42578125" style="498" customWidth="1"/>
    <col min="15618" max="15618" width="47.5703125" style="498" customWidth="1"/>
    <col min="15619" max="15620" width="5" style="498" customWidth="1"/>
    <col min="15621" max="15621" width="5.42578125" style="498" customWidth="1"/>
    <col min="15622" max="15622" width="4.5703125" style="498" customWidth="1"/>
    <col min="15623" max="15624" width="4.42578125" style="498" customWidth="1"/>
    <col min="15625" max="15625" width="3.5703125" style="498" customWidth="1"/>
    <col min="15626" max="15626" width="5" style="498" customWidth="1"/>
    <col min="15627" max="15627" width="4" style="498" customWidth="1"/>
    <col min="15628" max="15629" width="4.5703125" style="498" customWidth="1"/>
    <col min="15630" max="15630" width="4.42578125" style="498" customWidth="1"/>
    <col min="15631" max="15631" width="4" style="498" customWidth="1"/>
    <col min="15632" max="15632" width="3.5703125" style="498" customWidth="1"/>
    <col min="15633" max="15634" width="4.5703125" style="498" customWidth="1"/>
    <col min="15635" max="15635" width="4" style="498" customWidth="1"/>
    <col min="15636" max="15637" width="4.42578125" style="498" customWidth="1"/>
    <col min="15638" max="15638" width="3.5703125" style="498" customWidth="1"/>
    <col min="15639" max="15639" width="4.42578125" style="498" customWidth="1"/>
    <col min="15640" max="15640" width="5.5703125" style="498" customWidth="1"/>
    <col min="15641" max="15641" width="3.5703125" style="498" customWidth="1"/>
    <col min="15642" max="15642" width="4" style="498" customWidth="1"/>
    <col min="15643" max="15643" width="4.5703125" style="498" customWidth="1"/>
    <col min="15644" max="15646" width="4.42578125" style="498" customWidth="1"/>
    <col min="15647" max="15648" width="4.5703125" style="498" customWidth="1"/>
    <col min="15649" max="15649" width="4" style="498" customWidth="1"/>
    <col min="15650" max="15650" width="4.5703125" style="498" customWidth="1"/>
    <col min="15651" max="15651" width="6" style="498" customWidth="1"/>
    <col min="15652" max="15652" width="8.5703125" style="498" customWidth="1"/>
    <col min="15653" max="15872" width="11.42578125" style="498"/>
    <col min="15873" max="15873" width="6.42578125" style="498" customWidth="1"/>
    <col min="15874" max="15874" width="47.5703125" style="498" customWidth="1"/>
    <col min="15875" max="15876" width="5" style="498" customWidth="1"/>
    <col min="15877" max="15877" width="5.42578125" style="498" customWidth="1"/>
    <col min="15878" max="15878" width="4.5703125" style="498" customWidth="1"/>
    <col min="15879" max="15880" width="4.42578125" style="498" customWidth="1"/>
    <col min="15881" max="15881" width="3.5703125" style="498" customWidth="1"/>
    <col min="15882" max="15882" width="5" style="498" customWidth="1"/>
    <col min="15883" max="15883" width="4" style="498" customWidth="1"/>
    <col min="15884" max="15885" width="4.5703125" style="498" customWidth="1"/>
    <col min="15886" max="15886" width="4.42578125" style="498" customWidth="1"/>
    <col min="15887" max="15887" width="4" style="498" customWidth="1"/>
    <col min="15888" max="15888" width="3.5703125" style="498" customWidth="1"/>
    <col min="15889" max="15890" width="4.5703125" style="498" customWidth="1"/>
    <col min="15891" max="15891" width="4" style="498" customWidth="1"/>
    <col min="15892" max="15893" width="4.42578125" style="498" customWidth="1"/>
    <col min="15894" max="15894" width="3.5703125" style="498" customWidth="1"/>
    <col min="15895" max="15895" width="4.42578125" style="498" customWidth="1"/>
    <col min="15896" max="15896" width="5.5703125" style="498" customWidth="1"/>
    <col min="15897" max="15897" width="3.5703125" style="498" customWidth="1"/>
    <col min="15898" max="15898" width="4" style="498" customWidth="1"/>
    <col min="15899" max="15899" width="4.5703125" style="498" customWidth="1"/>
    <col min="15900" max="15902" width="4.42578125" style="498" customWidth="1"/>
    <col min="15903" max="15904" width="4.5703125" style="498" customWidth="1"/>
    <col min="15905" max="15905" width="4" style="498" customWidth="1"/>
    <col min="15906" max="15906" width="4.5703125" style="498" customWidth="1"/>
    <col min="15907" max="15907" width="6" style="498" customWidth="1"/>
    <col min="15908" max="15908" width="8.5703125" style="498" customWidth="1"/>
    <col min="15909" max="16128" width="11.42578125" style="498"/>
    <col min="16129" max="16129" width="6.42578125" style="498" customWidth="1"/>
    <col min="16130" max="16130" width="47.5703125" style="498" customWidth="1"/>
    <col min="16131" max="16132" width="5" style="498" customWidth="1"/>
    <col min="16133" max="16133" width="5.42578125" style="498" customWidth="1"/>
    <col min="16134" max="16134" width="4.5703125" style="498" customWidth="1"/>
    <col min="16135" max="16136" width="4.42578125" style="498" customWidth="1"/>
    <col min="16137" max="16137" width="3.5703125" style="498" customWidth="1"/>
    <col min="16138" max="16138" width="5" style="498" customWidth="1"/>
    <col min="16139" max="16139" width="4" style="498" customWidth="1"/>
    <col min="16140" max="16141" width="4.5703125" style="498" customWidth="1"/>
    <col min="16142" max="16142" width="4.42578125" style="498" customWidth="1"/>
    <col min="16143" max="16143" width="4" style="498" customWidth="1"/>
    <col min="16144" max="16144" width="3.5703125" style="498" customWidth="1"/>
    <col min="16145" max="16146" width="4.5703125" style="498" customWidth="1"/>
    <col min="16147" max="16147" width="4" style="498" customWidth="1"/>
    <col min="16148" max="16149" width="4.42578125" style="498" customWidth="1"/>
    <col min="16150" max="16150" width="3.5703125" style="498" customWidth="1"/>
    <col min="16151" max="16151" width="4.42578125" style="498" customWidth="1"/>
    <col min="16152" max="16152" width="5.5703125" style="498" customWidth="1"/>
    <col min="16153" max="16153" width="3.5703125" style="498" customWidth="1"/>
    <col min="16154" max="16154" width="4" style="498" customWidth="1"/>
    <col min="16155" max="16155" width="4.5703125" style="498" customWidth="1"/>
    <col min="16156" max="16158" width="4.42578125" style="498" customWidth="1"/>
    <col min="16159" max="16160" width="4.5703125" style="498" customWidth="1"/>
    <col min="16161" max="16161" width="4" style="498" customWidth="1"/>
    <col min="16162" max="16162" width="4.5703125" style="498" customWidth="1"/>
    <col min="16163" max="16163" width="6" style="498" customWidth="1"/>
    <col min="16164" max="16164" width="8.5703125" style="498" customWidth="1"/>
    <col min="16165" max="16384" width="11.42578125" style="498"/>
  </cols>
  <sheetData>
    <row r="1" spans="1:40">
      <c r="A1" s="2213" t="s">
        <v>283</v>
      </c>
      <c r="B1" s="2213"/>
      <c r="C1" s="2213"/>
      <c r="D1" s="2213"/>
      <c r="E1" s="2213"/>
      <c r="F1" s="2213"/>
      <c r="G1" s="2213"/>
      <c r="H1" s="2213"/>
      <c r="I1" s="2213"/>
      <c r="J1" s="2213"/>
      <c r="K1" s="2213"/>
      <c r="L1" s="2213"/>
      <c r="M1" s="2213"/>
      <c r="N1" s="2213"/>
      <c r="O1" s="2213"/>
      <c r="P1" s="2213"/>
      <c r="Q1" s="2213"/>
      <c r="R1" s="2213"/>
      <c r="S1" s="2213"/>
      <c r="T1" s="2213"/>
      <c r="U1" s="2213"/>
      <c r="V1" s="2213"/>
      <c r="W1" s="2213"/>
      <c r="X1" s="2213"/>
    </row>
    <row r="2" spans="1:40">
      <c r="A2" s="2214" t="s">
        <v>1802</v>
      </c>
      <c r="B2" s="2214"/>
      <c r="C2" s="2214"/>
      <c r="D2" s="2214"/>
      <c r="E2" s="2214"/>
      <c r="F2" s="2214"/>
      <c r="G2" s="2214"/>
      <c r="H2" s="2214"/>
      <c r="I2" s="2214"/>
      <c r="J2" s="2214"/>
      <c r="K2" s="2214"/>
      <c r="L2" s="2214"/>
      <c r="M2" s="2214"/>
      <c r="N2" s="2214"/>
      <c r="O2" s="2214"/>
      <c r="P2" s="2214"/>
      <c r="Q2" s="2214"/>
      <c r="R2" s="2214"/>
      <c r="S2" s="2214"/>
      <c r="T2" s="2214"/>
      <c r="U2" s="2214"/>
      <c r="V2" s="2214"/>
      <c r="W2" s="2214"/>
      <c r="X2" s="2214"/>
    </row>
    <row r="3" spans="1:40">
      <c r="A3" s="549"/>
    </row>
    <row r="4" spans="1:40">
      <c r="A4" s="551"/>
      <c r="B4" s="2215" t="s">
        <v>1800</v>
      </c>
      <c r="C4" s="2215"/>
      <c r="D4" s="2215"/>
      <c r="E4" s="2215"/>
      <c r="F4" s="2215"/>
      <c r="G4" s="2215"/>
      <c r="H4" s="2215"/>
      <c r="I4" s="2215"/>
      <c r="J4" s="2215"/>
      <c r="K4" s="2215"/>
      <c r="L4" s="2215"/>
    </row>
    <row r="5" spans="1:40" ht="12.75" customHeight="1">
      <c r="A5" s="551"/>
      <c r="B5" s="2216" t="e">
        <f>#REF!</f>
        <v>#REF!</v>
      </c>
      <c r="C5" s="2217"/>
      <c r="D5" s="2217"/>
      <c r="E5" s="2217"/>
      <c r="F5" s="2217"/>
      <c r="G5" s="2217"/>
      <c r="H5" s="2217"/>
      <c r="I5" s="2217"/>
      <c r="J5" s="2217"/>
      <c r="K5" s="2217"/>
      <c r="L5" s="2217"/>
      <c r="M5" s="2217"/>
      <c r="N5" s="2217"/>
      <c r="O5" s="2217"/>
      <c r="P5" s="2217"/>
      <c r="Q5" s="2217"/>
      <c r="R5" s="2217"/>
      <c r="S5" s="2217"/>
      <c r="T5" s="2217"/>
      <c r="U5" s="2217"/>
      <c r="V5" s="2217"/>
      <c r="W5" s="2217"/>
      <c r="X5" s="2217"/>
      <c r="Y5" s="2217"/>
      <c r="Z5" s="2217"/>
      <c r="AA5" s="2217"/>
    </row>
    <row r="6" spans="1:40" ht="13.5" customHeight="1">
      <c r="B6" s="553"/>
      <c r="C6" s="500"/>
    </row>
    <row r="7" spans="1:40" ht="13.5" customHeight="1">
      <c r="B7" s="553"/>
      <c r="C7" s="500"/>
      <c r="Q7" s="2220" t="s">
        <v>284</v>
      </c>
      <c r="R7" s="2220"/>
      <c r="S7" s="2220"/>
      <c r="T7" s="2220"/>
      <c r="U7" s="2220"/>
      <c r="V7" s="2220"/>
      <c r="W7" s="2221">
        <v>42888</v>
      </c>
      <c r="X7" s="2221"/>
      <c r="Y7" s="2221"/>
      <c r="Z7" s="2221"/>
    </row>
    <row r="8" spans="1:40" ht="13.5" customHeight="1" thickBot="1">
      <c r="B8" s="553"/>
      <c r="C8" s="500"/>
      <c r="D8" s="871" t="s">
        <v>2162</v>
      </c>
      <c r="E8" s="871" t="s">
        <v>2163</v>
      </c>
      <c r="F8" s="998" t="s">
        <v>2157</v>
      </c>
      <c r="G8" s="871" t="s">
        <v>2158</v>
      </c>
      <c r="H8" s="871" t="s">
        <v>2159</v>
      </c>
      <c r="I8" s="871" t="s">
        <v>2160</v>
      </c>
      <c r="J8" s="871" t="s">
        <v>2161</v>
      </c>
      <c r="K8" s="891" t="s">
        <v>2162</v>
      </c>
      <c r="L8" s="871" t="s">
        <v>2163</v>
      </c>
      <c r="M8" s="998" t="s">
        <v>2157</v>
      </c>
      <c r="N8" s="871" t="s">
        <v>2158</v>
      </c>
      <c r="O8" s="871" t="s">
        <v>2159</v>
      </c>
      <c r="P8" s="871" t="s">
        <v>2160</v>
      </c>
      <c r="Q8" s="871" t="s">
        <v>2161</v>
      </c>
      <c r="R8" s="871" t="s">
        <v>2162</v>
      </c>
      <c r="S8" s="871" t="s">
        <v>2163</v>
      </c>
      <c r="T8" s="998" t="s">
        <v>2157</v>
      </c>
      <c r="U8" s="871" t="s">
        <v>2158</v>
      </c>
      <c r="V8" s="871" t="s">
        <v>2159</v>
      </c>
      <c r="W8" s="871" t="s">
        <v>2160</v>
      </c>
      <c r="X8" s="871" t="s">
        <v>2161</v>
      </c>
      <c r="Y8" s="871" t="s">
        <v>2162</v>
      </c>
      <c r="Z8" s="871" t="s">
        <v>2163</v>
      </c>
      <c r="AA8" s="998" t="s">
        <v>2157</v>
      </c>
      <c r="AB8" s="891" t="s">
        <v>2158</v>
      </c>
      <c r="AC8" s="871" t="s">
        <v>2159</v>
      </c>
      <c r="AD8" s="871" t="s">
        <v>2160</v>
      </c>
      <c r="AE8" s="871" t="s">
        <v>2161</v>
      </c>
      <c r="AF8" s="871" t="s">
        <v>2162</v>
      </c>
      <c r="AG8" s="871" t="s">
        <v>2161</v>
      </c>
      <c r="AH8" s="871" t="s">
        <v>2162</v>
      </c>
      <c r="AI8" s="952"/>
    </row>
    <row r="9" spans="1:40" ht="13.5" thickBot="1">
      <c r="A9" s="2218" t="s">
        <v>285</v>
      </c>
      <c r="B9" s="2218" t="s">
        <v>20</v>
      </c>
      <c r="C9" s="501"/>
      <c r="D9" s="502">
        <v>1</v>
      </c>
      <c r="E9" s="502">
        <f>+D9+1</f>
        <v>2</v>
      </c>
      <c r="F9" s="736">
        <f t="shared" ref="F9:AH9" si="0">+E9+1</f>
        <v>3</v>
      </c>
      <c r="G9" s="502">
        <f t="shared" si="0"/>
        <v>4</v>
      </c>
      <c r="H9" s="502">
        <f t="shared" si="0"/>
        <v>5</v>
      </c>
      <c r="I9" s="502">
        <f t="shared" si="0"/>
        <v>6</v>
      </c>
      <c r="J9" s="502">
        <f t="shared" si="0"/>
        <v>7</v>
      </c>
      <c r="K9" s="762">
        <f t="shared" si="0"/>
        <v>8</v>
      </c>
      <c r="L9" s="502">
        <f t="shared" si="0"/>
        <v>9</v>
      </c>
      <c r="M9" s="736">
        <f t="shared" si="0"/>
        <v>10</v>
      </c>
      <c r="N9" s="502">
        <f t="shared" si="0"/>
        <v>11</v>
      </c>
      <c r="O9" s="502">
        <f t="shared" si="0"/>
        <v>12</v>
      </c>
      <c r="P9" s="502">
        <f t="shared" si="0"/>
        <v>13</v>
      </c>
      <c r="Q9" s="502">
        <f t="shared" si="0"/>
        <v>14</v>
      </c>
      <c r="R9" s="502">
        <f t="shared" si="0"/>
        <v>15</v>
      </c>
      <c r="S9" s="502">
        <f t="shared" si="0"/>
        <v>16</v>
      </c>
      <c r="T9" s="736">
        <f t="shared" si="0"/>
        <v>17</v>
      </c>
      <c r="U9" s="502">
        <f>+T9+1</f>
        <v>18</v>
      </c>
      <c r="V9" s="502">
        <f>+U9+1</f>
        <v>19</v>
      </c>
      <c r="W9" s="502">
        <f t="shared" si="0"/>
        <v>20</v>
      </c>
      <c r="X9" s="502">
        <f t="shared" si="0"/>
        <v>21</v>
      </c>
      <c r="Y9" s="502">
        <f t="shared" si="0"/>
        <v>22</v>
      </c>
      <c r="Z9" s="502">
        <f t="shared" si="0"/>
        <v>23</v>
      </c>
      <c r="AA9" s="736">
        <f t="shared" si="0"/>
        <v>24</v>
      </c>
      <c r="AB9" s="762">
        <f t="shared" si="0"/>
        <v>25</v>
      </c>
      <c r="AC9" s="502">
        <f t="shared" si="0"/>
        <v>26</v>
      </c>
      <c r="AD9" s="503">
        <f t="shared" si="0"/>
        <v>27</v>
      </c>
      <c r="AE9" s="502">
        <f t="shared" si="0"/>
        <v>28</v>
      </c>
      <c r="AF9" s="503">
        <f t="shared" si="0"/>
        <v>29</v>
      </c>
      <c r="AG9" s="502">
        <f>+AF9+1</f>
        <v>30</v>
      </c>
      <c r="AH9" s="503">
        <f t="shared" si="0"/>
        <v>31</v>
      </c>
      <c r="AI9" s="504" t="s">
        <v>359</v>
      </c>
      <c r="AJ9" s="672" t="s">
        <v>26</v>
      </c>
      <c r="AK9" s="671" t="s">
        <v>1822</v>
      </c>
      <c r="AL9" s="671" t="s">
        <v>1821</v>
      </c>
      <c r="AM9" s="505" t="s">
        <v>25</v>
      </c>
      <c r="AN9" s="498" t="s">
        <v>2</v>
      </c>
    </row>
    <row r="10" spans="1:40" ht="13.5" thickBot="1">
      <c r="A10" s="2219"/>
      <c r="B10" s="2219"/>
      <c r="C10" s="506" t="s">
        <v>286</v>
      </c>
      <c r="D10" s="507" t="s">
        <v>305</v>
      </c>
      <c r="E10" s="507" t="s">
        <v>305</v>
      </c>
      <c r="F10" s="737" t="s">
        <v>305</v>
      </c>
      <c r="G10" s="507" t="s">
        <v>305</v>
      </c>
      <c r="H10" s="507" t="s">
        <v>305</v>
      </c>
      <c r="I10" s="507" t="s">
        <v>305</v>
      </c>
      <c r="J10" s="507" t="s">
        <v>305</v>
      </c>
      <c r="K10" s="763" t="s">
        <v>305</v>
      </c>
      <c r="L10" s="507" t="s">
        <v>305</v>
      </c>
      <c r="M10" s="737" t="s">
        <v>305</v>
      </c>
      <c r="N10" s="507" t="s">
        <v>305</v>
      </c>
      <c r="O10" s="507" t="s">
        <v>305</v>
      </c>
      <c r="P10" s="507" t="s">
        <v>305</v>
      </c>
      <c r="Q10" s="507" t="s">
        <v>305</v>
      </c>
      <c r="R10" s="507" t="s">
        <v>305</v>
      </c>
      <c r="S10" s="507" t="s">
        <v>305</v>
      </c>
      <c r="T10" s="737" t="s">
        <v>305</v>
      </c>
      <c r="U10" s="507" t="s">
        <v>305</v>
      </c>
      <c r="V10" s="507" t="s">
        <v>305</v>
      </c>
      <c r="W10" s="507" t="s">
        <v>305</v>
      </c>
      <c r="X10" s="507" t="s">
        <v>305</v>
      </c>
      <c r="Y10" s="507" t="s">
        <v>305</v>
      </c>
      <c r="Z10" s="507" t="s">
        <v>305</v>
      </c>
      <c r="AA10" s="737" t="s">
        <v>305</v>
      </c>
      <c r="AB10" s="763" t="s">
        <v>305</v>
      </c>
      <c r="AC10" s="507" t="s">
        <v>305</v>
      </c>
      <c r="AD10" s="508" t="s">
        <v>305</v>
      </c>
      <c r="AE10" s="507" t="s">
        <v>305</v>
      </c>
      <c r="AF10" s="508" t="s">
        <v>305</v>
      </c>
      <c r="AG10" s="508" t="s">
        <v>305</v>
      </c>
      <c r="AH10" s="507" t="s">
        <v>305</v>
      </c>
      <c r="AI10" s="953" t="s">
        <v>287</v>
      </c>
      <c r="AJ10" s="668" t="s">
        <v>287</v>
      </c>
      <c r="AK10" s="671"/>
      <c r="AL10" s="671"/>
      <c r="AM10" s="505"/>
    </row>
    <row r="11" spans="1:40" s="518" customFormat="1">
      <c r="A11" s="716" t="s">
        <v>33</v>
      </c>
      <c r="B11" s="717" t="s">
        <v>1132</v>
      </c>
      <c r="C11" s="558"/>
      <c r="D11" s="510"/>
      <c r="E11" s="511"/>
      <c r="F11" s="738"/>
      <c r="G11" s="511"/>
      <c r="H11" s="511"/>
      <c r="I11" s="512"/>
      <c r="J11" s="512"/>
      <c r="K11" s="1056"/>
      <c r="L11" s="512"/>
      <c r="M11" s="738"/>
      <c r="N11" s="512"/>
      <c r="O11" s="512"/>
      <c r="P11" s="512"/>
      <c r="Q11" s="512"/>
      <c r="R11" s="512"/>
      <c r="S11" s="512"/>
      <c r="T11" s="738"/>
      <c r="U11" s="512"/>
      <c r="V11" s="512"/>
      <c r="W11" s="512"/>
      <c r="X11" s="512"/>
      <c r="Y11" s="512"/>
      <c r="Z11" s="512"/>
      <c r="AA11" s="738"/>
      <c r="AB11" s="809"/>
      <c r="AC11" s="513"/>
      <c r="AD11" s="513"/>
      <c r="AE11" s="513"/>
      <c r="AF11" s="514"/>
      <c r="AG11" s="514"/>
      <c r="AH11" s="514"/>
      <c r="AI11" s="946">
        <f t="shared" ref="AI11:AI78" si="1">ROUND((SUM(D11:AH11)),2)</f>
        <v>0</v>
      </c>
      <c r="AJ11" s="521"/>
      <c r="AK11" s="520"/>
      <c r="AL11" s="673"/>
      <c r="AM11" s="670"/>
    </row>
    <row r="12" spans="1:40" s="500" customFormat="1">
      <c r="A12" s="539" t="s">
        <v>35</v>
      </c>
      <c r="B12" s="279" t="s">
        <v>1133</v>
      </c>
      <c r="C12" s="529"/>
      <c r="D12" s="519"/>
      <c r="E12" s="520"/>
      <c r="F12" s="726"/>
      <c r="G12" s="520"/>
      <c r="H12" s="520"/>
      <c r="I12" s="521"/>
      <c r="J12" s="521"/>
      <c r="K12" s="772"/>
      <c r="L12" s="521"/>
      <c r="M12" s="726"/>
      <c r="N12" s="521"/>
      <c r="O12" s="521"/>
      <c r="P12" s="521"/>
      <c r="Q12" s="521"/>
      <c r="R12" s="521"/>
      <c r="S12" s="521"/>
      <c r="T12" s="726"/>
      <c r="U12" s="521"/>
      <c r="V12" s="521"/>
      <c r="W12" s="521"/>
      <c r="X12" s="521"/>
      <c r="Y12" s="521"/>
      <c r="Z12" s="521"/>
      <c r="AA12" s="726"/>
      <c r="AB12" s="884"/>
      <c r="AC12" s="522"/>
      <c r="AD12" s="514"/>
      <c r="AE12" s="514"/>
      <c r="AF12" s="514"/>
      <c r="AG12" s="514"/>
      <c r="AH12" s="514"/>
      <c r="AI12" s="946">
        <f t="shared" si="1"/>
        <v>0</v>
      </c>
      <c r="AJ12" s="521"/>
      <c r="AK12" s="520"/>
      <c r="AL12" s="672"/>
      <c r="AM12" s="667"/>
    </row>
    <row r="13" spans="1:40" s="500" customFormat="1">
      <c r="A13" s="539" t="s">
        <v>537</v>
      </c>
      <c r="B13" s="284" t="s">
        <v>1134</v>
      </c>
      <c r="C13" s="524" t="s">
        <v>64</v>
      </c>
      <c r="D13" s="519"/>
      <c r="E13" s="520"/>
      <c r="F13" s="726"/>
      <c r="G13" s="520"/>
      <c r="H13" s="520"/>
      <c r="I13" s="521"/>
      <c r="J13" s="521"/>
      <c r="K13" s="772"/>
      <c r="L13" s="521"/>
      <c r="M13" s="726"/>
      <c r="N13" s="521"/>
      <c r="O13" s="521"/>
      <c r="P13" s="521"/>
      <c r="Q13" s="521"/>
      <c r="R13" s="521"/>
      <c r="S13" s="521"/>
      <c r="T13" s="726"/>
      <c r="U13" s="521"/>
      <c r="V13" s="521"/>
      <c r="W13" s="521"/>
      <c r="X13" s="521"/>
      <c r="Y13" s="521"/>
      <c r="Z13" s="521"/>
      <c r="AA13" s="726"/>
      <c r="AB13" s="884"/>
      <c r="AC13" s="522"/>
      <c r="AD13" s="514"/>
      <c r="AE13" s="514"/>
      <c r="AF13" s="514"/>
      <c r="AG13" s="514"/>
      <c r="AH13" s="514"/>
      <c r="AI13" s="946">
        <f t="shared" si="1"/>
        <v>0</v>
      </c>
      <c r="AJ13" s="521">
        <v>0</v>
      </c>
      <c r="AK13" s="520">
        <f>AI13+AJ13</f>
        <v>0</v>
      </c>
      <c r="AL13" s="672" t="s">
        <v>1455</v>
      </c>
      <c r="AM13" s="669">
        <f>AL13-AK13</f>
        <v>1</v>
      </c>
    </row>
    <row r="14" spans="1:40" s="500" customFormat="1">
      <c r="A14" s="539" t="s">
        <v>538</v>
      </c>
      <c r="B14" s="279" t="s">
        <v>1135</v>
      </c>
      <c r="C14" s="524" t="s">
        <v>64</v>
      </c>
      <c r="D14" s="519"/>
      <c r="E14" s="520"/>
      <c r="F14" s="726"/>
      <c r="G14" s="520"/>
      <c r="H14" s="520"/>
      <c r="I14" s="521"/>
      <c r="J14" s="521"/>
      <c r="K14" s="772"/>
      <c r="L14" s="521"/>
      <c r="M14" s="726"/>
      <c r="N14" s="521"/>
      <c r="O14" s="521"/>
      <c r="P14" s="521"/>
      <c r="Q14" s="521"/>
      <c r="R14" s="521"/>
      <c r="S14" s="521"/>
      <c r="T14" s="726"/>
      <c r="U14" s="521"/>
      <c r="V14" s="521"/>
      <c r="W14" s="521"/>
      <c r="X14" s="521"/>
      <c r="Y14" s="521"/>
      <c r="Z14" s="521"/>
      <c r="AA14" s="726"/>
      <c r="AB14" s="884"/>
      <c r="AC14" s="522"/>
      <c r="AD14" s="514"/>
      <c r="AE14" s="514"/>
      <c r="AF14" s="514"/>
      <c r="AG14" s="514"/>
      <c r="AH14" s="514"/>
      <c r="AI14" s="946">
        <f t="shared" si="1"/>
        <v>0</v>
      </c>
      <c r="AJ14" s="521">
        <v>0</v>
      </c>
      <c r="AK14" s="520">
        <f t="shared" ref="AK14:AK17" si="2">AI14+AJ14</f>
        <v>0</v>
      </c>
      <c r="AL14" s="672" t="s">
        <v>1455</v>
      </c>
      <c r="AM14" s="669">
        <f t="shared" ref="AM14:AM17" si="3">AL14-AK14</f>
        <v>1</v>
      </c>
    </row>
    <row r="15" spans="1:40" s="500" customFormat="1">
      <c r="A15" s="539" t="s">
        <v>539</v>
      </c>
      <c r="B15" s="284" t="s">
        <v>1136</v>
      </c>
      <c r="C15" s="529" t="s">
        <v>64</v>
      </c>
      <c r="D15" s="519"/>
      <c r="E15" s="520"/>
      <c r="F15" s="726"/>
      <c r="G15" s="520"/>
      <c r="H15" s="520"/>
      <c r="I15" s="521"/>
      <c r="J15" s="521"/>
      <c r="K15" s="772"/>
      <c r="L15" s="521"/>
      <c r="M15" s="726"/>
      <c r="N15" s="521"/>
      <c r="O15" s="521"/>
      <c r="P15" s="521"/>
      <c r="Q15" s="521"/>
      <c r="R15" s="521"/>
      <c r="S15" s="521"/>
      <c r="T15" s="726"/>
      <c r="U15" s="521"/>
      <c r="V15" s="521"/>
      <c r="W15" s="521"/>
      <c r="X15" s="521"/>
      <c r="Y15" s="521"/>
      <c r="Z15" s="521"/>
      <c r="AA15" s="726"/>
      <c r="AB15" s="884"/>
      <c r="AC15" s="522"/>
      <c r="AD15" s="514"/>
      <c r="AE15" s="514"/>
      <c r="AF15" s="514"/>
      <c r="AG15" s="514"/>
      <c r="AH15" s="514"/>
      <c r="AI15" s="946">
        <f t="shared" si="1"/>
        <v>0</v>
      </c>
      <c r="AJ15" s="521">
        <v>0</v>
      </c>
      <c r="AK15" s="520">
        <f t="shared" si="2"/>
        <v>0</v>
      </c>
      <c r="AL15" s="672" t="s">
        <v>1455</v>
      </c>
      <c r="AM15" s="669">
        <f t="shared" si="3"/>
        <v>1</v>
      </c>
    </row>
    <row r="16" spans="1:40" s="500" customFormat="1">
      <c r="A16" s="539" t="s">
        <v>540</v>
      </c>
      <c r="B16" s="279" t="s">
        <v>1137</v>
      </c>
      <c r="C16" s="524" t="s">
        <v>64</v>
      </c>
      <c r="D16" s="519"/>
      <c r="E16" s="520"/>
      <c r="F16" s="726"/>
      <c r="G16" s="520"/>
      <c r="H16" s="520"/>
      <c r="I16" s="521"/>
      <c r="J16" s="521"/>
      <c r="K16" s="772"/>
      <c r="L16" s="521"/>
      <c r="M16" s="726"/>
      <c r="N16" s="521"/>
      <c r="O16" s="521"/>
      <c r="P16" s="521"/>
      <c r="Q16" s="521"/>
      <c r="R16" s="521"/>
      <c r="S16" s="521"/>
      <c r="T16" s="726"/>
      <c r="U16" s="521"/>
      <c r="V16" s="521"/>
      <c r="W16" s="521"/>
      <c r="X16" s="521"/>
      <c r="Y16" s="521"/>
      <c r="Z16" s="521"/>
      <c r="AA16" s="726"/>
      <c r="AB16" s="884"/>
      <c r="AC16" s="522"/>
      <c r="AD16" s="514"/>
      <c r="AE16" s="514"/>
      <c r="AF16" s="514"/>
      <c r="AG16" s="514"/>
      <c r="AH16" s="514"/>
      <c r="AI16" s="946">
        <f t="shared" si="1"/>
        <v>0</v>
      </c>
      <c r="AJ16" s="521">
        <v>0</v>
      </c>
      <c r="AK16" s="520">
        <f t="shared" si="2"/>
        <v>0</v>
      </c>
      <c r="AL16" s="672" t="s">
        <v>1455</v>
      </c>
      <c r="AM16" s="669">
        <f t="shared" si="3"/>
        <v>1</v>
      </c>
    </row>
    <row r="17" spans="1:45" s="500" customFormat="1">
      <c r="A17" s="539" t="s">
        <v>541</v>
      </c>
      <c r="B17" s="279" t="s">
        <v>1138</v>
      </c>
      <c r="C17" s="524" t="s">
        <v>1450</v>
      </c>
      <c r="D17" s="519"/>
      <c r="E17" s="520"/>
      <c r="F17" s="726"/>
      <c r="G17" s="520"/>
      <c r="H17" s="520"/>
      <c r="I17" s="521"/>
      <c r="J17" s="521"/>
      <c r="K17" s="772"/>
      <c r="L17" s="521"/>
      <c r="M17" s="726"/>
      <c r="N17" s="521"/>
      <c r="O17" s="521"/>
      <c r="P17" s="521"/>
      <c r="Q17" s="521"/>
      <c r="R17" s="521"/>
      <c r="S17" s="521"/>
      <c r="T17" s="726"/>
      <c r="U17" s="663"/>
      <c r="V17" s="663"/>
      <c r="W17" s="663"/>
      <c r="X17" s="663"/>
      <c r="Y17" s="663"/>
      <c r="Z17" s="663"/>
      <c r="AA17" s="726"/>
      <c r="AB17" s="765"/>
      <c r="AC17" s="663"/>
      <c r="AD17" s="663"/>
      <c r="AE17" s="663"/>
      <c r="AF17" s="663"/>
      <c r="AG17" s="663"/>
      <c r="AH17" s="663"/>
      <c r="AI17" s="946">
        <f t="shared" si="1"/>
        <v>0</v>
      </c>
      <c r="AJ17" s="521">
        <v>1</v>
      </c>
      <c r="AK17" s="520">
        <f t="shared" si="2"/>
        <v>1</v>
      </c>
      <c r="AL17" s="663" t="s">
        <v>1455</v>
      </c>
      <c r="AM17" s="669">
        <f t="shared" si="3"/>
        <v>0</v>
      </c>
      <c r="AN17" s="666"/>
      <c r="AO17" s="663"/>
      <c r="AP17" s="663"/>
      <c r="AQ17" s="663"/>
      <c r="AR17" s="663"/>
      <c r="AS17" s="663"/>
    </row>
    <row r="18" spans="1:45" s="496" customFormat="1" ht="11.25" customHeight="1">
      <c r="A18" s="440" t="s">
        <v>39</v>
      </c>
      <c r="B18" s="543" t="s">
        <v>34</v>
      </c>
      <c r="C18" s="605"/>
      <c r="D18" s="606"/>
      <c r="E18" s="607"/>
      <c r="F18" s="961"/>
      <c r="G18" s="609"/>
      <c r="H18" s="610"/>
      <c r="I18" s="566"/>
      <c r="J18" s="610"/>
      <c r="K18" s="1058"/>
      <c r="L18" s="611"/>
      <c r="M18" s="961"/>
      <c r="N18" s="613"/>
      <c r="O18" s="614"/>
      <c r="P18" s="615"/>
      <c r="Q18" s="166"/>
      <c r="T18" s="961"/>
      <c r="AA18" s="961"/>
      <c r="AB18" s="883"/>
      <c r="AI18" s="946">
        <f t="shared" si="1"/>
        <v>0</v>
      </c>
    </row>
    <row r="19" spans="1:45" s="730" customFormat="1" ht="15.75">
      <c r="A19" s="720" t="s">
        <v>543</v>
      </c>
      <c r="B19" s="659" t="s">
        <v>1140</v>
      </c>
      <c r="C19" s="660" t="s">
        <v>40</v>
      </c>
      <c r="D19" s="742"/>
      <c r="E19" s="661"/>
      <c r="F19" s="739"/>
      <c r="G19" s="661"/>
      <c r="H19" s="661"/>
      <c r="I19" s="997"/>
      <c r="J19" s="997"/>
      <c r="K19" s="1059"/>
      <c r="L19" s="663"/>
      <c r="M19" s="739"/>
      <c r="N19" s="663"/>
      <c r="O19" s="663"/>
      <c r="P19" s="663"/>
      <c r="Q19" s="663"/>
      <c r="R19" s="663"/>
      <c r="S19" s="663"/>
      <c r="T19" s="739"/>
      <c r="U19" s="663"/>
      <c r="V19" s="663"/>
      <c r="W19" s="663"/>
      <c r="X19" s="663"/>
      <c r="Y19" s="663"/>
      <c r="Z19" s="663"/>
      <c r="AA19" s="739"/>
      <c r="AB19" s="765"/>
      <c r="AC19" s="663"/>
      <c r="AD19" s="663"/>
      <c r="AE19" s="663"/>
      <c r="AF19" s="663"/>
      <c r="AG19" s="663"/>
      <c r="AH19" s="663"/>
      <c r="AI19" s="946">
        <f t="shared" si="1"/>
        <v>0</v>
      </c>
      <c r="AJ19" s="521">
        <v>963.6</v>
      </c>
      <c r="AK19" s="520">
        <f>AI19+AJ19</f>
        <v>963.6</v>
      </c>
      <c r="AL19" s="741" t="s">
        <v>1457</v>
      </c>
      <c r="AM19" s="729">
        <f>AN19-AK19</f>
        <v>60.399999999999977</v>
      </c>
      <c r="AN19" s="825">
        <v>1024</v>
      </c>
      <c r="AO19" s="741">
        <f>AL19-AN19</f>
        <v>-416.4</v>
      </c>
      <c r="AP19" s="741"/>
      <c r="AQ19" s="741"/>
      <c r="AR19" s="741"/>
      <c r="AS19" s="741"/>
    </row>
    <row r="20" spans="1:45" s="500" customFormat="1">
      <c r="A20" s="539" t="s">
        <v>544</v>
      </c>
      <c r="B20" s="539" t="s">
        <v>1141</v>
      </c>
      <c r="C20" s="472" t="s">
        <v>40</v>
      </c>
      <c r="D20" s="519"/>
      <c r="E20" s="520"/>
      <c r="F20" s="726"/>
      <c r="G20" s="520"/>
      <c r="H20" s="520"/>
      <c r="I20" s="520"/>
      <c r="J20" s="520"/>
      <c r="K20" s="864"/>
      <c r="L20" s="514"/>
      <c r="M20" s="726"/>
      <c r="N20" s="514"/>
      <c r="O20" s="514"/>
      <c r="P20" s="514"/>
      <c r="Q20" s="514"/>
      <c r="R20" s="514"/>
      <c r="S20" s="514"/>
      <c r="T20" s="726"/>
      <c r="U20" s="514"/>
      <c r="V20" s="514"/>
      <c r="W20" s="514"/>
      <c r="X20" s="514"/>
      <c r="Y20" s="514"/>
      <c r="Z20" s="514"/>
      <c r="AA20" s="726"/>
      <c r="AB20" s="764"/>
      <c r="AC20" s="514"/>
      <c r="AD20" s="514"/>
      <c r="AE20" s="698"/>
      <c r="AF20" s="514"/>
      <c r="AG20" s="514"/>
      <c r="AH20" s="789"/>
      <c r="AI20" s="946">
        <f t="shared" si="1"/>
        <v>0</v>
      </c>
      <c r="AJ20" s="521">
        <v>0</v>
      </c>
      <c r="AK20" s="520">
        <f t="shared" ref="AK20:AK83" si="4">AI20+AJ20</f>
        <v>0</v>
      </c>
      <c r="AL20" s="672" t="s">
        <v>1458</v>
      </c>
      <c r="AM20" s="669">
        <f t="shared" ref="AM20:AM83" si="5">AL20-AK20</f>
        <v>759.49</v>
      </c>
      <c r="AO20" s="517">
        <f>AN19-AK19</f>
        <v>60.399999999999977</v>
      </c>
      <c r="AP20" s="500">
        <f>AO19/30</f>
        <v>-13.879999999999999</v>
      </c>
    </row>
    <row r="21" spans="1:45" s="500" customFormat="1">
      <c r="A21" s="440" t="s">
        <v>545</v>
      </c>
      <c r="B21" s="543" t="s">
        <v>1142</v>
      </c>
      <c r="C21" s="605"/>
      <c r="D21" s="519"/>
      <c r="E21" s="520"/>
      <c r="F21" s="726"/>
      <c r="G21" s="520"/>
      <c r="H21" s="520"/>
      <c r="I21" s="521"/>
      <c r="J21" s="521"/>
      <c r="K21" s="772"/>
      <c r="L21" s="514"/>
      <c r="M21" s="726"/>
      <c r="N21" s="514"/>
      <c r="O21" s="514"/>
      <c r="P21" s="514"/>
      <c r="Q21" s="514"/>
      <c r="R21" s="514"/>
      <c r="S21" s="514"/>
      <c r="T21" s="726"/>
      <c r="U21" s="514"/>
      <c r="V21" s="514"/>
      <c r="W21" s="514"/>
      <c r="X21" s="514"/>
      <c r="Y21" s="514"/>
      <c r="Z21" s="514"/>
      <c r="AA21" s="726"/>
      <c r="AB21" s="764"/>
      <c r="AC21" s="514"/>
      <c r="AD21" s="514"/>
      <c r="AE21" s="698"/>
      <c r="AF21" s="514"/>
      <c r="AG21" s="514"/>
      <c r="AH21" s="789"/>
      <c r="AI21" s="946">
        <f t="shared" si="1"/>
        <v>0</v>
      </c>
      <c r="AJ21" s="521">
        <v>0</v>
      </c>
      <c r="AK21" s="520">
        <f t="shared" si="4"/>
        <v>0</v>
      </c>
      <c r="AL21" s="672"/>
      <c r="AM21" s="669">
        <f t="shared" si="5"/>
        <v>0</v>
      </c>
    </row>
    <row r="22" spans="1:45" s="500" customFormat="1">
      <c r="A22" s="539" t="s">
        <v>546</v>
      </c>
      <c r="B22" s="539" t="s">
        <v>1142</v>
      </c>
      <c r="C22" s="472" t="s">
        <v>64</v>
      </c>
      <c r="D22" s="525"/>
      <c r="E22" s="526"/>
      <c r="F22" s="731"/>
      <c r="G22" s="526"/>
      <c r="H22" s="754"/>
      <c r="I22" s="527"/>
      <c r="J22" s="527"/>
      <c r="K22" s="812"/>
      <c r="L22" s="514"/>
      <c r="M22" s="731"/>
      <c r="N22" s="514"/>
      <c r="O22" s="514"/>
      <c r="P22" s="514"/>
      <c r="Q22" s="514"/>
      <c r="R22" s="514"/>
      <c r="S22" s="514"/>
      <c r="T22" s="731"/>
      <c r="U22" s="514"/>
      <c r="V22" s="514"/>
      <c r="W22" s="514"/>
      <c r="X22" s="514"/>
      <c r="Y22" s="514"/>
      <c r="Z22" s="514"/>
      <c r="AA22" s="731"/>
      <c r="AB22" s="764"/>
      <c r="AC22" s="514"/>
      <c r="AD22" s="514"/>
      <c r="AE22" s="698"/>
      <c r="AF22" s="514"/>
      <c r="AG22" s="514"/>
      <c r="AH22" s="789"/>
      <c r="AI22" s="946">
        <f t="shared" si="1"/>
        <v>0</v>
      </c>
      <c r="AJ22" s="521">
        <v>0</v>
      </c>
      <c r="AK22" s="520">
        <f t="shared" si="4"/>
        <v>0</v>
      </c>
      <c r="AL22" s="673" t="s">
        <v>1455</v>
      </c>
      <c r="AM22" s="669">
        <f t="shared" si="5"/>
        <v>1</v>
      </c>
    </row>
    <row r="23" spans="1:45" s="500" customFormat="1">
      <c r="A23" s="539" t="s">
        <v>547</v>
      </c>
      <c r="B23" s="539" t="s">
        <v>1144</v>
      </c>
      <c r="C23" s="472" t="s">
        <v>64</v>
      </c>
      <c r="D23" s="519"/>
      <c r="E23" s="520"/>
      <c r="F23" s="726"/>
      <c r="G23" s="520"/>
      <c r="H23" s="520"/>
      <c r="I23" s="521"/>
      <c r="J23" s="521"/>
      <c r="K23" s="772"/>
      <c r="L23" s="757"/>
      <c r="M23" s="726"/>
      <c r="N23" s="514"/>
      <c r="O23" s="514"/>
      <c r="P23" s="514"/>
      <c r="Q23" s="514"/>
      <c r="R23" s="514"/>
      <c r="S23" s="514"/>
      <c r="T23" s="726"/>
      <c r="U23" s="514"/>
      <c r="V23" s="514"/>
      <c r="W23" s="514"/>
      <c r="X23" s="514"/>
      <c r="Y23" s="514"/>
      <c r="Z23" s="514"/>
      <c r="AA23" s="726"/>
      <c r="AB23" s="764"/>
      <c r="AC23" s="514"/>
      <c r="AD23" s="514"/>
      <c r="AE23" s="698"/>
      <c r="AF23" s="514"/>
      <c r="AG23" s="514"/>
      <c r="AH23" s="789"/>
      <c r="AI23" s="946">
        <f t="shared" si="1"/>
        <v>0</v>
      </c>
      <c r="AJ23" s="521">
        <v>0</v>
      </c>
      <c r="AK23" s="520">
        <f t="shared" si="4"/>
        <v>0</v>
      </c>
      <c r="AL23" s="672" t="s">
        <v>1455</v>
      </c>
      <c r="AM23" s="669">
        <f t="shared" si="5"/>
        <v>1</v>
      </c>
    </row>
    <row r="24" spans="1:45" s="500" customFormat="1">
      <c r="A24" s="440" t="s">
        <v>548</v>
      </c>
      <c r="B24" s="543" t="s">
        <v>1145</v>
      </c>
      <c r="C24" s="605"/>
      <c r="D24" s="519"/>
      <c r="E24" s="520"/>
      <c r="F24" s="726"/>
      <c r="G24" s="520"/>
      <c r="H24" s="520"/>
      <c r="I24" s="521"/>
      <c r="J24" s="521"/>
      <c r="K24" s="772"/>
      <c r="L24" s="514"/>
      <c r="M24" s="726"/>
      <c r="N24" s="514"/>
      <c r="O24" s="514"/>
      <c r="P24" s="514"/>
      <c r="Q24" s="514"/>
      <c r="R24" s="514"/>
      <c r="S24" s="514"/>
      <c r="T24" s="726"/>
      <c r="U24" s="514"/>
      <c r="V24" s="514"/>
      <c r="W24" s="514"/>
      <c r="X24" s="514"/>
      <c r="Y24" s="514"/>
      <c r="Z24" s="514"/>
      <c r="AA24" s="726"/>
      <c r="AB24" s="764"/>
      <c r="AC24" s="514"/>
      <c r="AD24" s="514"/>
      <c r="AE24" s="698"/>
      <c r="AF24" s="514"/>
      <c r="AG24" s="514"/>
      <c r="AH24" s="789"/>
      <c r="AI24" s="946">
        <f t="shared" si="1"/>
        <v>0</v>
      </c>
      <c r="AJ24" s="521">
        <v>0</v>
      </c>
      <c r="AK24" s="520">
        <f t="shared" si="4"/>
        <v>0</v>
      </c>
      <c r="AL24" s="672"/>
      <c r="AM24" s="669">
        <f t="shared" si="5"/>
        <v>0</v>
      </c>
    </row>
    <row r="25" spans="1:45" s="500" customFormat="1">
      <c r="A25" s="539" t="s">
        <v>549</v>
      </c>
      <c r="B25" s="539" t="s">
        <v>1146</v>
      </c>
      <c r="C25" s="472" t="s">
        <v>37</v>
      </c>
      <c r="D25" s="519"/>
      <c r="E25" s="520"/>
      <c r="F25" s="726"/>
      <c r="G25" s="520"/>
      <c r="H25" s="520"/>
      <c r="I25" s="521"/>
      <c r="J25" s="521"/>
      <c r="K25" s="772"/>
      <c r="L25" s="514"/>
      <c r="M25" s="726"/>
      <c r="N25" s="514"/>
      <c r="O25" s="514"/>
      <c r="P25" s="514"/>
      <c r="Q25" s="514"/>
      <c r="R25" s="514"/>
      <c r="S25" s="514"/>
      <c r="T25" s="726"/>
      <c r="U25" s="514"/>
      <c r="V25" s="514"/>
      <c r="W25" s="514"/>
      <c r="X25" s="514"/>
      <c r="Y25" s="514"/>
      <c r="Z25" s="514"/>
      <c r="AA25" s="726"/>
      <c r="AB25" s="764"/>
      <c r="AC25" s="514"/>
      <c r="AD25" s="514"/>
      <c r="AE25" s="698"/>
      <c r="AF25" s="514"/>
      <c r="AG25" s="514"/>
      <c r="AH25" s="789"/>
      <c r="AI25" s="946">
        <f t="shared" si="1"/>
        <v>0</v>
      </c>
      <c r="AJ25" s="521">
        <v>656.8</v>
      </c>
      <c r="AK25" s="520">
        <f t="shared" si="4"/>
        <v>656.8</v>
      </c>
      <c r="AL25" s="672" t="s">
        <v>1456</v>
      </c>
      <c r="AM25" s="669">
        <f t="shared" si="5"/>
        <v>0</v>
      </c>
    </row>
    <row r="26" spans="1:45" s="500" customFormat="1">
      <c r="A26" s="539" t="s">
        <v>550</v>
      </c>
      <c r="B26" s="539" t="s">
        <v>1819</v>
      </c>
      <c r="C26" s="472" t="s">
        <v>37</v>
      </c>
      <c r="D26" s="519"/>
      <c r="E26" s="520"/>
      <c r="F26" s="726"/>
      <c r="G26" s="520"/>
      <c r="H26" s="520"/>
      <c r="I26" s="521"/>
      <c r="J26" s="521"/>
      <c r="K26" s="772"/>
      <c r="L26" s="522"/>
      <c r="M26" s="726"/>
      <c r="N26" s="514"/>
      <c r="O26" s="514"/>
      <c r="P26" s="514"/>
      <c r="Q26" s="514"/>
      <c r="R26" s="514"/>
      <c r="S26" s="514"/>
      <c r="T26" s="726"/>
      <c r="U26" s="514"/>
      <c r="V26" s="514"/>
      <c r="W26" s="514"/>
      <c r="X26" s="757"/>
      <c r="Y26" s="514"/>
      <c r="Z26" s="514"/>
      <c r="AA26" s="726"/>
      <c r="AB26" s="764"/>
      <c r="AC26" s="514"/>
      <c r="AD26" s="514"/>
      <c r="AE26" s="698"/>
      <c r="AF26" s="514"/>
      <c r="AG26" s="514"/>
      <c r="AH26" s="789"/>
      <c r="AI26" s="946">
        <f t="shared" si="1"/>
        <v>0</v>
      </c>
      <c r="AJ26" s="521">
        <v>154.35</v>
      </c>
      <c r="AK26" s="520">
        <f>AI26+AJ26</f>
        <v>154.35</v>
      </c>
      <c r="AL26" s="672" t="s">
        <v>1456</v>
      </c>
      <c r="AM26" s="669">
        <f>AL26-AK26</f>
        <v>502.44999999999993</v>
      </c>
      <c r="AO26" s="500">
        <f>AM19/15</f>
        <v>4.0266666666666655</v>
      </c>
    </row>
    <row r="27" spans="1:45" s="518" customFormat="1">
      <c r="A27" s="440" t="s">
        <v>551</v>
      </c>
      <c r="B27" s="543" t="s">
        <v>1147</v>
      </c>
      <c r="C27" s="605"/>
      <c r="D27" s="519"/>
      <c r="E27" s="520"/>
      <c r="F27" s="726"/>
      <c r="G27" s="520"/>
      <c r="H27" s="520"/>
      <c r="I27" s="521"/>
      <c r="J27" s="521"/>
      <c r="K27" s="772"/>
      <c r="L27" s="514"/>
      <c r="M27" s="726"/>
      <c r="N27" s="514"/>
      <c r="O27" s="514"/>
      <c r="P27" s="514"/>
      <c r="Q27" s="514"/>
      <c r="R27" s="514"/>
      <c r="S27" s="514"/>
      <c r="T27" s="726"/>
      <c r="U27" s="514"/>
      <c r="V27" s="514"/>
      <c r="W27" s="514"/>
      <c r="X27" s="514"/>
      <c r="Y27" s="514"/>
      <c r="Z27" s="514"/>
      <c r="AA27" s="726"/>
      <c r="AB27" s="764"/>
      <c r="AC27" s="514"/>
      <c r="AD27" s="514"/>
      <c r="AE27" s="698"/>
      <c r="AF27" s="514"/>
      <c r="AG27" s="514"/>
      <c r="AH27" s="789"/>
      <c r="AI27" s="946">
        <f t="shared" si="1"/>
        <v>0</v>
      </c>
      <c r="AJ27" s="521">
        <v>0</v>
      </c>
      <c r="AK27" s="520">
        <f t="shared" si="4"/>
        <v>0</v>
      </c>
      <c r="AL27" s="672"/>
      <c r="AM27" s="669">
        <f t="shared" si="5"/>
        <v>0</v>
      </c>
    </row>
    <row r="28" spans="1:45" s="500" customFormat="1">
      <c r="A28" s="539" t="s">
        <v>552</v>
      </c>
      <c r="B28" s="539" t="s">
        <v>1148</v>
      </c>
      <c r="C28" s="472" t="s">
        <v>64</v>
      </c>
      <c r="D28" s="528"/>
      <c r="E28" s="521"/>
      <c r="F28" s="725"/>
      <c r="G28" s="521"/>
      <c r="H28" s="520"/>
      <c r="I28" s="521"/>
      <c r="J28" s="521"/>
      <c r="K28" s="772"/>
      <c r="L28" s="514"/>
      <c r="M28" s="725"/>
      <c r="N28" s="514"/>
      <c r="O28" s="514"/>
      <c r="P28" s="514"/>
      <c r="Q28" s="514"/>
      <c r="R28" s="514"/>
      <c r="S28" s="514"/>
      <c r="T28" s="725"/>
      <c r="U28" s="514"/>
      <c r="V28" s="514"/>
      <c r="W28" s="514"/>
      <c r="X28" s="514"/>
      <c r="Y28" s="514"/>
      <c r="Z28" s="514"/>
      <c r="AA28" s="725"/>
      <c r="AB28" s="764"/>
      <c r="AC28" s="514"/>
      <c r="AD28" s="514"/>
      <c r="AE28" s="698"/>
      <c r="AF28" s="514"/>
      <c r="AG28" s="514"/>
      <c r="AH28" s="789"/>
      <c r="AI28" s="946">
        <f t="shared" si="1"/>
        <v>0</v>
      </c>
      <c r="AJ28" s="521">
        <v>0</v>
      </c>
      <c r="AK28" s="520">
        <f t="shared" si="4"/>
        <v>0</v>
      </c>
      <c r="AL28" s="672" t="s">
        <v>1455</v>
      </c>
      <c r="AM28" s="669">
        <f t="shared" si="5"/>
        <v>1</v>
      </c>
    </row>
    <row r="29" spans="1:45" s="500" customFormat="1">
      <c r="A29" s="539" t="s">
        <v>553</v>
      </c>
      <c r="B29" s="539" t="s">
        <v>1149</v>
      </c>
      <c r="C29" s="472" t="s">
        <v>36</v>
      </c>
      <c r="D29" s="528"/>
      <c r="E29" s="521"/>
      <c r="F29" s="725"/>
      <c r="G29" s="521"/>
      <c r="H29" s="520"/>
      <c r="I29" s="521"/>
      <c r="J29" s="521"/>
      <c r="K29" s="772"/>
      <c r="L29" s="522"/>
      <c r="M29" s="725"/>
      <c r="N29" s="514"/>
      <c r="O29" s="514"/>
      <c r="P29" s="514"/>
      <c r="Q29" s="514"/>
      <c r="R29" s="522"/>
      <c r="S29" s="514"/>
      <c r="T29" s="725"/>
      <c r="U29" s="514"/>
      <c r="V29" s="514"/>
      <c r="W29" s="514"/>
      <c r="X29" s="514"/>
      <c r="Y29" s="514"/>
      <c r="Z29" s="514"/>
      <c r="AA29" s="725"/>
      <c r="AB29" s="764"/>
      <c r="AC29" s="514"/>
      <c r="AD29" s="514"/>
      <c r="AE29" s="698"/>
      <c r="AF29" s="514"/>
      <c r="AG29" s="514"/>
      <c r="AH29" s="789"/>
      <c r="AI29" s="946">
        <f t="shared" si="1"/>
        <v>0</v>
      </c>
      <c r="AJ29" s="521">
        <v>0</v>
      </c>
      <c r="AK29" s="520">
        <f t="shared" si="4"/>
        <v>0</v>
      </c>
      <c r="AL29" s="672" t="s">
        <v>1459</v>
      </c>
      <c r="AM29" s="669">
        <f t="shared" si="5"/>
        <v>30</v>
      </c>
    </row>
    <row r="30" spans="1:45" s="518" customFormat="1">
      <c r="A30" s="539" t="s">
        <v>554</v>
      </c>
      <c r="B30" s="539" t="s">
        <v>1150</v>
      </c>
      <c r="C30" s="472" t="s">
        <v>64</v>
      </c>
      <c r="D30" s="528"/>
      <c r="E30" s="521"/>
      <c r="F30" s="725"/>
      <c r="G30" s="521"/>
      <c r="H30" s="520"/>
      <c r="I30" s="521"/>
      <c r="J30" s="521"/>
      <c r="K30" s="772"/>
      <c r="L30" s="522"/>
      <c r="M30" s="725"/>
      <c r="N30" s="522"/>
      <c r="O30" s="522"/>
      <c r="P30" s="522"/>
      <c r="Q30" s="522"/>
      <c r="R30" s="522"/>
      <c r="S30" s="522"/>
      <c r="T30" s="725"/>
      <c r="U30" s="522"/>
      <c r="V30" s="522"/>
      <c r="W30" s="522"/>
      <c r="X30" s="522"/>
      <c r="Y30" s="522"/>
      <c r="Z30" s="514"/>
      <c r="AA30" s="725"/>
      <c r="AB30" s="764"/>
      <c r="AC30" s="514"/>
      <c r="AD30" s="514"/>
      <c r="AE30" s="698"/>
      <c r="AF30" s="514"/>
      <c r="AG30" s="514"/>
      <c r="AH30" s="789"/>
      <c r="AI30" s="946">
        <f t="shared" si="1"/>
        <v>0</v>
      </c>
      <c r="AJ30" s="521">
        <v>0</v>
      </c>
      <c r="AK30" s="520">
        <f t="shared" si="4"/>
        <v>0</v>
      </c>
      <c r="AL30" s="672" t="s">
        <v>1455</v>
      </c>
      <c r="AM30" s="669">
        <f t="shared" si="5"/>
        <v>1</v>
      </c>
    </row>
    <row r="31" spans="1:45" s="500" customFormat="1">
      <c r="A31" s="539" t="s">
        <v>555</v>
      </c>
      <c r="B31" s="539" t="s">
        <v>1151</v>
      </c>
      <c r="C31" s="472" t="s">
        <v>64</v>
      </c>
      <c r="D31" s="528"/>
      <c r="E31" s="521"/>
      <c r="F31" s="725"/>
      <c r="G31" s="521"/>
      <c r="H31" s="520"/>
      <c r="I31" s="521"/>
      <c r="J31" s="521"/>
      <c r="K31" s="772"/>
      <c r="L31" s="514"/>
      <c r="M31" s="725"/>
      <c r="N31" s="514"/>
      <c r="O31" s="514"/>
      <c r="P31" s="514"/>
      <c r="Q31" s="514"/>
      <c r="R31" s="514"/>
      <c r="S31" s="514"/>
      <c r="T31" s="725"/>
      <c r="U31" s="514"/>
      <c r="V31" s="514"/>
      <c r="W31" s="514"/>
      <c r="X31" s="514"/>
      <c r="Y31" s="514"/>
      <c r="Z31" s="514"/>
      <c r="AA31" s="725"/>
      <c r="AB31" s="764"/>
      <c r="AC31" s="514"/>
      <c r="AD31" s="757"/>
      <c r="AE31" s="698"/>
      <c r="AF31" s="514"/>
      <c r="AG31" s="514"/>
      <c r="AH31" s="789"/>
      <c r="AI31" s="946">
        <f t="shared" si="1"/>
        <v>0</v>
      </c>
      <c r="AJ31" s="521">
        <v>0</v>
      </c>
      <c r="AK31" s="520">
        <f t="shared" si="4"/>
        <v>0</v>
      </c>
      <c r="AL31" s="672" t="s">
        <v>1455</v>
      </c>
      <c r="AM31" s="669">
        <f t="shared" si="5"/>
        <v>1</v>
      </c>
    </row>
    <row r="32" spans="1:45" s="500" customFormat="1">
      <c r="A32" s="539" t="s">
        <v>556</v>
      </c>
      <c r="B32" s="539" t="s">
        <v>1152</v>
      </c>
      <c r="C32" s="472" t="s">
        <v>64</v>
      </c>
      <c r="D32" s="528"/>
      <c r="E32" s="521"/>
      <c r="F32" s="725"/>
      <c r="G32" s="521"/>
      <c r="H32" s="520"/>
      <c r="I32" s="521"/>
      <c r="J32" s="521"/>
      <c r="K32" s="772"/>
      <c r="L32" s="514"/>
      <c r="M32" s="725"/>
      <c r="N32" s="514"/>
      <c r="O32" s="514"/>
      <c r="P32" s="514"/>
      <c r="Q32" s="514"/>
      <c r="R32" s="514"/>
      <c r="S32" s="514"/>
      <c r="T32" s="725"/>
      <c r="U32" s="514"/>
      <c r="V32" s="514"/>
      <c r="W32" s="514"/>
      <c r="X32" s="514"/>
      <c r="Y32" s="514"/>
      <c r="Z32" s="514"/>
      <c r="AA32" s="725"/>
      <c r="AB32" s="764"/>
      <c r="AC32" s="514"/>
      <c r="AD32" s="514"/>
      <c r="AE32" s="698"/>
      <c r="AF32" s="514"/>
      <c r="AG32" s="514"/>
      <c r="AH32" s="789"/>
      <c r="AI32" s="946">
        <f t="shared" si="1"/>
        <v>0</v>
      </c>
      <c r="AJ32" s="521">
        <v>0</v>
      </c>
      <c r="AK32" s="520">
        <f t="shared" si="4"/>
        <v>0</v>
      </c>
      <c r="AL32" s="672" t="s">
        <v>1455</v>
      </c>
      <c r="AM32" s="669">
        <f t="shared" si="5"/>
        <v>1</v>
      </c>
    </row>
    <row r="33" spans="1:39" s="500" customFormat="1" ht="13.5" thickBot="1">
      <c r="A33" s="539" t="s">
        <v>557</v>
      </c>
      <c r="B33" s="539" t="s">
        <v>1153</v>
      </c>
      <c r="C33" s="472" t="s">
        <v>64</v>
      </c>
      <c r="D33" s="521"/>
      <c r="E33" s="527"/>
      <c r="F33" s="725"/>
      <c r="G33" s="527"/>
      <c r="H33" s="526"/>
      <c r="I33" s="527"/>
      <c r="J33" s="527"/>
      <c r="K33" s="812"/>
      <c r="L33" s="514"/>
      <c r="M33" s="725"/>
      <c r="N33" s="514"/>
      <c r="O33" s="514"/>
      <c r="P33" s="514"/>
      <c r="Q33" s="514"/>
      <c r="R33" s="514"/>
      <c r="S33" s="514"/>
      <c r="T33" s="725"/>
      <c r="U33" s="514"/>
      <c r="V33" s="514"/>
      <c r="W33" s="514"/>
      <c r="X33" s="514"/>
      <c r="Y33" s="514"/>
      <c r="Z33" s="514"/>
      <c r="AA33" s="725"/>
      <c r="AB33" s="764"/>
      <c r="AC33" s="514"/>
      <c r="AD33" s="514"/>
      <c r="AE33" s="698"/>
      <c r="AF33" s="514"/>
      <c r="AG33" s="514"/>
      <c r="AH33" s="789"/>
      <c r="AI33" s="946">
        <f t="shared" si="1"/>
        <v>0</v>
      </c>
      <c r="AJ33" s="521">
        <v>0</v>
      </c>
      <c r="AK33" s="520">
        <f t="shared" si="4"/>
        <v>0</v>
      </c>
      <c r="AL33" s="673" t="s">
        <v>1455</v>
      </c>
      <c r="AM33" s="669">
        <f t="shared" si="5"/>
        <v>1</v>
      </c>
    </row>
    <row r="34" spans="1:39" s="500" customFormat="1">
      <c r="A34" s="541" t="s">
        <v>42</v>
      </c>
      <c r="B34" s="541" t="s">
        <v>1154</v>
      </c>
      <c r="C34" s="605"/>
      <c r="D34" s="519"/>
      <c r="E34" s="520"/>
      <c r="F34" s="726"/>
      <c r="G34" s="520"/>
      <c r="H34" s="520"/>
      <c r="I34" s="521"/>
      <c r="J34" s="521"/>
      <c r="K34" s="772"/>
      <c r="L34" s="514"/>
      <c r="M34" s="726"/>
      <c r="N34" s="514"/>
      <c r="O34" s="514"/>
      <c r="P34" s="514"/>
      <c r="Q34" s="514"/>
      <c r="R34" s="514"/>
      <c r="S34" s="514"/>
      <c r="T34" s="726"/>
      <c r="U34" s="514"/>
      <c r="V34" s="514"/>
      <c r="W34" s="514"/>
      <c r="X34" s="514"/>
      <c r="Y34" s="514"/>
      <c r="Z34" s="514"/>
      <c r="AA34" s="726"/>
      <c r="AB34" s="764"/>
      <c r="AC34" s="514"/>
      <c r="AD34" s="514"/>
      <c r="AE34" s="698"/>
      <c r="AF34" s="514"/>
      <c r="AG34" s="514"/>
      <c r="AH34" s="789"/>
      <c r="AI34" s="946">
        <f t="shared" si="1"/>
        <v>0</v>
      </c>
      <c r="AJ34" s="521">
        <v>0</v>
      </c>
      <c r="AK34" s="520">
        <f t="shared" si="4"/>
        <v>0</v>
      </c>
      <c r="AL34" s="672"/>
      <c r="AM34" s="669">
        <f t="shared" si="5"/>
        <v>0</v>
      </c>
    </row>
    <row r="35" spans="1:39" s="518" customFormat="1">
      <c r="A35" s="440" t="s">
        <v>43</v>
      </c>
      <c r="B35" s="543" t="s">
        <v>1155</v>
      </c>
      <c r="C35" s="605"/>
      <c r="D35" s="519"/>
      <c r="E35" s="520"/>
      <c r="F35" s="726"/>
      <c r="G35" s="520"/>
      <c r="H35" s="520"/>
      <c r="I35" s="521"/>
      <c r="J35" s="521"/>
      <c r="K35" s="772"/>
      <c r="L35" s="514"/>
      <c r="M35" s="726"/>
      <c r="N35" s="514"/>
      <c r="O35" s="514"/>
      <c r="P35" s="514"/>
      <c r="Q35" s="514"/>
      <c r="R35" s="514"/>
      <c r="S35" s="514"/>
      <c r="T35" s="726"/>
      <c r="U35" s="514"/>
      <c r="V35" s="514"/>
      <c r="W35" s="514"/>
      <c r="X35" s="514"/>
      <c r="Y35" s="514"/>
      <c r="Z35" s="514"/>
      <c r="AA35" s="726"/>
      <c r="AB35" s="764"/>
      <c r="AC35" s="514"/>
      <c r="AD35" s="514"/>
      <c r="AE35" s="698"/>
      <c r="AF35" s="514"/>
      <c r="AG35" s="514"/>
      <c r="AH35" s="789"/>
      <c r="AI35" s="946">
        <f t="shared" si="1"/>
        <v>0</v>
      </c>
      <c r="AJ35" s="521">
        <v>0</v>
      </c>
      <c r="AK35" s="520">
        <f t="shared" si="4"/>
        <v>0</v>
      </c>
      <c r="AL35" s="672"/>
      <c r="AM35" s="669">
        <f t="shared" si="5"/>
        <v>0</v>
      </c>
    </row>
    <row r="36" spans="1:39" s="518" customFormat="1">
      <c r="A36" s="542" t="s">
        <v>53</v>
      </c>
      <c r="B36" s="542" t="s">
        <v>46</v>
      </c>
      <c r="C36" s="605"/>
      <c r="D36" s="606"/>
      <c r="E36" s="520"/>
      <c r="F36" s="726"/>
      <c r="G36" s="520"/>
      <c r="H36" s="520"/>
      <c r="I36" s="521"/>
      <c r="J36" s="521"/>
      <c r="K36" s="772"/>
      <c r="L36" s="514"/>
      <c r="M36" s="726"/>
      <c r="N36" s="514"/>
      <c r="O36" s="514"/>
      <c r="P36" s="514"/>
      <c r="Q36" s="514"/>
      <c r="R36" s="514"/>
      <c r="S36" s="514"/>
      <c r="T36" s="726"/>
      <c r="U36" s="514"/>
      <c r="V36" s="514"/>
      <c r="W36" s="514"/>
      <c r="X36" s="514"/>
      <c r="Y36" s="514"/>
      <c r="Z36" s="514"/>
      <c r="AA36" s="726"/>
      <c r="AB36" s="764"/>
      <c r="AC36" s="514"/>
      <c r="AD36" s="514"/>
      <c r="AE36" s="698"/>
      <c r="AF36" s="514"/>
      <c r="AG36" s="514"/>
      <c r="AH36" s="789"/>
      <c r="AI36" s="946">
        <f t="shared" si="1"/>
        <v>0</v>
      </c>
      <c r="AJ36" s="521"/>
      <c r="AK36" s="520"/>
      <c r="AL36" s="672"/>
      <c r="AM36" s="669"/>
    </row>
    <row r="37" spans="1:39" s="518" customFormat="1">
      <c r="A37" s="539" t="s">
        <v>558</v>
      </c>
      <c r="B37" s="539" t="s">
        <v>1156</v>
      </c>
      <c r="C37" s="472" t="s">
        <v>40</v>
      </c>
      <c r="D37" s="547"/>
      <c r="E37" s="520"/>
      <c r="F37" s="726"/>
      <c r="G37" s="520"/>
      <c r="H37" s="520"/>
      <c r="I37" s="521"/>
      <c r="J37" s="521"/>
      <c r="K37" s="772"/>
      <c r="L37" s="514"/>
      <c r="M37" s="726"/>
      <c r="N37" s="514"/>
      <c r="O37" s="514"/>
      <c r="P37" s="514"/>
      <c r="Q37" s="514"/>
      <c r="R37" s="514"/>
      <c r="S37" s="514"/>
      <c r="T37" s="726"/>
      <c r="U37" s="514"/>
      <c r="V37" s="514"/>
      <c r="W37" s="514"/>
      <c r="X37" s="514"/>
      <c r="Y37" s="514"/>
      <c r="Z37" s="514"/>
      <c r="AA37" s="726"/>
      <c r="AB37" s="764"/>
      <c r="AC37" s="514"/>
      <c r="AD37" s="514"/>
      <c r="AE37" s="698"/>
      <c r="AF37" s="514"/>
      <c r="AG37" s="514"/>
      <c r="AH37" s="789"/>
      <c r="AI37" s="946">
        <f t="shared" si="1"/>
        <v>0</v>
      </c>
      <c r="AJ37" s="521"/>
      <c r="AK37" s="520"/>
      <c r="AL37" s="672"/>
      <c r="AM37" s="669"/>
    </row>
    <row r="38" spans="1:39" s="518" customFormat="1">
      <c r="A38" s="539" t="s">
        <v>559</v>
      </c>
      <c r="B38" s="539" t="s">
        <v>1157</v>
      </c>
      <c r="C38" s="472" t="s">
        <v>40</v>
      </c>
      <c r="D38" s="547"/>
      <c r="E38" s="520"/>
      <c r="F38" s="726"/>
      <c r="G38" s="520"/>
      <c r="H38" s="520"/>
      <c r="I38" s="521"/>
      <c r="J38" s="521"/>
      <c r="K38" s="772"/>
      <c r="L38" s="514"/>
      <c r="M38" s="726"/>
      <c r="N38" s="514"/>
      <c r="O38" s="514"/>
      <c r="P38" s="514"/>
      <c r="Q38" s="514"/>
      <c r="R38" s="514"/>
      <c r="S38" s="514"/>
      <c r="T38" s="726"/>
      <c r="U38" s="514"/>
      <c r="V38" s="514"/>
      <c r="W38" s="514"/>
      <c r="X38" s="514"/>
      <c r="Y38" s="514"/>
      <c r="Z38" s="514"/>
      <c r="AA38" s="726"/>
      <c r="AB38" s="764"/>
      <c r="AC38" s="514"/>
      <c r="AD38" s="514"/>
      <c r="AE38" s="698"/>
      <c r="AF38" s="514"/>
      <c r="AG38" s="514"/>
      <c r="AH38" s="789"/>
      <c r="AI38" s="946">
        <f t="shared" si="1"/>
        <v>0</v>
      </c>
      <c r="AJ38" s="521"/>
      <c r="AK38" s="520"/>
      <c r="AL38" s="672"/>
      <c r="AM38" s="669"/>
    </row>
    <row r="39" spans="1:39" s="518" customFormat="1">
      <c r="A39" s="539" t="s">
        <v>560</v>
      </c>
      <c r="B39" s="539" t="s">
        <v>1158</v>
      </c>
      <c r="C39" s="472" t="s">
        <v>40</v>
      </c>
      <c r="D39" s="547"/>
      <c r="E39" s="520"/>
      <c r="F39" s="726"/>
      <c r="G39" s="520"/>
      <c r="H39" s="520"/>
      <c r="I39" s="521"/>
      <c r="J39" s="521"/>
      <c r="K39" s="772"/>
      <c r="L39" s="514"/>
      <c r="M39" s="726"/>
      <c r="N39" s="514"/>
      <c r="O39" s="514"/>
      <c r="P39" s="514"/>
      <c r="Q39" s="514"/>
      <c r="R39" s="514"/>
      <c r="S39" s="514"/>
      <c r="T39" s="726"/>
      <c r="U39" s="514"/>
      <c r="V39" s="514"/>
      <c r="W39" s="514"/>
      <c r="X39" s="514"/>
      <c r="Y39" s="514"/>
      <c r="Z39" s="514"/>
      <c r="AA39" s="726"/>
      <c r="AB39" s="764"/>
      <c r="AC39" s="514"/>
      <c r="AD39" s="514"/>
      <c r="AE39" s="698"/>
      <c r="AF39" s="514"/>
      <c r="AG39" s="514"/>
      <c r="AH39" s="789"/>
      <c r="AI39" s="946">
        <f t="shared" si="1"/>
        <v>0</v>
      </c>
      <c r="AJ39" s="521"/>
      <c r="AK39" s="520"/>
      <c r="AL39" s="672"/>
      <c r="AM39" s="669"/>
    </row>
    <row r="40" spans="1:39" s="500" customFormat="1">
      <c r="A40" s="539" t="s">
        <v>561</v>
      </c>
      <c r="B40" s="539" t="s">
        <v>1159</v>
      </c>
      <c r="C40" s="472" t="s">
        <v>37</v>
      </c>
      <c r="D40" s="519"/>
      <c r="E40" s="520"/>
      <c r="F40" s="726"/>
      <c r="G40" s="520"/>
      <c r="H40" s="520"/>
      <c r="I40" s="521"/>
      <c r="J40" s="521"/>
      <c r="K40" s="772"/>
      <c r="L40" s="514"/>
      <c r="M40" s="726"/>
      <c r="N40" s="514"/>
      <c r="O40" s="514"/>
      <c r="P40" s="514"/>
      <c r="Q40" s="514"/>
      <c r="R40" s="514"/>
      <c r="S40" s="514"/>
      <c r="T40" s="726"/>
      <c r="U40" s="514"/>
      <c r="V40" s="514"/>
      <c r="W40" s="514"/>
      <c r="X40" s="514"/>
      <c r="Y40" s="514"/>
      <c r="Z40" s="514"/>
      <c r="AA40" s="726"/>
      <c r="AB40" s="764"/>
      <c r="AC40" s="514"/>
      <c r="AD40" s="514"/>
      <c r="AE40" s="698"/>
      <c r="AF40" s="514"/>
      <c r="AG40" s="514"/>
      <c r="AH40" s="789"/>
      <c r="AI40" s="946">
        <f t="shared" si="1"/>
        <v>0</v>
      </c>
      <c r="AJ40" s="521">
        <v>0</v>
      </c>
      <c r="AK40" s="520">
        <f t="shared" si="4"/>
        <v>0</v>
      </c>
      <c r="AL40" s="672" t="s">
        <v>1463</v>
      </c>
      <c r="AM40" s="669">
        <f t="shared" si="5"/>
        <v>26.03</v>
      </c>
    </row>
    <row r="41" spans="1:39" s="500" customFormat="1">
      <c r="A41" s="539" t="s">
        <v>562</v>
      </c>
      <c r="B41" s="539" t="s">
        <v>1160</v>
      </c>
      <c r="C41" s="472" t="s">
        <v>40</v>
      </c>
      <c r="D41" s="525"/>
      <c r="E41" s="526"/>
      <c r="F41" s="731"/>
      <c r="G41" s="526"/>
      <c r="H41" s="526"/>
      <c r="I41" s="527"/>
      <c r="J41" s="527"/>
      <c r="K41" s="812"/>
      <c r="L41" s="514"/>
      <c r="M41" s="731"/>
      <c r="N41" s="514"/>
      <c r="O41" s="514"/>
      <c r="P41" s="514"/>
      <c r="Q41" s="514"/>
      <c r="R41" s="514"/>
      <c r="S41" s="514"/>
      <c r="T41" s="731"/>
      <c r="U41" s="514"/>
      <c r="V41" s="514"/>
      <c r="W41" s="514"/>
      <c r="X41" s="514"/>
      <c r="Y41" s="514"/>
      <c r="Z41" s="514"/>
      <c r="AA41" s="731"/>
      <c r="AB41" s="764"/>
      <c r="AC41" s="514"/>
      <c r="AD41" s="514"/>
      <c r="AE41" s="698"/>
      <c r="AF41" s="514"/>
      <c r="AG41" s="514"/>
      <c r="AH41" s="789"/>
      <c r="AI41" s="946">
        <f t="shared" si="1"/>
        <v>0</v>
      </c>
      <c r="AJ41" s="521">
        <v>0</v>
      </c>
      <c r="AK41" s="520">
        <f t="shared" si="4"/>
        <v>0</v>
      </c>
      <c r="AL41" s="673" t="s">
        <v>1464</v>
      </c>
      <c r="AM41" s="669">
        <f t="shared" si="5"/>
        <v>27.56</v>
      </c>
    </row>
    <row r="42" spans="1:39" s="500" customFormat="1">
      <c r="A42" s="539" t="s">
        <v>563</v>
      </c>
      <c r="B42" s="539" t="s">
        <v>1161</v>
      </c>
      <c r="C42" s="548" t="s">
        <v>40</v>
      </c>
      <c r="D42" s="519"/>
      <c r="E42" s="520"/>
      <c r="F42" s="726"/>
      <c r="G42" s="520"/>
      <c r="H42" s="520"/>
      <c r="I42" s="521"/>
      <c r="J42" s="521"/>
      <c r="K42" s="772"/>
      <c r="L42" s="514"/>
      <c r="M42" s="726"/>
      <c r="N42" s="514"/>
      <c r="O42" s="514"/>
      <c r="P42" s="514"/>
      <c r="Q42" s="514"/>
      <c r="R42" s="514"/>
      <c r="S42" s="514"/>
      <c r="T42" s="726"/>
      <c r="U42" s="514"/>
      <c r="V42" s="514"/>
      <c r="W42" s="514"/>
      <c r="X42" s="514"/>
      <c r="Y42" s="514"/>
      <c r="Z42" s="514"/>
      <c r="AA42" s="726"/>
      <c r="AB42" s="764"/>
      <c r="AC42" s="514"/>
      <c r="AD42" s="514"/>
      <c r="AE42" s="698"/>
      <c r="AF42" s="514"/>
      <c r="AG42" s="514"/>
      <c r="AH42" s="789"/>
      <c r="AI42" s="946">
        <f t="shared" si="1"/>
        <v>0</v>
      </c>
      <c r="AJ42" s="521">
        <v>0</v>
      </c>
      <c r="AK42" s="520">
        <f t="shared" si="4"/>
        <v>0</v>
      </c>
      <c r="AL42" s="672" t="s">
        <v>1464</v>
      </c>
      <c r="AM42" s="669">
        <f t="shared" si="5"/>
        <v>27.56</v>
      </c>
    </row>
    <row r="43" spans="1:39" s="500" customFormat="1">
      <c r="A43" s="542" t="s">
        <v>564</v>
      </c>
      <c r="B43" s="542" t="s">
        <v>1162</v>
      </c>
      <c r="C43" s="605"/>
      <c r="D43" s="519"/>
      <c r="E43" s="520"/>
      <c r="F43" s="726"/>
      <c r="G43" s="520"/>
      <c r="H43" s="520"/>
      <c r="I43" s="521"/>
      <c r="J43" s="521"/>
      <c r="K43" s="772"/>
      <c r="L43" s="514"/>
      <c r="M43" s="726"/>
      <c r="N43" s="514"/>
      <c r="O43" s="514"/>
      <c r="P43" s="514"/>
      <c r="Q43" s="514"/>
      <c r="R43" s="514"/>
      <c r="S43" s="514"/>
      <c r="T43" s="726"/>
      <c r="U43" s="514"/>
      <c r="V43" s="514"/>
      <c r="W43" s="514"/>
      <c r="X43" s="514"/>
      <c r="Y43" s="514"/>
      <c r="Z43" s="514"/>
      <c r="AA43" s="726"/>
      <c r="AB43" s="764"/>
      <c r="AC43" s="514"/>
      <c r="AD43" s="514"/>
      <c r="AE43" s="698"/>
      <c r="AF43" s="514"/>
      <c r="AG43" s="514"/>
      <c r="AH43" s="789"/>
      <c r="AI43" s="946">
        <f t="shared" si="1"/>
        <v>0</v>
      </c>
      <c r="AJ43" s="521">
        <v>0</v>
      </c>
      <c r="AK43" s="520">
        <f t="shared" si="4"/>
        <v>0</v>
      </c>
      <c r="AL43" s="672"/>
      <c r="AM43" s="669">
        <f t="shared" si="5"/>
        <v>0</v>
      </c>
    </row>
    <row r="44" spans="1:39" s="500" customFormat="1">
      <c r="A44" s="539" t="s">
        <v>565</v>
      </c>
      <c r="B44" s="539" t="s">
        <v>1163</v>
      </c>
      <c r="C44" s="472" t="s">
        <v>40</v>
      </c>
      <c r="D44" s="519"/>
      <c r="E44" s="520"/>
      <c r="F44" s="726"/>
      <c r="G44" s="520"/>
      <c r="H44" s="520"/>
      <c r="I44" s="521"/>
      <c r="J44" s="521"/>
      <c r="K44" s="772"/>
      <c r="L44" s="514"/>
      <c r="M44" s="726"/>
      <c r="N44" s="514"/>
      <c r="O44" s="514"/>
      <c r="P44" s="514"/>
      <c r="Q44" s="514"/>
      <c r="R44" s="514"/>
      <c r="S44" s="514"/>
      <c r="T44" s="726"/>
      <c r="U44" s="514"/>
      <c r="V44" s="514"/>
      <c r="W44" s="514"/>
      <c r="X44" s="514"/>
      <c r="Y44" s="514"/>
      <c r="Z44" s="514"/>
      <c r="AA44" s="726"/>
      <c r="AB44" s="764"/>
      <c r="AC44" s="514"/>
      <c r="AD44" s="514"/>
      <c r="AE44" s="698"/>
      <c r="AF44" s="514"/>
      <c r="AG44" s="514"/>
      <c r="AH44" s="789"/>
      <c r="AI44" s="946">
        <f t="shared" si="1"/>
        <v>0</v>
      </c>
      <c r="AJ44" s="521">
        <v>0</v>
      </c>
      <c r="AK44" s="520">
        <f t="shared" si="4"/>
        <v>0</v>
      </c>
      <c r="AL44" s="672" t="s">
        <v>1465</v>
      </c>
      <c r="AM44" s="669">
        <f t="shared" si="5"/>
        <v>7.7</v>
      </c>
    </row>
    <row r="45" spans="1:39" s="500" customFormat="1">
      <c r="A45" s="539" t="s">
        <v>566</v>
      </c>
      <c r="B45" s="539" t="s">
        <v>1164</v>
      </c>
      <c r="C45" s="472" t="s">
        <v>37</v>
      </c>
      <c r="D45" s="519"/>
      <c r="E45" s="520"/>
      <c r="F45" s="726"/>
      <c r="G45" s="520"/>
      <c r="H45" s="520"/>
      <c r="I45" s="521"/>
      <c r="J45" s="521"/>
      <c r="K45" s="772"/>
      <c r="L45" s="514"/>
      <c r="M45" s="726"/>
      <c r="N45" s="514"/>
      <c r="O45" s="514"/>
      <c r="P45" s="514"/>
      <c r="Q45" s="514"/>
      <c r="R45" s="514"/>
      <c r="S45" s="514"/>
      <c r="T45" s="726"/>
      <c r="U45" s="514"/>
      <c r="V45" s="514"/>
      <c r="W45" s="514"/>
      <c r="X45" s="514"/>
      <c r="Y45" s="514"/>
      <c r="Z45" s="514"/>
      <c r="AA45" s="726"/>
      <c r="AB45" s="764"/>
      <c r="AC45" s="514"/>
      <c r="AD45" s="514"/>
      <c r="AE45" s="698"/>
      <c r="AF45" s="514"/>
      <c r="AG45" s="514"/>
      <c r="AH45" s="789"/>
      <c r="AI45" s="946">
        <f t="shared" si="1"/>
        <v>0</v>
      </c>
      <c r="AJ45" s="521">
        <v>0</v>
      </c>
      <c r="AK45" s="520">
        <f t="shared" si="4"/>
        <v>0</v>
      </c>
      <c r="AL45" s="672" t="s">
        <v>1466</v>
      </c>
      <c r="AM45" s="669">
        <f t="shared" si="5"/>
        <v>13.46</v>
      </c>
    </row>
    <row r="46" spans="1:39" s="500" customFormat="1">
      <c r="A46" s="539" t="s">
        <v>567</v>
      </c>
      <c r="B46" s="539" t="s">
        <v>1165</v>
      </c>
      <c r="C46" s="472" t="s">
        <v>40</v>
      </c>
      <c r="D46" s="519"/>
      <c r="E46" s="520"/>
      <c r="F46" s="726"/>
      <c r="G46" s="520"/>
      <c r="H46" s="520"/>
      <c r="I46" s="521"/>
      <c r="J46" s="521"/>
      <c r="K46" s="772"/>
      <c r="L46" s="514"/>
      <c r="M46" s="726"/>
      <c r="N46" s="514"/>
      <c r="O46" s="514"/>
      <c r="P46" s="514"/>
      <c r="Q46" s="514"/>
      <c r="R46" s="514"/>
      <c r="S46" s="514"/>
      <c r="T46" s="726"/>
      <c r="U46" s="514"/>
      <c r="V46" s="514"/>
      <c r="W46" s="514"/>
      <c r="X46" s="514"/>
      <c r="Y46" s="514"/>
      <c r="Z46" s="514"/>
      <c r="AA46" s="726"/>
      <c r="AB46" s="764"/>
      <c r="AC46" s="514"/>
      <c r="AD46" s="514"/>
      <c r="AE46" s="698"/>
      <c r="AF46" s="514"/>
      <c r="AG46" s="514"/>
      <c r="AH46" s="789"/>
      <c r="AI46" s="946">
        <f t="shared" si="1"/>
        <v>0</v>
      </c>
      <c r="AJ46" s="521">
        <v>0</v>
      </c>
      <c r="AK46" s="520">
        <f t="shared" si="4"/>
        <v>0</v>
      </c>
      <c r="AL46" s="672" t="s">
        <v>1467</v>
      </c>
      <c r="AM46" s="669">
        <f t="shared" si="5"/>
        <v>2.97</v>
      </c>
    </row>
    <row r="47" spans="1:39" s="500" customFormat="1">
      <c r="A47" s="539" t="s">
        <v>568</v>
      </c>
      <c r="B47" s="539" t="s">
        <v>1166</v>
      </c>
      <c r="C47" s="472" t="s">
        <v>40</v>
      </c>
      <c r="D47" s="519"/>
      <c r="E47" s="520"/>
      <c r="F47" s="726"/>
      <c r="G47" s="520"/>
      <c r="H47" s="520"/>
      <c r="I47" s="521"/>
      <c r="J47" s="521"/>
      <c r="K47" s="772"/>
      <c r="L47" s="514"/>
      <c r="M47" s="726"/>
      <c r="N47" s="514"/>
      <c r="O47" s="514"/>
      <c r="P47" s="514"/>
      <c r="Q47" s="514"/>
      <c r="R47" s="514"/>
      <c r="S47" s="514"/>
      <c r="T47" s="726"/>
      <c r="U47" s="514"/>
      <c r="V47" s="514"/>
      <c r="W47" s="514"/>
      <c r="X47" s="514"/>
      <c r="Y47" s="514"/>
      <c r="Z47" s="514"/>
      <c r="AA47" s="726"/>
      <c r="AB47" s="764"/>
      <c r="AC47" s="514"/>
      <c r="AD47" s="514"/>
      <c r="AE47" s="698"/>
      <c r="AF47" s="514"/>
      <c r="AG47" s="514"/>
      <c r="AH47" s="789"/>
      <c r="AI47" s="946">
        <f t="shared" si="1"/>
        <v>0</v>
      </c>
      <c r="AJ47" s="521">
        <v>0</v>
      </c>
      <c r="AK47" s="520">
        <f t="shared" si="4"/>
        <v>0</v>
      </c>
      <c r="AL47" s="672" t="s">
        <v>1468</v>
      </c>
      <c r="AM47" s="669">
        <f t="shared" si="5"/>
        <v>0.84</v>
      </c>
    </row>
    <row r="48" spans="1:39" s="500" customFormat="1">
      <c r="A48" s="539" t="s">
        <v>569</v>
      </c>
      <c r="B48" s="539" t="s">
        <v>1167</v>
      </c>
      <c r="C48" s="472" t="s">
        <v>37</v>
      </c>
      <c r="D48" s="519"/>
      <c r="E48" s="520"/>
      <c r="F48" s="726"/>
      <c r="G48" s="520"/>
      <c r="H48" s="520"/>
      <c r="I48" s="521"/>
      <c r="J48" s="521"/>
      <c r="K48" s="772"/>
      <c r="L48" s="514"/>
      <c r="M48" s="726"/>
      <c r="N48" s="514"/>
      <c r="O48" s="514"/>
      <c r="P48" s="514"/>
      <c r="Q48" s="514"/>
      <c r="R48" s="514"/>
      <c r="S48" s="514"/>
      <c r="T48" s="726"/>
      <c r="U48" s="514"/>
      <c r="V48" s="514"/>
      <c r="W48" s="514"/>
      <c r="X48" s="514"/>
      <c r="Y48" s="514"/>
      <c r="Z48" s="514"/>
      <c r="AA48" s="726"/>
      <c r="AB48" s="764"/>
      <c r="AC48" s="514"/>
      <c r="AD48" s="514"/>
      <c r="AE48" s="698"/>
      <c r="AF48" s="514"/>
      <c r="AG48" s="514"/>
      <c r="AH48" s="789"/>
      <c r="AI48" s="946">
        <f t="shared" si="1"/>
        <v>0</v>
      </c>
      <c r="AJ48" s="521">
        <v>0</v>
      </c>
      <c r="AK48" s="520">
        <f t="shared" si="4"/>
        <v>0</v>
      </c>
      <c r="AL48" s="672" t="s">
        <v>1469</v>
      </c>
      <c r="AM48" s="669">
        <f t="shared" si="5"/>
        <v>23.65</v>
      </c>
    </row>
    <row r="49" spans="1:39" s="500" customFormat="1">
      <c r="A49" s="539" t="s">
        <v>570</v>
      </c>
      <c r="B49" s="539" t="s">
        <v>1168</v>
      </c>
      <c r="C49" s="472" t="s">
        <v>37</v>
      </c>
      <c r="D49" s="519"/>
      <c r="E49" s="520"/>
      <c r="F49" s="726"/>
      <c r="G49" s="520"/>
      <c r="H49" s="520"/>
      <c r="I49" s="521"/>
      <c r="J49" s="521"/>
      <c r="K49" s="772"/>
      <c r="L49" s="514"/>
      <c r="M49" s="726"/>
      <c r="N49" s="514"/>
      <c r="O49" s="514"/>
      <c r="P49" s="514"/>
      <c r="Q49" s="514"/>
      <c r="R49" s="514"/>
      <c r="S49" s="514"/>
      <c r="T49" s="726"/>
      <c r="U49" s="514"/>
      <c r="V49" s="514"/>
      <c r="W49" s="514"/>
      <c r="X49" s="514"/>
      <c r="Y49" s="514"/>
      <c r="Z49" s="514"/>
      <c r="AA49" s="726"/>
      <c r="AB49" s="764"/>
      <c r="AC49" s="514"/>
      <c r="AD49" s="514"/>
      <c r="AE49" s="698"/>
      <c r="AF49" s="514"/>
      <c r="AG49" s="514"/>
      <c r="AH49" s="789"/>
      <c r="AI49" s="946">
        <f t="shared" si="1"/>
        <v>0</v>
      </c>
      <c r="AJ49" s="521">
        <v>0</v>
      </c>
      <c r="AK49" s="520">
        <f t="shared" si="4"/>
        <v>0</v>
      </c>
      <c r="AL49" s="672" t="s">
        <v>1463</v>
      </c>
      <c r="AM49" s="669">
        <f t="shared" si="5"/>
        <v>26.03</v>
      </c>
    </row>
    <row r="50" spans="1:39" s="500" customFormat="1">
      <c r="A50" s="542" t="s">
        <v>571</v>
      </c>
      <c r="B50" s="542" t="s">
        <v>1169</v>
      </c>
      <c r="C50" s="605"/>
      <c r="D50" s="519"/>
      <c r="E50" s="520"/>
      <c r="F50" s="726"/>
      <c r="G50" s="520"/>
      <c r="H50" s="520"/>
      <c r="I50" s="521"/>
      <c r="J50" s="521"/>
      <c r="K50" s="772"/>
      <c r="L50" s="514"/>
      <c r="M50" s="726"/>
      <c r="N50" s="514"/>
      <c r="O50" s="514"/>
      <c r="P50" s="514"/>
      <c r="Q50" s="514"/>
      <c r="R50" s="514"/>
      <c r="S50" s="514"/>
      <c r="T50" s="726"/>
      <c r="U50" s="514"/>
      <c r="V50" s="514"/>
      <c r="W50" s="514"/>
      <c r="X50" s="514"/>
      <c r="Y50" s="514"/>
      <c r="Z50" s="514"/>
      <c r="AA50" s="726"/>
      <c r="AB50" s="764"/>
      <c r="AC50" s="514"/>
      <c r="AD50" s="514"/>
      <c r="AE50" s="698"/>
      <c r="AF50" s="514"/>
      <c r="AG50" s="514"/>
      <c r="AH50" s="789"/>
      <c r="AI50" s="946">
        <f t="shared" si="1"/>
        <v>0</v>
      </c>
      <c r="AJ50" s="521">
        <v>0</v>
      </c>
      <c r="AK50" s="520">
        <f t="shared" si="4"/>
        <v>0</v>
      </c>
      <c r="AL50" s="672"/>
      <c r="AM50" s="669">
        <f t="shared" si="5"/>
        <v>0</v>
      </c>
    </row>
    <row r="51" spans="1:39" s="500" customFormat="1">
      <c r="A51" s="539" t="s">
        <v>572</v>
      </c>
      <c r="B51" s="539" t="s">
        <v>1170</v>
      </c>
      <c r="C51" s="605"/>
      <c r="D51" s="519"/>
      <c r="E51" s="520"/>
      <c r="F51" s="726"/>
      <c r="G51" s="520"/>
      <c r="H51" s="520"/>
      <c r="I51" s="521"/>
      <c r="J51" s="521"/>
      <c r="K51" s="772"/>
      <c r="L51" s="514"/>
      <c r="M51" s="726"/>
      <c r="N51" s="514"/>
      <c r="O51" s="514"/>
      <c r="P51" s="514"/>
      <c r="Q51" s="514"/>
      <c r="R51" s="514"/>
      <c r="S51" s="514"/>
      <c r="T51" s="726"/>
      <c r="U51" s="514"/>
      <c r="V51" s="514"/>
      <c r="W51" s="514"/>
      <c r="X51" s="514"/>
      <c r="Y51" s="514"/>
      <c r="Z51" s="514"/>
      <c r="AA51" s="726"/>
      <c r="AB51" s="764"/>
      <c r="AC51" s="514"/>
      <c r="AD51" s="514"/>
      <c r="AE51" s="698"/>
      <c r="AF51" s="514"/>
      <c r="AG51" s="514"/>
      <c r="AH51" s="789"/>
      <c r="AI51" s="946">
        <f t="shared" si="1"/>
        <v>0</v>
      </c>
      <c r="AJ51" s="521">
        <v>0</v>
      </c>
      <c r="AK51" s="520">
        <f t="shared" si="4"/>
        <v>0</v>
      </c>
      <c r="AL51" s="672"/>
      <c r="AM51" s="669">
        <f t="shared" si="5"/>
        <v>0</v>
      </c>
    </row>
    <row r="52" spans="1:39" s="500" customFormat="1">
      <c r="A52" s="539" t="s">
        <v>573</v>
      </c>
      <c r="B52" s="539" t="s">
        <v>1171</v>
      </c>
      <c r="C52" s="472" t="s">
        <v>40</v>
      </c>
      <c r="D52" s="519"/>
      <c r="E52" s="520"/>
      <c r="F52" s="726"/>
      <c r="G52" s="520"/>
      <c r="H52" s="520"/>
      <c r="I52" s="521"/>
      <c r="J52" s="521"/>
      <c r="K52" s="772"/>
      <c r="L52" s="514"/>
      <c r="M52" s="726"/>
      <c r="N52" s="514"/>
      <c r="O52" s="514"/>
      <c r="P52" s="514"/>
      <c r="Q52" s="514"/>
      <c r="R52" s="514"/>
      <c r="S52" s="514"/>
      <c r="T52" s="726"/>
      <c r="U52" s="514"/>
      <c r="V52" s="514"/>
      <c r="W52" s="514"/>
      <c r="X52" s="514"/>
      <c r="Y52" s="514"/>
      <c r="Z52" s="514"/>
      <c r="AA52" s="726"/>
      <c r="AB52" s="764"/>
      <c r="AC52" s="514"/>
      <c r="AD52" s="514"/>
      <c r="AE52" s="698"/>
      <c r="AF52" s="514"/>
      <c r="AG52" s="514"/>
      <c r="AH52" s="789"/>
      <c r="AI52" s="946">
        <f t="shared" si="1"/>
        <v>0</v>
      </c>
      <c r="AJ52" s="521">
        <v>0</v>
      </c>
      <c r="AK52" s="520">
        <f t="shared" si="4"/>
        <v>0</v>
      </c>
      <c r="AL52" s="672" t="s">
        <v>1470</v>
      </c>
      <c r="AM52" s="669">
        <f t="shared" si="5"/>
        <v>4.6100000000000003</v>
      </c>
    </row>
    <row r="53" spans="1:39" s="500" customFormat="1">
      <c r="A53" s="539" t="s">
        <v>574</v>
      </c>
      <c r="B53" s="539" t="s">
        <v>1172</v>
      </c>
      <c r="C53" s="472" t="s">
        <v>48</v>
      </c>
      <c r="D53" s="519"/>
      <c r="E53" s="520"/>
      <c r="F53" s="726"/>
      <c r="G53" s="520"/>
      <c r="H53" s="520"/>
      <c r="I53" s="521"/>
      <c r="J53" s="521"/>
      <c r="K53" s="772"/>
      <c r="L53" s="514"/>
      <c r="M53" s="726"/>
      <c r="N53" s="514"/>
      <c r="O53" s="514"/>
      <c r="P53" s="514"/>
      <c r="Q53" s="514"/>
      <c r="R53" s="514"/>
      <c r="S53" s="514"/>
      <c r="T53" s="726"/>
      <c r="U53" s="514"/>
      <c r="V53" s="514"/>
      <c r="W53" s="514"/>
      <c r="X53" s="514"/>
      <c r="Y53" s="514"/>
      <c r="Z53" s="514"/>
      <c r="AA53" s="726"/>
      <c r="AB53" s="764"/>
      <c r="AC53" s="514"/>
      <c r="AD53" s="514"/>
      <c r="AE53" s="698"/>
      <c r="AF53" s="514"/>
      <c r="AG53" s="514"/>
      <c r="AH53" s="789"/>
      <c r="AI53" s="946">
        <f t="shared" si="1"/>
        <v>0</v>
      </c>
      <c r="AJ53" s="521">
        <v>0</v>
      </c>
      <c r="AK53" s="520">
        <f t="shared" si="4"/>
        <v>0</v>
      </c>
      <c r="AL53" s="672" t="s">
        <v>1471</v>
      </c>
      <c r="AM53" s="669">
        <f t="shared" si="5"/>
        <v>192.7</v>
      </c>
    </row>
    <row r="54" spans="1:39" s="500" customFormat="1">
      <c r="A54" s="539" t="s">
        <v>575</v>
      </c>
      <c r="B54" s="539" t="s">
        <v>1173</v>
      </c>
      <c r="C54" s="605"/>
      <c r="D54" s="519"/>
      <c r="E54" s="520"/>
      <c r="F54" s="726"/>
      <c r="G54" s="520"/>
      <c r="H54" s="520"/>
      <c r="I54" s="521"/>
      <c r="J54" s="521"/>
      <c r="K54" s="772"/>
      <c r="L54" s="514"/>
      <c r="M54" s="726"/>
      <c r="N54" s="514"/>
      <c r="O54" s="514"/>
      <c r="P54" s="514"/>
      <c r="Q54" s="514"/>
      <c r="R54" s="514"/>
      <c r="S54" s="514"/>
      <c r="T54" s="726"/>
      <c r="U54" s="514"/>
      <c r="V54" s="514"/>
      <c r="W54" s="514"/>
      <c r="X54" s="514"/>
      <c r="Y54" s="514"/>
      <c r="Z54" s="514"/>
      <c r="AA54" s="726"/>
      <c r="AB54" s="764"/>
      <c r="AC54" s="514"/>
      <c r="AD54" s="514"/>
      <c r="AE54" s="698"/>
      <c r="AF54" s="514"/>
      <c r="AG54" s="514"/>
      <c r="AH54" s="789"/>
      <c r="AI54" s="946">
        <f t="shared" si="1"/>
        <v>0</v>
      </c>
      <c r="AJ54" s="521">
        <v>0</v>
      </c>
      <c r="AK54" s="520">
        <f t="shared" si="4"/>
        <v>0</v>
      </c>
      <c r="AL54" s="672"/>
      <c r="AM54" s="669">
        <f t="shared" si="5"/>
        <v>0</v>
      </c>
    </row>
    <row r="55" spans="1:39" s="500" customFormat="1">
      <c r="A55" s="539" t="s">
        <v>576</v>
      </c>
      <c r="B55" s="539" t="s">
        <v>1174</v>
      </c>
      <c r="C55" s="472" t="s">
        <v>40</v>
      </c>
      <c r="D55" s="519"/>
      <c r="E55" s="520"/>
      <c r="F55" s="726"/>
      <c r="G55" s="520"/>
      <c r="H55" s="520"/>
      <c r="I55" s="521"/>
      <c r="J55" s="521"/>
      <c r="K55" s="772"/>
      <c r="L55" s="514"/>
      <c r="M55" s="726"/>
      <c r="N55" s="514"/>
      <c r="O55" s="514"/>
      <c r="P55" s="514"/>
      <c r="Q55" s="514"/>
      <c r="R55" s="514"/>
      <c r="S55" s="522"/>
      <c r="T55" s="726"/>
      <c r="U55" s="514"/>
      <c r="V55" s="514"/>
      <c r="W55" s="514"/>
      <c r="X55" s="514"/>
      <c r="Y55" s="514"/>
      <c r="Z55" s="514"/>
      <c r="AA55" s="726"/>
      <c r="AB55" s="764"/>
      <c r="AC55" s="514"/>
      <c r="AD55" s="514"/>
      <c r="AE55" s="698"/>
      <c r="AF55" s="514"/>
      <c r="AG55" s="514"/>
      <c r="AH55" s="789"/>
      <c r="AI55" s="946">
        <f t="shared" si="1"/>
        <v>0</v>
      </c>
      <c r="AJ55" s="521">
        <v>0</v>
      </c>
      <c r="AK55" s="520">
        <f t="shared" si="4"/>
        <v>0</v>
      </c>
      <c r="AL55" s="672" t="s">
        <v>1472</v>
      </c>
      <c r="AM55" s="669">
        <f t="shared" si="5"/>
        <v>1.93</v>
      </c>
    </row>
    <row r="56" spans="1:39" s="500" customFormat="1">
      <c r="A56" s="539" t="s">
        <v>577</v>
      </c>
      <c r="B56" s="539" t="s">
        <v>1175</v>
      </c>
      <c r="C56" s="472" t="s">
        <v>37</v>
      </c>
      <c r="D56" s="519"/>
      <c r="E56" s="520"/>
      <c r="F56" s="726"/>
      <c r="G56" s="520"/>
      <c r="H56" s="520"/>
      <c r="I56" s="521"/>
      <c r="J56" s="521"/>
      <c r="K56" s="772"/>
      <c r="L56" s="514"/>
      <c r="M56" s="726"/>
      <c r="N56" s="514"/>
      <c r="O56" s="514"/>
      <c r="P56" s="514"/>
      <c r="Q56" s="514"/>
      <c r="R56" s="514"/>
      <c r="S56" s="522"/>
      <c r="T56" s="726"/>
      <c r="U56" s="514"/>
      <c r="V56" s="514"/>
      <c r="W56" s="514"/>
      <c r="X56" s="514"/>
      <c r="Y56" s="514"/>
      <c r="Z56" s="514"/>
      <c r="AA56" s="726"/>
      <c r="AB56" s="764"/>
      <c r="AC56" s="514"/>
      <c r="AD56" s="514"/>
      <c r="AE56" s="698"/>
      <c r="AF56" s="514"/>
      <c r="AG56" s="514"/>
      <c r="AH56" s="789"/>
      <c r="AI56" s="946">
        <f t="shared" si="1"/>
        <v>0</v>
      </c>
      <c r="AJ56" s="521">
        <v>0</v>
      </c>
      <c r="AK56" s="520">
        <f t="shared" si="4"/>
        <v>0</v>
      </c>
      <c r="AL56" s="672" t="s">
        <v>1473</v>
      </c>
      <c r="AM56" s="669">
        <f t="shared" si="5"/>
        <v>15.42</v>
      </c>
    </row>
    <row r="57" spans="1:39" s="500" customFormat="1">
      <c r="A57" s="539" t="s">
        <v>578</v>
      </c>
      <c r="B57" s="539" t="s">
        <v>1176</v>
      </c>
      <c r="C57" s="472" t="s">
        <v>48</v>
      </c>
      <c r="D57" s="525"/>
      <c r="E57" s="526"/>
      <c r="F57" s="731"/>
      <c r="G57" s="526"/>
      <c r="H57" s="526"/>
      <c r="I57" s="527"/>
      <c r="J57" s="527"/>
      <c r="K57" s="772"/>
      <c r="L57" s="514"/>
      <c r="M57" s="731"/>
      <c r="N57" s="514"/>
      <c r="O57" s="514"/>
      <c r="P57" s="514"/>
      <c r="Q57" s="514"/>
      <c r="R57" s="514"/>
      <c r="S57" s="514"/>
      <c r="T57" s="731"/>
      <c r="U57" s="514"/>
      <c r="V57" s="514"/>
      <c r="W57" s="514"/>
      <c r="X57" s="514"/>
      <c r="Y57" s="514"/>
      <c r="Z57" s="514"/>
      <c r="AA57" s="731"/>
      <c r="AB57" s="764"/>
      <c r="AC57" s="514"/>
      <c r="AD57" s="514"/>
      <c r="AE57" s="698"/>
      <c r="AF57" s="514"/>
      <c r="AG57" s="514"/>
      <c r="AH57" s="789"/>
      <c r="AI57" s="946">
        <f t="shared" si="1"/>
        <v>0</v>
      </c>
      <c r="AJ57" s="521">
        <v>0</v>
      </c>
      <c r="AK57" s="520">
        <f t="shared" si="4"/>
        <v>0</v>
      </c>
      <c r="AL57" s="673" t="s">
        <v>1474</v>
      </c>
      <c r="AM57" s="669">
        <f t="shared" si="5"/>
        <v>275.55</v>
      </c>
    </row>
    <row r="58" spans="1:39" s="500" customFormat="1">
      <c r="A58" s="539" t="s">
        <v>579</v>
      </c>
      <c r="B58" s="539" t="s">
        <v>1177</v>
      </c>
      <c r="C58" s="605"/>
      <c r="D58" s="525"/>
      <c r="E58" s="526"/>
      <c r="F58" s="731"/>
      <c r="G58" s="526"/>
      <c r="H58" s="526"/>
      <c r="I58" s="527"/>
      <c r="J58" s="527"/>
      <c r="K58" s="812"/>
      <c r="L58" s="514"/>
      <c r="M58" s="731"/>
      <c r="N58" s="514"/>
      <c r="O58" s="514"/>
      <c r="P58" s="514"/>
      <c r="Q58" s="514"/>
      <c r="R58" s="514"/>
      <c r="S58" s="514"/>
      <c r="T58" s="731"/>
      <c r="U58" s="514"/>
      <c r="V58" s="514"/>
      <c r="W58" s="514"/>
      <c r="X58" s="514"/>
      <c r="Y58" s="514"/>
      <c r="Z58" s="514"/>
      <c r="AA58" s="731"/>
      <c r="AB58" s="764"/>
      <c r="AC58" s="514"/>
      <c r="AD58" s="514"/>
      <c r="AE58" s="698"/>
      <c r="AF58" s="514"/>
      <c r="AG58" s="514"/>
      <c r="AH58" s="789"/>
      <c r="AI58" s="946">
        <f t="shared" si="1"/>
        <v>0</v>
      </c>
      <c r="AJ58" s="521">
        <v>0</v>
      </c>
      <c r="AK58" s="520">
        <f t="shared" si="4"/>
        <v>0</v>
      </c>
      <c r="AL58" s="673"/>
      <c r="AM58" s="669">
        <f t="shared" si="5"/>
        <v>0</v>
      </c>
    </row>
    <row r="59" spans="1:39" s="500" customFormat="1">
      <c r="A59" s="539" t="s">
        <v>580</v>
      </c>
      <c r="B59" s="539" t="s">
        <v>1178</v>
      </c>
      <c r="C59" s="472" t="s">
        <v>40</v>
      </c>
      <c r="D59" s="519"/>
      <c r="E59" s="520"/>
      <c r="F59" s="726"/>
      <c r="G59" s="520"/>
      <c r="H59" s="520"/>
      <c r="I59" s="521"/>
      <c r="J59" s="521"/>
      <c r="K59" s="772"/>
      <c r="L59" s="514"/>
      <c r="M59" s="726"/>
      <c r="N59" s="514"/>
      <c r="O59" s="514"/>
      <c r="P59" s="514"/>
      <c r="Q59" s="514"/>
      <c r="R59" s="514"/>
      <c r="S59" s="514"/>
      <c r="T59" s="726"/>
      <c r="U59" s="514"/>
      <c r="V59" s="514"/>
      <c r="W59" s="514"/>
      <c r="X59" s="514"/>
      <c r="Y59" s="514"/>
      <c r="Z59" s="514"/>
      <c r="AA59" s="726"/>
      <c r="AB59" s="764"/>
      <c r="AC59" s="514"/>
      <c r="AD59" s="514"/>
      <c r="AE59" s="698"/>
      <c r="AF59" s="514"/>
      <c r="AG59" s="514"/>
      <c r="AH59" s="789"/>
      <c r="AI59" s="946">
        <f t="shared" si="1"/>
        <v>0</v>
      </c>
      <c r="AJ59" s="521">
        <v>0</v>
      </c>
      <c r="AK59" s="520">
        <f t="shared" si="4"/>
        <v>0</v>
      </c>
      <c r="AL59" s="672" t="s">
        <v>1475</v>
      </c>
      <c r="AM59" s="669">
        <f t="shared" si="5"/>
        <v>2.83</v>
      </c>
    </row>
    <row r="60" spans="1:39" s="500" customFormat="1">
      <c r="A60" s="539" t="s">
        <v>581</v>
      </c>
      <c r="B60" s="539" t="s">
        <v>1179</v>
      </c>
      <c r="C60" s="472" t="s">
        <v>37</v>
      </c>
      <c r="D60" s="519"/>
      <c r="E60" s="520"/>
      <c r="F60" s="726"/>
      <c r="G60" s="520"/>
      <c r="H60" s="520"/>
      <c r="I60" s="521"/>
      <c r="J60" s="521"/>
      <c r="K60" s="772"/>
      <c r="L60" s="514"/>
      <c r="M60" s="726"/>
      <c r="N60" s="514"/>
      <c r="O60" s="514"/>
      <c r="P60" s="514"/>
      <c r="Q60" s="514"/>
      <c r="R60" s="514"/>
      <c r="S60" s="514"/>
      <c r="T60" s="726"/>
      <c r="U60" s="514"/>
      <c r="V60" s="514"/>
      <c r="W60" s="514"/>
      <c r="X60" s="514"/>
      <c r="Y60" s="514"/>
      <c r="Z60" s="514"/>
      <c r="AA60" s="726"/>
      <c r="AB60" s="764"/>
      <c r="AC60" s="514"/>
      <c r="AD60" s="514"/>
      <c r="AE60" s="698"/>
      <c r="AF60" s="514"/>
      <c r="AG60" s="514"/>
      <c r="AH60" s="789"/>
      <c r="AI60" s="946">
        <f t="shared" si="1"/>
        <v>0</v>
      </c>
      <c r="AJ60" s="521">
        <v>0</v>
      </c>
      <c r="AK60" s="520">
        <f t="shared" si="4"/>
        <v>0</v>
      </c>
      <c r="AL60" s="672" t="s">
        <v>1476</v>
      </c>
      <c r="AM60" s="669">
        <f t="shared" si="5"/>
        <v>40.020000000000003</v>
      </c>
    </row>
    <row r="61" spans="1:39" s="500" customFormat="1">
      <c r="A61" s="539" t="s">
        <v>582</v>
      </c>
      <c r="B61" s="539" t="s">
        <v>1180</v>
      </c>
      <c r="C61" s="472" t="s">
        <v>48</v>
      </c>
      <c r="D61" s="519"/>
      <c r="E61" s="520"/>
      <c r="F61" s="726"/>
      <c r="G61" s="520"/>
      <c r="H61" s="520"/>
      <c r="I61" s="521"/>
      <c r="J61" s="521"/>
      <c r="K61" s="772"/>
      <c r="L61" s="514"/>
      <c r="M61" s="726"/>
      <c r="N61" s="514"/>
      <c r="O61" s="514"/>
      <c r="P61" s="514"/>
      <c r="Q61" s="514"/>
      <c r="R61" s="514"/>
      <c r="S61" s="514"/>
      <c r="T61" s="726"/>
      <c r="U61" s="514"/>
      <c r="V61" s="514"/>
      <c r="W61" s="514"/>
      <c r="X61" s="514"/>
      <c r="Y61" s="514"/>
      <c r="Z61" s="514"/>
      <c r="AA61" s="726"/>
      <c r="AB61" s="884"/>
      <c r="AC61" s="514"/>
      <c r="AD61" s="514"/>
      <c r="AE61" s="698"/>
      <c r="AF61" s="514"/>
      <c r="AG61" s="514"/>
      <c r="AH61" s="789"/>
      <c r="AI61" s="946">
        <f t="shared" si="1"/>
        <v>0</v>
      </c>
      <c r="AJ61" s="521">
        <v>0</v>
      </c>
      <c r="AK61" s="520">
        <f t="shared" si="4"/>
        <v>0</v>
      </c>
      <c r="AL61" s="672" t="s">
        <v>1477</v>
      </c>
      <c r="AM61" s="669">
        <f t="shared" si="5"/>
        <v>444.48</v>
      </c>
    </row>
    <row r="62" spans="1:39" s="500" customFormat="1">
      <c r="A62" s="539" t="s">
        <v>583</v>
      </c>
      <c r="B62" s="539" t="s">
        <v>1181</v>
      </c>
      <c r="C62" s="605"/>
      <c r="D62" s="519"/>
      <c r="E62" s="520"/>
      <c r="F62" s="726"/>
      <c r="G62" s="520"/>
      <c r="H62" s="520"/>
      <c r="I62" s="521"/>
      <c r="J62" s="521"/>
      <c r="K62" s="772"/>
      <c r="L62" s="514"/>
      <c r="M62" s="726"/>
      <c r="N62" s="514"/>
      <c r="O62" s="514"/>
      <c r="P62" s="514"/>
      <c r="Q62" s="514"/>
      <c r="R62" s="514"/>
      <c r="S62" s="514"/>
      <c r="T62" s="726"/>
      <c r="U62" s="514"/>
      <c r="V62" s="514"/>
      <c r="W62" s="514"/>
      <c r="X62" s="514"/>
      <c r="Y62" s="514"/>
      <c r="Z62" s="514"/>
      <c r="AA62" s="726"/>
      <c r="AB62" s="764"/>
      <c r="AC62" s="514"/>
      <c r="AD62" s="514"/>
      <c r="AE62" s="698"/>
      <c r="AF62" s="514"/>
      <c r="AG62" s="514"/>
      <c r="AH62" s="789"/>
      <c r="AI62" s="946">
        <f t="shared" si="1"/>
        <v>0</v>
      </c>
      <c r="AJ62" s="521">
        <v>0</v>
      </c>
      <c r="AK62" s="520">
        <f t="shared" si="4"/>
        <v>0</v>
      </c>
      <c r="AL62" s="672"/>
      <c r="AM62" s="669">
        <f t="shared" si="5"/>
        <v>0</v>
      </c>
    </row>
    <row r="63" spans="1:39" s="500" customFormat="1">
      <c r="A63" s="539" t="s">
        <v>584</v>
      </c>
      <c r="B63" s="539" t="s">
        <v>1182</v>
      </c>
      <c r="C63" s="472" t="s">
        <v>40</v>
      </c>
      <c r="D63" s="519"/>
      <c r="E63" s="520"/>
      <c r="F63" s="726"/>
      <c r="G63" s="520"/>
      <c r="H63" s="520"/>
      <c r="I63" s="521"/>
      <c r="J63" s="521"/>
      <c r="K63" s="772"/>
      <c r="L63" s="514"/>
      <c r="M63" s="726"/>
      <c r="N63" s="514"/>
      <c r="O63" s="514"/>
      <c r="P63" s="514"/>
      <c r="Q63" s="514"/>
      <c r="R63" s="514"/>
      <c r="S63" s="514"/>
      <c r="T63" s="726"/>
      <c r="U63" s="514"/>
      <c r="V63" s="514"/>
      <c r="W63" s="522"/>
      <c r="X63" s="514"/>
      <c r="Y63" s="514"/>
      <c r="Z63" s="514"/>
      <c r="AA63" s="726"/>
      <c r="AB63" s="764"/>
      <c r="AC63" s="514"/>
      <c r="AD63" s="514"/>
      <c r="AE63" s="698"/>
      <c r="AF63" s="514"/>
      <c r="AG63" s="514"/>
      <c r="AH63" s="789"/>
      <c r="AI63" s="946">
        <f t="shared" si="1"/>
        <v>0</v>
      </c>
      <c r="AJ63" s="521">
        <v>0</v>
      </c>
      <c r="AK63" s="520">
        <f t="shared" si="4"/>
        <v>0</v>
      </c>
      <c r="AL63" s="672" t="s">
        <v>1478</v>
      </c>
      <c r="AM63" s="669">
        <f t="shared" si="5"/>
        <v>1.49</v>
      </c>
    </row>
    <row r="64" spans="1:39" s="500" customFormat="1">
      <c r="A64" s="539" t="s">
        <v>585</v>
      </c>
      <c r="B64" s="539" t="s">
        <v>1183</v>
      </c>
      <c r="C64" s="548" t="s">
        <v>37</v>
      </c>
      <c r="D64" s="519"/>
      <c r="E64" s="520"/>
      <c r="F64" s="726"/>
      <c r="G64" s="520"/>
      <c r="H64" s="520"/>
      <c r="I64" s="521"/>
      <c r="J64" s="521"/>
      <c r="K64" s="772"/>
      <c r="L64" s="514"/>
      <c r="M64" s="726"/>
      <c r="N64" s="514"/>
      <c r="O64" s="514"/>
      <c r="P64" s="514"/>
      <c r="Q64" s="514"/>
      <c r="R64" s="514"/>
      <c r="S64" s="514"/>
      <c r="T64" s="726"/>
      <c r="U64" s="514"/>
      <c r="V64" s="514"/>
      <c r="W64" s="522"/>
      <c r="X64" s="514"/>
      <c r="Y64" s="514"/>
      <c r="Z64" s="514"/>
      <c r="AA64" s="726"/>
      <c r="AB64" s="764"/>
      <c r="AC64" s="514"/>
      <c r="AD64" s="514"/>
      <c r="AE64" s="698"/>
      <c r="AF64" s="514"/>
      <c r="AG64" s="514"/>
      <c r="AH64" s="789"/>
      <c r="AI64" s="946">
        <f t="shared" si="1"/>
        <v>0</v>
      </c>
      <c r="AJ64" s="521">
        <v>0</v>
      </c>
      <c r="AK64" s="520">
        <f t="shared" si="4"/>
        <v>0</v>
      </c>
      <c r="AL64" s="672" t="s">
        <v>1479</v>
      </c>
      <c r="AM64" s="669">
        <f t="shared" si="5"/>
        <v>19.71</v>
      </c>
    </row>
    <row r="65" spans="1:39" s="500" customFormat="1">
      <c r="A65" s="539" t="s">
        <v>586</v>
      </c>
      <c r="B65" s="539" t="s">
        <v>1184</v>
      </c>
      <c r="C65" s="472" t="s">
        <v>48</v>
      </c>
      <c r="D65" s="519"/>
      <c r="E65" s="520"/>
      <c r="F65" s="726"/>
      <c r="G65" s="520"/>
      <c r="H65" s="520"/>
      <c r="I65" s="521"/>
      <c r="J65" s="521"/>
      <c r="K65" s="772"/>
      <c r="L65" s="514"/>
      <c r="M65" s="726"/>
      <c r="N65" s="514"/>
      <c r="O65" s="514"/>
      <c r="P65" s="514"/>
      <c r="Q65" s="514"/>
      <c r="R65" s="514"/>
      <c r="S65" s="514"/>
      <c r="T65" s="726"/>
      <c r="U65" s="514"/>
      <c r="V65" s="514"/>
      <c r="W65" s="514"/>
      <c r="X65" s="514"/>
      <c r="Y65" s="514"/>
      <c r="Z65" s="514"/>
      <c r="AA65" s="726"/>
      <c r="AB65" s="764"/>
      <c r="AC65" s="514"/>
      <c r="AD65" s="514"/>
      <c r="AE65" s="698"/>
      <c r="AF65" s="514"/>
      <c r="AG65" s="514"/>
      <c r="AH65" s="789"/>
      <c r="AI65" s="946">
        <f t="shared" si="1"/>
        <v>0</v>
      </c>
      <c r="AJ65" s="521">
        <v>0</v>
      </c>
      <c r="AK65" s="520">
        <f t="shared" si="4"/>
        <v>0</v>
      </c>
      <c r="AL65" s="672" t="s">
        <v>1480</v>
      </c>
      <c r="AM65" s="669">
        <f t="shared" si="5"/>
        <v>659.98</v>
      </c>
    </row>
    <row r="66" spans="1:39" s="500" customFormat="1">
      <c r="A66" s="539" t="s">
        <v>587</v>
      </c>
      <c r="B66" s="539" t="s">
        <v>1185</v>
      </c>
      <c r="C66" s="605"/>
      <c r="D66" s="519"/>
      <c r="E66" s="520"/>
      <c r="F66" s="726"/>
      <c r="G66" s="520"/>
      <c r="H66" s="520"/>
      <c r="I66" s="521"/>
      <c r="J66" s="521"/>
      <c r="K66" s="772"/>
      <c r="L66" s="514"/>
      <c r="M66" s="726"/>
      <c r="N66" s="514"/>
      <c r="O66" s="514"/>
      <c r="P66" s="514"/>
      <c r="Q66" s="514"/>
      <c r="R66" s="514"/>
      <c r="S66" s="514"/>
      <c r="T66" s="726"/>
      <c r="U66" s="514"/>
      <c r="V66" s="514"/>
      <c r="W66" s="514"/>
      <c r="X66" s="514"/>
      <c r="Y66" s="514"/>
      <c r="Z66" s="514"/>
      <c r="AA66" s="726"/>
      <c r="AB66" s="764"/>
      <c r="AC66" s="514"/>
      <c r="AD66" s="514"/>
      <c r="AE66" s="698"/>
      <c r="AF66" s="514"/>
      <c r="AG66" s="514"/>
      <c r="AH66" s="789"/>
      <c r="AI66" s="946">
        <f t="shared" si="1"/>
        <v>0</v>
      </c>
      <c r="AJ66" s="521">
        <v>0</v>
      </c>
      <c r="AK66" s="520">
        <f t="shared" si="4"/>
        <v>0</v>
      </c>
      <c r="AL66" s="672"/>
      <c r="AM66" s="669">
        <f t="shared" si="5"/>
        <v>0</v>
      </c>
    </row>
    <row r="67" spans="1:39" s="500" customFormat="1">
      <c r="A67" s="539" t="s">
        <v>588</v>
      </c>
      <c r="B67" s="539" t="s">
        <v>1186</v>
      </c>
      <c r="C67" s="472" t="s">
        <v>40</v>
      </c>
      <c r="D67" s="519"/>
      <c r="E67" s="520"/>
      <c r="F67" s="726"/>
      <c r="G67" s="520"/>
      <c r="H67" s="520"/>
      <c r="I67" s="521"/>
      <c r="J67" s="521"/>
      <c r="K67" s="772"/>
      <c r="L67" s="514"/>
      <c r="M67" s="726"/>
      <c r="N67" s="514"/>
      <c r="O67" s="514"/>
      <c r="P67" s="514"/>
      <c r="Q67" s="514"/>
      <c r="R67" s="514"/>
      <c r="S67" s="514"/>
      <c r="T67" s="726"/>
      <c r="U67" s="514"/>
      <c r="V67" s="514"/>
      <c r="W67" s="514"/>
      <c r="X67" s="514"/>
      <c r="Y67" s="514"/>
      <c r="Z67" s="514"/>
      <c r="AA67" s="726"/>
      <c r="AB67" s="764"/>
      <c r="AC67" s="514"/>
      <c r="AD67" s="514"/>
      <c r="AE67" s="698"/>
      <c r="AF67" s="514"/>
      <c r="AG67" s="514"/>
      <c r="AH67" s="789"/>
      <c r="AI67" s="946">
        <f t="shared" si="1"/>
        <v>0</v>
      </c>
      <c r="AJ67" s="521">
        <v>0</v>
      </c>
      <c r="AK67" s="520">
        <f t="shared" si="4"/>
        <v>0</v>
      </c>
      <c r="AL67" s="672" t="s">
        <v>1481</v>
      </c>
      <c r="AM67" s="669">
        <f t="shared" si="5"/>
        <v>4.54</v>
      </c>
    </row>
    <row r="68" spans="1:39" s="500" customFormat="1">
      <c r="A68" s="539" t="s">
        <v>589</v>
      </c>
      <c r="B68" s="539" t="s">
        <v>1187</v>
      </c>
      <c r="C68" s="472" t="s">
        <v>37</v>
      </c>
      <c r="D68" s="519"/>
      <c r="E68" s="520"/>
      <c r="F68" s="726"/>
      <c r="G68" s="520"/>
      <c r="H68" s="520"/>
      <c r="I68" s="521"/>
      <c r="J68" s="521"/>
      <c r="K68" s="772"/>
      <c r="L68" s="514"/>
      <c r="M68" s="726"/>
      <c r="N68" s="514"/>
      <c r="O68" s="514"/>
      <c r="P68" s="514"/>
      <c r="Q68" s="514"/>
      <c r="R68" s="514"/>
      <c r="S68" s="514"/>
      <c r="T68" s="726"/>
      <c r="U68" s="514"/>
      <c r="V68" s="514"/>
      <c r="W68" s="522"/>
      <c r="X68" s="514"/>
      <c r="Y68" s="514"/>
      <c r="Z68" s="514"/>
      <c r="AA68" s="726"/>
      <c r="AB68" s="764"/>
      <c r="AC68" s="514"/>
      <c r="AD68" s="514"/>
      <c r="AE68" s="698"/>
      <c r="AF68" s="514"/>
      <c r="AG68" s="514"/>
      <c r="AH68" s="789"/>
      <c r="AI68" s="946">
        <f t="shared" si="1"/>
        <v>0</v>
      </c>
      <c r="AJ68" s="521">
        <v>0</v>
      </c>
      <c r="AK68" s="520">
        <f t="shared" si="4"/>
        <v>0</v>
      </c>
      <c r="AL68" s="672" t="s">
        <v>1482</v>
      </c>
      <c r="AM68" s="669">
        <f t="shared" si="5"/>
        <v>38.93</v>
      </c>
    </row>
    <row r="69" spans="1:39" s="500" customFormat="1">
      <c r="A69" s="539" t="s">
        <v>590</v>
      </c>
      <c r="B69" s="539" t="s">
        <v>1188</v>
      </c>
      <c r="C69" s="472" t="s">
        <v>48</v>
      </c>
      <c r="D69" s="519"/>
      <c r="E69" s="520"/>
      <c r="F69" s="726"/>
      <c r="G69" s="520"/>
      <c r="H69" s="520"/>
      <c r="I69" s="521"/>
      <c r="J69" s="521"/>
      <c r="K69" s="772"/>
      <c r="L69" s="514"/>
      <c r="M69" s="726"/>
      <c r="N69" s="514"/>
      <c r="O69" s="514"/>
      <c r="P69" s="514"/>
      <c r="Q69" s="514"/>
      <c r="R69" s="514"/>
      <c r="S69" s="514"/>
      <c r="T69" s="726"/>
      <c r="U69" s="514"/>
      <c r="V69" s="514"/>
      <c r="W69" s="522"/>
      <c r="X69" s="514"/>
      <c r="Y69" s="514"/>
      <c r="Z69" s="514"/>
      <c r="AA69" s="726"/>
      <c r="AB69" s="764"/>
      <c r="AC69" s="514"/>
      <c r="AD69" s="514"/>
      <c r="AE69" s="698"/>
      <c r="AF69" s="514"/>
      <c r="AG69" s="514"/>
      <c r="AH69" s="789"/>
      <c r="AI69" s="946">
        <f t="shared" si="1"/>
        <v>0</v>
      </c>
      <c r="AJ69" s="521">
        <v>0</v>
      </c>
      <c r="AK69" s="520">
        <f t="shared" si="4"/>
        <v>0</v>
      </c>
      <c r="AL69" s="672" t="s">
        <v>1483</v>
      </c>
      <c r="AM69" s="669">
        <f t="shared" si="5"/>
        <v>563.80999999999995</v>
      </c>
    </row>
    <row r="70" spans="1:39" s="500" customFormat="1">
      <c r="A70" s="539" t="s">
        <v>591</v>
      </c>
      <c r="B70" s="539" t="s">
        <v>1189</v>
      </c>
      <c r="C70" s="605"/>
      <c r="D70" s="525"/>
      <c r="E70" s="526"/>
      <c r="F70" s="731"/>
      <c r="G70" s="526"/>
      <c r="H70" s="526"/>
      <c r="I70" s="527"/>
      <c r="J70" s="527"/>
      <c r="K70" s="812"/>
      <c r="L70" s="514"/>
      <c r="M70" s="731"/>
      <c r="N70" s="514"/>
      <c r="O70" s="514"/>
      <c r="P70" s="514"/>
      <c r="Q70" s="514"/>
      <c r="R70" s="514"/>
      <c r="S70" s="514"/>
      <c r="T70" s="731"/>
      <c r="U70" s="514"/>
      <c r="V70" s="514"/>
      <c r="W70" s="514"/>
      <c r="X70" s="514"/>
      <c r="Y70" s="514"/>
      <c r="Z70" s="514"/>
      <c r="AA70" s="731"/>
      <c r="AB70" s="764"/>
      <c r="AC70" s="514"/>
      <c r="AD70" s="514"/>
      <c r="AE70" s="698"/>
      <c r="AF70" s="514"/>
      <c r="AG70" s="514"/>
      <c r="AH70" s="789"/>
      <c r="AI70" s="946">
        <f t="shared" si="1"/>
        <v>0</v>
      </c>
      <c r="AJ70" s="521">
        <v>0</v>
      </c>
      <c r="AK70" s="520">
        <f t="shared" si="4"/>
        <v>0</v>
      </c>
      <c r="AL70" s="673"/>
      <c r="AM70" s="669">
        <f t="shared" si="5"/>
        <v>0</v>
      </c>
    </row>
    <row r="71" spans="1:39" s="500" customFormat="1">
      <c r="A71" s="539" t="s">
        <v>592</v>
      </c>
      <c r="B71" s="539" t="s">
        <v>1190</v>
      </c>
      <c r="C71" s="472" t="s">
        <v>40</v>
      </c>
      <c r="D71" s="519"/>
      <c r="E71" s="520"/>
      <c r="F71" s="726"/>
      <c r="G71" s="520"/>
      <c r="H71" s="520"/>
      <c r="I71" s="521"/>
      <c r="J71" s="521"/>
      <c r="K71" s="772"/>
      <c r="L71" s="514"/>
      <c r="M71" s="726"/>
      <c r="N71" s="514"/>
      <c r="O71" s="514"/>
      <c r="P71" s="514"/>
      <c r="Q71" s="514"/>
      <c r="R71" s="514"/>
      <c r="S71" s="514"/>
      <c r="T71" s="726"/>
      <c r="U71" s="514"/>
      <c r="V71" s="514"/>
      <c r="W71" s="514"/>
      <c r="X71" s="514"/>
      <c r="Y71" s="514"/>
      <c r="Z71" s="514"/>
      <c r="AA71" s="726"/>
      <c r="AB71" s="884"/>
      <c r="AC71" s="514"/>
      <c r="AD71" s="514"/>
      <c r="AE71" s="698"/>
      <c r="AF71" s="514"/>
      <c r="AG71" s="514"/>
      <c r="AH71" s="789"/>
      <c r="AI71" s="946">
        <f t="shared" si="1"/>
        <v>0</v>
      </c>
      <c r="AJ71" s="521">
        <v>0</v>
      </c>
      <c r="AK71" s="520">
        <f t="shared" si="4"/>
        <v>0</v>
      </c>
      <c r="AL71" s="672" t="s">
        <v>1484</v>
      </c>
      <c r="AM71" s="669">
        <f t="shared" si="5"/>
        <v>3.65</v>
      </c>
    </row>
    <row r="72" spans="1:39" s="500" customFormat="1">
      <c r="A72" s="539" t="s">
        <v>593</v>
      </c>
      <c r="B72" s="539" t="s">
        <v>1191</v>
      </c>
      <c r="C72" s="472" t="s">
        <v>37</v>
      </c>
      <c r="D72" s="519"/>
      <c r="E72" s="520"/>
      <c r="F72" s="726"/>
      <c r="G72" s="520"/>
      <c r="H72" s="520"/>
      <c r="I72" s="521"/>
      <c r="J72" s="521"/>
      <c r="K72" s="772"/>
      <c r="L72" s="514"/>
      <c r="M72" s="726"/>
      <c r="N72" s="514"/>
      <c r="O72" s="514"/>
      <c r="P72" s="514"/>
      <c r="Q72" s="514"/>
      <c r="R72" s="514"/>
      <c r="S72" s="514"/>
      <c r="T72" s="726"/>
      <c r="U72" s="514"/>
      <c r="V72" s="514"/>
      <c r="W72" s="514"/>
      <c r="X72" s="514"/>
      <c r="Y72" s="514"/>
      <c r="Z72" s="514"/>
      <c r="AA72" s="726"/>
      <c r="AB72" s="764"/>
      <c r="AC72" s="514"/>
      <c r="AD72" s="514"/>
      <c r="AE72" s="698"/>
      <c r="AF72" s="514"/>
      <c r="AG72" s="514"/>
      <c r="AH72" s="789"/>
      <c r="AI72" s="946">
        <f t="shared" si="1"/>
        <v>0</v>
      </c>
      <c r="AJ72" s="521">
        <v>0</v>
      </c>
      <c r="AK72" s="520">
        <f t="shared" si="4"/>
        <v>0</v>
      </c>
      <c r="AL72" s="672" t="s">
        <v>1485</v>
      </c>
      <c r="AM72" s="669">
        <f t="shared" si="5"/>
        <v>41.77</v>
      </c>
    </row>
    <row r="73" spans="1:39" s="500" customFormat="1">
      <c r="A73" s="539" t="s">
        <v>594</v>
      </c>
      <c r="B73" s="539" t="s">
        <v>1192</v>
      </c>
      <c r="C73" s="472" t="s">
        <v>48</v>
      </c>
      <c r="D73" s="519"/>
      <c r="E73" s="520"/>
      <c r="F73" s="726"/>
      <c r="G73" s="520"/>
      <c r="H73" s="520"/>
      <c r="I73" s="521"/>
      <c r="J73" s="521"/>
      <c r="K73" s="772"/>
      <c r="L73" s="514"/>
      <c r="M73" s="726"/>
      <c r="N73" s="514"/>
      <c r="O73" s="514"/>
      <c r="P73" s="514"/>
      <c r="Q73" s="514"/>
      <c r="R73" s="514"/>
      <c r="S73" s="514"/>
      <c r="T73" s="726"/>
      <c r="U73" s="514"/>
      <c r="V73" s="514"/>
      <c r="W73" s="514"/>
      <c r="X73" s="522"/>
      <c r="Y73" s="514"/>
      <c r="Z73" s="514"/>
      <c r="AA73" s="726"/>
      <c r="AB73" s="764"/>
      <c r="AC73" s="514"/>
      <c r="AD73" s="514"/>
      <c r="AE73" s="698"/>
      <c r="AF73" s="514"/>
      <c r="AG73" s="514"/>
      <c r="AH73" s="789"/>
      <c r="AI73" s="946">
        <f t="shared" si="1"/>
        <v>0</v>
      </c>
      <c r="AJ73" s="521">
        <v>0</v>
      </c>
      <c r="AK73" s="520">
        <f t="shared" si="4"/>
        <v>0</v>
      </c>
      <c r="AL73" s="672" t="s">
        <v>1486</v>
      </c>
      <c r="AM73" s="669">
        <f t="shared" si="5"/>
        <v>298.24</v>
      </c>
    </row>
    <row r="74" spans="1:39" s="500" customFormat="1">
      <c r="A74" s="539" t="s">
        <v>595</v>
      </c>
      <c r="B74" s="539" t="s">
        <v>1193</v>
      </c>
      <c r="C74" s="548" t="s">
        <v>1450</v>
      </c>
      <c r="D74" s="519"/>
      <c r="E74" s="520"/>
      <c r="F74" s="726"/>
      <c r="G74" s="520"/>
      <c r="H74" s="520"/>
      <c r="I74" s="521"/>
      <c r="J74" s="521"/>
      <c r="K74" s="772"/>
      <c r="L74" s="514"/>
      <c r="M74" s="726"/>
      <c r="N74" s="514"/>
      <c r="O74" s="514"/>
      <c r="P74" s="514"/>
      <c r="Q74" s="514"/>
      <c r="R74" s="514"/>
      <c r="S74" s="514"/>
      <c r="T74" s="726"/>
      <c r="U74" s="514"/>
      <c r="V74" s="514"/>
      <c r="W74" s="514"/>
      <c r="X74" s="514"/>
      <c r="Y74" s="514"/>
      <c r="Z74" s="514"/>
      <c r="AA74" s="726"/>
      <c r="AB74" s="764"/>
      <c r="AC74" s="514"/>
      <c r="AD74" s="514"/>
      <c r="AE74" s="698"/>
      <c r="AF74" s="514"/>
      <c r="AG74" s="514"/>
      <c r="AH74" s="789"/>
      <c r="AI74" s="946">
        <f t="shared" si="1"/>
        <v>0</v>
      </c>
      <c r="AJ74" s="521">
        <v>0</v>
      </c>
      <c r="AK74" s="520">
        <f t="shared" si="4"/>
        <v>0</v>
      </c>
      <c r="AL74" s="672" t="s">
        <v>1487</v>
      </c>
      <c r="AM74" s="669">
        <f t="shared" si="5"/>
        <v>347.95</v>
      </c>
    </row>
    <row r="75" spans="1:39" s="500" customFormat="1">
      <c r="A75" s="539" t="s">
        <v>596</v>
      </c>
      <c r="B75" s="539" t="s">
        <v>1194</v>
      </c>
      <c r="C75" s="605"/>
      <c r="D75" s="519"/>
      <c r="E75" s="520"/>
      <c r="F75" s="726"/>
      <c r="G75" s="520"/>
      <c r="H75" s="520"/>
      <c r="I75" s="521"/>
      <c r="J75" s="521"/>
      <c r="K75" s="772"/>
      <c r="L75" s="514"/>
      <c r="M75" s="726"/>
      <c r="N75" s="514"/>
      <c r="O75" s="514"/>
      <c r="P75" s="514"/>
      <c r="Q75" s="514"/>
      <c r="R75" s="514"/>
      <c r="S75" s="514"/>
      <c r="T75" s="726"/>
      <c r="U75" s="514"/>
      <c r="V75" s="514"/>
      <c r="W75" s="514"/>
      <c r="X75" s="514"/>
      <c r="Y75" s="514"/>
      <c r="Z75" s="514"/>
      <c r="AA75" s="726"/>
      <c r="AB75" s="764"/>
      <c r="AC75" s="514"/>
      <c r="AD75" s="514"/>
      <c r="AE75" s="698"/>
      <c r="AF75" s="514"/>
      <c r="AG75" s="514"/>
      <c r="AH75" s="789"/>
      <c r="AI75" s="946">
        <f t="shared" si="1"/>
        <v>0</v>
      </c>
      <c r="AJ75" s="521">
        <v>0</v>
      </c>
      <c r="AK75" s="520">
        <f t="shared" si="4"/>
        <v>0</v>
      </c>
      <c r="AL75" s="672"/>
      <c r="AM75" s="669">
        <f t="shared" si="5"/>
        <v>0</v>
      </c>
    </row>
    <row r="76" spans="1:39" s="500" customFormat="1">
      <c r="A76" s="539" t="s">
        <v>597</v>
      </c>
      <c r="B76" s="539" t="s">
        <v>1195</v>
      </c>
      <c r="C76" s="472" t="s">
        <v>40</v>
      </c>
      <c r="D76" s="519"/>
      <c r="E76" s="520"/>
      <c r="F76" s="726"/>
      <c r="G76" s="520"/>
      <c r="H76" s="520"/>
      <c r="I76" s="521"/>
      <c r="J76" s="521"/>
      <c r="K76" s="772"/>
      <c r="L76" s="514"/>
      <c r="M76" s="726"/>
      <c r="N76" s="514"/>
      <c r="O76" s="514"/>
      <c r="P76" s="514"/>
      <c r="Q76" s="514"/>
      <c r="R76" s="514"/>
      <c r="S76" s="514"/>
      <c r="T76" s="726"/>
      <c r="U76" s="514"/>
      <c r="V76" s="514"/>
      <c r="W76" s="514"/>
      <c r="X76" s="514"/>
      <c r="Y76" s="514"/>
      <c r="Z76" s="514"/>
      <c r="AA76" s="726"/>
      <c r="AB76" s="764"/>
      <c r="AC76" s="514"/>
      <c r="AD76" s="514"/>
      <c r="AE76" s="698"/>
      <c r="AF76" s="514"/>
      <c r="AG76" s="514"/>
      <c r="AH76" s="789"/>
      <c r="AI76" s="946">
        <f t="shared" si="1"/>
        <v>0</v>
      </c>
      <c r="AJ76" s="521">
        <v>0</v>
      </c>
      <c r="AK76" s="520">
        <f t="shared" si="4"/>
        <v>0</v>
      </c>
      <c r="AL76" s="672" t="s">
        <v>1488</v>
      </c>
      <c r="AM76" s="669">
        <f t="shared" si="5"/>
        <v>1.2</v>
      </c>
    </row>
    <row r="77" spans="1:39" s="500" customFormat="1">
      <c r="A77" s="539" t="s">
        <v>598</v>
      </c>
      <c r="B77" s="539" t="s">
        <v>1196</v>
      </c>
      <c r="C77" s="472" t="s">
        <v>37</v>
      </c>
      <c r="D77" s="519"/>
      <c r="E77" s="520"/>
      <c r="F77" s="726"/>
      <c r="G77" s="520"/>
      <c r="H77" s="520"/>
      <c r="I77" s="521"/>
      <c r="J77" s="521"/>
      <c r="K77" s="772"/>
      <c r="L77" s="514"/>
      <c r="M77" s="726"/>
      <c r="N77" s="514"/>
      <c r="O77" s="514"/>
      <c r="P77" s="514"/>
      <c r="Q77" s="514"/>
      <c r="R77" s="514"/>
      <c r="S77" s="514"/>
      <c r="T77" s="726"/>
      <c r="U77" s="514"/>
      <c r="V77" s="514"/>
      <c r="W77" s="514"/>
      <c r="X77" s="514"/>
      <c r="Y77" s="514"/>
      <c r="Z77" s="514"/>
      <c r="AA77" s="726"/>
      <c r="AB77" s="764"/>
      <c r="AC77" s="514"/>
      <c r="AD77" s="514"/>
      <c r="AE77" s="698"/>
      <c r="AF77" s="514"/>
      <c r="AG77" s="514"/>
      <c r="AH77" s="789"/>
      <c r="AI77" s="946">
        <f t="shared" si="1"/>
        <v>0</v>
      </c>
      <c r="AJ77" s="521">
        <v>0</v>
      </c>
      <c r="AK77" s="520">
        <f t="shared" si="4"/>
        <v>0</v>
      </c>
      <c r="AL77" s="672" t="s">
        <v>1489</v>
      </c>
      <c r="AM77" s="669">
        <f t="shared" si="5"/>
        <v>16</v>
      </c>
    </row>
    <row r="78" spans="1:39" s="500" customFormat="1">
      <c r="A78" s="539" t="s">
        <v>599</v>
      </c>
      <c r="B78" s="539" t="s">
        <v>1197</v>
      </c>
      <c r="C78" s="472" t="s">
        <v>48</v>
      </c>
      <c r="D78" s="519"/>
      <c r="E78" s="520"/>
      <c r="F78" s="726"/>
      <c r="G78" s="520"/>
      <c r="H78" s="520"/>
      <c r="I78" s="521"/>
      <c r="J78" s="521"/>
      <c r="K78" s="772"/>
      <c r="L78" s="514"/>
      <c r="M78" s="726"/>
      <c r="N78" s="514"/>
      <c r="O78" s="514"/>
      <c r="P78" s="514"/>
      <c r="Q78" s="514"/>
      <c r="R78" s="514"/>
      <c r="S78" s="514"/>
      <c r="T78" s="726"/>
      <c r="U78" s="514"/>
      <c r="V78" s="514"/>
      <c r="W78" s="514"/>
      <c r="X78" s="514"/>
      <c r="Y78" s="514"/>
      <c r="Z78" s="514"/>
      <c r="AA78" s="726"/>
      <c r="AB78" s="764"/>
      <c r="AC78" s="514"/>
      <c r="AD78" s="514"/>
      <c r="AE78" s="698"/>
      <c r="AF78" s="514"/>
      <c r="AG78" s="514"/>
      <c r="AH78" s="789"/>
      <c r="AI78" s="946">
        <f t="shared" si="1"/>
        <v>0</v>
      </c>
      <c r="AJ78" s="521">
        <v>0</v>
      </c>
      <c r="AK78" s="520">
        <f t="shared" si="4"/>
        <v>0</v>
      </c>
      <c r="AL78" s="672" t="s">
        <v>1490</v>
      </c>
      <c r="AM78" s="669">
        <f t="shared" si="5"/>
        <v>124.05</v>
      </c>
    </row>
    <row r="79" spans="1:39" s="500" customFormat="1">
      <c r="A79" s="542" t="s">
        <v>600</v>
      </c>
      <c r="B79" s="542" t="s">
        <v>1198</v>
      </c>
      <c r="C79" s="605"/>
      <c r="D79" s="519"/>
      <c r="E79" s="520"/>
      <c r="F79" s="726"/>
      <c r="G79" s="520"/>
      <c r="H79" s="520"/>
      <c r="I79" s="521"/>
      <c r="J79" s="521"/>
      <c r="K79" s="772"/>
      <c r="L79" s="514"/>
      <c r="M79" s="726"/>
      <c r="N79" s="514"/>
      <c r="O79" s="514"/>
      <c r="P79" s="514"/>
      <c r="Q79" s="514"/>
      <c r="R79" s="514"/>
      <c r="S79" s="514"/>
      <c r="T79" s="726"/>
      <c r="U79" s="514"/>
      <c r="V79" s="514"/>
      <c r="W79" s="514"/>
      <c r="X79" s="514"/>
      <c r="Y79" s="514"/>
      <c r="Z79" s="514"/>
      <c r="AA79" s="726"/>
      <c r="AB79" s="764"/>
      <c r="AC79" s="514"/>
      <c r="AD79" s="514"/>
      <c r="AE79" s="698"/>
      <c r="AF79" s="514"/>
      <c r="AG79" s="514"/>
      <c r="AH79" s="789"/>
      <c r="AI79" s="946">
        <f t="shared" ref="AI79:AI142" si="6">ROUND((SUM(D79:AH79)),2)</f>
        <v>0</v>
      </c>
      <c r="AJ79" s="521">
        <v>0</v>
      </c>
      <c r="AK79" s="520">
        <f t="shared" si="4"/>
        <v>0</v>
      </c>
      <c r="AL79" s="672"/>
      <c r="AM79" s="669">
        <f t="shared" si="5"/>
        <v>0</v>
      </c>
    </row>
    <row r="80" spans="1:39" s="500" customFormat="1">
      <c r="A80" s="539" t="s">
        <v>601</v>
      </c>
      <c r="B80" s="539" t="s">
        <v>1199</v>
      </c>
      <c r="C80" s="472" t="s">
        <v>38</v>
      </c>
      <c r="D80" s="519"/>
      <c r="E80" s="520"/>
      <c r="F80" s="726"/>
      <c r="G80" s="520"/>
      <c r="H80" s="520"/>
      <c r="I80" s="521"/>
      <c r="J80" s="521"/>
      <c r="K80" s="772"/>
      <c r="L80" s="514"/>
      <c r="M80" s="726"/>
      <c r="N80" s="514"/>
      <c r="O80" s="514"/>
      <c r="P80" s="514"/>
      <c r="Q80" s="514"/>
      <c r="R80" s="514"/>
      <c r="S80" s="514"/>
      <c r="T80" s="726"/>
      <c r="U80" s="514"/>
      <c r="V80" s="514"/>
      <c r="W80" s="514"/>
      <c r="X80" s="514"/>
      <c r="Y80" s="514"/>
      <c r="Z80" s="514"/>
      <c r="AA80" s="726"/>
      <c r="AB80" s="764"/>
      <c r="AC80" s="514"/>
      <c r="AD80" s="514"/>
      <c r="AE80" s="698"/>
      <c r="AF80" s="514"/>
      <c r="AG80" s="514"/>
      <c r="AH80" s="789"/>
      <c r="AI80" s="946">
        <f t="shared" si="6"/>
        <v>0</v>
      </c>
      <c r="AJ80" s="521">
        <v>0</v>
      </c>
      <c r="AK80" s="520">
        <f t="shared" si="4"/>
        <v>0</v>
      </c>
      <c r="AL80" s="672" t="s">
        <v>1491</v>
      </c>
      <c r="AM80" s="669">
        <f t="shared" si="5"/>
        <v>59.04</v>
      </c>
    </row>
    <row r="81" spans="1:39" s="500" customFormat="1">
      <c r="A81" s="542" t="s">
        <v>602</v>
      </c>
      <c r="B81" s="542" t="s">
        <v>1200</v>
      </c>
      <c r="C81" s="616"/>
      <c r="D81" s="519"/>
      <c r="E81" s="520"/>
      <c r="F81" s="726"/>
      <c r="G81" s="520"/>
      <c r="H81" s="520"/>
      <c r="I81" s="521"/>
      <c r="J81" s="521"/>
      <c r="K81" s="772"/>
      <c r="L81" s="514"/>
      <c r="M81" s="726"/>
      <c r="N81" s="514"/>
      <c r="O81" s="514"/>
      <c r="P81" s="514"/>
      <c r="Q81" s="514"/>
      <c r="R81" s="514"/>
      <c r="S81" s="514"/>
      <c r="T81" s="726"/>
      <c r="U81" s="514"/>
      <c r="V81" s="514"/>
      <c r="W81" s="514"/>
      <c r="X81" s="514"/>
      <c r="Y81" s="514"/>
      <c r="Z81" s="514"/>
      <c r="AA81" s="726"/>
      <c r="AB81" s="764"/>
      <c r="AC81" s="514"/>
      <c r="AD81" s="514"/>
      <c r="AE81" s="698"/>
      <c r="AF81" s="514"/>
      <c r="AG81" s="514"/>
      <c r="AH81" s="789"/>
      <c r="AI81" s="946">
        <f t="shared" si="6"/>
        <v>0</v>
      </c>
      <c r="AJ81" s="521">
        <v>0</v>
      </c>
      <c r="AK81" s="520">
        <f t="shared" si="4"/>
        <v>0</v>
      </c>
      <c r="AL81" s="672"/>
      <c r="AM81" s="669">
        <f t="shared" si="5"/>
        <v>0</v>
      </c>
    </row>
    <row r="82" spans="1:39" s="500" customFormat="1">
      <c r="A82" s="539" t="s">
        <v>603</v>
      </c>
      <c r="B82" s="539" t="s">
        <v>1201</v>
      </c>
      <c r="C82" s="472" t="s">
        <v>38</v>
      </c>
      <c r="D82" s="519"/>
      <c r="E82" s="520"/>
      <c r="F82" s="726"/>
      <c r="G82" s="520"/>
      <c r="H82" s="520"/>
      <c r="I82" s="521"/>
      <c r="J82" s="521"/>
      <c r="K82" s="772"/>
      <c r="L82" s="514"/>
      <c r="M82" s="726"/>
      <c r="N82" s="514"/>
      <c r="O82" s="514"/>
      <c r="P82" s="514"/>
      <c r="Q82" s="514"/>
      <c r="R82" s="514"/>
      <c r="S82" s="514"/>
      <c r="T82" s="726"/>
      <c r="U82" s="514"/>
      <c r="V82" s="514"/>
      <c r="W82" s="514"/>
      <c r="X82" s="514"/>
      <c r="Y82" s="514"/>
      <c r="Z82" s="514"/>
      <c r="AA82" s="726"/>
      <c r="AB82" s="764"/>
      <c r="AC82" s="514"/>
      <c r="AD82" s="514"/>
      <c r="AE82" s="698"/>
      <c r="AF82" s="514"/>
      <c r="AG82" s="514"/>
      <c r="AH82" s="789"/>
      <c r="AI82" s="946">
        <f t="shared" si="6"/>
        <v>0</v>
      </c>
      <c r="AJ82" s="521">
        <v>0</v>
      </c>
      <c r="AK82" s="520">
        <f t="shared" si="4"/>
        <v>0</v>
      </c>
      <c r="AL82" s="672" t="s">
        <v>1492</v>
      </c>
      <c r="AM82" s="669">
        <f t="shared" si="5"/>
        <v>100.3</v>
      </c>
    </row>
    <row r="83" spans="1:39" s="500" customFormat="1">
      <c r="A83" s="539" t="s">
        <v>604</v>
      </c>
      <c r="B83" s="539" t="s">
        <v>225</v>
      </c>
      <c r="C83" s="472" t="s">
        <v>1450</v>
      </c>
      <c r="D83" s="525"/>
      <c r="E83" s="526"/>
      <c r="F83" s="731"/>
      <c r="G83" s="526"/>
      <c r="H83" s="526"/>
      <c r="I83" s="527"/>
      <c r="J83" s="527"/>
      <c r="K83" s="812"/>
      <c r="L83" s="514"/>
      <c r="M83" s="731"/>
      <c r="N83" s="514"/>
      <c r="O83" s="514"/>
      <c r="P83" s="514"/>
      <c r="Q83" s="514"/>
      <c r="R83" s="514"/>
      <c r="S83" s="514"/>
      <c r="T83" s="731"/>
      <c r="U83" s="514"/>
      <c r="V83" s="514"/>
      <c r="W83" s="514"/>
      <c r="X83" s="514"/>
      <c r="Y83" s="514"/>
      <c r="Z83" s="514"/>
      <c r="AA83" s="731"/>
      <c r="AB83" s="764"/>
      <c r="AC83" s="514"/>
      <c r="AD83" s="514"/>
      <c r="AE83" s="698"/>
      <c r="AF83" s="514"/>
      <c r="AG83" s="514"/>
      <c r="AH83" s="789"/>
      <c r="AI83" s="946">
        <f t="shared" si="6"/>
        <v>0</v>
      </c>
      <c r="AJ83" s="521">
        <v>0</v>
      </c>
      <c r="AK83" s="520">
        <f t="shared" si="4"/>
        <v>0</v>
      </c>
      <c r="AL83" s="673" t="s">
        <v>1493</v>
      </c>
      <c r="AM83" s="669">
        <f t="shared" si="5"/>
        <v>15</v>
      </c>
    </row>
    <row r="84" spans="1:39" s="500" customFormat="1">
      <c r="A84" s="440" t="s">
        <v>44</v>
      </c>
      <c r="B84" s="543" t="s">
        <v>1202</v>
      </c>
      <c r="C84" s="605"/>
      <c r="D84" s="519"/>
      <c r="E84" s="520"/>
      <c r="F84" s="726"/>
      <c r="G84" s="520"/>
      <c r="H84" s="520"/>
      <c r="I84" s="521"/>
      <c r="J84" s="521"/>
      <c r="K84" s="772"/>
      <c r="L84" s="514"/>
      <c r="M84" s="726"/>
      <c r="N84" s="514"/>
      <c r="O84" s="514"/>
      <c r="P84" s="514"/>
      <c r="Q84" s="514"/>
      <c r="R84" s="514"/>
      <c r="S84" s="514"/>
      <c r="T84" s="726"/>
      <c r="U84" s="514"/>
      <c r="V84" s="514"/>
      <c r="W84" s="514"/>
      <c r="X84" s="514"/>
      <c r="Y84" s="514"/>
      <c r="Z84" s="514"/>
      <c r="AA84" s="726"/>
      <c r="AB84" s="764"/>
      <c r="AC84" s="514"/>
      <c r="AD84" s="514"/>
      <c r="AE84" s="698"/>
      <c r="AF84" s="514"/>
      <c r="AG84" s="514"/>
      <c r="AH84" s="789"/>
      <c r="AI84" s="946">
        <f t="shared" si="6"/>
        <v>0</v>
      </c>
      <c r="AJ84" s="521">
        <v>0</v>
      </c>
      <c r="AK84" s="520">
        <f t="shared" ref="AK84:AK147" si="7">AI84+AJ84</f>
        <v>0</v>
      </c>
      <c r="AL84" s="672"/>
      <c r="AM84" s="669">
        <f t="shared" ref="AM84:AM147" si="8">AL84-AK84</f>
        <v>0</v>
      </c>
    </row>
    <row r="85" spans="1:39" s="500" customFormat="1">
      <c r="A85" s="542" t="s">
        <v>54</v>
      </c>
      <c r="B85" s="542" t="s">
        <v>46</v>
      </c>
      <c r="C85" s="605"/>
      <c r="D85" s="519"/>
      <c r="E85" s="520"/>
      <c r="F85" s="726"/>
      <c r="G85" s="520"/>
      <c r="H85" s="520"/>
      <c r="I85" s="521"/>
      <c r="J85" s="521"/>
      <c r="K85" s="772"/>
      <c r="L85" s="514"/>
      <c r="M85" s="726"/>
      <c r="N85" s="514"/>
      <c r="O85" s="514"/>
      <c r="P85" s="514"/>
      <c r="Q85" s="514"/>
      <c r="R85" s="514"/>
      <c r="S85" s="514"/>
      <c r="T85" s="726"/>
      <c r="U85" s="514"/>
      <c r="V85" s="514"/>
      <c r="W85" s="514"/>
      <c r="X85" s="514"/>
      <c r="Y85" s="514"/>
      <c r="Z85" s="514"/>
      <c r="AA85" s="726"/>
      <c r="AB85" s="764"/>
      <c r="AC85" s="514"/>
      <c r="AD85" s="514"/>
      <c r="AE85" s="698"/>
      <c r="AF85" s="514"/>
      <c r="AG85" s="514"/>
      <c r="AH85" s="789"/>
      <c r="AI85" s="946">
        <f t="shared" si="6"/>
        <v>0</v>
      </c>
      <c r="AJ85" s="521">
        <v>0</v>
      </c>
      <c r="AK85" s="520">
        <f t="shared" si="7"/>
        <v>0</v>
      </c>
      <c r="AL85" s="672"/>
      <c r="AM85" s="669">
        <f t="shared" si="8"/>
        <v>0</v>
      </c>
    </row>
    <row r="86" spans="1:39" s="500" customFormat="1">
      <c r="A86" s="539" t="s">
        <v>605</v>
      </c>
      <c r="B86" s="539" t="s">
        <v>1156</v>
      </c>
      <c r="C86" s="472" t="s">
        <v>40</v>
      </c>
      <c r="D86" s="519"/>
      <c r="E86" s="520"/>
      <c r="F86" s="726"/>
      <c r="G86" s="520"/>
      <c r="H86" s="520"/>
      <c r="I86" s="521"/>
      <c r="J86" s="521"/>
      <c r="K86" s="772"/>
      <c r="L86" s="514"/>
      <c r="M86" s="726"/>
      <c r="N86" s="514"/>
      <c r="O86" s="514"/>
      <c r="P86" s="514"/>
      <c r="Q86" s="514"/>
      <c r="R86" s="514"/>
      <c r="S86" s="514"/>
      <c r="T86" s="726"/>
      <c r="U86" s="514"/>
      <c r="V86" s="514"/>
      <c r="W86" s="514"/>
      <c r="X86" s="514"/>
      <c r="Y86" s="514"/>
      <c r="Z86" s="514"/>
      <c r="AA86" s="726"/>
      <c r="AB86" s="764"/>
      <c r="AC86" s="514"/>
      <c r="AD86" s="514"/>
      <c r="AE86" s="698"/>
      <c r="AF86" s="514"/>
      <c r="AG86" s="514"/>
      <c r="AH86" s="789"/>
      <c r="AI86" s="946">
        <f t="shared" si="6"/>
        <v>0</v>
      </c>
      <c r="AJ86" s="521">
        <v>0</v>
      </c>
      <c r="AK86" s="520">
        <f t="shared" si="7"/>
        <v>0</v>
      </c>
      <c r="AL86" s="672" t="s">
        <v>1494</v>
      </c>
      <c r="AM86" s="669">
        <f t="shared" si="8"/>
        <v>34.270000000000003</v>
      </c>
    </row>
    <row r="87" spans="1:39" s="500" customFormat="1">
      <c r="A87" s="539" t="s">
        <v>606</v>
      </c>
      <c r="B87" s="539" t="s">
        <v>1157</v>
      </c>
      <c r="C87" s="472" t="s">
        <v>40</v>
      </c>
      <c r="D87" s="519"/>
      <c r="E87" s="520"/>
      <c r="F87" s="726"/>
      <c r="G87" s="520"/>
      <c r="H87" s="520"/>
      <c r="I87" s="521"/>
      <c r="J87" s="521"/>
      <c r="K87" s="772"/>
      <c r="L87" s="514"/>
      <c r="M87" s="726"/>
      <c r="N87" s="514"/>
      <c r="O87" s="514"/>
      <c r="P87" s="514"/>
      <c r="Q87" s="514"/>
      <c r="R87" s="514"/>
      <c r="S87" s="514"/>
      <c r="T87" s="726"/>
      <c r="U87" s="514"/>
      <c r="V87" s="514"/>
      <c r="W87" s="514"/>
      <c r="X87" s="514"/>
      <c r="Y87" s="514"/>
      <c r="Z87" s="514"/>
      <c r="AA87" s="726"/>
      <c r="AB87" s="764"/>
      <c r="AC87" s="514"/>
      <c r="AD87" s="514"/>
      <c r="AE87" s="698"/>
      <c r="AF87" s="514"/>
      <c r="AG87" s="514"/>
      <c r="AH87" s="789"/>
      <c r="AI87" s="946">
        <f t="shared" si="6"/>
        <v>0</v>
      </c>
      <c r="AJ87" s="521">
        <v>0</v>
      </c>
      <c r="AK87" s="520">
        <f t="shared" si="7"/>
        <v>0</v>
      </c>
      <c r="AL87" s="672" t="s">
        <v>1495</v>
      </c>
      <c r="AM87" s="669">
        <f t="shared" si="8"/>
        <v>16.989999999999998</v>
      </c>
    </row>
    <row r="88" spans="1:39" s="500" customFormat="1">
      <c r="A88" s="539" t="s">
        <v>607</v>
      </c>
      <c r="B88" s="539" t="s">
        <v>1158</v>
      </c>
      <c r="C88" s="548" t="s">
        <v>40</v>
      </c>
      <c r="D88" s="519"/>
      <c r="E88" s="520"/>
      <c r="F88" s="726"/>
      <c r="G88" s="520"/>
      <c r="H88" s="520"/>
      <c r="I88" s="521"/>
      <c r="J88" s="521"/>
      <c r="K88" s="772"/>
      <c r="L88" s="514"/>
      <c r="M88" s="726"/>
      <c r="N88" s="514"/>
      <c r="O88" s="514"/>
      <c r="P88" s="514"/>
      <c r="Q88" s="514"/>
      <c r="R88" s="514"/>
      <c r="S88" s="514"/>
      <c r="T88" s="726"/>
      <c r="U88" s="514"/>
      <c r="V88" s="514"/>
      <c r="W88" s="514"/>
      <c r="X88" s="514"/>
      <c r="Y88" s="514"/>
      <c r="Z88" s="514"/>
      <c r="AA88" s="726"/>
      <c r="AB88" s="764"/>
      <c r="AC88" s="514"/>
      <c r="AD88" s="514"/>
      <c r="AE88" s="698"/>
      <c r="AF88" s="514"/>
      <c r="AG88" s="514"/>
      <c r="AH88" s="789"/>
      <c r="AI88" s="946">
        <f t="shared" si="6"/>
        <v>0</v>
      </c>
      <c r="AJ88" s="521">
        <v>0</v>
      </c>
      <c r="AK88" s="520">
        <f t="shared" si="7"/>
        <v>0</v>
      </c>
      <c r="AL88" s="672" t="s">
        <v>1496</v>
      </c>
      <c r="AM88" s="669">
        <f t="shared" si="8"/>
        <v>28.37</v>
      </c>
    </row>
    <row r="89" spans="1:39" s="500" customFormat="1">
      <c r="A89" s="539" t="s">
        <v>608</v>
      </c>
      <c r="B89" s="539" t="s">
        <v>1159</v>
      </c>
      <c r="C89" s="472" t="s">
        <v>37</v>
      </c>
      <c r="D89" s="519"/>
      <c r="E89" s="520"/>
      <c r="F89" s="726"/>
      <c r="G89" s="520"/>
      <c r="H89" s="520"/>
      <c r="I89" s="521"/>
      <c r="J89" s="521"/>
      <c r="K89" s="772"/>
      <c r="L89" s="514"/>
      <c r="M89" s="726"/>
      <c r="N89" s="514"/>
      <c r="O89" s="514"/>
      <c r="P89" s="514"/>
      <c r="Q89" s="514"/>
      <c r="R89" s="514"/>
      <c r="S89" s="514"/>
      <c r="T89" s="726"/>
      <c r="U89" s="514"/>
      <c r="V89" s="514"/>
      <c r="W89" s="514"/>
      <c r="X89" s="514"/>
      <c r="Y89" s="514"/>
      <c r="Z89" s="514"/>
      <c r="AA89" s="726"/>
      <c r="AB89" s="764"/>
      <c r="AC89" s="514"/>
      <c r="AD89" s="514"/>
      <c r="AE89" s="698"/>
      <c r="AF89" s="514"/>
      <c r="AG89" s="514"/>
      <c r="AH89" s="789"/>
      <c r="AI89" s="946">
        <f t="shared" si="6"/>
        <v>0</v>
      </c>
      <c r="AJ89" s="521">
        <v>0</v>
      </c>
      <c r="AK89" s="520">
        <f t="shared" si="7"/>
        <v>0</v>
      </c>
      <c r="AL89" s="672" t="s">
        <v>1497</v>
      </c>
      <c r="AM89" s="669">
        <f t="shared" si="8"/>
        <v>57.19</v>
      </c>
    </row>
    <row r="90" spans="1:39" s="500" customFormat="1">
      <c r="A90" s="539" t="s">
        <v>609</v>
      </c>
      <c r="B90" s="539" t="s">
        <v>1160</v>
      </c>
      <c r="C90" s="472" t="s">
        <v>40</v>
      </c>
      <c r="D90" s="519"/>
      <c r="E90" s="520"/>
      <c r="F90" s="726"/>
      <c r="G90" s="520"/>
      <c r="H90" s="520"/>
      <c r="I90" s="521"/>
      <c r="J90" s="521"/>
      <c r="K90" s="772"/>
      <c r="L90" s="514"/>
      <c r="M90" s="726"/>
      <c r="N90" s="514"/>
      <c r="O90" s="514"/>
      <c r="P90" s="514"/>
      <c r="Q90" s="514"/>
      <c r="R90" s="514"/>
      <c r="S90" s="514"/>
      <c r="T90" s="726"/>
      <c r="U90" s="514"/>
      <c r="V90" s="514"/>
      <c r="W90" s="514"/>
      <c r="X90" s="514"/>
      <c r="Y90" s="514"/>
      <c r="Z90" s="514"/>
      <c r="AA90" s="726"/>
      <c r="AB90" s="764"/>
      <c r="AC90" s="514"/>
      <c r="AD90" s="514"/>
      <c r="AE90" s="698"/>
      <c r="AF90" s="514"/>
      <c r="AG90" s="514"/>
      <c r="AH90" s="789"/>
      <c r="AI90" s="946">
        <f t="shared" si="6"/>
        <v>0</v>
      </c>
      <c r="AJ90" s="521">
        <v>0</v>
      </c>
      <c r="AK90" s="520">
        <f t="shared" si="7"/>
        <v>0</v>
      </c>
      <c r="AL90" s="672" t="s">
        <v>1498</v>
      </c>
      <c r="AM90" s="669">
        <f t="shared" si="8"/>
        <v>28.61</v>
      </c>
    </row>
    <row r="91" spans="1:39" s="500" customFormat="1">
      <c r="A91" s="539" t="s">
        <v>610</v>
      </c>
      <c r="B91" s="539" t="s">
        <v>1161</v>
      </c>
      <c r="C91" s="472" t="s">
        <v>40</v>
      </c>
      <c r="D91" s="519"/>
      <c r="E91" s="520"/>
      <c r="F91" s="726"/>
      <c r="G91" s="520"/>
      <c r="H91" s="520"/>
      <c r="I91" s="521"/>
      <c r="J91" s="521"/>
      <c r="K91" s="772"/>
      <c r="L91" s="514"/>
      <c r="M91" s="726"/>
      <c r="N91" s="514"/>
      <c r="O91" s="514"/>
      <c r="P91" s="514"/>
      <c r="Q91" s="514"/>
      <c r="R91" s="514"/>
      <c r="S91" s="514"/>
      <c r="T91" s="726"/>
      <c r="U91" s="514"/>
      <c r="V91" s="514"/>
      <c r="W91" s="514"/>
      <c r="X91" s="514"/>
      <c r="Y91" s="514"/>
      <c r="Z91" s="514"/>
      <c r="AA91" s="726"/>
      <c r="AB91" s="764"/>
      <c r="AC91" s="514"/>
      <c r="AD91" s="514"/>
      <c r="AE91" s="698"/>
      <c r="AF91" s="514"/>
      <c r="AG91" s="514"/>
      <c r="AH91" s="789"/>
      <c r="AI91" s="946">
        <f t="shared" si="6"/>
        <v>0</v>
      </c>
      <c r="AJ91" s="521">
        <v>0</v>
      </c>
      <c r="AK91" s="520">
        <f t="shared" si="7"/>
        <v>0</v>
      </c>
      <c r="AL91" s="672" t="s">
        <v>1498</v>
      </c>
      <c r="AM91" s="669">
        <f t="shared" si="8"/>
        <v>28.61</v>
      </c>
    </row>
    <row r="92" spans="1:39" s="500" customFormat="1">
      <c r="A92" s="542" t="s">
        <v>55</v>
      </c>
      <c r="B92" s="542" t="s">
        <v>1162</v>
      </c>
      <c r="C92" s="605"/>
      <c r="D92" s="519"/>
      <c r="E92" s="520"/>
      <c r="F92" s="726"/>
      <c r="G92" s="520"/>
      <c r="H92" s="520"/>
      <c r="I92" s="521"/>
      <c r="J92" s="521"/>
      <c r="K92" s="772"/>
      <c r="L92" s="514"/>
      <c r="M92" s="726"/>
      <c r="N92" s="514"/>
      <c r="O92" s="514"/>
      <c r="P92" s="514"/>
      <c r="Q92" s="514"/>
      <c r="R92" s="514"/>
      <c r="S92" s="514"/>
      <c r="T92" s="726"/>
      <c r="U92" s="514"/>
      <c r="V92" s="514"/>
      <c r="W92" s="514"/>
      <c r="X92" s="514"/>
      <c r="Y92" s="514"/>
      <c r="Z92" s="514"/>
      <c r="AA92" s="726"/>
      <c r="AB92" s="764"/>
      <c r="AC92" s="514"/>
      <c r="AD92" s="514"/>
      <c r="AE92" s="698"/>
      <c r="AF92" s="514"/>
      <c r="AG92" s="514"/>
      <c r="AH92" s="789"/>
      <c r="AI92" s="946">
        <f t="shared" si="6"/>
        <v>0</v>
      </c>
      <c r="AJ92" s="521">
        <v>0</v>
      </c>
      <c r="AK92" s="520">
        <f t="shared" si="7"/>
        <v>0</v>
      </c>
      <c r="AL92" s="672"/>
      <c r="AM92" s="669">
        <f t="shared" si="8"/>
        <v>0</v>
      </c>
    </row>
    <row r="93" spans="1:39" s="500" customFormat="1">
      <c r="A93" s="539" t="s">
        <v>611</v>
      </c>
      <c r="B93" s="539" t="s">
        <v>1203</v>
      </c>
      <c r="C93" s="472" t="s">
        <v>37</v>
      </c>
      <c r="D93" s="519"/>
      <c r="E93" s="520"/>
      <c r="F93" s="726"/>
      <c r="G93" s="520"/>
      <c r="H93" s="520"/>
      <c r="I93" s="521"/>
      <c r="J93" s="521"/>
      <c r="K93" s="772"/>
      <c r="L93" s="514"/>
      <c r="M93" s="726"/>
      <c r="N93" s="514"/>
      <c r="O93" s="514"/>
      <c r="R93" s="514"/>
      <c r="S93" s="514"/>
      <c r="T93" s="726"/>
      <c r="U93" s="514"/>
      <c r="V93" s="667"/>
      <c r="W93" s="667"/>
      <c r="X93" s="667"/>
      <c r="Y93" s="667"/>
      <c r="Z93" s="672"/>
      <c r="AA93" s="726"/>
      <c r="AB93" s="876"/>
      <c r="AD93" s="667"/>
      <c r="AE93" s="698"/>
      <c r="AF93" s="514"/>
      <c r="AG93" s="514"/>
      <c r="AH93" s="789"/>
      <c r="AI93" s="946">
        <f t="shared" si="6"/>
        <v>0</v>
      </c>
      <c r="AJ93" s="521">
        <v>0</v>
      </c>
      <c r="AK93" s="520">
        <f t="shared" si="7"/>
        <v>0</v>
      </c>
      <c r="AL93" s="672" t="s">
        <v>1499</v>
      </c>
      <c r="AM93" s="669">
        <f t="shared" si="8"/>
        <v>26.55</v>
      </c>
    </row>
    <row r="94" spans="1:39" s="843" customFormat="1">
      <c r="A94" s="832" t="s">
        <v>612</v>
      </c>
      <c r="B94" s="832" t="s">
        <v>1204</v>
      </c>
      <c r="C94" s="833" t="s">
        <v>40</v>
      </c>
      <c r="D94" s="519"/>
      <c r="E94" s="520"/>
      <c r="F94" s="726"/>
      <c r="G94" s="520"/>
      <c r="H94" s="520"/>
      <c r="I94" s="521"/>
      <c r="J94" s="521"/>
      <c r="K94" s="772"/>
      <c r="L94" s="514"/>
      <c r="M94" s="726"/>
      <c r="N94" s="514"/>
      <c r="O94" s="514"/>
      <c r="P94" s="514"/>
      <c r="Q94" s="514"/>
      <c r="R94" s="514"/>
      <c r="S94" s="514"/>
      <c r="T94" s="726"/>
      <c r="U94" s="514"/>
      <c r="V94" s="514"/>
      <c r="W94" s="514"/>
      <c r="X94" s="514"/>
      <c r="Y94" s="514"/>
      <c r="Z94" s="514"/>
      <c r="AA94" s="726"/>
      <c r="AB94" s="764"/>
      <c r="AC94" s="514"/>
      <c r="AD94" s="514"/>
      <c r="AE94" s="698"/>
      <c r="AF94" s="514"/>
      <c r="AG94" s="514"/>
      <c r="AH94" s="789"/>
      <c r="AI94" s="946">
        <f t="shared" si="6"/>
        <v>0</v>
      </c>
      <c r="AJ94" s="521">
        <v>0</v>
      </c>
      <c r="AK94" s="520">
        <f t="shared" si="7"/>
        <v>0</v>
      </c>
      <c r="AL94" s="841" t="s">
        <v>1500</v>
      </c>
      <c r="AM94" s="842">
        <f t="shared" si="8"/>
        <v>12.87</v>
      </c>
    </row>
    <row r="95" spans="1:39" s="843" customFormat="1">
      <c r="A95" s="832" t="s">
        <v>613</v>
      </c>
      <c r="B95" s="832" t="s">
        <v>1205</v>
      </c>
      <c r="C95" s="833" t="s">
        <v>40</v>
      </c>
      <c r="D95" s="519"/>
      <c r="E95" s="520"/>
      <c r="F95" s="726"/>
      <c r="G95" s="520"/>
      <c r="H95" s="520"/>
      <c r="I95" s="521"/>
      <c r="J95" s="521"/>
      <c r="K95" s="772"/>
      <c r="L95" s="514"/>
      <c r="M95" s="726"/>
      <c r="N95" s="514"/>
      <c r="O95" s="514"/>
      <c r="P95" s="514"/>
      <c r="Q95" s="514"/>
      <c r="R95" s="514"/>
      <c r="S95" s="514"/>
      <c r="T95" s="726"/>
      <c r="U95" s="514"/>
      <c r="V95" s="514"/>
      <c r="W95" s="514"/>
      <c r="X95" s="514"/>
      <c r="Y95" s="514"/>
      <c r="Z95" s="514"/>
      <c r="AA95" s="726"/>
      <c r="AB95" s="764"/>
      <c r="AC95" s="514"/>
      <c r="AD95" s="514"/>
      <c r="AE95" s="698"/>
      <c r="AF95" s="514"/>
      <c r="AG95" s="514"/>
      <c r="AH95" s="789"/>
      <c r="AI95" s="946">
        <f t="shared" si="6"/>
        <v>0</v>
      </c>
      <c r="AJ95" s="521">
        <v>0</v>
      </c>
      <c r="AK95" s="520">
        <f t="shared" si="7"/>
        <v>0</v>
      </c>
      <c r="AL95" s="841" t="s">
        <v>1501</v>
      </c>
      <c r="AM95" s="842">
        <f t="shared" si="8"/>
        <v>2.68</v>
      </c>
    </row>
    <row r="96" spans="1:39" s="843" customFormat="1">
      <c r="A96" s="832" t="s">
        <v>614</v>
      </c>
      <c r="B96" s="832" t="s">
        <v>1167</v>
      </c>
      <c r="C96" s="846" t="s">
        <v>37</v>
      </c>
      <c r="D96" s="519"/>
      <c r="E96" s="520"/>
      <c r="F96" s="726"/>
      <c r="G96" s="520"/>
      <c r="H96" s="520"/>
      <c r="I96" s="521"/>
      <c r="J96" s="521"/>
      <c r="K96" s="772"/>
      <c r="L96" s="514"/>
      <c r="M96" s="726"/>
      <c r="N96" s="514"/>
      <c r="O96" s="514"/>
      <c r="P96" s="514"/>
      <c r="Q96" s="514"/>
      <c r="R96" s="514"/>
      <c r="S96" s="514"/>
      <c r="T96" s="726"/>
      <c r="U96" s="514"/>
      <c r="V96" s="514"/>
      <c r="W96" s="514"/>
      <c r="X96" s="514"/>
      <c r="Y96" s="514"/>
      <c r="Z96" s="514"/>
      <c r="AA96" s="726"/>
      <c r="AB96" s="764"/>
      <c r="AC96" s="514"/>
      <c r="AD96" s="514"/>
      <c r="AE96" s="698"/>
      <c r="AF96" s="514"/>
      <c r="AG96" s="514"/>
      <c r="AH96" s="789"/>
      <c r="AI96" s="946">
        <f t="shared" si="6"/>
        <v>0</v>
      </c>
      <c r="AJ96" s="521">
        <v>0</v>
      </c>
      <c r="AK96" s="520">
        <f t="shared" si="7"/>
        <v>0</v>
      </c>
      <c r="AL96" s="841" t="s">
        <v>1502</v>
      </c>
      <c r="AM96" s="842">
        <f t="shared" si="8"/>
        <v>96.66</v>
      </c>
    </row>
    <row r="97" spans="1:39" s="500" customFormat="1">
      <c r="A97" s="539" t="s">
        <v>615</v>
      </c>
      <c r="B97" s="539" t="s">
        <v>1168</v>
      </c>
      <c r="C97" s="472" t="s">
        <v>37</v>
      </c>
      <c r="D97" s="519"/>
      <c r="E97" s="520"/>
      <c r="F97" s="726"/>
      <c r="G97" s="520"/>
      <c r="H97" s="520"/>
      <c r="I97" s="521"/>
      <c r="J97" s="521"/>
      <c r="K97" s="772"/>
      <c r="L97" s="514"/>
      <c r="M97" s="726"/>
      <c r="N97" s="514"/>
      <c r="O97" s="514"/>
      <c r="P97" s="514"/>
      <c r="Q97" s="514"/>
      <c r="R97" s="514"/>
      <c r="S97" s="514"/>
      <c r="T97" s="726"/>
      <c r="U97" s="514"/>
      <c r="V97" s="514"/>
      <c r="W97" s="514"/>
      <c r="X97" s="514"/>
      <c r="Y97" s="514"/>
      <c r="Z97" s="514"/>
      <c r="AA97" s="726"/>
      <c r="AB97" s="764"/>
      <c r="AC97" s="514"/>
      <c r="AD97" s="514"/>
      <c r="AE97" s="698"/>
      <c r="AF97" s="514"/>
      <c r="AG97" s="514"/>
      <c r="AH97" s="789"/>
      <c r="AI97" s="946">
        <f t="shared" si="6"/>
        <v>0</v>
      </c>
      <c r="AJ97" s="521">
        <v>0</v>
      </c>
      <c r="AK97" s="520">
        <f t="shared" si="7"/>
        <v>0</v>
      </c>
      <c r="AL97" s="672" t="s">
        <v>1497</v>
      </c>
      <c r="AM97" s="669">
        <f t="shared" si="8"/>
        <v>57.19</v>
      </c>
    </row>
    <row r="98" spans="1:39" s="500" customFormat="1">
      <c r="A98" s="542" t="s">
        <v>616</v>
      </c>
      <c r="B98" s="542" t="s">
        <v>1169</v>
      </c>
      <c r="C98" s="605"/>
      <c r="D98" s="519"/>
      <c r="E98" s="520"/>
      <c r="F98" s="726"/>
      <c r="G98" s="520"/>
      <c r="H98" s="520"/>
      <c r="I98" s="521"/>
      <c r="J98" s="521"/>
      <c r="K98" s="772"/>
      <c r="L98" s="514"/>
      <c r="M98" s="726"/>
      <c r="N98" s="514"/>
      <c r="O98" s="514"/>
      <c r="P98" s="514"/>
      <c r="Q98" s="514"/>
      <c r="R98" s="514"/>
      <c r="S98" s="514"/>
      <c r="T98" s="726"/>
      <c r="U98" s="514"/>
      <c r="V98" s="514"/>
      <c r="W98" s="514"/>
      <c r="X98" s="514"/>
      <c r="Y98" s="514"/>
      <c r="Z98" s="514"/>
      <c r="AA98" s="726"/>
      <c r="AB98" s="764"/>
      <c r="AC98" s="514"/>
      <c r="AD98" s="514"/>
      <c r="AE98" s="698"/>
      <c r="AF98" s="514"/>
      <c r="AG98" s="514"/>
      <c r="AH98" s="789"/>
      <c r="AI98" s="946">
        <f t="shared" si="6"/>
        <v>0</v>
      </c>
      <c r="AJ98" s="521">
        <v>0</v>
      </c>
      <c r="AK98" s="520">
        <f t="shared" si="7"/>
        <v>0</v>
      </c>
      <c r="AL98" s="672"/>
      <c r="AM98" s="669">
        <f t="shared" si="8"/>
        <v>0</v>
      </c>
    </row>
    <row r="99" spans="1:39" s="500" customFormat="1">
      <c r="A99" s="539" t="s">
        <v>617</v>
      </c>
      <c r="B99" s="539" t="s">
        <v>1170</v>
      </c>
      <c r="C99" s="605"/>
      <c r="D99" s="519"/>
      <c r="E99" s="520"/>
      <c r="F99" s="726"/>
      <c r="G99" s="520"/>
      <c r="H99" s="520"/>
      <c r="I99" s="521"/>
      <c r="J99" s="521"/>
      <c r="K99" s="772"/>
      <c r="L99" s="514"/>
      <c r="M99" s="726"/>
      <c r="N99" s="514"/>
      <c r="O99" s="514"/>
      <c r="P99" s="514"/>
      <c r="Q99" s="514"/>
      <c r="R99" s="514"/>
      <c r="S99" s="514"/>
      <c r="T99" s="726"/>
      <c r="U99" s="514"/>
      <c r="V99" s="514"/>
      <c r="W99" s="514"/>
      <c r="X99" s="514"/>
      <c r="Y99" s="514"/>
      <c r="Z99" s="514"/>
      <c r="AA99" s="726"/>
      <c r="AB99" s="764"/>
      <c r="AC99" s="514"/>
      <c r="AD99" s="514"/>
      <c r="AE99" s="698"/>
      <c r="AF99" s="514"/>
      <c r="AG99" s="514"/>
      <c r="AH99" s="789"/>
      <c r="AI99" s="946">
        <f t="shared" si="6"/>
        <v>0</v>
      </c>
      <c r="AJ99" s="521">
        <v>0</v>
      </c>
      <c r="AK99" s="520">
        <f t="shared" si="7"/>
        <v>0</v>
      </c>
      <c r="AL99" s="672"/>
      <c r="AM99" s="669">
        <f t="shared" si="8"/>
        <v>0</v>
      </c>
    </row>
    <row r="100" spans="1:39" s="500" customFormat="1">
      <c r="A100" s="539" t="s">
        <v>618</v>
      </c>
      <c r="B100" s="539" t="s">
        <v>1206</v>
      </c>
      <c r="C100" s="472" t="s">
        <v>40</v>
      </c>
      <c r="D100" s="519"/>
      <c r="E100" s="520"/>
      <c r="F100" s="726"/>
      <c r="G100" s="520"/>
      <c r="H100" s="520"/>
      <c r="I100" s="521"/>
      <c r="J100" s="521"/>
      <c r="K100" s="772"/>
      <c r="L100" s="514"/>
      <c r="M100" s="726"/>
      <c r="N100" s="514"/>
      <c r="O100" s="514"/>
      <c r="P100" s="514"/>
      <c r="Q100" s="514"/>
      <c r="R100" s="514"/>
      <c r="S100" s="514"/>
      <c r="T100" s="726"/>
      <c r="U100" s="514"/>
      <c r="V100" s="514"/>
      <c r="W100" s="514"/>
      <c r="X100" s="514"/>
      <c r="Y100" s="514"/>
      <c r="Z100" s="514"/>
      <c r="AA100" s="726"/>
      <c r="AB100" s="764"/>
      <c r="AC100" s="514"/>
      <c r="AD100" s="521"/>
      <c r="AE100" s="869"/>
      <c r="AF100" s="514"/>
      <c r="AG100" s="514"/>
      <c r="AH100" s="789"/>
      <c r="AI100" s="946">
        <f t="shared" si="6"/>
        <v>0</v>
      </c>
      <c r="AJ100" s="521">
        <v>0</v>
      </c>
      <c r="AK100" s="520">
        <f t="shared" si="7"/>
        <v>0</v>
      </c>
      <c r="AL100" s="672" t="s">
        <v>1503</v>
      </c>
      <c r="AM100" s="669">
        <f t="shared" si="8"/>
        <v>8.06</v>
      </c>
    </row>
    <row r="101" spans="1:39" s="500" customFormat="1">
      <c r="A101" s="539" t="s">
        <v>619</v>
      </c>
      <c r="B101" s="539" t="s">
        <v>1172</v>
      </c>
      <c r="C101" s="472" t="s">
        <v>48</v>
      </c>
      <c r="D101" s="519"/>
      <c r="E101" s="520"/>
      <c r="F101" s="726"/>
      <c r="G101" s="520"/>
      <c r="H101" s="520"/>
      <c r="I101" s="521"/>
      <c r="J101" s="521"/>
      <c r="K101" s="772"/>
      <c r="L101" s="514"/>
      <c r="M101" s="726"/>
      <c r="N101" s="514"/>
      <c r="O101" s="514"/>
      <c r="P101" s="514"/>
      <c r="Q101" s="514"/>
      <c r="R101" s="514"/>
      <c r="S101" s="514"/>
      <c r="T101" s="726"/>
      <c r="U101" s="514"/>
      <c r="V101" s="514"/>
      <c r="W101" s="514"/>
      <c r="X101" s="514"/>
      <c r="Y101" s="514"/>
      <c r="Z101" s="514"/>
      <c r="AA101" s="726"/>
      <c r="AB101" s="764"/>
      <c r="AC101" s="760"/>
      <c r="AD101" s="667"/>
      <c r="AE101" s="698"/>
      <c r="AF101" s="514"/>
      <c r="AG101" s="514"/>
      <c r="AH101" s="789"/>
      <c r="AI101" s="946">
        <f t="shared" si="6"/>
        <v>0</v>
      </c>
      <c r="AJ101" s="521">
        <v>0</v>
      </c>
      <c r="AK101" s="520">
        <f t="shared" si="7"/>
        <v>0</v>
      </c>
      <c r="AL101" s="672" t="s">
        <v>1504</v>
      </c>
      <c r="AM101" s="669">
        <f t="shared" si="8"/>
        <v>337.22</v>
      </c>
    </row>
    <row r="102" spans="1:39" s="500" customFormat="1">
      <c r="A102" s="539" t="s">
        <v>620</v>
      </c>
      <c r="B102" s="539" t="s">
        <v>1173</v>
      </c>
      <c r="C102" s="605"/>
      <c r="D102" s="519"/>
      <c r="E102" s="520"/>
      <c r="F102" s="726"/>
      <c r="G102" s="520"/>
      <c r="H102" s="520"/>
      <c r="I102" s="521"/>
      <c r="J102" s="521"/>
      <c r="K102" s="772"/>
      <c r="L102" s="514"/>
      <c r="M102" s="726"/>
      <c r="N102" s="514"/>
      <c r="O102" s="514"/>
      <c r="P102" s="514"/>
      <c r="Q102" s="514"/>
      <c r="R102" s="514"/>
      <c r="S102" s="514"/>
      <c r="T102" s="726"/>
      <c r="U102" s="514"/>
      <c r="V102" s="514"/>
      <c r="W102" s="514"/>
      <c r="X102" s="514"/>
      <c r="Y102" s="514"/>
      <c r="Z102" s="514"/>
      <c r="AA102" s="726"/>
      <c r="AB102" s="764"/>
      <c r="AC102" s="514"/>
      <c r="AD102" s="514"/>
      <c r="AE102" s="698"/>
      <c r="AF102" s="514"/>
      <c r="AG102" s="514"/>
      <c r="AH102" s="789"/>
      <c r="AI102" s="946">
        <f t="shared" si="6"/>
        <v>0</v>
      </c>
      <c r="AJ102" s="521">
        <v>0</v>
      </c>
      <c r="AK102" s="520">
        <f t="shared" si="7"/>
        <v>0</v>
      </c>
      <c r="AL102" s="672"/>
      <c r="AM102" s="669">
        <f t="shared" si="8"/>
        <v>0</v>
      </c>
    </row>
    <row r="103" spans="1:39" s="500" customFormat="1">
      <c r="A103" s="539" t="s">
        <v>621</v>
      </c>
      <c r="B103" s="539" t="s">
        <v>1207</v>
      </c>
      <c r="C103" s="472" t="s">
        <v>40</v>
      </c>
      <c r="D103" s="519"/>
      <c r="E103" s="520"/>
      <c r="F103" s="726"/>
      <c r="G103" s="520"/>
      <c r="H103" s="520"/>
      <c r="I103" s="520"/>
      <c r="J103" s="521"/>
      <c r="K103" s="772"/>
      <c r="L103" s="514"/>
      <c r="M103" s="726"/>
      <c r="N103" s="514"/>
      <c r="O103" s="514"/>
      <c r="P103" s="514"/>
      <c r="Q103" s="514"/>
      <c r="R103" s="514"/>
      <c r="S103" s="514"/>
      <c r="T103" s="726"/>
      <c r="U103" s="514"/>
      <c r="V103" s="514"/>
      <c r="W103" s="514"/>
      <c r="X103" s="514"/>
      <c r="Y103" s="514"/>
      <c r="Z103" s="514"/>
      <c r="AA103" s="726"/>
      <c r="AB103" s="764"/>
      <c r="AC103" s="514"/>
      <c r="AD103" s="514"/>
      <c r="AE103" s="698"/>
      <c r="AF103" s="514"/>
      <c r="AG103" s="514"/>
      <c r="AH103" s="789"/>
      <c r="AI103" s="946">
        <f t="shared" si="6"/>
        <v>0</v>
      </c>
      <c r="AJ103" s="521">
        <v>0</v>
      </c>
      <c r="AK103" s="520">
        <f t="shared" si="7"/>
        <v>0</v>
      </c>
      <c r="AL103" s="672" t="s">
        <v>1505</v>
      </c>
      <c r="AM103" s="669">
        <f t="shared" si="8"/>
        <v>3.81</v>
      </c>
    </row>
    <row r="104" spans="1:39" s="500" customFormat="1">
      <c r="A104" s="539" t="s">
        <v>622</v>
      </c>
      <c r="B104" s="539" t="s">
        <v>1175</v>
      </c>
      <c r="C104" s="548" t="s">
        <v>37</v>
      </c>
      <c r="D104" s="519"/>
      <c r="E104" s="520"/>
      <c r="F104" s="726"/>
      <c r="G104" s="520"/>
      <c r="H104" s="520"/>
      <c r="I104" s="520"/>
      <c r="J104" s="521"/>
      <c r="K104" s="772"/>
      <c r="L104" s="514"/>
      <c r="M104" s="726"/>
      <c r="N104" s="514"/>
      <c r="O104" s="514"/>
      <c r="P104" s="514"/>
      <c r="Q104" s="514"/>
      <c r="R104" s="514"/>
      <c r="S104" s="514"/>
      <c r="T104" s="726"/>
      <c r="U104" s="514"/>
      <c r="V104" s="514"/>
      <c r="W104" s="514"/>
      <c r="X104" s="514"/>
      <c r="Y104" s="514"/>
      <c r="Z104" s="514"/>
      <c r="AA104" s="726"/>
      <c r="AB104" s="764"/>
      <c r="AC104" s="514"/>
      <c r="AD104" s="514"/>
      <c r="AE104" s="698"/>
      <c r="AF104" s="514"/>
      <c r="AG104" s="514"/>
      <c r="AH104" s="789"/>
      <c r="AI104" s="946">
        <f t="shared" si="6"/>
        <v>0</v>
      </c>
      <c r="AJ104" s="521">
        <v>0</v>
      </c>
      <c r="AK104" s="520">
        <f t="shared" si="7"/>
        <v>0</v>
      </c>
      <c r="AL104" s="672" t="s">
        <v>1506</v>
      </c>
      <c r="AM104" s="669">
        <f t="shared" si="8"/>
        <v>30.45</v>
      </c>
    </row>
    <row r="105" spans="1:39" s="500" customFormat="1">
      <c r="A105" s="539" t="s">
        <v>623</v>
      </c>
      <c r="B105" s="539" t="s">
        <v>1176</v>
      </c>
      <c r="C105" s="472" t="s">
        <v>48</v>
      </c>
      <c r="D105" s="519"/>
      <c r="E105" s="520"/>
      <c r="F105" s="726"/>
      <c r="G105" s="520"/>
      <c r="H105" s="667"/>
      <c r="I105" s="667"/>
      <c r="J105" s="521"/>
      <c r="K105" s="772"/>
      <c r="L105" s="514"/>
      <c r="M105" s="726"/>
      <c r="N105" s="514"/>
      <c r="O105" s="514"/>
      <c r="P105" s="514"/>
      <c r="Q105" s="514"/>
      <c r="R105" s="514"/>
      <c r="S105" s="514"/>
      <c r="T105" s="726"/>
      <c r="U105" s="514"/>
      <c r="V105" s="514"/>
      <c r="W105" s="514"/>
      <c r="X105" s="514"/>
      <c r="Y105" s="514"/>
      <c r="Z105" s="514"/>
      <c r="AA105" s="726"/>
      <c r="AB105" s="764"/>
      <c r="AC105" s="514"/>
      <c r="AD105" s="514"/>
      <c r="AE105" s="698"/>
      <c r="AF105" s="514"/>
      <c r="AG105" s="522"/>
      <c r="AH105" s="790"/>
      <c r="AI105" s="946">
        <f t="shared" si="6"/>
        <v>0</v>
      </c>
      <c r="AJ105" s="521">
        <v>0</v>
      </c>
      <c r="AK105" s="520">
        <f t="shared" si="7"/>
        <v>0</v>
      </c>
      <c r="AL105" s="672" t="s">
        <v>1507</v>
      </c>
      <c r="AM105" s="669">
        <f t="shared" si="8"/>
        <v>322.07</v>
      </c>
    </row>
    <row r="106" spans="1:39" s="500" customFormat="1">
      <c r="A106" s="539" t="s">
        <v>624</v>
      </c>
      <c r="B106" s="539" t="s">
        <v>1177</v>
      </c>
      <c r="C106" s="605"/>
      <c r="D106" s="519"/>
      <c r="E106" s="520"/>
      <c r="F106" s="726"/>
      <c r="G106" s="520"/>
      <c r="H106" s="520"/>
      <c r="I106" s="521"/>
      <c r="J106" s="521"/>
      <c r="K106" s="772"/>
      <c r="L106" s="514"/>
      <c r="M106" s="726"/>
      <c r="N106" s="514"/>
      <c r="O106" s="514"/>
      <c r="P106" s="514"/>
      <c r="Q106" s="514"/>
      <c r="R106" s="514"/>
      <c r="S106" s="514"/>
      <c r="T106" s="726"/>
      <c r="U106" s="514"/>
      <c r="V106" s="514"/>
      <c r="W106" s="514"/>
      <c r="X106" s="514"/>
      <c r="Y106" s="514"/>
      <c r="Z106" s="514"/>
      <c r="AA106" s="726"/>
      <c r="AB106" s="764"/>
      <c r="AC106" s="514"/>
      <c r="AD106" s="514"/>
      <c r="AE106" s="698"/>
      <c r="AF106" s="514"/>
      <c r="AG106" s="514"/>
      <c r="AH106" s="789"/>
      <c r="AI106" s="946">
        <f t="shared" si="6"/>
        <v>0</v>
      </c>
      <c r="AJ106" s="521">
        <v>0</v>
      </c>
      <c r="AK106" s="520">
        <f t="shared" si="7"/>
        <v>0</v>
      </c>
      <c r="AL106" s="672"/>
      <c r="AM106" s="669">
        <f t="shared" si="8"/>
        <v>0</v>
      </c>
    </row>
    <row r="107" spans="1:39" s="500" customFormat="1">
      <c r="A107" s="539" t="s">
        <v>625</v>
      </c>
      <c r="B107" s="539" t="s">
        <v>1208</v>
      </c>
      <c r="C107" s="472" t="s">
        <v>40</v>
      </c>
      <c r="D107" s="519"/>
      <c r="E107" s="520"/>
      <c r="F107" s="726"/>
      <c r="G107" s="520"/>
      <c r="H107" s="520"/>
      <c r="I107" s="521"/>
      <c r="J107" s="521"/>
      <c r="K107" s="772"/>
      <c r="L107" s="514"/>
      <c r="M107" s="726"/>
      <c r="N107" s="514"/>
      <c r="O107" s="514"/>
      <c r="P107" s="514"/>
      <c r="Q107" s="522"/>
      <c r="R107" s="522"/>
      <c r="S107" s="514"/>
      <c r="T107" s="726"/>
      <c r="U107" s="514"/>
      <c r="V107" s="514"/>
      <c r="W107" s="514"/>
      <c r="X107" s="514"/>
      <c r="Y107" s="514"/>
      <c r="Z107" s="514"/>
      <c r="AA107" s="726"/>
      <c r="AB107" s="764"/>
      <c r="AC107" s="514"/>
      <c r="AD107" s="514"/>
      <c r="AE107" s="698"/>
      <c r="AF107" s="514"/>
      <c r="AG107" s="514"/>
      <c r="AH107" s="789"/>
      <c r="AI107" s="946">
        <f t="shared" si="6"/>
        <v>0</v>
      </c>
      <c r="AJ107" s="521">
        <v>0</v>
      </c>
      <c r="AK107" s="520">
        <f t="shared" si="7"/>
        <v>0</v>
      </c>
      <c r="AL107" s="672" t="s">
        <v>1508</v>
      </c>
      <c r="AM107" s="669">
        <f t="shared" si="8"/>
        <v>5.95</v>
      </c>
    </row>
    <row r="108" spans="1:39" s="500" customFormat="1">
      <c r="A108" s="539" t="s">
        <v>626</v>
      </c>
      <c r="B108" s="539" t="s">
        <v>1179</v>
      </c>
      <c r="C108" s="472" t="s">
        <v>37</v>
      </c>
      <c r="D108" s="525"/>
      <c r="E108" s="526"/>
      <c r="F108" s="731"/>
      <c r="G108" s="526"/>
      <c r="H108" s="526"/>
      <c r="I108" s="527"/>
      <c r="J108" s="527"/>
      <c r="K108" s="812"/>
      <c r="L108" s="514"/>
      <c r="M108" s="731"/>
      <c r="N108" s="514"/>
      <c r="O108" s="514"/>
      <c r="P108" s="514"/>
      <c r="Q108" s="514"/>
      <c r="R108" s="514"/>
      <c r="S108" s="514"/>
      <c r="T108" s="731"/>
      <c r="U108" s="514"/>
      <c r="V108" s="514"/>
      <c r="W108" s="514"/>
      <c r="X108" s="514"/>
      <c r="Y108" s="514"/>
      <c r="Z108" s="514"/>
      <c r="AA108" s="731"/>
      <c r="AB108" s="764"/>
      <c r="AC108" s="514"/>
      <c r="AD108" s="514"/>
      <c r="AE108" s="698"/>
      <c r="AF108" s="757"/>
      <c r="AG108" s="514"/>
      <c r="AH108" s="789"/>
      <c r="AI108" s="946">
        <f t="shared" si="6"/>
        <v>0</v>
      </c>
      <c r="AJ108" s="521">
        <v>0</v>
      </c>
      <c r="AK108" s="520">
        <f t="shared" si="7"/>
        <v>0</v>
      </c>
      <c r="AL108" s="673" t="s">
        <v>1509</v>
      </c>
      <c r="AM108" s="669">
        <f t="shared" si="8"/>
        <v>77.91</v>
      </c>
    </row>
    <row r="109" spans="1:39" s="500" customFormat="1">
      <c r="A109" s="539" t="s">
        <v>627</v>
      </c>
      <c r="B109" s="539" t="s">
        <v>1180</v>
      </c>
      <c r="C109" s="472" t="s">
        <v>48</v>
      </c>
      <c r="D109" s="519"/>
      <c r="E109" s="520"/>
      <c r="F109" s="726"/>
      <c r="G109" s="520"/>
      <c r="H109" s="520"/>
      <c r="I109" s="521"/>
      <c r="J109" s="521"/>
      <c r="K109" s="772"/>
      <c r="L109" s="514"/>
      <c r="M109" s="726"/>
      <c r="N109" s="514"/>
      <c r="O109" s="514"/>
      <c r="P109" s="514"/>
      <c r="Q109" s="514"/>
      <c r="R109" s="514"/>
      <c r="S109" s="514"/>
      <c r="T109" s="726"/>
      <c r="U109" s="514"/>
      <c r="V109" s="514"/>
      <c r="W109" s="514"/>
      <c r="X109" s="514"/>
      <c r="Y109" s="514"/>
      <c r="Z109" s="514"/>
      <c r="AA109" s="726"/>
      <c r="AB109" s="764"/>
      <c r="AC109" s="514"/>
      <c r="AE109" s="870"/>
      <c r="AF109" s="757"/>
      <c r="AG109" s="514"/>
      <c r="AH109" s="789"/>
      <c r="AI109" s="946">
        <f t="shared" si="6"/>
        <v>0</v>
      </c>
      <c r="AJ109" s="521">
        <v>0</v>
      </c>
      <c r="AK109" s="520">
        <f t="shared" si="7"/>
        <v>0</v>
      </c>
      <c r="AL109" s="672" t="s">
        <v>1510</v>
      </c>
      <c r="AM109" s="669">
        <f t="shared" si="8"/>
        <v>2582.91</v>
      </c>
    </row>
    <row r="110" spans="1:39" s="500" customFormat="1">
      <c r="A110" s="539" t="s">
        <v>628</v>
      </c>
      <c r="B110" s="539" t="s">
        <v>1181</v>
      </c>
      <c r="C110" s="605"/>
      <c r="D110" s="519"/>
      <c r="E110" s="520"/>
      <c r="F110" s="726"/>
      <c r="G110" s="520"/>
      <c r="H110" s="520"/>
      <c r="I110" s="521"/>
      <c r="J110" s="521"/>
      <c r="K110" s="772"/>
      <c r="L110" s="514"/>
      <c r="M110" s="726"/>
      <c r="N110" s="514"/>
      <c r="O110" s="514"/>
      <c r="P110" s="514"/>
      <c r="Q110" s="514"/>
      <c r="R110" s="514"/>
      <c r="S110" s="514"/>
      <c r="T110" s="726"/>
      <c r="U110" s="514"/>
      <c r="V110" s="514"/>
      <c r="W110" s="514"/>
      <c r="X110" s="514"/>
      <c r="Y110" s="514"/>
      <c r="Z110" s="514"/>
      <c r="AA110" s="726"/>
      <c r="AB110" s="764"/>
      <c r="AC110" s="514"/>
      <c r="AD110" s="514"/>
      <c r="AE110" s="698"/>
      <c r="AF110" s="514"/>
      <c r="AG110" s="514"/>
      <c r="AH110" s="789"/>
      <c r="AI110" s="946">
        <f t="shared" si="6"/>
        <v>0</v>
      </c>
      <c r="AJ110" s="521">
        <v>0</v>
      </c>
      <c r="AK110" s="520">
        <f t="shared" si="7"/>
        <v>0</v>
      </c>
      <c r="AL110" s="672"/>
      <c r="AM110" s="669">
        <f t="shared" si="8"/>
        <v>0</v>
      </c>
    </row>
    <row r="111" spans="1:39" s="500" customFormat="1">
      <c r="A111" s="539" t="s">
        <v>629</v>
      </c>
      <c r="B111" s="539" t="s">
        <v>1182</v>
      </c>
      <c r="C111" s="472" t="s">
        <v>40</v>
      </c>
      <c r="D111" s="519"/>
      <c r="E111" s="520"/>
      <c r="F111" s="726"/>
      <c r="G111" s="520"/>
      <c r="H111" s="520"/>
      <c r="I111" s="521"/>
      <c r="J111" s="521"/>
      <c r="K111" s="772"/>
      <c r="L111" s="514"/>
      <c r="M111" s="726"/>
      <c r="N111" s="514"/>
      <c r="O111" s="514"/>
      <c r="P111" s="514"/>
      <c r="Q111" s="514"/>
      <c r="R111" s="514"/>
      <c r="S111" s="514"/>
      <c r="T111" s="726"/>
      <c r="U111" s="514"/>
      <c r="V111" s="514"/>
      <c r="W111" s="514"/>
      <c r="X111" s="514"/>
      <c r="Y111" s="514"/>
      <c r="Z111" s="514"/>
      <c r="AA111" s="726"/>
      <c r="AB111" s="810"/>
      <c r="AC111" s="514"/>
      <c r="AD111" s="522"/>
      <c r="AE111" s="698"/>
      <c r="AF111" s="514"/>
      <c r="AG111" s="514"/>
      <c r="AH111" s="789"/>
      <c r="AI111" s="946">
        <f t="shared" si="6"/>
        <v>0</v>
      </c>
      <c r="AJ111" s="521">
        <v>0</v>
      </c>
      <c r="AK111" s="520">
        <f t="shared" si="7"/>
        <v>0</v>
      </c>
      <c r="AL111" s="672" t="s">
        <v>1511</v>
      </c>
      <c r="AM111" s="669">
        <f t="shared" si="8"/>
        <v>2.82</v>
      </c>
    </row>
    <row r="112" spans="1:39" s="500" customFormat="1">
      <c r="A112" s="539" t="s">
        <v>630</v>
      </c>
      <c r="B112" s="539" t="s">
        <v>1183</v>
      </c>
      <c r="C112" s="548" t="s">
        <v>37</v>
      </c>
      <c r="D112" s="519"/>
      <c r="E112" s="520"/>
      <c r="F112" s="726"/>
      <c r="G112" s="520"/>
      <c r="H112" s="520"/>
      <c r="I112" s="521"/>
      <c r="J112" s="521"/>
      <c r="K112" s="772"/>
      <c r="L112" s="514"/>
      <c r="M112" s="726"/>
      <c r="N112" s="514"/>
      <c r="O112" s="514"/>
      <c r="P112" s="514"/>
      <c r="Q112" s="514"/>
      <c r="R112" s="514"/>
      <c r="S112" s="514"/>
      <c r="T112" s="726"/>
      <c r="U112" s="514"/>
      <c r="V112" s="514"/>
      <c r="W112" s="514"/>
      <c r="X112" s="514"/>
      <c r="Y112" s="514"/>
      <c r="Z112" s="514"/>
      <c r="AA112" s="726"/>
      <c r="AB112" s="764"/>
      <c r="AC112" s="514"/>
      <c r="AD112" s="514"/>
      <c r="AE112" s="698"/>
      <c r="AF112" s="514"/>
      <c r="AG112" s="514"/>
      <c r="AH112" s="789"/>
      <c r="AI112" s="946">
        <f t="shared" si="6"/>
        <v>0</v>
      </c>
      <c r="AJ112" s="521">
        <v>0</v>
      </c>
      <c r="AK112" s="520">
        <f t="shared" si="7"/>
        <v>0</v>
      </c>
      <c r="AL112" s="672" t="s">
        <v>1512</v>
      </c>
      <c r="AM112" s="669">
        <f t="shared" si="8"/>
        <v>35.44</v>
      </c>
    </row>
    <row r="113" spans="1:39" s="500" customFormat="1">
      <c r="A113" s="539" t="s">
        <v>631</v>
      </c>
      <c r="B113" s="539" t="s">
        <v>1184</v>
      </c>
      <c r="C113" s="472" t="s">
        <v>48</v>
      </c>
      <c r="D113" s="519"/>
      <c r="E113" s="520"/>
      <c r="F113" s="726"/>
      <c r="G113" s="520"/>
      <c r="H113" s="520"/>
      <c r="I113" s="521"/>
      <c r="J113" s="521"/>
      <c r="K113" s="772"/>
      <c r="L113" s="514"/>
      <c r="M113" s="726"/>
      <c r="N113" s="514"/>
      <c r="O113" s="514"/>
      <c r="P113" s="514"/>
      <c r="Q113" s="514"/>
      <c r="R113" s="514"/>
      <c r="S113" s="514"/>
      <c r="T113" s="726"/>
      <c r="U113" s="514"/>
      <c r="V113" s="514"/>
      <c r="W113" s="514"/>
      <c r="X113" s="514"/>
      <c r="Y113" s="514"/>
      <c r="Z113" s="514"/>
      <c r="AA113" s="726"/>
      <c r="AB113" s="764"/>
      <c r="AC113" s="514"/>
      <c r="AD113" s="514"/>
      <c r="AE113" s="698"/>
      <c r="AF113" s="514"/>
      <c r="AG113" s="514"/>
      <c r="AH113" s="789"/>
      <c r="AI113" s="946">
        <f t="shared" si="6"/>
        <v>0</v>
      </c>
      <c r="AJ113" s="521">
        <v>0</v>
      </c>
      <c r="AK113" s="520">
        <f t="shared" si="7"/>
        <v>0</v>
      </c>
      <c r="AL113" s="672" t="s">
        <v>1513</v>
      </c>
      <c r="AM113" s="669">
        <f t="shared" si="8"/>
        <v>536.94000000000005</v>
      </c>
    </row>
    <row r="114" spans="1:39" s="500" customFormat="1">
      <c r="A114" s="539" t="s">
        <v>632</v>
      </c>
      <c r="B114" s="539" t="s">
        <v>1185</v>
      </c>
      <c r="C114" s="605"/>
      <c r="D114" s="519"/>
      <c r="E114" s="520"/>
      <c r="F114" s="726"/>
      <c r="G114" s="520"/>
      <c r="H114" s="520"/>
      <c r="I114" s="521"/>
      <c r="J114" s="521"/>
      <c r="K114" s="772"/>
      <c r="L114" s="514"/>
      <c r="M114" s="726"/>
      <c r="N114" s="514"/>
      <c r="O114" s="514"/>
      <c r="P114" s="514"/>
      <c r="Q114" s="514"/>
      <c r="R114" s="514"/>
      <c r="S114" s="514"/>
      <c r="T114" s="726"/>
      <c r="U114" s="514"/>
      <c r="V114" s="514"/>
      <c r="W114" s="514"/>
      <c r="X114" s="514"/>
      <c r="Y114" s="514"/>
      <c r="Z114" s="514"/>
      <c r="AA114" s="726"/>
      <c r="AB114" s="764"/>
      <c r="AC114" s="514"/>
      <c r="AD114" s="514"/>
      <c r="AE114" s="698"/>
      <c r="AF114" s="514"/>
      <c r="AG114" s="514"/>
      <c r="AH114" s="789"/>
      <c r="AI114" s="946">
        <f t="shared" si="6"/>
        <v>0</v>
      </c>
      <c r="AJ114" s="521">
        <v>0</v>
      </c>
      <c r="AK114" s="520">
        <f t="shared" si="7"/>
        <v>0</v>
      </c>
      <c r="AL114" s="672"/>
      <c r="AM114" s="669">
        <f t="shared" si="8"/>
        <v>0</v>
      </c>
    </row>
    <row r="115" spans="1:39" s="500" customFormat="1">
      <c r="A115" s="539" t="s">
        <v>633</v>
      </c>
      <c r="B115" s="539" t="s">
        <v>1186</v>
      </c>
      <c r="C115" s="472" t="s">
        <v>40</v>
      </c>
      <c r="D115" s="519"/>
      <c r="E115" s="520"/>
      <c r="F115" s="726"/>
      <c r="G115" s="520"/>
      <c r="H115" s="520"/>
      <c r="I115" s="521"/>
      <c r="J115" s="521"/>
      <c r="K115" s="772"/>
      <c r="L115" s="514"/>
      <c r="M115" s="726"/>
      <c r="N115" s="514"/>
      <c r="O115" s="514"/>
      <c r="P115" s="514"/>
      <c r="Q115" s="514"/>
      <c r="R115" s="514"/>
      <c r="S115" s="514"/>
      <c r="T115" s="726"/>
      <c r="U115" s="514"/>
      <c r="V115" s="514"/>
      <c r="W115" s="514"/>
      <c r="X115" s="514"/>
      <c r="Y115" s="514"/>
      <c r="Z115" s="514"/>
      <c r="AA115" s="726"/>
      <c r="AB115" s="764"/>
      <c r="AC115" s="514"/>
      <c r="AD115" s="514"/>
      <c r="AE115" s="698"/>
      <c r="AF115" s="514"/>
      <c r="AG115" s="514"/>
      <c r="AH115" s="789"/>
      <c r="AI115" s="946">
        <f t="shared" si="6"/>
        <v>0</v>
      </c>
      <c r="AJ115" s="521">
        <v>0</v>
      </c>
      <c r="AK115" s="520">
        <f t="shared" si="7"/>
        <v>0</v>
      </c>
      <c r="AL115" s="672" t="s">
        <v>1514</v>
      </c>
      <c r="AM115" s="669">
        <f t="shared" si="8"/>
        <v>10.33</v>
      </c>
    </row>
    <row r="116" spans="1:39" s="500" customFormat="1">
      <c r="A116" s="539" t="s">
        <v>634</v>
      </c>
      <c r="B116" s="539" t="s">
        <v>1187</v>
      </c>
      <c r="C116" s="472" t="s">
        <v>37</v>
      </c>
      <c r="D116" s="519"/>
      <c r="E116" s="520"/>
      <c r="F116" s="726"/>
      <c r="G116" s="520"/>
      <c r="H116" s="520"/>
      <c r="I116" s="521"/>
      <c r="J116" s="521"/>
      <c r="K116" s="772"/>
      <c r="L116" s="514"/>
      <c r="M116" s="726"/>
      <c r="N116" s="514"/>
      <c r="O116" s="514"/>
      <c r="P116" s="514"/>
      <c r="Q116" s="514"/>
      <c r="R116" s="514"/>
      <c r="S116" s="514"/>
      <c r="T116" s="726"/>
      <c r="U116" s="514"/>
      <c r="V116" s="514"/>
      <c r="W116" s="514"/>
      <c r="X116" s="514"/>
      <c r="Y116" s="514"/>
      <c r="Z116" s="514"/>
      <c r="AA116" s="726"/>
      <c r="AB116" s="764"/>
      <c r="AC116" s="514"/>
      <c r="AD116" s="514"/>
      <c r="AE116" s="698"/>
      <c r="AF116" s="514"/>
      <c r="AG116" s="514"/>
      <c r="AH116" s="789"/>
      <c r="AI116" s="946">
        <f t="shared" si="6"/>
        <v>0</v>
      </c>
      <c r="AJ116" s="521">
        <v>0</v>
      </c>
      <c r="AK116" s="520">
        <f t="shared" si="7"/>
        <v>0</v>
      </c>
      <c r="AL116" s="672" t="s">
        <v>1515</v>
      </c>
      <c r="AM116" s="669">
        <f t="shared" si="8"/>
        <v>116.46</v>
      </c>
    </row>
    <row r="117" spans="1:39" s="500" customFormat="1">
      <c r="A117" s="539" t="s">
        <v>635</v>
      </c>
      <c r="B117" s="539" t="s">
        <v>1188</v>
      </c>
      <c r="C117" s="472" t="s">
        <v>48</v>
      </c>
      <c r="D117" s="519"/>
      <c r="E117" s="520"/>
      <c r="F117" s="726"/>
      <c r="G117" s="520"/>
      <c r="H117" s="520"/>
      <c r="I117" s="521"/>
      <c r="J117" s="521"/>
      <c r="K117" s="772"/>
      <c r="L117" s="514"/>
      <c r="M117" s="726"/>
      <c r="N117" s="514"/>
      <c r="O117" s="514"/>
      <c r="P117" s="514"/>
      <c r="Q117" s="514"/>
      <c r="R117" s="514"/>
      <c r="S117" s="514"/>
      <c r="T117" s="726"/>
      <c r="U117" s="514"/>
      <c r="V117" s="514"/>
      <c r="W117" s="514"/>
      <c r="X117" s="514"/>
      <c r="Y117" s="514"/>
      <c r="Z117" s="514"/>
      <c r="AA117" s="726"/>
      <c r="AB117" s="764"/>
      <c r="AC117" s="514"/>
      <c r="AD117" s="514"/>
      <c r="AE117" s="698"/>
      <c r="AF117" s="514"/>
      <c r="AG117" s="514"/>
      <c r="AH117" s="789"/>
      <c r="AI117" s="946">
        <f t="shared" si="6"/>
        <v>0</v>
      </c>
      <c r="AJ117" s="521">
        <v>0</v>
      </c>
      <c r="AK117" s="520">
        <f t="shared" si="7"/>
        <v>0</v>
      </c>
      <c r="AL117" s="672" t="s">
        <v>1516</v>
      </c>
      <c r="AM117" s="669">
        <f t="shared" si="8"/>
        <v>1452.85</v>
      </c>
    </row>
    <row r="118" spans="1:39" s="500" customFormat="1">
      <c r="A118" s="539" t="s">
        <v>636</v>
      </c>
      <c r="B118" s="539" t="s">
        <v>1189</v>
      </c>
      <c r="C118" s="472"/>
      <c r="D118" s="519"/>
      <c r="E118" s="520"/>
      <c r="F118" s="726"/>
      <c r="G118" s="520"/>
      <c r="H118" s="520"/>
      <c r="I118" s="521"/>
      <c r="J118" s="521"/>
      <c r="K118" s="772"/>
      <c r="L118" s="514"/>
      <c r="M118" s="726"/>
      <c r="N118" s="514"/>
      <c r="O118" s="514"/>
      <c r="P118" s="514"/>
      <c r="Q118" s="514"/>
      <c r="R118" s="514"/>
      <c r="S118" s="514"/>
      <c r="T118" s="726"/>
      <c r="U118" s="514"/>
      <c r="V118" s="514"/>
      <c r="W118" s="514"/>
      <c r="X118" s="514"/>
      <c r="Y118" s="514"/>
      <c r="Z118" s="514"/>
      <c r="AA118" s="726"/>
      <c r="AB118" s="764"/>
      <c r="AC118" s="514"/>
      <c r="AD118" s="514"/>
      <c r="AE118" s="698"/>
      <c r="AF118" s="514"/>
      <c r="AG118" s="514"/>
      <c r="AH118" s="789"/>
      <c r="AI118" s="946">
        <f t="shared" si="6"/>
        <v>0</v>
      </c>
      <c r="AJ118" s="521">
        <v>0</v>
      </c>
      <c r="AK118" s="520">
        <f t="shared" si="7"/>
        <v>0</v>
      </c>
      <c r="AL118" s="672"/>
      <c r="AM118" s="669">
        <f t="shared" si="8"/>
        <v>0</v>
      </c>
    </row>
    <row r="119" spans="1:39" s="500" customFormat="1">
      <c r="A119" s="539" t="s">
        <v>637</v>
      </c>
      <c r="B119" s="539" t="s">
        <v>1190</v>
      </c>
      <c r="C119" s="472" t="s">
        <v>40</v>
      </c>
      <c r="D119" s="519"/>
      <c r="E119" s="520"/>
      <c r="F119" s="726"/>
      <c r="G119" s="520"/>
      <c r="H119" s="520"/>
      <c r="I119" s="521"/>
      <c r="J119" s="521"/>
      <c r="K119" s="772"/>
      <c r="L119" s="514"/>
      <c r="M119" s="726"/>
      <c r="N119" s="514"/>
      <c r="O119" s="514"/>
      <c r="P119" s="514"/>
      <c r="Q119" s="514"/>
      <c r="R119" s="514"/>
      <c r="S119" s="514"/>
      <c r="T119" s="726"/>
      <c r="U119" s="514"/>
      <c r="V119" s="514"/>
      <c r="W119" s="514"/>
      <c r="X119" s="514"/>
      <c r="Y119" s="514"/>
      <c r="Z119" s="514"/>
      <c r="AA119" s="726"/>
      <c r="AB119" s="764"/>
      <c r="AC119" s="514"/>
      <c r="AD119" s="514"/>
      <c r="AE119" s="698"/>
      <c r="AF119" s="514"/>
      <c r="AG119" s="514"/>
      <c r="AH119" s="789"/>
      <c r="AI119" s="946">
        <f t="shared" si="6"/>
        <v>0</v>
      </c>
      <c r="AJ119" s="521">
        <v>0</v>
      </c>
      <c r="AK119" s="520">
        <f t="shared" si="7"/>
        <v>0</v>
      </c>
      <c r="AL119" s="672" t="s">
        <v>1517</v>
      </c>
      <c r="AM119" s="669">
        <f t="shared" si="8"/>
        <v>8.94</v>
      </c>
    </row>
    <row r="120" spans="1:39" s="500" customFormat="1">
      <c r="A120" s="539" t="s">
        <v>638</v>
      </c>
      <c r="B120" s="539" t="s">
        <v>1191</v>
      </c>
      <c r="C120" s="472" t="s">
        <v>37</v>
      </c>
      <c r="D120" s="519"/>
      <c r="E120" s="520"/>
      <c r="F120" s="726"/>
      <c r="G120" s="520"/>
      <c r="H120" s="520"/>
      <c r="I120" s="521"/>
      <c r="J120" s="521"/>
      <c r="K120" s="772"/>
      <c r="L120" s="514"/>
      <c r="M120" s="726"/>
      <c r="N120" s="514"/>
      <c r="O120" s="514"/>
      <c r="P120" s="514"/>
      <c r="Q120" s="514"/>
      <c r="R120" s="514"/>
      <c r="S120" s="514"/>
      <c r="T120" s="726"/>
      <c r="U120" s="514"/>
      <c r="V120" s="514"/>
      <c r="W120" s="514"/>
      <c r="X120" s="514"/>
      <c r="Y120" s="514"/>
      <c r="Z120" s="514"/>
      <c r="AA120" s="726"/>
      <c r="AB120" s="764"/>
      <c r="AC120" s="514"/>
      <c r="AD120" s="514"/>
      <c r="AE120" s="698"/>
      <c r="AF120" s="514"/>
      <c r="AG120" s="514"/>
      <c r="AH120" s="789"/>
      <c r="AI120" s="946">
        <f t="shared" si="6"/>
        <v>0</v>
      </c>
      <c r="AJ120" s="521">
        <v>0</v>
      </c>
      <c r="AK120" s="520">
        <f t="shared" si="7"/>
        <v>0</v>
      </c>
      <c r="AL120" s="672" t="s">
        <v>1518</v>
      </c>
      <c r="AM120" s="669">
        <f t="shared" si="8"/>
        <v>102.17</v>
      </c>
    </row>
    <row r="121" spans="1:39" s="500" customFormat="1">
      <c r="A121" s="539" t="s">
        <v>639</v>
      </c>
      <c r="B121" s="539" t="s">
        <v>1192</v>
      </c>
      <c r="C121" s="472" t="s">
        <v>48</v>
      </c>
      <c r="D121" s="519"/>
      <c r="E121" s="520"/>
      <c r="F121" s="726"/>
      <c r="G121" s="520"/>
      <c r="H121" s="520"/>
      <c r="I121" s="521"/>
      <c r="J121" s="521"/>
      <c r="K121" s="772"/>
      <c r="L121" s="514"/>
      <c r="M121" s="726"/>
      <c r="N121" s="514"/>
      <c r="O121" s="514"/>
      <c r="P121" s="514"/>
      <c r="Q121" s="514"/>
      <c r="R121" s="514"/>
      <c r="S121" s="514"/>
      <c r="T121" s="726"/>
      <c r="U121" s="514"/>
      <c r="V121" s="514"/>
      <c r="W121" s="514"/>
      <c r="X121" s="514"/>
      <c r="Y121" s="514"/>
      <c r="Z121" s="514"/>
      <c r="AA121" s="726"/>
      <c r="AB121" s="764"/>
      <c r="AC121" s="514"/>
      <c r="AD121" s="514"/>
      <c r="AE121" s="698"/>
      <c r="AF121" s="514"/>
      <c r="AG121" s="514"/>
      <c r="AH121" s="789"/>
      <c r="AI121" s="946">
        <f t="shared" si="6"/>
        <v>0</v>
      </c>
      <c r="AJ121" s="521">
        <v>0</v>
      </c>
      <c r="AK121" s="520">
        <f t="shared" si="7"/>
        <v>0</v>
      </c>
      <c r="AL121" s="672" t="s">
        <v>1519</v>
      </c>
      <c r="AM121" s="669">
        <f t="shared" si="8"/>
        <v>1062.45</v>
      </c>
    </row>
    <row r="122" spans="1:39" s="500" customFormat="1">
      <c r="A122" s="539" t="s">
        <v>640</v>
      </c>
      <c r="B122" s="539" t="s">
        <v>1193</v>
      </c>
      <c r="C122" s="472" t="s">
        <v>1450</v>
      </c>
      <c r="D122" s="519"/>
      <c r="E122" s="520"/>
      <c r="F122" s="726"/>
      <c r="G122" s="520"/>
      <c r="H122" s="520"/>
      <c r="I122" s="521"/>
      <c r="J122" s="521"/>
      <c r="K122" s="772"/>
      <c r="L122" s="514"/>
      <c r="M122" s="726"/>
      <c r="N122" s="514"/>
      <c r="O122" s="514"/>
      <c r="P122" s="514"/>
      <c r="Q122" s="514"/>
      <c r="R122" s="514"/>
      <c r="S122" s="514"/>
      <c r="T122" s="726"/>
      <c r="U122" s="514"/>
      <c r="V122" s="514"/>
      <c r="W122" s="514"/>
      <c r="X122" s="514"/>
      <c r="Y122" s="514"/>
      <c r="Z122" s="514"/>
      <c r="AA122" s="726"/>
      <c r="AB122" s="764"/>
      <c r="AC122" s="514"/>
      <c r="AD122" s="514"/>
      <c r="AE122" s="698"/>
      <c r="AF122" s="514"/>
      <c r="AG122" s="514"/>
      <c r="AH122" s="789"/>
      <c r="AI122" s="946">
        <f t="shared" si="6"/>
        <v>0</v>
      </c>
      <c r="AJ122" s="521">
        <v>0</v>
      </c>
      <c r="AK122" s="520">
        <f t="shared" si="7"/>
        <v>0</v>
      </c>
      <c r="AL122" s="672" t="s">
        <v>1520</v>
      </c>
      <c r="AM122" s="669">
        <f t="shared" si="8"/>
        <v>851.11</v>
      </c>
    </row>
    <row r="123" spans="1:39" s="500" customFormat="1">
      <c r="A123" s="539" t="s">
        <v>641</v>
      </c>
      <c r="B123" s="539" t="s">
        <v>1194</v>
      </c>
      <c r="C123" s="605"/>
      <c r="D123" s="519"/>
      <c r="E123" s="520"/>
      <c r="F123" s="726"/>
      <c r="G123" s="520"/>
      <c r="H123" s="520"/>
      <c r="I123" s="521"/>
      <c r="J123" s="521"/>
      <c r="K123" s="772"/>
      <c r="L123" s="514"/>
      <c r="M123" s="726"/>
      <c r="N123" s="514"/>
      <c r="O123" s="514"/>
      <c r="P123" s="514"/>
      <c r="Q123" s="514"/>
      <c r="R123" s="514"/>
      <c r="S123" s="514"/>
      <c r="T123" s="726"/>
      <c r="U123" s="514"/>
      <c r="V123" s="514"/>
      <c r="W123" s="514"/>
      <c r="X123" s="514"/>
      <c r="Y123" s="514"/>
      <c r="Z123" s="514"/>
      <c r="AA123" s="726"/>
      <c r="AB123" s="764"/>
      <c r="AC123" s="514"/>
      <c r="AD123" s="514"/>
      <c r="AE123" s="698"/>
      <c r="AF123" s="514"/>
      <c r="AG123" s="514"/>
      <c r="AH123" s="789"/>
      <c r="AI123" s="946">
        <f t="shared" si="6"/>
        <v>0</v>
      </c>
      <c r="AJ123" s="521">
        <v>0</v>
      </c>
      <c r="AK123" s="520">
        <f t="shared" si="7"/>
        <v>0</v>
      </c>
      <c r="AL123" s="672"/>
      <c r="AM123" s="669">
        <f t="shared" si="8"/>
        <v>0</v>
      </c>
    </row>
    <row r="124" spans="1:39" s="500" customFormat="1">
      <c r="A124" s="539" t="s">
        <v>642</v>
      </c>
      <c r="B124" s="539" t="s">
        <v>1195</v>
      </c>
      <c r="C124" s="472" t="s">
        <v>40</v>
      </c>
      <c r="D124" s="519"/>
      <c r="E124" s="520"/>
      <c r="F124" s="726"/>
      <c r="G124" s="520"/>
      <c r="H124" s="520"/>
      <c r="I124" s="521"/>
      <c r="J124" s="521"/>
      <c r="K124" s="772"/>
      <c r="L124" s="514"/>
      <c r="M124" s="726"/>
      <c r="N124" s="514"/>
      <c r="O124" s="514"/>
      <c r="P124" s="514"/>
      <c r="Q124" s="514"/>
      <c r="R124" s="514"/>
      <c r="S124" s="514"/>
      <c r="T124" s="726"/>
      <c r="U124" s="514"/>
      <c r="V124" s="514"/>
      <c r="W124" s="514"/>
      <c r="X124" s="514"/>
      <c r="Y124" s="514"/>
      <c r="Z124" s="514"/>
      <c r="AA124" s="726"/>
      <c r="AB124" s="764"/>
      <c r="AC124" s="514"/>
      <c r="AD124" s="514"/>
      <c r="AE124" s="698"/>
      <c r="AF124" s="514"/>
      <c r="AG124" s="514"/>
      <c r="AH124" s="789"/>
      <c r="AI124" s="946">
        <f t="shared" si="6"/>
        <v>0</v>
      </c>
      <c r="AJ124" s="521">
        <v>0</v>
      </c>
      <c r="AK124" s="520">
        <f t="shared" si="7"/>
        <v>0</v>
      </c>
      <c r="AL124" s="672" t="s">
        <v>1521</v>
      </c>
      <c r="AM124" s="669">
        <f t="shared" si="8"/>
        <v>2.66</v>
      </c>
    </row>
    <row r="125" spans="1:39" s="500" customFormat="1">
      <c r="A125" s="539" t="s">
        <v>643</v>
      </c>
      <c r="B125" s="539" t="s">
        <v>1196</v>
      </c>
      <c r="C125" s="472" t="s">
        <v>37</v>
      </c>
      <c r="D125" s="519"/>
      <c r="E125" s="520"/>
      <c r="F125" s="726"/>
      <c r="G125" s="520"/>
      <c r="H125" s="520"/>
      <c r="I125" s="521"/>
      <c r="J125" s="521"/>
      <c r="K125" s="772"/>
      <c r="L125" s="514"/>
      <c r="M125" s="726"/>
      <c r="N125" s="514"/>
      <c r="O125" s="514"/>
      <c r="P125" s="514"/>
      <c r="Q125" s="514"/>
      <c r="R125" s="514"/>
      <c r="S125" s="514"/>
      <c r="T125" s="726"/>
      <c r="U125" s="514"/>
      <c r="V125" s="514"/>
      <c r="W125" s="514"/>
      <c r="X125" s="514"/>
      <c r="Y125" s="514"/>
      <c r="Z125" s="514"/>
      <c r="AA125" s="726"/>
      <c r="AB125" s="764"/>
      <c r="AC125" s="514"/>
      <c r="AD125" s="514"/>
      <c r="AE125" s="698"/>
      <c r="AF125" s="514"/>
      <c r="AG125" s="514"/>
      <c r="AH125" s="789"/>
      <c r="AI125" s="946">
        <f t="shared" si="6"/>
        <v>0</v>
      </c>
      <c r="AJ125" s="521">
        <v>0</v>
      </c>
      <c r="AK125" s="520">
        <f t="shared" si="7"/>
        <v>0</v>
      </c>
      <c r="AL125" s="672" t="s">
        <v>1512</v>
      </c>
      <c r="AM125" s="669">
        <f t="shared" si="8"/>
        <v>35.44</v>
      </c>
    </row>
    <row r="126" spans="1:39" s="500" customFormat="1">
      <c r="A126" s="539" t="s">
        <v>644</v>
      </c>
      <c r="B126" s="539" t="s">
        <v>1197</v>
      </c>
      <c r="C126" s="472" t="s">
        <v>48</v>
      </c>
      <c r="D126" s="519"/>
      <c r="E126" s="520"/>
      <c r="F126" s="726"/>
      <c r="G126" s="520"/>
      <c r="H126" s="520"/>
      <c r="I126" s="521"/>
      <c r="J126" s="521"/>
      <c r="K126" s="772"/>
      <c r="L126" s="514"/>
      <c r="M126" s="726"/>
      <c r="N126" s="514"/>
      <c r="O126" s="514"/>
      <c r="P126" s="514"/>
      <c r="Q126" s="514"/>
      <c r="R126" s="514"/>
      <c r="S126" s="514"/>
      <c r="T126" s="726"/>
      <c r="U126" s="514"/>
      <c r="V126" s="514"/>
      <c r="W126" s="514"/>
      <c r="X126" s="514"/>
      <c r="Y126" s="514"/>
      <c r="Z126" s="514"/>
      <c r="AA126" s="726"/>
      <c r="AB126" s="764"/>
      <c r="AC126" s="514"/>
      <c r="AD126" s="514"/>
      <c r="AE126" s="698"/>
      <c r="AF126" s="514"/>
      <c r="AG126" s="514"/>
      <c r="AH126" s="789"/>
      <c r="AI126" s="946">
        <f t="shared" si="6"/>
        <v>0</v>
      </c>
      <c r="AJ126" s="521">
        <v>0</v>
      </c>
      <c r="AK126" s="520">
        <f t="shared" si="7"/>
        <v>0</v>
      </c>
      <c r="AL126" s="672" t="s">
        <v>1522</v>
      </c>
      <c r="AM126" s="669">
        <f t="shared" si="8"/>
        <v>179.59</v>
      </c>
    </row>
    <row r="127" spans="1:39" s="500" customFormat="1">
      <c r="A127" s="542" t="s">
        <v>645</v>
      </c>
      <c r="B127" s="542" t="s">
        <v>1198</v>
      </c>
      <c r="C127" s="605"/>
      <c r="D127" s="519"/>
      <c r="E127" s="520"/>
      <c r="F127" s="726"/>
      <c r="G127" s="520"/>
      <c r="H127" s="520"/>
      <c r="I127" s="521"/>
      <c r="J127" s="521"/>
      <c r="K127" s="772"/>
      <c r="L127" s="514"/>
      <c r="M127" s="726"/>
      <c r="N127" s="514"/>
      <c r="O127" s="514"/>
      <c r="P127" s="514"/>
      <c r="Q127" s="514"/>
      <c r="R127" s="514"/>
      <c r="S127" s="514"/>
      <c r="T127" s="726"/>
      <c r="U127" s="514"/>
      <c r="V127" s="514"/>
      <c r="W127" s="514"/>
      <c r="X127" s="514"/>
      <c r="Y127" s="514"/>
      <c r="Z127" s="514"/>
      <c r="AA127" s="726"/>
      <c r="AB127" s="764"/>
      <c r="AC127" s="514"/>
      <c r="AD127" s="514"/>
      <c r="AE127" s="698"/>
      <c r="AF127" s="514"/>
      <c r="AG127" s="514"/>
      <c r="AH127" s="789"/>
      <c r="AI127" s="946">
        <f t="shared" si="6"/>
        <v>0</v>
      </c>
      <c r="AJ127" s="521">
        <v>0</v>
      </c>
      <c r="AK127" s="520">
        <f t="shared" si="7"/>
        <v>0</v>
      </c>
      <c r="AL127" s="672"/>
      <c r="AM127" s="669">
        <f t="shared" si="8"/>
        <v>0</v>
      </c>
    </row>
    <row r="128" spans="1:39" s="500" customFormat="1">
      <c r="A128" s="539" t="s">
        <v>646</v>
      </c>
      <c r="B128" s="539" t="s">
        <v>1199</v>
      </c>
      <c r="C128" s="472" t="s">
        <v>38</v>
      </c>
      <c r="D128" s="519"/>
      <c r="E128" s="520"/>
      <c r="F128" s="726"/>
      <c r="G128" s="520"/>
      <c r="H128" s="520"/>
      <c r="I128" s="521"/>
      <c r="J128" s="521"/>
      <c r="K128" s="772"/>
      <c r="L128" s="514"/>
      <c r="M128" s="726"/>
      <c r="N128" s="514"/>
      <c r="O128" s="514"/>
      <c r="P128" s="514"/>
      <c r="Q128" s="514"/>
      <c r="R128" s="514"/>
      <c r="S128" s="514"/>
      <c r="T128" s="726"/>
      <c r="U128" s="514"/>
      <c r="V128" s="514"/>
      <c r="W128" s="514"/>
      <c r="X128" s="514"/>
      <c r="Y128" s="514"/>
      <c r="Z128" s="514"/>
      <c r="AA128" s="726"/>
      <c r="AB128" s="764"/>
      <c r="AC128" s="514"/>
      <c r="AD128" s="514"/>
      <c r="AE128" s="698"/>
      <c r="AF128" s="514"/>
      <c r="AG128" s="514"/>
      <c r="AH128" s="789"/>
      <c r="AI128" s="946">
        <f t="shared" si="6"/>
        <v>0</v>
      </c>
      <c r="AJ128" s="521">
        <v>0</v>
      </c>
      <c r="AK128" s="520">
        <f t="shared" si="7"/>
        <v>0</v>
      </c>
      <c r="AL128" s="672" t="s">
        <v>1523</v>
      </c>
      <c r="AM128" s="669">
        <f t="shared" si="8"/>
        <v>158.4</v>
      </c>
    </row>
    <row r="129" spans="1:39" s="500" customFormat="1">
      <c r="A129" s="542" t="s">
        <v>647</v>
      </c>
      <c r="B129" s="542" t="s">
        <v>1200</v>
      </c>
      <c r="C129" s="616"/>
      <c r="D129" s="525"/>
      <c r="E129" s="526"/>
      <c r="F129" s="731"/>
      <c r="G129" s="526"/>
      <c r="H129" s="526"/>
      <c r="I129" s="527"/>
      <c r="J129" s="527"/>
      <c r="K129" s="812"/>
      <c r="L129" s="514"/>
      <c r="M129" s="731"/>
      <c r="N129" s="514"/>
      <c r="O129" s="514"/>
      <c r="P129" s="514"/>
      <c r="Q129" s="514"/>
      <c r="R129" s="514"/>
      <c r="S129" s="514"/>
      <c r="T129" s="731"/>
      <c r="U129" s="514"/>
      <c r="V129" s="514"/>
      <c r="W129" s="514"/>
      <c r="X129" s="514"/>
      <c r="Y129" s="514"/>
      <c r="Z129" s="514"/>
      <c r="AA129" s="731"/>
      <c r="AB129" s="764"/>
      <c r="AC129" s="514"/>
      <c r="AD129" s="514"/>
      <c r="AE129" s="698"/>
      <c r="AF129" s="514"/>
      <c r="AG129" s="514"/>
      <c r="AH129" s="789"/>
      <c r="AI129" s="946">
        <f t="shared" si="6"/>
        <v>0</v>
      </c>
      <c r="AJ129" s="521">
        <v>0</v>
      </c>
      <c r="AK129" s="520">
        <f t="shared" si="7"/>
        <v>0</v>
      </c>
      <c r="AL129" s="673"/>
      <c r="AM129" s="669">
        <f t="shared" si="8"/>
        <v>0</v>
      </c>
    </row>
    <row r="130" spans="1:39" s="500" customFormat="1">
      <c r="A130" s="539" t="s">
        <v>648</v>
      </c>
      <c r="B130" s="539" t="s">
        <v>1201</v>
      </c>
      <c r="C130" s="472" t="s">
        <v>38</v>
      </c>
      <c r="D130" s="525"/>
      <c r="E130" s="526"/>
      <c r="F130" s="731"/>
      <c r="G130" s="526"/>
      <c r="H130" s="526"/>
      <c r="I130" s="527"/>
      <c r="J130" s="527"/>
      <c r="K130" s="812"/>
      <c r="L130" s="514"/>
      <c r="M130" s="731"/>
      <c r="N130" s="514"/>
      <c r="O130" s="514"/>
      <c r="P130" s="514"/>
      <c r="Q130" s="514"/>
      <c r="R130" s="514"/>
      <c r="S130" s="514"/>
      <c r="T130" s="731"/>
      <c r="U130" s="514"/>
      <c r="V130" s="514"/>
      <c r="W130" s="514"/>
      <c r="X130" s="514"/>
      <c r="Y130" s="514"/>
      <c r="Z130" s="514"/>
      <c r="AA130" s="731"/>
      <c r="AB130" s="764"/>
      <c r="AC130" s="514"/>
      <c r="AD130" s="514"/>
      <c r="AE130" s="698"/>
      <c r="AF130" s="514"/>
      <c r="AG130" s="514"/>
      <c r="AH130" s="789"/>
      <c r="AI130" s="946">
        <f t="shared" si="6"/>
        <v>0</v>
      </c>
      <c r="AJ130" s="521">
        <v>0</v>
      </c>
      <c r="AK130" s="520">
        <f t="shared" si="7"/>
        <v>0</v>
      </c>
      <c r="AL130" s="673" t="s">
        <v>1524</v>
      </c>
      <c r="AM130" s="669">
        <f t="shared" si="8"/>
        <v>83.2</v>
      </c>
    </row>
    <row r="131" spans="1:39" s="500" customFormat="1">
      <c r="A131" s="539" t="s">
        <v>649</v>
      </c>
      <c r="B131" s="539" t="s">
        <v>225</v>
      </c>
      <c r="C131" s="472" t="s">
        <v>1450</v>
      </c>
      <c r="D131" s="519"/>
      <c r="E131" s="520"/>
      <c r="F131" s="726"/>
      <c r="G131" s="520"/>
      <c r="H131" s="520"/>
      <c r="I131" s="521"/>
      <c r="J131" s="521"/>
      <c r="K131" s="772"/>
      <c r="L131" s="514"/>
      <c r="M131" s="726"/>
      <c r="N131" s="514"/>
      <c r="O131" s="514"/>
      <c r="P131" s="514"/>
      <c r="Q131" s="514"/>
      <c r="R131" s="514"/>
      <c r="S131" s="514"/>
      <c r="T131" s="726"/>
      <c r="U131" s="514"/>
      <c r="V131" s="514"/>
      <c r="W131" s="514"/>
      <c r="X131" s="514"/>
      <c r="Y131" s="514"/>
      <c r="Z131" s="514"/>
      <c r="AA131" s="726"/>
      <c r="AB131" s="764"/>
      <c r="AC131" s="514"/>
      <c r="AD131" s="514"/>
      <c r="AE131" s="698"/>
      <c r="AF131" s="514"/>
      <c r="AG131" s="514"/>
      <c r="AH131" s="789"/>
      <c r="AI131" s="946">
        <f t="shared" si="6"/>
        <v>0</v>
      </c>
      <c r="AJ131" s="521">
        <v>0</v>
      </c>
      <c r="AK131" s="520">
        <f t="shared" si="7"/>
        <v>0</v>
      </c>
      <c r="AL131" s="672" t="s">
        <v>1493</v>
      </c>
      <c r="AM131" s="669">
        <f t="shared" si="8"/>
        <v>15</v>
      </c>
    </row>
    <row r="132" spans="1:39" s="500" customFormat="1">
      <c r="A132" s="440" t="s">
        <v>52</v>
      </c>
      <c r="B132" s="543" t="s">
        <v>1209</v>
      </c>
      <c r="C132" s="605"/>
      <c r="D132" s="519"/>
      <c r="E132" s="520"/>
      <c r="F132" s="726"/>
      <c r="G132" s="520"/>
      <c r="H132" s="520"/>
      <c r="I132" s="521"/>
      <c r="J132" s="521"/>
      <c r="K132" s="772"/>
      <c r="L132" s="514"/>
      <c r="M132" s="726"/>
      <c r="N132" s="514"/>
      <c r="O132" s="514"/>
      <c r="P132" s="514"/>
      <c r="Q132" s="514"/>
      <c r="R132" s="514"/>
      <c r="S132" s="514"/>
      <c r="T132" s="726"/>
      <c r="U132" s="514"/>
      <c r="V132" s="514"/>
      <c r="W132" s="514"/>
      <c r="X132" s="514"/>
      <c r="Y132" s="514"/>
      <c r="Z132" s="514"/>
      <c r="AA132" s="726"/>
      <c r="AB132" s="764"/>
      <c r="AC132" s="514"/>
      <c r="AD132" s="514"/>
      <c r="AE132" s="698"/>
      <c r="AF132" s="514"/>
      <c r="AG132" s="514"/>
      <c r="AH132" s="789"/>
      <c r="AI132" s="946">
        <f t="shared" si="6"/>
        <v>0</v>
      </c>
      <c r="AJ132" s="521">
        <v>0</v>
      </c>
      <c r="AK132" s="520">
        <f t="shared" si="7"/>
        <v>0</v>
      </c>
      <c r="AL132" s="672"/>
      <c r="AM132" s="669">
        <f t="shared" si="8"/>
        <v>0</v>
      </c>
    </row>
    <row r="133" spans="1:39" s="500" customFormat="1">
      <c r="A133" s="542" t="s">
        <v>56</v>
      </c>
      <c r="B133" s="542" t="s">
        <v>46</v>
      </c>
      <c r="C133" s="616"/>
      <c r="D133" s="519"/>
      <c r="E133" s="520"/>
      <c r="F133" s="726"/>
      <c r="G133" s="520"/>
      <c r="H133" s="520"/>
      <c r="I133" s="521"/>
      <c r="J133" s="521"/>
      <c r="K133" s="772"/>
      <c r="L133" s="522"/>
      <c r="M133" s="726"/>
      <c r="N133" s="522"/>
      <c r="O133" s="522"/>
      <c r="P133" s="522"/>
      <c r="Q133" s="522"/>
      <c r="R133" s="522"/>
      <c r="S133" s="522"/>
      <c r="T133" s="726"/>
      <c r="U133" s="522"/>
      <c r="V133" s="522"/>
      <c r="W133" s="522"/>
      <c r="X133" s="522"/>
      <c r="Y133" s="522"/>
      <c r="Z133" s="522"/>
      <c r="AA133" s="726"/>
      <c r="AB133" s="884"/>
      <c r="AC133" s="522"/>
      <c r="AD133" s="522"/>
      <c r="AE133" s="698"/>
      <c r="AF133" s="522"/>
      <c r="AG133" s="522"/>
      <c r="AH133" s="790"/>
      <c r="AI133" s="946">
        <f t="shared" si="6"/>
        <v>0</v>
      </c>
      <c r="AJ133" s="521">
        <v>0</v>
      </c>
      <c r="AK133" s="520">
        <f t="shared" si="7"/>
        <v>0</v>
      </c>
      <c r="AL133" s="672" t="s">
        <v>1525</v>
      </c>
      <c r="AM133" s="669">
        <f t="shared" si="8"/>
        <v>28.51</v>
      </c>
    </row>
    <row r="134" spans="1:39" s="500" customFormat="1">
      <c r="A134" s="539" t="s">
        <v>650</v>
      </c>
      <c r="B134" s="539" t="s">
        <v>1156</v>
      </c>
      <c r="C134" s="548" t="s">
        <v>40</v>
      </c>
      <c r="D134" s="519"/>
      <c r="E134" s="520"/>
      <c r="F134" s="726"/>
      <c r="G134" s="520"/>
      <c r="H134" s="520"/>
      <c r="I134" s="521"/>
      <c r="J134" s="521"/>
      <c r="K134" s="772"/>
      <c r="L134" s="522"/>
      <c r="M134" s="726"/>
      <c r="N134" s="522"/>
      <c r="O134" s="522"/>
      <c r="P134" s="522"/>
      <c r="Q134" s="522"/>
      <c r="R134" s="522"/>
      <c r="S134" s="522"/>
      <c r="T134" s="726"/>
      <c r="U134" s="522"/>
      <c r="V134" s="522"/>
      <c r="W134" s="522"/>
      <c r="X134" s="522"/>
      <c r="Y134" s="522"/>
      <c r="Z134" s="522"/>
      <c r="AA134" s="726"/>
      <c r="AB134" s="884"/>
      <c r="AC134" s="522"/>
      <c r="AD134" s="522"/>
      <c r="AE134" s="698"/>
      <c r="AF134" s="522"/>
      <c r="AG134" s="522"/>
      <c r="AH134" s="790"/>
      <c r="AI134" s="946">
        <f t="shared" si="6"/>
        <v>0</v>
      </c>
      <c r="AJ134" s="521">
        <v>0</v>
      </c>
      <c r="AK134" s="520">
        <f t="shared" si="7"/>
        <v>0</v>
      </c>
      <c r="AL134" s="672" t="s">
        <v>1526</v>
      </c>
      <c r="AM134" s="669">
        <f t="shared" si="8"/>
        <v>19.8</v>
      </c>
    </row>
    <row r="135" spans="1:39" s="500" customFormat="1">
      <c r="A135" s="539" t="s">
        <v>651</v>
      </c>
      <c r="B135" s="539" t="s">
        <v>1157</v>
      </c>
      <c r="C135" s="548" t="s">
        <v>40</v>
      </c>
      <c r="D135" s="525"/>
      <c r="E135" s="526"/>
      <c r="F135" s="731"/>
      <c r="G135" s="526"/>
      <c r="H135" s="526"/>
      <c r="I135" s="527"/>
      <c r="J135" s="527"/>
      <c r="K135" s="812"/>
      <c r="L135" s="522"/>
      <c r="M135" s="731"/>
      <c r="N135" s="522"/>
      <c r="O135" s="522"/>
      <c r="P135" s="522"/>
      <c r="Q135" s="522"/>
      <c r="R135" s="522"/>
      <c r="S135" s="522"/>
      <c r="T135" s="731"/>
      <c r="U135" s="522"/>
      <c r="V135" s="522"/>
      <c r="W135" s="522"/>
      <c r="X135" s="522"/>
      <c r="Y135" s="522"/>
      <c r="Z135" s="522"/>
      <c r="AA135" s="731"/>
      <c r="AB135" s="884"/>
      <c r="AC135" s="522"/>
      <c r="AD135" s="522"/>
      <c r="AE135" s="698"/>
      <c r="AF135" s="522"/>
      <c r="AG135" s="522"/>
      <c r="AH135" s="790"/>
      <c r="AI135" s="946">
        <f t="shared" si="6"/>
        <v>0</v>
      </c>
      <c r="AJ135" s="521">
        <v>0</v>
      </c>
      <c r="AK135" s="520">
        <f t="shared" si="7"/>
        <v>0</v>
      </c>
      <c r="AL135" s="673" t="s">
        <v>1527</v>
      </c>
      <c r="AM135" s="669">
        <f t="shared" si="8"/>
        <v>34.56</v>
      </c>
    </row>
    <row r="136" spans="1:39" s="500" customFormat="1">
      <c r="A136" s="539" t="s">
        <v>652</v>
      </c>
      <c r="B136" s="539" t="s">
        <v>1158</v>
      </c>
      <c r="C136" s="548" t="s">
        <v>40</v>
      </c>
      <c r="D136" s="519"/>
      <c r="E136" s="520"/>
      <c r="F136" s="726"/>
      <c r="G136" s="520"/>
      <c r="H136" s="520"/>
      <c r="I136" s="521"/>
      <c r="J136" s="521"/>
      <c r="K136" s="772"/>
      <c r="L136" s="522"/>
      <c r="M136" s="726"/>
      <c r="N136" s="522"/>
      <c r="O136" s="522"/>
      <c r="P136" s="522"/>
      <c r="Q136" s="522"/>
      <c r="R136" s="522"/>
      <c r="S136" s="522"/>
      <c r="T136" s="726"/>
      <c r="U136" s="522"/>
      <c r="V136" s="522"/>
      <c r="W136" s="522"/>
      <c r="X136" s="522"/>
      <c r="Y136" s="522"/>
      <c r="Z136" s="522"/>
      <c r="AA136" s="726"/>
      <c r="AB136" s="884"/>
      <c r="AC136" s="522"/>
      <c r="AD136" s="522"/>
      <c r="AE136" s="698"/>
      <c r="AF136" s="522"/>
      <c r="AG136" s="521"/>
      <c r="AH136" s="790"/>
      <c r="AI136" s="946">
        <f t="shared" si="6"/>
        <v>0</v>
      </c>
      <c r="AJ136" s="521">
        <v>0</v>
      </c>
      <c r="AK136" s="520">
        <f t="shared" si="7"/>
        <v>0</v>
      </c>
      <c r="AL136" s="672" t="s">
        <v>1528</v>
      </c>
      <c r="AM136" s="669">
        <f t="shared" si="8"/>
        <v>72.33</v>
      </c>
    </row>
    <row r="137" spans="1:39" s="500" customFormat="1">
      <c r="A137" s="539" t="s">
        <v>653</v>
      </c>
      <c r="B137" s="539" t="s">
        <v>1159</v>
      </c>
      <c r="C137" s="548" t="s">
        <v>37</v>
      </c>
      <c r="D137" s="519"/>
      <c r="E137" s="520"/>
      <c r="F137" s="726"/>
      <c r="G137" s="520"/>
      <c r="H137" s="520"/>
      <c r="I137" s="521"/>
      <c r="J137" s="521"/>
      <c r="K137" s="772"/>
      <c r="L137" s="522"/>
      <c r="M137" s="726"/>
      <c r="N137" s="522"/>
      <c r="O137" s="522"/>
      <c r="P137" s="522"/>
      <c r="Q137" s="522"/>
      <c r="R137" s="522"/>
      <c r="S137" s="522"/>
      <c r="T137" s="726"/>
      <c r="U137" s="522"/>
      <c r="V137" s="522"/>
      <c r="W137" s="522"/>
      <c r="X137" s="522"/>
      <c r="Y137" s="522"/>
      <c r="Z137" s="522"/>
      <c r="AA137" s="726"/>
      <c r="AB137" s="884"/>
      <c r="AC137" s="522"/>
      <c r="AD137" s="522"/>
      <c r="AE137" s="698"/>
      <c r="AF137" s="522"/>
      <c r="AG137" s="522"/>
      <c r="AH137" s="790"/>
      <c r="AI137" s="946">
        <f t="shared" si="6"/>
        <v>0</v>
      </c>
      <c r="AJ137" s="521">
        <v>0</v>
      </c>
      <c r="AK137" s="520">
        <f t="shared" si="7"/>
        <v>0</v>
      </c>
      <c r="AL137" s="672" t="s">
        <v>1529</v>
      </c>
      <c r="AM137" s="669">
        <f t="shared" si="8"/>
        <v>17.190000000000001</v>
      </c>
    </row>
    <row r="138" spans="1:39" s="500" customFormat="1">
      <c r="A138" s="539" t="s">
        <v>654</v>
      </c>
      <c r="B138" s="539" t="s">
        <v>1160</v>
      </c>
      <c r="C138" s="548" t="s">
        <v>40</v>
      </c>
      <c r="D138" s="519"/>
      <c r="E138" s="520"/>
      <c r="F138" s="726"/>
      <c r="G138" s="520"/>
      <c r="H138" s="520"/>
      <c r="I138" s="521"/>
      <c r="J138" s="521"/>
      <c r="K138" s="772"/>
      <c r="L138" s="514"/>
      <c r="M138" s="726"/>
      <c r="N138" s="514"/>
      <c r="O138" s="522"/>
      <c r="P138" s="514"/>
      <c r="Q138" s="514"/>
      <c r="R138" s="514"/>
      <c r="S138" s="514"/>
      <c r="T138" s="726"/>
      <c r="U138" s="514"/>
      <c r="V138" s="514"/>
      <c r="W138" s="514"/>
      <c r="X138" s="514"/>
      <c r="Y138" s="514"/>
      <c r="Z138" s="514"/>
      <c r="AA138" s="726"/>
      <c r="AB138" s="764"/>
      <c r="AC138" s="514"/>
      <c r="AD138" s="514"/>
      <c r="AE138" s="698"/>
      <c r="AF138" s="514"/>
      <c r="AG138" s="514"/>
      <c r="AH138" s="789"/>
      <c r="AI138" s="946">
        <f t="shared" si="6"/>
        <v>0</v>
      </c>
      <c r="AJ138" s="521">
        <v>0</v>
      </c>
      <c r="AK138" s="520">
        <f t="shared" si="7"/>
        <v>0</v>
      </c>
      <c r="AL138" s="672" t="s">
        <v>1529</v>
      </c>
      <c r="AM138" s="669">
        <f t="shared" si="8"/>
        <v>17.190000000000001</v>
      </c>
    </row>
    <row r="139" spans="1:39" s="500" customFormat="1">
      <c r="A139" s="539" t="s">
        <v>655</v>
      </c>
      <c r="B139" s="539" t="s">
        <v>1161</v>
      </c>
      <c r="C139" s="548" t="s">
        <v>40</v>
      </c>
      <c r="D139" s="519"/>
      <c r="E139" s="520"/>
      <c r="F139" s="726"/>
      <c r="G139" s="520"/>
      <c r="H139" s="520"/>
      <c r="I139" s="521"/>
      <c r="J139" s="521"/>
      <c r="K139" s="772"/>
      <c r="L139" s="514"/>
      <c r="M139" s="726"/>
      <c r="N139" s="514"/>
      <c r="O139" s="514"/>
      <c r="P139" s="514"/>
      <c r="Q139" s="514"/>
      <c r="R139" s="514"/>
      <c r="S139" s="514"/>
      <c r="T139" s="726"/>
      <c r="U139" s="514"/>
      <c r="V139" s="514"/>
      <c r="W139" s="514"/>
      <c r="X139" s="514"/>
      <c r="Y139" s="514"/>
      <c r="Z139" s="514"/>
      <c r="AA139" s="726"/>
      <c r="AB139" s="764"/>
      <c r="AC139" s="514"/>
      <c r="AD139" s="514"/>
      <c r="AE139" s="698"/>
      <c r="AF139" s="514"/>
      <c r="AG139" s="514"/>
      <c r="AH139" s="789"/>
      <c r="AI139" s="946">
        <f t="shared" si="6"/>
        <v>0</v>
      </c>
      <c r="AJ139" s="521">
        <v>0</v>
      </c>
      <c r="AK139" s="520">
        <f t="shared" si="7"/>
        <v>0</v>
      </c>
      <c r="AL139" s="672"/>
      <c r="AM139" s="669">
        <f t="shared" si="8"/>
        <v>0</v>
      </c>
    </row>
    <row r="140" spans="1:39" s="500" customFormat="1">
      <c r="A140" s="542" t="s">
        <v>57</v>
      </c>
      <c r="B140" s="542" t="s">
        <v>1162</v>
      </c>
      <c r="C140" s="616"/>
      <c r="D140" s="525"/>
      <c r="E140" s="526"/>
      <c r="F140" s="731"/>
      <c r="G140" s="526"/>
      <c r="H140" s="526"/>
      <c r="I140" s="527"/>
      <c r="J140" s="527"/>
      <c r="K140" s="812"/>
      <c r="L140" s="514"/>
      <c r="M140" s="731"/>
      <c r="N140" s="514"/>
      <c r="O140" s="514"/>
      <c r="P140" s="514"/>
      <c r="Q140" s="514"/>
      <c r="R140" s="514"/>
      <c r="S140" s="514"/>
      <c r="T140" s="731"/>
      <c r="U140" s="514"/>
      <c r="V140" s="514"/>
      <c r="W140" s="514"/>
      <c r="X140" s="514"/>
      <c r="Y140" s="514"/>
      <c r="Z140" s="514"/>
      <c r="AA140" s="731"/>
      <c r="AB140" s="764"/>
      <c r="AC140" s="514"/>
      <c r="AD140" s="757"/>
      <c r="AE140" s="698"/>
      <c r="AF140" s="514"/>
      <c r="AG140" s="514"/>
      <c r="AH140" s="789"/>
      <c r="AI140" s="946">
        <f t="shared" si="6"/>
        <v>0</v>
      </c>
      <c r="AJ140" s="521">
        <v>0</v>
      </c>
      <c r="AK140" s="520">
        <f t="shared" si="7"/>
        <v>0</v>
      </c>
      <c r="AL140" s="673" t="s">
        <v>1530</v>
      </c>
      <c r="AM140" s="669">
        <f t="shared" si="8"/>
        <v>23.07</v>
      </c>
    </row>
    <row r="141" spans="1:39" s="500" customFormat="1">
      <c r="A141" s="539" t="s">
        <v>656</v>
      </c>
      <c r="B141" s="539" t="s">
        <v>1203</v>
      </c>
      <c r="C141" s="548" t="s">
        <v>37</v>
      </c>
      <c r="D141" s="519"/>
      <c r="E141" s="520"/>
      <c r="F141" s="726"/>
      <c r="G141" s="520"/>
      <c r="H141" s="520"/>
      <c r="I141" s="521"/>
      <c r="J141" s="521"/>
      <c r="K141" s="772"/>
      <c r="L141" s="514"/>
      <c r="M141" s="726"/>
      <c r="N141" s="514"/>
      <c r="O141" s="514"/>
      <c r="P141" s="514"/>
      <c r="Q141" s="514"/>
      <c r="R141" s="514"/>
      <c r="S141" s="514"/>
      <c r="T141" s="726"/>
      <c r="U141" s="514"/>
      <c r="V141" s="514"/>
      <c r="W141" s="514"/>
      <c r="X141" s="514"/>
      <c r="Y141" s="514"/>
      <c r="Z141" s="514"/>
      <c r="AA141" s="726"/>
      <c r="AB141" s="764"/>
      <c r="AC141" s="514"/>
      <c r="AD141" s="522"/>
      <c r="AE141" s="698"/>
      <c r="AF141" s="514"/>
      <c r="AG141" s="514"/>
      <c r="AH141" s="789"/>
      <c r="AI141" s="946">
        <f t="shared" si="6"/>
        <v>0</v>
      </c>
      <c r="AJ141" s="521">
        <v>0</v>
      </c>
      <c r="AK141" s="520">
        <f t="shared" si="7"/>
        <v>0</v>
      </c>
      <c r="AL141" s="672" t="s">
        <v>1531</v>
      </c>
      <c r="AM141" s="669">
        <f t="shared" si="8"/>
        <v>10.4</v>
      </c>
    </row>
    <row r="142" spans="1:39" s="843" customFormat="1">
      <c r="A142" s="832" t="s">
        <v>657</v>
      </c>
      <c r="B142" s="832" t="s">
        <v>1204</v>
      </c>
      <c r="C142" s="846" t="s">
        <v>40</v>
      </c>
      <c r="D142" s="519"/>
      <c r="E142" s="520"/>
      <c r="F142" s="726"/>
      <c r="G142" s="520"/>
      <c r="H142" s="520"/>
      <c r="I142" s="521"/>
      <c r="J142" s="521"/>
      <c r="K142" s="772"/>
      <c r="L142" s="514"/>
      <c r="M142" s="726"/>
      <c r="N142" s="514"/>
      <c r="O142" s="514"/>
      <c r="P142" s="514"/>
      <c r="Q142" s="514"/>
      <c r="R142" s="514"/>
      <c r="S142" s="514"/>
      <c r="T142" s="726"/>
      <c r="U142" s="514"/>
      <c r="V142" s="514"/>
      <c r="W142" s="514"/>
      <c r="X142" s="514"/>
      <c r="Y142" s="514"/>
      <c r="Z142" s="514"/>
      <c r="AA142" s="726"/>
      <c r="AB142" s="764"/>
      <c r="AC142" s="514"/>
      <c r="AD142" s="514"/>
      <c r="AE142" s="698"/>
      <c r="AF142" s="514"/>
      <c r="AG142" s="514"/>
      <c r="AH142" s="789"/>
      <c r="AI142" s="946">
        <f t="shared" si="6"/>
        <v>0</v>
      </c>
      <c r="AJ142" s="521">
        <v>0</v>
      </c>
      <c r="AK142" s="520">
        <f t="shared" si="7"/>
        <v>0</v>
      </c>
      <c r="AL142" s="841" t="s">
        <v>1532</v>
      </c>
      <c r="AM142" s="842">
        <f t="shared" si="8"/>
        <v>2.1800000000000002</v>
      </c>
    </row>
    <row r="143" spans="1:39" s="843" customFormat="1">
      <c r="A143" s="832" t="s">
        <v>658</v>
      </c>
      <c r="B143" s="832" t="s">
        <v>1205</v>
      </c>
      <c r="C143" s="846" t="s">
        <v>40</v>
      </c>
      <c r="D143" s="519"/>
      <c r="E143" s="520"/>
      <c r="F143" s="726"/>
      <c r="G143" s="520"/>
      <c r="H143" s="520"/>
      <c r="I143" s="521"/>
      <c r="J143" s="521"/>
      <c r="K143" s="772"/>
      <c r="L143" s="514"/>
      <c r="M143" s="726"/>
      <c r="N143" s="514"/>
      <c r="O143" s="514"/>
      <c r="P143" s="514"/>
      <c r="Q143" s="514"/>
      <c r="R143" s="514"/>
      <c r="S143" s="514"/>
      <c r="T143" s="726"/>
      <c r="U143" s="514"/>
      <c r="V143" s="514"/>
      <c r="W143" s="514"/>
      <c r="X143" s="514"/>
      <c r="Y143" s="514"/>
      <c r="Z143" s="514"/>
      <c r="AA143" s="726"/>
      <c r="AB143" s="764"/>
      <c r="AC143" s="514"/>
      <c r="AD143" s="514"/>
      <c r="AE143" s="698"/>
      <c r="AF143" s="514"/>
      <c r="AG143" s="514"/>
      <c r="AH143" s="789"/>
      <c r="AI143" s="946">
        <f t="shared" ref="AI143:AI206" si="9">ROUND((SUM(D143:AH143)),2)</f>
        <v>0</v>
      </c>
      <c r="AJ143" s="521">
        <v>0</v>
      </c>
      <c r="AK143" s="520">
        <f t="shared" si="7"/>
        <v>0</v>
      </c>
      <c r="AL143" s="841" t="s">
        <v>1533</v>
      </c>
      <c r="AM143" s="842">
        <f t="shared" si="8"/>
        <v>29.03</v>
      </c>
    </row>
    <row r="144" spans="1:39" s="500" customFormat="1">
      <c r="A144" s="539" t="s">
        <v>659</v>
      </c>
      <c r="B144" s="539" t="s">
        <v>1167</v>
      </c>
      <c r="C144" s="548" t="s">
        <v>37</v>
      </c>
      <c r="D144" s="519"/>
      <c r="E144" s="520"/>
      <c r="F144" s="726"/>
      <c r="G144" s="520"/>
      <c r="H144" s="520"/>
      <c r="I144" s="521"/>
      <c r="J144" s="521"/>
      <c r="K144" s="772"/>
      <c r="L144" s="514"/>
      <c r="M144" s="726"/>
      <c r="N144" s="514"/>
      <c r="O144" s="514"/>
      <c r="P144" s="514"/>
      <c r="Q144" s="514"/>
      <c r="R144" s="514"/>
      <c r="S144" s="514"/>
      <c r="T144" s="726"/>
      <c r="U144" s="514"/>
      <c r="V144" s="514"/>
      <c r="W144" s="514"/>
      <c r="X144" s="514"/>
      <c r="Y144" s="514"/>
      <c r="Z144" s="514"/>
      <c r="AA144" s="726"/>
      <c r="AB144" s="764"/>
      <c r="AC144" s="514"/>
      <c r="AD144" s="514"/>
      <c r="AE144" s="698"/>
      <c r="AF144" s="514"/>
      <c r="AG144" s="514"/>
      <c r="AH144" s="789"/>
      <c r="AI144" s="946">
        <f t="shared" si="9"/>
        <v>0</v>
      </c>
      <c r="AJ144" s="521">
        <v>0</v>
      </c>
      <c r="AK144" s="520">
        <f t="shared" si="7"/>
        <v>0</v>
      </c>
      <c r="AL144" s="672" t="s">
        <v>1528</v>
      </c>
      <c r="AM144" s="669">
        <f t="shared" si="8"/>
        <v>72.33</v>
      </c>
    </row>
    <row r="145" spans="1:39" s="500" customFormat="1">
      <c r="A145" s="539" t="s">
        <v>660</v>
      </c>
      <c r="B145" s="539" t="s">
        <v>1168</v>
      </c>
      <c r="C145" s="548" t="s">
        <v>37</v>
      </c>
      <c r="D145" s="519"/>
      <c r="E145" s="520"/>
      <c r="F145" s="726"/>
      <c r="G145" s="520"/>
      <c r="H145" s="520"/>
      <c r="I145" s="521"/>
      <c r="J145" s="521"/>
      <c r="K145" s="772"/>
      <c r="L145" s="514"/>
      <c r="M145" s="726"/>
      <c r="N145" s="514"/>
      <c r="O145" s="514"/>
      <c r="P145" s="514"/>
      <c r="Q145" s="514"/>
      <c r="R145" s="514"/>
      <c r="S145" s="514"/>
      <c r="T145" s="726"/>
      <c r="U145" s="514"/>
      <c r="V145" s="514"/>
      <c r="W145" s="514"/>
      <c r="X145" s="514"/>
      <c r="Y145" s="514"/>
      <c r="Z145" s="514"/>
      <c r="AA145" s="726"/>
      <c r="AB145" s="764"/>
      <c r="AC145" s="514"/>
      <c r="AD145" s="514"/>
      <c r="AE145" s="698"/>
      <c r="AF145" s="514"/>
      <c r="AG145" s="514"/>
      <c r="AH145" s="789"/>
      <c r="AI145" s="946">
        <f t="shared" si="9"/>
        <v>0</v>
      </c>
      <c r="AJ145" s="521">
        <v>0</v>
      </c>
      <c r="AK145" s="520">
        <f t="shared" si="7"/>
        <v>0</v>
      </c>
      <c r="AL145" s="672"/>
      <c r="AM145" s="669">
        <f t="shared" si="8"/>
        <v>0</v>
      </c>
    </row>
    <row r="146" spans="1:39" s="500" customFormat="1">
      <c r="A146" s="542" t="s">
        <v>661</v>
      </c>
      <c r="B146" s="542" t="s">
        <v>1169</v>
      </c>
      <c r="C146" s="616"/>
      <c r="D146" s="519"/>
      <c r="E146" s="520"/>
      <c r="F146" s="726"/>
      <c r="G146" s="520"/>
      <c r="H146" s="520"/>
      <c r="I146" s="521"/>
      <c r="J146" s="521"/>
      <c r="K146" s="772"/>
      <c r="L146" s="514"/>
      <c r="M146" s="726"/>
      <c r="N146" s="514"/>
      <c r="O146" s="514"/>
      <c r="P146" s="514"/>
      <c r="Q146" s="514"/>
      <c r="R146" s="514"/>
      <c r="S146" s="514"/>
      <c r="T146" s="726"/>
      <c r="U146" s="514"/>
      <c r="V146" s="514"/>
      <c r="W146" s="514"/>
      <c r="X146" s="514"/>
      <c r="Y146" s="514"/>
      <c r="Z146" s="514"/>
      <c r="AA146" s="726"/>
      <c r="AB146" s="764"/>
      <c r="AC146" s="514"/>
      <c r="AD146" s="514"/>
      <c r="AE146" s="698"/>
      <c r="AF146" s="514"/>
      <c r="AG146" s="514"/>
      <c r="AH146" s="789"/>
      <c r="AI146" s="946">
        <f t="shared" si="9"/>
        <v>0</v>
      </c>
      <c r="AJ146" s="521">
        <v>0</v>
      </c>
      <c r="AK146" s="520">
        <f t="shared" si="7"/>
        <v>0</v>
      </c>
      <c r="AL146" s="672"/>
      <c r="AM146" s="669">
        <f t="shared" si="8"/>
        <v>0</v>
      </c>
    </row>
    <row r="147" spans="1:39" s="500" customFormat="1">
      <c r="A147" s="539" t="s">
        <v>662</v>
      </c>
      <c r="B147" s="539" t="s">
        <v>1170</v>
      </c>
      <c r="C147" s="616"/>
      <c r="D147" s="519"/>
      <c r="E147" s="520"/>
      <c r="F147" s="726"/>
      <c r="G147" s="520"/>
      <c r="H147" s="520"/>
      <c r="I147" s="521"/>
      <c r="J147" s="521"/>
      <c r="K147" s="772"/>
      <c r="L147" s="514"/>
      <c r="M147" s="726"/>
      <c r="N147" s="514"/>
      <c r="O147" s="514"/>
      <c r="P147" s="514"/>
      <c r="Q147" s="514"/>
      <c r="R147" s="514"/>
      <c r="S147" s="514"/>
      <c r="T147" s="726"/>
      <c r="U147" s="514"/>
      <c r="V147" s="514"/>
      <c r="W147" s="514"/>
      <c r="X147" s="514"/>
      <c r="Y147" s="514"/>
      <c r="Z147" s="514"/>
      <c r="AA147" s="726"/>
      <c r="AB147" s="764"/>
      <c r="AC147" s="522"/>
      <c r="AD147" s="514"/>
      <c r="AE147" s="698"/>
      <c r="AF147" s="514"/>
      <c r="AG147" s="514"/>
      <c r="AH147" s="789"/>
      <c r="AI147" s="946">
        <f t="shared" si="9"/>
        <v>0</v>
      </c>
      <c r="AJ147" s="521">
        <v>0</v>
      </c>
      <c r="AK147" s="520">
        <f t="shared" si="7"/>
        <v>0</v>
      </c>
      <c r="AL147" s="672" t="s">
        <v>1534</v>
      </c>
      <c r="AM147" s="669">
        <f t="shared" si="8"/>
        <v>6.34</v>
      </c>
    </row>
    <row r="148" spans="1:39" s="500" customFormat="1">
      <c r="A148" s="539" t="s">
        <v>663</v>
      </c>
      <c r="B148" s="539" t="s">
        <v>1206</v>
      </c>
      <c r="C148" s="548" t="s">
        <v>40</v>
      </c>
      <c r="D148" s="519"/>
      <c r="E148" s="520"/>
      <c r="F148" s="726"/>
      <c r="G148" s="520"/>
      <c r="H148" s="520"/>
      <c r="I148" s="521"/>
      <c r="J148" s="521"/>
      <c r="K148" s="772"/>
      <c r="L148" s="514"/>
      <c r="M148" s="726"/>
      <c r="N148" s="514"/>
      <c r="O148" s="514"/>
      <c r="P148" s="514"/>
      <c r="Q148" s="514"/>
      <c r="R148" s="514"/>
      <c r="S148" s="514"/>
      <c r="T148" s="726"/>
      <c r="U148" s="514"/>
      <c r="V148" s="514"/>
      <c r="W148" s="514"/>
      <c r="X148" s="514"/>
      <c r="Y148" s="514"/>
      <c r="Z148" s="757"/>
      <c r="AA148" s="726"/>
      <c r="AB148" s="764"/>
      <c r="AC148" s="514"/>
      <c r="AD148" s="514"/>
      <c r="AE148" s="698"/>
      <c r="AF148" s="514"/>
      <c r="AG148" s="514"/>
      <c r="AH148" s="789"/>
      <c r="AI148" s="946">
        <f t="shared" si="9"/>
        <v>0</v>
      </c>
      <c r="AJ148" s="521">
        <v>0</v>
      </c>
      <c r="AK148" s="520">
        <f t="shared" ref="AK148:AK211" si="10">AI148+AJ148</f>
        <v>0</v>
      </c>
      <c r="AL148" s="672" t="s">
        <v>1535</v>
      </c>
      <c r="AM148" s="669">
        <f t="shared" ref="AM148:AM211" si="11">AL148-AK148</f>
        <v>264.95999999999998</v>
      </c>
    </row>
    <row r="149" spans="1:39" s="500" customFormat="1">
      <c r="A149" s="539" t="s">
        <v>664</v>
      </c>
      <c r="B149" s="539" t="s">
        <v>1172</v>
      </c>
      <c r="C149" s="548" t="s">
        <v>48</v>
      </c>
      <c r="D149" s="519"/>
      <c r="E149" s="520"/>
      <c r="F149" s="726"/>
      <c r="G149" s="520"/>
      <c r="H149" s="520"/>
      <c r="I149" s="521"/>
      <c r="J149" s="521"/>
      <c r="K149" s="772"/>
      <c r="L149" s="514"/>
      <c r="M149" s="726"/>
      <c r="N149" s="514"/>
      <c r="O149" s="514"/>
      <c r="P149" s="514"/>
      <c r="Q149" s="514"/>
      <c r="R149" s="514"/>
      <c r="S149" s="514"/>
      <c r="T149" s="726"/>
      <c r="U149" s="514"/>
      <c r="V149" s="514"/>
      <c r="W149" s="514"/>
      <c r="X149" s="514"/>
      <c r="Y149" s="514"/>
      <c r="Z149" s="514"/>
      <c r="AA149" s="726"/>
      <c r="AB149" s="764"/>
      <c r="AC149" s="514"/>
      <c r="AD149" s="514"/>
      <c r="AE149" s="698"/>
      <c r="AF149" s="514"/>
      <c r="AG149" s="514"/>
      <c r="AH149" s="789"/>
      <c r="AI149" s="946">
        <f t="shared" si="9"/>
        <v>0</v>
      </c>
      <c r="AJ149" s="521">
        <v>0</v>
      </c>
      <c r="AK149" s="520">
        <f t="shared" si="10"/>
        <v>0</v>
      </c>
      <c r="AL149" s="672"/>
      <c r="AM149" s="669">
        <f t="shared" si="11"/>
        <v>0</v>
      </c>
    </row>
    <row r="150" spans="1:39" s="500" customFormat="1">
      <c r="A150" s="539" t="s">
        <v>665</v>
      </c>
      <c r="B150" s="539" t="s">
        <v>1173</v>
      </c>
      <c r="C150" s="616"/>
      <c r="D150" s="519"/>
      <c r="E150" s="520"/>
      <c r="F150" s="726"/>
      <c r="G150" s="520"/>
      <c r="H150" s="520"/>
      <c r="I150" s="521"/>
      <c r="J150" s="521"/>
      <c r="K150" s="772"/>
      <c r="L150" s="514"/>
      <c r="M150" s="726"/>
      <c r="N150" s="514"/>
      <c r="O150" s="514"/>
      <c r="P150" s="514"/>
      <c r="Q150" s="514"/>
      <c r="R150" s="514"/>
      <c r="S150" s="514"/>
      <c r="T150" s="726"/>
      <c r="U150" s="514"/>
      <c r="V150" s="514"/>
      <c r="W150" s="514"/>
      <c r="X150" s="514"/>
      <c r="Y150" s="514"/>
      <c r="Z150" s="514"/>
      <c r="AA150" s="726"/>
      <c r="AB150" s="764"/>
      <c r="AC150" s="514"/>
      <c r="AD150" s="514"/>
      <c r="AE150" s="698"/>
      <c r="AF150" s="514"/>
      <c r="AG150" s="514"/>
      <c r="AH150" s="789"/>
      <c r="AI150" s="946">
        <f t="shared" si="9"/>
        <v>0</v>
      </c>
      <c r="AJ150" s="521">
        <v>0</v>
      </c>
      <c r="AK150" s="520">
        <f t="shared" si="10"/>
        <v>0</v>
      </c>
      <c r="AL150" s="672" t="s">
        <v>1536</v>
      </c>
      <c r="AM150" s="669">
        <f t="shared" si="11"/>
        <v>3.77</v>
      </c>
    </row>
    <row r="151" spans="1:39" s="500" customFormat="1">
      <c r="A151" s="539" t="s">
        <v>666</v>
      </c>
      <c r="B151" s="539" t="s">
        <v>1207</v>
      </c>
      <c r="C151" s="548" t="s">
        <v>40</v>
      </c>
      <c r="D151" s="519"/>
      <c r="E151" s="520"/>
      <c r="F151" s="730"/>
      <c r="G151" s="520"/>
      <c r="H151" s="520"/>
      <c r="I151" s="521"/>
      <c r="J151" s="521"/>
      <c r="K151" s="772"/>
      <c r="L151" s="514"/>
      <c r="M151" s="730"/>
      <c r="N151" s="514"/>
      <c r="O151" s="514"/>
      <c r="P151" s="514"/>
      <c r="Q151" s="514"/>
      <c r="R151" s="514"/>
      <c r="S151" s="514"/>
      <c r="T151" s="730"/>
      <c r="U151" s="514"/>
      <c r="V151" s="514"/>
      <c r="W151" s="514"/>
      <c r="X151" s="514"/>
      <c r="Y151" s="514"/>
      <c r="Z151" s="514"/>
      <c r="AA151" s="730"/>
      <c r="AB151" s="764"/>
      <c r="AC151" s="514"/>
      <c r="AD151" s="514"/>
      <c r="AE151" s="698"/>
      <c r="AF151" s="514"/>
      <c r="AG151" s="514"/>
      <c r="AH151" s="789"/>
      <c r="AI151" s="946">
        <f t="shared" si="9"/>
        <v>0</v>
      </c>
      <c r="AJ151" s="521">
        <v>0</v>
      </c>
      <c r="AK151" s="520">
        <f t="shared" si="10"/>
        <v>0</v>
      </c>
      <c r="AL151" s="672" t="s">
        <v>1537</v>
      </c>
      <c r="AM151" s="669">
        <f t="shared" si="11"/>
        <v>30.18</v>
      </c>
    </row>
    <row r="152" spans="1:39" s="500" customFormat="1">
      <c r="A152" s="539" t="s">
        <v>667</v>
      </c>
      <c r="B152" s="539" t="s">
        <v>1175</v>
      </c>
      <c r="C152" s="548" t="s">
        <v>37</v>
      </c>
      <c r="D152" s="519"/>
      <c r="E152" s="520"/>
      <c r="F152" s="726"/>
      <c r="G152" s="520"/>
      <c r="H152" s="520"/>
      <c r="I152" s="521"/>
      <c r="J152" s="521"/>
      <c r="K152" s="772"/>
      <c r="L152" s="514"/>
      <c r="M152" s="726"/>
      <c r="N152" s="514"/>
      <c r="O152" s="514"/>
      <c r="P152" s="514"/>
      <c r="Q152" s="514"/>
      <c r="R152" s="514"/>
      <c r="S152" s="514"/>
      <c r="T152" s="726"/>
      <c r="U152" s="514"/>
      <c r="V152" s="514"/>
      <c r="W152" s="514"/>
      <c r="X152" s="514"/>
      <c r="Y152" s="514"/>
      <c r="Z152" s="514"/>
      <c r="AA152" s="726"/>
      <c r="AB152" s="764"/>
      <c r="AC152" s="527"/>
      <c r="AD152" s="667"/>
      <c r="AE152" s="698"/>
      <c r="AF152" s="514"/>
      <c r="AG152" s="514"/>
      <c r="AH152" s="789"/>
      <c r="AI152" s="946">
        <f t="shared" si="9"/>
        <v>0</v>
      </c>
      <c r="AJ152" s="521">
        <v>0</v>
      </c>
      <c r="AK152" s="520">
        <f t="shared" si="10"/>
        <v>0</v>
      </c>
      <c r="AL152" s="672" t="s">
        <v>1538</v>
      </c>
      <c r="AM152" s="669">
        <f t="shared" si="11"/>
        <v>365.33</v>
      </c>
    </row>
    <row r="153" spans="1:39" s="500" customFormat="1" ht="13.35" customHeight="1">
      <c r="A153" s="539" t="s">
        <v>668</v>
      </c>
      <c r="B153" s="539" t="s">
        <v>1176</v>
      </c>
      <c r="C153" s="548" t="s">
        <v>48</v>
      </c>
      <c r="D153" s="519"/>
      <c r="E153" s="520"/>
      <c r="F153" s="726"/>
      <c r="G153" s="520"/>
      <c r="H153" s="520"/>
      <c r="I153" s="521"/>
      <c r="J153" s="521"/>
      <c r="K153" s="772"/>
      <c r="L153" s="514"/>
      <c r="M153" s="726"/>
      <c r="N153" s="514"/>
      <c r="O153" s="514"/>
      <c r="P153" s="514"/>
      <c r="Q153" s="514"/>
      <c r="R153" s="514"/>
      <c r="S153" s="514"/>
      <c r="T153" s="726"/>
      <c r="U153" s="514"/>
      <c r="V153" s="514"/>
      <c r="W153" s="514"/>
      <c r="X153" s="514"/>
      <c r="Y153" s="514"/>
      <c r="Z153" s="514"/>
      <c r="AA153" s="726"/>
      <c r="AB153" s="764"/>
      <c r="AC153" s="514"/>
      <c r="AD153" s="514"/>
      <c r="AE153" s="698"/>
      <c r="AF153" s="514"/>
      <c r="AG153" s="514"/>
      <c r="AH153" s="789"/>
      <c r="AI153" s="946">
        <f t="shared" si="9"/>
        <v>0</v>
      </c>
      <c r="AJ153" s="521">
        <v>0</v>
      </c>
      <c r="AK153" s="520">
        <f t="shared" si="10"/>
        <v>0</v>
      </c>
      <c r="AL153" s="672"/>
      <c r="AM153" s="669">
        <f t="shared" si="11"/>
        <v>0</v>
      </c>
    </row>
    <row r="154" spans="1:39" s="500" customFormat="1" ht="13.35" customHeight="1">
      <c r="A154" s="539" t="s">
        <v>669</v>
      </c>
      <c r="B154" s="539" t="s">
        <v>1177</v>
      </c>
      <c r="C154" s="548"/>
      <c r="D154" s="519"/>
      <c r="E154" s="520"/>
      <c r="F154" s="726"/>
      <c r="G154" s="520"/>
      <c r="H154" s="520"/>
      <c r="I154" s="521"/>
      <c r="J154" s="521"/>
      <c r="K154" s="772"/>
      <c r="L154" s="514"/>
      <c r="M154" s="726"/>
      <c r="N154" s="514"/>
      <c r="O154" s="514"/>
      <c r="P154" s="514"/>
      <c r="Q154" s="514"/>
      <c r="R154" s="514"/>
      <c r="S154" s="514"/>
      <c r="T154" s="726"/>
      <c r="U154" s="514"/>
      <c r="V154" s="514"/>
      <c r="W154" s="514"/>
      <c r="X154" s="514"/>
      <c r="Y154" s="514"/>
      <c r="Z154" s="514"/>
      <c r="AA154" s="726"/>
      <c r="AB154" s="764"/>
      <c r="AC154" s="514"/>
      <c r="AD154" s="514"/>
      <c r="AE154" s="698"/>
      <c r="AF154" s="514"/>
      <c r="AG154" s="514"/>
      <c r="AH154" s="789"/>
      <c r="AI154" s="946">
        <f t="shared" si="9"/>
        <v>0</v>
      </c>
      <c r="AJ154" s="521">
        <v>0</v>
      </c>
      <c r="AK154" s="520">
        <f t="shared" si="10"/>
        <v>0</v>
      </c>
      <c r="AL154" s="672" t="s">
        <v>1539</v>
      </c>
      <c r="AM154" s="669">
        <f t="shared" si="11"/>
        <v>6.4</v>
      </c>
    </row>
    <row r="155" spans="1:39" s="500" customFormat="1" ht="13.35" customHeight="1">
      <c r="A155" s="539" t="s">
        <v>670</v>
      </c>
      <c r="B155" s="539" t="s">
        <v>1208</v>
      </c>
      <c r="C155" s="548" t="s">
        <v>40</v>
      </c>
      <c r="D155" s="519"/>
      <c r="E155" s="520"/>
      <c r="F155" s="726"/>
      <c r="G155" s="520"/>
      <c r="H155" s="520"/>
      <c r="I155" s="521"/>
      <c r="J155" s="521"/>
      <c r="K155" s="772"/>
      <c r="L155" s="514"/>
      <c r="M155" s="726"/>
      <c r="N155" s="514"/>
      <c r="O155" s="514"/>
      <c r="P155" s="514"/>
      <c r="Q155" s="514"/>
      <c r="R155" s="514"/>
      <c r="S155" s="514"/>
      <c r="T155" s="726"/>
      <c r="U155" s="514"/>
      <c r="V155" s="514"/>
      <c r="W155" s="514"/>
      <c r="X155" s="514"/>
      <c r="Y155" s="514"/>
      <c r="Z155" s="514"/>
      <c r="AA155" s="726"/>
      <c r="AB155" s="764"/>
      <c r="AC155" s="514"/>
      <c r="AD155" s="514"/>
      <c r="AE155" s="698"/>
      <c r="AF155" s="514"/>
      <c r="AG155" s="514"/>
      <c r="AH155" s="789"/>
      <c r="AI155" s="946">
        <f t="shared" si="9"/>
        <v>0</v>
      </c>
      <c r="AJ155" s="521">
        <v>0</v>
      </c>
      <c r="AK155" s="520">
        <f t="shared" si="10"/>
        <v>0</v>
      </c>
      <c r="AL155" s="672" t="s">
        <v>1540</v>
      </c>
      <c r="AM155" s="669">
        <f t="shared" si="11"/>
        <v>76.7</v>
      </c>
    </row>
    <row r="156" spans="1:39" s="500" customFormat="1" ht="13.35" customHeight="1">
      <c r="A156" s="539" t="s">
        <v>671</v>
      </c>
      <c r="B156" s="539" t="s">
        <v>1179</v>
      </c>
      <c r="C156" s="548" t="s">
        <v>37</v>
      </c>
      <c r="D156" s="519"/>
      <c r="E156" s="520"/>
      <c r="F156" s="726"/>
      <c r="G156" s="520"/>
      <c r="H156" s="520"/>
      <c r="I156" s="521"/>
      <c r="J156" s="521"/>
      <c r="K156" s="772"/>
      <c r="L156" s="514"/>
      <c r="M156" s="726"/>
      <c r="N156" s="514"/>
      <c r="O156" s="514"/>
      <c r="P156" s="514"/>
      <c r="Q156" s="514"/>
      <c r="R156" s="514"/>
      <c r="S156" s="514"/>
      <c r="T156" s="726"/>
      <c r="U156" s="514"/>
      <c r="V156" s="514"/>
      <c r="W156" s="514"/>
      <c r="X156" s="514"/>
      <c r="Y156" s="514"/>
      <c r="Z156" s="522"/>
      <c r="AA156" s="726"/>
      <c r="AB156" s="764"/>
      <c r="AC156" s="514"/>
      <c r="AD156" s="514"/>
      <c r="AE156" s="698"/>
      <c r="AF156" s="514"/>
      <c r="AG156" s="514"/>
      <c r="AH156" s="789"/>
      <c r="AI156" s="946">
        <f t="shared" si="9"/>
        <v>0</v>
      </c>
      <c r="AJ156" s="521">
        <v>0</v>
      </c>
      <c r="AK156" s="520">
        <f t="shared" si="10"/>
        <v>0</v>
      </c>
      <c r="AL156" s="672" t="s">
        <v>1541</v>
      </c>
      <c r="AM156" s="669">
        <f t="shared" si="11"/>
        <v>1929.18</v>
      </c>
    </row>
    <row r="157" spans="1:39" s="500" customFormat="1" ht="13.35" customHeight="1">
      <c r="A157" s="539" t="s">
        <v>672</v>
      </c>
      <c r="B157" s="539" t="s">
        <v>1180</v>
      </c>
      <c r="C157" s="548" t="s">
        <v>48</v>
      </c>
      <c r="D157" s="519"/>
      <c r="E157" s="520"/>
      <c r="F157" s="726"/>
      <c r="G157" s="520"/>
      <c r="H157" s="520"/>
      <c r="I157" s="521"/>
      <c r="J157" s="521"/>
      <c r="K157" s="772"/>
      <c r="L157" s="514"/>
      <c r="M157" s="726"/>
      <c r="N157" s="514"/>
      <c r="O157" s="514"/>
      <c r="P157" s="514"/>
      <c r="Q157" s="514"/>
      <c r="R157" s="514"/>
      <c r="S157" s="514"/>
      <c r="T157" s="726"/>
      <c r="U157" s="514"/>
      <c r="V157" s="514"/>
      <c r="W157" s="514"/>
      <c r="X157" s="514"/>
      <c r="Y157" s="514"/>
      <c r="Z157" s="514"/>
      <c r="AA157" s="726"/>
      <c r="AB157" s="764"/>
      <c r="AC157" s="514"/>
      <c r="AD157" s="514"/>
      <c r="AE157" s="698"/>
      <c r="AF157" s="514"/>
      <c r="AG157" s="514"/>
      <c r="AH157" s="789"/>
      <c r="AI157" s="946">
        <f t="shared" si="9"/>
        <v>0</v>
      </c>
      <c r="AJ157" s="521">
        <v>0</v>
      </c>
      <c r="AK157" s="520">
        <f t="shared" si="10"/>
        <v>0</v>
      </c>
      <c r="AL157" s="672"/>
      <c r="AM157" s="669">
        <f t="shared" si="11"/>
        <v>0</v>
      </c>
    </row>
    <row r="158" spans="1:39" s="500" customFormat="1" ht="13.35" customHeight="1">
      <c r="A158" s="539" t="s">
        <v>673</v>
      </c>
      <c r="B158" s="539" t="s">
        <v>1181</v>
      </c>
      <c r="C158" s="616"/>
      <c r="D158" s="519"/>
      <c r="E158" s="520"/>
      <c r="F158" s="726"/>
      <c r="G158" s="520"/>
      <c r="H158" s="520"/>
      <c r="I158" s="521"/>
      <c r="J158" s="521"/>
      <c r="K158" s="772"/>
      <c r="L158" s="514"/>
      <c r="M158" s="726"/>
      <c r="N158" s="514"/>
      <c r="O158" s="514"/>
      <c r="P158" s="514"/>
      <c r="Q158" s="514"/>
      <c r="R158" s="514"/>
      <c r="S158" s="514"/>
      <c r="T158" s="726"/>
      <c r="U158" s="514"/>
      <c r="V158" s="514"/>
      <c r="W158" s="514"/>
      <c r="X158" s="514"/>
      <c r="Y158" s="514"/>
      <c r="Z158" s="514"/>
      <c r="AA158" s="726"/>
      <c r="AB158" s="764"/>
      <c r="AC158" s="514"/>
      <c r="AD158" s="514"/>
      <c r="AE158" s="698"/>
      <c r="AF158" s="514"/>
      <c r="AG158" s="514"/>
      <c r="AH158" s="789"/>
      <c r="AI158" s="946">
        <f t="shared" si="9"/>
        <v>0</v>
      </c>
      <c r="AJ158" s="521">
        <v>0</v>
      </c>
      <c r="AK158" s="520">
        <f t="shared" si="10"/>
        <v>0</v>
      </c>
      <c r="AL158" s="672" t="s">
        <v>1542</v>
      </c>
      <c r="AM158" s="669">
        <f t="shared" si="11"/>
        <v>3.44</v>
      </c>
    </row>
    <row r="159" spans="1:39" s="500" customFormat="1" ht="13.35" customHeight="1">
      <c r="A159" s="539" t="s">
        <v>674</v>
      </c>
      <c r="B159" s="539" t="s">
        <v>1182</v>
      </c>
      <c r="C159" s="548" t="s">
        <v>40</v>
      </c>
      <c r="D159" s="519"/>
      <c r="E159" s="520"/>
      <c r="F159" s="726"/>
      <c r="G159" s="520"/>
      <c r="H159" s="520"/>
      <c r="I159" s="521"/>
      <c r="J159" s="521"/>
      <c r="K159" s="772"/>
      <c r="L159" s="514"/>
      <c r="M159" s="726"/>
      <c r="N159" s="514"/>
      <c r="O159" s="514"/>
      <c r="P159" s="514"/>
      <c r="Q159" s="514"/>
      <c r="R159" s="514"/>
      <c r="S159" s="514"/>
      <c r="T159" s="726"/>
      <c r="U159" s="514"/>
      <c r="V159" s="514"/>
      <c r="W159" s="514"/>
      <c r="X159" s="514"/>
      <c r="Y159" s="514"/>
      <c r="Z159" s="514"/>
      <c r="AA159" s="726"/>
      <c r="AB159" s="884"/>
      <c r="AC159" s="514"/>
      <c r="AD159" s="514"/>
      <c r="AE159" s="698"/>
      <c r="AF159" s="514"/>
      <c r="AG159" s="514"/>
      <c r="AH159" s="789"/>
      <c r="AI159" s="946">
        <f t="shared" si="9"/>
        <v>0</v>
      </c>
      <c r="AJ159" s="521">
        <v>0</v>
      </c>
      <c r="AK159" s="520">
        <f t="shared" si="10"/>
        <v>0</v>
      </c>
      <c r="AL159" s="672" t="s">
        <v>1543</v>
      </c>
      <c r="AM159" s="669">
        <f t="shared" si="11"/>
        <v>21.46</v>
      </c>
    </row>
    <row r="160" spans="1:39" s="500" customFormat="1" ht="13.35" customHeight="1">
      <c r="A160" s="539" t="s">
        <v>675</v>
      </c>
      <c r="B160" s="539" t="s">
        <v>1183</v>
      </c>
      <c r="C160" s="548" t="s">
        <v>37</v>
      </c>
      <c r="D160" s="519"/>
      <c r="E160" s="520"/>
      <c r="F160" s="726"/>
      <c r="G160" s="520"/>
      <c r="H160" s="520"/>
      <c r="I160" s="521"/>
      <c r="J160" s="521"/>
      <c r="K160" s="772"/>
      <c r="L160" s="514"/>
      <c r="M160" s="726"/>
      <c r="N160" s="514"/>
      <c r="O160" s="514"/>
      <c r="P160" s="514"/>
      <c r="Q160" s="514"/>
      <c r="R160" s="514"/>
      <c r="S160" s="514"/>
      <c r="T160" s="726"/>
      <c r="U160" s="514"/>
      <c r="V160" s="514"/>
      <c r="W160" s="514"/>
      <c r="X160" s="514"/>
      <c r="Y160" s="514"/>
      <c r="Z160" s="514"/>
      <c r="AA160" s="726"/>
      <c r="AB160" s="764"/>
      <c r="AC160" s="514"/>
      <c r="AD160" s="514"/>
      <c r="AE160" s="698"/>
      <c r="AF160" s="514"/>
      <c r="AG160" s="514"/>
      <c r="AH160" s="789"/>
      <c r="AI160" s="946">
        <f t="shared" si="9"/>
        <v>0</v>
      </c>
      <c r="AJ160" s="521">
        <v>0</v>
      </c>
      <c r="AK160" s="520">
        <f t="shared" si="10"/>
        <v>0</v>
      </c>
      <c r="AL160" s="672" t="s">
        <v>1544</v>
      </c>
      <c r="AM160" s="669">
        <f t="shared" si="11"/>
        <v>302.89999999999998</v>
      </c>
    </row>
    <row r="161" spans="1:39" s="500" customFormat="1" ht="13.35" customHeight="1">
      <c r="A161" s="539" t="s">
        <v>676</v>
      </c>
      <c r="B161" s="539" t="s">
        <v>1184</v>
      </c>
      <c r="C161" s="548" t="s">
        <v>48</v>
      </c>
      <c r="D161" s="519"/>
      <c r="E161" s="520"/>
      <c r="F161" s="726"/>
      <c r="G161" s="520"/>
      <c r="H161" s="520"/>
      <c r="I161" s="521"/>
      <c r="J161" s="521"/>
      <c r="K161" s="772"/>
      <c r="L161" s="514"/>
      <c r="M161" s="726"/>
      <c r="N161" s="514"/>
      <c r="O161" s="514"/>
      <c r="P161" s="514"/>
      <c r="Q161" s="514"/>
      <c r="R161" s="514"/>
      <c r="S161" s="514"/>
      <c r="T161" s="726"/>
      <c r="U161" s="514"/>
      <c r="V161" s="514"/>
      <c r="W161" s="514"/>
      <c r="X161" s="514"/>
      <c r="Y161" s="514"/>
      <c r="Z161" s="514"/>
      <c r="AA161" s="726"/>
      <c r="AB161" s="764"/>
      <c r="AC161" s="514"/>
      <c r="AD161" s="514"/>
      <c r="AE161" s="698"/>
      <c r="AF161" s="514"/>
      <c r="AG161" s="514"/>
      <c r="AH161" s="789"/>
      <c r="AI161" s="946">
        <f t="shared" si="9"/>
        <v>0</v>
      </c>
      <c r="AJ161" s="521">
        <v>0</v>
      </c>
      <c r="AK161" s="520">
        <f t="shared" si="10"/>
        <v>0</v>
      </c>
      <c r="AL161" s="672"/>
      <c r="AM161" s="669">
        <f t="shared" si="11"/>
        <v>0</v>
      </c>
    </row>
    <row r="162" spans="1:39" s="500" customFormat="1" ht="13.35" customHeight="1">
      <c r="A162" s="539" t="s">
        <v>677</v>
      </c>
      <c r="B162" s="539" t="s">
        <v>1185</v>
      </c>
      <c r="C162" s="616"/>
      <c r="D162" s="519"/>
      <c r="E162" s="520"/>
      <c r="F162" s="726"/>
      <c r="G162" s="520"/>
      <c r="H162" s="520"/>
      <c r="I162" s="521"/>
      <c r="J162" s="521"/>
      <c r="K162" s="772"/>
      <c r="L162" s="514"/>
      <c r="M162" s="726"/>
      <c r="N162" s="514"/>
      <c r="O162" s="514"/>
      <c r="P162" s="514"/>
      <c r="Q162" s="514"/>
      <c r="R162" s="514"/>
      <c r="S162" s="514"/>
      <c r="T162" s="726"/>
      <c r="U162" s="514"/>
      <c r="V162" s="514"/>
      <c r="W162" s="514"/>
      <c r="X162" s="514"/>
      <c r="Y162" s="514"/>
      <c r="Z162" s="514"/>
      <c r="AA162" s="726"/>
      <c r="AB162" s="764"/>
      <c r="AC162" s="514"/>
      <c r="AD162" s="514"/>
      <c r="AE162" s="698"/>
      <c r="AF162" s="514"/>
      <c r="AG162" s="514"/>
      <c r="AH162" s="789"/>
      <c r="AI162" s="946">
        <f t="shared" si="9"/>
        <v>0</v>
      </c>
      <c r="AJ162" s="521">
        <v>0</v>
      </c>
      <c r="AK162" s="520">
        <f t="shared" si="10"/>
        <v>0</v>
      </c>
      <c r="AL162" s="672" t="s">
        <v>1545</v>
      </c>
      <c r="AM162" s="669">
        <f t="shared" si="11"/>
        <v>11.56</v>
      </c>
    </row>
    <row r="163" spans="1:39" s="500" customFormat="1" ht="13.35" customHeight="1">
      <c r="A163" s="539" t="s">
        <v>678</v>
      </c>
      <c r="B163" s="539" t="s">
        <v>1186</v>
      </c>
      <c r="C163" s="548" t="s">
        <v>40</v>
      </c>
      <c r="D163" s="519"/>
      <c r="E163" s="520"/>
      <c r="F163" s="726"/>
      <c r="G163" s="520"/>
      <c r="H163" s="520"/>
      <c r="I163" s="521"/>
      <c r="J163" s="521"/>
      <c r="K163" s="772"/>
      <c r="L163" s="514"/>
      <c r="M163" s="726"/>
      <c r="N163" s="514"/>
      <c r="O163" s="514"/>
      <c r="P163" s="514"/>
      <c r="Q163" s="514"/>
      <c r="R163" s="514"/>
      <c r="S163" s="514"/>
      <c r="T163" s="726"/>
      <c r="U163" s="514"/>
      <c r="V163" s="514"/>
      <c r="W163" s="514"/>
      <c r="X163" s="514"/>
      <c r="Y163" s="514"/>
      <c r="Z163" s="514"/>
      <c r="AA163" s="726"/>
      <c r="AB163" s="764"/>
      <c r="AC163" s="514"/>
      <c r="AD163" s="514"/>
      <c r="AE163" s="698"/>
      <c r="AF163" s="514"/>
      <c r="AG163" s="514"/>
      <c r="AH163" s="789"/>
      <c r="AI163" s="946">
        <f t="shared" si="9"/>
        <v>0</v>
      </c>
      <c r="AJ163" s="521">
        <v>0</v>
      </c>
      <c r="AK163" s="520">
        <f t="shared" si="10"/>
        <v>0</v>
      </c>
      <c r="AL163" s="672" t="s">
        <v>1546</v>
      </c>
      <c r="AM163" s="669">
        <f t="shared" si="11"/>
        <v>101.84</v>
      </c>
    </row>
    <row r="164" spans="1:39" s="500" customFormat="1" ht="13.35" customHeight="1">
      <c r="A164" s="539" t="s">
        <v>679</v>
      </c>
      <c r="B164" s="539" t="s">
        <v>1187</v>
      </c>
      <c r="C164" s="548" t="s">
        <v>37</v>
      </c>
      <c r="D164" s="519"/>
      <c r="E164" s="520"/>
      <c r="F164" s="726"/>
      <c r="G164" s="520"/>
      <c r="H164" s="520"/>
      <c r="I164" s="521"/>
      <c r="J164" s="521"/>
      <c r="K164" s="772"/>
      <c r="L164" s="514"/>
      <c r="M164" s="726"/>
      <c r="N164" s="514"/>
      <c r="O164" s="514"/>
      <c r="P164" s="514"/>
      <c r="Q164" s="514"/>
      <c r="R164" s="514"/>
      <c r="S164" s="514"/>
      <c r="T164" s="726"/>
      <c r="U164" s="514"/>
      <c r="V164" s="514"/>
      <c r="W164" s="514"/>
      <c r="X164" s="514"/>
      <c r="Y164" s="514"/>
      <c r="Z164" s="514"/>
      <c r="AA164" s="726"/>
      <c r="AB164" s="764"/>
      <c r="AC164" s="514"/>
      <c r="AD164" s="514"/>
      <c r="AE164" s="698"/>
      <c r="AF164" s="514"/>
      <c r="AG164" s="514"/>
      <c r="AH164" s="789"/>
      <c r="AI164" s="946">
        <f t="shared" si="9"/>
        <v>0</v>
      </c>
      <c r="AJ164" s="521">
        <v>0</v>
      </c>
      <c r="AK164" s="520">
        <f t="shared" si="10"/>
        <v>0</v>
      </c>
      <c r="AL164" s="672" t="s">
        <v>1547</v>
      </c>
      <c r="AM164" s="669">
        <f t="shared" si="11"/>
        <v>1333.5</v>
      </c>
    </row>
    <row r="165" spans="1:39" s="500" customFormat="1" ht="13.35" customHeight="1">
      <c r="A165" s="539" t="s">
        <v>680</v>
      </c>
      <c r="B165" s="539" t="s">
        <v>1188</v>
      </c>
      <c r="C165" s="548" t="s">
        <v>48</v>
      </c>
      <c r="D165" s="519"/>
      <c r="E165" s="520"/>
      <c r="F165" s="726"/>
      <c r="G165" s="520"/>
      <c r="H165" s="520"/>
      <c r="I165" s="521"/>
      <c r="J165" s="521"/>
      <c r="K165" s="772"/>
      <c r="L165" s="514"/>
      <c r="M165" s="726"/>
      <c r="N165" s="514"/>
      <c r="O165" s="514"/>
      <c r="P165" s="514"/>
      <c r="Q165" s="514"/>
      <c r="R165" s="514"/>
      <c r="S165" s="514"/>
      <c r="T165" s="726"/>
      <c r="U165" s="514"/>
      <c r="V165" s="514"/>
      <c r="W165" s="514"/>
      <c r="X165" s="514"/>
      <c r="Y165" s="514"/>
      <c r="Z165" s="514"/>
      <c r="AA165" s="726"/>
      <c r="AB165" s="764"/>
      <c r="AC165" s="514"/>
      <c r="AD165" s="514"/>
      <c r="AE165" s="698"/>
      <c r="AF165" s="514"/>
      <c r="AG165" s="514"/>
      <c r="AH165" s="789"/>
      <c r="AI165" s="946">
        <f t="shared" si="9"/>
        <v>0</v>
      </c>
      <c r="AJ165" s="521">
        <v>0</v>
      </c>
      <c r="AK165" s="520">
        <f t="shared" si="10"/>
        <v>0</v>
      </c>
      <c r="AL165" s="672"/>
      <c r="AM165" s="669">
        <f t="shared" si="11"/>
        <v>0</v>
      </c>
    </row>
    <row r="166" spans="1:39" s="500" customFormat="1" ht="13.35" customHeight="1">
      <c r="A166" s="539" t="s">
        <v>681</v>
      </c>
      <c r="B166" s="539" t="s">
        <v>1189</v>
      </c>
      <c r="C166" s="616"/>
      <c r="D166" s="519"/>
      <c r="E166" s="520"/>
      <c r="F166" s="726"/>
      <c r="G166" s="520"/>
      <c r="H166" s="520"/>
      <c r="I166" s="521"/>
      <c r="J166" s="521"/>
      <c r="K166" s="772"/>
      <c r="L166" s="514"/>
      <c r="M166" s="726"/>
      <c r="N166" s="514"/>
      <c r="O166" s="514"/>
      <c r="P166" s="514"/>
      <c r="Q166" s="514"/>
      <c r="R166" s="514"/>
      <c r="S166" s="514"/>
      <c r="T166" s="726"/>
      <c r="U166" s="514"/>
      <c r="V166" s="514"/>
      <c r="W166" s="514"/>
      <c r="X166" s="514"/>
      <c r="Y166" s="514"/>
      <c r="Z166" s="514"/>
      <c r="AA166" s="726"/>
      <c r="AB166" s="764"/>
      <c r="AC166" s="514"/>
      <c r="AD166" s="514"/>
      <c r="AE166" s="698"/>
      <c r="AF166" s="514"/>
      <c r="AG166" s="514"/>
      <c r="AH166" s="789"/>
      <c r="AI166" s="946">
        <f t="shared" si="9"/>
        <v>0</v>
      </c>
      <c r="AJ166" s="521">
        <v>0</v>
      </c>
      <c r="AK166" s="520">
        <f t="shared" si="10"/>
        <v>0</v>
      </c>
      <c r="AL166" s="672" t="s">
        <v>1548</v>
      </c>
      <c r="AM166" s="669">
        <f t="shared" si="11"/>
        <v>13.47</v>
      </c>
    </row>
    <row r="167" spans="1:39" s="500" customFormat="1" ht="13.35" customHeight="1">
      <c r="A167" s="539" t="s">
        <v>682</v>
      </c>
      <c r="B167" s="539" t="s">
        <v>1190</v>
      </c>
      <c r="C167" s="548" t="s">
        <v>40</v>
      </c>
      <c r="D167" s="519"/>
      <c r="E167" s="520"/>
      <c r="F167" s="726"/>
      <c r="G167" s="520"/>
      <c r="H167" s="520"/>
      <c r="I167" s="521"/>
      <c r="J167" s="521"/>
      <c r="K167" s="772"/>
      <c r="L167" s="514"/>
      <c r="M167" s="726"/>
      <c r="N167" s="514"/>
      <c r="O167" s="514"/>
      <c r="P167" s="514"/>
      <c r="Q167" s="514"/>
      <c r="R167" s="514"/>
      <c r="S167" s="514"/>
      <c r="T167" s="726"/>
      <c r="U167" s="514"/>
      <c r="V167" s="514"/>
      <c r="W167" s="514"/>
      <c r="X167" s="514"/>
      <c r="Y167" s="514"/>
      <c r="Z167" s="514"/>
      <c r="AA167" s="726"/>
      <c r="AB167" s="764"/>
      <c r="AC167" s="514"/>
      <c r="AD167" s="514"/>
      <c r="AE167" s="698"/>
      <c r="AF167" s="514"/>
      <c r="AG167" s="514"/>
      <c r="AH167" s="789"/>
      <c r="AI167" s="946">
        <f t="shared" si="9"/>
        <v>0</v>
      </c>
      <c r="AJ167" s="521">
        <v>0</v>
      </c>
      <c r="AK167" s="520">
        <f t="shared" si="10"/>
        <v>0</v>
      </c>
      <c r="AL167" s="672" t="s">
        <v>1549</v>
      </c>
      <c r="AM167" s="669">
        <f t="shared" si="11"/>
        <v>153.93</v>
      </c>
    </row>
    <row r="168" spans="1:39" s="500" customFormat="1" ht="13.35" customHeight="1">
      <c r="A168" s="539" t="s">
        <v>683</v>
      </c>
      <c r="B168" s="539" t="s">
        <v>1191</v>
      </c>
      <c r="C168" s="548" t="s">
        <v>37</v>
      </c>
      <c r="D168" s="519"/>
      <c r="E168" s="520"/>
      <c r="F168" s="726"/>
      <c r="G168" s="520"/>
      <c r="H168" s="520"/>
      <c r="I168" s="521"/>
      <c r="J168" s="521"/>
      <c r="K168" s="772"/>
      <c r="L168" s="514"/>
      <c r="M168" s="726"/>
      <c r="N168" s="514"/>
      <c r="O168" s="514"/>
      <c r="P168" s="514"/>
      <c r="Q168" s="514"/>
      <c r="R168" s="514"/>
      <c r="S168" s="514"/>
      <c r="T168" s="726"/>
      <c r="U168" s="514"/>
      <c r="V168" s="514"/>
      <c r="W168" s="514"/>
      <c r="X168" s="514"/>
      <c r="Y168" s="514"/>
      <c r="Z168" s="514"/>
      <c r="AA168" s="726"/>
      <c r="AB168" s="764"/>
      <c r="AC168" s="514"/>
      <c r="AD168" s="514"/>
      <c r="AE168" s="698"/>
      <c r="AF168" s="514"/>
      <c r="AG168" s="514"/>
      <c r="AH168" s="789"/>
      <c r="AI168" s="946">
        <f t="shared" si="9"/>
        <v>0</v>
      </c>
      <c r="AJ168" s="521">
        <v>0</v>
      </c>
      <c r="AK168" s="520">
        <f t="shared" si="10"/>
        <v>0</v>
      </c>
      <c r="AL168" s="672" t="s">
        <v>1550</v>
      </c>
      <c r="AM168" s="669">
        <f t="shared" si="11"/>
        <v>1781.46</v>
      </c>
    </row>
    <row r="169" spans="1:39" s="500" customFormat="1" ht="13.35" customHeight="1">
      <c r="A169" s="539" t="s">
        <v>684</v>
      </c>
      <c r="B169" s="539" t="s">
        <v>1192</v>
      </c>
      <c r="C169" s="548" t="s">
        <v>48</v>
      </c>
      <c r="D169" s="519"/>
      <c r="E169" s="520"/>
      <c r="F169" s="726"/>
      <c r="G169" s="520"/>
      <c r="H169" s="520"/>
      <c r="I169" s="521"/>
      <c r="J169" s="521"/>
      <c r="K169" s="772"/>
      <c r="L169" s="514"/>
      <c r="M169" s="726"/>
      <c r="N169" s="514"/>
      <c r="O169" s="514"/>
      <c r="P169" s="514"/>
      <c r="Q169" s="514"/>
      <c r="R169" s="514"/>
      <c r="S169" s="514"/>
      <c r="T169" s="726"/>
      <c r="U169" s="514"/>
      <c r="V169" s="514"/>
      <c r="W169" s="514"/>
      <c r="X169" s="514"/>
      <c r="Y169" s="514"/>
      <c r="Z169" s="514"/>
      <c r="AA169" s="726"/>
      <c r="AB169" s="764"/>
      <c r="AC169" s="514"/>
      <c r="AD169" s="514"/>
      <c r="AE169" s="698"/>
      <c r="AF169" s="514"/>
      <c r="AG169" s="514"/>
      <c r="AH169" s="789"/>
      <c r="AI169" s="946">
        <f t="shared" si="9"/>
        <v>0</v>
      </c>
      <c r="AJ169" s="521">
        <v>0</v>
      </c>
      <c r="AK169" s="520">
        <f t="shared" si="10"/>
        <v>0</v>
      </c>
      <c r="AL169" s="672" t="s">
        <v>1551</v>
      </c>
      <c r="AM169" s="669">
        <f t="shared" si="11"/>
        <v>1146.1400000000001</v>
      </c>
    </row>
    <row r="170" spans="1:39" s="500" customFormat="1" ht="13.35" customHeight="1">
      <c r="A170" s="539" t="s">
        <v>685</v>
      </c>
      <c r="B170" s="539" t="s">
        <v>1193</v>
      </c>
      <c r="C170" s="548" t="s">
        <v>1450</v>
      </c>
      <c r="D170" s="519"/>
      <c r="E170" s="520"/>
      <c r="F170" s="726"/>
      <c r="G170" s="520"/>
      <c r="H170" s="520"/>
      <c r="I170" s="521"/>
      <c r="J170" s="521"/>
      <c r="K170" s="772"/>
      <c r="L170" s="514"/>
      <c r="M170" s="726"/>
      <c r="N170" s="514"/>
      <c r="O170" s="514"/>
      <c r="P170" s="514"/>
      <c r="Q170" s="514"/>
      <c r="R170" s="514"/>
      <c r="S170" s="514"/>
      <c r="T170" s="726"/>
      <c r="U170" s="514"/>
      <c r="V170" s="514"/>
      <c r="W170" s="514"/>
      <c r="X170" s="514"/>
      <c r="Y170" s="514"/>
      <c r="Z170" s="514"/>
      <c r="AA170" s="726"/>
      <c r="AB170" s="764"/>
      <c r="AC170" s="514"/>
      <c r="AD170" s="514"/>
      <c r="AE170" s="698"/>
      <c r="AF170" s="514"/>
      <c r="AG170" s="514"/>
      <c r="AH170" s="789"/>
      <c r="AI170" s="946">
        <f t="shared" si="9"/>
        <v>0</v>
      </c>
      <c r="AJ170" s="521">
        <v>0</v>
      </c>
      <c r="AK170" s="520">
        <f t="shared" si="10"/>
        <v>0</v>
      </c>
      <c r="AL170" s="672"/>
      <c r="AM170" s="669">
        <f t="shared" si="11"/>
        <v>0</v>
      </c>
    </row>
    <row r="171" spans="1:39" s="500" customFormat="1" ht="13.35" customHeight="1">
      <c r="A171" s="539" t="s">
        <v>686</v>
      </c>
      <c r="B171" s="539" t="s">
        <v>1194</v>
      </c>
      <c r="C171" s="616"/>
      <c r="D171" s="519"/>
      <c r="E171" s="520"/>
      <c r="F171" s="726"/>
      <c r="G171" s="520"/>
      <c r="H171" s="520"/>
      <c r="I171" s="521"/>
      <c r="J171" s="521"/>
      <c r="K171" s="772"/>
      <c r="L171" s="514"/>
      <c r="M171" s="726"/>
      <c r="N171" s="514"/>
      <c r="O171" s="514"/>
      <c r="P171" s="514"/>
      <c r="Q171" s="514"/>
      <c r="R171" s="514"/>
      <c r="S171" s="514"/>
      <c r="T171" s="726"/>
      <c r="U171" s="514"/>
      <c r="V171" s="514"/>
      <c r="W171" s="514"/>
      <c r="X171" s="514"/>
      <c r="Y171" s="514"/>
      <c r="Z171" s="514"/>
      <c r="AA171" s="726"/>
      <c r="AB171" s="764"/>
      <c r="AC171" s="514"/>
      <c r="AD171" s="514"/>
      <c r="AE171" s="698"/>
      <c r="AF171" s="514"/>
      <c r="AG171" s="514"/>
      <c r="AH171" s="789"/>
      <c r="AI171" s="946">
        <f t="shared" si="9"/>
        <v>0</v>
      </c>
      <c r="AJ171" s="521">
        <v>0</v>
      </c>
      <c r="AK171" s="520">
        <f t="shared" si="10"/>
        <v>0</v>
      </c>
      <c r="AL171" s="672" t="s">
        <v>1552</v>
      </c>
      <c r="AM171" s="669">
        <f t="shared" si="11"/>
        <v>2.57</v>
      </c>
    </row>
    <row r="172" spans="1:39" s="500" customFormat="1" ht="13.35" customHeight="1">
      <c r="A172" s="539" t="s">
        <v>687</v>
      </c>
      <c r="B172" s="539" t="s">
        <v>1195</v>
      </c>
      <c r="C172" s="548" t="s">
        <v>40</v>
      </c>
      <c r="D172" s="519"/>
      <c r="E172" s="520"/>
      <c r="F172" s="726"/>
      <c r="G172" s="520"/>
      <c r="H172" s="520"/>
      <c r="I172" s="521"/>
      <c r="J172" s="521"/>
      <c r="K172" s="772"/>
      <c r="L172" s="514"/>
      <c r="M172" s="726"/>
      <c r="N172" s="514"/>
      <c r="O172" s="514"/>
      <c r="P172" s="514"/>
      <c r="Q172" s="514"/>
      <c r="R172" s="514"/>
      <c r="S172" s="514"/>
      <c r="T172" s="726"/>
      <c r="U172" s="514"/>
      <c r="V172" s="514"/>
      <c r="W172" s="514"/>
      <c r="X172" s="514"/>
      <c r="Y172" s="514"/>
      <c r="Z172" s="514"/>
      <c r="AA172" s="726"/>
      <c r="AB172" s="764"/>
      <c r="AC172" s="514"/>
      <c r="AD172" s="514"/>
      <c r="AE172" s="698"/>
      <c r="AF172" s="514"/>
      <c r="AG172" s="514"/>
      <c r="AH172" s="789"/>
      <c r="AI172" s="946">
        <f t="shared" si="9"/>
        <v>0</v>
      </c>
      <c r="AJ172" s="521">
        <v>0</v>
      </c>
      <c r="AK172" s="520">
        <f t="shared" si="10"/>
        <v>0</v>
      </c>
      <c r="AL172" s="672" t="s">
        <v>1494</v>
      </c>
      <c r="AM172" s="669">
        <f t="shared" si="11"/>
        <v>34.270000000000003</v>
      </c>
    </row>
    <row r="173" spans="1:39" s="500" customFormat="1" ht="13.35" customHeight="1">
      <c r="A173" s="539" t="s">
        <v>688</v>
      </c>
      <c r="B173" s="539" t="s">
        <v>1196</v>
      </c>
      <c r="C173" s="548" t="s">
        <v>37</v>
      </c>
      <c r="D173" s="519"/>
      <c r="E173" s="520"/>
      <c r="F173" s="726"/>
      <c r="G173" s="520"/>
      <c r="H173" s="520"/>
      <c r="I173" s="521"/>
      <c r="J173" s="521"/>
      <c r="K173" s="772"/>
      <c r="L173" s="514"/>
      <c r="M173" s="726"/>
      <c r="N173" s="514"/>
      <c r="O173" s="514"/>
      <c r="P173" s="514"/>
      <c r="Q173" s="514"/>
      <c r="R173" s="514"/>
      <c r="S173" s="514"/>
      <c r="T173" s="726"/>
      <c r="U173" s="514"/>
      <c r="V173" s="514"/>
      <c r="W173" s="514"/>
      <c r="X173" s="514"/>
      <c r="Y173" s="514"/>
      <c r="Z173" s="522"/>
      <c r="AA173" s="726"/>
      <c r="AB173" s="764"/>
      <c r="AC173" s="514"/>
      <c r="AD173" s="514"/>
      <c r="AE173" s="698"/>
      <c r="AF173" s="514"/>
      <c r="AG173" s="514"/>
      <c r="AH173" s="789"/>
      <c r="AI173" s="946">
        <f t="shared" si="9"/>
        <v>0</v>
      </c>
      <c r="AJ173" s="521">
        <v>0</v>
      </c>
      <c r="AK173" s="520">
        <f t="shared" si="10"/>
        <v>0</v>
      </c>
      <c r="AL173" s="672" t="s">
        <v>1553</v>
      </c>
      <c r="AM173" s="669">
        <f t="shared" si="11"/>
        <v>178.66</v>
      </c>
    </row>
    <row r="174" spans="1:39" s="500" customFormat="1" ht="13.35" customHeight="1">
      <c r="A174" s="539" t="s">
        <v>689</v>
      </c>
      <c r="B174" s="539" t="s">
        <v>1197</v>
      </c>
      <c r="C174" s="548" t="s">
        <v>48</v>
      </c>
      <c r="D174" s="519"/>
      <c r="E174" s="520"/>
      <c r="F174" s="726"/>
      <c r="G174" s="520"/>
      <c r="H174" s="520"/>
      <c r="I174" s="521"/>
      <c r="J174" s="521"/>
      <c r="K174" s="772"/>
      <c r="L174" s="514"/>
      <c r="M174" s="726"/>
      <c r="N174" s="514"/>
      <c r="O174" s="514"/>
      <c r="P174" s="514"/>
      <c r="Q174" s="514"/>
      <c r="R174" s="514"/>
      <c r="S174" s="514"/>
      <c r="T174" s="726"/>
      <c r="U174" s="514"/>
      <c r="V174" s="514"/>
      <c r="W174" s="514"/>
      <c r="X174" s="514"/>
      <c r="Y174" s="514"/>
      <c r="Z174" s="514"/>
      <c r="AA174" s="726"/>
      <c r="AB174" s="764"/>
      <c r="AC174" s="514"/>
      <c r="AD174" s="514"/>
      <c r="AE174" s="698"/>
      <c r="AF174" s="514"/>
      <c r="AG174" s="514"/>
      <c r="AH174" s="789"/>
      <c r="AI174" s="946">
        <f t="shared" si="9"/>
        <v>0</v>
      </c>
      <c r="AJ174" s="521">
        <v>0</v>
      </c>
      <c r="AK174" s="520">
        <f t="shared" si="10"/>
        <v>0</v>
      </c>
      <c r="AL174" s="672"/>
      <c r="AM174" s="669">
        <f t="shared" si="11"/>
        <v>0</v>
      </c>
    </row>
    <row r="175" spans="1:39" s="500" customFormat="1" ht="13.35" customHeight="1">
      <c r="A175" s="542" t="s">
        <v>690</v>
      </c>
      <c r="B175" s="542" t="s">
        <v>1198</v>
      </c>
      <c r="C175" s="616"/>
      <c r="D175" s="519"/>
      <c r="E175" s="520"/>
      <c r="F175" s="726"/>
      <c r="G175" s="520"/>
      <c r="H175" s="520"/>
      <c r="I175" s="521"/>
      <c r="J175" s="521"/>
      <c r="K175" s="772"/>
      <c r="L175" s="514"/>
      <c r="M175" s="726"/>
      <c r="N175" s="514"/>
      <c r="O175" s="514"/>
      <c r="P175" s="514"/>
      <c r="Q175" s="514"/>
      <c r="R175" s="514"/>
      <c r="S175" s="514"/>
      <c r="T175" s="726"/>
      <c r="U175" s="514"/>
      <c r="V175" s="514"/>
      <c r="W175" s="514"/>
      <c r="X175" s="514"/>
      <c r="Y175" s="514"/>
      <c r="Z175" s="514"/>
      <c r="AA175" s="726"/>
      <c r="AB175" s="764"/>
      <c r="AC175" s="514"/>
      <c r="AD175" s="514"/>
      <c r="AE175" s="698"/>
      <c r="AF175" s="514"/>
      <c r="AG175" s="514"/>
      <c r="AH175" s="789"/>
      <c r="AI175" s="946">
        <f t="shared" si="9"/>
        <v>0</v>
      </c>
      <c r="AJ175" s="521">
        <v>0</v>
      </c>
      <c r="AK175" s="520">
        <f t="shared" si="10"/>
        <v>0</v>
      </c>
      <c r="AL175" s="672" t="s">
        <v>1554</v>
      </c>
      <c r="AM175" s="669">
        <f t="shared" si="11"/>
        <v>377.52</v>
      </c>
    </row>
    <row r="176" spans="1:39" s="500" customFormat="1" ht="13.35" customHeight="1">
      <c r="A176" s="539" t="s">
        <v>691</v>
      </c>
      <c r="B176" s="539" t="s">
        <v>1199</v>
      </c>
      <c r="C176" s="548" t="s">
        <v>38</v>
      </c>
      <c r="D176" s="519"/>
      <c r="E176" s="520"/>
      <c r="F176" s="726"/>
      <c r="G176" s="520"/>
      <c r="H176" s="520"/>
      <c r="I176" s="521"/>
      <c r="J176" s="521"/>
      <c r="K176" s="772"/>
      <c r="L176" s="514"/>
      <c r="M176" s="726"/>
      <c r="N176" s="514"/>
      <c r="O176" s="514"/>
      <c r="P176" s="514"/>
      <c r="Q176" s="514"/>
      <c r="R176" s="514"/>
      <c r="S176" s="514"/>
      <c r="T176" s="726"/>
      <c r="U176" s="514"/>
      <c r="V176" s="514"/>
      <c r="W176" s="514"/>
      <c r="X176" s="514"/>
      <c r="Y176" s="514"/>
      <c r="Z176" s="514"/>
      <c r="AA176" s="726"/>
      <c r="AB176" s="764"/>
      <c r="AC176" s="514"/>
      <c r="AD176" s="514"/>
      <c r="AE176" s="698"/>
      <c r="AF176" s="514"/>
      <c r="AG176" s="514"/>
      <c r="AH176" s="789"/>
      <c r="AI176" s="946">
        <f t="shared" si="9"/>
        <v>0</v>
      </c>
      <c r="AJ176" s="521">
        <v>0</v>
      </c>
      <c r="AK176" s="520">
        <f t="shared" si="10"/>
        <v>0</v>
      </c>
      <c r="AL176" s="672"/>
      <c r="AM176" s="669">
        <f t="shared" si="11"/>
        <v>0</v>
      </c>
    </row>
    <row r="177" spans="1:39" s="500" customFormat="1" ht="13.35" customHeight="1">
      <c r="A177" s="542" t="s">
        <v>692</v>
      </c>
      <c r="B177" s="542" t="s">
        <v>1200</v>
      </c>
      <c r="C177" s="548"/>
      <c r="D177" s="519"/>
      <c r="E177" s="520"/>
      <c r="F177" s="726"/>
      <c r="G177" s="520"/>
      <c r="H177" s="520"/>
      <c r="I177" s="521"/>
      <c r="J177" s="521"/>
      <c r="K177" s="772"/>
      <c r="L177" s="514"/>
      <c r="M177" s="726"/>
      <c r="N177" s="514"/>
      <c r="O177" s="514"/>
      <c r="P177" s="514"/>
      <c r="Q177" s="514"/>
      <c r="R177" s="514"/>
      <c r="S177" s="514"/>
      <c r="T177" s="726"/>
      <c r="U177" s="514"/>
      <c r="V177" s="514"/>
      <c r="W177" s="514"/>
      <c r="X177" s="514"/>
      <c r="Y177" s="514"/>
      <c r="Z177" s="514"/>
      <c r="AA177" s="726"/>
      <c r="AB177" s="764"/>
      <c r="AC177" s="514"/>
      <c r="AD177" s="514"/>
      <c r="AE177" s="698"/>
      <c r="AF177" s="514"/>
      <c r="AG177" s="514"/>
      <c r="AH177" s="789"/>
      <c r="AI177" s="946">
        <f t="shared" si="9"/>
        <v>0</v>
      </c>
      <c r="AJ177" s="521">
        <v>0</v>
      </c>
      <c r="AK177" s="520">
        <f t="shared" si="10"/>
        <v>0</v>
      </c>
      <c r="AL177" s="672" t="s">
        <v>1555</v>
      </c>
      <c r="AM177" s="669">
        <f t="shared" si="11"/>
        <v>75.400000000000006</v>
      </c>
    </row>
    <row r="178" spans="1:39" s="500" customFormat="1" ht="13.35" customHeight="1">
      <c r="A178" s="539" t="s">
        <v>693</v>
      </c>
      <c r="B178" s="539" t="s">
        <v>1201</v>
      </c>
      <c r="C178" s="548" t="s">
        <v>38</v>
      </c>
      <c r="D178" s="519"/>
      <c r="E178" s="520"/>
      <c r="F178" s="726"/>
      <c r="G178" s="520"/>
      <c r="H178" s="520"/>
      <c r="I178" s="521"/>
      <c r="J178" s="521"/>
      <c r="K178" s="772"/>
      <c r="L178" s="514"/>
      <c r="M178" s="726"/>
      <c r="N178" s="514"/>
      <c r="O178" s="514"/>
      <c r="P178" s="514"/>
      <c r="Q178" s="514"/>
      <c r="R178" s="514"/>
      <c r="S178" s="514"/>
      <c r="T178" s="726"/>
      <c r="U178" s="514"/>
      <c r="V178" s="514"/>
      <c r="W178" s="514"/>
      <c r="X178" s="514"/>
      <c r="Y178" s="514"/>
      <c r="Z178" s="514"/>
      <c r="AA178" s="726"/>
      <c r="AB178" s="764"/>
      <c r="AC178" s="514"/>
      <c r="AD178" s="514"/>
      <c r="AE178" s="698"/>
      <c r="AF178" s="514"/>
      <c r="AG178" s="514"/>
      <c r="AH178" s="789"/>
      <c r="AI178" s="946">
        <f t="shared" si="9"/>
        <v>0</v>
      </c>
      <c r="AJ178" s="521">
        <v>0</v>
      </c>
      <c r="AK178" s="520">
        <f t="shared" si="10"/>
        <v>0</v>
      </c>
      <c r="AL178" s="672" t="s">
        <v>1493</v>
      </c>
      <c r="AM178" s="669">
        <f t="shared" si="11"/>
        <v>15</v>
      </c>
    </row>
    <row r="179" spans="1:39" s="500" customFormat="1" ht="13.35" customHeight="1">
      <c r="A179" s="539" t="s">
        <v>694</v>
      </c>
      <c r="B179" s="539" t="s">
        <v>225</v>
      </c>
      <c r="C179" s="548" t="s">
        <v>1450</v>
      </c>
      <c r="D179" s="519"/>
      <c r="E179" s="520"/>
      <c r="F179" s="726"/>
      <c r="G179" s="520"/>
      <c r="H179" s="520"/>
      <c r="I179" s="521"/>
      <c r="J179" s="521"/>
      <c r="K179" s="772"/>
      <c r="L179" s="514"/>
      <c r="M179" s="726"/>
      <c r="N179" s="514"/>
      <c r="O179" s="514"/>
      <c r="P179" s="514"/>
      <c r="Q179" s="514"/>
      <c r="R179" s="514"/>
      <c r="S179" s="514"/>
      <c r="T179" s="726"/>
      <c r="U179" s="514"/>
      <c r="V179" s="514"/>
      <c r="W179" s="514"/>
      <c r="X179" s="514"/>
      <c r="Y179" s="514"/>
      <c r="Z179" s="514"/>
      <c r="AA179" s="726"/>
      <c r="AB179" s="764"/>
      <c r="AC179" s="514"/>
      <c r="AD179" s="514"/>
      <c r="AE179" s="698"/>
      <c r="AF179" s="514"/>
      <c r="AG179" s="514"/>
      <c r="AH179" s="789"/>
      <c r="AI179" s="946">
        <f t="shared" si="9"/>
        <v>0</v>
      </c>
      <c r="AJ179" s="521">
        <v>0</v>
      </c>
      <c r="AK179" s="520">
        <f t="shared" si="10"/>
        <v>0</v>
      </c>
      <c r="AL179" s="672"/>
      <c r="AM179" s="669">
        <f t="shared" si="11"/>
        <v>0</v>
      </c>
    </row>
    <row r="180" spans="1:39" s="500" customFormat="1" ht="13.35" customHeight="1">
      <c r="A180" s="440" t="s">
        <v>516</v>
      </c>
      <c r="B180" s="543" t="s">
        <v>1210</v>
      </c>
      <c r="C180" s="616"/>
      <c r="D180" s="519"/>
      <c r="E180" s="520"/>
      <c r="F180" s="726"/>
      <c r="G180" s="520"/>
      <c r="H180" s="520"/>
      <c r="I180" s="521"/>
      <c r="J180" s="521"/>
      <c r="K180" s="772"/>
      <c r="L180" s="514"/>
      <c r="M180" s="726"/>
      <c r="N180" s="514"/>
      <c r="O180" s="514"/>
      <c r="P180" s="514"/>
      <c r="Q180" s="514"/>
      <c r="R180" s="514"/>
      <c r="S180" s="514"/>
      <c r="T180" s="726"/>
      <c r="U180" s="514"/>
      <c r="V180" s="514"/>
      <c r="W180" s="514"/>
      <c r="X180" s="514"/>
      <c r="Y180" s="514"/>
      <c r="Z180" s="514"/>
      <c r="AA180" s="726"/>
      <c r="AB180" s="764"/>
      <c r="AC180" s="514"/>
      <c r="AD180" s="514"/>
      <c r="AE180" s="698"/>
      <c r="AF180" s="514"/>
      <c r="AG180" s="514"/>
      <c r="AH180" s="789"/>
      <c r="AI180" s="946">
        <f t="shared" si="9"/>
        <v>0</v>
      </c>
      <c r="AJ180" s="521">
        <v>0</v>
      </c>
      <c r="AK180" s="520">
        <f t="shared" si="10"/>
        <v>0</v>
      </c>
      <c r="AL180" s="672"/>
      <c r="AM180" s="669">
        <f t="shared" si="11"/>
        <v>0</v>
      </c>
    </row>
    <row r="181" spans="1:39" s="500" customFormat="1" ht="13.35" customHeight="1">
      <c r="A181" s="542" t="s">
        <v>517</v>
      </c>
      <c r="B181" s="542" t="s">
        <v>46</v>
      </c>
      <c r="C181" s="616"/>
      <c r="D181" s="519"/>
      <c r="E181" s="520"/>
      <c r="F181" s="726"/>
      <c r="G181" s="520"/>
      <c r="H181" s="520"/>
      <c r="I181" s="521"/>
      <c r="J181" s="521"/>
      <c r="K181" s="772"/>
      <c r="L181" s="514"/>
      <c r="M181" s="726"/>
      <c r="N181" s="514"/>
      <c r="O181" s="514"/>
      <c r="P181" s="514"/>
      <c r="Q181" s="514"/>
      <c r="R181" s="514"/>
      <c r="S181" s="514"/>
      <c r="T181" s="726"/>
      <c r="U181" s="514"/>
      <c r="V181" s="514"/>
      <c r="W181" s="514"/>
      <c r="X181" s="514"/>
      <c r="Y181" s="514"/>
      <c r="Z181" s="514"/>
      <c r="AA181" s="726"/>
      <c r="AB181" s="764"/>
      <c r="AC181" s="514"/>
      <c r="AD181" s="514"/>
      <c r="AE181" s="698"/>
      <c r="AF181" s="514"/>
      <c r="AG181" s="514"/>
      <c r="AH181" s="789"/>
      <c r="AI181" s="946">
        <f t="shared" si="9"/>
        <v>0</v>
      </c>
      <c r="AJ181" s="521">
        <v>0</v>
      </c>
      <c r="AK181" s="520">
        <f t="shared" si="10"/>
        <v>0</v>
      </c>
      <c r="AL181" s="672" t="s">
        <v>1556</v>
      </c>
      <c r="AM181" s="669">
        <f t="shared" si="11"/>
        <v>39.86</v>
      </c>
    </row>
    <row r="182" spans="1:39" s="500" customFormat="1" ht="13.35" customHeight="1">
      <c r="A182" s="539" t="s">
        <v>695</v>
      </c>
      <c r="B182" s="539" t="s">
        <v>1156</v>
      </c>
      <c r="C182" s="548" t="s">
        <v>40</v>
      </c>
      <c r="D182" s="519"/>
      <c r="E182" s="520"/>
      <c r="F182" s="726"/>
      <c r="G182" s="520"/>
      <c r="H182" s="520"/>
      <c r="I182" s="521"/>
      <c r="J182" s="521"/>
      <c r="K182" s="772"/>
      <c r="L182" s="514"/>
      <c r="M182" s="726"/>
      <c r="N182" s="514"/>
      <c r="O182" s="514"/>
      <c r="P182" s="514"/>
      <c r="Q182" s="514"/>
      <c r="R182" s="514"/>
      <c r="S182" s="514"/>
      <c r="T182" s="726"/>
      <c r="U182" s="514"/>
      <c r="V182" s="514"/>
      <c r="W182" s="514"/>
      <c r="Y182" s="514"/>
      <c r="Z182" s="514"/>
      <c r="AA182" s="726"/>
      <c r="AB182" s="764"/>
      <c r="AC182" s="514"/>
      <c r="AD182" s="514"/>
      <c r="AE182" s="698"/>
      <c r="AF182" s="514"/>
      <c r="AG182" s="514"/>
      <c r="AH182" s="789"/>
      <c r="AI182" s="946">
        <f t="shared" si="9"/>
        <v>0</v>
      </c>
      <c r="AJ182" s="521">
        <v>0</v>
      </c>
      <c r="AK182" s="520">
        <f t="shared" si="10"/>
        <v>0</v>
      </c>
      <c r="AL182" s="672" t="s">
        <v>1557</v>
      </c>
      <c r="AM182" s="669">
        <f t="shared" si="11"/>
        <v>9.1</v>
      </c>
    </row>
    <row r="183" spans="1:39" s="500" customFormat="1" ht="13.35" customHeight="1">
      <c r="A183" s="539" t="s">
        <v>696</v>
      </c>
      <c r="B183" s="539" t="s">
        <v>1157</v>
      </c>
      <c r="C183" s="548" t="s">
        <v>40</v>
      </c>
      <c r="D183" s="519"/>
      <c r="E183" s="520"/>
      <c r="F183" s="726"/>
      <c r="G183" s="520"/>
      <c r="H183" s="520"/>
      <c r="I183" s="521"/>
      <c r="J183" s="521"/>
      <c r="K183" s="772"/>
      <c r="L183" s="514"/>
      <c r="M183" s="726"/>
      <c r="N183" s="514"/>
      <c r="O183" s="514"/>
      <c r="P183" s="514"/>
      <c r="Q183" s="514"/>
      <c r="R183" s="514"/>
      <c r="S183" s="514"/>
      <c r="T183" s="726"/>
      <c r="U183" s="514"/>
      <c r="V183" s="514"/>
      <c r="W183" s="514"/>
      <c r="X183" s="514"/>
      <c r="Y183" s="514"/>
      <c r="Z183" s="514"/>
      <c r="AA183" s="726"/>
      <c r="AB183" s="764"/>
      <c r="AC183" s="514"/>
      <c r="AD183" s="514"/>
      <c r="AE183" s="698"/>
      <c r="AF183" s="514"/>
      <c r="AG183" s="514"/>
      <c r="AH183" s="789"/>
      <c r="AI183" s="946">
        <f t="shared" si="9"/>
        <v>0</v>
      </c>
      <c r="AJ183" s="521">
        <v>0</v>
      </c>
      <c r="AK183" s="520">
        <f t="shared" si="10"/>
        <v>0</v>
      </c>
      <c r="AL183" s="672" t="s">
        <v>1558</v>
      </c>
      <c r="AM183" s="669">
        <f t="shared" si="11"/>
        <v>15.72</v>
      </c>
    </row>
    <row r="184" spans="1:39" s="500" customFormat="1" ht="13.35" customHeight="1">
      <c r="A184" s="539" t="s">
        <v>697</v>
      </c>
      <c r="B184" s="539" t="s">
        <v>1158</v>
      </c>
      <c r="C184" s="548" t="s">
        <v>40</v>
      </c>
      <c r="D184" s="519"/>
      <c r="E184" s="520"/>
      <c r="F184" s="726"/>
      <c r="G184" s="520"/>
      <c r="H184" s="520"/>
      <c r="I184" s="521"/>
      <c r="J184" s="521"/>
      <c r="K184" s="772"/>
      <c r="L184" s="514"/>
      <c r="M184" s="726"/>
      <c r="N184" s="514"/>
      <c r="O184" s="514"/>
      <c r="P184" s="514"/>
      <c r="Q184" s="514"/>
      <c r="R184" s="514"/>
      <c r="S184" s="514"/>
      <c r="T184" s="726"/>
      <c r="U184" s="514"/>
      <c r="V184" s="522"/>
      <c r="W184" s="514"/>
      <c r="X184" s="522"/>
      <c r="Y184" s="514"/>
      <c r="Z184" s="514"/>
      <c r="AA184" s="726"/>
      <c r="AB184" s="764"/>
      <c r="AC184" s="514"/>
      <c r="AD184" s="514"/>
      <c r="AE184" s="698"/>
      <c r="AF184" s="514"/>
      <c r="AG184" s="514"/>
      <c r="AH184" s="789"/>
      <c r="AI184" s="946">
        <f t="shared" si="9"/>
        <v>0</v>
      </c>
      <c r="AJ184" s="521">
        <v>0</v>
      </c>
      <c r="AK184" s="520">
        <f t="shared" si="10"/>
        <v>0</v>
      </c>
      <c r="AL184" s="672" t="s">
        <v>1559</v>
      </c>
      <c r="AM184" s="669">
        <f t="shared" si="11"/>
        <v>22.03</v>
      </c>
    </row>
    <row r="185" spans="1:39" s="500" customFormat="1" ht="13.35" customHeight="1">
      <c r="A185" s="539" t="s">
        <v>698</v>
      </c>
      <c r="B185" s="539" t="s">
        <v>1159</v>
      </c>
      <c r="C185" s="548" t="s">
        <v>37</v>
      </c>
      <c r="D185" s="519"/>
      <c r="E185" s="520"/>
      <c r="F185" s="726"/>
      <c r="G185" s="520"/>
      <c r="H185" s="520"/>
      <c r="I185" s="521"/>
      <c r="J185" s="521"/>
      <c r="K185" s="772"/>
      <c r="L185" s="514"/>
      <c r="M185" s="726"/>
      <c r="N185" s="514"/>
      <c r="O185" s="514"/>
      <c r="P185" s="514"/>
      <c r="Q185" s="514"/>
      <c r="R185" s="514"/>
      <c r="S185" s="514"/>
      <c r="T185" s="726"/>
      <c r="U185" s="514"/>
      <c r="V185" s="514"/>
      <c r="W185" s="514"/>
      <c r="X185" s="514"/>
      <c r="Y185" s="514"/>
      <c r="Z185" s="522"/>
      <c r="AA185" s="726"/>
      <c r="AB185" s="764"/>
      <c r="AC185" s="514"/>
      <c r="AD185" s="514"/>
      <c r="AE185" s="698"/>
      <c r="AF185" s="514"/>
      <c r="AG185" s="514"/>
      <c r="AH185" s="789"/>
      <c r="AI185" s="946">
        <f t="shared" si="9"/>
        <v>0</v>
      </c>
      <c r="AJ185" s="521">
        <v>0</v>
      </c>
      <c r="AK185" s="520">
        <f t="shared" si="10"/>
        <v>0</v>
      </c>
      <c r="AL185" s="672" t="s">
        <v>1560</v>
      </c>
      <c r="AM185" s="669">
        <f t="shared" si="11"/>
        <v>41.56</v>
      </c>
    </row>
    <row r="186" spans="1:39" s="500" customFormat="1" ht="13.35" customHeight="1">
      <c r="A186" s="539" t="s">
        <v>699</v>
      </c>
      <c r="B186" s="539" t="s">
        <v>1160</v>
      </c>
      <c r="C186" s="548" t="s">
        <v>40</v>
      </c>
      <c r="D186" s="519"/>
      <c r="E186" s="520"/>
      <c r="F186" s="726"/>
      <c r="G186" s="520"/>
      <c r="H186" s="520"/>
      <c r="I186" s="521"/>
      <c r="J186" s="521"/>
      <c r="K186" s="772"/>
      <c r="L186" s="514"/>
      <c r="M186" s="726"/>
      <c r="N186" s="514"/>
      <c r="O186" s="514"/>
      <c r="P186" s="514"/>
      <c r="Q186" s="514"/>
      <c r="R186" s="514"/>
      <c r="S186" s="514"/>
      <c r="T186" s="726"/>
      <c r="U186" s="514"/>
      <c r="V186" s="514"/>
      <c r="W186" s="514"/>
      <c r="X186" s="514"/>
      <c r="Y186" s="514"/>
      <c r="Z186" s="514"/>
      <c r="AA186" s="726"/>
      <c r="AB186" s="764"/>
      <c r="AC186" s="514"/>
      <c r="AD186" s="514"/>
      <c r="AE186" s="698"/>
      <c r="AF186" s="514"/>
      <c r="AG186" s="514"/>
      <c r="AH186" s="789"/>
      <c r="AI186" s="946">
        <f t="shared" si="9"/>
        <v>0</v>
      </c>
      <c r="AJ186" s="521">
        <v>0</v>
      </c>
      <c r="AK186" s="520">
        <f t="shared" si="10"/>
        <v>0</v>
      </c>
      <c r="AL186" s="672" t="s">
        <v>1560</v>
      </c>
      <c r="AM186" s="669">
        <f t="shared" si="11"/>
        <v>41.56</v>
      </c>
    </row>
    <row r="187" spans="1:39" s="500" customFormat="1" ht="13.35" customHeight="1">
      <c r="A187" s="539" t="s">
        <v>700</v>
      </c>
      <c r="B187" s="539" t="s">
        <v>1161</v>
      </c>
      <c r="C187" s="548" t="s">
        <v>40</v>
      </c>
      <c r="D187" s="519"/>
      <c r="E187" s="520"/>
      <c r="F187" s="726"/>
      <c r="G187" s="520"/>
      <c r="H187" s="520"/>
      <c r="I187" s="521"/>
      <c r="J187" s="521"/>
      <c r="K187" s="772"/>
      <c r="L187" s="514"/>
      <c r="M187" s="726"/>
      <c r="N187" s="514"/>
      <c r="O187" s="514"/>
      <c r="P187" s="514"/>
      <c r="Q187" s="514"/>
      <c r="R187" s="514"/>
      <c r="S187" s="514"/>
      <c r="T187" s="726"/>
      <c r="U187" s="514"/>
      <c r="V187" s="514"/>
      <c r="W187" s="514"/>
      <c r="X187" s="514"/>
      <c r="Y187" s="514"/>
      <c r="Z187" s="514"/>
      <c r="AA187" s="726"/>
      <c r="AB187" s="764"/>
      <c r="AC187" s="514"/>
      <c r="AD187" s="514"/>
      <c r="AE187" s="698"/>
      <c r="AF187" s="514"/>
      <c r="AG187" s="514"/>
      <c r="AH187" s="789"/>
      <c r="AI187" s="946">
        <f t="shared" si="9"/>
        <v>0</v>
      </c>
      <c r="AJ187" s="521">
        <v>0</v>
      </c>
      <c r="AK187" s="520">
        <f t="shared" si="10"/>
        <v>0</v>
      </c>
      <c r="AL187" s="672"/>
      <c r="AM187" s="669">
        <f t="shared" si="11"/>
        <v>0</v>
      </c>
    </row>
    <row r="188" spans="1:39" s="500" customFormat="1" ht="13.35" customHeight="1">
      <c r="A188" s="542" t="s">
        <v>701</v>
      </c>
      <c r="B188" s="542" t="s">
        <v>1162</v>
      </c>
      <c r="C188" s="616"/>
      <c r="D188" s="519"/>
      <c r="E188" s="520"/>
      <c r="F188" s="726"/>
      <c r="G188" s="520"/>
      <c r="H188" s="520"/>
      <c r="I188" s="521"/>
      <c r="J188" s="521"/>
      <c r="K188" s="772"/>
      <c r="L188" s="514"/>
      <c r="M188" s="726"/>
      <c r="N188" s="514"/>
      <c r="O188" s="514"/>
      <c r="P188" s="514"/>
      <c r="Q188" s="514"/>
      <c r="R188" s="514"/>
      <c r="S188" s="514"/>
      <c r="T188" s="726"/>
      <c r="U188" s="514"/>
      <c r="V188" s="514"/>
      <c r="W188" s="514"/>
      <c r="X188" s="514"/>
      <c r="Y188" s="514"/>
      <c r="Z188" s="514"/>
      <c r="AA188" s="726"/>
      <c r="AB188" s="764"/>
      <c r="AC188" s="514"/>
      <c r="AD188" s="514"/>
      <c r="AE188" s="698"/>
      <c r="AF188" s="514"/>
      <c r="AG188" s="514"/>
      <c r="AH188" s="789"/>
      <c r="AI188" s="946">
        <f t="shared" si="9"/>
        <v>0</v>
      </c>
      <c r="AJ188" s="521">
        <v>0</v>
      </c>
      <c r="AK188" s="520">
        <f t="shared" si="10"/>
        <v>0</v>
      </c>
      <c r="AL188" s="672" t="s">
        <v>1561</v>
      </c>
      <c r="AM188" s="669">
        <f t="shared" si="11"/>
        <v>20.28</v>
      </c>
    </row>
    <row r="189" spans="1:39" s="500" customFormat="1" ht="13.35" customHeight="1">
      <c r="A189" s="539" t="s">
        <v>702</v>
      </c>
      <c r="B189" s="539" t="s">
        <v>1163</v>
      </c>
      <c r="C189" s="548" t="s">
        <v>40</v>
      </c>
      <c r="D189" s="519"/>
      <c r="E189" s="520"/>
      <c r="F189" s="726"/>
      <c r="G189" s="520"/>
      <c r="H189" s="520"/>
      <c r="I189" s="521"/>
      <c r="J189" s="521"/>
      <c r="K189" s="772"/>
      <c r="L189" s="514"/>
      <c r="M189" s="726"/>
      <c r="N189" s="514"/>
      <c r="O189" s="514"/>
      <c r="P189" s="514"/>
      <c r="Q189" s="514"/>
      <c r="R189" s="514"/>
      <c r="S189" s="514"/>
      <c r="T189" s="726"/>
      <c r="U189" s="514"/>
      <c r="V189" s="514"/>
      <c r="W189" s="514"/>
      <c r="X189" s="514"/>
      <c r="Y189" s="514"/>
      <c r="Z189" s="514"/>
      <c r="AA189" s="726"/>
      <c r="AB189" s="764"/>
      <c r="AC189" s="514"/>
      <c r="AD189" s="514"/>
      <c r="AE189" s="698"/>
      <c r="AF189" s="514"/>
      <c r="AG189" s="514"/>
      <c r="AH189" s="789"/>
      <c r="AI189" s="946">
        <f t="shared" si="9"/>
        <v>0</v>
      </c>
      <c r="AJ189" s="521">
        <v>0</v>
      </c>
      <c r="AK189" s="520">
        <f t="shared" si="10"/>
        <v>0</v>
      </c>
      <c r="AL189" s="672" t="s">
        <v>1562</v>
      </c>
      <c r="AM189" s="669">
        <f t="shared" si="11"/>
        <v>14.79</v>
      </c>
    </row>
    <row r="190" spans="1:39" s="500" customFormat="1" ht="13.35" customHeight="1">
      <c r="A190" s="539" t="s">
        <v>703</v>
      </c>
      <c r="B190" s="539" t="s">
        <v>1203</v>
      </c>
      <c r="C190" s="548" t="s">
        <v>37</v>
      </c>
      <c r="D190" s="519"/>
      <c r="E190" s="520"/>
      <c r="F190" s="726"/>
      <c r="G190" s="520"/>
      <c r="H190" s="520"/>
      <c r="I190" s="521"/>
      <c r="J190" s="521"/>
      <c r="K190" s="772"/>
      <c r="L190" s="514"/>
      <c r="M190" s="726"/>
      <c r="N190" s="514"/>
      <c r="O190" s="514"/>
      <c r="P190" s="514"/>
      <c r="Q190" s="514"/>
      <c r="R190" s="514"/>
      <c r="S190" s="514"/>
      <c r="T190" s="726"/>
      <c r="U190" s="514"/>
      <c r="V190" s="514"/>
      <c r="W190" s="514"/>
      <c r="X190" s="514"/>
      <c r="Y190" s="514"/>
      <c r="Z190" s="514"/>
      <c r="AA190" s="726"/>
      <c r="AB190" s="764"/>
      <c r="AC190" s="514"/>
      <c r="AD190" s="514"/>
      <c r="AE190" s="698"/>
      <c r="AF190" s="514"/>
      <c r="AG190" s="514"/>
      <c r="AH190" s="789"/>
      <c r="AI190" s="946">
        <f t="shared" si="9"/>
        <v>0</v>
      </c>
      <c r="AJ190" s="521">
        <v>0</v>
      </c>
      <c r="AK190" s="520">
        <f t="shared" si="10"/>
        <v>0</v>
      </c>
      <c r="AL190" s="672" t="s">
        <v>1563</v>
      </c>
      <c r="AM190" s="669">
        <f t="shared" si="11"/>
        <v>3.22</v>
      </c>
    </row>
    <row r="191" spans="1:39" s="500" customFormat="1" ht="13.35" customHeight="1">
      <c r="A191" s="539" t="s">
        <v>704</v>
      </c>
      <c r="B191" s="539" t="s">
        <v>1204</v>
      </c>
      <c r="C191" s="548" t="s">
        <v>40</v>
      </c>
      <c r="D191" s="519"/>
      <c r="E191" s="520"/>
      <c r="F191" s="726"/>
      <c r="G191" s="520"/>
      <c r="H191" s="520"/>
      <c r="I191" s="521"/>
      <c r="J191" s="521"/>
      <c r="K191" s="772"/>
      <c r="L191" s="514"/>
      <c r="M191" s="726"/>
      <c r="N191" s="514"/>
      <c r="O191" s="514"/>
      <c r="P191" s="514"/>
      <c r="Q191" s="514"/>
      <c r="R191" s="514"/>
      <c r="S191" s="514"/>
      <c r="T191" s="726"/>
      <c r="U191" s="514"/>
      <c r="V191" s="514"/>
      <c r="W191" s="514"/>
      <c r="X191" s="514"/>
      <c r="Y191" s="514"/>
      <c r="Z191" s="514"/>
      <c r="AA191" s="726"/>
      <c r="AB191" s="764"/>
      <c r="AC191" s="514"/>
      <c r="AD191" s="514"/>
      <c r="AE191" s="698"/>
      <c r="AF191" s="514"/>
      <c r="AG191" s="514"/>
      <c r="AH191" s="789"/>
      <c r="AI191" s="946">
        <f t="shared" si="9"/>
        <v>0</v>
      </c>
      <c r="AJ191" s="521">
        <v>0</v>
      </c>
      <c r="AK191" s="520">
        <f t="shared" si="10"/>
        <v>0</v>
      </c>
      <c r="AL191" s="672" t="s">
        <v>1564</v>
      </c>
      <c r="AM191" s="669">
        <f t="shared" si="11"/>
        <v>1.61</v>
      </c>
    </row>
    <row r="192" spans="1:39" s="500" customFormat="1" ht="13.35" customHeight="1">
      <c r="A192" s="539" t="s">
        <v>705</v>
      </c>
      <c r="B192" s="539" t="s">
        <v>1205</v>
      </c>
      <c r="C192" s="548" t="s">
        <v>40</v>
      </c>
      <c r="D192" s="519"/>
      <c r="E192" s="520"/>
      <c r="F192" s="726"/>
      <c r="G192" s="520"/>
      <c r="H192" s="520"/>
      <c r="I192" s="521"/>
      <c r="J192" s="521"/>
      <c r="K192" s="772"/>
      <c r="L192" s="514"/>
      <c r="M192" s="726"/>
      <c r="N192" s="514"/>
      <c r="O192" s="514"/>
      <c r="P192" s="514"/>
      <c r="Q192" s="514"/>
      <c r="R192" s="514"/>
      <c r="S192" s="514"/>
      <c r="T192" s="726"/>
      <c r="U192" s="514"/>
      <c r="V192" s="514"/>
      <c r="W192" s="514"/>
      <c r="X192" s="514"/>
      <c r="Y192" s="514"/>
      <c r="Z192" s="514"/>
      <c r="AA192" s="726"/>
      <c r="AB192" s="764"/>
      <c r="AC192" s="514"/>
      <c r="AD192" s="514"/>
      <c r="AE192" s="698"/>
      <c r="AF192" s="514"/>
      <c r="AG192" s="514"/>
      <c r="AH192" s="789"/>
      <c r="AI192" s="946">
        <f t="shared" si="9"/>
        <v>0</v>
      </c>
      <c r="AJ192" s="521">
        <v>0</v>
      </c>
      <c r="AK192" s="520">
        <f t="shared" si="10"/>
        <v>0</v>
      </c>
      <c r="AL192" s="672" t="s">
        <v>1565</v>
      </c>
      <c r="AM192" s="669">
        <f t="shared" si="11"/>
        <v>42.4</v>
      </c>
    </row>
    <row r="193" spans="1:39" s="500" customFormat="1" ht="13.35" customHeight="1">
      <c r="A193" s="539" t="s">
        <v>706</v>
      </c>
      <c r="B193" s="539" t="s">
        <v>1167</v>
      </c>
      <c r="C193" s="548" t="s">
        <v>37</v>
      </c>
      <c r="D193" s="519"/>
      <c r="E193" s="520"/>
      <c r="F193" s="726"/>
      <c r="G193" s="520"/>
      <c r="H193" s="520"/>
      <c r="I193" s="521"/>
      <c r="J193" s="521"/>
      <c r="K193" s="772"/>
      <c r="L193" s="514"/>
      <c r="M193" s="726"/>
      <c r="N193" s="514"/>
      <c r="O193" s="514"/>
      <c r="P193" s="514"/>
      <c r="Q193" s="514"/>
      <c r="R193" s="514"/>
      <c r="S193" s="514"/>
      <c r="T193" s="726"/>
      <c r="U193" s="514"/>
      <c r="V193" s="514"/>
      <c r="W193" s="514"/>
      <c r="X193" s="514"/>
      <c r="Y193" s="514"/>
      <c r="Z193" s="514"/>
      <c r="AA193" s="726"/>
      <c r="AB193" s="764"/>
      <c r="AC193" s="514"/>
      <c r="AD193" s="514"/>
      <c r="AE193" s="698"/>
      <c r="AF193" s="514"/>
      <c r="AG193" s="514"/>
      <c r="AH193" s="789"/>
      <c r="AI193" s="946">
        <f t="shared" si="9"/>
        <v>0</v>
      </c>
      <c r="AJ193" s="521">
        <v>0</v>
      </c>
      <c r="AK193" s="520">
        <f t="shared" si="10"/>
        <v>0</v>
      </c>
      <c r="AL193" s="672" t="s">
        <v>1559</v>
      </c>
      <c r="AM193" s="669">
        <f t="shared" si="11"/>
        <v>22.03</v>
      </c>
    </row>
    <row r="194" spans="1:39" s="500" customFormat="1" ht="13.35" customHeight="1">
      <c r="A194" s="539" t="s">
        <v>707</v>
      </c>
      <c r="B194" s="539" t="s">
        <v>1168</v>
      </c>
      <c r="C194" s="548" t="s">
        <v>37</v>
      </c>
      <c r="D194" s="519"/>
      <c r="E194" s="520"/>
      <c r="F194" s="726"/>
      <c r="G194" s="520"/>
      <c r="H194" s="520"/>
      <c r="I194" s="521"/>
      <c r="J194" s="521"/>
      <c r="K194" s="772"/>
      <c r="L194" s="514"/>
      <c r="M194" s="726"/>
      <c r="N194" s="514"/>
      <c r="O194" s="514"/>
      <c r="P194" s="514"/>
      <c r="Q194" s="514"/>
      <c r="R194" s="514"/>
      <c r="S194" s="514"/>
      <c r="T194" s="726"/>
      <c r="U194" s="514"/>
      <c r="V194" s="514"/>
      <c r="W194" s="514"/>
      <c r="X194" s="514"/>
      <c r="Y194" s="514"/>
      <c r="Z194" s="514"/>
      <c r="AA194" s="726"/>
      <c r="AB194" s="764"/>
      <c r="AC194" s="514"/>
      <c r="AD194" s="514"/>
      <c r="AE194" s="698"/>
      <c r="AF194" s="514"/>
      <c r="AG194" s="514"/>
      <c r="AH194" s="789"/>
      <c r="AI194" s="946">
        <f t="shared" si="9"/>
        <v>0</v>
      </c>
      <c r="AJ194" s="521">
        <v>0</v>
      </c>
      <c r="AK194" s="520">
        <f t="shared" si="10"/>
        <v>0</v>
      </c>
      <c r="AL194" s="672"/>
      <c r="AM194" s="669">
        <f t="shared" si="11"/>
        <v>0</v>
      </c>
    </row>
    <row r="195" spans="1:39" s="500" customFormat="1" ht="13.35" customHeight="1">
      <c r="A195" s="542" t="s">
        <v>708</v>
      </c>
      <c r="B195" s="542" t="s">
        <v>1169</v>
      </c>
      <c r="C195" s="616"/>
      <c r="D195" s="519"/>
      <c r="E195" s="520"/>
      <c r="F195" s="726"/>
      <c r="G195" s="520"/>
      <c r="H195" s="520"/>
      <c r="I195" s="521"/>
      <c r="J195" s="521"/>
      <c r="K195" s="772"/>
      <c r="L195" s="514"/>
      <c r="M195" s="726"/>
      <c r="N195" s="514"/>
      <c r="O195" s="514"/>
      <c r="P195" s="514"/>
      <c r="Q195" s="514"/>
      <c r="R195" s="514"/>
      <c r="S195" s="514"/>
      <c r="T195" s="726"/>
      <c r="U195" s="514"/>
      <c r="V195" s="514"/>
      <c r="W195" s="514"/>
      <c r="X195" s="514"/>
      <c r="Y195" s="514"/>
      <c r="Z195" s="514"/>
      <c r="AA195" s="726"/>
      <c r="AB195" s="764"/>
      <c r="AC195" s="514"/>
      <c r="AD195" s="514"/>
      <c r="AE195" s="698"/>
      <c r="AF195" s="514"/>
      <c r="AG195" s="514"/>
      <c r="AH195" s="789"/>
      <c r="AI195" s="946">
        <f t="shared" si="9"/>
        <v>0</v>
      </c>
      <c r="AJ195" s="521">
        <v>0</v>
      </c>
      <c r="AK195" s="520">
        <f t="shared" si="10"/>
        <v>0</v>
      </c>
      <c r="AL195" s="672"/>
      <c r="AM195" s="669">
        <f t="shared" si="11"/>
        <v>0</v>
      </c>
    </row>
    <row r="196" spans="1:39" s="500" customFormat="1" ht="13.35" customHeight="1">
      <c r="A196" s="539" t="s">
        <v>709</v>
      </c>
      <c r="B196" s="539" t="s">
        <v>1170</v>
      </c>
      <c r="C196" s="616"/>
      <c r="D196" s="519"/>
      <c r="E196" s="520"/>
      <c r="F196" s="726"/>
      <c r="G196" s="520"/>
      <c r="H196" s="520"/>
      <c r="I196" s="521"/>
      <c r="J196" s="521"/>
      <c r="K196" s="772"/>
      <c r="L196" s="514"/>
      <c r="M196" s="726"/>
      <c r="N196" s="514"/>
      <c r="O196" s="514"/>
      <c r="P196" s="514"/>
      <c r="Q196" s="514"/>
      <c r="R196" s="514"/>
      <c r="S196" s="514"/>
      <c r="T196" s="726"/>
      <c r="U196" s="514"/>
      <c r="V196" s="514"/>
      <c r="W196" s="514"/>
      <c r="X196" s="514"/>
      <c r="Y196" s="514"/>
      <c r="Z196" s="514"/>
      <c r="AA196" s="726"/>
      <c r="AB196" s="764"/>
      <c r="AC196" s="514"/>
      <c r="AD196" s="514"/>
      <c r="AE196" s="698"/>
      <c r="AF196" s="514"/>
      <c r="AG196" s="514"/>
      <c r="AH196" s="789"/>
      <c r="AI196" s="946">
        <f t="shared" si="9"/>
        <v>0</v>
      </c>
      <c r="AJ196" s="521">
        <v>0</v>
      </c>
      <c r="AK196" s="520">
        <f t="shared" si="10"/>
        <v>0</v>
      </c>
      <c r="AL196" s="672" t="s">
        <v>1470</v>
      </c>
      <c r="AM196" s="669">
        <f t="shared" si="11"/>
        <v>4.6100000000000003</v>
      </c>
    </row>
    <row r="197" spans="1:39" s="500" customFormat="1" ht="13.35" customHeight="1">
      <c r="A197" s="539" t="s">
        <v>710</v>
      </c>
      <c r="B197" s="539" t="s">
        <v>1206</v>
      </c>
      <c r="C197" s="548" t="s">
        <v>40</v>
      </c>
      <c r="D197" s="519"/>
      <c r="E197" s="520"/>
      <c r="F197" s="726"/>
      <c r="G197" s="520"/>
      <c r="H197" s="520"/>
      <c r="I197" s="521"/>
      <c r="J197" s="521"/>
      <c r="K197" s="772"/>
      <c r="L197" s="514"/>
      <c r="M197" s="726"/>
      <c r="N197" s="514"/>
      <c r="O197" s="514"/>
      <c r="P197" s="514"/>
      <c r="Q197" s="514"/>
      <c r="R197" s="514"/>
      <c r="S197" s="514"/>
      <c r="T197" s="726"/>
      <c r="U197" s="514"/>
      <c r="V197" s="514"/>
      <c r="W197" s="514"/>
      <c r="X197" s="514"/>
      <c r="Y197" s="514"/>
      <c r="Z197" s="514"/>
      <c r="AA197" s="726"/>
      <c r="AB197" s="764"/>
      <c r="AC197" s="514"/>
      <c r="AD197" s="514"/>
      <c r="AE197" s="698"/>
      <c r="AF197" s="514"/>
      <c r="AG197" s="514"/>
      <c r="AH197" s="789"/>
      <c r="AI197" s="946">
        <f t="shared" si="9"/>
        <v>0</v>
      </c>
      <c r="AJ197" s="521">
        <v>0</v>
      </c>
      <c r="AK197" s="520">
        <f t="shared" si="10"/>
        <v>0</v>
      </c>
      <c r="AL197" s="672" t="s">
        <v>1471</v>
      </c>
      <c r="AM197" s="669">
        <f t="shared" si="11"/>
        <v>192.7</v>
      </c>
    </row>
    <row r="198" spans="1:39" s="500" customFormat="1" ht="13.35" customHeight="1">
      <c r="A198" s="539" t="s">
        <v>711</v>
      </c>
      <c r="B198" s="539" t="s">
        <v>1172</v>
      </c>
      <c r="C198" s="548" t="s">
        <v>48</v>
      </c>
      <c r="D198" s="519"/>
      <c r="E198" s="520"/>
      <c r="F198" s="726"/>
      <c r="G198" s="520"/>
      <c r="H198" s="520"/>
      <c r="I198" s="521"/>
      <c r="J198" s="521"/>
      <c r="K198" s="772"/>
      <c r="L198" s="514"/>
      <c r="M198" s="726"/>
      <c r="N198" s="514"/>
      <c r="O198" s="514"/>
      <c r="P198" s="514"/>
      <c r="Q198" s="514"/>
      <c r="R198" s="514"/>
      <c r="S198" s="514"/>
      <c r="T198" s="726"/>
      <c r="U198" s="514"/>
      <c r="V198" s="514"/>
      <c r="W198" s="514"/>
      <c r="X198" s="514"/>
      <c r="Y198" s="514"/>
      <c r="Z198" s="514"/>
      <c r="AA198" s="726"/>
      <c r="AB198" s="764"/>
      <c r="AC198" s="514"/>
      <c r="AD198" s="514"/>
      <c r="AE198" s="698"/>
      <c r="AF198" s="514"/>
      <c r="AG198" s="514"/>
      <c r="AH198" s="789"/>
      <c r="AI198" s="946">
        <f t="shared" si="9"/>
        <v>0</v>
      </c>
      <c r="AJ198" s="521">
        <v>0</v>
      </c>
      <c r="AK198" s="520">
        <f t="shared" si="10"/>
        <v>0</v>
      </c>
      <c r="AL198" s="672"/>
      <c r="AM198" s="669">
        <f t="shared" si="11"/>
        <v>0</v>
      </c>
    </row>
    <row r="199" spans="1:39" s="500" customFormat="1" ht="13.35" customHeight="1">
      <c r="A199" s="539" t="s">
        <v>712</v>
      </c>
      <c r="B199" s="539" t="s">
        <v>1173</v>
      </c>
      <c r="C199" s="616"/>
      <c r="D199" s="519"/>
      <c r="E199" s="520"/>
      <c r="F199" s="726"/>
      <c r="G199" s="520"/>
      <c r="H199" s="520"/>
      <c r="I199" s="521"/>
      <c r="J199" s="521"/>
      <c r="K199" s="772"/>
      <c r="L199" s="514"/>
      <c r="M199" s="726"/>
      <c r="N199" s="514"/>
      <c r="O199" s="514"/>
      <c r="P199" s="514"/>
      <c r="Q199" s="514"/>
      <c r="R199" s="514"/>
      <c r="S199" s="514"/>
      <c r="T199" s="726"/>
      <c r="U199" s="514"/>
      <c r="V199" s="514"/>
      <c r="W199" s="514"/>
      <c r="X199" s="514"/>
      <c r="Y199" s="514"/>
      <c r="Z199" s="514"/>
      <c r="AA199" s="726"/>
      <c r="AB199" s="764"/>
      <c r="AC199" s="514"/>
      <c r="AD199" s="514"/>
      <c r="AE199" s="698"/>
      <c r="AF199" s="514"/>
      <c r="AG199" s="514"/>
      <c r="AH199" s="789"/>
      <c r="AI199" s="946">
        <f t="shared" si="9"/>
        <v>0</v>
      </c>
      <c r="AJ199" s="521">
        <v>0</v>
      </c>
      <c r="AK199" s="520">
        <f t="shared" si="10"/>
        <v>0</v>
      </c>
      <c r="AL199" s="672" t="s">
        <v>1566</v>
      </c>
      <c r="AM199" s="669">
        <f t="shared" si="11"/>
        <v>2.19</v>
      </c>
    </row>
    <row r="200" spans="1:39" s="500" customFormat="1" ht="13.35" customHeight="1">
      <c r="A200" s="539" t="s">
        <v>713</v>
      </c>
      <c r="B200" s="539" t="s">
        <v>1207</v>
      </c>
      <c r="C200" s="548" t="s">
        <v>40</v>
      </c>
      <c r="D200" s="519"/>
      <c r="E200" s="520"/>
      <c r="F200" s="726"/>
      <c r="G200" s="520"/>
      <c r="H200" s="520"/>
      <c r="I200" s="521"/>
      <c r="J200" s="521"/>
      <c r="K200" s="772"/>
      <c r="L200" s="514"/>
      <c r="M200" s="726"/>
      <c r="N200" s="514"/>
      <c r="O200" s="514"/>
      <c r="P200" s="514"/>
      <c r="Q200" s="514"/>
      <c r="R200" s="514"/>
      <c r="S200" s="514"/>
      <c r="T200" s="726"/>
      <c r="U200" s="514"/>
      <c r="V200" s="514"/>
      <c r="W200" s="514"/>
      <c r="X200" s="514"/>
      <c r="Y200" s="514"/>
      <c r="Z200" s="514"/>
      <c r="AA200" s="726"/>
      <c r="AB200" s="764"/>
      <c r="AC200" s="514"/>
      <c r="AD200" s="514"/>
      <c r="AE200" s="698"/>
      <c r="AF200" s="514"/>
      <c r="AG200" s="514"/>
      <c r="AH200" s="789"/>
      <c r="AI200" s="946">
        <f t="shared" si="9"/>
        <v>0</v>
      </c>
      <c r="AJ200" s="521">
        <v>0</v>
      </c>
      <c r="AK200" s="520">
        <f t="shared" si="10"/>
        <v>0</v>
      </c>
      <c r="AL200" s="672" t="s">
        <v>1567</v>
      </c>
      <c r="AM200" s="669">
        <f t="shared" si="11"/>
        <v>17.489999999999998</v>
      </c>
    </row>
    <row r="201" spans="1:39" s="500" customFormat="1" ht="13.35" customHeight="1">
      <c r="A201" s="539" t="s">
        <v>714</v>
      </c>
      <c r="B201" s="539" t="s">
        <v>1175</v>
      </c>
      <c r="C201" s="548" t="s">
        <v>37</v>
      </c>
      <c r="D201" s="519"/>
      <c r="E201" s="520"/>
      <c r="F201" s="726"/>
      <c r="G201" s="520"/>
      <c r="H201" s="520"/>
      <c r="I201" s="520"/>
      <c r="J201" s="521"/>
      <c r="K201" s="772"/>
      <c r="L201" s="514"/>
      <c r="M201" s="726"/>
      <c r="N201" s="514"/>
      <c r="O201" s="514"/>
      <c r="P201" s="514"/>
      <c r="Q201" s="514"/>
      <c r="R201" s="514"/>
      <c r="S201" s="514"/>
      <c r="T201" s="726"/>
      <c r="U201" s="514"/>
      <c r="V201" s="514"/>
      <c r="W201" s="514"/>
      <c r="X201" s="514"/>
      <c r="Y201" s="514"/>
      <c r="Z201" s="514"/>
      <c r="AA201" s="726"/>
      <c r="AB201" s="764"/>
      <c r="AC201" s="514"/>
      <c r="AD201" s="514"/>
      <c r="AE201" s="698"/>
      <c r="AF201" s="514"/>
      <c r="AG201" s="514"/>
      <c r="AH201" s="789"/>
      <c r="AI201" s="946">
        <f t="shared" si="9"/>
        <v>0</v>
      </c>
      <c r="AJ201" s="521">
        <v>0</v>
      </c>
      <c r="AK201" s="520">
        <f t="shared" si="10"/>
        <v>0</v>
      </c>
      <c r="AL201" s="672" t="s">
        <v>1568</v>
      </c>
      <c r="AM201" s="669">
        <f t="shared" si="11"/>
        <v>179.25</v>
      </c>
    </row>
    <row r="202" spans="1:39" s="500" customFormat="1" ht="13.35" customHeight="1">
      <c r="A202" s="539" t="s">
        <v>715</v>
      </c>
      <c r="B202" s="539" t="s">
        <v>1176</v>
      </c>
      <c r="C202" s="548" t="s">
        <v>48</v>
      </c>
      <c r="D202" s="519"/>
      <c r="E202" s="520"/>
      <c r="F202" s="726"/>
      <c r="G202" s="520"/>
      <c r="H202" s="520"/>
      <c r="I202" s="521"/>
      <c r="J202" s="521"/>
      <c r="K202" s="772"/>
      <c r="L202" s="514"/>
      <c r="M202" s="726"/>
      <c r="N202" s="514"/>
      <c r="O202" s="514"/>
      <c r="P202" s="514"/>
      <c r="Q202" s="514"/>
      <c r="R202" s="514"/>
      <c r="S202" s="514"/>
      <c r="T202" s="726"/>
      <c r="U202" s="514"/>
      <c r="V202" s="514"/>
      <c r="W202" s="514"/>
      <c r="X202" s="514"/>
      <c r="Y202" s="514"/>
      <c r="Z202" s="514"/>
      <c r="AA202" s="726"/>
      <c r="AB202" s="764"/>
      <c r="AC202" s="514"/>
      <c r="AD202" s="514"/>
      <c r="AE202" s="698"/>
      <c r="AF202" s="514"/>
      <c r="AG202" s="514"/>
      <c r="AH202" s="789"/>
      <c r="AI202" s="946">
        <f t="shared" si="9"/>
        <v>0</v>
      </c>
      <c r="AJ202" s="521">
        <v>0</v>
      </c>
      <c r="AK202" s="520">
        <f t="shared" si="10"/>
        <v>0</v>
      </c>
      <c r="AL202" s="672"/>
      <c r="AM202" s="669">
        <f t="shared" si="11"/>
        <v>0</v>
      </c>
    </row>
    <row r="203" spans="1:39" s="500" customFormat="1" ht="13.35" customHeight="1">
      <c r="A203" s="539" t="s">
        <v>716</v>
      </c>
      <c r="B203" s="539" t="s">
        <v>1177</v>
      </c>
      <c r="C203" s="616"/>
      <c r="D203" s="519"/>
      <c r="E203" s="520"/>
      <c r="F203" s="726"/>
      <c r="G203" s="520"/>
      <c r="H203" s="520"/>
      <c r="I203" s="521"/>
      <c r="J203" s="521"/>
      <c r="K203" s="772"/>
      <c r="L203" s="514"/>
      <c r="M203" s="726"/>
      <c r="N203" s="514"/>
      <c r="O203" s="514"/>
      <c r="P203" s="514"/>
      <c r="Q203" s="514"/>
      <c r="R203" s="514"/>
      <c r="S203" s="514"/>
      <c r="T203" s="726"/>
      <c r="U203" s="514"/>
      <c r="V203" s="514"/>
      <c r="W203" s="514"/>
      <c r="X203" s="514"/>
      <c r="Y203" s="514"/>
      <c r="Z203" s="514"/>
      <c r="AA203" s="726"/>
      <c r="AB203" s="764"/>
      <c r="AC203" s="514"/>
      <c r="AD203" s="514"/>
      <c r="AE203" s="698"/>
      <c r="AF203" s="514"/>
      <c r="AG203" s="514"/>
      <c r="AH203" s="789"/>
      <c r="AI203" s="946">
        <f t="shared" si="9"/>
        <v>0</v>
      </c>
      <c r="AJ203" s="521">
        <v>0</v>
      </c>
      <c r="AK203" s="520">
        <f t="shared" si="10"/>
        <v>0</v>
      </c>
      <c r="AL203" s="672" t="s">
        <v>1532</v>
      </c>
      <c r="AM203" s="669">
        <f t="shared" si="11"/>
        <v>2.1800000000000002</v>
      </c>
    </row>
    <row r="204" spans="1:39" s="500" customFormat="1" ht="13.35" customHeight="1">
      <c r="A204" s="539" t="s">
        <v>717</v>
      </c>
      <c r="B204" s="539" t="s">
        <v>1208</v>
      </c>
      <c r="C204" s="548" t="s">
        <v>40</v>
      </c>
      <c r="D204" s="519"/>
      <c r="E204" s="520"/>
      <c r="F204" s="726"/>
      <c r="G204" s="520"/>
      <c r="H204" s="520"/>
      <c r="I204" s="521"/>
      <c r="J204" s="521"/>
      <c r="K204" s="772"/>
      <c r="L204" s="514"/>
      <c r="M204" s="726"/>
      <c r="N204" s="514"/>
      <c r="O204" s="514"/>
      <c r="P204" s="514"/>
      <c r="Q204" s="514"/>
      <c r="R204" s="514"/>
      <c r="S204" s="514"/>
      <c r="T204" s="726"/>
      <c r="U204" s="514"/>
      <c r="V204" s="514"/>
      <c r="W204" s="514"/>
      <c r="X204" s="514"/>
      <c r="Y204" s="514"/>
      <c r="Z204" s="514"/>
      <c r="AA204" s="726"/>
      <c r="AB204" s="764"/>
      <c r="AC204" s="514"/>
      <c r="AD204" s="514"/>
      <c r="AE204" s="698"/>
      <c r="AF204" s="514"/>
      <c r="AG204" s="514"/>
      <c r="AH204" s="789"/>
      <c r="AI204" s="946">
        <f t="shared" si="9"/>
        <v>0</v>
      </c>
      <c r="AJ204" s="521">
        <v>0</v>
      </c>
      <c r="AK204" s="520">
        <f t="shared" si="10"/>
        <v>0</v>
      </c>
      <c r="AL204" s="672" t="s">
        <v>1569</v>
      </c>
      <c r="AM204" s="669">
        <f t="shared" si="11"/>
        <v>34.799999999999997</v>
      </c>
    </row>
    <row r="205" spans="1:39" s="500" customFormat="1" ht="13.35" customHeight="1">
      <c r="A205" s="539" t="s">
        <v>718</v>
      </c>
      <c r="B205" s="539" t="s">
        <v>1179</v>
      </c>
      <c r="C205" s="548" t="s">
        <v>37</v>
      </c>
      <c r="D205" s="519"/>
      <c r="E205" s="520"/>
      <c r="F205" s="726"/>
      <c r="G205" s="520"/>
      <c r="H205" s="520"/>
      <c r="I205" s="521"/>
      <c r="J205" s="521"/>
      <c r="K205" s="772"/>
      <c r="L205" s="514"/>
      <c r="M205" s="726"/>
      <c r="N205" s="514"/>
      <c r="O205" s="514"/>
      <c r="P205" s="514"/>
      <c r="Q205" s="514"/>
      <c r="R205" s="514"/>
      <c r="S205" s="514"/>
      <c r="T205" s="726"/>
      <c r="U205" s="514"/>
      <c r="V205" s="514"/>
      <c r="W205" s="514"/>
      <c r="X205" s="514"/>
      <c r="Y205" s="514"/>
      <c r="Z205" s="514"/>
      <c r="AA205" s="726"/>
      <c r="AB205" s="764"/>
      <c r="AC205" s="514"/>
      <c r="AD205" s="514"/>
      <c r="AE205" s="698"/>
      <c r="AF205" s="514"/>
      <c r="AG205" s="514"/>
      <c r="AH205" s="789"/>
      <c r="AI205" s="946">
        <f t="shared" si="9"/>
        <v>0</v>
      </c>
      <c r="AJ205" s="521">
        <v>0</v>
      </c>
      <c r="AK205" s="520">
        <f t="shared" si="10"/>
        <v>0</v>
      </c>
      <c r="AL205" s="672" t="s">
        <v>1570</v>
      </c>
      <c r="AM205" s="669">
        <f t="shared" si="11"/>
        <v>314.66000000000003</v>
      </c>
    </row>
    <row r="206" spans="1:39" s="500" customFormat="1" ht="13.35" customHeight="1">
      <c r="A206" s="539" t="s">
        <v>719</v>
      </c>
      <c r="B206" s="539" t="s">
        <v>1180</v>
      </c>
      <c r="C206" s="548" t="s">
        <v>48</v>
      </c>
      <c r="D206" s="519"/>
      <c r="E206" s="520"/>
      <c r="F206" s="726"/>
      <c r="G206" s="520"/>
      <c r="H206" s="520"/>
      <c r="I206" s="521"/>
      <c r="J206" s="521"/>
      <c r="K206" s="772"/>
      <c r="L206" s="514"/>
      <c r="M206" s="726"/>
      <c r="N206" s="514"/>
      <c r="O206" s="514"/>
      <c r="P206" s="514"/>
      <c r="Q206" s="514"/>
      <c r="R206" s="514"/>
      <c r="S206" s="514"/>
      <c r="T206" s="726"/>
      <c r="U206" s="514"/>
      <c r="V206" s="514"/>
      <c r="W206" s="514"/>
      <c r="X206" s="514"/>
      <c r="Y206" s="514"/>
      <c r="Z206" s="514"/>
      <c r="AA206" s="726"/>
      <c r="AB206" s="764"/>
      <c r="AC206" s="514"/>
      <c r="AD206" s="514"/>
      <c r="AE206" s="698"/>
      <c r="AF206" s="514"/>
      <c r="AG206" s="514"/>
      <c r="AH206" s="789"/>
      <c r="AI206" s="946">
        <f t="shared" si="9"/>
        <v>0</v>
      </c>
      <c r="AJ206" s="521">
        <v>0</v>
      </c>
      <c r="AK206" s="520">
        <f t="shared" si="10"/>
        <v>0</v>
      </c>
      <c r="AL206" s="672"/>
      <c r="AM206" s="669">
        <f t="shared" si="11"/>
        <v>0</v>
      </c>
    </row>
    <row r="207" spans="1:39" s="500" customFormat="1" ht="13.35" customHeight="1">
      <c r="A207" s="539" t="s">
        <v>720</v>
      </c>
      <c r="B207" s="539" t="s">
        <v>1181</v>
      </c>
      <c r="C207" s="616"/>
      <c r="D207" s="519"/>
      <c r="E207" s="520"/>
      <c r="F207" s="726"/>
      <c r="G207" s="520"/>
      <c r="H207" s="520"/>
      <c r="I207" s="521"/>
      <c r="J207" s="521"/>
      <c r="K207" s="772"/>
      <c r="L207" s="514"/>
      <c r="M207" s="726"/>
      <c r="N207" s="514"/>
      <c r="O207" s="514"/>
      <c r="P207" s="514"/>
      <c r="Q207" s="514"/>
      <c r="R207" s="514"/>
      <c r="S207" s="514"/>
      <c r="T207" s="726"/>
      <c r="U207" s="514"/>
      <c r="V207" s="514"/>
      <c r="W207" s="514"/>
      <c r="X207" s="514"/>
      <c r="Y207" s="514"/>
      <c r="Z207" s="514"/>
      <c r="AA207" s="726"/>
      <c r="AB207" s="764"/>
      <c r="AC207" s="514"/>
      <c r="AD207" s="514"/>
      <c r="AE207" s="698"/>
      <c r="AF207" s="514"/>
      <c r="AG207" s="514"/>
      <c r="AH207" s="789"/>
      <c r="AI207" s="946">
        <f t="shared" ref="AI207:AI267" si="12">ROUND((SUM(D207:AH207)),2)</f>
        <v>0</v>
      </c>
      <c r="AJ207" s="521">
        <v>0</v>
      </c>
      <c r="AK207" s="520">
        <f t="shared" si="10"/>
        <v>0</v>
      </c>
      <c r="AL207" s="672" t="s">
        <v>1478</v>
      </c>
      <c r="AM207" s="669">
        <f t="shared" si="11"/>
        <v>1.49</v>
      </c>
    </row>
    <row r="208" spans="1:39" s="500" customFormat="1" ht="13.35" customHeight="1">
      <c r="A208" s="539" t="s">
        <v>721</v>
      </c>
      <c r="B208" s="539" t="s">
        <v>1182</v>
      </c>
      <c r="C208" s="548" t="s">
        <v>40</v>
      </c>
      <c r="D208" s="519"/>
      <c r="E208" s="520"/>
      <c r="F208" s="726"/>
      <c r="G208" s="520"/>
      <c r="H208" s="520"/>
      <c r="I208" s="521"/>
      <c r="J208" s="521"/>
      <c r="K208" s="772"/>
      <c r="L208" s="514"/>
      <c r="M208" s="726"/>
      <c r="N208" s="514"/>
      <c r="O208" s="514"/>
      <c r="P208" s="514"/>
      <c r="Q208" s="514"/>
      <c r="R208" s="514"/>
      <c r="S208" s="514"/>
      <c r="T208" s="726"/>
      <c r="U208" s="514"/>
      <c r="V208" s="514"/>
      <c r="W208" s="514"/>
      <c r="X208" s="514"/>
      <c r="Y208" s="514"/>
      <c r="Z208" s="514"/>
      <c r="AA208" s="726"/>
      <c r="AB208" s="764"/>
      <c r="AC208" s="514"/>
      <c r="AD208" s="514"/>
      <c r="AE208" s="698"/>
      <c r="AF208" s="514"/>
      <c r="AG208" s="514"/>
      <c r="AH208" s="789"/>
      <c r="AI208" s="946">
        <f t="shared" si="12"/>
        <v>0</v>
      </c>
      <c r="AJ208" s="521">
        <v>0</v>
      </c>
      <c r="AK208" s="520">
        <f t="shared" si="10"/>
        <v>0</v>
      </c>
      <c r="AL208" s="672" t="s">
        <v>1479</v>
      </c>
      <c r="AM208" s="669">
        <f t="shared" si="11"/>
        <v>19.71</v>
      </c>
    </row>
    <row r="209" spans="1:39" s="500" customFormat="1" ht="13.35" customHeight="1">
      <c r="A209" s="539" t="s">
        <v>722</v>
      </c>
      <c r="B209" s="539" t="s">
        <v>1183</v>
      </c>
      <c r="C209" s="548" t="s">
        <v>37</v>
      </c>
      <c r="D209" s="519"/>
      <c r="E209" s="520"/>
      <c r="F209" s="726"/>
      <c r="G209" s="520"/>
      <c r="H209" s="520"/>
      <c r="I209" s="521"/>
      <c r="J209" s="521"/>
      <c r="K209" s="772"/>
      <c r="L209" s="514"/>
      <c r="M209" s="726"/>
      <c r="N209" s="514"/>
      <c r="O209" s="514"/>
      <c r="P209" s="514"/>
      <c r="Q209" s="514"/>
      <c r="R209" s="514"/>
      <c r="S209" s="514"/>
      <c r="T209" s="726"/>
      <c r="U209" s="514"/>
      <c r="V209" s="514"/>
      <c r="W209" s="514"/>
      <c r="X209" s="514"/>
      <c r="Y209" s="514"/>
      <c r="Z209" s="514"/>
      <c r="AA209" s="726"/>
      <c r="AB209" s="764"/>
      <c r="AC209" s="514"/>
      <c r="AD209" s="514"/>
      <c r="AE209" s="698"/>
      <c r="AF209" s="514"/>
      <c r="AG209" s="514"/>
      <c r="AH209" s="789"/>
      <c r="AI209" s="946">
        <f t="shared" si="12"/>
        <v>0</v>
      </c>
      <c r="AJ209" s="521">
        <v>0</v>
      </c>
      <c r="AK209" s="520">
        <f t="shared" si="10"/>
        <v>0</v>
      </c>
      <c r="AL209" s="672" t="s">
        <v>1480</v>
      </c>
      <c r="AM209" s="669">
        <f t="shared" si="11"/>
        <v>659.98</v>
      </c>
    </row>
    <row r="210" spans="1:39" s="500" customFormat="1" ht="13.35" customHeight="1">
      <c r="A210" s="539" t="s">
        <v>723</v>
      </c>
      <c r="B210" s="539" t="s">
        <v>1184</v>
      </c>
      <c r="C210" s="548" t="s">
        <v>48</v>
      </c>
      <c r="D210" s="519"/>
      <c r="E210" s="520"/>
      <c r="F210" s="726"/>
      <c r="G210" s="520"/>
      <c r="H210" s="520"/>
      <c r="I210" s="521"/>
      <c r="J210" s="521"/>
      <c r="K210" s="772"/>
      <c r="L210" s="514"/>
      <c r="M210" s="726"/>
      <c r="N210" s="514"/>
      <c r="O210" s="514"/>
      <c r="P210" s="514"/>
      <c r="Q210" s="514"/>
      <c r="R210" s="514"/>
      <c r="S210" s="514"/>
      <c r="T210" s="726"/>
      <c r="U210" s="514"/>
      <c r="V210" s="514"/>
      <c r="W210" s="514"/>
      <c r="X210" s="514"/>
      <c r="Y210" s="514"/>
      <c r="Z210" s="514"/>
      <c r="AA210" s="726"/>
      <c r="AB210" s="764"/>
      <c r="AC210" s="514"/>
      <c r="AD210" s="514"/>
      <c r="AE210" s="698"/>
      <c r="AF210" s="514"/>
      <c r="AG210" s="514"/>
      <c r="AH210" s="789"/>
      <c r="AI210" s="946">
        <f t="shared" si="12"/>
        <v>0</v>
      </c>
      <c r="AJ210" s="521">
        <v>0</v>
      </c>
      <c r="AK210" s="520">
        <f t="shared" si="10"/>
        <v>0</v>
      </c>
      <c r="AL210" s="672"/>
      <c r="AM210" s="669">
        <f t="shared" si="11"/>
        <v>0</v>
      </c>
    </row>
    <row r="211" spans="1:39" s="500" customFormat="1" ht="13.35" customHeight="1">
      <c r="A211" s="539" t="s">
        <v>724</v>
      </c>
      <c r="B211" s="539" t="s">
        <v>1185</v>
      </c>
      <c r="C211" s="616"/>
      <c r="D211" s="519"/>
      <c r="E211" s="520"/>
      <c r="F211" s="726"/>
      <c r="G211" s="520"/>
      <c r="H211" s="520"/>
      <c r="I211" s="521"/>
      <c r="J211" s="521"/>
      <c r="K211" s="772"/>
      <c r="L211" s="514"/>
      <c r="M211" s="726"/>
      <c r="N211" s="514"/>
      <c r="O211" s="514"/>
      <c r="P211" s="514"/>
      <c r="Q211" s="514"/>
      <c r="R211" s="514"/>
      <c r="S211" s="514"/>
      <c r="T211" s="726"/>
      <c r="U211" s="514"/>
      <c r="V211" s="514"/>
      <c r="W211" s="514"/>
      <c r="X211" s="514"/>
      <c r="Y211" s="514"/>
      <c r="Z211" s="514"/>
      <c r="AA211" s="726"/>
      <c r="AB211" s="764"/>
      <c r="AC211" s="514"/>
      <c r="AD211" s="514"/>
      <c r="AE211" s="698"/>
      <c r="AF211" s="514"/>
      <c r="AG211" s="514"/>
      <c r="AH211" s="789"/>
      <c r="AI211" s="946">
        <f t="shared" si="12"/>
        <v>0</v>
      </c>
      <c r="AJ211" s="521">
        <v>0</v>
      </c>
      <c r="AK211" s="520">
        <f t="shared" si="10"/>
        <v>0</v>
      </c>
      <c r="AL211" s="672" t="s">
        <v>1571</v>
      </c>
      <c r="AM211" s="669">
        <f t="shared" si="11"/>
        <v>5.6</v>
      </c>
    </row>
    <row r="212" spans="1:39" s="500" customFormat="1" ht="13.35" customHeight="1">
      <c r="A212" s="539" t="s">
        <v>725</v>
      </c>
      <c r="B212" s="539" t="s">
        <v>1186</v>
      </c>
      <c r="C212" s="548" t="s">
        <v>40</v>
      </c>
      <c r="D212" s="519"/>
      <c r="E212" s="520"/>
      <c r="F212" s="726"/>
      <c r="G212" s="520"/>
      <c r="H212" s="520"/>
      <c r="I212" s="521"/>
      <c r="J212" s="521"/>
      <c r="K212" s="772"/>
      <c r="L212" s="514"/>
      <c r="M212" s="726"/>
      <c r="N212" s="514"/>
      <c r="O212" s="514"/>
      <c r="P212" s="514"/>
      <c r="Q212" s="514"/>
      <c r="R212" s="514"/>
      <c r="S212" s="514"/>
      <c r="T212" s="726"/>
      <c r="U212" s="514"/>
      <c r="V212" s="514"/>
      <c r="W212" s="514"/>
      <c r="X212" s="514"/>
      <c r="Y212" s="514"/>
      <c r="Z212" s="514"/>
      <c r="AA212" s="726"/>
      <c r="AB212" s="764"/>
      <c r="AC212" s="522"/>
      <c r="AD212" s="514"/>
      <c r="AE212" s="698"/>
      <c r="AF212" s="514"/>
      <c r="AG212" s="514"/>
      <c r="AH212" s="789"/>
      <c r="AI212" s="946">
        <f t="shared" si="12"/>
        <v>0</v>
      </c>
      <c r="AJ212" s="521">
        <v>0</v>
      </c>
      <c r="AK212" s="520">
        <f t="shared" ref="AK212:AK275" si="13">AI212+AJ212</f>
        <v>0</v>
      </c>
      <c r="AL212" s="672" t="s">
        <v>1572</v>
      </c>
      <c r="AM212" s="669">
        <f t="shared" ref="AM212:AM275" si="14">AL212-AK212</f>
        <v>48.75</v>
      </c>
    </row>
    <row r="213" spans="1:39" s="500" customFormat="1" ht="13.35" customHeight="1">
      <c r="A213" s="539" t="s">
        <v>726</v>
      </c>
      <c r="B213" s="539" t="s">
        <v>1187</v>
      </c>
      <c r="C213" s="548" t="s">
        <v>37</v>
      </c>
      <c r="D213" s="519"/>
      <c r="E213" s="520"/>
      <c r="F213" s="726"/>
      <c r="G213" s="520"/>
      <c r="H213" s="520"/>
      <c r="I213" s="521"/>
      <c r="J213" s="521"/>
      <c r="K213" s="772"/>
      <c r="L213" s="514"/>
      <c r="M213" s="726"/>
      <c r="N213" s="514"/>
      <c r="O213" s="514"/>
      <c r="P213" s="514"/>
      <c r="Q213" s="514"/>
      <c r="R213" s="514"/>
      <c r="S213" s="514"/>
      <c r="T213" s="726"/>
      <c r="U213" s="514"/>
      <c r="V213" s="514"/>
      <c r="W213" s="514"/>
      <c r="X213" s="514"/>
      <c r="Y213" s="514"/>
      <c r="Z213" s="514"/>
      <c r="AA213" s="726"/>
      <c r="AB213" s="764"/>
      <c r="AC213" s="514"/>
      <c r="AD213" s="514"/>
      <c r="AE213" s="698"/>
      <c r="AF213" s="514"/>
      <c r="AG213" s="514"/>
      <c r="AH213" s="789"/>
      <c r="AI213" s="946">
        <f t="shared" si="12"/>
        <v>0</v>
      </c>
      <c r="AJ213" s="521">
        <v>0</v>
      </c>
      <c r="AK213" s="520">
        <f t="shared" si="13"/>
        <v>0</v>
      </c>
      <c r="AL213" s="672" t="s">
        <v>1573</v>
      </c>
      <c r="AM213" s="669">
        <f t="shared" si="14"/>
        <v>642.09</v>
      </c>
    </row>
    <row r="214" spans="1:39" s="500" customFormat="1" ht="13.35" customHeight="1">
      <c r="A214" s="539" t="s">
        <v>727</v>
      </c>
      <c r="B214" s="539" t="s">
        <v>1188</v>
      </c>
      <c r="C214" s="548" t="s">
        <v>48</v>
      </c>
      <c r="D214" s="519"/>
      <c r="E214" s="520"/>
      <c r="F214" s="726"/>
      <c r="G214" s="520"/>
      <c r="H214" s="520"/>
      <c r="I214" s="521"/>
      <c r="J214" s="521"/>
      <c r="K214" s="772"/>
      <c r="L214" s="514"/>
      <c r="M214" s="726"/>
      <c r="N214" s="514"/>
      <c r="O214" s="514"/>
      <c r="P214" s="514"/>
      <c r="Q214" s="514"/>
      <c r="R214" s="514"/>
      <c r="S214" s="514"/>
      <c r="T214" s="726"/>
      <c r="U214" s="514"/>
      <c r="V214" s="514"/>
      <c r="W214" s="514"/>
      <c r="X214" s="514"/>
      <c r="Y214" s="514"/>
      <c r="Z214" s="514"/>
      <c r="AA214" s="726"/>
      <c r="AB214" s="764"/>
      <c r="AC214" s="514"/>
      <c r="AD214" s="514"/>
      <c r="AE214" s="698"/>
      <c r="AF214" s="514"/>
      <c r="AG214" s="514"/>
      <c r="AH214" s="789"/>
      <c r="AI214" s="946">
        <f t="shared" si="12"/>
        <v>0</v>
      </c>
      <c r="AJ214" s="521">
        <v>0</v>
      </c>
      <c r="AK214" s="520">
        <f t="shared" si="13"/>
        <v>0</v>
      </c>
      <c r="AL214" s="672"/>
      <c r="AM214" s="669">
        <f t="shared" si="14"/>
        <v>0</v>
      </c>
    </row>
    <row r="215" spans="1:39" s="500" customFormat="1" ht="13.35" customHeight="1">
      <c r="A215" s="539" t="s">
        <v>728</v>
      </c>
      <c r="B215" s="539" t="s">
        <v>1189</v>
      </c>
      <c r="C215" s="616"/>
      <c r="D215" s="519"/>
      <c r="E215" s="520"/>
      <c r="F215" s="726"/>
      <c r="G215" s="520"/>
      <c r="H215" s="520"/>
      <c r="I215" s="521"/>
      <c r="J215" s="521"/>
      <c r="K215" s="772"/>
      <c r="L215" s="514"/>
      <c r="M215" s="726"/>
      <c r="N215" s="514"/>
      <c r="O215" s="514"/>
      <c r="P215" s="514"/>
      <c r="Q215" s="514"/>
      <c r="R215" s="514"/>
      <c r="S215" s="514"/>
      <c r="T215" s="726"/>
      <c r="U215" s="514"/>
      <c r="V215" s="514"/>
      <c r="W215" s="514"/>
      <c r="X215" s="514"/>
      <c r="Y215" s="514"/>
      <c r="Z215" s="514"/>
      <c r="AA215" s="726"/>
      <c r="AB215" s="764"/>
      <c r="AC215" s="514"/>
      <c r="AD215" s="514"/>
      <c r="AE215" s="698"/>
      <c r="AF215" s="514"/>
      <c r="AG215" s="514"/>
      <c r="AH215" s="789"/>
      <c r="AI215" s="946">
        <f t="shared" si="12"/>
        <v>0</v>
      </c>
      <c r="AJ215" s="521">
        <v>0</v>
      </c>
      <c r="AK215" s="520">
        <f t="shared" si="13"/>
        <v>0</v>
      </c>
      <c r="AL215" s="672" t="s">
        <v>1574</v>
      </c>
      <c r="AM215" s="669">
        <f t="shared" si="14"/>
        <v>3.36</v>
      </c>
    </row>
    <row r="216" spans="1:39" s="500" customFormat="1" ht="13.35" customHeight="1">
      <c r="A216" s="539" t="s">
        <v>729</v>
      </c>
      <c r="B216" s="539" t="s">
        <v>1190</v>
      </c>
      <c r="C216" s="548" t="s">
        <v>40</v>
      </c>
      <c r="D216" s="519"/>
      <c r="E216" s="520"/>
      <c r="F216" s="726"/>
      <c r="G216" s="520"/>
      <c r="H216" s="520"/>
      <c r="I216" s="521"/>
      <c r="J216" s="521"/>
      <c r="K216" s="772"/>
      <c r="L216" s="514"/>
      <c r="M216" s="726"/>
      <c r="N216" s="514"/>
      <c r="O216" s="514"/>
      <c r="P216" s="514"/>
      <c r="Q216" s="514"/>
      <c r="R216" s="514"/>
      <c r="S216" s="514"/>
      <c r="T216" s="726"/>
      <c r="U216" s="514"/>
      <c r="V216" s="514"/>
      <c r="W216" s="514"/>
      <c r="X216" s="514"/>
      <c r="Y216" s="514"/>
      <c r="Z216" s="514"/>
      <c r="AA216" s="726"/>
      <c r="AB216" s="764"/>
      <c r="AC216" s="522"/>
      <c r="AD216" s="514"/>
      <c r="AE216" s="698"/>
      <c r="AF216" s="514"/>
      <c r="AG216" s="514"/>
      <c r="AH216" s="789"/>
      <c r="AI216" s="946">
        <f t="shared" si="12"/>
        <v>0</v>
      </c>
      <c r="AJ216" s="521">
        <v>0</v>
      </c>
      <c r="AK216" s="520">
        <f t="shared" si="13"/>
        <v>0</v>
      </c>
      <c r="AL216" s="672" t="s">
        <v>1575</v>
      </c>
      <c r="AM216" s="669">
        <f t="shared" si="14"/>
        <v>38.35</v>
      </c>
    </row>
    <row r="217" spans="1:39" s="500" customFormat="1" ht="13.35" customHeight="1">
      <c r="A217" s="539" t="s">
        <v>730</v>
      </c>
      <c r="B217" s="539" t="s">
        <v>1191</v>
      </c>
      <c r="C217" s="548" t="s">
        <v>37</v>
      </c>
      <c r="D217" s="519"/>
      <c r="E217" s="520"/>
      <c r="F217" s="726"/>
      <c r="G217" s="520"/>
      <c r="H217" s="520"/>
      <c r="I217" s="521"/>
      <c r="J217" s="521"/>
      <c r="K217" s="772"/>
      <c r="L217" s="514"/>
      <c r="M217" s="726"/>
      <c r="N217" s="514"/>
      <c r="O217" s="514"/>
      <c r="P217" s="514"/>
      <c r="Q217" s="514"/>
      <c r="R217" s="514"/>
      <c r="S217" s="514"/>
      <c r="T217" s="726"/>
      <c r="U217" s="514"/>
      <c r="V217" s="514"/>
      <c r="W217" s="514"/>
      <c r="X217" s="514"/>
      <c r="Y217" s="514"/>
      <c r="Z217" s="514"/>
      <c r="AA217" s="726"/>
      <c r="AB217" s="764"/>
      <c r="AC217" s="522"/>
      <c r="AD217" s="514"/>
      <c r="AE217" s="698"/>
      <c r="AF217" s="514"/>
      <c r="AG217" s="514"/>
      <c r="AH217" s="789"/>
      <c r="AI217" s="946">
        <f t="shared" si="12"/>
        <v>0</v>
      </c>
      <c r="AJ217" s="521">
        <v>0</v>
      </c>
      <c r="AK217" s="520">
        <f t="shared" si="13"/>
        <v>0</v>
      </c>
      <c r="AL217" s="672" t="s">
        <v>1576</v>
      </c>
      <c r="AM217" s="669">
        <f t="shared" si="14"/>
        <v>276.95999999999998</v>
      </c>
    </row>
    <row r="218" spans="1:39" s="500" customFormat="1" ht="13.35" customHeight="1">
      <c r="A218" s="539" t="s">
        <v>731</v>
      </c>
      <c r="B218" s="539" t="s">
        <v>1192</v>
      </c>
      <c r="C218" s="548" t="s">
        <v>48</v>
      </c>
      <c r="D218" s="519"/>
      <c r="E218" s="520"/>
      <c r="F218" s="726"/>
      <c r="G218" s="520"/>
      <c r="H218" s="520"/>
      <c r="I218" s="521"/>
      <c r="J218" s="521"/>
      <c r="K218" s="772"/>
      <c r="L218" s="514"/>
      <c r="M218" s="726"/>
      <c r="N218" s="514"/>
      <c r="O218" s="514"/>
      <c r="P218" s="514"/>
      <c r="Q218" s="514"/>
      <c r="R218" s="514"/>
      <c r="S218" s="514"/>
      <c r="T218" s="726"/>
      <c r="U218" s="514"/>
      <c r="V218" s="514"/>
      <c r="W218" s="514"/>
      <c r="X218" s="514"/>
      <c r="Y218" s="514"/>
      <c r="Z218" s="514"/>
      <c r="AA218" s="726"/>
      <c r="AB218" s="764"/>
      <c r="AC218" s="522"/>
      <c r="AD218" s="514"/>
      <c r="AE218" s="698"/>
      <c r="AF218" s="514"/>
      <c r="AG218" s="514"/>
      <c r="AH218" s="789"/>
      <c r="AI218" s="946">
        <f t="shared" si="12"/>
        <v>0</v>
      </c>
      <c r="AJ218" s="521">
        <v>0</v>
      </c>
      <c r="AK218" s="520">
        <f t="shared" si="13"/>
        <v>0</v>
      </c>
      <c r="AL218" s="672" t="s">
        <v>1577</v>
      </c>
      <c r="AM218" s="669">
        <f t="shared" si="14"/>
        <v>319.48</v>
      </c>
    </row>
    <row r="219" spans="1:39" s="500" customFormat="1" ht="13.35" customHeight="1">
      <c r="A219" s="539" t="s">
        <v>732</v>
      </c>
      <c r="B219" s="539" t="s">
        <v>1193</v>
      </c>
      <c r="C219" s="548" t="s">
        <v>1450</v>
      </c>
      <c r="D219" s="519"/>
      <c r="E219" s="520"/>
      <c r="F219" s="726"/>
      <c r="G219" s="520"/>
      <c r="H219" s="520"/>
      <c r="I219" s="521"/>
      <c r="J219" s="521"/>
      <c r="K219" s="772"/>
      <c r="L219" s="514"/>
      <c r="M219" s="726"/>
      <c r="N219" s="514"/>
      <c r="O219" s="514"/>
      <c r="P219" s="514"/>
      <c r="Q219" s="514"/>
      <c r="R219" s="514"/>
      <c r="S219" s="514"/>
      <c r="T219" s="726"/>
      <c r="U219" s="514"/>
      <c r="V219" s="514"/>
      <c r="W219" s="514"/>
      <c r="X219" s="514"/>
      <c r="Y219" s="514"/>
      <c r="Z219" s="514"/>
      <c r="AA219" s="726"/>
      <c r="AB219" s="764"/>
      <c r="AC219" s="514"/>
      <c r="AD219" s="514"/>
      <c r="AE219" s="698"/>
      <c r="AF219" s="514"/>
      <c r="AG219" s="514"/>
      <c r="AH219" s="789"/>
      <c r="AI219" s="946">
        <f t="shared" si="12"/>
        <v>0</v>
      </c>
      <c r="AJ219" s="521">
        <v>0</v>
      </c>
      <c r="AK219" s="520">
        <f t="shared" si="13"/>
        <v>0</v>
      </c>
      <c r="AL219" s="672"/>
      <c r="AM219" s="669">
        <f t="shared" si="14"/>
        <v>0</v>
      </c>
    </row>
    <row r="220" spans="1:39" s="500" customFormat="1" ht="13.35" customHeight="1">
      <c r="A220" s="539" t="s">
        <v>733</v>
      </c>
      <c r="B220" s="539" t="s">
        <v>1194</v>
      </c>
      <c r="C220" s="616"/>
      <c r="D220" s="519"/>
      <c r="E220" s="520"/>
      <c r="F220" s="726"/>
      <c r="G220" s="520"/>
      <c r="H220" s="520"/>
      <c r="I220" s="521"/>
      <c r="J220" s="521"/>
      <c r="K220" s="772"/>
      <c r="L220" s="514"/>
      <c r="M220" s="726"/>
      <c r="N220" s="514"/>
      <c r="O220" s="514"/>
      <c r="P220" s="514"/>
      <c r="Q220" s="514"/>
      <c r="R220" s="514"/>
      <c r="S220" s="514"/>
      <c r="T220" s="726"/>
      <c r="U220" s="514"/>
      <c r="V220" s="514"/>
      <c r="W220" s="514"/>
      <c r="X220" s="514"/>
      <c r="Y220" s="514"/>
      <c r="Z220" s="514"/>
      <c r="AA220" s="726"/>
      <c r="AB220" s="764"/>
      <c r="AC220" s="514"/>
      <c r="AD220" s="514"/>
      <c r="AE220" s="698"/>
      <c r="AF220" s="514"/>
      <c r="AG220" s="514"/>
      <c r="AH220" s="789"/>
      <c r="AI220" s="946">
        <f t="shared" si="12"/>
        <v>0</v>
      </c>
      <c r="AJ220" s="521">
        <v>0</v>
      </c>
      <c r="AK220" s="520">
        <f t="shared" si="13"/>
        <v>0</v>
      </c>
      <c r="AL220" s="672" t="s">
        <v>1578</v>
      </c>
      <c r="AM220" s="669">
        <f t="shared" si="14"/>
        <v>1.03</v>
      </c>
    </row>
    <row r="221" spans="1:39" s="500" customFormat="1" ht="13.35" customHeight="1">
      <c r="A221" s="539" t="s">
        <v>734</v>
      </c>
      <c r="B221" s="539" t="s">
        <v>1195</v>
      </c>
      <c r="C221" s="548" t="s">
        <v>40</v>
      </c>
      <c r="D221" s="519"/>
      <c r="E221" s="520"/>
      <c r="F221" s="726"/>
      <c r="G221" s="520"/>
      <c r="H221" s="520"/>
      <c r="I221" s="521"/>
      <c r="J221" s="521"/>
      <c r="K221" s="772"/>
      <c r="L221" s="514"/>
      <c r="M221" s="726"/>
      <c r="N221" s="514"/>
      <c r="O221" s="514"/>
      <c r="P221" s="514"/>
      <c r="Q221" s="514"/>
      <c r="R221" s="514"/>
      <c r="S221" s="514"/>
      <c r="T221" s="726"/>
      <c r="U221" s="514"/>
      <c r="V221" s="514"/>
      <c r="W221" s="514"/>
      <c r="X221" s="514"/>
      <c r="Y221" s="514"/>
      <c r="Z221" s="514"/>
      <c r="AA221" s="726"/>
      <c r="AB221" s="764"/>
      <c r="AC221" s="514"/>
      <c r="AD221" s="514"/>
      <c r="AE221" s="698"/>
      <c r="AF221" s="514"/>
      <c r="AG221" s="514"/>
      <c r="AH221" s="789"/>
      <c r="AI221" s="946">
        <f t="shared" si="12"/>
        <v>0</v>
      </c>
      <c r="AJ221" s="521">
        <v>0</v>
      </c>
      <c r="AK221" s="520">
        <f t="shared" si="13"/>
        <v>0</v>
      </c>
      <c r="AL221" s="672" t="s">
        <v>1579</v>
      </c>
      <c r="AM221" s="669">
        <f t="shared" si="14"/>
        <v>13.74</v>
      </c>
    </row>
    <row r="222" spans="1:39" s="500" customFormat="1" ht="13.35" customHeight="1">
      <c r="A222" s="539" t="s">
        <v>735</v>
      </c>
      <c r="B222" s="539" t="s">
        <v>1196</v>
      </c>
      <c r="C222" s="548" t="s">
        <v>37</v>
      </c>
      <c r="D222" s="519"/>
      <c r="E222" s="520"/>
      <c r="F222" s="726"/>
      <c r="G222" s="520"/>
      <c r="H222" s="520"/>
      <c r="I222" s="521"/>
      <c r="J222" s="521"/>
      <c r="K222" s="772"/>
      <c r="L222" s="514"/>
      <c r="M222" s="726"/>
      <c r="N222" s="514"/>
      <c r="O222" s="514"/>
      <c r="P222" s="514"/>
      <c r="Q222" s="514"/>
      <c r="R222" s="514"/>
      <c r="S222" s="514"/>
      <c r="T222" s="726"/>
      <c r="U222" s="514"/>
      <c r="V222" s="514"/>
      <c r="W222" s="514"/>
      <c r="X222" s="514"/>
      <c r="Y222" s="514"/>
      <c r="Z222" s="514"/>
      <c r="AA222" s="726"/>
      <c r="AB222" s="764"/>
      <c r="AC222" s="514"/>
      <c r="AD222" s="514"/>
      <c r="AE222" s="698"/>
      <c r="AF222" s="514"/>
      <c r="AG222" s="514"/>
      <c r="AH222" s="789"/>
      <c r="AI222" s="946">
        <f t="shared" si="12"/>
        <v>0</v>
      </c>
      <c r="AJ222" s="521">
        <v>0</v>
      </c>
      <c r="AK222" s="520">
        <f t="shared" si="13"/>
        <v>0</v>
      </c>
      <c r="AL222" s="672" t="s">
        <v>1580</v>
      </c>
      <c r="AM222" s="669">
        <f t="shared" si="14"/>
        <v>65.349999999999994</v>
      </c>
    </row>
    <row r="223" spans="1:39" s="500" customFormat="1" ht="13.35" customHeight="1">
      <c r="A223" s="539" t="s">
        <v>736</v>
      </c>
      <c r="B223" s="539" t="s">
        <v>1197</v>
      </c>
      <c r="C223" s="548" t="s">
        <v>48</v>
      </c>
      <c r="D223" s="519"/>
      <c r="E223" s="520"/>
      <c r="F223" s="726"/>
      <c r="G223" s="520"/>
      <c r="H223" s="520"/>
      <c r="I223" s="521"/>
      <c r="J223" s="521"/>
      <c r="K223" s="772"/>
      <c r="L223" s="514"/>
      <c r="M223" s="726"/>
      <c r="N223" s="514"/>
      <c r="O223" s="514"/>
      <c r="P223" s="514"/>
      <c r="Q223" s="514"/>
      <c r="R223" s="514"/>
      <c r="S223" s="514"/>
      <c r="T223" s="726"/>
      <c r="U223" s="514"/>
      <c r="V223" s="514"/>
      <c r="W223" s="514"/>
      <c r="X223" s="514"/>
      <c r="Y223" s="514"/>
      <c r="Z223" s="514"/>
      <c r="AA223" s="726"/>
      <c r="AB223" s="764"/>
      <c r="AC223" s="514"/>
      <c r="AD223" s="514"/>
      <c r="AE223" s="698"/>
      <c r="AF223" s="514"/>
      <c r="AG223" s="514"/>
      <c r="AH223" s="789"/>
      <c r="AI223" s="946">
        <f t="shared" si="12"/>
        <v>0</v>
      </c>
      <c r="AJ223" s="521">
        <v>0</v>
      </c>
      <c r="AK223" s="520">
        <f t="shared" si="13"/>
        <v>0</v>
      </c>
      <c r="AL223" s="672"/>
      <c r="AM223" s="669">
        <f t="shared" si="14"/>
        <v>0</v>
      </c>
    </row>
    <row r="224" spans="1:39" s="500" customFormat="1" ht="13.35" customHeight="1">
      <c r="A224" s="542" t="s">
        <v>737</v>
      </c>
      <c r="B224" s="542" t="s">
        <v>1198</v>
      </c>
      <c r="C224" s="616"/>
      <c r="D224" s="519"/>
      <c r="E224" s="520"/>
      <c r="F224" s="726"/>
      <c r="G224" s="520"/>
      <c r="H224" s="520"/>
      <c r="I224" s="521"/>
      <c r="J224" s="521"/>
      <c r="K224" s="772"/>
      <c r="L224" s="514"/>
      <c r="M224" s="726"/>
      <c r="N224" s="514"/>
      <c r="O224" s="514"/>
      <c r="P224" s="514"/>
      <c r="Q224" s="514"/>
      <c r="R224" s="514"/>
      <c r="S224" s="514"/>
      <c r="T224" s="726"/>
      <c r="U224" s="514"/>
      <c r="V224" s="514"/>
      <c r="W224" s="514"/>
      <c r="X224" s="514"/>
      <c r="Y224" s="514"/>
      <c r="Z224" s="514"/>
      <c r="AA224" s="726"/>
      <c r="AB224" s="764"/>
      <c r="AC224" s="514"/>
      <c r="AD224" s="514"/>
      <c r="AE224" s="698"/>
      <c r="AF224" s="514"/>
      <c r="AG224" s="514"/>
      <c r="AH224" s="789"/>
      <c r="AI224" s="946">
        <f t="shared" si="12"/>
        <v>0</v>
      </c>
      <c r="AJ224" s="521">
        <v>0</v>
      </c>
      <c r="AK224" s="520">
        <f t="shared" si="13"/>
        <v>0</v>
      </c>
      <c r="AL224" s="672" t="s">
        <v>1581</v>
      </c>
      <c r="AM224" s="669">
        <f t="shared" si="14"/>
        <v>110.7</v>
      </c>
    </row>
    <row r="225" spans="1:39" s="500" customFormat="1" ht="13.35" customHeight="1">
      <c r="A225" s="539" t="s">
        <v>738</v>
      </c>
      <c r="B225" s="539" t="s">
        <v>1199</v>
      </c>
      <c r="C225" s="548" t="s">
        <v>38</v>
      </c>
      <c r="D225" s="519"/>
      <c r="E225" s="520"/>
      <c r="F225" s="726"/>
      <c r="G225" s="520"/>
      <c r="H225" s="520"/>
      <c r="I225" s="521"/>
      <c r="J225" s="521"/>
      <c r="K225" s="772"/>
      <c r="L225" s="514"/>
      <c r="M225" s="726"/>
      <c r="N225" s="514"/>
      <c r="O225" s="514"/>
      <c r="P225" s="514"/>
      <c r="Q225" s="514"/>
      <c r="R225" s="514"/>
      <c r="S225" s="514"/>
      <c r="T225" s="726"/>
      <c r="U225" s="514"/>
      <c r="V225" s="514"/>
      <c r="W225" s="514"/>
      <c r="X225" s="514"/>
      <c r="Y225" s="514"/>
      <c r="Z225" s="514"/>
      <c r="AA225" s="726"/>
      <c r="AB225" s="764"/>
      <c r="AC225" s="514"/>
      <c r="AD225" s="514"/>
      <c r="AE225" s="698"/>
      <c r="AF225" s="514"/>
      <c r="AG225" s="514"/>
      <c r="AH225" s="789"/>
      <c r="AI225" s="946">
        <f t="shared" si="12"/>
        <v>0</v>
      </c>
      <c r="AJ225" s="521">
        <v>0</v>
      </c>
      <c r="AK225" s="520">
        <f t="shared" si="13"/>
        <v>0</v>
      </c>
      <c r="AL225" s="672"/>
      <c r="AM225" s="669">
        <f t="shared" si="14"/>
        <v>0</v>
      </c>
    </row>
    <row r="226" spans="1:39" s="500" customFormat="1" ht="13.35" customHeight="1">
      <c r="A226" s="542" t="s">
        <v>739</v>
      </c>
      <c r="B226" s="542" t="s">
        <v>1200</v>
      </c>
      <c r="C226" s="548"/>
      <c r="D226" s="519"/>
      <c r="E226" s="520"/>
      <c r="F226" s="726"/>
      <c r="G226" s="520"/>
      <c r="H226" s="520"/>
      <c r="I226" s="521"/>
      <c r="J226" s="521"/>
      <c r="K226" s="772"/>
      <c r="L226" s="514"/>
      <c r="M226" s="726"/>
      <c r="N226" s="514"/>
      <c r="O226" s="514"/>
      <c r="P226" s="514"/>
      <c r="Q226" s="514"/>
      <c r="R226" s="514"/>
      <c r="S226" s="514"/>
      <c r="T226" s="726"/>
      <c r="U226" s="514"/>
      <c r="V226" s="514"/>
      <c r="W226" s="514"/>
      <c r="X226" s="514"/>
      <c r="Y226" s="514"/>
      <c r="Z226" s="514"/>
      <c r="AA226" s="726"/>
      <c r="AB226" s="764"/>
      <c r="AC226" s="514"/>
      <c r="AD226" s="514"/>
      <c r="AE226" s="698"/>
      <c r="AF226" s="514"/>
      <c r="AG226" s="514"/>
      <c r="AH226" s="789"/>
      <c r="AI226" s="946">
        <f t="shared" si="12"/>
        <v>0</v>
      </c>
      <c r="AJ226" s="521">
        <v>0</v>
      </c>
      <c r="AK226" s="520">
        <f t="shared" si="13"/>
        <v>0</v>
      </c>
      <c r="AL226" s="672" t="s">
        <v>1582</v>
      </c>
      <c r="AM226" s="669">
        <f t="shared" si="14"/>
        <v>46</v>
      </c>
    </row>
    <row r="227" spans="1:39" s="500" customFormat="1" ht="13.35" customHeight="1">
      <c r="A227" s="539" t="s">
        <v>740</v>
      </c>
      <c r="B227" s="539" t="s">
        <v>1201</v>
      </c>
      <c r="C227" s="548" t="s">
        <v>38</v>
      </c>
      <c r="D227" s="519"/>
      <c r="E227" s="520"/>
      <c r="F227" s="726"/>
      <c r="G227" s="520"/>
      <c r="H227" s="520"/>
      <c r="I227" s="521"/>
      <c r="J227" s="521"/>
      <c r="K227" s="772"/>
      <c r="L227" s="514"/>
      <c r="M227" s="726"/>
      <c r="N227" s="514"/>
      <c r="O227" s="514"/>
      <c r="P227" s="514"/>
      <c r="Q227" s="514"/>
      <c r="R227" s="514"/>
      <c r="S227" s="514"/>
      <c r="T227" s="726"/>
      <c r="U227" s="514"/>
      <c r="V227" s="514"/>
      <c r="W227" s="514"/>
      <c r="X227" s="514"/>
      <c r="Y227" s="514"/>
      <c r="Z227" s="514"/>
      <c r="AA227" s="726"/>
      <c r="AB227" s="764"/>
      <c r="AC227" s="514"/>
      <c r="AD227" s="514"/>
      <c r="AE227" s="698"/>
      <c r="AF227" s="514"/>
      <c r="AG227" s="514"/>
      <c r="AH227" s="789"/>
      <c r="AI227" s="946">
        <f t="shared" si="12"/>
        <v>0</v>
      </c>
      <c r="AJ227" s="521">
        <v>0</v>
      </c>
      <c r="AK227" s="520">
        <f t="shared" si="13"/>
        <v>0</v>
      </c>
      <c r="AL227" s="672" t="s">
        <v>1493</v>
      </c>
      <c r="AM227" s="669">
        <f t="shared" si="14"/>
        <v>15</v>
      </c>
    </row>
    <row r="228" spans="1:39" s="500" customFormat="1" ht="13.35" customHeight="1">
      <c r="A228" s="539" t="s">
        <v>741</v>
      </c>
      <c r="B228" s="539" t="s">
        <v>225</v>
      </c>
      <c r="C228" s="548" t="s">
        <v>1450</v>
      </c>
      <c r="D228" s="519"/>
      <c r="E228" s="520"/>
      <c r="F228" s="726"/>
      <c r="G228" s="520"/>
      <c r="H228" s="520"/>
      <c r="I228" s="521"/>
      <c r="J228" s="521"/>
      <c r="K228" s="772"/>
      <c r="L228" s="514"/>
      <c r="M228" s="726"/>
      <c r="N228" s="514"/>
      <c r="O228" s="514"/>
      <c r="P228" s="514"/>
      <c r="Q228" s="514"/>
      <c r="R228" s="514"/>
      <c r="S228" s="514"/>
      <c r="T228" s="726"/>
      <c r="U228" s="514"/>
      <c r="V228" s="514"/>
      <c r="W228" s="514"/>
      <c r="X228" s="514"/>
      <c r="Y228" s="514"/>
      <c r="Z228" s="514"/>
      <c r="AA228" s="726"/>
      <c r="AB228" s="764"/>
      <c r="AC228" s="514"/>
      <c r="AD228" s="514"/>
      <c r="AE228" s="698"/>
      <c r="AF228" s="514"/>
      <c r="AG228" s="514"/>
      <c r="AH228" s="789"/>
      <c r="AI228" s="946">
        <f t="shared" si="12"/>
        <v>0</v>
      </c>
      <c r="AJ228" s="521">
        <v>0</v>
      </c>
      <c r="AK228" s="520">
        <f t="shared" si="13"/>
        <v>0</v>
      </c>
      <c r="AL228" s="672"/>
      <c r="AM228" s="669">
        <f t="shared" si="14"/>
        <v>0</v>
      </c>
    </row>
    <row r="229" spans="1:39" s="500" customFormat="1" ht="13.35" customHeight="1">
      <c r="A229" s="440" t="s">
        <v>742</v>
      </c>
      <c r="B229" s="543" t="s">
        <v>1211</v>
      </c>
      <c r="C229" s="616"/>
      <c r="D229" s="519"/>
      <c r="E229" s="520"/>
      <c r="F229" s="726"/>
      <c r="G229" s="520"/>
      <c r="H229" s="520"/>
      <c r="I229" s="521"/>
      <c r="J229" s="521"/>
      <c r="K229" s="772"/>
      <c r="L229" s="514"/>
      <c r="M229" s="726"/>
      <c r="N229" s="514"/>
      <c r="O229" s="514"/>
      <c r="P229" s="514"/>
      <c r="Q229" s="514"/>
      <c r="R229" s="514"/>
      <c r="S229" s="514"/>
      <c r="T229" s="726"/>
      <c r="U229" s="514"/>
      <c r="V229" s="514"/>
      <c r="W229" s="514"/>
      <c r="X229" s="514"/>
      <c r="Y229" s="514"/>
      <c r="Z229" s="514"/>
      <c r="AA229" s="726"/>
      <c r="AB229" s="764"/>
      <c r="AC229" s="514"/>
      <c r="AD229" s="514"/>
      <c r="AE229" s="698"/>
      <c r="AF229" s="514"/>
      <c r="AG229" s="514"/>
      <c r="AH229" s="789"/>
      <c r="AI229" s="946">
        <f t="shared" si="12"/>
        <v>0</v>
      </c>
      <c r="AJ229" s="521">
        <v>0</v>
      </c>
      <c r="AK229" s="520">
        <f t="shared" si="13"/>
        <v>0</v>
      </c>
      <c r="AL229" s="672"/>
      <c r="AM229" s="669">
        <f t="shared" si="14"/>
        <v>0</v>
      </c>
    </row>
    <row r="230" spans="1:39" s="500" customFormat="1" ht="13.35" customHeight="1">
      <c r="A230" s="542" t="s">
        <v>743</v>
      </c>
      <c r="B230" s="542" t="s">
        <v>46</v>
      </c>
      <c r="C230" s="616"/>
      <c r="D230" s="519"/>
      <c r="E230" s="520"/>
      <c r="F230" s="726"/>
      <c r="G230" s="520"/>
      <c r="H230" s="520"/>
      <c r="I230" s="521"/>
      <c r="J230" s="521"/>
      <c r="K230" s="772"/>
      <c r="L230" s="514"/>
      <c r="M230" s="726"/>
      <c r="N230" s="514"/>
      <c r="O230" s="514"/>
      <c r="P230" s="514"/>
      <c r="Q230" s="514"/>
      <c r="R230" s="514"/>
      <c r="S230" s="514"/>
      <c r="T230" s="726"/>
      <c r="U230" s="514"/>
      <c r="V230" s="514"/>
      <c r="W230" s="514"/>
      <c r="X230" s="514"/>
      <c r="Y230" s="514"/>
      <c r="Z230" s="514"/>
      <c r="AA230" s="726"/>
      <c r="AB230" s="764"/>
      <c r="AC230" s="514"/>
      <c r="AD230" s="514"/>
      <c r="AE230" s="698"/>
      <c r="AF230" s="514"/>
      <c r="AG230" s="514"/>
      <c r="AH230" s="789"/>
      <c r="AI230" s="946">
        <f t="shared" si="12"/>
        <v>0</v>
      </c>
      <c r="AJ230" s="521">
        <v>0</v>
      </c>
      <c r="AK230" s="520">
        <f t="shared" si="13"/>
        <v>0</v>
      </c>
      <c r="AL230" s="672" t="s">
        <v>1583</v>
      </c>
      <c r="AM230" s="669">
        <f t="shared" si="14"/>
        <v>467.39</v>
      </c>
    </row>
    <row r="231" spans="1:39" s="500" customFormat="1" ht="13.35" customHeight="1">
      <c r="A231" s="539" t="s">
        <v>744</v>
      </c>
      <c r="B231" s="539" t="s">
        <v>1212</v>
      </c>
      <c r="C231" s="548" t="s">
        <v>40</v>
      </c>
      <c r="D231" s="519"/>
      <c r="E231" s="520"/>
      <c r="F231" s="726"/>
      <c r="G231" s="520"/>
      <c r="H231" s="520"/>
      <c r="I231" s="521"/>
      <c r="J231" s="521"/>
      <c r="K231" s="772"/>
      <c r="L231" s="514"/>
      <c r="M231" s="726"/>
      <c r="N231" s="514"/>
      <c r="O231" s="514"/>
      <c r="P231" s="514"/>
      <c r="Q231" s="514"/>
      <c r="R231" s="514"/>
      <c r="S231" s="514"/>
      <c r="T231" s="726"/>
      <c r="U231" s="514"/>
      <c r="V231" s="514"/>
      <c r="W231" s="514"/>
      <c r="X231" s="514"/>
      <c r="Y231" s="514"/>
      <c r="Z231" s="514"/>
      <c r="AA231" s="726"/>
      <c r="AB231" s="764"/>
      <c r="AC231" s="514"/>
      <c r="AD231" s="514"/>
      <c r="AE231" s="698"/>
      <c r="AF231" s="514"/>
      <c r="AG231" s="514"/>
      <c r="AH231" s="789"/>
      <c r="AI231" s="946">
        <f t="shared" si="12"/>
        <v>0</v>
      </c>
      <c r="AJ231" s="521">
        <v>0</v>
      </c>
      <c r="AK231" s="520">
        <f t="shared" si="13"/>
        <v>0</v>
      </c>
      <c r="AL231" s="695" t="s">
        <v>1584</v>
      </c>
      <c r="AM231" s="669">
        <f t="shared" si="14"/>
        <v>560.87</v>
      </c>
    </row>
    <row r="232" spans="1:39" s="500" customFormat="1" ht="13.35" customHeight="1">
      <c r="A232" s="539" t="s">
        <v>745</v>
      </c>
      <c r="B232" s="539" t="s">
        <v>1161</v>
      </c>
      <c r="C232" s="548" t="s">
        <v>40</v>
      </c>
      <c r="D232" s="519"/>
      <c r="E232" s="520"/>
      <c r="F232" s="726"/>
      <c r="G232" s="520"/>
      <c r="H232" s="520"/>
      <c r="I232" s="521"/>
      <c r="J232" s="521"/>
      <c r="K232" s="772"/>
      <c r="L232" s="514"/>
      <c r="M232" s="726"/>
      <c r="N232" s="514"/>
      <c r="O232" s="514"/>
      <c r="P232" s="514"/>
      <c r="Q232" s="514"/>
      <c r="R232" s="514"/>
      <c r="S232" s="514"/>
      <c r="T232" s="726"/>
      <c r="U232" s="514"/>
      <c r="V232" s="514"/>
      <c r="W232" s="514"/>
      <c r="X232" s="514"/>
      <c r="Y232" s="514"/>
      <c r="Z232" s="514"/>
      <c r="AA232" s="726"/>
      <c r="AB232" s="764"/>
      <c r="AC232" s="514"/>
      <c r="AD232" s="514"/>
      <c r="AE232" s="698"/>
      <c r="AF232" s="514"/>
      <c r="AG232" s="514"/>
      <c r="AH232" s="789"/>
      <c r="AI232" s="946">
        <f t="shared" si="12"/>
        <v>0</v>
      </c>
      <c r="AJ232" s="521">
        <v>0</v>
      </c>
      <c r="AK232" s="520">
        <f t="shared" si="13"/>
        <v>0</v>
      </c>
      <c r="AL232" s="695"/>
      <c r="AM232" s="669">
        <f t="shared" si="14"/>
        <v>0</v>
      </c>
    </row>
    <row r="233" spans="1:39" s="500" customFormat="1" ht="13.35" customHeight="1">
      <c r="A233" s="542" t="s">
        <v>746</v>
      </c>
      <c r="B233" s="542" t="s">
        <v>1162</v>
      </c>
      <c r="C233" s="548"/>
      <c r="D233" s="519"/>
      <c r="E233" s="520"/>
      <c r="F233" s="726"/>
      <c r="G233" s="520"/>
      <c r="H233" s="520"/>
      <c r="I233" s="521"/>
      <c r="J233" s="521"/>
      <c r="K233" s="772"/>
      <c r="L233" s="514"/>
      <c r="M233" s="726"/>
      <c r="N233" s="514"/>
      <c r="O233" s="514"/>
      <c r="P233" s="514"/>
      <c r="Q233" s="514"/>
      <c r="R233" s="514"/>
      <c r="S233" s="514"/>
      <c r="T233" s="726"/>
      <c r="U233" s="514"/>
      <c r="V233" s="514"/>
      <c r="W233" s="514"/>
      <c r="X233" s="514"/>
      <c r="Y233" s="514"/>
      <c r="Z233" s="514"/>
      <c r="AA233" s="726"/>
      <c r="AB233" s="764"/>
      <c r="AC233" s="514"/>
      <c r="AD233" s="514"/>
      <c r="AE233" s="698"/>
      <c r="AF233" s="514"/>
      <c r="AG233" s="514"/>
      <c r="AH233" s="789"/>
      <c r="AI233" s="946">
        <f t="shared" si="12"/>
        <v>0</v>
      </c>
      <c r="AJ233" s="521">
        <v>0</v>
      </c>
      <c r="AK233" s="520">
        <f t="shared" si="13"/>
        <v>0</v>
      </c>
      <c r="AL233" s="695" t="s">
        <v>1585</v>
      </c>
      <c r="AM233" s="669">
        <f t="shared" si="14"/>
        <v>13.83</v>
      </c>
    </row>
    <row r="234" spans="1:39" s="500" customFormat="1" ht="13.35" customHeight="1">
      <c r="A234" s="539" t="s">
        <v>747</v>
      </c>
      <c r="B234" s="539" t="s">
        <v>1204</v>
      </c>
      <c r="C234" s="548" t="s">
        <v>40</v>
      </c>
      <c r="D234" s="519"/>
      <c r="E234" s="520"/>
      <c r="F234" s="726"/>
      <c r="G234" s="520"/>
      <c r="H234" s="520"/>
      <c r="I234" s="521"/>
      <c r="J234" s="521"/>
      <c r="K234" s="772"/>
      <c r="L234" s="522"/>
      <c r="M234" s="726"/>
      <c r="N234" s="522"/>
      <c r="O234" s="522"/>
      <c r="P234" s="514"/>
      <c r="Q234" s="522"/>
      <c r="R234" s="522"/>
      <c r="S234" s="514"/>
      <c r="T234" s="726"/>
      <c r="U234" s="514"/>
      <c r="V234" s="514"/>
      <c r="W234" s="514"/>
      <c r="X234" s="514"/>
      <c r="Y234" s="514"/>
      <c r="Z234" s="514"/>
      <c r="AA234" s="726"/>
      <c r="AB234" s="764"/>
      <c r="AC234" s="514"/>
      <c r="AD234" s="514"/>
      <c r="AE234" s="698"/>
      <c r="AF234" s="514"/>
      <c r="AG234" s="514"/>
      <c r="AH234" s="789"/>
      <c r="AI234" s="946">
        <f t="shared" si="12"/>
        <v>0</v>
      </c>
      <c r="AJ234" s="521">
        <v>0</v>
      </c>
      <c r="AK234" s="520">
        <f t="shared" si="13"/>
        <v>0</v>
      </c>
      <c r="AL234" s="695"/>
      <c r="AM234" s="669">
        <f t="shared" si="14"/>
        <v>0</v>
      </c>
    </row>
    <row r="235" spans="1:39" s="500" customFormat="1" ht="13.35" customHeight="1">
      <c r="A235" s="542" t="s">
        <v>748</v>
      </c>
      <c r="B235" s="542" t="s">
        <v>1169</v>
      </c>
      <c r="C235" s="616"/>
      <c r="D235" s="519"/>
      <c r="E235" s="520"/>
      <c r="F235" s="726"/>
      <c r="G235" s="520"/>
      <c r="H235" s="520"/>
      <c r="I235" s="521"/>
      <c r="J235" s="521"/>
      <c r="K235" s="772"/>
      <c r="L235" s="514"/>
      <c r="M235" s="726"/>
      <c r="N235" s="514"/>
      <c r="O235" s="514"/>
      <c r="P235" s="514"/>
      <c r="Q235" s="514"/>
      <c r="R235" s="514"/>
      <c r="S235" s="514"/>
      <c r="T235" s="726"/>
      <c r="U235" s="514"/>
      <c r="V235" s="514"/>
      <c r="W235" s="514"/>
      <c r="X235" s="514"/>
      <c r="Y235" s="514"/>
      <c r="Z235" s="514"/>
      <c r="AA235" s="726"/>
      <c r="AB235" s="764"/>
      <c r="AC235" s="514"/>
      <c r="AD235" s="514"/>
      <c r="AE235" s="698"/>
      <c r="AF235" s="514"/>
      <c r="AG235" s="514"/>
      <c r="AH235" s="789"/>
      <c r="AI235" s="946">
        <f t="shared" si="12"/>
        <v>0</v>
      </c>
      <c r="AJ235" s="521">
        <v>0</v>
      </c>
      <c r="AK235" s="520">
        <f t="shared" si="13"/>
        <v>0</v>
      </c>
      <c r="AL235" s="695"/>
      <c r="AM235" s="669">
        <f t="shared" si="14"/>
        <v>0</v>
      </c>
    </row>
    <row r="236" spans="1:39" s="500" customFormat="1" ht="13.35" customHeight="1">
      <c r="A236" s="539" t="s">
        <v>749</v>
      </c>
      <c r="B236" s="539" t="s">
        <v>1177</v>
      </c>
      <c r="C236" s="616"/>
      <c r="D236" s="519"/>
      <c r="E236" s="520"/>
      <c r="F236" s="726"/>
      <c r="G236" s="520"/>
      <c r="H236" s="520"/>
      <c r="I236" s="521"/>
      <c r="J236" s="521"/>
      <c r="K236" s="772"/>
      <c r="L236" s="514"/>
      <c r="M236" s="726"/>
      <c r="N236" s="514"/>
      <c r="O236" s="514"/>
      <c r="P236" s="514"/>
      <c r="Q236" s="514"/>
      <c r="R236" s="514"/>
      <c r="S236" s="514"/>
      <c r="T236" s="726"/>
      <c r="U236" s="514"/>
      <c r="V236" s="514"/>
      <c r="W236" s="514"/>
      <c r="X236" s="514"/>
      <c r="Y236" s="514"/>
      <c r="Z236" s="514"/>
      <c r="AA236" s="726"/>
      <c r="AB236" s="764"/>
      <c r="AC236" s="514"/>
      <c r="AD236" s="514"/>
      <c r="AE236" s="698"/>
      <c r="AF236" s="514"/>
      <c r="AG236" s="514"/>
      <c r="AH236" s="789"/>
      <c r="AI236" s="946">
        <f t="shared" si="12"/>
        <v>0</v>
      </c>
      <c r="AJ236" s="521">
        <v>0</v>
      </c>
      <c r="AK236" s="520">
        <f t="shared" si="13"/>
        <v>0</v>
      </c>
      <c r="AL236" s="695" t="s">
        <v>1586</v>
      </c>
      <c r="AM236" s="669">
        <f t="shared" si="14"/>
        <v>4.8899999999999997</v>
      </c>
    </row>
    <row r="237" spans="1:39" s="500" customFormat="1" ht="13.35" customHeight="1">
      <c r="A237" s="539" t="s">
        <v>750</v>
      </c>
      <c r="B237" s="539" t="s">
        <v>1208</v>
      </c>
      <c r="C237" s="548" t="s">
        <v>40</v>
      </c>
      <c r="D237" s="519"/>
      <c r="E237" s="520"/>
      <c r="F237" s="726"/>
      <c r="G237" s="520"/>
      <c r="H237" s="520"/>
      <c r="I237" s="521"/>
      <c r="J237" s="1022">
        <f>5*2.75*0.5+3*3*0.5-1</f>
        <v>10.375</v>
      </c>
      <c r="K237" s="772"/>
      <c r="L237" s="1026">
        <f>2.75*0.25*0.15</f>
        <v>0.10312499999999999</v>
      </c>
      <c r="M237" s="726"/>
      <c r="N237" s="514"/>
      <c r="O237" s="514"/>
      <c r="P237" s="514"/>
      <c r="Q237" s="514"/>
      <c r="R237" s="514"/>
      <c r="S237" s="514"/>
      <c r="T237" s="726"/>
      <c r="U237" s="514"/>
      <c r="V237" s="514"/>
      <c r="W237" s="1064">
        <f>2*2.8*0.35*0.15+2*2.8*0.35*0.15</f>
        <v>0.58799999999999986</v>
      </c>
      <c r="X237" s="514"/>
      <c r="Y237" s="514"/>
      <c r="Z237" s="514"/>
      <c r="AA237" s="726"/>
      <c r="AB237" s="764"/>
      <c r="AC237" s="514"/>
      <c r="AD237" s="514"/>
      <c r="AE237" s="698"/>
      <c r="AF237" s="514"/>
      <c r="AG237" s="514"/>
      <c r="AH237" s="789"/>
      <c r="AI237" s="1076">
        <f t="shared" si="12"/>
        <v>11.07</v>
      </c>
      <c r="AJ237" s="521">
        <v>0</v>
      </c>
      <c r="AK237" s="520">
        <f t="shared" si="13"/>
        <v>11.07</v>
      </c>
      <c r="AL237" s="695" t="s">
        <v>1587</v>
      </c>
      <c r="AM237" s="669">
        <f t="shared" si="14"/>
        <v>65.62</v>
      </c>
    </row>
    <row r="238" spans="1:39" s="500" customFormat="1" ht="13.35" customHeight="1">
      <c r="A238" s="539" t="s">
        <v>751</v>
      </c>
      <c r="B238" s="539" t="s">
        <v>1179</v>
      </c>
      <c r="C238" s="548" t="s">
        <v>37</v>
      </c>
      <c r="D238" s="519"/>
      <c r="E238" s="520"/>
      <c r="F238" s="726"/>
      <c r="G238" s="520"/>
      <c r="H238" s="520"/>
      <c r="I238" s="521"/>
      <c r="J238" s="521"/>
      <c r="K238" s="772"/>
      <c r="L238" s="514"/>
      <c r="M238" s="726"/>
      <c r="N238" s="514"/>
      <c r="O238" s="514"/>
      <c r="P238" s="514"/>
      <c r="Q238" s="514"/>
      <c r="R238" s="514"/>
      <c r="S238" s="514"/>
      <c r="T238" s="726"/>
      <c r="U238" s="514"/>
      <c r="V238" s="514"/>
      <c r="W238" s="514"/>
      <c r="X238" s="1026">
        <f>11.5*0.45</f>
        <v>5.1749999999999998</v>
      </c>
      <c r="Y238" s="514"/>
      <c r="Z238" s="514"/>
      <c r="AA238" s="726"/>
      <c r="AB238" s="764"/>
      <c r="AC238" s="514"/>
      <c r="AD238" s="514"/>
      <c r="AE238" s="698"/>
      <c r="AF238" s="514"/>
      <c r="AG238" s="514"/>
      <c r="AH238" s="789"/>
      <c r="AI238" s="1076">
        <f t="shared" si="12"/>
        <v>5.18</v>
      </c>
      <c r="AJ238" s="521">
        <v>0</v>
      </c>
      <c r="AK238" s="520">
        <f t="shared" si="13"/>
        <v>5.18</v>
      </c>
      <c r="AL238" s="695" t="s">
        <v>1588</v>
      </c>
      <c r="AM238" s="669">
        <f t="shared" si="14"/>
        <v>942.62</v>
      </c>
    </row>
    <row r="239" spans="1:39" s="500" customFormat="1" ht="13.35" customHeight="1">
      <c r="A239" s="539" t="s">
        <v>752</v>
      </c>
      <c r="B239" s="539" t="s">
        <v>1180</v>
      </c>
      <c r="C239" s="548" t="s">
        <v>48</v>
      </c>
      <c r="D239" s="1061">
        <f>6*9*0.99</f>
        <v>53.46</v>
      </c>
      <c r="E239" s="520"/>
      <c r="F239" s="726"/>
      <c r="G239" s="520"/>
      <c r="H239" s="520"/>
      <c r="I239" s="521"/>
      <c r="J239" s="521"/>
      <c r="K239" s="772"/>
      <c r="L239" s="522"/>
      <c r="M239" s="726"/>
      <c r="N239" s="522"/>
      <c r="O239" s="522"/>
      <c r="P239" s="522"/>
      <c r="Q239" s="522"/>
      <c r="R239" s="522"/>
      <c r="S239" s="522"/>
      <c r="T239" s="726"/>
      <c r="U239" s="522"/>
      <c r="V239" s="522"/>
      <c r="W239" s="522"/>
      <c r="X239" s="522"/>
      <c r="Z239" s="522"/>
      <c r="AA239" s="726"/>
      <c r="AB239" s="884"/>
      <c r="AC239" s="522"/>
      <c r="AD239" s="522"/>
      <c r="AE239" s="698"/>
      <c r="AF239" s="514"/>
      <c r="AG239" s="527"/>
      <c r="AH239" s="789"/>
      <c r="AI239" s="1076">
        <f t="shared" si="12"/>
        <v>53.46</v>
      </c>
      <c r="AJ239" s="521">
        <v>0</v>
      </c>
      <c r="AK239" s="520">
        <f t="shared" si="13"/>
        <v>53.46</v>
      </c>
      <c r="AL239" s="695"/>
      <c r="AM239" s="669">
        <f t="shared" si="14"/>
        <v>-53.46</v>
      </c>
    </row>
    <row r="240" spans="1:39" s="500" customFormat="1" ht="13.35" customHeight="1">
      <c r="A240" s="539" t="s">
        <v>753</v>
      </c>
      <c r="B240" s="539" t="s">
        <v>1185</v>
      </c>
      <c r="C240" s="616"/>
      <c r="D240" s="519"/>
      <c r="E240" s="520"/>
      <c r="F240" s="726"/>
      <c r="G240" s="520"/>
      <c r="H240" s="520"/>
      <c r="I240" s="521"/>
      <c r="J240" s="521"/>
      <c r="K240" s="772"/>
      <c r="L240" s="514"/>
      <c r="M240" s="756"/>
      <c r="N240" s="514"/>
      <c r="O240" s="514"/>
      <c r="P240" s="514"/>
      <c r="Q240" s="514"/>
      <c r="R240" s="514"/>
      <c r="S240" s="514"/>
      <c r="T240" s="756"/>
      <c r="U240" s="514"/>
      <c r="V240" s="514"/>
      <c r="W240" s="514"/>
      <c r="X240" s="514"/>
      <c r="Y240" s="514"/>
      <c r="Z240" s="514"/>
      <c r="AA240" s="756"/>
      <c r="AB240" s="764"/>
      <c r="AC240" s="514"/>
      <c r="AD240" s="514"/>
      <c r="AE240" s="698"/>
      <c r="AF240" s="514"/>
      <c r="AG240" s="514"/>
      <c r="AH240" s="789"/>
      <c r="AI240" s="946">
        <f t="shared" si="12"/>
        <v>0</v>
      </c>
      <c r="AJ240" s="521">
        <v>0</v>
      </c>
      <c r="AK240" s="520">
        <f t="shared" si="13"/>
        <v>0</v>
      </c>
      <c r="AL240" s="695" t="s">
        <v>1589</v>
      </c>
      <c r="AM240" s="669">
        <f t="shared" si="14"/>
        <v>4.2300000000000004</v>
      </c>
    </row>
    <row r="241" spans="1:39" s="500" customFormat="1" ht="13.35" customHeight="1">
      <c r="A241" s="539" t="s">
        <v>754</v>
      </c>
      <c r="B241" s="539" t="s">
        <v>1186</v>
      </c>
      <c r="C241" s="548" t="s">
        <v>40</v>
      </c>
      <c r="D241" s="519"/>
      <c r="E241" s="520"/>
      <c r="F241" s="726"/>
      <c r="G241" s="520"/>
      <c r="H241" s="520"/>
      <c r="I241" s="521"/>
      <c r="J241" s="521"/>
      <c r="K241" s="772"/>
      <c r="L241" s="514"/>
      <c r="M241" s="756"/>
      <c r="N241" s="514"/>
      <c r="O241" s="514"/>
      <c r="P241" s="514"/>
      <c r="Q241" s="514"/>
      <c r="R241" s="514"/>
      <c r="S241" s="514"/>
      <c r="T241" s="756"/>
      <c r="U241" s="514"/>
      <c r="V241" s="514"/>
      <c r="W241" s="514"/>
      <c r="X241" s="514"/>
      <c r="Y241" s="514"/>
      <c r="Z241" s="514"/>
      <c r="AA241" s="756"/>
      <c r="AB241" s="764"/>
      <c r="AC241" s="514"/>
      <c r="AD241" s="514"/>
      <c r="AE241" s="698"/>
      <c r="AF241" s="514"/>
      <c r="AG241" s="514"/>
      <c r="AH241" s="789"/>
      <c r="AI241" s="946">
        <f t="shared" si="12"/>
        <v>0</v>
      </c>
      <c r="AJ241" s="521">
        <v>0</v>
      </c>
      <c r="AK241" s="520">
        <f t="shared" si="13"/>
        <v>0</v>
      </c>
      <c r="AL241" s="695" t="s">
        <v>1590</v>
      </c>
      <c r="AM241" s="669">
        <f t="shared" si="14"/>
        <v>49.66</v>
      </c>
    </row>
    <row r="242" spans="1:39" s="500" customFormat="1" ht="13.35" customHeight="1">
      <c r="A242" s="539" t="s">
        <v>755</v>
      </c>
      <c r="B242" s="539" t="s">
        <v>1187</v>
      </c>
      <c r="C242" s="548" t="s">
        <v>37</v>
      </c>
      <c r="D242" s="519"/>
      <c r="E242" s="520"/>
      <c r="F242" s="726"/>
      <c r="G242" s="520"/>
      <c r="H242" s="520"/>
      <c r="I242" s="521"/>
      <c r="J242" s="521"/>
      <c r="K242" s="772"/>
      <c r="L242" s="514"/>
      <c r="M242" s="756"/>
      <c r="N242" s="514"/>
      <c r="O242" s="514"/>
      <c r="P242" s="514"/>
      <c r="Q242" s="514"/>
      <c r="R242" s="514"/>
      <c r="S242" s="514"/>
      <c r="T242" s="756"/>
      <c r="U242" s="514"/>
      <c r="V242" s="514"/>
      <c r="W242" s="514"/>
      <c r="X242" s="514"/>
      <c r="Y242" s="514"/>
      <c r="Z242" s="514"/>
      <c r="AA242" s="756"/>
      <c r="AB242" s="764"/>
      <c r="AC242" s="514"/>
      <c r="AD242" s="514"/>
      <c r="AE242" s="698"/>
      <c r="AF242" s="514"/>
      <c r="AG242" s="514"/>
      <c r="AH242" s="789"/>
      <c r="AI242" s="946">
        <f t="shared" si="12"/>
        <v>0</v>
      </c>
      <c r="AJ242" s="521">
        <v>0</v>
      </c>
      <c r="AK242" s="520">
        <f t="shared" si="13"/>
        <v>0</v>
      </c>
      <c r="AL242" s="695" t="s">
        <v>1591</v>
      </c>
      <c r="AM242" s="669">
        <f t="shared" si="14"/>
        <v>483.02</v>
      </c>
    </row>
    <row r="243" spans="1:39" s="500" customFormat="1" ht="13.35" customHeight="1">
      <c r="A243" s="539" t="s">
        <v>756</v>
      </c>
      <c r="B243" s="539" t="s">
        <v>1188</v>
      </c>
      <c r="C243" s="548" t="s">
        <v>48</v>
      </c>
      <c r="D243" s="519"/>
      <c r="E243" s="520"/>
      <c r="F243" s="726"/>
      <c r="G243" s="520"/>
      <c r="H243" s="520"/>
      <c r="I243" s="521"/>
      <c r="J243" s="521"/>
      <c r="K243" s="772"/>
      <c r="L243" s="514"/>
      <c r="M243" s="756"/>
      <c r="N243" s="514"/>
      <c r="O243" s="514"/>
      <c r="P243" s="514"/>
      <c r="Q243" s="514"/>
      <c r="R243" s="514"/>
      <c r="S243" s="514"/>
      <c r="T243" s="756"/>
      <c r="U243" s="514"/>
      <c r="V243" s="514"/>
      <c r="W243" s="514"/>
      <c r="X243" s="514"/>
      <c r="Y243" s="514"/>
      <c r="Z243" s="514"/>
      <c r="AA243" s="756"/>
      <c r="AB243" s="764"/>
      <c r="AC243" s="514"/>
      <c r="AD243" s="514"/>
      <c r="AE243" s="698"/>
      <c r="AF243" s="514"/>
      <c r="AG243" s="514"/>
      <c r="AH243" s="789"/>
      <c r="AI243" s="946">
        <f t="shared" si="12"/>
        <v>0</v>
      </c>
      <c r="AJ243" s="521">
        <v>0</v>
      </c>
      <c r="AK243" s="520">
        <f t="shared" si="13"/>
        <v>0</v>
      </c>
      <c r="AL243" s="695"/>
      <c r="AM243" s="669">
        <f t="shared" si="14"/>
        <v>0</v>
      </c>
    </row>
    <row r="244" spans="1:39" s="500" customFormat="1" ht="13.35" customHeight="1">
      <c r="A244" s="539" t="s">
        <v>757</v>
      </c>
      <c r="B244" s="539" t="s">
        <v>1213</v>
      </c>
      <c r="C244" s="616"/>
      <c r="D244" s="519"/>
      <c r="E244" s="520"/>
      <c r="F244" s="726"/>
      <c r="G244" s="520"/>
      <c r="H244" s="520"/>
      <c r="I244" s="521"/>
      <c r="J244" s="521"/>
      <c r="K244" s="772"/>
      <c r="L244" s="514"/>
      <c r="M244" s="756"/>
      <c r="N244" s="514"/>
      <c r="O244" s="514"/>
      <c r="P244" s="514"/>
      <c r="Q244" s="514"/>
      <c r="R244" s="514"/>
      <c r="S244" s="514"/>
      <c r="T244" s="756"/>
      <c r="U244" s="514"/>
      <c r="V244" s="514"/>
      <c r="W244" s="514"/>
      <c r="X244" s="514"/>
      <c r="Y244" s="514"/>
      <c r="Z244" s="514"/>
      <c r="AA244" s="756"/>
      <c r="AB244" s="764"/>
      <c r="AC244" s="514"/>
      <c r="AD244" s="514"/>
      <c r="AE244" s="698"/>
      <c r="AF244" s="514"/>
      <c r="AG244" s="514"/>
      <c r="AH244" s="789"/>
      <c r="AI244" s="946">
        <f t="shared" si="12"/>
        <v>0</v>
      </c>
      <c r="AJ244" s="521">
        <v>0</v>
      </c>
      <c r="AK244" s="520">
        <f t="shared" si="13"/>
        <v>0</v>
      </c>
      <c r="AL244" s="695" t="s">
        <v>1592</v>
      </c>
      <c r="AM244" s="669">
        <f t="shared" si="14"/>
        <v>4.24</v>
      </c>
    </row>
    <row r="245" spans="1:39" s="500" customFormat="1" ht="13.35" customHeight="1">
      <c r="A245" s="539" t="s">
        <v>758</v>
      </c>
      <c r="B245" s="539" t="s">
        <v>1205</v>
      </c>
      <c r="C245" s="548" t="s">
        <v>40</v>
      </c>
      <c r="D245" s="519"/>
      <c r="E245" s="520"/>
      <c r="F245" s="726"/>
      <c r="G245" s="520"/>
      <c r="H245" s="520"/>
      <c r="I245" s="521"/>
      <c r="J245" s="521"/>
      <c r="K245" s="772"/>
      <c r="L245" s="514"/>
      <c r="M245" s="756"/>
      <c r="N245" s="514"/>
      <c r="O245" s="514"/>
      <c r="P245" s="514"/>
      <c r="Q245" s="514"/>
      <c r="R245" s="514"/>
      <c r="S245" s="514"/>
      <c r="T245" s="756"/>
      <c r="U245" s="514"/>
      <c r="V245" s="514"/>
      <c r="W245" s="514"/>
      <c r="X245" s="514"/>
      <c r="Y245" s="514"/>
      <c r="Z245" s="514"/>
      <c r="AA245" s="756"/>
      <c r="AB245" s="764"/>
      <c r="AC245" s="514"/>
      <c r="AD245" s="514"/>
      <c r="AE245" s="698"/>
      <c r="AF245" s="514"/>
      <c r="AG245" s="514"/>
      <c r="AH245" s="789"/>
      <c r="AI245" s="946">
        <f t="shared" si="12"/>
        <v>0</v>
      </c>
      <c r="AJ245" s="521">
        <v>0</v>
      </c>
      <c r="AK245" s="520">
        <f t="shared" si="13"/>
        <v>0</v>
      </c>
      <c r="AL245" s="695" t="s">
        <v>1593</v>
      </c>
      <c r="AM245" s="669">
        <f t="shared" si="14"/>
        <v>56.57</v>
      </c>
    </row>
    <row r="246" spans="1:39" s="500" customFormat="1" ht="13.35" customHeight="1">
      <c r="A246" s="539" t="s">
        <v>759</v>
      </c>
      <c r="B246" s="539" t="s">
        <v>1214</v>
      </c>
      <c r="C246" s="548" t="s">
        <v>37</v>
      </c>
      <c r="D246" s="519"/>
      <c r="E246" s="520"/>
      <c r="F246" s="726"/>
      <c r="G246" s="520"/>
      <c r="H246" s="520"/>
      <c r="I246" s="521"/>
      <c r="J246" s="521"/>
      <c r="K246" s="772"/>
      <c r="L246" s="514"/>
      <c r="M246" s="756"/>
      <c r="N246" s="514"/>
      <c r="O246" s="514"/>
      <c r="P246" s="514"/>
      <c r="Q246" s="522"/>
      <c r="R246" s="514"/>
      <c r="S246" s="514"/>
      <c r="T246" s="756"/>
      <c r="U246" s="514"/>
      <c r="V246" s="514"/>
      <c r="W246" s="514"/>
      <c r="X246" s="514"/>
      <c r="Y246" s="757"/>
      <c r="Z246" s="514"/>
      <c r="AA246" s="756"/>
      <c r="AB246" s="764"/>
      <c r="AC246" s="514"/>
      <c r="AD246" s="514"/>
      <c r="AE246" s="698"/>
      <c r="AF246" s="514"/>
      <c r="AG246" s="514"/>
      <c r="AH246" s="789"/>
      <c r="AI246" s="946">
        <f t="shared" si="12"/>
        <v>0</v>
      </c>
      <c r="AJ246" s="521">
        <v>0</v>
      </c>
      <c r="AK246" s="520">
        <f t="shared" si="13"/>
        <v>0</v>
      </c>
      <c r="AL246" s="695" t="s">
        <v>1594</v>
      </c>
      <c r="AM246" s="669">
        <f t="shared" si="14"/>
        <v>438.73</v>
      </c>
    </row>
    <row r="247" spans="1:39" s="500" customFormat="1" ht="13.35" customHeight="1">
      <c r="A247" s="539" t="s">
        <v>760</v>
      </c>
      <c r="B247" s="539" t="s">
        <v>1215</v>
      </c>
      <c r="C247" s="548" t="s">
        <v>48</v>
      </c>
      <c r="D247" s="519"/>
      <c r="E247" s="520"/>
      <c r="F247" s="726"/>
      <c r="G247" s="520"/>
      <c r="H247" s="520"/>
      <c r="I247" s="521"/>
      <c r="J247" s="521"/>
      <c r="K247" s="772"/>
      <c r="L247" s="514"/>
      <c r="M247" s="756"/>
      <c r="N247" s="514"/>
      <c r="O247" s="514"/>
      <c r="P247" s="514"/>
      <c r="Q247" s="514"/>
      <c r="R247" s="514"/>
      <c r="S247" s="522"/>
      <c r="T247" s="756"/>
      <c r="U247" s="514"/>
      <c r="V247" s="514"/>
      <c r="W247" s="514"/>
      <c r="X247" s="514"/>
      <c r="Y247" s="514"/>
      <c r="Z247" s="514"/>
      <c r="AA247" s="756"/>
      <c r="AB247" s="764"/>
      <c r="AC247" s="514"/>
      <c r="AD247" s="514"/>
      <c r="AE247" s="698"/>
      <c r="AF247" s="514"/>
      <c r="AG247" s="514"/>
      <c r="AH247" s="789"/>
      <c r="AI247" s="946">
        <f t="shared" si="12"/>
        <v>0</v>
      </c>
      <c r="AJ247" s="521">
        <v>0</v>
      </c>
      <c r="AK247" s="520">
        <f t="shared" si="13"/>
        <v>0</v>
      </c>
      <c r="AL247" s="695"/>
      <c r="AM247" s="669">
        <f t="shared" si="14"/>
        <v>0</v>
      </c>
    </row>
    <row r="248" spans="1:39" s="500" customFormat="1" ht="13.35" customHeight="1">
      <c r="A248" s="542" t="s">
        <v>761</v>
      </c>
      <c r="B248" s="542" t="s">
        <v>1200</v>
      </c>
      <c r="C248" s="616"/>
      <c r="D248" s="519"/>
      <c r="E248" s="520"/>
      <c r="F248" s="726"/>
      <c r="G248" s="520"/>
      <c r="H248" s="520"/>
      <c r="I248" s="521"/>
      <c r="J248" s="521"/>
      <c r="K248" s="772"/>
      <c r="L248" s="514"/>
      <c r="M248" s="756"/>
      <c r="N248" s="514"/>
      <c r="O248" s="514"/>
      <c r="P248" s="514"/>
      <c r="Q248" s="514"/>
      <c r="R248" s="514"/>
      <c r="S248" s="514"/>
      <c r="T248" s="756"/>
      <c r="U248" s="514"/>
      <c r="V248" s="514"/>
      <c r="W248" s="514"/>
      <c r="X248" s="514"/>
      <c r="Y248" s="514"/>
      <c r="Z248" s="514"/>
      <c r="AA248" s="756"/>
      <c r="AB248" s="764"/>
      <c r="AC248" s="514"/>
      <c r="AD248" s="514"/>
      <c r="AE248" s="698"/>
      <c r="AF248" s="514"/>
      <c r="AG248" s="514"/>
      <c r="AH248" s="789"/>
      <c r="AI248" s="946">
        <f t="shared" si="12"/>
        <v>0</v>
      </c>
      <c r="AJ248" s="521">
        <v>0</v>
      </c>
      <c r="AK248" s="520">
        <f t="shared" si="13"/>
        <v>0</v>
      </c>
      <c r="AL248" s="695" t="s">
        <v>1595</v>
      </c>
      <c r="AM248" s="669">
        <f t="shared" si="14"/>
        <v>36</v>
      </c>
    </row>
    <row r="249" spans="1:39" s="500" customFormat="1" ht="13.35" customHeight="1">
      <c r="A249" s="539" t="s">
        <v>762</v>
      </c>
      <c r="B249" s="539" t="s">
        <v>1216</v>
      </c>
      <c r="C249" s="548" t="s">
        <v>38</v>
      </c>
      <c r="D249" s="519"/>
      <c r="E249" s="520"/>
      <c r="F249" s="726"/>
      <c r="G249" s="520"/>
      <c r="H249" s="520"/>
      <c r="I249" s="521"/>
      <c r="J249" s="521"/>
      <c r="K249" s="772"/>
      <c r="L249" s="514"/>
      <c r="M249" s="756"/>
      <c r="N249" s="514"/>
      <c r="O249" s="514"/>
      <c r="P249" s="514"/>
      <c r="Q249" s="514"/>
      <c r="R249" s="514"/>
      <c r="S249" s="514"/>
      <c r="T249" s="756"/>
      <c r="U249" s="514"/>
      <c r="V249" s="514"/>
      <c r="W249" s="514"/>
      <c r="X249" s="514"/>
      <c r="Y249" s="514"/>
      <c r="Z249" s="514"/>
      <c r="AA249" s="756"/>
      <c r="AB249" s="764"/>
      <c r="AC249" s="514"/>
      <c r="AD249" s="514"/>
      <c r="AE249" s="698"/>
      <c r="AF249" s="514"/>
      <c r="AG249" s="514"/>
      <c r="AH249" s="789"/>
      <c r="AI249" s="946">
        <f t="shared" si="12"/>
        <v>0</v>
      </c>
      <c r="AJ249" s="521">
        <v>0</v>
      </c>
      <c r="AK249" s="520">
        <f t="shared" si="13"/>
        <v>0</v>
      </c>
      <c r="AL249" s="695"/>
      <c r="AM249" s="669">
        <f t="shared" si="14"/>
        <v>0</v>
      </c>
    </row>
    <row r="250" spans="1:39" s="500" customFormat="1" ht="13.35" customHeight="1">
      <c r="A250" s="440" t="s">
        <v>763</v>
      </c>
      <c r="B250" s="543" t="s">
        <v>1217</v>
      </c>
      <c r="C250" s="616"/>
      <c r="D250" s="519"/>
      <c r="E250" s="520"/>
      <c r="F250" s="726"/>
      <c r="G250" s="520"/>
      <c r="H250" s="520"/>
      <c r="I250" s="521"/>
      <c r="J250" s="521"/>
      <c r="K250" s="772"/>
      <c r="L250" s="514"/>
      <c r="M250" s="756"/>
      <c r="N250" s="514"/>
      <c r="O250" s="514"/>
      <c r="P250" s="514"/>
      <c r="Q250" s="514"/>
      <c r="R250" s="514"/>
      <c r="S250" s="514"/>
      <c r="T250" s="756"/>
      <c r="U250" s="514"/>
      <c r="V250" s="514"/>
      <c r="W250" s="514"/>
      <c r="X250" s="514"/>
      <c r="Y250" s="514"/>
      <c r="Z250" s="514"/>
      <c r="AA250" s="756"/>
      <c r="AB250" s="764"/>
      <c r="AC250" s="514"/>
      <c r="AD250" s="514"/>
      <c r="AE250" s="698"/>
      <c r="AF250" s="514"/>
      <c r="AG250" s="514"/>
      <c r="AH250" s="789"/>
      <c r="AI250" s="946">
        <f t="shared" si="12"/>
        <v>0</v>
      </c>
      <c r="AJ250" s="521">
        <v>0</v>
      </c>
      <c r="AK250" s="520">
        <f t="shared" si="13"/>
        <v>0</v>
      </c>
      <c r="AL250" s="695"/>
      <c r="AM250" s="669">
        <f t="shared" si="14"/>
        <v>0</v>
      </c>
    </row>
    <row r="251" spans="1:39" s="500" customFormat="1" ht="13.35" customHeight="1">
      <c r="A251" s="542" t="s">
        <v>764</v>
      </c>
      <c r="B251" s="542" t="s">
        <v>46</v>
      </c>
      <c r="C251" s="616"/>
      <c r="D251" s="519"/>
      <c r="E251" s="520"/>
      <c r="F251" s="726"/>
      <c r="G251" s="520"/>
      <c r="H251" s="520"/>
      <c r="I251" s="521"/>
      <c r="J251" s="521"/>
      <c r="K251" s="772"/>
      <c r="L251" s="514"/>
      <c r="M251" s="756"/>
      <c r="N251" s="514"/>
      <c r="O251" s="514"/>
      <c r="P251" s="514"/>
      <c r="Q251" s="514"/>
      <c r="R251" s="514"/>
      <c r="S251" s="514"/>
      <c r="T251" s="756"/>
      <c r="U251" s="514"/>
      <c r="V251" s="514"/>
      <c r="W251" s="514"/>
      <c r="X251" s="514"/>
      <c r="Y251" s="514"/>
      <c r="Z251" s="514"/>
      <c r="AA251" s="756"/>
      <c r="AB251" s="764"/>
      <c r="AC251" s="514"/>
      <c r="AD251" s="514"/>
      <c r="AE251" s="698"/>
      <c r="AF251" s="514"/>
      <c r="AG251" s="514"/>
      <c r="AH251" s="789"/>
      <c r="AI251" s="946">
        <f t="shared" si="12"/>
        <v>0</v>
      </c>
      <c r="AJ251" s="521">
        <v>0</v>
      </c>
      <c r="AK251" s="520">
        <f t="shared" si="13"/>
        <v>0</v>
      </c>
      <c r="AL251" s="695" t="s">
        <v>1596</v>
      </c>
      <c r="AM251" s="669">
        <f t="shared" si="14"/>
        <v>441.64</v>
      </c>
    </row>
    <row r="252" spans="1:39" s="500" customFormat="1" ht="13.35" customHeight="1">
      <c r="A252" s="539" t="s">
        <v>765</v>
      </c>
      <c r="B252" s="539" t="s">
        <v>1212</v>
      </c>
      <c r="C252" s="548" t="s">
        <v>40</v>
      </c>
      <c r="D252" s="519"/>
      <c r="E252" s="520"/>
      <c r="F252" s="726"/>
      <c r="G252" s="520"/>
      <c r="H252" s="520"/>
      <c r="I252" s="521"/>
      <c r="J252" s="521"/>
      <c r="K252" s="772"/>
      <c r="L252" s="514"/>
      <c r="M252" s="756"/>
      <c r="N252" s="514"/>
      <c r="O252" s="514"/>
      <c r="P252" s="514"/>
      <c r="Q252" s="514"/>
      <c r="R252" s="514"/>
      <c r="S252" s="514"/>
      <c r="T252" s="756"/>
      <c r="U252" s="514"/>
      <c r="V252" s="514"/>
      <c r="W252" s="514"/>
      <c r="X252" s="514"/>
      <c r="Y252" s="514"/>
      <c r="Z252" s="514"/>
      <c r="AA252" s="756"/>
      <c r="AB252" s="764"/>
      <c r="AC252" s="514"/>
      <c r="AD252" s="514"/>
      <c r="AE252" s="698"/>
      <c r="AF252" s="514"/>
      <c r="AG252" s="514"/>
      <c r="AH252" s="789"/>
      <c r="AI252" s="946">
        <f t="shared" si="12"/>
        <v>0</v>
      </c>
      <c r="AJ252" s="521">
        <v>0</v>
      </c>
      <c r="AK252" s="520">
        <f t="shared" si="13"/>
        <v>0</v>
      </c>
      <c r="AL252" s="695" t="s">
        <v>1597</v>
      </c>
      <c r="AM252" s="669">
        <f t="shared" si="14"/>
        <v>574.13</v>
      </c>
    </row>
    <row r="253" spans="1:39" s="500" customFormat="1" ht="13.35" customHeight="1">
      <c r="A253" s="539" t="s">
        <v>766</v>
      </c>
      <c r="B253" s="539" t="s">
        <v>1161</v>
      </c>
      <c r="C253" s="548" t="s">
        <v>40</v>
      </c>
      <c r="D253" s="519"/>
      <c r="E253" s="520"/>
      <c r="F253" s="726"/>
      <c r="G253" s="520"/>
      <c r="H253" s="520"/>
      <c r="I253" s="521"/>
      <c r="J253" s="521"/>
      <c r="K253" s="772"/>
      <c r="L253" s="514"/>
      <c r="M253" s="756"/>
      <c r="N253" s="514"/>
      <c r="O253" s="514"/>
      <c r="P253" s="514"/>
      <c r="Q253" s="514"/>
      <c r="R253" s="514"/>
      <c r="S253" s="514"/>
      <c r="T253" s="756"/>
      <c r="U253" s="514"/>
      <c r="V253" s="514"/>
      <c r="W253" s="514"/>
      <c r="X253" s="514"/>
      <c r="Y253" s="514"/>
      <c r="Z253" s="514"/>
      <c r="AA253" s="756"/>
      <c r="AB253" s="764"/>
      <c r="AC253" s="514"/>
      <c r="AD253" s="514"/>
      <c r="AE253" s="698"/>
      <c r="AF253" s="514"/>
      <c r="AG253" s="514"/>
      <c r="AH253" s="789"/>
      <c r="AI253" s="946">
        <f t="shared" si="12"/>
        <v>0</v>
      </c>
      <c r="AJ253" s="521">
        <v>0</v>
      </c>
      <c r="AK253" s="520">
        <f t="shared" si="13"/>
        <v>0</v>
      </c>
      <c r="AL253" s="695"/>
      <c r="AM253" s="669">
        <f t="shared" si="14"/>
        <v>0</v>
      </c>
    </row>
    <row r="254" spans="1:39" s="500" customFormat="1" ht="13.35" customHeight="1">
      <c r="A254" s="542" t="s">
        <v>767</v>
      </c>
      <c r="B254" s="542" t="s">
        <v>1218</v>
      </c>
      <c r="C254" s="616"/>
      <c r="D254" s="519"/>
      <c r="E254" s="520"/>
      <c r="F254" s="726"/>
      <c r="G254" s="520"/>
      <c r="H254" s="520"/>
      <c r="I254" s="521"/>
      <c r="J254" s="521"/>
      <c r="K254" s="772"/>
      <c r="L254" s="514"/>
      <c r="M254" s="756"/>
      <c r="N254" s="514"/>
      <c r="O254" s="514"/>
      <c r="P254" s="514"/>
      <c r="Q254" s="514"/>
      <c r="R254" s="514"/>
      <c r="S254" s="514"/>
      <c r="T254" s="756"/>
      <c r="U254" s="514"/>
      <c r="V254" s="514"/>
      <c r="W254" s="514"/>
      <c r="X254" s="514"/>
      <c r="Y254" s="514"/>
      <c r="Z254" s="514"/>
      <c r="AA254" s="756"/>
      <c r="AB254" s="764"/>
      <c r="AC254" s="514"/>
      <c r="AD254" s="514"/>
      <c r="AE254" s="698"/>
      <c r="AF254" s="514"/>
      <c r="AG254" s="514"/>
      <c r="AH254" s="789"/>
      <c r="AI254" s="946">
        <f t="shared" si="12"/>
        <v>0</v>
      </c>
      <c r="AJ254" s="521">
        <v>0</v>
      </c>
      <c r="AK254" s="520">
        <f t="shared" si="13"/>
        <v>0</v>
      </c>
      <c r="AL254" s="695" t="s">
        <v>1598</v>
      </c>
      <c r="AM254" s="669">
        <f t="shared" si="14"/>
        <v>204.01</v>
      </c>
    </row>
    <row r="255" spans="1:39" s="500" customFormat="1" ht="13.35" customHeight="1">
      <c r="A255" s="539" t="s">
        <v>768</v>
      </c>
      <c r="B255" s="539" t="s">
        <v>1219</v>
      </c>
      <c r="C255" s="548" t="s">
        <v>40</v>
      </c>
      <c r="D255" s="519"/>
      <c r="E255" s="520"/>
      <c r="F255" s="726"/>
      <c r="G255" s="520"/>
      <c r="H255" s="520"/>
      <c r="I255" s="521"/>
      <c r="J255" s="521"/>
      <c r="K255" s="772"/>
      <c r="L255" s="514"/>
      <c r="M255" s="756"/>
      <c r="N255" s="514"/>
      <c r="O255" s="514"/>
      <c r="P255" s="514"/>
      <c r="Q255" s="514"/>
      <c r="R255" s="514"/>
      <c r="S255" s="514"/>
      <c r="T255" s="756"/>
      <c r="U255" s="514"/>
      <c r="V255" s="514"/>
      <c r="W255" s="514"/>
      <c r="X255" s="514"/>
      <c r="Y255" s="514"/>
      <c r="Z255" s="514"/>
      <c r="AA255" s="756"/>
      <c r="AB255" s="764"/>
      <c r="AC255" s="514"/>
      <c r="AD255" s="514"/>
      <c r="AE255" s="698"/>
      <c r="AF255" s="514"/>
      <c r="AG255" s="514"/>
      <c r="AH255" s="789"/>
      <c r="AI255" s="946">
        <f t="shared" si="12"/>
        <v>0</v>
      </c>
      <c r="AJ255" s="521">
        <v>0</v>
      </c>
      <c r="AK255" s="520">
        <f t="shared" si="13"/>
        <v>0</v>
      </c>
      <c r="AL255" s="695" t="s">
        <v>1599</v>
      </c>
      <c r="AM255" s="669">
        <f t="shared" si="14"/>
        <v>550.44000000000005</v>
      </c>
    </row>
    <row r="256" spans="1:39" s="500" customFormat="1" ht="13.35" customHeight="1">
      <c r="A256" s="539" t="s">
        <v>769</v>
      </c>
      <c r="B256" s="539" t="s">
        <v>1220</v>
      </c>
      <c r="C256" s="548" t="s">
        <v>37</v>
      </c>
      <c r="D256" s="519"/>
      <c r="E256" s="520"/>
      <c r="F256" s="726"/>
      <c r="G256" s="520"/>
      <c r="H256" s="520"/>
      <c r="I256" s="521"/>
      <c r="J256" s="521"/>
      <c r="K256" s="772"/>
      <c r="L256" s="514"/>
      <c r="M256" s="756"/>
      <c r="N256" s="514"/>
      <c r="O256" s="514"/>
      <c r="P256" s="514"/>
      <c r="Q256" s="514"/>
      <c r="R256" s="514"/>
      <c r="S256" s="514"/>
      <c r="T256" s="756"/>
      <c r="U256" s="514"/>
      <c r="V256" s="514"/>
      <c r="W256" s="514"/>
      <c r="X256" s="514"/>
      <c r="Y256" s="514"/>
      <c r="Z256" s="514"/>
      <c r="AA256" s="756"/>
      <c r="AB256" s="764"/>
      <c r="AC256" s="514"/>
      <c r="AD256" s="514"/>
      <c r="AE256" s="698"/>
      <c r="AF256" s="514"/>
      <c r="AG256" s="514"/>
      <c r="AH256" s="789"/>
      <c r="AI256" s="946">
        <f t="shared" si="12"/>
        <v>0</v>
      </c>
      <c r="AJ256" s="521">
        <v>0</v>
      </c>
      <c r="AK256" s="520">
        <f t="shared" si="13"/>
        <v>0</v>
      </c>
      <c r="AL256" s="695" t="s">
        <v>1600</v>
      </c>
      <c r="AM256" s="669">
        <f t="shared" si="14"/>
        <v>15448.74</v>
      </c>
    </row>
    <row r="257" spans="1:39" s="500" customFormat="1" ht="13.35" customHeight="1">
      <c r="A257" s="539" t="s">
        <v>770</v>
      </c>
      <c r="B257" s="539" t="s">
        <v>1221</v>
      </c>
      <c r="C257" s="548" t="s">
        <v>48</v>
      </c>
      <c r="D257" s="519"/>
      <c r="E257" s="520"/>
      <c r="F257" s="726"/>
      <c r="G257" s="520"/>
      <c r="H257" s="520"/>
      <c r="I257" s="521"/>
      <c r="J257" s="521"/>
      <c r="K257" s="772"/>
      <c r="L257" s="514"/>
      <c r="M257" s="756"/>
      <c r="N257" s="514"/>
      <c r="O257" s="514"/>
      <c r="P257" s="514"/>
      <c r="Q257" s="514"/>
      <c r="R257" s="514"/>
      <c r="S257" s="514"/>
      <c r="T257" s="756"/>
      <c r="U257" s="514"/>
      <c r="V257" s="514"/>
      <c r="W257" s="514"/>
      <c r="X257" s="514"/>
      <c r="Y257" s="514"/>
      <c r="Z257" s="514"/>
      <c r="AA257" s="756"/>
      <c r="AB257" s="764"/>
      <c r="AC257" s="514"/>
      <c r="AD257" s="514"/>
      <c r="AE257" s="698"/>
      <c r="AF257" s="514"/>
      <c r="AG257" s="514"/>
      <c r="AH257" s="789"/>
      <c r="AI257" s="946">
        <f t="shared" si="12"/>
        <v>0</v>
      </c>
      <c r="AJ257" s="521">
        <v>0</v>
      </c>
      <c r="AK257" s="520">
        <f t="shared" si="13"/>
        <v>0</v>
      </c>
      <c r="AL257" s="695"/>
      <c r="AM257" s="669">
        <f t="shared" si="14"/>
        <v>0</v>
      </c>
    </row>
    <row r="258" spans="1:39" s="500" customFormat="1" ht="13.35" customHeight="1">
      <c r="A258" s="542" t="s">
        <v>771</v>
      </c>
      <c r="B258" s="542" t="s">
        <v>1200</v>
      </c>
      <c r="C258" s="616"/>
      <c r="D258" s="519"/>
      <c r="E258" s="520"/>
      <c r="F258" s="726"/>
      <c r="G258" s="520"/>
      <c r="H258" s="520"/>
      <c r="I258" s="521"/>
      <c r="J258" s="521"/>
      <c r="K258" s="772"/>
      <c r="L258" s="514"/>
      <c r="M258" s="756"/>
      <c r="N258" s="514"/>
      <c r="O258" s="514"/>
      <c r="P258" s="514"/>
      <c r="Q258" s="514"/>
      <c r="R258" s="514"/>
      <c r="S258" s="514"/>
      <c r="T258" s="756"/>
      <c r="U258" s="514"/>
      <c r="V258" s="514"/>
      <c r="W258" s="514"/>
      <c r="X258" s="514"/>
      <c r="Y258" s="514"/>
      <c r="Z258" s="514"/>
      <c r="AA258" s="756"/>
      <c r="AB258" s="764"/>
      <c r="AC258" s="514"/>
      <c r="AD258" s="514"/>
      <c r="AE258" s="698"/>
      <c r="AF258" s="514"/>
      <c r="AG258" s="514"/>
      <c r="AH258" s="789"/>
      <c r="AI258" s="946">
        <f t="shared" si="12"/>
        <v>0</v>
      </c>
      <c r="AJ258" s="521">
        <v>0</v>
      </c>
      <c r="AK258" s="520">
        <f t="shared" si="13"/>
        <v>0</v>
      </c>
      <c r="AL258" s="695" t="s">
        <v>1601</v>
      </c>
      <c r="AM258" s="669">
        <f t="shared" si="14"/>
        <v>111.93</v>
      </c>
    </row>
    <row r="259" spans="1:39" s="500" customFormat="1" ht="13.35" customHeight="1">
      <c r="A259" s="539" t="s">
        <v>772</v>
      </c>
      <c r="B259" s="539" t="s">
        <v>1222</v>
      </c>
      <c r="C259" s="548" t="s">
        <v>38</v>
      </c>
      <c r="D259" s="519"/>
      <c r="E259" s="520"/>
      <c r="F259" s="726"/>
      <c r="G259" s="520"/>
      <c r="H259" s="520"/>
      <c r="I259" s="521"/>
      <c r="J259" s="521"/>
      <c r="K259" s="772"/>
      <c r="L259" s="514"/>
      <c r="M259" s="756"/>
      <c r="N259" s="514"/>
      <c r="O259" s="514"/>
      <c r="P259" s="514"/>
      <c r="Q259" s="514"/>
      <c r="R259" s="514"/>
      <c r="S259" s="514"/>
      <c r="T259" s="756"/>
      <c r="U259" s="514"/>
      <c r="V259" s="514"/>
      <c r="W259" s="514"/>
      <c r="X259" s="514"/>
      <c r="Y259" s="514"/>
      <c r="Z259" s="514"/>
      <c r="AA259" s="756"/>
      <c r="AB259" s="764"/>
      <c r="AC259" s="514"/>
      <c r="AD259" s="514"/>
      <c r="AE259" s="698"/>
      <c r="AF259" s="514"/>
      <c r="AG259" s="514"/>
      <c r="AH259" s="789"/>
      <c r="AI259" s="946">
        <f t="shared" si="12"/>
        <v>0</v>
      </c>
      <c r="AJ259" s="521">
        <v>0</v>
      </c>
      <c r="AK259" s="520">
        <f t="shared" si="13"/>
        <v>0</v>
      </c>
      <c r="AL259" s="695" t="s">
        <v>1602</v>
      </c>
      <c r="AM259" s="669">
        <f t="shared" si="14"/>
        <v>24</v>
      </c>
    </row>
    <row r="260" spans="1:39" s="500" customFormat="1" ht="13.35" customHeight="1">
      <c r="A260" s="539" t="s">
        <v>773</v>
      </c>
      <c r="B260" s="539" t="s">
        <v>225</v>
      </c>
      <c r="C260" s="548" t="s">
        <v>1450</v>
      </c>
      <c r="D260" s="519"/>
      <c r="E260" s="520"/>
      <c r="F260" s="726"/>
      <c r="G260" s="520"/>
      <c r="H260" s="520"/>
      <c r="I260" s="521"/>
      <c r="J260" s="521"/>
      <c r="K260" s="772"/>
      <c r="L260" s="514"/>
      <c r="M260" s="756"/>
      <c r="N260" s="514"/>
      <c r="O260" s="514"/>
      <c r="P260" s="514"/>
      <c r="Q260" s="514"/>
      <c r="R260" s="514"/>
      <c r="S260" s="514"/>
      <c r="T260" s="756"/>
      <c r="U260" s="514"/>
      <c r="V260" s="514"/>
      <c r="W260" s="514"/>
      <c r="X260" s="514"/>
      <c r="Y260" s="514"/>
      <c r="Z260" s="514"/>
      <c r="AA260" s="756"/>
      <c r="AB260" s="764"/>
      <c r="AC260" s="514"/>
      <c r="AD260" s="514"/>
      <c r="AE260" s="698"/>
      <c r="AF260" s="514"/>
      <c r="AG260" s="514"/>
      <c r="AH260" s="789"/>
      <c r="AI260" s="946">
        <f t="shared" si="12"/>
        <v>0</v>
      </c>
      <c r="AJ260" s="521">
        <v>0</v>
      </c>
      <c r="AK260" s="520">
        <f t="shared" si="13"/>
        <v>0</v>
      </c>
      <c r="AL260" s="695"/>
      <c r="AM260" s="669">
        <f t="shared" si="14"/>
        <v>0</v>
      </c>
    </row>
    <row r="261" spans="1:39" s="500" customFormat="1" ht="13.35" customHeight="1">
      <c r="A261" s="440" t="s">
        <v>774</v>
      </c>
      <c r="B261" s="543" t="s">
        <v>1223</v>
      </c>
      <c r="C261" s="616"/>
      <c r="D261" s="519"/>
      <c r="E261" s="520"/>
      <c r="F261" s="726"/>
      <c r="G261" s="520"/>
      <c r="H261" s="520"/>
      <c r="I261" s="521"/>
      <c r="J261" s="521"/>
      <c r="K261" s="772"/>
      <c r="L261" s="514"/>
      <c r="M261" s="756"/>
      <c r="N261" s="514"/>
      <c r="O261" s="514"/>
      <c r="P261" s="514"/>
      <c r="Q261" s="514"/>
      <c r="R261" s="514"/>
      <c r="S261" s="514"/>
      <c r="T261" s="756"/>
      <c r="U261" s="514"/>
      <c r="V261" s="514"/>
      <c r="W261" s="514"/>
      <c r="X261" s="514"/>
      <c r="Y261" s="514"/>
      <c r="Z261" s="514"/>
      <c r="AA261" s="756"/>
      <c r="AB261" s="764"/>
      <c r="AC261" s="514"/>
      <c r="AD261" s="514"/>
      <c r="AE261" s="698"/>
      <c r="AF261" s="514"/>
      <c r="AG261" s="514"/>
      <c r="AH261" s="789"/>
      <c r="AI261" s="946">
        <f t="shared" si="12"/>
        <v>0</v>
      </c>
      <c r="AJ261" s="521">
        <v>0</v>
      </c>
      <c r="AK261" s="520">
        <f t="shared" si="13"/>
        <v>0</v>
      </c>
      <c r="AL261" s="695"/>
      <c r="AM261" s="669">
        <f t="shared" si="14"/>
        <v>0</v>
      </c>
    </row>
    <row r="262" spans="1:39" s="500" customFormat="1" ht="13.35" customHeight="1">
      <c r="A262" s="542" t="s">
        <v>775</v>
      </c>
      <c r="B262" s="542" t="s">
        <v>46</v>
      </c>
      <c r="C262" s="616"/>
      <c r="D262" s="519"/>
      <c r="E262" s="520"/>
      <c r="F262" s="726"/>
      <c r="G262" s="520"/>
      <c r="H262" s="520"/>
      <c r="I262" s="521"/>
      <c r="J262" s="521"/>
      <c r="K262" s="772"/>
      <c r="L262" s="514"/>
      <c r="M262" s="756"/>
      <c r="N262" s="514"/>
      <c r="O262" s="514"/>
      <c r="P262" s="514"/>
      <c r="Q262" s="514"/>
      <c r="R262" s="514"/>
      <c r="S262" s="514"/>
      <c r="T262" s="756"/>
      <c r="U262" s="514"/>
      <c r="V262" s="514"/>
      <c r="W262" s="514"/>
      <c r="X262" s="514"/>
      <c r="Y262" s="514"/>
      <c r="Z262" s="514"/>
      <c r="AA262" s="756"/>
      <c r="AB262" s="764"/>
      <c r="AC262" s="514"/>
      <c r="AD262" s="514"/>
      <c r="AE262" s="698"/>
      <c r="AF262" s="514"/>
      <c r="AG262" s="514"/>
      <c r="AH262" s="789"/>
      <c r="AI262" s="946">
        <f t="shared" si="12"/>
        <v>0</v>
      </c>
      <c r="AJ262" s="521">
        <v>0</v>
      </c>
      <c r="AK262" s="520">
        <f t="shared" si="13"/>
        <v>0</v>
      </c>
      <c r="AL262" s="695" t="s">
        <v>1603</v>
      </c>
      <c r="AM262" s="669">
        <f t="shared" si="14"/>
        <v>95.88</v>
      </c>
    </row>
    <row r="263" spans="1:39" s="500" customFormat="1" ht="13.35" customHeight="1">
      <c r="A263" s="539" t="s">
        <v>776</v>
      </c>
      <c r="B263" s="539" t="s">
        <v>1212</v>
      </c>
      <c r="C263" s="548" t="s">
        <v>40</v>
      </c>
      <c r="D263" s="519"/>
      <c r="E263" s="520"/>
      <c r="F263" s="726"/>
      <c r="G263" s="520"/>
      <c r="H263" s="520"/>
      <c r="I263" s="521"/>
      <c r="J263" s="521"/>
      <c r="K263" s="772"/>
      <c r="L263" s="514"/>
      <c r="M263" s="756"/>
      <c r="N263" s="514"/>
      <c r="O263" s="514"/>
      <c r="P263" s="514"/>
      <c r="Q263" s="514"/>
      <c r="R263" s="514"/>
      <c r="S263" s="514"/>
      <c r="T263" s="756"/>
      <c r="U263" s="514"/>
      <c r="V263" s="514"/>
      <c r="W263" s="514"/>
      <c r="X263" s="514"/>
      <c r="Y263" s="514"/>
      <c r="Z263" s="514"/>
      <c r="AA263" s="756"/>
      <c r="AB263" s="764"/>
      <c r="AC263" s="514"/>
      <c r="AD263" s="514"/>
      <c r="AE263" s="698"/>
      <c r="AF263" s="514"/>
      <c r="AG263" s="514"/>
      <c r="AH263" s="789"/>
      <c r="AI263" s="946">
        <f t="shared" si="12"/>
        <v>0</v>
      </c>
      <c r="AJ263" s="521">
        <v>0</v>
      </c>
      <c r="AK263" s="520">
        <f t="shared" si="13"/>
        <v>0</v>
      </c>
      <c r="AL263" s="695" t="s">
        <v>1604</v>
      </c>
      <c r="AM263" s="669">
        <f t="shared" si="14"/>
        <v>124.65</v>
      </c>
    </row>
    <row r="264" spans="1:39" s="500" customFormat="1" ht="13.35" customHeight="1">
      <c r="A264" s="539" t="s">
        <v>777</v>
      </c>
      <c r="B264" s="539" t="s">
        <v>1161</v>
      </c>
      <c r="C264" s="548" t="s">
        <v>40</v>
      </c>
      <c r="D264" s="519"/>
      <c r="E264" s="520"/>
      <c r="F264" s="726"/>
      <c r="G264" s="520"/>
      <c r="H264" s="520"/>
      <c r="I264" s="521"/>
      <c r="J264" s="521"/>
      <c r="K264" s="772"/>
      <c r="L264" s="514"/>
      <c r="M264" s="756"/>
      <c r="N264" s="514"/>
      <c r="O264" s="514"/>
      <c r="P264" s="514"/>
      <c r="Q264" s="514"/>
      <c r="R264" s="514"/>
      <c r="S264" s="514"/>
      <c r="T264" s="756"/>
      <c r="U264" s="514"/>
      <c r="V264" s="514"/>
      <c r="W264" s="514"/>
      <c r="X264" s="514"/>
      <c r="Y264" s="514"/>
      <c r="Z264" s="514"/>
      <c r="AA264" s="756"/>
      <c r="AB264" s="764"/>
      <c r="AC264" s="514"/>
      <c r="AD264" s="514"/>
      <c r="AE264" s="698"/>
      <c r="AF264" s="514"/>
      <c r="AG264" s="514"/>
      <c r="AH264" s="789"/>
      <c r="AI264" s="946">
        <f t="shared" si="12"/>
        <v>0</v>
      </c>
      <c r="AJ264" s="521">
        <v>0</v>
      </c>
      <c r="AK264" s="520">
        <f t="shared" si="13"/>
        <v>0</v>
      </c>
      <c r="AL264" s="695"/>
      <c r="AM264" s="669">
        <f t="shared" si="14"/>
        <v>0</v>
      </c>
    </row>
    <row r="265" spans="1:39" s="500" customFormat="1" ht="13.35" customHeight="1">
      <c r="A265" s="542" t="s">
        <v>778</v>
      </c>
      <c r="B265" s="542" t="s">
        <v>1162</v>
      </c>
      <c r="C265" s="616"/>
      <c r="D265" s="519"/>
      <c r="E265" s="520"/>
      <c r="F265" s="726"/>
      <c r="G265" s="520"/>
      <c r="H265" s="520"/>
      <c r="I265" s="521"/>
      <c r="J265" s="521"/>
      <c r="K265" s="772"/>
      <c r="L265" s="514"/>
      <c r="M265" s="756"/>
      <c r="N265" s="514"/>
      <c r="O265" s="514"/>
      <c r="P265" s="514"/>
      <c r="Q265" s="514"/>
      <c r="R265" s="514"/>
      <c r="S265" s="514"/>
      <c r="T265" s="756"/>
      <c r="U265" s="514"/>
      <c r="V265" s="514"/>
      <c r="W265" s="514"/>
      <c r="X265" s="514"/>
      <c r="Y265" s="514"/>
      <c r="Z265" s="514"/>
      <c r="AA265" s="756"/>
      <c r="AB265" s="764"/>
      <c r="AC265" s="514"/>
      <c r="AD265" s="514"/>
      <c r="AE265" s="698"/>
      <c r="AF265" s="514"/>
      <c r="AG265" s="514"/>
      <c r="AH265" s="789"/>
      <c r="AI265" s="946">
        <f t="shared" si="12"/>
        <v>0</v>
      </c>
      <c r="AJ265" s="521">
        <v>0</v>
      </c>
      <c r="AK265" s="520">
        <f t="shared" si="13"/>
        <v>0</v>
      </c>
      <c r="AL265" s="695" t="s">
        <v>1605</v>
      </c>
      <c r="AM265" s="669">
        <f t="shared" si="14"/>
        <v>81.67</v>
      </c>
    </row>
    <row r="266" spans="1:39" s="500" customFormat="1" ht="13.35" customHeight="1">
      <c r="A266" s="539" t="s">
        <v>779</v>
      </c>
      <c r="B266" s="539" t="s">
        <v>1204</v>
      </c>
      <c r="C266" s="548" t="s">
        <v>40</v>
      </c>
      <c r="D266" s="519"/>
      <c r="E266" s="520"/>
      <c r="F266" s="726"/>
      <c r="G266" s="520"/>
      <c r="H266" s="520"/>
      <c r="I266" s="521"/>
      <c r="J266" s="521"/>
      <c r="K266" s="772"/>
      <c r="L266" s="514"/>
      <c r="M266" s="756"/>
      <c r="N266" s="514"/>
      <c r="O266" s="514"/>
      <c r="P266" s="514"/>
      <c r="Q266" s="514"/>
      <c r="R266" s="514"/>
      <c r="S266" s="514"/>
      <c r="T266" s="756"/>
      <c r="U266" s="514"/>
      <c r="V266" s="514"/>
      <c r="W266" s="514"/>
      <c r="X266" s="514"/>
      <c r="Y266" s="514"/>
      <c r="Z266" s="514"/>
      <c r="AA266" s="756"/>
      <c r="AB266" s="764"/>
      <c r="AC266" s="514"/>
      <c r="AD266" s="514"/>
      <c r="AE266" s="698"/>
      <c r="AF266" s="514"/>
      <c r="AG266" s="514"/>
      <c r="AH266" s="789"/>
      <c r="AI266" s="946">
        <f t="shared" si="12"/>
        <v>0</v>
      </c>
      <c r="AJ266" s="521">
        <v>0</v>
      </c>
      <c r="AK266" s="520">
        <f t="shared" si="13"/>
        <v>0</v>
      </c>
      <c r="AL266" s="695" t="s">
        <v>1606</v>
      </c>
      <c r="AM266" s="669">
        <f t="shared" si="14"/>
        <v>221.37</v>
      </c>
    </row>
    <row r="267" spans="1:39" s="500" customFormat="1" ht="13.35" customHeight="1">
      <c r="A267" s="539" t="s">
        <v>780</v>
      </c>
      <c r="B267" s="539" t="s">
        <v>1224</v>
      </c>
      <c r="C267" s="548" t="s">
        <v>37</v>
      </c>
      <c r="D267" s="519"/>
      <c r="E267" s="520"/>
      <c r="F267" s="726"/>
      <c r="G267" s="520"/>
      <c r="H267" s="520"/>
      <c r="I267" s="521"/>
      <c r="J267" s="521"/>
      <c r="K267" s="772"/>
      <c r="L267" s="514"/>
      <c r="M267" s="756"/>
      <c r="N267" s="514"/>
      <c r="O267" s="514"/>
      <c r="P267" s="514"/>
      <c r="Q267" s="514"/>
      <c r="R267" s="514"/>
      <c r="S267" s="514"/>
      <c r="T267" s="756"/>
      <c r="U267" s="514"/>
      <c r="V267" s="514"/>
      <c r="W267" s="514"/>
      <c r="X267" s="514"/>
      <c r="Y267" s="514"/>
      <c r="Z267" s="514"/>
      <c r="AA267" s="756"/>
      <c r="AB267" s="764"/>
      <c r="AC267" s="514"/>
      <c r="AD267" s="514"/>
      <c r="AE267" s="698"/>
      <c r="AF267" s="514"/>
      <c r="AG267" s="514"/>
      <c r="AH267" s="789"/>
      <c r="AI267" s="946">
        <f t="shared" si="12"/>
        <v>0</v>
      </c>
      <c r="AJ267" s="521">
        <v>0</v>
      </c>
      <c r="AK267" s="520">
        <f t="shared" si="13"/>
        <v>0</v>
      </c>
      <c r="AL267" s="695"/>
      <c r="AM267" s="669">
        <f t="shared" si="14"/>
        <v>0</v>
      </c>
    </row>
    <row r="268" spans="1:39" s="500" customFormat="1" ht="13.35" customHeight="1">
      <c r="A268" s="440" t="s">
        <v>781</v>
      </c>
      <c r="B268" s="543" t="s">
        <v>1225</v>
      </c>
      <c r="C268" s="616"/>
      <c r="D268" s="519"/>
      <c r="E268" s="520"/>
      <c r="F268" s="726"/>
      <c r="G268" s="520"/>
      <c r="H268" s="520"/>
      <c r="I268" s="521"/>
      <c r="J268" s="521"/>
      <c r="K268" s="772"/>
      <c r="L268" s="514"/>
      <c r="M268" s="756"/>
      <c r="N268" s="514"/>
      <c r="O268" s="514"/>
      <c r="P268" s="514"/>
      <c r="Q268" s="514"/>
      <c r="R268" s="514"/>
      <c r="S268" s="514"/>
      <c r="T268" s="756"/>
      <c r="U268" s="514"/>
      <c r="V268" s="514"/>
      <c r="W268" s="514"/>
      <c r="X268" s="514"/>
      <c r="Y268" s="514"/>
      <c r="Z268" s="514"/>
      <c r="AA268" s="756"/>
      <c r="AB268" s="764"/>
      <c r="AC268" s="514"/>
      <c r="AD268" s="514"/>
      <c r="AE268" s="698"/>
      <c r="AF268" s="514"/>
      <c r="AG268" s="514"/>
      <c r="AH268" s="789"/>
      <c r="AI268" s="946">
        <f t="shared" ref="AI268:AI331" si="15">ROUND((SUM(D268:AH268)),2)</f>
        <v>0</v>
      </c>
      <c r="AJ268" s="521">
        <v>0</v>
      </c>
      <c r="AK268" s="520">
        <f t="shared" si="13"/>
        <v>0</v>
      </c>
      <c r="AL268" s="695"/>
      <c r="AM268" s="669">
        <f t="shared" si="14"/>
        <v>0</v>
      </c>
    </row>
    <row r="269" spans="1:39" s="500" customFormat="1" ht="13.35" customHeight="1">
      <c r="A269" s="542" t="s">
        <v>782</v>
      </c>
      <c r="B269" s="542" t="s">
        <v>46</v>
      </c>
      <c r="C269" s="616"/>
      <c r="D269" s="519"/>
      <c r="E269" s="520"/>
      <c r="F269" s="726"/>
      <c r="G269" s="520"/>
      <c r="H269" s="520"/>
      <c r="I269" s="521"/>
      <c r="J269" s="521"/>
      <c r="K269" s="772"/>
      <c r="L269" s="514"/>
      <c r="M269" s="756"/>
      <c r="N269" s="514"/>
      <c r="O269" s="514"/>
      <c r="P269" s="514"/>
      <c r="Q269" s="514"/>
      <c r="R269" s="514"/>
      <c r="S269" s="514"/>
      <c r="T269" s="756"/>
      <c r="U269" s="514"/>
      <c r="V269" s="514"/>
      <c r="W269" s="514"/>
      <c r="X269" s="514"/>
      <c r="Y269" s="514"/>
      <c r="Z269" s="514"/>
      <c r="AA269" s="756"/>
      <c r="AB269" s="764"/>
      <c r="AC269" s="514"/>
      <c r="AD269" s="514"/>
      <c r="AE269" s="698"/>
      <c r="AF269" s="514"/>
      <c r="AG269" s="514"/>
      <c r="AH269" s="789"/>
      <c r="AI269" s="946">
        <f t="shared" si="15"/>
        <v>0</v>
      </c>
      <c r="AJ269" s="521">
        <v>0</v>
      </c>
      <c r="AK269" s="520">
        <f t="shared" si="13"/>
        <v>0</v>
      </c>
      <c r="AL269" s="695" t="s">
        <v>1607</v>
      </c>
      <c r="AM269" s="669">
        <f t="shared" si="14"/>
        <v>2.81</v>
      </c>
    </row>
    <row r="270" spans="1:39" s="500" customFormat="1" ht="13.35" customHeight="1">
      <c r="A270" s="539" t="s">
        <v>783</v>
      </c>
      <c r="B270" s="539" t="s">
        <v>1226</v>
      </c>
      <c r="C270" s="548" t="s">
        <v>40</v>
      </c>
      <c r="D270" s="519"/>
      <c r="E270" s="520"/>
      <c r="F270" s="726"/>
      <c r="G270" s="520"/>
      <c r="H270" s="520"/>
      <c r="I270" s="521"/>
      <c r="J270" s="521"/>
      <c r="K270" s="772"/>
      <c r="L270" s="514"/>
      <c r="M270" s="756"/>
      <c r="N270" s="514"/>
      <c r="O270" s="514"/>
      <c r="P270" s="514"/>
      <c r="Q270" s="514"/>
      <c r="R270" s="514"/>
      <c r="S270" s="514"/>
      <c r="T270" s="756"/>
      <c r="U270" s="514"/>
      <c r="V270" s="514"/>
      <c r="W270" s="514"/>
      <c r="X270" s="514"/>
      <c r="Y270" s="514"/>
      <c r="Z270" s="514"/>
      <c r="AA270" s="756"/>
      <c r="AB270" s="764"/>
      <c r="AC270" s="514"/>
      <c r="AD270" s="514"/>
      <c r="AE270" s="698"/>
      <c r="AF270" s="514"/>
      <c r="AG270" s="514"/>
      <c r="AH270" s="789"/>
      <c r="AI270" s="946">
        <f t="shared" si="15"/>
        <v>0</v>
      </c>
      <c r="AJ270" s="521">
        <v>0</v>
      </c>
      <c r="AK270" s="520">
        <f t="shared" si="13"/>
        <v>0</v>
      </c>
      <c r="AL270" s="695" t="s">
        <v>1608</v>
      </c>
      <c r="AM270" s="669">
        <f t="shared" si="14"/>
        <v>60</v>
      </c>
    </row>
    <row r="271" spans="1:39" s="500" customFormat="1" ht="13.35" customHeight="1">
      <c r="A271" s="539" t="s">
        <v>784</v>
      </c>
      <c r="B271" s="539" t="s">
        <v>269</v>
      </c>
      <c r="C271" s="548" t="s">
        <v>37</v>
      </c>
      <c r="D271" s="519"/>
      <c r="E271" s="520"/>
      <c r="F271" s="726"/>
      <c r="G271" s="520"/>
      <c r="H271" s="520"/>
      <c r="I271" s="521"/>
      <c r="J271" s="521"/>
      <c r="K271" s="772"/>
      <c r="L271" s="514"/>
      <c r="M271" s="756"/>
      <c r="N271" s="514"/>
      <c r="O271" s="514"/>
      <c r="P271" s="514"/>
      <c r="Q271" s="514"/>
      <c r="R271" s="514"/>
      <c r="S271" s="514"/>
      <c r="T271" s="756"/>
      <c r="U271" s="514"/>
      <c r="V271" s="514"/>
      <c r="W271" s="514"/>
      <c r="X271" s="514"/>
      <c r="Y271" s="514"/>
      <c r="Z271" s="514"/>
      <c r="AA271" s="756"/>
      <c r="AB271" s="764"/>
      <c r="AC271" s="514"/>
      <c r="AD271" s="514"/>
      <c r="AE271" s="698"/>
      <c r="AF271" s="514"/>
      <c r="AG271" s="514"/>
      <c r="AH271" s="789"/>
      <c r="AI271" s="946">
        <f t="shared" si="15"/>
        <v>0</v>
      </c>
      <c r="AJ271" s="521">
        <v>0</v>
      </c>
      <c r="AK271" s="520">
        <f t="shared" si="13"/>
        <v>0</v>
      </c>
      <c r="AL271" s="695" t="s">
        <v>1609</v>
      </c>
      <c r="AM271" s="669">
        <f t="shared" si="14"/>
        <v>3.51</v>
      </c>
    </row>
    <row r="272" spans="1:39" s="500" customFormat="1" ht="13.35" customHeight="1">
      <c r="A272" s="539" t="s">
        <v>785</v>
      </c>
      <c r="B272" s="539" t="s">
        <v>1161</v>
      </c>
      <c r="C272" s="548" t="s">
        <v>40</v>
      </c>
      <c r="D272" s="519"/>
      <c r="E272" s="520"/>
      <c r="F272" s="726"/>
      <c r="G272" s="520"/>
      <c r="H272" s="520"/>
      <c r="I272" s="521"/>
      <c r="J272" s="521"/>
      <c r="K272" s="772"/>
      <c r="L272" s="514"/>
      <c r="M272" s="756"/>
      <c r="N272" s="514"/>
      <c r="O272" s="514"/>
      <c r="P272" s="514"/>
      <c r="Q272" s="514"/>
      <c r="R272" s="514"/>
      <c r="S272" s="514"/>
      <c r="T272" s="756"/>
      <c r="U272" s="514"/>
      <c r="V272" s="514"/>
      <c r="W272" s="514"/>
      <c r="X272" s="514"/>
      <c r="Y272" s="514"/>
      <c r="Z272" s="514"/>
      <c r="AA272" s="756"/>
      <c r="AB272" s="764"/>
      <c r="AC272" s="514"/>
      <c r="AD272" s="514"/>
      <c r="AE272" s="698"/>
      <c r="AF272" s="514"/>
      <c r="AG272" s="514"/>
      <c r="AH272" s="789"/>
      <c r="AI272" s="946">
        <f t="shared" si="15"/>
        <v>0</v>
      </c>
      <c r="AJ272" s="521">
        <v>0</v>
      </c>
      <c r="AK272" s="520">
        <f t="shared" si="13"/>
        <v>0</v>
      </c>
      <c r="AL272" s="695"/>
      <c r="AM272" s="669">
        <f t="shared" si="14"/>
        <v>0</v>
      </c>
    </row>
    <row r="273" spans="1:39" s="500" customFormat="1" ht="13.35" customHeight="1">
      <c r="A273" s="542" t="s">
        <v>786</v>
      </c>
      <c r="B273" s="542" t="s">
        <v>1162</v>
      </c>
      <c r="C273" s="616"/>
      <c r="D273" s="519"/>
      <c r="E273" s="520"/>
      <c r="F273" s="726"/>
      <c r="G273" s="520"/>
      <c r="H273" s="520"/>
      <c r="I273" s="521"/>
      <c r="J273" s="521"/>
      <c r="K273" s="772"/>
      <c r="L273" s="514"/>
      <c r="M273" s="756"/>
      <c r="N273" s="514"/>
      <c r="O273" s="514"/>
      <c r="P273" s="514"/>
      <c r="Q273" s="514"/>
      <c r="R273" s="514"/>
      <c r="S273" s="514"/>
      <c r="T273" s="756"/>
      <c r="U273" s="514"/>
      <c r="V273" s="514"/>
      <c r="W273" s="514"/>
      <c r="X273" s="514"/>
      <c r="Y273" s="514"/>
      <c r="Z273" s="514"/>
      <c r="AA273" s="756"/>
      <c r="AB273" s="764"/>
      <c r="AC273" s="514"/>
      <c r="AD273" s="514"/>
      <c r="AE273" s="698"/>
      <c r="AF273" s="514"/>
      <c r="AG273" s="514"/>
      <c r="AH273" s="789"/>
      <c r="AI273" s="946">
        <f t="shared" si="15"/>
        <v>0</v>
      </c>
      <c r="AJ273" s="521">
        <v>0</v>
      </c>
      <c r="AK273" s="520">
        <f t="shared" si="13"/>
        <v>0</v>
      </c>
      <c r="AL273" s="695" t="s">
        <v>1610</v>
      </c>
      <c r="AM273" s="669">
        <f t="shared" si="14"/>
        <v>2.16</v>
      </c>
    </row>
    <row r="274" spans="1:39" s="500" customFormat="1" ht="13.35" customHeight="1">
      <c r="A274" s="539" t="s">
        <v>787</v>
      </c>
      <c r="B274" s="539" t="s">
        <v>1203</v>
      </c>
      <c r="C274" s="548" t="s">
        <v>37</v>
      </c>
      <c r="D274" s="519"/>
      <c r="E274" s="520"/>
      <c r="F274" s="726"/>
      <c r="G274" s="520"/>
      <c r="H274" s="520"/>
      <c r="I274" s="521"/>
      <c r="J274" s="521"/>
      <c r="K274" s="772"/>
      <c r="L274" s="514"/>
      <c r="M274" s="756"/>
      <c r="N274" s="514"/>
      <c r="O274" s="514"/>
      <c r="P274" s="514"/>
      <c r="Q274" s="514"/>
      <c r="R274" s="514"/>
      <c r="S274" s="514"/>
      <c r="T274" s="756"/>
      <c r="U274" s="514"/>
      <c r="V274" s="514"/>
      <c r="W274" s="514"/>
      <c r="X274" s="514"/>
      <c r="Y274" s="514"/>
      <c r="Z274" s="514"/>
      <c r="AA274" s="756"/>
      <c r="AB274" s="764"/>
      <c r="AC274" s="514"/>
      <c r="AD274" s="514"/>
      <c r="AE274" s="698"/>
      <c r="AF274" s="514"/>
      <c r="AG274" s="514"/>
      <c r="AH274" s="789"/>
      <c r="AI274" s="946">
        <f t="shared" si="15"/>
        <v>0</v>
      </c>
      <c r="AJ274" s="521">
        <v>0</v>
      </c>
      <c r="AK274" s="520">
        <f t="shared" si="13"/>
        <v>0</v>
      </c>
      <c r="AL274" s="695" t="s">
        <v>1608</v>
      </c>
      <c r="AM274" s="669">
        <f t="shared" si="14"/>
        <v>60</v>
      </c>
    </row>
    <row r="275" spans="1:39" s="500" customFormat="1" ht="13.35" customHeight="1">
      <c r="A275" s="539" t="s">
        <v>788</v>
      </c>
      <c r="B275" s="539" t="s">
        <v>1227</v>
      </c>
      <c r="C275" s="548" t="s">
        <v>37</v>
      </c>
      <c r="D275" s="519"/>
      <c r="E275" s="520"/>
      <c r="F275" s="726"/>
      <c r="G275" s="520"/>
      <c r="H275" s="520"/>
      <c r="I275" s="521"/>
      <c r="J275" s="521"/>
      <c r="K275" s="772"/>
      <c r="L275" s="514"/>
      <c r="M275" s="756"/>
      <c r="N275" s="514"/>
      <c r="O275" s="514"/>
      <c r="P275" s="514"/>
      <c r="Q275" s="514"/>
      <c r="R275" s="514"/>
      <c r="S275" s="514"/>
      <c r="T275" s="756"/>
      <c r="U275" s="514"/>
      <c r="V275" s="514"/>
      <c r="W275" s="514"/>
      <c r="X275" s="514"/>
      <c r="Y275" s="514"/>
      <c r="Z275" s="514"/>
      <c r="AA275" s="756"/>
      <c r="AB275" s="764"/>
      <c r="AC275" s="514"/>
      <c r="AD275" s="514"/>
      <c r="AE275" s="698"/>
      <c r="AF275" s="514"/>
      <c r="AG275" s="514"/>
      <c r="AH275" s="789"/>
      <c r="AI275" s="946">
        <f t="shared" si="15"/>
        <v>0</v>
      </c>
      <c r="AJ275" s="521">
        <v>0</v>
      </c>
      <c r="AK275" s="520">
        <f t="shared" si="13"/>
        <v>0</v>
      </c>
      <c r="AL275" s="695"/>
      <c r="AM275" s="669">
        <f t="shared" si="14"/>
        <v>0</v>
      </c>
    </row>
    <row r="276" spans="1:39" s="500" customFormat="1" ht="13.35" customHeight="1">
      <c r="A276" s="542" t="s">
        <v>789</v>
      </c>
      <c r="B276" s="542" t="s">
        <v>1169</v>
      </c>
      <c r="C276" s="616"/>
      <c r="D276" s="519"/>
      <c r="E276" s="520"/>
      <c r="F276" s="726"/>
      <c r="G276" s="520"/>
      <c r="H276" s="520"/>
      <c r="I276" s="521"/>
      <c r="J276" s="521"/>
      <c r="K276" s="772"/>
      <c r="L276" s="514"/>
      <c r="M276" s="756"/>
      <c r="N276" s="514"/>
      <c r="O276" s="514"/>
      <c r="P276" s="514"/>
      <c r="Q276" s="514"/>
      <c r="R276" s="514"/>
      <c r="S276" s="514"/>
      <c r="T276" s="756"/>
      <c r="U276" s="514"/>
      <c r="V276" s="514"/>
      <c r="W276" s="514"/>
      <c r="X276" s="514"/>
      <c r="Y276" s="514"/>
      <c r="Z276" s="514"/>
      <c r="AA276" s="756"/>
      <c r="AB276" s="764"/>
      <c r="AC276" s="514"/>
      <c r="AD276" s="514"/>
      <c r="AE276" s="698"/>
      <c r="AF276" s="514"/>
      <c r="AG276" s="514"/>
      <c r="AH276" s="789"/>
      <c r="AI276" s="946">
        <f t="shared" si="15"/>
        <v>0</v>
      </c>
      <c r="AJ276" s="521">
        <v>0</v>
      </c>
      <c r="AK276" s="520">
        <f t="shared" ref="AK276:AK339" si="16">AI276+AJ276</f>
        <v>0</v>
      </c>
      <c r="AL276" s="695"/>
      <c r="AM276" s="669">
        <f t="shared" ref="AM276:AM339" si="17">AL276-AK276</f>
        <v>0</v>
      </c>
    </row>
    <row r="277" spans="1:39" s="500" customFormat="1" ht="13.35" customHeight="1">
      <c r="A277" s="539" t="s">
        <v>790</v>
      </c>
      <c r="B277" s="539" t="s">
        <v>1170</v>
      </c>
      <c r="C277" s="616"/>
      <c r="D277" s="519"/>
      <c r="E277" s="520"/>
      <c r="F277" s="726"/>
      <c r="G277" s="520"/>
      <c r="H277" s="520"/>
      <c r="I277" s="521"/>
      <c r="J277" s="521"/>
      <c r="K277" s="772"/>
      <c r="L277" s="514"/>
      <c r="M277" s="756"/>
      <c r="N277" s="514"/>
      <c r="O277" s="514"/>
      <c r="P277" s="514"/>
      <c r="Q277" s="514"/>
      <c r="R277" s="514"/>
      <c r="S277" s="514"/>
      <c r="T277" s="756"/>
      <c r="U277" s="514"/>
      <c r="V277" s="514"/>
      <c r="W277" s="514"/>
      <c r="X277" s="514"/>
      <c r="Y277" s="514"/>
      <c r="Z277" s="514"/>
      <c r="AA277" s="756"/>
      <c r="AB277" s="764"/>
      <c r="AC277" s="514"/>
      <c r="AD277" s="514"/>
      <c r="AE277" s="698"/>
      <c r="AF277" s="514"/>
      <c r="AG277" s="514"/>
      <c r="AH277" s="789"/>
      <c r="AI277" s="946">
        <f t="shared" si="15"/>
        <v>0</v>
      </c>
      <c r="AJ277" s="521">
        <v>0</v>
      </c>
      <c r="AK277" s="520">
        <f t="shared" si="16"/>
        <v>0</v>
      </c>
      <c r="AL277" s="695" t="s">
        <v>1611</v>
      </c>
      <c r="AM277" s="669">
        <f t="shared" si="17"/>
        <v>2.52</v>
      </c>
    </row>
    <row r="278" spans="1:39" s="500" customFormat="1" ht="13.35" customHeight="1">
      <c r="A278" s="539" t="s">
        <v>791</v>
      </c>
      <c r="B278" s="539" t="s">
        <v>1206</v>
      </c>
      <c r="C278" s="548" t="s">
        <v>40</v>
      </c>
      <c r="D278" s="519"/>
      <c r="E278" s="520"/>
      <c r="F278" s="726"/>
      <c r="G278" s="520"/>
      <c r="H278" s="520"/>
      <c r="I278" s="521"/>
      <c r="J278" s="521"/>
      <c r="K278" s="772"/>
      <c r="L278" s="514"/>
      <c r="M278" s="756"/>
      <c r="N278" s="514"/>
      <c r="O278" s="514"/>
      <c r="P278" s="514"/>
      <c r="Q278" s="514"/>
      <c r="R278" s="514"/>
      <c r="S278" s="514"/>
      <c r="T278" s="756"/>
      <c r="U278" s="514"/>
      <c r="V278" s="514"/>
      <c r="W278" s="514"/>
      <c r="X278" s="514"/>
      <c r="Y278" s="514"/>
      <c r="Z278" s="514"/>
      <c r="AA278" s="756"/>
      <c r="AB278" s="764"/>
      <c r="AC278" s="514"/>
      <c r="AD278" s="514"/>
      <c r="AE278" s="698"/>
      <c r="AF278" s="514"/>
      <c r="AG278" s="514"/>
      <c r="AH278" s="789"/>
      <c r="AI278" s="946">
        <f t="shared" si="15"/>
        <v>0</v>
      </c>
      <c r="AJ278" s="521">
        <v>0</v>
      </c>
      <c r="AK278" s="520">
        <f t="shared" si="16"/>
        <v>0</v>
      </c>
      <c r="AL278" s="695" t="s">
        <v>1612</v>
      </c>
      <c r="AM278" s="669">
        <f t="shared" si="17"/>
        <v>186.08</v>
      </c>
    </row>
    <row r="279" spans="1:39" s="500" customFormat="1" ht="13.35" customHeight="1">
      <c r="A279" s="539" t="s">
        <v>792</v>
      </c>
      <c r="B279" s="539" t="s">
        <v>1172</v>
      </c>
      <c r="C279" s="548" t="s">
        <v>48</v>
      </c>
      <c r="D279" s="519"/>
      <c r="E279" s="520"/>
      <c r="F279" s="726"/>
      <c r="G279" s="520"/>
      <c r="H279" s="520"/>
      <c r="I279" s="521"/>
      <c r="J279" s="521"/>
      <c r="K279" s="772"/>
      <c r="L279" s="514"/>
      <c r="M279" s="756"/>
      <c r="N279" s="514"/>
      <c r="O279" s="514"/>
      <c r="P279" s="514"/>
      <c r="Q279" s="514"/>
      <c r="R279" s="514"/>
      <c r="S279" s="514"/>
      <c r="T279" s="756"/>
      <c r="U279" s="514"/>
      <c r="V279" s="514"/>
      <c r="W279" s="514"/>
      <c r="X279" s="514"/>
      <c r="Y279" s="514"/>
      <c r="Z279" s="514"/>
      <c r="AA279" s="756"/>
      <c r="AB279" s="764"/>
      <c r="AC279" s="514"/>
      <c r="AD279" s="514"/>
      <c r="AE279" s="698"/>
      <c r="AF279" s="514"/>
      <c r="AG279" s="514"/>
      <c r="AH279" s="789"/>
      <c r="AI279" s="946">
        <f t="shared" si="15"/>
        <v>0</v>
      </c>
      <c r="AJ279" s="521">
        <v>0</v>
      </c>
      <c r="AK279" s="520">
        <f t="shared" si="16"/>
        <v>0</v>
      </c>
      <c r="AL279" s="695"/>
      <c r="AM279" s="669">
        <f t="shared" si="17"/>
        <v>0</v>
      </c>
    </row>
    <row r="280" spans="1:39" s="500" customFormat="1" ht="13.35" customHeight="1">
      <c r="A280" s="542" t="s">
        <v>793</v>
      </c>
      <c r="B280" s="542" t="s">
        <v>1228</v>
      </c>
      <c r="C280" s="616"/>
      <c r="D280" s="519"/>
      <c r="E280" s="520"/>
      <c r="F280" s="726"/>
      <c r="G280" s="520"/>
      <c r="H280" s="520"/>
      <c r="I280" s="521"/>
      <c r="J280" s="521"/>
      <c r="K280" s="772"/>
      <c r="L280" s="514"/>
      <c r="M280" s="756"/>
      <c r="N280" s="514"/>
      <c r="O280" s="514"/>
      <c r="P280" s="514"/>
      <c r="Q280" s="514"/>
      <c r="R280" s="514"/>
      <c r="S280" s="514"/>
      <c r="T280" s="756"/>
      <c r="U280" s="514"/>
      <c r="V280" s="514"/>
      <c r="W280" s="514"/>
      <c r="X280" s="514"/>
      <c r="Y280" s="514"/>
      <c r="Z280" s="514"/>
      <c r="AA280" s="756"/>
      <c r="AB280" s="764"/>
      <c r="AC280" s="514"/>
      <c r="AD280" s="514"/>
      <c r="AE280" s="698"/>
      <c r="AF280" s="514"/>
      <c r="AG280" s="514"/>
      <c r="AH280" s="789"/>
      <c r="AI280" s="946">
        <f t="shared" si="15"/>
        <v>0</v>
      </c>
      <c r="AJ280" s="521">
        <v>0</v>
      </c>
      <c r="AK280" s="520">
        <f t="shared" si="16"/>
        <v>0</v>
      </c>
      <c r="AL280" s="695" t="s">
        <v>1613</v>
      </c>
      <c r="AM280" s="669">
        <f t="shared" si="17"/>
        <v>899.99</v>
      </c>
    </row>
    <row r="281" spans="1:39" s="500" customFormat="1" ht="13.35" customHeight="1">
      <c r="A281" s="539" t="s">
        <v>794</v>
      </c>
      <c r="B281" s="539" t="s">
        <v>1229</v>
      </c>
      <c r="C281" s="548" t="s">
        <v>48</v>
      </c>
      <c r="D281" s="519"/>
      <c r="E281" s="520"/>
      <c r="F281" s="726"/>
      <c r="G281" s="520"/>
      <c r="H281" s="520"/>
      <c r="I281" s="521"/>
      <c r="J281" s="521"/>
      <c r="K281" s="772"/>
      <c r="L281" s="514"/>
      <c r="M281" s="756"/>
      <c r="N281" s="514"/>
      <c r="O281" s="514"/>
      <c r="P281" s="514"/>
      <c r="Q281" s="514"/>
      <c r="R281" s="514"/>
      <c r="S281" s="514"/>
      <c r="T281" s="756"/>
      <c r="U281" s="514"/>
      <c r="V281" s="514"/>
      <c r="W281" s="514"/>
      <c r="X281" s="514"/>
      <c r="Y281" s="514"/>
      <c r="Z281" s="514"/>
      <c r="AA281" s="756"/>
      <c r="AB281" s="764"/>
      <c r="AC281" s="514"/>
      <c r="AD281" s="514"/>
      <c r="AE281" s="698"/>
      <c r="AF281" s="514"/>
      <c r="AG281" s="514"/>
      <c r="AH281" s="789"/>
      <c r="AI281" s="946">
        <f t="shared" si="15"/>
        <v>0</v>
      </c>
      <c r="AJ281" s="521">
        <v>0</v>
      </c>
      <c r="AK281" s="520">
        <f t="shared" si="16"/>
        <v>0</v>
      </c>
      <c r="AL281" s="695" t="s">
        <v>1614</v>
      </c>
      <c r="AM281" s="669">
        <f t="shared" si="17"/>
        <v>394.52</v>
      </c>
    </row>
    <row r="282" spans="1:39" s="500" customFormat="1" ht="13.35" customHeight="1">
      <c r="A282" s="539" t="s">
        <v>795</v>
      </c>
      <c r="B282" s="539" t="s">
        <v>1230</v>
      </c>
      <c r="C282" s="548" t="s">
        <v>48</v>
      </c>
      <c r="D282" s="519"/>
      <c r="E282" s="520"/>
      <c r="F282" s="726"/>
      <c r="G282" s="520"/>
      <c r="H282" s="520"/>
      <c r="I282" s="521"/>
      <c r="J282" s="521"/>
      <c r="K282" s="772"/>
      <c r="L282" s="514"/>
      <c r="M282" s="756"/>
      <c r="N282" s="514"/>
      <c r="O282" s="514"/>
      <c r="P282" s="514"/>
      <c r="Q282" s="514"/>
      <c r="R282" s="514"/>
      <c r="S282" s="514"/>
      <c r="T282" s="756"/>
      <c r="U282" s="514"/>
      <c r="V282" s="514"/>
      <c r="W282" s="514"/>
      <c r="X282" s="514"/>
      <c r="Y282" s="514"/>
      <c r="Z282" s="514"/>
      <c r="AA282" s="756"/>
      <c r="AB282" s="764"/>
      <c r="AC282" s="514"/>
      <c r="AD282" s="514"/>
      <c r="AE282" s="698"/>
      <c r="AF282" s="514"/>
      <c r="AG282" s="514"/>
      <c r="AH282" s="789"/>
      <c r="AI282" s="946">
        <f t="shared" si="15"/>
        <v>0</v>
      </c>
      <c r="AJ282" s="521">
        <v>0</v>
      </c>
      <c r="AK282" s="520">
        <f t="shared" si="16"/>
        <v>0</v>
      </c>
      <c r="AL282" s="695" t="s">
        <v>1615</v>
      </c>
      <c r="AM282" s="669">
        <f t="shared" si="17"/>
        <v>271.91000000000003</v>
      </c>
    </row>
    <row r="283" spans="1:39" s="500" customFormat="1" ht="13.35" customHeight="1">
      <c r="A283" s="539" t="s">
        <v>796</v>
      </c>
      <c r="B283" s="539" t="s">
        <v>1231</v>
      </c>
      <c r="C283" s="548" t="s">
        <v>48</v>
      </c>
      <c r="D283" s="519"/>
      <c r="E283" s="520"/>
      <c r="F283" s="726"/>
      <c r="G283" s="520"/>
      <c r="H283" s="520"/>
      <c r="I283" s="521"/>
      <c r="J283" s="521"/>
      <c r="K283" s="772"/>
      <c r="L283" s="514"/>
      <c r="M283" s="756"/>
      <c r="N283" s="514"/>
      <c r="O283" s="514"/>
      <c r="P283" s="514"/>
      <c r="Q283" s="514"/>
      <c r="R283" s="514"/>
      <c r="S283" s="514"/>
      <c r="T283" s="756"/>
      <c r="U283" s="514"/>
      <c r="V283" s="514"/>
      <c r="W283" s="514"/>
      <c r="X283" s="514"/>
      <c r="Y283" s="514"/>
      <c r="Z283" s="514"/>
      <c r="AA283" s="756"/>
      <c r="AB283" s="764"/>
      <c r="AC283" s="514"/>
      <c r="AD283" s="514"/>
      <c r="AE283" s="698"/>
      <c r="AF283" s="514"/>
      <c r="AG283" s="514"/>
      <c r="AH283" s="789"/>
      <c r="AI283" s="946">
        <f t="shared" si="15"/>
        <v>0</v>
      </c>
      <c r="AJ283" s="521">
        <v>0</v>
      </c>
      <c r="AK283" s="520">
        <f t="shared" si="16"/>
        <v>0</v>
      </c>
      <c r="AL283" s="695" t="s">
        <v>1616</v>
      </c>
      <c r="AM283" s="669">
        <f t="shared" si="17"/>
        <v>80.92</v>
      </c>
    </row>
    <row r="284" spans="1:39" s="500" customFormat="1" ht="13.35" customHeight="1">
      <c r="A284" s="539" t="s">
        <v>797</v>
      </c>
      <c r="B284" s="539" t="s">
        <v>1232</v>
      </c>
      <c r="C284" s="548" t="s">
        <v>38</v>
      </c>
      <c r="D284" s="519"/>
      <c r="E284" s="520"/>
      <c r="F284" s="726"/>
      <c r="G284" s="520"/>
      <c r="H284" s="520"/>
      <c r="I284" s="521"/>
      <c r="J284" s="521"/>
      <c r="K284" s="772"/>
      <c r="L284" s="514"/>
      <c r="M284" s="756"/>
      <c r="N284" s="514"/>
      <c r="O284" s="514"/>
      <c r="P284" s="514"/>
      <c r="Q284" s="514"/>
      <c r="R284" s="514"/>
      <c r="S284" s="514"/>
      <c r="T284" s="756"/>
      <c r="U284" s="514"/>
      <c r="V284" s="514"/>
      <c r="W284" s="514"/>
      <c r="X284" s="514"/>
      <c r="Y284" s="514"/>
      <c r="Z284" s="514"/>
      <c r="AA284" s="756"/>
      <c r="AB284" s="764"/>
      <c r="AC284" s="514"/>
      <c r="AD284" s="514"/>
      <c r="AE284" s="698"/>
      <c r="AF284" s="514"/>
      <c r="AG284" s="514"/>
      <c r="AH284" s="789"/>
      <c r="AI284" s="946">
        <f t="shared" si="15"/>
        <v>0</v>
      </c>
      <c r="AJ284" s="521">
        <v>0</v>
      </c>
      <c r="AK284" s="520">
        <f t="shared" si="16"/>
        <v>0</v>
      </c>
      <c r="AL284" s="695" t="s">
        <v>1617</v>
      </c>
      <c r="AM284" s="669">
        <f t="shared" si="17"/>
        <v>6</v>
      </c>
    </row>
    <row r="285" spans="1:39" s="500" customFormat="1" ht="13.35" customHeight="1">
      <c r="A285" s="539" t="s">
        <v>798</v>
      </c>
      <c r="B285" s="539" t="s">
        <v>1233</v>
      </c>
      <c r="C285" s="548" t="s">
        <v>1450</v>
      </c>
      <c r="D285" s="519"/>
      <c r="E285" s="520"/>
      <c r="F285" s="726"/>
      <c r="G285" s="520"/>
      <c r="H285" s="520"/>
      <c r="I285" s="521"/>
      <c r="J285" s="521"/>
      <c r="K285" s="772"/>
      <c r="L285" s="514"/>
      <c r="M285" s="756"/>
      <c r="N285" s="514"/>
      <c r="O285" s="514"/>
      <c r="P285" s="514"/>
      <c r="Q285" s="514"/>
      <c r="R285" s="514"/>
      <c r="S285" s="514"/>
      <c r="T285" s="756"/>
      <c r="U285" s="514"/>
      <c r="V285" s="514"/>
      <c r="W285" s="514"/>
      <c r="X285" s="514"/>
      <c r="Y285" s="514"/>
      <c r="Z285" s="514"/>
      <c r="AA285" s="756"/>
      <c r="AB285" s="764"/>
      <c r="AC285" s="514"/>
      <c r="AD285" s="514"/>
      <c r="AE285" s="698"/>
      <c r="AF285" s="514"/>
      <c r="AG285" s="514"/>
      <c r="AH285" s="789"/>
      <c r="AI285" s="946">
        <f t="shared" si="15"/>
        <v>0</v>
      </c>
      <c r="AJ285" s="521">
        <v>0</v>
      </c>
      <c r="AK285" s="520">
        <f t="shared" si="16"/>
        <v>0</v>
      </c>
      <c r="AL285" s="695"/>
      <c r="AM285" s="669">
        <f t="shared" si="17"/>
        <v>0</v>
      </c>
    </row>
    <row r="286" spans="1:39" s="500" customFormat="1" ht="13.35" customHeight="1">
      <c r="A286" s="542" t="s">
        <v>799</v>
      </c>
      <c r="B286" s="542" t="s">
        <v>1200</v>
      </c>
      <c r="C286" s="616"/>
      <c r="D286" s="519"/>
      <c r="E286" s="520"/>
      <c r="F286" s="726"/>
      <c r="G286" s="520"/>
      <c r="H286" s="520"/>
      <c r="I286" s="521"/>
      <c r="J286" s="521"/>
      <c r="K286" s="772"/>
      <c r="L286" s="514"/>
      <c r="M286" s="756"/>
      <c r="N286" s="514"/>
      <c r="O286" s="514"/>
      <c r="P286" s="514"/>
      <c r="Q286" s="514"/>
      <c r="R286" s="514"/>
      <c r="S286" s="514"/>
      <c r="T286" s="756"/>
      <c r="U286" s="514"/>
      <c r="V286" s="514"/>
      <c r="W286" s="514"/>
      <c r="X286" s="514"/>
      <c r="Y286" s="514"/>
      <c r="Z286" s="514"/>
      <c r="AA286" s="756"/>
      <c r="AB286" s="764"/>
      <c r="AC286" s="514"/>
      <c r="AD286" s="514"/>
      <c r="AE286" s="698"/>
      <c r="AF286" s="514"/>
      <c r="AG286" s="514"/>
      <c r="AH286" s="789"/>
      <c r="AI286" s="946">
        <f t="shared" si="15"/>
        <v>0</v>
      </c>
      <c r="AJ286" s="521">
        <v>0</v>
      </c>
      <c r="AK286" s="520">
        <f t="shared" si="16"/>
        <v>0</v>
      </c>
      <c r="AL286" s="695" t="s">
        <v>1618</v>
      </c>
      <c r="AM286" s="669">
        <f t="shared" si="17"/>
        <v>3</v>
      </c>
    </row>
    <row r="287" spans="1:39" s="500" customFormat="1" ht="14.1" customHeight="1" thickBot="1">
      <c r="A287" s="539" t="s">
        <v>800</v>
      </c>
      <c r="B287" s="539" t="s">
        <v>225</v>
      </c>
      <c r="C287" s="548" t="s">
        <v>1450</v>
      </c>
      <c r="D287" s="519"/>
      <c r="E287" s="520"/>
      <c r="F287" s="726"/>
      <c r="G287" s="520"/>
      <c r="H287" s="520"/>
      <c r="I287" s="521"/>
      <c r="J287" s="521"/>
      <c r="K287" s="772"/>
      <c r="L287" s="514"/>
      <c r="M287" s="756"/>
      <c r="N287" s="514"/>
      <c r="O287" s="514"/>
      <c r="P287" s="514"/>
      <c r="Q287" s="514"/>
      <c r="R287" s="514"/>
      <c r="S287" s="514"/>
      <c r="T287" s="756"/>
      <c r="U287" s="514"/>
      <c r="V287" s="514"/>
      <c r="W287" s="514"/>
      <c r="X287" s="514"/>
      <c r="Y287" s="514"/>
      <c r="Z287" s="514"/>
      <c r="AA287" s="756"/>
      <c r="AB287" s="764"/>
      <c r="AC287" s="514"/>
      <c r="AD287" s="514"/>
      <c r="AE287" s="698"/>
      <c r="AF287" s="514"/>
      <c r="AG287" s="514"/>
      <c r="AH287" s="789"/>
      <c r="AI287" s="946">
        <f t="shared" si="15"/>
        <v>0</v>
      </c>
      <c r="AJ287" s="521">
        <v>0</v>
      </c>
      <c r="AK287" s="520">
        <f t="shared" si="16"/>
        <v>0</v>
      </c>
      <c r="AL287" s="695"/>
      <c r="AM287" s="669">
        <f t="shared" si="17"/>
        <v>0</v>
      </c>
    </row>
    <row r="288" spans="1:39" s="500" customFormat="1" ht="13.35" customHeight="1">
      <c r="A288" s="541" t="s">
        <v>45</v>
      </c>
      <c r="B288" s="541" t="s">
        <v>1234</v>
      </c>
      <c r="C288" s="616"/>
      <c r="D288" s="519"/>
      <c r="E288" s="520"/>
      <c r="F288" s="726"/>
      <c r="G288" s="520"/>
      <c r="H288" s="520"/>
      <c r="I288" s="521"/>
      <c r="J288" s="521"/>
      <c r="K288" s="772"/>
      <c r="L288" s="514"/>
      <c r="M288" s="756"/>
      <c r="N288" s="514"/>
      <c r="O288" s="514"/>
      <c r="P288" s="514"/>
      <c r="Q288" s="514"/>
      <c r="R288" s="514"/>
      <c r="S288" s="514"/>
      <c r="T288" s="756"/>
      <c r="U288" s="514"/>
      <c r="V288" s="514"/>
      <c r="W288" s="514"/>
      <c r="X288" s="514"/>
      <c r="Y288" s="514"/>
      <c r="Z288" s="514"/>
      <c r="AA288" s="756"/>
      <c r="AB288" s="764"/>
      <c r="AC288" s="514"/>
      <c r="AD288" s="514"/>
      <c r="AE288" s="698"/>
      <c r="AF288" s="514"/>
      <c r="AG288" s="514"/>
      <c r="AH288" s="789"/>
      <c r="AI288" s="946">
        <f t="shared" si="15"/>
        <v>0</v>
      </c>
      <c r="AJ288" s="521">
        <v>0</v>
      </c>
      <c r="AK288" s="520">
        <f t="shared" si="16"/>
        <v>0</v>
      </c>
      <c r="AL288" s="695"/>
      <c r="AM288" s="669">
        <f t="shared" si="17"/>
        <v>0</v>
      </c>
    </row>
    <row r="289" spans="1:39" s="500" customFormat="1" ht="13.35" customHeight="1">
      <c r="A289" s="440" t="s">
        <v>47</v>
      </c>
      <c r="B289" s="543" t="s">
        <v>1235</v>
      </c>
      <c r="C289" s="616"/>
      <c r="D289" s="519"/>
      <c r="E289" s="520"/>
      <c r="F289" s="726"/>
      <c r="G289" s="520"/>
      <c r="H289" s="520"/>
      <c r="I289" s="521"/>
      <c r="J289" s="521"/>
      <c r="K289" s="772"/>
      <c r="L289" s="514"/>
      <c r="M289" s="756"/>
      <c r="N289" s="514"/>
      <c r="O289" s="514"/>
      <c r="P289" s="514"/>
      <c r="Q289" s="514"/>
      <c r="R289" s="514"/>
      <c r="S289" s="514"/>
      <c r="T289" s="756"/>
      <c r="U289" s="514"/>
      <c r="V289" s="514"/>
      <c r="W289" s="514"/>
      <c r="X289" s="514"/>
      <c r="Y289" s="514"/>
      <c r="Z289" s="514"/>
      <c r="AA289" s="756"/>
      <c r="AB289" s="764"/>
      <c r="AC289" s="514"/>
      <c r="AD289" s="514"/>
      <c r="AE289" s="698"/>
      <c r="AF289" s="514"/>
      <c r="AG289" s="514"/>
      <c r="AH289" s="789"/>
      <c r="AI289" s="946">
        <f t="shared" si="15"/>
        <v>0</v>
      </c>
      <c r="AJ289" s="521">
        <v>0</v>
      </c>
      <c r="AK289" s="520">
        <f t="shared" si="16"/>
        <v>0</v>
      </c>
      <c r="AL289" s="695"/>
      <c r="AM289" s="669">
        <f t="shared" si="17"/>
        <v>0</v>
      </c>
    </row>
    <row r="290" spans="1:39" s="500" customFormat="1" ht="13.35" customHeight="1">
      <c r="A290" s="542" t="s">
        <v>49</v>
      </c>
      <c r="B290" s="542" t="s">
        <v>1236</v>
      </c>
      <c r="C290" s="616"/>
      <c r="D290" s="519"/>
      <c r="E290" s="520"/>
      <c r="F290" s="726"/>
      <c r="G290" s="520"/>
      <c r="H290" s="520"/>
      <c r="I290" s="521"/>
      <c r="J290" s="521"/>
      <c r="K290" s="772"/>
      <c r="L290" s="514"/>
      <c r="M290" s="756"/>
      <c r="N290" s="514"/>
      <c r="O290" s="514"/>
      <c r="P290" s="514"/>
      <c r="Q290" s="514"/>
      <c r="R290" s="514"/>
      <c r="S290" s="514"/>
      <c r="T290" s="756"/>
      <c r="U290" s="514"/>
      <c r="V290" s="514"/>
      <c r="W290" s="514"/>
      <c r="X290" s="514"/>
      <c r="Y290" s="514"/>
      <c r="Z290" s="514"/>
      <c r="AA290" s="756"/>
      <c r="AB290" s="764"/>
      <c r="AC290" s="514"/>
      <c r="AD290" s="514"/>
      <c r="AE290" s="698"/>
      <c r="AF290" s="514"/>
      <c r="AG290" s="514"/>
      <c r="AH290" s="789"/>
      <c r="AI290" s="946">
        <f t="shared" si="15"/>
        <v>0</v>
      </c>
      <c r="AJ290" s="521">
        <v>0</v>
      </c>
      <c r="AK290" s="520">
        <f t="shared" si="16"/>
        <v>0</v>
      </c>
      <c r="AL290" s="695" t="s">
        <v>1619</v>
      </c>
      <c r="AM290" s="669">
        <f t="shared" si="17"/>
        <v>72.27</v>
      </c>
    </row>
    <row r="291" spans="1:39" s="500" customFormat="1" ht="13.35" customHeight="1">
      <c r="A291" s="539" t="s">
        <v>801</v>
      </c>
      <c r="B291" s="539" t="s">
        <v>1237</v>
      </c>
      <c r="C291" s="548" t="s">
        <v>37</v>
      </c>
      <c r="D291" s="519"/>
      <c r="E291" s="520"/>
      <c r="F291" s="726"/>
      <c r="G291" s="520"/>
      <c r="H291" s="520"/>
      <c r="I291" s="521"/>
      <c r="J291" s="521"/>
      <c r="K291" s="772"/>
      <c r="L291" s="514"/>
      <c r="M291" s="756"/>
      <c r="N291" s="514"/>
      <c r="O291" s="514"/>
      <c r="P291" s="514"/>
      <c r="Q291" s="514"/>
      <c r="R291" s="514"/>
      <c r="S291" s="514"/>
      <c r="T291" s="756"/>
      <c r="U291" s="514"/>
      <c r="V291" s="514"/>
      <c r="W291" s="514"/>
      <c r="X291" s="514"/>
      <c r="Y291" s="514"/>
      <c r="Z291" s="514"/>
      <c r="AA291" s="756"/>
      <c r="AB291" s="764"/>
      <c r="AC291" s="514"/>
      <c r="AD291" s="514"/>
      <c r="AE291" s="698"/>
      <c r="AF291" s="514"/>
      <c r="AG291" s="514"/>
      <c r="AH291" s="789"/>
      <c r="AI291" s="946">
        <f t="shared" si="15"/>
        <v>0</v>
      </c>
      <c r="AJ291" s="521">
        <v>0</v>
      </c>
      <c r="AK291" s="520">
        <f t="shared" si="16"/>
        <v>0</v>
      </c>
      <c r="AL291" s="695" t="s">
        <v>1620</v>
      </c>
      <c r="AM291" s="669">
        <f t="shared" si="17"/>
        <v>15.22</v>
      </c>
    </row>
    <row r="292" spans="1:39" s="500" customFormat="1" ht="13.35" customHeight="1">
      <c r="A292" s="539" t="s">
        <v>802</v>
      </c>
      <c r="B292" s="539" t="s">
        <v>1238</v>
      </c>
      <c r="C292" s="548" t="s">
        <v>37</v>
      </c>
      <c r="D292" s="519"/>
      <c r="E292" s="520"/>
      <c r="F292" s="726"/>
      <c r="G292" s="520"/>
      <c r="H292" s="520"/>
      <c r="I292" s="521"/>
      <c r="J292" s="521"/>
      <c r="K292" s="772"/>
      <c r="L292" s="514"/>
      <c r="M292" s="756"/>
      <c r="N292" s="514"/>
      <c r="O292" s="514"/>
      <c r="P292" s="514"/>
      <c r="Q292" s="514"/>
      <c r="R292" s="514"/>
      <c r="S292" s="514"/>
      <c r="T292" s="756"/>
      <c r="U292" s="514"/>
      <c r="V292" s="514"/>
      <c r="W292" s="514"/>
      <c r="X292" s="514"/>
      <c r="Y292" s="514"/>
      <c r="Z292" s="514"/>
      <c r="AA292" s="756"/>
      <c r="AB292" s="764"/>
      <c r="AC292" s="514"/>
      <c r="AD292" s="514"/>
      <c r="AE292" s="698"/>
      <c r="AF292" s="514"/>
      <c r="AG292" s="514"/>
      <c r="AH292" s="789"/>
      <c r="AI292" s="946">
        <f t="shared" si="15"/>
        <v>0</v>
      </c>
      <c r="AJ292" s="521">
        <v>0</v>
      </c>
      <c r="AK292" s="520">
        <f t="shared" si="16"/>
        <v>0</v>
      </c>
      <c r="AL292" s="695"/>
      <c r="AM292" s="669">
        <f t="shared" si="17"/>
        <v>0</v>
      </c>
    </row>
    <row r="293" spans="1:39" s="500" customFormat="1" ht="13.35" customHeight="1">
      <c r="A293" s="542" t="s">
        <v>50</v>
      </c>
      <c r="B293" s="542" t="s">
        <v>1239</v>
      </c>
      <c r="C293" s="616"/>
      <c r="D293" s="519"/>
      <c r="E293" s="520"/>
      <c r="F293" s="726"/>
      <c r="G293" s="520"/>
      <c r="H293" s="520"/>
      <c r="I293" s="521"/>
      <c r="J293" s="521"/>
      <c r="K293" s="772"/>
      <c r="L293" s="514"/>
      <c r="M293" s="756"/>
      <c r="N293" s="514"/>
      <c r="O293" s="514"/>
      <c r="P293" s="514"/>
      <c r="Q293" s="514"/>
      <c r="R293" s="514"/>
      <c r="S293" s="514"/>
      <c r="T293" s="756"/>
      <c r="U293" s="514"/>
      <c r="V293" s="514"/>
      <c r="W293" s="514"/>
      <c r="X293" s="514"/>
      <c r="Y293" s="514"/>
      <c r="Z293" s="514"/>
      <c r="AA293" s="756"/>
      <c r="AB293" s="764"/>
      <c r="AC293" s="514"/>
      <c r="AD293" s="514"/>
      <c r="AE293" s="698"/>
      <c r="AF293" s="514"/>
      <c r="AG293" s="514"/>
      <c r="AH293" s="789"/>
      <c r="AI293" s="946">
        <f t="shared" si="15"/>
        <v>0</v>
      </c>
      <c r="AJ293" s="521">
        <v>0</v>
      </c>
      <c r="AK293" s="520">
        <f t="shared" si="16"/>
        <v>0</v>
      </c>
      <c r="AL293" s="695" t="s">
        <v>1621</v>
      </c>
      <c r="AM293" s="669">
        <f t="shared" si="17"/>
        <v>123.1</v>
      </c>
    </row>
    <row r="294" spans="1:39" s="500" customFormat="1" ht="13.35" customHeight="1">
      <c r="A294" s="539" t="s">
        <v>803</v>
      </c>
      <c r="B294" s="539" t="s">
        <v>1240</v>
      </c>
      <c r="C294" s="548" t="s">
        <v>37</v>
      </c>
      <c r="D294" s="519"/>
      <c r="E294" s="520"/>
      <c r="F294" s="726"/>
      <c r="G294" s="520"/>
      <c r="H294" s="520"/>
      <c r="I294" s="521"/>
      <c r="J294" s="521"/>
      <c r="K294" s="772"/>
      <c r="L294" s="514"/>
      <c r="M294" s="756"/>
      <c r="N294" s="514"/>
      <c r="O294" s="514"/>
      <c r="P294" s="514"/>
      <c r="Q294" s="514"/>
      <c r="R294" s="514"/>
      <c r="S294" s="514"/>
      <c r="T294" s="756"/>
      <c r="U294" s="514"/>
      <c r="V294" s="514"/>
      <c r="W294" s="514"/>
      <c r="X294" s="514"/>
      <c r="Y294" s="514"/>
      <c r="Z294" s="514"/>
      <c r="AA294" s="756"/>
      <c r="AB294" s="764"/>
      <c r="AC294" s="514"/>
      <c r="AD294" s="514"/>
      <c r="AE294" s="698"/>
      <c r="AF294" s="514"/>
      <c r="AG294" s="514"/>
      <c r="AH294" s="789"/>
      <c r="AI294" s="946">
        <f t="shared" si="15"/>
        <v>0</v>
      </c>
      <c r="AJ294" s="521">
        <v>0</v>
      </c>
      <c r="AK294" s="520">
        <f t="shared" si="16"/>
        <v>0</v>
      </c>
      <c r="AL294" s="695" t="s">
        <v>1622</v>
      </c>
      <c r="AM294" s="669">
        <f t="shared" si="17"/>
        <v>54.38</v>
      </c>
    </row>
    <row r="295" spans="1:39" s="500" customFormat="1" ht="13.35" customHeight="1">
      <c r="A295" s="539" t="s">
        <v>804</v>
      </c>
      <c r="B295" s="539" t="s">
        <v>1241</v>
      </c>
      <c r="C295" s="548" t="s">
        <v>37</v>
      </c>
      <c r="D295" s="519"/>
      <c r="E295" s="520"/>
      <c r="F295" s="726"/>
      <c r="G295" s="520"/>
      <c r="H295" s="520"/>
      <c r="I295" s="521"/>
      <c r="J295" s="521"/>
      <c r="K295" s="772"/>
      <c r="L295" s="514"/>
      <c r="M295" s="756"/>
      <c r="N295" s="514"/>
      <c r="O295" s="514"/>
      <c r="P295" s="514"/>
      <c r="Q295" s="514"/>
      <c r="R295" s="514"/>
      <c r="S295" s="514"/>
      <c r="T295" s="756"/>
      <c r="U295" s="514"/>
      <c r="V295" s="514"/>
      <c r="W295" s="514"/>
      <c r="X295" s="514"/>
      <c r="Y295" s="514"/>
      <c r="Z295" s="514"/>
      <c r="AA295" s="756"/>
      <c r="AB295" s="764"/>
      <c r="AC295" s="514"/>
      <c r="AD295" s="514"/>
      <c r="AE295" s="698"/>
      <c r="AF295" s="514"/>
      <c r="AG295" s="514"/>
      <c r="AH295" s="789"/>
      <c r="AI295" s="946">
        <f t="shared" si="15"/>
        <v>0</v>
      </c>
      <c r="AJ295" s="521">
        <v>0</v>
      </c>
      <c r="AK295" s="520">
        <f t="shared" si="16"/>
        <v>0</v>
      </c>
      <c r="AL295" s="695" t="s">
        <v>1623</v>
      </c>
      <c r="AM295" s="669">
        <f t="shared" si="17"/>
        <v>34.44</v>
      </c>
    </row>
    <row r="296" spans="1:39" s="500" customFormat="1" ht="13.35" customHeight="1">
      <c r="A296" s="539" t="s">
        <v>805</v>
      </c>
      <c r="B296" s="539" t="s">
        <v>1242</v>
      </c>
      <c r="C296" s="548" t="s">
        <v>37</v>
      </c>
      <c r="D296" s="519"/>
      <c r="E296" s="520"/>
      <c r="F296" s="726"/>
      <c r="G296" s="520"/>
      <c r="H296" s="520"/>
      <c r="I296" s="521"/>
      <c r="J296" s="521"/>
      <c r="K296" s="772"/>
      <c r="L296" s="514"/>
      <c r="M296" s="756"/>
      <c r="N296" s="514"/>
      <c r="O296" s="514"/>
      <c r="P296" s="514"/>
      <c r="Q296" s="514"/>
      <c r="R296" s="514"/>
      <c r="S296" s="514"/>
      <c r="T296" s="756"/>
      <c r="U296" s="514"/>
      <c r="V296" s="514"/>
      <c r="W296" s="514"/>
      <c r="X296" s="514"/>
      <c r="Y296" s="514"/>
      <c r="Z296" s="514"/>
      <c r="AA296" s="756"/>
      <c r="AB296" s="764"/>
      <c r="AC296" s="514"/>
      <c r="AD296" s="514"/>
      <c r="AE296" s="698"/>
      <c r="AF296" s="514"/>
      <c r="AG296" s="514"/>
      <c r="AH296" s="789"/>
      <c r="AI296" s="946">
        <f t="shared" si="15"/>
        <v>0</v>
      </c>
      <c r="AJ296" s="521">
        <v>0</v>
      </c>
      <c r="AK296" s="520">
        <f t="shared" si="16"/>
        <v>0</v>
      </c>
      <c r="AL296" s="695" t="s">
        <v>1624</v>
      </c>
      <c r="AM296" s="669">
        <f t="shared" si="17"/>
        <v>30.39</v>
      </c>
    </row>
    <row r="297" spans="1:39" s="500" customFormat="1" ht="13.35" customHeight="1">
      <c r="A297" s="539" t="s">
        <v>806</v>
      </c>
      <c r="B297" s="539" t="s">
        <v>1243</v>
      </c>
      <c r="C297" s="548" t="s">
        <v>37</v>
      </c>
      <c r="D297" s="519"/>
      <c r="E297" s="520"/>
      <c r="F297" s="726"/>
      <c r="G297" s="520"/>
      <c r="H297" s="520"/>
      <c r="I297" s="521"/>
      <c r="J297" s="521"/>
      <c r="K297" s="772"/>
      <c r="L297" s="514"/>
      <c r="M297" s="756"/>
      <c r="N297" s="514"/>
      <c r="O297" s="514"/>
      <c r="P297" s="514"/>
      <c r="Q297" s="514"/>
      <c r="R297" s="514"/>
      <c r="S297" s="514"/>
      <c r="T297" s="756"/>
      <c r="U297" s="514"/>
      <c r="V297" s="514"/>
      <c r="W297" s="514"/>
      <c r="X297" s="514"/>
      <c r="Y297" s="514"/>
      <c r="Z297" s="514"/>
      <c r="AA297" s="756"/>
      <c r="AB297" s="764"/>
      <c r="AC297" s="514"/>
      <c r="AD297" s="514"/>
      <c r="AE297" s="698"/>
      <c r="AF297" s="514"/>
      <c r="AG297" s="514"/>
      <c r="AH297" s="789"/>
      <c r="AI297" s="946">
        <f t="shared" si="15"/>
        <v>0</v>
      </c>
      <c r="AJ297" s="521">
        <v>0</v>
      </c>
      <c r="AK297" s="520">
        <f t="shared" si="16"/>
        <v>0</v>
      </c>
      <c r="AL297" s="695" t="s">
        <v>1625</v>
      </c>
      <c r="AM297" s="669">
        <f t="shared" si="17"/>
        <v>39.17</v>
      </c>
    </row>
    <row r="298" spans="1:39" s="500" customFormat="1" ht="13.35" customHeight="1">
      <c r="A298" s="539" t="s">
        <v>807</v>
      </c>
      <c r="B298" s="539" t="s">
        <v>1244</v>
      </c>
      <c r="C298" s="548" t="s">
        <v>37</v>
      </c>
      <c r="D298" s="519"/>
      <c r="E298" s="520"/>
      <c r="F298" s="726"/>
      <c r="G298" s="520"/>
      <c r="H298" s="520"/>
      <c r="I298" s="521"/>
      <c r="J298" s="521"/>
      <c r="K298" s="772"/>
      <c r="L298" s="514"/>
      <c r="M298" s="756"/>
      <c r="N298" s="514"/>
      <c r="O298" s="514"/>
      <c r="P298" s="514"/>
      <c r="Q298" s="514"/>
      <c r="R298" s="514"/>
      <c r="S298" s="514"/>
      <c r="T298" s="756"/>
      <c r="U298" s="514"/>
      <c r="V298" s="514"/>
      <c r="W298" s="514"/>
      <c r="X298" s="514"/>
      <c r="Y298" s="514"/>
      <c r="Z298" s="514"/>
      <c r="AA298" s="756"/>
      <c r="AB298" s="764"/>
      <c r="AC298" s="514"/>
      <c r="AD298" s="522"/>
      <c r="AE298" s="698"/>
      <c r="AF298" s="514"/>
      <c r="AG298" s="514"/>
      <c r="AH298" s="789"/>
      <c r="AI298" s="946">
        <f t="shared" si="15"/>
        <v>0</v>
      </c>
      <c r="AJ298" s="521">
        <v>0</v>
      </c>
      <c r="AK298" s="520">
        <f t="shared" si="16"/>
        <v>0</v>
      </c>
      <c r="AL298" s="695" t="s">
        <v>1626</v>
      </c>
      <c r="AM298" s="669">
        <f t="shared" si="17"/>
        <v>68.38</v>
      </c>
    </row>
    <row r="299" spans="1:39" s="500" customFormat="1" ht="13.35" customHeight="1">
      <c r="A299" s="539" t="s">
        <v>808</v>
      </c>
      <c r="B299" s="539" t="s">
        <v>1245</v>
      </c>
      <c r="C299" s="548" t="s">
        <v>38</v>
      </c>
      <c r="D299" s="519"/>
      <c r="E299" s="520"/>
      <c r="F299" s="726"/>
      <c r="G299" s="520"/>
      <c r="H299" s="520"/>
      <c r="I299" s="521"/>
      <c r="J299" s="521"/>
      <c r="K299" s="772"/>
      <c r="L299" s="514"/>
      <c r="M299" s="756"/>
      <c r="N299" s="514"/>
      <c r="O299" s="514"/>
      <c r="P299" s="514"/>
      <c r="Q299" s="514"/>
      <c r="R299" s="514"/>
      <c r="S299" s="514"/>
      <c r="T299" s="756"/>
      <c r="U299" s="514"/>
      <c r="V299" s="514"/>
      <c r="W299" s="514"/>
      <c r="X299" s="514"/>
      <c r="Y299" s="514"/>
      <c r="Z299" s="514"/>
      <c r="AA299" s="756"/>
      <c r="AB299" s="764"/>
      <c r="AC299" s="514"/>
      <c r="AD299" s="514"/>
      <c r="AE299" s="698"/>
      <c r="AF299" s="514"/>
      <c r="AG299" s="514"/>
      <c r="AH299" s="789"/>
      <c r="AI299" s="946">
        <f t="shared" si="15"/>
        <v>0</v>
      </c>
      <c r="AJ299" s="521">
        <v>0</v>
      </c>
      <c r="AK299" s="520">
        <f t="shared" si="16"/>
        <v>0</v>
      </c>
      <c r="AL299" s="695" t="s">
        <v>1627</v>
      </c>
      <c r="AM299" s="669">
        <f t="shared" si="17"/>
        <v>228.32</v>
      </c>
    </row>
    <row r="300" spans="1:39" s="500" customFormat="1" ht="13.35" customHeight="1">
      <c r="A300" s="539" t="s">
        <v>809</v>
      </c>
      <c r="B300" s="539" t="s">
        <v>1246</v>
      </c>
      <c r="C300" s="548" t="s">
        <v>38</v>
      </c>
      <c r="D300" s="519"/>
      <c r="E300" s="520"/>
      <c r="F300" s="726"/>
      <c r="G300" s="520"/>
      <c r="H300" s="520"/>
      <c r="I300" s="521"/>
      <c r="J300" s="521"/>
      <c r="K300" s="772"/>
      <c r="L300" s="514"/>
      <c r="M300" s="756"/>
      <c r="N300" s="514"/>
      <c r="O300" s="514"/>
      <c r="P300" s="514"/>
      <c r="Q300" s="514"/>
      <c r="R300" s="514"/>
      <c r="S300" s="514"/>
      <c r="T300" s="756"/>
      <c r="U300" s="514"/>
      <c r="V300" s="514"/>
      <c r="W300" s="514"/>
      <c r="X300" s="514"/>
      <c r="Y300" s="514"/>
      <c r="Z300" s="514"/>
      <c r="AA300" s="756"/>
      <c r="AB300" s="764"/>
      <c r="AC300" s="514"/>
      <c r="AD300" s="514"/>
      <c r="AE300" s="698"/>
      <c r="AF300" s="514"/>
      <c r="AG300" s="514"/>
      <c r="AH300" s="789"/>
      <c r="AI300" s="946">
        <f t="shared" si="15"/>
        <v>0</v>
      </c>
      <c r="AJ300" s="521">
        <v>0</v>
      </c>
      <c r="AK300" s="520">
        <f t="shared" si="16"/>
        <v>0</v>
      </c>
      <c r="AL300" s="695"/>
      <c r="AM300" s="669">
        <f t="shared" si="17"/>
        <v>0</v>
      </c>
    </row>
    <row r="301" spans="1:39" s="500" customFormat="1" ht="13.35" customHeight="1">
      <c r="A301" s="542" t="s">
        <v>51</v>
      </c>
      <c r="B301" s="542" t="s">
        <v>1247</v>
      </c>
      <c r="C301" s="616"/>
      <c r="D301" s="519"/>
      <c r="E301" s="520"/>
      <c r="F301" s="726"/>
      <c r="G301" s="520"/>
      <c r="H301" s="520"/>
      <c r="I301" s="521"/>
      <c r="J301" s="521"/>
      <c r="K301" s="772"/>
      <c r="L301" s="514"/>
      <c r="M301" s="756"/>
      <c r="N301" s="514"/>
      <c r="O301" s="514"/>
      <c r="P301" s="514"/>
      <c r="Q301" s="514"/>
      <c r="R301" s="514"/>
      <c r="S301" s="514"/>
      <c r="T301" s="756"/>
      <c r="U301" s="514"/>
      <c r="V301" s="514"/>
      <c r="W301" s="514"/>
      <c r="X301" s="514"/>
      <c r="Y301" s="514"/>
      <c r="Z301" s="514"/>
      <c r="AA301" s="756"/>
      <c r="AB301" s="764"/>
      <c r="AC301" s="514"/>
      <c r="AD301" s="514"/>
      <c r="AE301" s="698"/>
      <c r="AF301" s="514"/>
      <c r="AG301" s="514"/>
      <c r="AH301" s="789"/>
      <c r="AI301" s="946">
        <f t="shared" si="15"/>
        <v>0</v>
      </c>
      <c r="AJ301" s="521">
        <v>0</v>
      </c>
      <c r="AK301" s="520">
        <f t="shared" si="16"/>
        <v>0</v>
      </c>
      <c r="AL301" s="695" t="s">
        <v>1628</v>
      </c>
      <c r="AM301" s="669">
        <f t="shared" si="17"/>
        <v>90.62</v>
      </c>
    </row>
    <row r="302" spans="1:39" s="500" customFormat="1" ht="13.35" customHeight="1">
      <c r="A302" s="539" t="s">
        <v>810</v>
      </c>
      <c r="B302" s="539" t="s">
        <v>1248</v>
      </c>
      <c r="C302" s="548" t="s">
        <v>37</v>
      </c>
      <c r="D302" s="519"/>
      <c r="E302" s="520"/>
      <c r="F302" s="726"/>
      <c r="G302" s="520"/>
      <c r="H302" s="520"/>
      <c r="I302" s="521"/>
      <c r="J302" s="521"/>
      <c r="K302" s="772"/>
      <c r="L302" s="514"/>
      <c r="M302" s="756"/>
      <c r="N302" s="514"/>
      <c r="O302" s="514"/>
      <c r="P302" s="514"/>
      <c r="Q302" s="514"/>
      <c r="R302" s="514"/>
      <c r="S302" s="514"/>
      <c r="T302" s="756"/>
      <c r="U302" s="514"/>
      <c r="V302" s="522"/>
      <c r="W302" s="522"/>
      <c r="X302" s="514"/>
      <c r="Y302" s="514"/>
      <c r="Z302" s="514"/>
      <c r="AA302" s="756"/>
      <c r="AB302" s="764"/>
      <c r="AC302" s="514"/>
      <c r="AD302" s="514"/>
      <c r="AE302" s="698"/>
      <c r="AF302" s="514"/>
      <c r="AG302" s="514"/>
      <c r="AH302" s="789"/>
      <c r="AI302" s="946">
        <f t="shared" si="15"/>
        <v>0</v>
      </c>
      <c r="AJ302" s="521">
        <v>0</v>
      </c>
      <c r="AK302" s="520">
        <f t="shared" si="16"/>
        <v>0</v>
      </c>
      <c r="AL302" s="695"/>
      <c r="AM302" s="669">
        <f t="shared" si="17"/>
        <v>0</v>
      </c>
    </row>
    <row r="303" spans="1:39" s="500" customFormat="1" ht="13.35" customHeight="1">
      <c r="A303" s="542" t="s">
        <v>277</v>
      </c>
      <c r="B303" s="542" t="s">
        <v>1249</v>
      </c>
      <c r="C303" s="616"/>
      <c r="D303" s="519"/>
      <c r="E303" s="520"/>
      <c r="F303" s="726"/>
      <c r="G303" s="520"/>
      <c r="H303" s="520"/>
      <c r="I303" s="521"/>
      <c r="J303" s="521"/>
      <c r="K303" s="772"/>
      <c r="L303" s="514"/>
      <c r="M303" s="756"/>
      <c r="N303" s="514"/>
      <c r="O303" s="514"/>
      <c r="P303" s="514"/>
      <c r="Q303" s="514"/>
      <c r="R303" s="514"/>
      <c r="S303" s="514"/>
      <c r="T303" s="756"/>
      <c r="U303" s="514"/>
      <c r="V303" s="514"/>
      <c r="W303" s="514"/>
      <c r="X303" s="514"/>
      <c r="Y303" s="514"/>
      <c r="Z303" s="514"/>
      <c r="AA303" s="756"/>
      <c r="AB303" s="764"/>
      <c r="AC303" s="514"/>
      <c r="AD303" s="514"/>
      <c r="AE303" s="698"/>
      <c r="AF303" s="514"/>
      <c r="AG303" s="514"/>
      <c r="AH303" s="789"/>
      <c r="AI303" s="946">
        <f t="shared" si="15"/>
        <v>0</v>
      </c>
      <c r="AJ303" s="521">
        <v>0</v>
      </c>
      <c r="AK303" s="520">
        <f t="shared" si="16"/>
        <v>0</v>
      </c>
      <c r="AL303" s="695" t="s">
        <v>1629</v>
      </c>
      <c r="AM303" s="669">
        <f t="shared" si="17"/>
        <v>72.22</v>
      </c>
    </row>
    <row r="304" spans="1:39" s="500" customFormat="1" ht="13.35" customHeight="1">
      <c r="A304" s="539" t="s">
        <v>811</v>
      </c>
      <c r="B304" s="539" t="s">
        <v>1250</v>
      </c>
      <c r="C304" s="548" t="s">
        <v>37</v>
      </c>
      <c r="D304" s="519"/>
      <c r="E304" s="520"/>
      <c r="F304" s="726"/>
      <c r="G304" s="520"/>
      <c r="H304" s="520"/>
      <c r="I304" s="521"/>
      <c r="J304" s="521"/>
      <c r="K304" s="772"/>
      <c r="L304" s="514"/>
      <c r="M304" s="756"/>
      <c r="N304" s="514"/>
      <c r="O304" s="514"/>
      <c r="P304" s="514"/>
      <c r="Q304" s="514"/>
      <c r="R304" s="514"/>
      <c r="S304" s="514"/>
      <c r="T304" s="756"/>
      <c r="U304" s="514"/>
      <c r="V304" s="514"/>
      <c r="W304" s="514"/>
      <c r="X304" s="514"/>
      <c r="Y304" s="514"/>
      <c r="Z304" s="514"/>
      <c r="AA304" s="756"/>
      <c r="AB304" s="764"/>
      <c r="AC304" s="514"/>
      <c r="AD304" s="514"/>
      <c r="AE304" s="698"/>
      <c r="AF304" s="514"/>
      <c r="AG304" s="514"/>
      <c r="AH304" s="789"/>
      <c r="AI304" s="946">
        <f t="shared" si="15"/>
        <v>0</v>
      </c>
      <c r="AJ304" s="521">
        <v>0</v>
      </c>
      <c r="AK304" s="520">
        <f t="shared" si="16"/>
        <v>0</v>
      </c>
      <c r="AL304" s="695" t="s">
        <v>1630</v>
      </c>
      <c r="AM304" s="669">
        <f t="shared" si="17"/>
        <v>56.44</v>
      </c>
    </row>
    <row r="305" spans="1:39" s="500" customFormat="1" ht="13.35" customHeight="1">
      <c r="A305" s="539" t="s">
        <v>812</v>
      </c>
      <c r="B305" s="539" t="s">
        <v>1251</v>
      </c>
      <c r="C305" s="548" t="s">
        <v>37</v>
      </c>
      <c r="D305" s="519"/>
      <c r="E305" s="520"/>
      <c r="F305" s="726"/>
      <c r="G305" s="520"/>
      <c r="H305" s="520"/>
      <c r="I305" s="521"/>
      <c r="J305" s="521"/>
      <c r="K305" s="772"/>
      <c r="L305" s="514"/>
      <c r="M305" s="756"/>
      <c r="N305" s="514"/>
      <c r="O305" s="514"/>
      <c r="P305" s="514"/>
      <c r="Q305" s="514"/>
      <c r="R305" s="514"/>
      <c r="S305" s="514"/>
      <c r="T305" s="756"/>
      <c r="U305" s="514"/>
      <c r="V305" s="514"/>
      <c r="W305" s="514"/>
      <c r="X305" s="514"/>
      <c r="Y305" s="514"/>
      <c r="Z305" s="514"/>
      <c r="AA305" s="756"/>
      <c r="AB305" s="764"/>
      <c r="AC305" s="514"/>
      <c r="AD305" s="514"/>
      <c r="AE305" s="698"/>
      <c r="AF305" s="514"/>
      <c r="AG305" s="514"/>
      <c r="AH305" s="789"/>
      <c r="AI305" s="946">
        <f t="shared" si="15"/>
        <v>0</v>
      </c>
      <c r="AJ305" s="521">
        <v>0</v>
      </c>
      <c r="AK305" s="520">
        <f t="shared" si="16"/>
        <v>0</v>
      </c>
      <c r="AL305" s="695" t="s">
        <v>1631</v>
      </c>
      <c r="AM305" s="669">
        <f t="shared" si="17"/>
        <v>15.78</v>
      </c>
    </row>
    <row r="306" spans="1:39" s="500" customFormat="1" ht="13.35" customHeight="1">
      <c r="A306" s="539" t="s">
        <v>813</v>
      </c>
      <c r="B306" s="539" t="s">
        <v>1252</v>
      </c>
      <c r="C306" s="548" t="s">
        <v>37</v>
      </c>
      <c r="D306" s="519"/>
      <c r="E306" s="520"/>
      <c r="F306" s="726"/>
      <c r="G306" s="520"/>
      <c r="H306" s="520"/>
      <c r="I306" s="521"/>
      <c r="J306" s="521"/>
      <c r="K306" s="772"/>
      <c r="L306" s="514"/>
      <c r="M306" s="756"/>
      <c r="N306" s="514"/>
      <c r="O306" s="514"/>
      <c r="P306" s="514"/>
      <c r="Q306" s="514"/>
      <c r="R306" s="514"/>
      <c r="S306" s="514"/>
      <c r="T306" s="756"/>
      <c r="U306" s="514"/>
      <c r="V306" s="514"/>
      <c r="W306" s="514"/>
      <c r="X306" s="514"/>
      <c r="Y306" s="514"/>
      <c r="Z306" s="514"/>
      <c r="AA306" s="756"/>
      <c r="AB306" s="764"/>
      <c r="AC306" s="514"/>
      <c r="AD306" s="514"/>
      <c r="AE306" s="698"/>
      <c r="AF306" s="514"/>
      <c r="AG306" s="514"/>
      <c r="AH306" s="789"/>
      <c r="AI306" s="946">
        <f t="shared" si="15"/>
        <v>0</v>
      </c>
      <c r="AJ306" s="521">
        <v>0</v>
      </c>
      <c r="AK306" s="520">
        <f t="shared" si="16"/>
        <v>0</v>
      </c>
      <c r="AL306" s="695"/>
      <c r="AM306" s="669">
        <f t="shared" si="17"/>
        <v>0</v>
      </c>
    </row>
    <row r="307" spans="1:39" s="500" customFormat="1" ht="13.35" customHeight="1">
      <c r="A307" s="542" t="s">
        <v>279</v>
      </c>
      <c r="B307" s="542" t="s">
        <v>1253</v>
      </c>
      <c r="C307" s="616"/>
      <c r="D307" s="519"/>
      <c r="E307" s="520"/>
      <c r="F307" s="726"/>
      <c r="G307" s="520"/>
      <c r="H307" s="520"/>
      <c r="I307" s="521"/>
      <c r="J307" s="521"/>
      <c r="K307" s="772"/>
      <c r="L307" s="514"/>
      <c r="M307" s="756"/>
      <c r="N307" s="514"/>
      <c r="O307" s="514"/>
      <c r="P307" s="514"/>
      <c r="Q307" s="514"/>
      <c r="R307" s="514"/>
      <c r="S307" s="514"/>
      <c r="T307" s="756"/>
      <c r="U307" s="514"/>
      <c r="V307" s="514"/>
      <c r="W307" s="514"/>
      <c r="X307" s="514"/>
      <c r="Y307" s="514"/>
      <c r="Z307" s="514"/>
      <c r="AA307" s="756"/>
      <c r="AB307" s="764"/>
      <c r="AC307" s="514"/>
      <c r="AD307" s="514"/>
      <c r="AE307" s="698"/>
      <c r="AF307" s="514"/>
      <c r="AG307" s="514"/>
      <c r="AH307" s="789"/>
      <c r="AI307" s="946">
        <f t="shared" si="15"/>
        <v>0</v>
      </c>
      <c r="AJ307" s="521">
        <v>0</v>
      </c>
      <c r="AK307" s="520">
        <f t="shared" si="16"/>
        <v>0</v>
      </c>
      <c r="AL307" s="695" t="s">
        <v>1632</v>
      </c>
      <c r="AM307" s="669">
        <f t="shared" si="17"/>
        <v>11.52</v>
      </c>
    </row>
    <row r="308" spans="1:39" s="500" customFormat="1" ht="13.35" customHeight="1">
      <c r="A308" s="539" t="s">
        <v>814</v>
      </c>
      <c r="B308" s="539" t="s">
        <v>1254</v>
      </c>
      <c r="C308" s="548" t="s">
        <v>38</v>
      </c>
      <c r="D308" s="519"/>
      <c r="E308" s="520"/>
      <c r="F308" s="726"/>
      <c r="G308" s="520"/>
      <c r="H308" s="520"/>
      <c r="I308" s="521"/>
      <c r="J308" s="521"/>
      <c r="K308" s="772"/>
      <c r="L308" s="514"/>
      <c r="M308" s="756"/>
      <c r="N308" s="514"/>
      <c r="O308" s="514"/>
      <c r="P308" s="514"/>
      <c r="Q308" s="514"/>
      <c r="R308" s="514"/>
      <c r="S308" s="514"/>
      <c r="T308" s="756"/>
      <c r="U308" s="514"/>
      <c r="V308" s="514"/>
      <c r="W308" s="514"/>
      <c r="X308" s="514"/>
      <c r="Y308" s="514"/>
      <c r="Z308" s="514"/>
      <c r="AA308" s="756"/>
      <c r="AB308" s="764"/>
      <c r="AC308" s="514"/>
      <c r="AD308" s="514"/>
      <c r="AE308" s="698"/>
      <c r="AF308" s="514"/>
      <c r="AG308" s="514"/>
      <c r="AH308" s="789"/>
      <c r="AI308" s="946">
        <f t="shared" si="15"/>
        <v>0</v>
      </c>
      <c r="AJ308" s="521">
        <v>0</v>
      </c>
      <c r="AK308" s="520">
        <f t="shared" si="16"/>
        <v>0</v>
      </c>
      <c r="AL308" s="695" t="s">
        <v>1633</v>
      </c>
      <c r="AM308" s="669">
        <f t="shared" si="17"/>
        <v>5.18</v>
      </c>
    </row>
    <row r="309" spans="1:39" s="500" customFormat="1" ht="13.35" customHeight="1">
      <c r="A309" s="539" t="s">
        <v>815</v>
      </c>
      <c r="B309" s="539" t="s">
        <v>1255</v>
      </c>
      <c r="C309" s="548" t="s">
        <v>37</v>
      </c>
      <c r="D309" s="519"/>
      <c r="E309" s="520"/>
      <c r="F309" s="726"/>
      <c r="G309" s="520"/>
      <c r="H309" s="520"/>
      <c r="I309" s="521"/>
      <c r="J309" s="521"/>
      <c r="K309" s="772"/>
      <c r="L309" s="514"/>
      <c r="M309" s="756"/>
      <c r="N309" s="514"/>
      <c r="O309" s="514"/>
      <c r="P309" s="514"/>
      <c r="Q309" s="514"/>
      <c r="R309" s="514"/>
      <c r="S309" s="514"/>
      <c r="T309" s="756"/>
      <c r="U309" s="514"/>
      <c r="V309" s="514"/>
      <c r="W309" s="514"/>
      <c r="X309" s="514"/>
      <c r="Y309" s="514"/>
      <c r="Z309" s="514"/>
      <c r="AA309" s="756"/>
      <c r="AB309" s="764"/>
      <c r="AC309" s="514"/>
      <c r="AD309" s="514"/>
      <c r="AE309" s="698"/>
      <c r="AF309" s="514"/>
      <c r="AG309" s="514"/>
      <c r="AH309" s="789"/>
      <c r="AI309" s="946">
        <f t="shared" si="15"/>
        <v>0</v>
      </c>
      <c r="AJ309" s="521">
        <v>0</v>
      </c>
      <c r="AK309" s="520">
        <f t="shared" si="16"/>
        <v>0</v>
      </c>
      <c r="AL309" s="695"/>
      <c r="AM309" s="669">
        <f t="shared" si="17"/>
        <v>0</v>
      </c>
    </row>
    <row r="310" spans="1:39" s="500" customFormat="1" ht="13.35" customHeight="1">
      <c r="A310" s="542" t="s">
        <v>280</v>
      </c>
      <c r="B310" s="542" t="s">
        <v>1256</v>
      </c>
      <c r="C310" s="616"/>
      <c r="D310" s="519"/>
      <c r="E310" s="520"/>
      <c r="F310" s="726"/>
      <c r="G310" s="520"/>
      <c r="H310" s="520"/>
      <c r="I310" s="521"/>
      <c r="J310" s="521"/>
      <c r="K310" s="772"/>
      <c r="L310" s="514"/>
      <c r="M310" s="756"/>
      <c r="N310" s="514"/>
      <c r="O310" s="514"/>
      <c r="P310" s="514"/>
      <c r="Q310" s="514"/>
      <c r="R310" s="514"/>
      <c r="S310" s="514"/>
      <c r="T310" s="756"/>
      <c r="U310" s="514"/>
      <c r="V310" s="514"/>
      <c r="W310" s="514"/>
      <c r="X310" s="514"/>
      <c r="Y310" s="514"/>
      <c r="Z310" s="514"/>
      <c r="AA310" s="756"/>
      <c r="AB310" s="764"/>
      <c r="AC310" s="514"/>
      <c r="AD310" s="514"/>
      <c r="AE310" s="698"/>
      <c r="AF310" s="514"/>
      <c r="AG310" s="514"/>
      <c r="AH310" s="789"/>
      <c r="AI310" s="946">
        <f t="shared" si="15"/>
        <v>0</v>
      </c>
      <c r="AJ310" s="521">
        <v>0</v>
      </c>
      <c r="AK310" s="520">
        <f t="shared" si="16"/>
        <v>0</v>
      </c>
      <c r="AL310" s="695" t="s">
        <v>1634</v>
      </c>
      <c r="AM310" s="669">
        <f t="shared" si="17"/>
        <v>73.5</v>
      </c>
    </row>
    <row r="311" spans="1:39" s="500" customFormat="1" ht="13.35" customHeight="1">
      <c r="A311" s="539" t="s">
        <v>816</v>
      </c>
      <c r="B311" s="539" t="s">
        <v>1257</v>
      </c>
      <c r="C311" s="548" t="s">
        <v>37</v>
      </c>
      <c r="D311" s="519"/>
      <c r="E311" s="520"/>
      <c r="F311" s="726"/>
      <c r="G311" s="520"/>
      <c r="H311" s="520"/>
      <c r="I311" s="521"/>
      <c r="J311" s="521"/>
      <c r="K311" s="772"/>
      <c r="L311" s="514"/>
      <c r="M311" s="756"/>
      <c r="N311" s="514"/>
      <c r="O311" s="514"/>
      <c r="P311" s="514"/>
      <c r="Q311" s="514"/>
      <c r="R311" s="514"/>
      <c r="S311" s="514"/>
      <c r="T311" s="756"/>
      <c r="U311" s="514"/>
      <c r="V311" s="514"/>
      <c r="W311" s="514"/>
      <c r="X311" s="514"/>
      <c r="Y311" s="514"/>
      <c r="Z311" s="514"/>
      <c r="AA311" s="756"/>
      <c r="AB311" s="764"/>
      <c r="AC311" s="514"/>
      <c r="AD311" s="514"/>
      <c r="AE311" s="698"/>
      <c r="AF311" s="514"/>
      <c r="AG311" s="514"/>
      <c r="AH311" s="789"/>
      <c r="AI311" s="946">
        <f t="shared" si="15"/>
        <v>0</v>
      </c>
      <c r="AJ311" s="521">
        <v>0</v>
      </c>
      <c r="AK311" s="520">
        <f t="shared" si="16"/>
        <v>0</v>
      </c>
      <c r="AL311" s="695"/>
      <c r="AM311" s="669">
        <f t="shared" si="17"/>
        <v>0</v>
      </c>
    </row>
    <row r="312" spans="1:39" s="500" customFormat="1" ht="13.35" customHeight="1">
      <c r="A312" s="542" t="s">
        <v>281</v>
      </c>
      <c r="B312" s="542" t="s">
        <v>1258</v>
      </c>
      <c r="C312" s="616"/>
      <c r="D312" s="519"/>
      <c r="E312" s="520"/>
      <c r="F312" s="726"/>
      <c r="G312" s="520"/>
      <c r="H312" s="520"/>
      <c r="I312" s="521"/>
      <c r="J312" s="521"/>
      <c r="K312" s="772"/>
      <c r="L312" s="514"/>
      <c r="M312" s="756"/>
      <c r="N312" s="514"/>
      <c r="O312" s="514"/>
      <c r="P312" s="514"/>
      <c r="Q312" s="514"/>
      <c r="R312" s="514"/>
      <c r="S312" s="514"/>
      <c r="T312" s="756"/>
      <c r="U312" s="514"/>
      <c r="V312" s="514"/>
      <c r="W312" s="514"/>
      <c r="X312" s="514"/>
      <c r="Y312" s="514"/>
      <c r="Z312" s="514"/>
      <c r="AA312" s="756"/>
      <c r="AB312" s="764"/>
      <c r="AC312" s="514"/>
      <c r="AD312" s="514"/>
      <c r="AE312" s="698"/>
      <c r="AF312" s="514"/>
      <c r="AG312" s="514"/>
      <c r="AH312" s="789"/>
      <c r="AI312" s="946">
        <f t="shared" si="15"/>
        <v>0</v>
      </c>
      <c r="AJ312" s="521">
        <v>0</v>
      </c>
      <c r="AK312" s="520">
        <f t="shared" si="16"/>
        <v>0</v>
      </c>
      <c r="AL312" s="695" t="s">
        <v>1635</v>
      </c>
      <c r="AM312" s="669">
        <f t="shared" si="17"/>
        <v>15.8</v>
      </c>
    </row>
    <row r="313" spans="1:39" s="500" customFormat="1" ht="13.35" customHeight="1">
      <c r="A313" s="539" t="s">
        <v>817</v>
      </c>
      <c r="B313" s="539" t="s">
        <v>1259</v>
      </c>
      <c r="C313" s="548" t="s">
        <v>37</v>
      </c>
      <c r="D313" s="519"/>
      <c r="E313" s="520"/>
      <c r="F313" s="726"/>
      <c r="G313" s="520"/>
      <c r="H313" s="520"/>
      <c r="I313" s="521"/>
      <c r="J313" s="521"/>
      <c r="K313" s="772"/>
      <c r="L313" s="514"/>
      <c r="M313" s="756"/>
      <c r="N313" s="514"/>
      <c r="O313" s="514"/>
      <c r="P313" s="514"/>
      <c r="Q313" s="514"/>
      <c r="R313" s="514"/>
      <c r="S313" s="514"/>
      <c r="T313" s="756"/>
      <c r="U313" s="514"/>
      <c r="V313" s="514"/>
      <c r="W313" s="514"/>
      <c r="X313" s="514"/>
      <c r="Y313" s="514"/>
      <c r="Z313" s="514"/>
      <c r="AA313" s="756"/>
      <c r="AB313" s="764"/>
      <c r="AC313" s="514"/>
      <c r="AD313" s="514"/>
      <c r="AE313" s="698"/>
      <c r="AF313" s="514"/>
      <c r="AG313" s="514"/>
      <c r="AH313" s="789"/>
      <c r="AI313" s="946">
        <f t="shared" si="15"/>
        <v>0</v>
      </c>
      <c r="AJ313" s="521">
        <v>0</v>
      </c>
      <c r="AK313" s="520">
        <f t="shared" si="16"/>
        <v>0</v>
      </c>
      <c r="AL313" s="695" t="s">
        <v>1636</v>
      </c>
      <c r="AM313" s="669">
        <f t="shared" si="17"/>
        <v>27.62</v>
      </c>
    </row>
    <row r="314" spans="1:39" s="500" customFormat="1" ht="13.35" customHeight="1">
      <c r="A314" s="539" t="s">
        <v>818</v>
      </c>
      <c r="B314" s="539" t="s">
        <v>1260</v>
      </c>
      <c r="C314" s="548" t="s">
        <v>38</v>
      </c>
      <c r="D314" s="519"/>
      <c r="E314" s="520"/>
      <c r="F314" s="726"/>
      <c r="G314" s="520"/>
      <c r="H314" s="520"/>
      <c r="I314" s="521"/>
      <c r="J314" s="521"/>
      <c r="K314" s="772"/>
      <c r="L314" s="514"/>
      <c r="M314" s="756"/>
      <c r="N314" s="514"/>
      <c r="O314" s="514"/>
      <c r="P314" s="514"/>
      <c r="Q314" s="514"/>
      <c r="R314" s="514"/>
      <c r="S314" s="514"/>
      <c r="T314" s="756"/>
      <c r="U314" s="514"/>
      <c r="V314" s="514"/>
      <c r="W314" s="514"/>
      <c r="X314" s="514"/>
      <c r="Y314" s="514"/>
      <c r="Z314" s="514"/>
      <c r="AA314" s="756"/>
      <c r="AB314" s="764"/>
      <c r="AC314" s="514"/>
      <c r="AD314" s="514"/>
      <c r="AE314" s="698"/>
      <c r="AF314" s="514"/>
      <c r="AG314" s="514"/>
      <c r="AH314" s="789"/>
      <c r="AI314" s="946">
        <f t="shared" si="15"/>
        <v>0</v>
      </c>
      <c r="AJ314" s="521">
        <v>0</v>
      </c>
      <c r="AK314" s="520">
        <f t="shared" si="16"/>
        <v>0</v>
      </c>
      <c r="AL314" s="695" t="s">
        <v>1637</v>
      </c>
      <c r="AM314" s="669">
        <f t="shared" si="17"/>
        <v>30.2</v>
      </c>
    </row>
    <row r="315" spans="1:39" s="500" customFormat="1" ht="13.35" customHeight="1">
      <c r="A315" s="539" t="s">
        <v>819</v>
      </c>
      <c r="B315" s="539" t="s">
        <v>1261</v>
      </c>
      <c r="C315" s="548" t="s">
        <v>38</v>
      </c>
      <c r="D315" s="519"/>
      <c r="E315" s="520"/>
      <c r="F315" s="726"/>
      <c r="G315" s="520"/>
      <c r="H315" s="520"/>
      <c r="I315" s="521"/>
      <c r="J315" s="521"/>
      <c r="K315" s="772"/>
      <c r="L315" s="514"/>
      <c r="M315" s="756"/>
      <c r="N315" s="514"/>
      <c r="O315" s="514"/>
      <c r="P315" s="514"/>
      <c r="Q315" s="514"/>
      <c r="R315" s="514"/>
      <c r="S315" s="514"/>
      <c r="T315" s="756"/>
      <c r="U315" s="514"/>
      <c r="V315" s="514"/>
      <c r="W315" s="514"/>
      <c r="X315" s="514"/>
      <c r="Y315" s="514"/>
      <c r="Z315" s="514"/>
      <c r="AA315" s="756"/>
      <c r="AB315" s="764"/>
      <c r="AC315" s="514"/>
      <c r="AD315" s="514"/>
      <c r="AE315" s="698"/>
      <c r="AF315" s="514"/>
      <c r="AG315" s="514"/>
      <c r="AH315" s="789"/>
      <c r="AI315" s="946">
        <f t="shared" si="15"/>
        <v>0</v>
      </c>
      <c r="AJ315" s="521">
        <v>0</v>
      </c>
      <c r="AK315" s="520">
        <f t="shared" si="16"/>
        <v>0</v>
      </c>
      <c r="AL315" s="695"/>
      <c r="AM315" s="669">
        <f t="shared" si="17"/>
        <v>0</v>
      </c>
    </row>
    <row r="316" spans="1:39" s="500" customFormat="1" ht="13.35" customHeight="1">
      <c r="A316" s="542" t="s">
        <v>282</v>
      </c>
      <c r="B316" s="542" t="s">
        <v>1198</v>
      </c>
      <c r="C316" s="616"/>
      <c r="D316" s="519"/>
      <c r="E316" s="520"/>
      <c r="F316" s="726"/>
      <c r="G316" s="520"/>
      <c r="H316" s="520"/>
      <c r="I316" s="521"/>
      <c r="J316" s="521"/>
      <c r="K316" s="772"/>
      <c r="L316" s="514"/>
      <c r="M316" s="756"/>
      <c r="N316" s="514"/>
      <c r="O316" s="514"/>
      <c r="P316" s="514"/>
      <c r="Q316" s="514"/>
      <c r="R316" s="514"/>
      <c r="S316" s="514"/>
      <c r="T316" s="756"/>
      <c r="U316" s="514"/>
      <c r="V316" s="514"/>
      <c r="W316" s="514"/>
      <c r="X316" s="514"/>
      <c r="Y316" s="514"/>
      <c r="Z316" s="514"/>
      <c r="AA316" s="756"/>
      <c r="AB316" s="764"/>
      <c r="AC316" s="514"/>
      <c r="AD316" s="514"/>
      <c r="AE316" s="698"/>
      <c r="AF316" s="514"/>
      <c r="AG316" s="514"/>
      <c r="AH316" s="789"/>
      <c r="AI316" s="946">
        <f t="shared" si="15"/>
        <v>0</v>
      </c>
      <c r="AJ316" s="521">
        <v>0</v>
      </c>
      <c r="AK316" s="520">
        <f t="shared" si="16"/>
        <v>0</v>
      </c>
      <c r="AL316" s="695" t="s">
        <v>1638</v>
      </c>
      <c r="AM316" s="669">
        <f t="shared" si="17"/>
        <v>90.78</v>
      </c>
    </row>
    <row r="317" spans="1:39" s="500" customFormat="1" ht="13.35" customHeight="1">
      <c r="A317" s="539" t="s">
        <v>820</v>
      </c>
      <c r="B317" s="539" t="s">
        <v>1262</v>
      </c>
      <c r="C317" s="548" t="s">
        <v>37</v>
      </c>
      <c r="D317" s="519"/>
      <c r="E317" s="520"/>
      <c r="F317" s="726"/>
      <c r="G317" s="520"/>
      <c r="H317" s="520"/>
      <c r="I317" s="521"/>
      <c r="J317" s="521"/>
      <c r="K317" s="772"/>
      <c r="L317" s="514"/>
      <c r="M317" s="756"/>
      <c r="N317" s="514"/>
      <c r="O317" s="514"/>
      <c r="P317" s="514"/>
      <c r="Q317" s="514"/>
      <c r="R317" s="514"/>
      <c r="S317" s="514"/>
      <c r="T317" s="756"/>
      <c r="U317" s="514"/>
      <c r="V317" s="514"/>
      <c r="W317" s="514"/>
      <c r="X317" s="514"/>
      <c r="Y317" s="514"/>
      <c r="Z317" s="514"/>
      <c r="AA317" s="756"/>
      <c r="AB317" s="764"/>
      <c r="AC317" s="514"/>
      <c r="AD317" s="514"/>
      <c r="AE317" s="698"/>
      <c r="AF317" s="514"/>
      <c r="AG317" s="514"/>
      <c r="AH317" s="789"/>
      <c r="AI317" s="946">
        <f t="shared" si="15"/>
        <v>0</v>
      </c>
      <c r="AJ317" s="521">
        <v>0</v>
      </c>
      <c r="AK317" s="520">
        <f t="shared" si="16"/>
        <v>0</v>
      </c>
      <c r="AL317" s="695" t="s">
        <v>1639</v>
      </c>
      <c r="AM317" s="669">
        <f t="shared" si="17"/>
        <v>29.18</v>
      </c>
    </row>
    <row r="318" spans="1:39" s="500" customFormat="1" ht="13.35" customHeight="1">
      <c r="A318" s="539" t="s">
        <v>821</v>
      </c>
      <c r="B318" s="539" t="s">
        <v>1263</v>
      </c>
      <c r="C318" s="548" t="s">
        <v>38</v>
      </c>
      <c r="D318" s="519"/>
      <c r="E318" s="520"/>
      <c r="F318" s="726"/>
      <c r="G318" s="520"/>
      <c r="H318" s="520"/>
      <c r="I318" s="521"/>
      <c r="J318" s="521"/>
      <c r="K318" s="772"/>
      <c r="L318" s="514"/>
      <c r="M318" s="756"/>
      <c r="N318" s="514"/>
      <c r="O318" s="514"/>
      <c r="P318" s="514"/>
      <c r="Q318" s="514"/>
      <c r="R318" s="514"/>
      <c r="S318" s="514"/>
      <c r="T318" s="756"/>
      <c r="U318" s="514"/>
      <c r="V318" s="514"/>
      <c r="W318" s="514"/>
      <c r="X318" s="514"/>
      <c r="Y318" s="514"/>
      <c r="Z318" s="514"/>
      <c r="AA318" s="756"/>
      <c r="AB318" s="764"/>
      <c r="AC318" s="514"/>
      <c r="AD318" s="514"/>
      <c r="AE318" s="698"/>
      <c r="AF318" s="514"/>
      <c r="AG318" s="514"/>
      <c r="AH318" s="789"/>
      <c r="AI318" s="946">
        <f t="shared" si="15"/>
        <v>0</v>
      </c>
      <c r="AJ318" s="521">
        <v>0</v>
      </c>
      <c r="AK318" s="520">
        <f t="shared" si="16"/>
        <v>0</v>
      </c>
      <c r="AL318" s="695"/>
      <c r="AM318" s="669">
        <f t="shared" si="17"/>
        <v>0</v>
      </c>
    </row>
    <row r="319" spans="1:39" s="500" customFormat="1" ht="13.35" customHeight="1">
      <c r="A319" s="542" t="s">
        <v>822</v>
      </c>
      <c r="B319" s="542" t="s">
        <v>1264</v>
      </c>
      <c r="C319" s="616"/>
      <c r="D319" s="519"/>
      <c r="E319" s="520"/>
      <c r="F319" s="726"/>
      <c r="G319" s="520"/>
      <c r="H319" s="520"/>
      <c r="I319" s="521"/>
      <c r="J319" s="521"/>
      <c r="K319" s="772"/>
      <c r="L319" s="514"/>
      <c r="M319" s="756"/>
      <c r="N319" s="514"/>
      <c r="O319" s="514"/>
      <c r="P319" s="514"/>
      <c r="Q319" s="514"/>
      <c r="R319" s="514"/>
      <c r="S319" s="514"/>
      <c r="T319" s="756"/>
      <c r="U319" s="514"/>
      <c r="V319" s="514"/>
      <c r="W319" s="514"/>
      <c r="X319" s="514"/>
      <c r="Y319" s="514"/>
      <c r="Z319" s="514"/>
      <c r="AA319" s="756"/>
      <c r="AB319" s="764"/>
      <c r="AC319" s="514"/>
      <c r="AD319" s="514"/>
      <c r="AE319" s="698"/>
      <c r="AF319" s="514"/>
      <c r="AG319" s="514"/>
      <c r="AH319" s="789"/>
      <c r="AI319" s="946">
        <f t="shared" si="15"/>
        <v>0</v>
      </c>
      <c r="AJ319" s="521">
        <v>0</v>
      </c>
      <c r="AK319" s="520">
        <f t="shared" si="16"/>
        <v>0</v>
      </c>
      <c r="AL319" s="695" t="s">
        <v>1640</v>
      </c>
      <c r="AM319" s="669">
        <f t="shared" si="17"/>
        <v>6.3</v>
      </c>
    </row>
    <row r="320" spans="1:39" s="500" customFormat="1" ht="13.35" customHeight="1">
      <c r="A320" s="539" t="s">
        <v>823</v>
      </c>
      <c r="B320" s="539" t="s">
        <v>1265</v>
      </c>
      <c r="C320" s="548" t="s">
        <v>37</v>
      </c>
      <c r="D320" s="519"/>
      <c r="E320" s="520"/>
      <c r="F320" s="726"/>
      <c r="G320" s="520"/>
      <c r="H320" s="520"/>
      <c r="I320" s="521"/>
      <c r="J320" s="521"/>
      <c r="K320" s="772"/>
      <c r="L320" s="514"/>
      <c r="M320" s="756"/>
      <c r="N320" s="514"/>
      <c r="O320" s="514"/>
      <c r="P320" s="514"/>
      <c r="Q320" s="514"/>
      <c r="R320" s="514"/>
      <c r="S320" s="514"/>
      <c r="T320" s="756"/>
      <c r="U320" s="514"/>
      <c r="V320" s="514"/>
      <c r="W320" s="514"/>
      <c r="X320" s="514"/>
      <c r="Y320" s="514"/>
      <c r="Z320" s="514"/>
      <c r="AA320" s="756"/>
      <c r="AB320" s="764"/>
      <c r="AC320" s="514"/>
      <c r="AD320" s="514"/>
      <c r="AE320" s="698"/>
      <c r="AF320" s="514"/>
      <c r="AG320" s="514"/>
      <c r="AH320" s="789"/>
      <c r="AI320" s="946">
        <f t="shared" si="15"/>
        <v>0</v>
      </c>
      <c r="AJ320" s="521">
        <v>0</v>
      </c>
      <c r="AK320" s="520">
        <f t="shared" si="16"/>
        <v>0</v>
      </c>
      <c r="AL320" s="695"/>
      <c r="AM320" s="669">
        <f t="shared" si="17"/>
        <v>0</v>
      </c>
    </row>
    <row r="321" spans="1:39" s="500" customFormat="1" ht="13.35" customHeight="1">
      <c r="A321" s="542" t="s">
        <v>824</v>
      </c>
      <c r="B321" s="542" t="s">
        <v>1266</v>
      </c>
      <c r="C321" s="616"/>
      <c r="D321" s="519"/>
      <c r="E321" s="520"/>
      <c r="F321" s="726"/>
      <c r="G321" s="520"/>
      <c r="H321" s="520"/>
      <c r="I321" s="521"/>
      <c r="J321" s="521"/>
      <c r="K321" s="772"/>
      <c r="L321" s="514"/>
      <c r="M321" s="756"/>
      <c r="N321" s="514"/>
      <c r="O321" s="514"/>
      <c r="P321" s="514"/>
      <c r="Q321" s="514"/>
      <c r="R321" s="514"/>
      <c r="S321" s="514"/>
      <c r="T321" s="756"/>
      <c r="U321" s="514"/>
      <c r="V321" s="514"/>
      <c r="W321" s="514"/>
      <c r="X321" s="514"/>
      <c r="Y321" s="514"/>
      <c r="Z321" s="514"/>
      <c r="AA321" s="756"/>
      <c r="AB321" s="764"/>
      <c r="AC321" s="514"/>
      <c r="AD321" s="514"/>
      <c r="AE321" s="698"/>
      <c r="AF321" s="514"/>
      <c r="AG321" s="514"/>
      <c r="AH321" s="789"/>
      <c r="AI321" s="946">
        <f t="shared" si="15"/>
        <v>0</v>
      </c>
      <c r="AJ321" s="521">
        <v>0</v>
      </c>
      <c r="AK321" s="520">
        <f t="shared" si="16"/>
        <v>0</v>
      </c>
      <c r="AL321" s="695" t="s">
        <v>1641</v>
      </c>
      <c r="AM321" s="669">
        <f t="shared" si="17"/>
        <v>9</v>
      </c>
    </row>
    <row r="322" spans="1:39" s="500" customFormat="1" ht="13.35" customHeight="1">
      <c r="A322" s="539" t="s">
        <v>825</v>
      </c>
      <c r="B322" s="539" t="s">
        <v>1267</v>
      </c>
      <c r="C322" s="548" t="s">
        <v>1451</v>
      </c>
      <c r="D322" s="519"/>
      <c r="E322" s="520"/>
      <c r="F322" s="726"/>
      <c r="G322" s="520"/>
      <c r="H322" s="520"/>
      <c r="I322" s="521"/>
      <c r="J322" s="521"/>
      <c r="K322" s="772"/>
      <c r="L322" s="514"/>
      <c r="M322" s="756"/>
      <c r="N322" s="514"/>
      <c r="O322" s="514"/>
      <c r="P322" s="514"/>
      <c r="Q322" s="514"/>
      <c r="R322" s="514"/>
      <c r="S322" s="514"/>
      <c r="T322" s="756"/>
      <c r="U322" s="514"/>
      <c r="V322" s="514"/>
      <c r="W322" s="514"/>
      <c r="X322" s="514"/>
      <c r="Y322" s="514"/>
      <c r="Z322" s="514"/>
      <c r="AA322" s="756"/>
      <c r="AB322" s="764"/>
      <c r="AC322" s="514"/>
      <c r="AD322" s="514"/>
      <c r="AE322" s="698"/>
      <c r="AF322" s="514"/>
      <c r="AG322" s="514"/>
      <c r="AH322" s="789"/>
      <c r="AI322" s="946">
        <f t="shared" si="15"/>
        <v>0</v>
      </c>
      <c r="AJ322" s="521">
        <v>0</v>
      </c>
      <c r="AK322" s="520">
        <f t="shared" si="16"/>
        <v>0</v>
      </c>
      <c r="AL322" s="695" t="s">
        <v>1618</v>
      </c>
      <c r="AM322" s="669">
        <f t="shared" si="17"/>
        <v>3</v>
      </c>
    </row>
    <row r="323" spans="1:39" s="500" customFormat="1" ht="13.35" customHeight="1">
      <c r="A323" s="539" t="s">
        <v>826</v>
      </c>
      <c r="B323" s="539" t="s">
        <v>1268</v>
      </c>
      <c r="C323" s="548" t="s">
        <v>36</v>
      </c>
      <c r="D323" s="519"/>
      <c r="E323" s="520"/>
      <c r="F323" s="726"/>
      <c r="G323" s="520"/>
      <c r="H323" s="520"/>
      <c r="I323" s="521"/>
      <c r="J323" s="521"/>
      <c r="K323" s="772"/>
      <c r="L323" s="514"/>
      <c r="M323" s="756"/>
      <c r="N323" s="514"/>
      <c r="O323" s="514"/>
      <c r="P323" s="514"/>
      <c r="Q323" s="514"/>
      <c r="R323" s="514"/>
      <c r="S323" s="514"/>
      <c r="T323" s="756"/>
      <c r="U323" s="514"/>
      <c r="V323" s="514"/>
      <c r="W323" s="514"/>
      <c r="X323" s="514"/>
      <c r="Y323" s="514"/>
      <c r="Z323" s="514"/>
      <c r="AA323" s="756"/>
      <c r="AB323" s="764"/>
      <c r="AC323" s="514"/>
      <c r="AD323" s="514"/>
      <c r="AE323" s="698"/>
      <c r="AF323" s="514"/>
      <c r="AG323" s="514"/>
      <c r="AH323" s="789"/>
      <c r="AI323" s="946">
        <f t="shared" si="15"/>
        <v>0</v>
      </c>
      <c r="AJ323" s="521">
        <v>0</v>
      </c>
      <c r="AK323" s="520">
        <f t="shared" si="16"/>
        <v>0</v>
      </c>
      <c r="AL323" s="695"/>
      <c r="AM323" s="669">
        <f t="shared" si="17"/>
        <v>0</v>
      </c>
    </row>
    <row r="324" spans="1:39" s="500" customFormat="1" ht="13.35" customHeight="1">
      <c r="A324" s="542" t="s">
        <v>827</v>
      </c>
      <c r="B324" s="542" t="s">
        <v>1269</v>
      </c>
      <c r="C324" s="616"/>
      <c r="D324" s="519"/>
      <c r="E324" s="520"/>
      <c r="F324" s="726"/>
      <c r="G324" s="520"/>
      <c r="H324" s="520"/>
      <c r="I324" s="521"/>
      <c r="J324" s="521"/>
      <c r="K324" s="772"/>
      <c r="L324" s="514"/>
      <c r="M324" s="756"/>
      <c r="N324" s="514"/>
      <c r="O324" s="514"/>
      <c r="P324" s="514"/>
      <c r="Q324" s="514"/>
      <c r="R324" s="514"/>
      <c r="S324" s="514"/>
      <c r="T324" s="756"/>
      <c r="U324" s="514"/>
      <c r="V324" s="514"/>
      <c r="W324" s="514"/>
      <c r="X324" s="514"/>
      <c r="Y324" s="514"/>
      <c r="Z324" s="514"/>
      <c r="AA324" s="756"/>
      <c r="AB324" s="764"/>
      <c r="AC324" s="514"/>
      <c r="AD324" s="514"/>
      <c r="AE324" s="698"/>
      <c r="AF324" s="514"/>
      <c r="AG324" s="514"/>
      <c r="AH324" s="789"/>
      <c r="AI324" s="946">
        <f t="shared" si="15"/>
        <v>0</v>
      </c>
      <c r="AJ324" s="521">
        <v>0</v>
      </c>
      <c r="AK324" s="520">
        <f t="shared" si="16"/>
        <v>0</v>
      </c>
      <c r="AL324" s="695" t="s">
        <v>1642</v>
      </c>
      <c r="AM324" s="669">
        <f t="shared" si="17"/>
        <v>19.149999999999999</v>
      </c>
    </row>
    <row r="325" spans="1:39" s="500" customFormat="1" ht="13.35" customHeight="1">
      <c r="A325" s="539" t="s">
        <v>828</v>
      </c>
      <c r="B325" s="539" t="s">
        <v>1270</v>
      </c>
      <c r="C325" s="548" t="s">
        <v>37</v>
      </c>
      <c r="D325" s="519"/>
      <c r="E325" s="520"/>
      <c r="F325" s="726"/>
      <c r="G325" s="520"/>
      <c r="H325" s="520"/>
      <c r="I325" s="521"/>
      <c r="J325" s="521"/>
      <c r="K325" s="772"/>
      <c r="L325" s="514"/>
      <c r="M325" s="756"/>
      <c r="N325" s="514"/>
      <c r="O325" s="514"/>
      <c r="P325" s="514"/>
      <c r="Q325" s="514"/>
      <c r="R325" s="514"/>
      <c r="S325" s="514"/>
      <c r="T325" s="756"/>
      <c r="U325" s="514"/>
      <c r="V325" s="514"/>
      <c r="W325" s="514"/>
      <c r="X325" s="514"/>
      <c r="Y325" s="514"/>
      <c r="Z325" s="514"/>
      <c r="AA325" s="756"/>
      <c r="AB325" s="764"/>
      <c r="AC325" s="514"/>
      <c r="AD325" s="514"/>
      <c r="AE325" s="698"/>
      <c r="AF325" s="514"/>
      <c r="AG325" s="514"/>
      <c r="AH325" s="789"/>
      <c r="AI325" s="946">
        <f t="shared" si="15"/>
        <v>0</v>
      </c>
      <c r="AJ325" s="521">
        <v>0</v>
      </c>
      <c r="AK325" s="520">
        <f t="shared" si="16"/>
        <v>0</v>
      </c>
      <c r="AL325" s="695" t="s">
        <v>1643</v>
      </c>
      <c r="AM325" s="669">
        <f t="shared" si="17"/>
        <v>1.5</v>
      </c>
    </row>
    <row r="326" spans="1:39" s="500" customFormat="1" ht="13.35" customHeight="1">
      <c r="A326" s="539" t="s">
        <v>829</v>
      </c>
      <c r="B326" s="539" t="s">
        <v>1271</v>
      </c>
      <c r="C326" s="548" t="s">
        <v>37</v>
      </c>
      <c r="D326" s="519"/>
      <c r="E326" s="520"/>
      <c r="F326" s="726"/>
      <c r="G326" s="520"/>
      <c r="H326" s="520"/>
      <c r="I326" s="521"/>
      <c r="J326" s="521"/>
      <c r="K326" s="772"/>
      <c r="L326" s="514"/>
      <c r="M326" s="756"/>
      <c r="N326" s="514"/>
      <c r="O326" s="514"/>
      <c r="P326" s="514"/>
      <c r="Q326" s="514"/>
      <c r="R326" s="514"/>
      <c r="S326" s="514"/>
      <c r="T326" s="756"/>
      <c r="U326" s="514"/>
      <c r="V326" s="514"/>
      <c r="W326" s="514"/>
      <c r="X326" s="514"/>
      <c r="Y326" s="514"/>
      <c r="Z326" s="514"/>
      <c r="AA326" s="756"/>
      <c r="AB326" s="764"/>
      <c r="AC326" s="514"/>
      <c r="AD326" s="514"/>
      <c r="AE326" s="698"/>
      <c r="AF326" s="514"/>
      <c r="AG326" s="514"/>
      <c r="AH326" s="789"/>
      <c r="AI326" s="946">
        <f t="shared" si="15"/>
        <v>0</v>
      </c>
      <c r="AJ326" s="521">
        <v>0</v>
      </c>
      <c r="AK326" s="520">
        <f t="shared" si="16"/>
        <v>0</v>
      </c>
      <c r="AL326" s="695"/>
      <c r="AM326" s="669">
        <f t="shared" si="17"/>
        <v>0</v>
      </c>
    </row>
    <row r="327" spans="1:39" s="500" customFormat="1" ht="13.35" customHeight="1">
      <c r="A327" s="542" t="s">
        <v>830</v>
      </c>
      <c r="B327" s="542" t="s">
        <v>1272</v>
      </c>
      <c r="C327" s="616"/>
      <c r="D327" s="519"/>
      <c r="E327" s="520"/>
      <c r="F327" s="726"/>
      <c r="G327" s="520"/>
      <c r="H327" s="520"/>
      <c r="I327" s="521"/>
      <c r="J327" s="521"/>
      <c r="K327" s="772"/>
      <c r="L327" s="514"/>
      <c r="M327" s="756"/>
      <c r="N327" s="514"/>
      <c r="O327" s="514"/>
      <c r="P327" s="514"/>
      <c r="Q327" s="514"/>
      <c r="R327" s="514"/>
      <c r="S327" s="514"/>
      <c r="T327" s="756"/>
      <c r="U327" s="514"/>
      <c r="V327" s="514"/>
      <c r="W327" s="514"/>
      <c r="X327" s="514"/>
      <c r="Y327" s="514"/>
      <c r="Z327" s="514"/>
      <c r="AA327" s="756"/>
      <c r="AB327" s="764"/>
      <c r="AC327" s="514"/>
      <c r="AD327" s="514"/>
      <c r="AE327" s="698"/>
      <c r="AF327" s="514"/>
      <c r="AG327" s="514"/>
      <c r="AH327" s="789"/>
      <c r="AI327" s="946">
        <f t="shared" si="15"/>
        <v>0</v>
      </c>
      <c r="AJ327" s="521">
        <v>0</v>
      </c>
      <c r="AK327" s="520">
        <f t="shared" si="16"/>
        <v>0</v>
      </c>
      <c r="AL327" s="695" t="s">
        <v>1628</v>
      </c>
      <c r="AM327" s="669">
        <f t="shared" si="17"/>
        <v>90.62</v>
      </c>
    </row>
    <row r="328" spans="1:39" s="500" customFormat="1" ht="13.35" customHeight="1">
      <c r="A328" s="539" t="s">
        <v>831</v>
      </c>
      <c r="B328" s="539" t="s">
        <v>1273</v>
      </c>
      <c r="C328" s="548" t="s">
        <v>37</v>
      </c>
      <c r="D328" s="519"/>
      <c r="E328" s="520"/>
      <c r="F328" s="726"/>
      <c r="G328" s="520"/>
      <c r="H328" s="520"/>
      <c r="I328" s="521"/>
      <c r="J328" s="521"/>
      <c r="K328" s="772"/>
      <c r="L328" s="514"/>
      <c r="M328" s="756"/>
      <c r="N328" s="514"/>
      <c r="O328" s="514"/>
      <c r="P328" s="514"/>
      <c r="Q328" s="514"/>
      <c r="R328" s="514"/>
      <c r="S328" s="514"/>
      <c r="T328" s="756"/>
      <c r="U328" s="514"/>
      <c r="V328" s="514"/>
      <c r="W328" s="514"/>
      <c r="X328" s="514"/>
      <c r="Y328" s="514"/>
      <c r="Z328" s="514"/>
      <c r="AA328" s="756"/>
      <c r="AB328" s="764"/>
      <c r="AC328" s="514"/>
      <c r="AD328" s="514"/>
      <c r="AE328" s="698"/>
      <c r="AF328" s="514"/>
      <c r="AG328" s="514"/>
      <c r="AH328" s="789"/>
      <c r="AI328" s="946">
        <f t="shared" si="15"/>
        <v>0</v>
      </c>
      <c r="AJ328" s="521">
        <v>0</v>
      </c>
      <c r="AK328" s="520">
        <f t="shared" si="16"/>
        <v>0</v>
      </c>
      <c r="AL328" s="695" t="s">
        <v>1621</v>
      </c>
      <c r="AM328" s="669">
        <f t="shared" si="17"/>
        <v>123.1</v>
      </c>
    </row>
    <row r="329" spans="1:39" s="500" customFormat="1" ht="13.35" customHeight="1">
      <c r="A329" s="539" t="s">
        <v>832</v>
      </c>
      <c r="B329" s="539" t="s">
        <v>1274</v>
      </c>
      <c r="C329" s="548" t="s">
        <v>37</v>
      </c>
      <c r="D329" s="519"/>
      <c r="E329" s="520"/>
      <c r="F329" s="726"/>
      <c r="G329" s="520"/>
      <c r="H329" s="520"/>
      <c r="I329" s="521"/>
      <c r="J329" s="521"/>
      <c r="K329" s="772"/>
      <c r="L329" s="514"/>
      <c r="M329" s="756"/>
      <c r="N329" s="514"/>
      <c r="O329" s="514"/>
      <c r="P329" s="514"/>
      <c r="Q329" s="514"/>
      <c r="R329" s="514"/>
      <c r="S329" s="514"/>
      <c r="T329" s="756"/>
      <c r="U329" s="514"/>
      <c r="V329" s="514"/>
      <c r="W329" s="514"/>
      <c r="X329" s="514"/>
      <c r="Y329" s="514"/>
      <c r="Z329" s="514"/>
      <c r="AA329" s="756"/>
      <c r="AB329" s="764"/>
      <c r="AC329" s="514"/>
      <c r="AD329" s="514"/>
      <c r="AE329" s="698"/>
      <c r="AF329" s="514"/>
      <c r="AG329" s="514"/>
      <c r="AH329" s="789"/>
      <c r="AI329" s="946">
        <f t="shared" si="15"/>
        <v>0</v>
      </c>
      <c r="AJ329" s="521">
        <v>0</v>
      </c>
      <c r="AK329" s="520">
        <f t="shared" si="16"/>
        <v>0</v>
      </c>
      <c r="AL329" s="695" t="s">
        <v>1622</v>
      </c>
      <c r="AM329" s="669">
        <f t="shared" si="17"/>
        <v>54.38</v>
      </c>
    </row>
    <row r="330" spans="1:39" s="500" customFormat="1" ht="13.35" customHeight="1">
      <c r="A330" s="539" t="s">
        <v>833</v>
      </c>
      <c r="B330" s="539" t="s">
        <v>1275</v>
      </c>
      <c r="C330" s="548" t="s">
        <v>37</v>
      </c>
      <c r="D330" s="519"/>
      <c r="E330" s="520"/>
      <c r="F330" s="726"/>
      <c r="G330" s="520"/>
      <c r="H330" s="520"/>
      <c r="I330" s="521"/>
      <c r="J330" s="521"/>
      <c r="K330" s="772"/>
      <c r="L330" s="514"/>
      <c r="M330" s="756"/>
      <c r="N330" s="514"/>
      <c r="O330" s="514"/>
      <c r="P330" s="514"/>
      <c r="Q330" s="514"/>
      <c r="R330" s="514"/>
      <c r="S330" s="514"/>
      <c r="T330" s="756"/>
      <c r="U330" s="514"/>
      <c r="V330" s="514"/>
      <c r="W330" s="514"/>
      <c r="X330" s="514"/>
      <c r="Y330" s="514"/>
      <c r="Z330" s="514"/>
      <c r="AA330" s="756"/>
      <c r="AB330" s="764"/>
      <c r="AC330" s="514"/>
      <c r="AD330" s="514"/>
      <c r="AE330" s="698"/>
      <c r="AF330" s="514"/>
      <c r="AG330" s="514"/>
      <c r="AH330" s="789"/>
      <c r="AI330" s="946">
        <f t="shared" si="15"/>
        <v>0</v>
      </c>
      <c r="AJ330" s="521">
        <v>0</v>
      </c>
      <c r="AK330" s="520">
        <f t="shared" si="16"/>
        <v>0</v>
      </c>
      <c r="AL330" s="695" t="s">
        <v>1623</v>
      </c>
      <c r="AM330" s="669">
        <f t="shared" si="17"/>
        <v>34.44</v>
      </c>
    </row>
    <row r="331" spans="1:39" s="500" customFormat="1" ht="13.35" customHeight="1">
      <c r="A331" s="539" t="s">
        <v>834</v>
      </c>
      <c r="B331" s="539" t="s">
        <v>1276</v>
      </c>
      <c r="C331" s="548" t="s">
        <v>37</v>
      </c>
      <c r="D331" s="519"/>
      <c r="E331" s="520"/>
      <c r="F331" s="726"/>
      <c r="G331" s="520"/>
      <c r="H331" s="520"/>
      <c r="I331" s="521"/>
      <c r="J331" s="521"/>
      <c r="K331" s="772"/>
      <c r="L331" s="514"/>
      <c r="M331" s="756"/>
      <c r="N331" s="514"/>
      <c r="O331" s="514"/>
      <c r="P331" s="514"/>
      <c r="Q331" s="514"/>
      <c r="R331" s="514"/>
      <c r="S331" s="514"/>
      <c r="T331" s="756"/>
      <c r="U331" s="514"/>
      <c r="V331" s="514"/>
      <c r="W331" s="514"/>
      <c r="X331" s="514"/>
      <c r="Y331" s="514"/>
      <c r="Z331" s="514"/>
      <c r="AA331" s="756"/>
      <c r="AB331" s="764"/>
      <c r="AC331" s="514"/>
      <c r="AD331" s="514"/>
      <c r="AE331" s="698"/>
      <c r="AF331" s="514"/>
      <c r="AG331" s="514"/>
      <c r="AH331" s="789"/>
      <c r="AI331" s="946">
        <f t="shared" si="15"/>
        <v>0</v>
      </c>
      <c r="AJ331" s="521">
        <v>0</v>
      </c>
      <c r="AK331" s="520">
        <f t="shared" si="16"/>
        <v>0</v>
      </c>
      <c r="AL331" s="695" t="s">
        <v>1624</v>
      </c>
      <c r="AM331" s="669">
        <f t="shared" si="17"/>
        <v>30.39</v>
      </c>
    </row>
    <row r="332" spans="1:39" s="500" customFormat="1" ht="13.35" customHeight="1">
      <c r="A332" s="539" t="s">
        <v>835</v>
      </c>
      <c r="B332" s="539" t="s">
        <v>1277</v>
      </c>
      <c r="C332" s="548" t="s">
        <v>37</v>
      </c>
      <c r="D332" s="519"/>
      <c r="E332" s="520"/>
      <c r="F332" s="726"/>
      <c r="G332" s="520"/>
      <c r="H332" s="520"/>
      <c r="I332" s="521"/>
      <c r="J332" s="521"/>
      <c r="K332" s="772"/>
      <c r="L332" s="514"/>
      <c r="M332" s="756"/>
      <c r="N332" s="514"/>
      <c r="O332" s="514"/>
      <c r="P332" s="514"/>
      <c r="Q332" s="514"/>
      <c r="R332" s="514"/>
      <c r="S332" s="514"/>
      <c r="T332" s="756"/>
      <c r="U332" s="514"/>
      <c r="V332" s="514"/>
      <c r="W332" s="514"/>
      <c r="X332" s="514"/>
      <c r="Y332" s="514"/>
      <c r="Z332" s="514"/>
      <c r="AA332" s="756"/>
      <c r="AB332" s="764"/>
      <c r="AC332" s="514"/>
      <c r="AD332" s="514"/>
      <c r="AE332" s="698"/>
      <c r="AF332" s="514"/>
      <c r="AG332" s="514"/>
      <c r="AH332" s="789"/>
      <c r="AI332" s="946">
        <f t="shared" ref="AI332:AI395" si="18">ROUND((SUM(D332:AH332)),2)</f>
        <v>0</v>
      </c>
      <c r="AJ332" s="521">
        <v>0</v>
      </c>
      <c r="AK332" s="520">
        <f t="shared" si="16"/>
        <v>0</v>
      </c>
      <c r="AL332" s="695" t="s">
        <v>1635</v>
      </c>
      <c r="AM332" s="669">
        <f t="shared" si="17"/>
        <v>15.8</v>
      </c>
    </row>
    <row r="333" spans="1:39" s="500" customFormat="1" ht="13.35" customHeight="1">
      <c r="A333" s="539" t="s">
        <v>836</v>
      </c>
      <c r="B333" s="539" t="s">
        <v>1278</v>
      </c>
      <c r="C333" s="548" t="s">
        <v>37</v>
      </c>
      <c r="D333" s="519"/>
      <c r="E333" s="520"/>
      <c r="F333" s="726"/>
      <c r="G333" s="520"/>
      <c r="H333" s="520"/>
      <c r="I333" s="521"/>
      <c r="J333" s="521"/>
      <c r="K333" s="772"/>
      <c r="L333" s="514"/>
      <c r="M333" s="756"/>
      <c r="N333" s="514"/>
      <c r="O333" s="514"/>
      <c r="P333" s="514"/>
      <c r="Q333" s="514"/>
      <c r="R333" s="514"/>
      <c r="S333" s="514"/>
      <c r="T333" s="756"/>
      <c r="U333" s="514"/>
      <c r="V333" s="514"/>
      <c r="W333" s="514"/>
      <c r="X333" s="514"/>
      <c r="Y333" s="514"/>
      <c r="Z333" s="514"/>
      <c r="AA333" s="756"/>
      <c r="AB333" s="764"/>
      <c r="AC333" s="514"/>
      <c r="AD333" s="514"/>
      <c r="AE333" s="698"/>
      <c r="AF333" s="514"/>
      <c r="AG333" s="514"/>
      <c r="AH333" s="789"/>
      <c r="AI333" s="946">
        <f t="shared" si="18"/>
        <v>0</v>
      </c>
      <c r="AJ333" s="521">
        <v>0</v>
      </c>
      <c r="AK333" s="520">
        <f t="shared" si="16"/>
        <v>0</v>
      </c>
      <c r="AL333" s="695" t="s">
        <v>1644</v>
      </c>
      <c r="AM333" s="669">
        <f t="shared" si="17"/>
        <v>12.6</v>
      </c>
    </row>
    <row r="334" spans="1:39" s="500" customFormat="1" ht="13.35" customHeight="1">
      <c r="A334" s="539" t="s">
        <v>837</v>
      </c>
      <c r="B334" s="539" t="s">
        <v>1279</v>
      </c>
      <c r="C334" s="548" t="s">
        <v>37</v>
      </c>
      <c r="D334" s="519"/>
      <c r="E334" s="520"/>
      <c r="F334" s="726"/>
      <c r="G334" s="520"/>
      <c r="H334" s="520"/>
      <c r="I334" s="521"/>
      <c r="J334" s="521"/>
      <c r="K334" s="772"/>
      <c r="L334" s="514"/>
      <c r="M334" s="756"/>
      <c r="N334" s="514"/>
      <c r="O334" s="514"/>
      <c r="P334" s="514"/>
      <c r="Q334" s="514"/>
      <c r="R334" s="514"/>
      <c r="S334" s="514"/>
      <c r="T334" s="756"/>
      <c r="U334" s="514"/>
      <c r="V334" s="514"/>
      <c r="W334" s="514"/>
      <c r="X334" s="514"/>
      <c r="Y334" s="514"/>
      <c r="Z334" s="514"/>
      <c r="AA334" s="756"/>
      <c r="AB334" s="764"/>
      <c r="AC334" s="514"/>
      <c r="AD334" s="514"/>
      <c r="AE334" s="698"/>
      <c r="AF334" s="514"/>
      <c r="AG334" s="514"/>
      <c r="AH334" s="789"/>
      <c r="AI334" s="946">
        <f t="shared" si="18"/>
        <v>0</v>
      </c>
      <c r="AJ334" s="521">
        <v>0</v>
      </c>
      <c r="AK334" s="520">
        <f t="shared" si="16"/>
        <v>0</v>
      </c>
      <c r="AL334" s="695"/>
      <c r="AM334" s="669">
        <f t="shared" si="17"/>
        <v>0</v>
      </c>
    </row>
    <row r="335" spans="1:39" s="500" customFormat="1" ht="13.35" customHeight="1">
      <c r="A335" s="542" t="s">
        <v>838</v>
      </c>
      <c r="B335" s="542" t="s">
        <v>1280</v>
      </c>
      <c r="C335" s="616"/>
      <c r="D335" s="519"/>
      <c r="E335" s="520"/>
      <c r="F335" s="726"/>
      <c r="G335" s="520"/>
      <c r="H335" s="520"/>
      <c r="I335" s="521"/>
      <c r="J335" s="521"/>
      <c r="K335" s="772"/>
      <c r="L335" s="514"/>
      <c r="M335" s="756"/>
      <c r="N335" s="514"/>
      <c r="O335" s="514"/>
      <c r="P335" s="514"/>
      <c r="Q335" s="514"/>
      <c r="R335" s="514"/>
      <c r="S335" s="514"/>
      <c r="T335" s="756"/>
      <c r="U335" s="514"/>
      <c r="V335" s="514"/>
      <c r="W335" s="514"/>
      <c r="X335" s="514"/>
      <c r="Y335" s="514"/>
      <c r="Z335" s="514"/>
      <c r="AA335" s="756"/>
      <c r="AB335" s="764"/>
      <c r="AC335" s="514"/>
      <c r="AD335" s="514"/>
      <c r="AE335" s="698"/>
      <c r="AF335" s="514"/>
      <c r="AG335" s="514"/>
      <c r="AH335" s="789"/>
      <c r="AI335" s="946">
        <f t="shared" si="18"/>
        <v>0</v>
      </c>
      <c r="AJ335" s="521">
        <v>0</v>
      </c>
      <c r="AK335" s="520">
        <f t="shared" si="16"/>
        <v>0</v>
      </c>
      <c r="AL335" s="695" t="s">
        <v>1641</v>
      </c>
      <c r="AM335" s="669">
        <f t="shared" si="17"/>
        <v>9</v>
      </c>
    </row>
    <row r="336" spans="1:39" s="500" customFormat="1" ht="13.35" customHeight="1">
      <c r="A336" s="539" t="s">
        <v>839</v>
      </c>
      <c r="B336" s="539" t="s">
        <v>1281</v>
      </c>
      <c r="C336" s="548" t="s">
        <v>1450</v>
      </c>
      <c r="D336" s="519"/>
      <c r="E336" s="520"/>
      <c r="F336" s="726"/>
      <c r="G336" s="520"/>
      <c r="H336" s="520"/>
      <c r="I336" s="521"/>
      <c r="J336" s="521"/>
      <c r="K336" s="772"/>
      <c r="L336" s="514"/>
      <c r="M336" s="756"/>
      <c r="N336" s="514"/>
      <c r="O336" s="514"/>
      <c r="P336" s="514"/>
      <c r="Q336" s="514"/>
      <c r="R336" s="514"/>
      <c r="S336" s="514"/>
      <c r="T336" s="756"/>
      <c r="U336" s="514"/>
      <c r="V336" s="514"/>
      <c r="W336" s="514"/>
      <c r="X336" s="514"/>
      <c r="Y336" s="514"/>
      <c r="Z336" s="514"/>
      <c r="AA336" s="756"/>
      <c r="AB336" s="764"/>
      <c r="AC336" s="514"/>
      <c r="AD336" s="514"/>
      <c r="AE336" s="698"/>
      <c r="AF336" s="514"/>
      <c r="AG336" s="514"/>
      <c r="AH336" s="789"/>
      <c r="AI336" s="946">
        <f t="shared" si="18"/>
        <v>0</v>
      </c>
      <c r="AJ336" s="521">
        <v>0</v>
      </c>
      <c r="AK336" s="520">
        <f t="shared" si="16"/>
        <v>0</v>
      </c>
      <c r="AL336" s="695" t="s">
        <v>1455</v>
      </c>
      <c r="AM336" s="669">
        <f t="shared" si="17"/>
        <v>1</v>
      </c>
    </row>
    <row r="337" spans="1:39" s="500" customFormat="1" ht="13.35" customHeight="1">
      <c r="A337" s="539" t="s">
        <v>840</v>
      </c>
      <c r="B337" s="539" t="s">
        <v>1282</v>
      </c>
      <c r="C337" s="548" t="s">
        <v>64</v>
      </c>
      <c r="D337" s="519"/>
      <c r="E337" s="520"/>
      <c r="F337" s="726"/>
      <c r="G337" s="520"/>
      <c r="H337" s="520"/>
      <c r="I337" s="521"/>
      <c r="J337" s="521"/>
      <c r="K337" s="772"/>
      <c r="L337" s="514"/>
      <c r="M337" s="756"/>
      <c r="N337" s="514"/>
      <c r="O337" s="514"/>
      <c r="P337" s="514"/>
      <c r="Q337" s="514"/>
      <c r="R337" s="514"/>
      <c r="S337" s="514"/>
      <c r="T337" s="756"/>
      <c r="U337" s="514"/>
      <c r="V337" s="514"/>
      <c r="W337" s="514"/>
      <c r="X337" s="514"/>
      <c r="Y337" s="514"/>
      <c r="Z337" s="514"/>
      <c r="AA337" s="756"/>
      <c r="AB337" s="764"/>
      <c r="AC337" s="514"/>
      <c r="AD337" s="514"/>
      <c r="AE337" s="698"/>
      <c r="AF337" s="514"/>
      <c r="AG337" s="514"/>
      <c r="AH337" s="789"/>
      <c r="AI337" s="946">
        <f t="shared" si="18"/>
        <v>0</v>
      </c>
      <c r="AJ337" s="521">
        <v>0</v>
      </c>
      <c r="AK337" s="520">
        <f t="shared" si="16"/>
        <v>0</v>
      </c>
      <c r="AL337" s="695" t="s">
        <v>1645</v>
      </c>
      <c r="AM337" s="669">
        <f t="shared" si="17"/>
        <v>21.02</v>
      </c>
    </row>
    <row r="338" spans="1:39" s="500" customFormat="1" ht="13.35" customHeight="1">
      <c r="A338" s="539" t="s">
        <v>841</v>
      </c>
      <c r="B338" s="539" t="s">
        <v>1283</v>
      </c>
      <c r="C338" s="548" t="s">
        <v>37</v>
      </c>
      <c r="D338" s="519"/>
      <c r="E338" s="520"/>
      <c r="F338" s="726"/>
      <c r="G338" s="520"/>
      <c r="H338" s="520"/>
      <c r="I338" s="521"/>
      <c r="J338" s="521"/>
      <c r="K338" s="772"/>
      <c r="L338" s="514"/>
      <c r="M338" s="756"/>
      <c r="N338" s="514"/>
      <c r="O338" s="514"/>
      <c r="P338" s="514"/>
      <c r="Q338" s="514"/>
      <c r="R338" s="514"/>
      <c r="S338" s="514"/>
      <c r="T338" s="756"/>
      <c r="U338" s="514"/>
      <c r="V338" s="514"/>
      <c r="W338" s="514"/>
      <c r="X338" s="514"/>
      <c r="Y338" s="514"/>
      <c r="Z338" s="514"/>
      <c r="AA338" s="756"/>
      <c r="AB338" s="764"/>
      <c r="AC338" s="514"/>
      <c r="AD338" s="514"/>
      <c r="AE338" s="698"/>
      <c r="AF338" s="514"/>
      <c r="AG338" s="514"/>
      <c r="AH338" s="789"/>
      <c r="AI338" s="946">
        <f t="shared" si="18"/>
        <v>0</v>
      </c>
      <c r="AJ338" s="521">
        <v>0</v>
      </c>
      <c r="AK338" s="520">
        <f t="shared" si="16"/>
        <v>0</v>
      </c>
      <c r="AL338" s="695"/>
      <c r="AM338" s="669">
        <f t="shared" si="17"/>
        <v>0</v>
      </c>
    </row>
    <row r="339" spans="1:39" s="500" customFormat="1" ht="13.35" customHeight="1">
      <c r="A339" s="440" t="s">
        <v>475</v>
      </c>
      <c r="B339" s="543" t="s">
        <v>1284</v>
      </c>
      <c r="C339" s="616"/>
      <c r="D339" s="519"/>
      <c r="E339" s="520"/>
      <c r="F339" s="726"/>
      <c r="G339" s="520"/>
      <c r="H339" s="520"/>
      <c r="I339" s="521"/>
      <c r="J339" s="521"/>
      <c r="K339" s="772"/>
      <c r="L339" s="514"/>
      <c r="M339" s="756"/>
      <c r="N339" s="514"/>
      <c r="O339" s="514"/>
      <c r="P339" s="514"/>
      <c r="Q339" s="514"/>
      <c r="R339" s="514"/>
      <c r="S339" s="514"/>
      <c r="T339" s="756"/>
      <c r="U339" s="514"/>
      <c r="V339" s="514"/>
      <c r="W339" s="514"/>
      <c r="X339" s="514"/>
      <c r="Y339" s="514"/>
      <c r="Z339" s="514"/>
      <c r="AA339" s="756"/>
      <c r="AB339" s="764"/>
      <c r="AC339" s="514"/>
      <c r="AD339" s="514"/>
      <c r="AE339" s="698"/>
      <c r="AF339" s="514"/>
      <c r="AG339" s="514"/>
      <c r="AH339" s="789"/>
      <c r="AI339" s="946">
        <f t="shared" si="18"/>
        <v>0</v>
      </c>
      <c r="AJ339" s="521">
        <v>0</v>
      </c>
      <c r="AK339" s="520">
        <f t="shared" si="16"/>
        <v>0</v>
      </c>
      <c r="AL339" s="695"/>
      <c r="AM339" s="669">
        <f t="shared" si="17"/>
        <v>0</v>
      </c>
    </row>
    <row r="340" spans="1:39" s="500" customFormat="1" ht="13.35" customHeight="1">
      <c r="A340" s="542" t="s">
        <v>476</v>
      </c>
      <c r="B340" s="542" t="s">
        <v>1236</v>
      </c>
      <c r="C340" s="616"/>
      <c r="D340" s="519"/>
      <c r="E340" s="520"/>
      <c r="F340" s="726"/>
      <c r="G340" s="520"/>
      <c r="H340" s="520"/>
      <c r="I340" s="521"/>
      <c r="J340" s="521"/>
      <c r="K340" s="772"/>
      <c r="L340" s="514"/>
      <c r="M340" s="756"/>
      <c r="N340" s="514"/>
      <c r="O340" s="514"/>
      <c r="P340" s="514"/>
      <c r="Q340" s="514"/>
      <c r="R340" s="514"/>
      <c r="S340" s="514"/>
      <c r="T340" s="756"/>
      <c r="U340" s="514"/>
      <c r="V340" s="514"/>
      <c r="W340" s="514"/>
      <c r="X340" s="514"/>
      <c r="Y340" s="514"/>
      <c r="Z340" s="514"/>
      <c r="AA340" s="756"/>
      <c r="AB340" s="764"/>
      <c r="AC340" s="514"/>
      <c r="AD340" s="514"/>
      <c r="AE340" s="698"/>
      <c r="AF340" s="514"/>
      <c r="AG340" s="514"/>
      <c r="AH340" s="789"/>
      <c r="AI340" s="946">
        <f t="shared" si="18"/>
        <v>0</v>
      </c>
      <c r="AJ340" s="521">
        <v>0</v>
      </c>
      <c r="AK340" s="520">
        <f t="shared" ref="AK340:AK403" si="19">AI340+AJ340</f>
        <v>0</v>
      </c>
      <c r="AL340" s="695" t="s">
        <v>1646</v>
      </c>
      <c r="AM340" s="669">
        <f t="shared" ref="AM340:AM403" si="20">AL340-AK340</f>
        <v>73.59</v>
      </c>
    </row>
    <row r="341" spans="1:39" s="500" customFormat="1" ht="13.35" customHeight="1">
      <c r="A341" s="539" t="s">
        <v>842</v>
      </c>
      <c r="B341" s="539" t="s">
        <v>1237</v>
      </c>
      <c r="C341" s="548" t="s">
        <v>37</v>
      </c>
      <c r="D341" s="519"/>
      <c r="E341" s="520"/>
      <c r="F341" s="726"/>
      <c r="G341" s="520"/>
      <c r="H341" s="520"/>
      <c r="I341" s="521"/>
      <c r="J341" s="521"/>
      <c r="K341" s="772"/>
      <c r="L341" s="514"/>
      <c r="M341" s="756"/>
      <c r="N341" s="514"/>
      <c r="O341" s="514"/>
      <c r="P341" s="514"/>
      <c r="Q341" s="514"/>
      <c r="R341" s="514"/>
      <c r="S341" s="514"/>
      <c r="T341" s="756"/>
      <c r="U341" s="514"/>
      <c r="V341" s="514"/>
      <c r="W341" s="514"/>
      <c r="X341" s="514"/>
      <c r="Y341" s="514"/>
      <c r="Z341" s="514"/>
      <c r="AA341" s="756"/>
      <c r="AB341" s="764"/>
      <c r="AC341" s="514"/>
      <c r="AD341" s="514"/>
      <c r="AE341" s="698"/>
      <c r="AF341" s="514"/>
      <c r="AG341" s="514"/>
      <c r="AH341" s="789"/>
      <c r="AI341" s="946">
        <f t="shared" si="18"/>
        <v>0</v>
      </c>
      <c r="AJ341" s="521">
        <v>0</v>
      </c>
      <c r="AK341" s="520">
        <f t="shared" si="19"/>
        <v>0</v>
      </c>
      <c r="AL341" s="695" t="s">
        <v>1647</v>
      </c>
      <c r="AM341" s="669">
        <f t="shared" si="20"/>
        <v>6.44</v>
      </c>
    </row>
    <row r="342" spans="1:39" s="500" customFormat="1" ht="13.35" customHeight="1">
      <c r="A342" s="539" t="s">
        <v>843</v>
      </c>
      <c r="B342" s="539" t="s">
        <v>1238</v>
      </c>
      <c r="C342" s="548" t="s">
        <v>37</v>
      </c>
      <c r="D342" s="519"/>
      <c r="E342" s="520"/>
      <c r="F342" s="726"/>
      <c r="G342" s="520"/>
      <c r="H342" s="520"/>
      <c r="I342" s="521"/>
      <c r="J342" s="521"/>
      <c r="K342" s="772"/>
      <c r="L342" s="514"/>
      <c r="M342" s="756"/>
      <c r="N342" s="514"/>
      <c r="O342" s="514"/>
      <c r="P342" s="514"/>
      <c r="Q342" s="514"/>
      <c r="R342" s="514"/>
      <c r="S342" s="514"/>
      <c r="T342" s="756"/>
      <c r="U342" s="514"/>
      <c r="V342" s="514"/>
      <c r="W342" s="514"/>
      <c r="X342" s="514"/>
      <c r="Y342" s="514"/>
      <c r="Z342" s="514"/>
      <c r="AA342" s="756"/>
      <c r="AB342" s="764"/>
      <c r="AC342" s="514"/>
      <c r="AD342" s="514"/>
      <c r="AE342" s="698"/>
      <c r="AF342" s="514"/>
      <c r="AG342" s="514"/>
      <c r="AH342" s="789"/>
      <c r="AI342" s="946">
        <f t="shared" si="18"/>
        <v>0</v>
      </c>
      <c r="AJ342" s="521">
        <v>0</v>
      </c>
      <c r="AK342" s="520">
        <f t="shared" si="19"/>
        <v>0</v>
      </c>
      <c r="AL342" s="695"/>
      <c r="AM342" s="669">
        <f t="shared" si="20"/>
        <v>0</v>
      </c>
    </row>
    <row r="343" spans="1:39" s="500" customFormat="1" ht="13.35" customHeight="1">
      <c r="A343" s="542" t="s">
        <v>477</v>
      </c>
      <c r="B343" s="542" t="s">
        <v>1239</v>
      </c>
      <c r="C343" s="616"/>
      <c r="D343" s="519"/>
      <c r="E343" s="520"/>
      <c r="F343" s="726"/>
      <c r="G343" s="520"/>
      <c r="H343" s="520"/>
      <c r="I343" s="521"/>
      <c r="J343" s="521"/>
      <c r="K343" s="772"/>
      <c r="L343" s="514"/>
      <c r="M343" s="756"/>
      <c r="N343" s="514"/>
      <c r="O343" s="514"/>
      <c r="P343" s="514"/>
      <c r="Q343" s="514"/>
      <c r="R343" s="514"/>
      <c r="S343" s="514"/>
      <c r="T343" s="756"/>
      <c r="U343" s="514"/>
      <c r="V343" s="514"/>
      <c r="W343" s="514"/>
      <c r="X343" s="514"/>
      <c r="Y343" s="514"/>
      <c r="Z343" s="514"/>
      <c r="AA343" s="756"/>
      <c r="AB343" s="764"/>
      <c r="AC343" s="514"/>
      <c r="AD343" s="514"/>
      <c r="AE343" s="698"/>
      <c r="AF343" s="514"/>
      <c r="AG343" s="514"/>
      <c r="AH343" s="789"/>
      <c r="AI343" s="946">
        <f t="shared" si="18"/>
        <v>0</v>
      </c>
      <c r="AJ343" s="521">
        <v>0</v>
      </c>
      <c r="AK343" s="520">
        <f t="shared" si="19"/>
        <v>0</v>
      </c>
      <c r="AL343" s="695" t="s">
        <v>1648</v>
      </c>
      <c r="AM343" s="669">
        <f t="shared" si="20"/>
        <v>99.99</v>
      </c>
    </row>
    <row r="344" spans="1:39" s="500" customFormat="1" ht="13.35" customHeight="1">
      <c r="A344" s="539" t="s">
        <v>844</v>
      </c>
      <c r="B344" s="539" t="s">
        <v>1240</v>
      </c>
      <c r="C344" s="548" t="s">
        <v>37</v>
      </c>
      <c r="D344" s="519"/>
      <c r="E344" s="520"/>
      <c r="F344" s="726"/>
      <c r="G344" s="520"/>
      <c r="H344" s="520"/>
      <c r="I344" s="521"/>
      <c r="J344" s="521"/>
      <c r="K344" s="772"/>
      <c r="L344" s="514"/>
      <c r="M344" s="756"/>
      <c r="N344" s="514"/>
      <c r="O344" s="514"/>
      <c r="P344" s="514"/>
      <c r="Q344" s="514"/>
      <c r="R344" s="514"/>
      <c r="S344" s="514"/>
      <c r="T344" s="756"/>
      <c r="U344" s="514"/>
      <c r="V344" s="514"/>
      <c r="W344" s="514"/>
      <c r="X344" s="514"/>
      <c r="Y344" s="514"/>
      <c r="Z344" s="514"/>
      <c r="AA344" s="756"/>
      <c r="AB344" s="764"/>
      <c r="AC344" s="514"/>
      <c r="AD344" s="514"/>
      <c r="AE344" s="698"/>
      <c r="AF344" s="514"/>
      <c r="AG344" s="522"/>
      <c r="AH344" s="789"/>
      <c r="AI344" s="946">
        <f t="shared" si="18"/>
        <v>0</v>
      </c>
      <c r="AJ344" s="521">
        <v>0</v>
      </c>
      <c r="AK344" s="520">
        <f t="shared" si="19"/>
        <v>0</v>
      </c>
      <c r="AL344" s="695" t="s">
        <v>1649</v>
      </c>
      <c r="AM344" s="669">
        <f t="shared" si="20"/>
        <v>60.07</v>
      </c>
    </row>
    <row r="345" spans="1:39" s="500" customFormat="1" ht="13.35" customHeight="1">
      <c r="A345" s="539" t="s">
        <v>845</v>
      </c>
      <c r="B345" s="539" t="s">
        <v>1241</v>
      </c>
      <c r="C345" s="548" t="s">
        <v>37</v>
      </c>
      <c r="D345" s="519"/>
      <c r="E345" s="520"/>
      <c r="F345" s="726"/>
      <c r="G345" s="520"/>
      <c r="H345" s="520"/>
      <c r="I345" s="521"/>
      <c r="J345" s="521"/>
      <c r="K345" s="772"/>
      <c r="L345" s="514"/>
      <c r="M345" s="756"/>
      <c r="N345" s="514"/>
      <c r="O345" s="514"/>
      <c r="P345" s="514"/>
      <c r="Q345" s="514"/>
      <c r="R345" s="514"/>
      <c r="S345" s="514"/>
      <c r="T345" s="756"/>
      <c r="U345" s="514"/>
      <c r="V345" s="514"/>
      <c r="W345" s="514"/>
      <c r="X345" s="514"/>
      <c r="Y345" s="514"/>
      <c r="Z345" s="514"/>
      <c r="AA345" s="756"/>
      <c r="AB345" s="764"/>
      <c r="AC345" s="514"/>
      <c r="AD345" s="514"/>
      <c r="AE345" s="698"/>
      <c r="AF345" s="514"/>
      <c r="AG345" s="514"/>
      <c r="AH345" s="789"/>
      <c r="AI345" s="946">
        <f t="shared" si="18"/>
        <v>0</v>
      </c>
      <c r="AJ345" s="521">
        <v>0</v>
      </c>
      <c r="AK345" s="520">
        <f t="shared" si="19"/>
        <v>0</v>
      </c>
      <c r="AL345" s="695" t="s">
        <v>1650</v>
      </c>
      <c r="AM345" s="669">
        <f t="shared" si="20"/>
        <v>33.6</v>
      </c>
    </row>
    <row r="346" spans="1:39" s="500" customFormat="1" ht="13.35" customHeight="1">
      <c r="A346" s="539" t="s">
        <v>846</v>
      </c>
      <c r="B346" s="539" t="s">
        <v>1242</v>
      </c>
      <c r="C346" s="548" t="s">
        <v>37</v>
      </c>
      <c r="D346" s="519"/>
      <c r="E346" s="520"/>
      <c r="F346" s="726"/>
      <c r="G346" s="520"/>
      <c r="H346" s="520"/>
      <c r="I346" s="521"/>
      <c r="J346" s="521"/>
      <c r="K346" s="772"/>
      <c r="L346" s="514"/>
      <c r="M346" s="756"/>
      <c r="N346" s="514"/>
      <c r="O346" s="514"/>
      <c r="P346" s="514"/>
      <c r="Q346" s="514"/>
      <c r="R346" s="514"/>
      <c r="S346" s="514"/>
      <c r="T346" s="756"/>
      <c r="U346" s="514"/>
      <c r="V346" s="514"/>
      <c r="W346" s="514"/>
      <c r="X346" s="514"/>
      <c r="Y346" s="514"/>
      <c r="Z346" s="514"/>
      <c r="AA346" s="756"/>
      <c r="AB346" s="764"/>
      <c r="AC346" s="514"/>
      <c r="AD346" s="514"/>
      <c r="AE346" s="698"/>
      <c r="AF346" s="514"/>
      <c r="AG346" s="514"/>
      <c r="AH346" s="789"/>
      <c r="AI346" s="946">
        <f t="shared" si="18"/>
        <v>0</v>
      </c>
      <c r="AJ346" s="521">
        <v>0</v>
      </c>
      <c r="AK346" s="520">
        <f t="shared" si="19"/>
        <v>0</v>
      </c>
      <c r="AL346" s="695" t="s">
        <v>1651</v>
      </c>
      <c r="AM346" s="669">
        <f t="shared" si="20"/>
        <v>27.42</v>
      </c>
    </row>
    <row r="347" spans="1:39" s="500" customFormat="1" ht="13.35" customHeight="1">
      <c r="A347" s="539" t="s">
        <v>847</v>
      </c>
      <c r="B347" s="539" t="s">
        <v>1243</v>
      </c>
      <c r="C347" s="548" t="s">
        <v>37</v>
      </c>
      <c r="D347" s="519"/>
      <c r="E347" s="520"/>
      <c r="F347" s="726"/>
      <c r="G347" s="520"/>
      <c r="H347" s="520"/>
      <c r="I347" s="521"/>
      <c r="J347" s="521"/>
      <c r="K347" s="772"/>
      <c r="L347" s="514"/>
      <c r="M347" s="756"/>
      <c r="N347" s="514"/>
      <c r="O347" s="514"/>
      <c r="P347" s="514"/>
      <c r="Q347" s="514"/>
      <c r="R347" s="514"/>
      <c r="S347" s="514"/>
      <c r="T347" s="756"/>
      <c r="U347" s="514"/>
      <c r="V347" s="514"/>
      <c r="W347" s="514"/>
      <c r="X347" s="514"/>
      <c r="Y347" s="514"/>
      <c r="Z347" s="514"/>
      <c r="AA347" s="756"/>
      <c r="AB347" s="764"/>
      <c r="AC347" s="514"/>
      <c r="AD347" s="514"/>
      <c r="AE347" s="698"/>
      <c r="AF347" s="514"/>
      <c r="AG347" s="514"/>
      <c r="AH347" s="789"/>
      <c r="AI347" s="946">
        <f t="shared" si="18"/>
        <v>0</v>
      </c>
      <c r="AJ347" s="521">
        <v>0</v>
      </c>
      <c r="AK347" s="520">
        <f t="shared" si="19"/>
        <v>0</v>
      </c>
      <c r="AL347" s="695" t="s">
        <v>1652</v>
      </c>
      <c r="AM347" s="669">
        <f t="shared" si="20"/>
        <v>79.459999999999994</v>
      </c>
    </row>
    <row r="348" spans="1:39" s="500" customFormat="1" ht="13.35" customHeight="1">
      <c r="A348" s="539" t="s">
        <v>848</v>
      </c>
      <c r="B348" s="539" t="s">
        <v>1244</v>
      </c>
      <c r="C348" s="548" t="s">
        <v>37</v>
      </c>
      <c r="D348" s="519"/>
      <c r="E348" s="520"/>
      <c r="F348" s="726"/>
      <c r="G348" s="520"/>
      <c r="H348" s="520"/>
      <c r="I348" s="521"/>
      <c r="J348" s="521"/>
      <c r="K348" s="772"/>
      <c r="L348" s="514"/>
      <c r="M348" s="756"/>
      <c r="N348" s="514"/>
      <c r="O348" s="514"/>
      <c r="P348" s="514"/>
      <c r="Q348" s="514"/>
      <c r="R348" s="514"/>
      <c r="S348" s="514"/>
      <c r="T348" s="756"/>
      <c r="U348" s="514"/>
      <c r="V348" s="514"/>
      <c r="W348" s="514"/>
      <c r="X348" s="514"/>
      <c r="Y348" s="514"/>
      <c r="Z348" s="514"/>
      <c r="AA348" s="756"/>
      <c r="AB348" s="764"/>
      <c r="AC348" s="514"/>
      <c r="AD348" s="514"/>
      <c r="AE348" s="698"/>
      <c r="AF348" s="514"/>
      <c r="AG348" s="514"/>
      <c r="AH348" s="789"/>
      <c r="AI348" s="946">
        <f t="shared" si="18"/>
        <v>0</v>
      </c>
      <c r="AJ348" s="521">
        <v>0</v>
      </c>
      <c r="AK348" s="520">
        <f t="shared" si="19"/>
        <v>0</v>
      </c>
      <c r="AL348" s="695" t="s">
        <v>1653</v>
      </c>
      <c r="AM348" s="669">
        <f t="shared" si="20"/>
        <v>80.02</v>
      </c>
    </row>
    <row r="349" spans="1:39" s="500" customFormat="1" ht="13.35" customHeight="1">
      <c r="A349" s="539" t="s">
        <v>849</v>
      </c>
      <c r="B349" s="539" t="s">
        <v>1245</v>
      </c>
      <c r="C349" s="548" t="s">
        <v>38</v>
      </c>
      <c r="D349" s="519"/>
      <c r="E349" s="520"/>
      <c r="F349" s="726"/>
      <c r="G349" s="520"/>
      <c r="H349" s="520"/>
      <c r="I349" s="521"/>
      <c r="J349" s="521"/>
      <c r="K349" s="772"/>
      <c r="L349" s="514"/>
      <c r="M349" s="756"/>
      <c r="N349" s="514"/>
      <c r="O349" s="514"/>
      <c r="P349" s="514"/>
      <c r="Q349" s="514"/>
      <c r="R349" s="514"/>
      <c r="S349" s="514"/>
      <c r="T349" s="756"/>
      <c r="U349" s="514"/>
      <c r="V349" s="514"/>
      <c r="W349" s="514"/>
      <c r="X349" s="514"/>
      <c r="Y349" s="514"/>
      <c r="Z349" s="514"/>
      <c r="AA349" s="756"/>
      <c r="AB349" s="764"/>
      <c r="AC349" s="514"/>
      <c r="AD349" s="514"/>
      <c r="AE349" s="698"/>
      <c r="AF349" s="514"/>
      <c r="AG349" s="514"/>
      <c r="AH349" s="789"/>
      <c r="AI349" s="946">
        <f t="shared" si="18"/>
        <v>0</v>
      </c>
      <c r="AJ349" s="521">
        <v>0</v>
      </c>
      <c r="AK349" s="520">
        <f t="shared" si="19"/>
        <v>0</v>
      </c>
      <c r="AL349" s="695" t="s">
        <v>1654</v>
      </c>
      <c r="AM349" s="669">
        <f t="shared" si="20"/>
        <v>245.52</v>
      </c>
    </row>
    <row r="350" spans="1:39" s="500" customFormat="1" ht="13.35" customHeight="1">
      <c r="A350" s="539" t="s">
        <v>850</v>
      </c>
      <c r="B350" s="539" t="s">
        <v>1246</v>
      </c>
      <c r="C350" s="548" t="s">
        <v>38</v>
      </c>
      <c r="D350" s="519"/>
      <c r="E350" s="520"/>
      <c r="F350" s="726"/>
      <c r="G350" s="520"/>
      <c r="H350" s="520"/>
      <c r="I350" s="521"/>
      <c r="J350" s="521"/>
      <c r="K350" s="772"/>
      <c r="L350" s="514"/>
      <c r="M350" s="756"/>
      <c r="N350" s="514"/>
      <c r="O350" s="514"/>
      <c r="P350" s="514"/>
      <c r="Q350" s="514"/>
      <c r="R350" s="514"/>
      <c r="S350" s="514"/>
      <c r="T350" s="756"/>
      <c r="U350" s="514"/>
      <c r="V350" s="514"/>
      <c r="W350" s="514"/>
      <c r="X350" s="514"/>
      <c r="Y350" s="514"/>
      <c r="Z350" s="514"/>
      <c r="AA350" s="756"/>
      <c r="AB350" s="764"/>
      <c r="AC350" s="514"/>
      <c r="AD350" s="514"/>
      <c r="AE350" s="698"/>
      <c r="AF350" s="514"/>
      <c r="AG350" s="514"/>
      <c r="AH350" s="789"/>
      <c r="AI350" s="946">
        <f t="shared" si="18"/>
        <v>0</v>
      </c>
      <c r="AJ350" s="521">
        <v>0</v>
      </c>
      <c r="AK350" s="520">
        <f t="shared" si="19"/>
        <v>0</v>
      </c>
      <c r="AL350" s="695"/>
      <c r="AM350" s="669">
        <f t="shared" si="20"/>
        <v>0</v>
      </c>
    </row>
    <row r="351" spans="1:39" s="500" customFormat="1" ht="13.35" customHeight="1">
      <c r="A351" s="542" t="s">
        <v>478</v>
      </c>
      <c r="B351" s="542" t="s">
        <v>1247</v>
      </c>
      <c r="C351" s="616"/>
      <c r="D351" s="519"/>
      <c r="E351" s="520"/>
      <c r="F351" s="726"/>
      <c r="G351" s="520"/>
      <c r="H351" s="520"/>
      <c r="I351" s="521"/>
      <c r="J351" s="521"/>
      <c r="K351" s="772"/>
      <c r="L351" s="514"/>
      <c r="M351" s="756"/>
      <c r="N351" s="514"/>
      <c r="O351" s="514"/>
      <c r="P351" s="514"/>
      <c r="Q351" s="514"/>
      <c r="R351" s="514"/>
      <c r="S351" s="514"/>
      <c r="T351" s="756"/>
      <c r="U351" s="514"/>
      <c r="V351" s="514"/>
      <c r="W351" s="514"/>
      <c r="X351" s="514"/>
      <c r="Y351" s="514"/>
      <c r="Z351" s="514"/>
      <c r="AA351" s="756"/>
      <c r="AB351" s="764"/>
      <c r="AC351" s="514"/>
      <c r="AD351" s="514"/>
      <c r="AE351" s="698"/>
      <c r="AF351" s="514"/>
      <c r="AG351" s="514"/>
      <c r="AH351" s="789"/>
      <c r="AI351" s="946">
        <f t="shared" si="18"/>
        <v>0</v>
      </c>
      <c r="AJ351" s="521">
        <v>0</v>
      </c>
      <c r="AK351" s="520">
        <f t="shared" si="19"/>
        <v>0</v>
      </c>
      <c r="AL351" s="695" t="s">
        <v>1655</v>
      </c>
      <c r="AM351" s="669">
        <f t="shared" si="20"/>
        <v>65.92</v>
      </c>
    </row>
    <row r="352" spans="1:39" s="500" customFormat="1" ht="13.35" customHeight="1">
      <c r="A352" s="539" t="s">
        <v>851</v>
      </c>
      <c r="B352" s="539" t="s">
        <v>1248</v>
      </c>
      <c r="C352" s="548" t="s">
        <v>37</v>
      </c>
      <c r="D352" s="519"/>
      <c r="E352" s="520"/>
      <c r="F352" s="726"/>
      <c r="G352" s="520"/>
      <c r="H352" s="520"/>
      <c r="I352" s="521"/>
      <c r="J352" s="521"/>
      <c r="K352" s="772"/>
      <c r="L352" s="514"/>
      <c r="M352" s="756"/>
      <c r="N352" s="514"/>
      <c r="O352" s="514"/>
      <c r="P352" s="514"/>
      <c r="Q352" s="514"/>
      <c r="R352" s="514"/>
      <c r="S352" s="514"/>
      <c r="T352" s="756"/>
      <c r="U352" s="514"/>
      <c r="V352" s="514"/>
      <c r="W352" s="514"/>
      <c r="X352" s="514"/>
      <c r="Y352" s="514"/>
      <c r="Z352" s="514"/>
      <c r="AA352" s="756"/>
      <c r="AB352" s="764"/>
      <c r="AC352" s="514"/>
      <c r="AD352" s="514"/>
      <c r="AE352" s="698"/>
      <c r="AF352" s="514"/>
      <c r="AG352" s="514"/>
      <c r="AH352" s="789"/>
      <c r="AI352" s="946">
        <f t="shared" si="18"/>
        <v>0</v>
      </c>
      <c r="AJ352" s="521">
        <v>0</v>
      </c>
      <c r="AK352" s="520">
        <f t="shared" si="19"/>
        <v>0</v>
      </c>
      <c r="AL352" s="695"/>
      <c r="AM352" s="669">
        <f t="shared" si="20"/>
        <v>0</v>
      </c>
    </row>
    <row r="353" spans="1:39" s="500" customFormat="1" ht="13.35" customHeight="1">
      <c r="A353" s="542" t="s">
        <v>479</v>
      </c>
      <c r="B353" s="542" t="s">
        <v>1249</v>
      </c>
      <c r="C353" s="616"/>
      <c r="D353" s="519"/>
      <c r="E353" s="520"/>
      <c r="F353" s="726"/>
      <c r="G353" s="520"/>
      <c r="H353" s="520"/>
      <c r="I353" s="521"/>
      <c r="J353" s="521"/>
      <c r="K353" s="772"/>
      <c r="L353" s="514"/>
      <c r="M353" s="756"/>
      <c r="N353" s="514"/>
      <c r="O353" s="514"/>
      <c r="P353" s="514"/>
      <c r="Q353" s="514"/>
      <c r="R353" s="514"/>
      <c r="S353" s="514"/>
      <c r="T353" s="756"/>
      <c r="U353" s="514"/>
      <c r="V353" s="514"/>
      <c r="W353" s="514"/>
      <c r="X353" s="514"/>
      <c r="Y353" s="514"/>
      <c r="Z353" s="514"/>
      <c r="AA353" s="756"/>
      <c r="AB353" s="764"/>
      <c r="AC353" s="514"/>
      <c r="AD353" s="514"/>
      <c r="AE353" s="698"/>
      <c r="AF353" s="514"/>
      <c r="AG353" s="514"/>
      <c r="AH353" s="789"/>
      <c r="AI353" s="946">
        <f t="shared" si="18"/>
        <v>0</v>
      </c>
      <c r="AJ353" s="521">
        <v>0</v>
      </c>
      <c r="AK353" s="520">
        <f t="shared" si="19"/>
        <v>0</v>
      </c>
      <c r="AL353" s="695" t="s">
        <v>1656</v>
      </c>
      <c r="AM353" s="669">
        <f t="shared" si="20"/>
        <v>57.88</v>
      </c>
    </row>
    <row r="354" spans="1:39" s="500" customFormat="1" ht="13.35" customHeight="1">
      <c r="A354" s="539" t="s">
        <v>852</v>
      </c>
      <c r="B354" s="539" t="s">
        <v>1250</v>
      </c>
      <c r="C354" s="548" t="s">
        <v>37</v>
      </c>
      <c r="D354" s="519"/>
      <c r="E354" s="520"/>
      <c r="F354" s="726"/>
      <c r="G354" s="520"/>
      <c r="H354" s="520"/>
      <c r="I354" s="521"/>
      <c r="J354" s="521"/>
      <c r="K354" s="772"/>
      <c r="L354" s="514"/>
      <c r="M354" s="756"/>
      <c r="N354" s="514"/>
      <c r="O354" s="514"/>
      <c r="P354" s="514"/>
      <c r="Q354" s="514"/>
      <c r="R354" s="514"/>
      <c r="S354" s="514"/>
      <c r="T354" s="756"/>
      <c r="U354" s="514"/>
      <c r="V354" s="514"/>
      <c r="W354" s="514"/>
      <c r="X354" s="514"/>
      <c r="Y354" s="514"/>
      <c r="Z354" s="514"/>
      <c r="AA354" s="756"/>
      <c r="AB354" s="764"/>
      <c r="AC354" s="514"/>
      <c r="AD354" s="514"/>
      <c r="AE354" s="698"/>
      <c r="AF354" s="514"/>
      <c r="AG354" s="514"/>
      <c r="AH354" s="789"/>
      <c r="AI354" s="946">
        <f t="shared" si="18"/>
        <v>0</v>
      </c>
      <c r="AJ354" s="521">
        <v>0</v>
      </c>
      <c r="AK354" s="520">
        <f t="shared" si="19"/>
        <v>0</v>
      </c>
      <c r="AL354" s="695" t="s">
        <v>1657</v>
      </c>
      <c r="AM354" s="669">
        <f t="shared" si="20"/>
        <v>40.200000000000003</v>
      </c>
    </row>
    <row r="355" spans="1:39" s="500" customFormat="1" ht="13.35" customHeight="1">
      <c r="A355" s="539" t="s">
        <v>853</v>
      </c>
      <c r="B355" s="539" t="s">
        <v>1285</v>
      </c>
      <c r="C355" s="548" t="s">
        <v>37</v>
      </c>
      <c r="D355" s="519"/>
      <c r="E355" s="520"/>
      <c r="F355" s="726"/>
      <c r="G355" s="520"/>
      <c r="H355" s="520"/>
      <c r="I355" s="521"/>
      <c r="J355" s="521"/>
      <c r="K355" s="772"/>
      <c r="L355" s="514"/>
      <c r="M355" s="756"/>
      <c r="N355" s="514"/>
      <c r="O355" s="514"/>
      <c r="P355" s="514"/>
      <c r="Q355" s="514"/>
      <c r="R355" s="514"/>
      <c r="S355" s="514"/>
      <c r="T355" s="756"/>
      <c r="U355" s="514"/>
      <c r="V355" s="514"/>
      <c r="W355" s="514"/>
      <c r="X355" s="514"/>
      <c r="Y355" s="514"/>
      <c r="Z355" s="514"/>
      <c r="AA355" s="756"/>
      <c r="AB355" s="764"/>
      <c r="AC355" s="514"/>
      <c r="AD355" s="514"/>
      <c r="AE355" s="698"/>
      <c r="AF355" s="514"/>
      <c r="AG355" s="514"/>
      <c r="AH355" s="789"/>
      <c r="AI355" s="946">
        <f t="shared" si="18"/>
        <v>0</v>
      </c>
      <c r="AJ355" s="521">
        <v>0</v>
      </c>
      <c r="AK355" s="520">
        <f t="shared" si="19"/>
        <v>0</v>
      </c>
      <c r="AL355" s="695" t="s">
        <v>1658</v>
      </c>
      <c r="AM355" s="669">
        <f t="shared" si="20"/>
        <v>5.72</v>
      </c>
    </row>
    <row r="356" spans="1:39" s="500" customFormat="1" ht="13.35" customHeight="1">
      <c r="A356" s="539" t="s">
        <v>854</v>
      </c>
      <c r="B356" s="539" t="s">
        <v>1251</v>
      </c>
      <c r="C356" s="548" t="s">
        <v>37</v>
      </c>
      <c r="D356" s="519"/>
      <c r="E356" s="520"/>
      <c r="F356" s="726"/>
      <c r="G356" s="520"/>
      <c r="H356" s="520"/>
      <c r="I356" s="521"/>
      <c r="J356" s="521"/>
      <c r="K356" s="772"/>
      <c r="L356" s="514"/>
      <c r="M356" s="756"/>
      <c r="N356" s="514"/>
      <c r="O356" s="514"/>
      <c r="P356" s="514"/>
      <c r="Q356" s="514"/>
      <c r="R356" s="514"/>
      <c r="S356" s="514"/>
      <c r="T356" s="756"/>
      <c r="U356" s="514"/>
      <c r="V356" s="514"/>
      <c r="W356" s="514"/>
      <c r="X356" s="514"/>
      <c r="Y356" s="514"/>
      <c r="Z356" s="514"/>
      <c r="AA356" s="756"/>
      <c r="AB356" s="764"/>
      <c r="AC356" s="514"/>
      <c r="AD356" s="514"/>
      <c r="AE356" s="698"/>
      <c r="AF356" s="514"/>
      <c r="AG356" s="514"/>
      <c r="AH356" s="789"/>
      <c r="AI356" s="946">
        <f t="shared" si="18"/>
        <v>0</v>
      </c>
      <c r="AJ356" s="521">
        <v>0</v>
      </c>
      <c r="AK356" s="520">
        <f t="shared" si="19"/>
        <v>0</v>
      </c>
      <c r="AL356" s="695" t="s">
        <v>1659</v>
      </c>
      <c r="AM356" s="669">
        <f t="shared" si="20"/>
        <v>11.96</v>
      </c>
    </row>
    <row r="357" spans="1:39" s="500" customFormat="1" ht="13.35" customHeight="1">
      <c r="A357" s="539" t="s">
        <v>855</v>
      </c>
      <c r="B357" s="539" t="s">
        <v>1252</v>
      </c>
      <c r="C357" s="548" t="s">
        <v>37</v>
      </c>
      <c r="D357" s="519"/>
      <c r="E357" s="520"/>
      <c r="F357" s="726"/>
      <c r="G357" s="520"/>
      <c r="H357" s="520"/>
      <c r="I357" s="521"/>
      <c r="J357" s="521"/>
      <c r="K357" s="772"/>
      <c r="L357" s="514"/>
      <c r="M357" s="756"/>
      <c r="N357" s="514"/>
      <c r="O357" s="514"/>
      <c r="P357" s="514"/>
      <c r="Q357" s="514"/>
      <c r="R357" s="514"/>
      <c r="S357" s="514"/>
      <c r="T357" s="756"/>
      <c r="U357" s="514"/>
      <c r="V357" s="514"/>
      <c r="W357" s="514"/>
      <c r="X357" s="514"/>
      <c r="Y357" s="514"/>
      <c r="Z357" s="514"/>
      <c r="AA357" s="756"/>
      <c r="AB357" s="764"/>
      <c r="AC357" s="514"/>
      <c r="AD357" s="514"/>
      <c r="AE357" s="698"/>
      <c r="AF357" s="514"/>
      <c r="AG357" s="514"/>
      <c r="AH357" s="789"/>
      <c r="AI357" s="946">
        <f t="shared" si="18"/>
        <v>0</v>
      </c>
      <c r="AJ357" s="521">
        <v>0</v>
      </c>
      <c r="AK357" s="520">
        <f t="shared" si="19"/>
        <v>0</v>
      </c>
      <c r="AL357" s="695"/>
      <c r="AM357" s="669">
        <f t="shared" si="20"/>
        <v>0</v>
      </c>
    </row>
    <row r="358" spans="1:39" s="500" customFormat="1" ht="13.35" customHeight="1">
      <c r="A358" s="542" t="s">
        <v>480</v>
      </c>
      <c r="B358" s="542" t="s">
        <v>1256</v>
      </c>
      <c r="C358" s="616"/>
      <c r="D358" s="519"/>
      <c r="E358" s="520"/>
      <c r="F358" s="726"/>
      <c r="G358" s="520"/>
      <c r="H358" s="520"/>
      <c r="I358" s="521"/>
      <c r="J358" s="521"/>
      <c r="K358" s="772"/>
      <c r="L358" s="514"/>
      <c r="M358" s="756"/>
      <c r="N358" s="514"/>
      <c r="O358" s="514"/>
      <c r="P358" s="514"/>
      <c r="Q358" s="514"/>
      <c r="R358" s="514"/>
      <c r="S358" s="514"/>
      <c r="T358" s="756"/>
      <c r="U358" s="514"/>
      <c r="V358" s="514"/>
      <c r="W358" s="514"/>
      <c r="X358" s="514"/>
      <c r="Y358" s="514"/>
      <c r="Z358" s="514"/>
      <c r="AA358" s="756"/>
      <c r="AB358" s="764"/>
      <c r="AC358" s="514"/>
      <c r="AD358" s="514"/>
      <c r="AE358" s="698"/>
      <c r="AF358" s="514"/>
      <c r="AG358" s="514"/>
      <c r="AH358" s="789"/>
      <c r="AI358" s="946">
        <f t="shared" si="18"/>
        <v>0</v>
      </c>
      <c r="AJ358" s="521">
        <v>0</v>
      </c>
      <c r="AK358" s="520">
        <f t="shared" si="19"/>
        <v>0</v>
      </c>
      <c r="AL358" s="695" t="s">
        <v>1660</v>
      </c>
      <c r="AM358" s="669">
        <f t="shared" si="20"/>
        <v>55.35</v>
      </c>
    </row>
    <row r="359" spans="1:39" s="500" customFormat="1" ht="13.35" customHeight="1">
      <c r="A359" s="539" t="s">
        <v>856</v>
      </c>
      <c r="B359" s="539" t="s">
        <v>1257</v>
      </c>
      <c r="C359" s="548" t="s">
        <v>37</v>
      </c>
      <c r="D359" s="519"/>
      <c r="E359" s="520"/>
      <c r="F359" s="726"/>
      <c r="G359" s="520"/>
      <c r="H359" s="520"/>
      <c r="I359" s="521"/>
      <c r="J359" s="521"/>
      <c r="K359" s="772"/>
      <c r="L359" s="514"/>
      <c r="M359" s="756"/>
      <c r="N359" s="514"/>
      <c r="O359" s="514"/>
      <c r="P359" s="514"/>
      <c r="Q359" s="514"/>
      <c r="R359" s="514"/>
      <c r="S359" s="514"/>
      <c r="T359" s="756"/>
      <c r="U359" s="514"/>
      <c r="V359" s="514"/>
      <c r="W359" s="514"/>
      <c r="X359" s="514"/>
      <c r="Y359" s="514"/>
      <c r="Z359" s="514"/>
      <c r="AA359" s="756"/>
      <c r="AB359" s="764"/>
      <c r="AC359" s="514"/>
      <c r="AD359" s="514"/>
      <c r="AE359" s="698"/>
      <c r="AF359" s="514"/>
      <c r="AG359" s="514"/>
      <c r="AH359" s="789"/>
      <c r="AI359" s="946">
        <f t="shared" si="18"/>
        <v>0</v>
      </c>
      <c r="AJ359" s="521">
        <v>0</v>
      </c>
      <c r="AK359" s="520">
        <f t="shared" si="19"/>
        <v>0</v>
      </c>
      <c r="AL359" s="695"/>
      <c r="AM359" s="669">
        <f t="shared" si="20"/>
        <v>0</v>
      </c>
    </row>
    <row r="360" spans="1:39" s="500" customFormat="1" ht="13.35" customHeight="1">
      <c r="A360" s="542" t="s">
        <v>481</v>
      </c>
      <c r="B360" s="542" t="s">
        <v>1258</v>
      </c>
      <c r="C360" s="616"/>
      <c r="D360" s="519"/>
      <c r="E360" s="520"/>
      <c r="F360" s="726"/>
      <c r="G360" s="520"/>
      <c r="H360" s="520"/>
      <c r="I360" s="521"/>
      <c r="J360" s="521"/>
      <c r="K360" s="772"/>
      <c r="L360" s="514"/>
      <c r="M360" s="756"/>
      <c r="N360" s="514"/>
      <c r="O360" s="514"/>
      <c r="P360" s="514"/>
      <c r="Q360" s="514"/>
      <c r="R360" s="514"/>
      <c r="S360" s="514"/>
      <c r="T360" s="756"/>
      <c r="U360" s="514"/>
      <c r="V360" s="514"/>
      <c r="W360" s="514"/>
      <c r="X360" s="514"/>
      <c r="Y360" s="514"/>
      <c r="Z360" s="514"/>
      <c r="AA360" s="756"/>
      <c r="AB360" s="764"/>
      <c r="AC360" s="514"/>
      <c r="AD360" s="514"/>
      <c r="AE360" s="698"/>
      <c r="AF360" s="514"/>
      <c r="AG360" s="514"/>
      <c r="AH360" s="789"/>
      <c r="AI360" s="946">
        <f t="shared" si="18"/>
        <v>0</v>
      </c>
      <c r="AJ360" s="521">
        <v>0</v>
      </c>
      <c r="AK360" s="520">
        <f t="shared" si="19"/>
        <v>0</v>
      </c>
      <c r="AL360" s="695" t="s">
        <v>1635</v>
      </c>
      <c r="AM360" s="669">
        <f t="shared" si="20"/>
        <v>15.8</v>
      </c>
    </row>
    <row r="361" spans="1:39" s="500" customFormat="1" ht="13.35" customHeight="1">
      <c r="A361" s="539" t="s">
        <v>857</v>
      </c>
      <c r="B361" s="539" t="s">
        <v>1259</v>
      </c>
      <c r="C361" s="548" t="s">
        <v>37</v>
      </c>
      <c r="D361" s="519"/>
      <c r="E361" s="520"/>
      <c r="F361" s="726"/>
      <c r="G361" s="520"/>
      <c r="H361" s="520"/>
      <c r="I361" s="521"/>
      <c r="J361" s="521"/>
      <c r="K361" s="772"/>
      <c r="L361" s="514"/>
      <c r="M361" s="756"/>
      <c r="N361" s="514"/>
      <c r="O361" s="514"/>
      <c r="P361" s="514"/>
      <c r="Q361" s="514"/>
      <c r="R361" s="514"/>
      <c r="S361" s="514"/>
      <c r="T361" s="756"/>
      <c r="U361" s="514"/>
      <c r="V361" s="514"/>
      <c r="W361" s="514"/>
      <c r="X361" s="514"/>
      <c r="Y361" s="514"/>
      <c r="Z361" s="514"/>
      <c r="AA361" s="756"/>
      <c r="AB361" s="764"/>
      <c r="AC361" s="514"/>
      <c r="AD361" s="514"/>
      <c r="AE361" s="698"/>
      <c r="AF361" s="514"/>
      <c r="AG361" s="514"/>
      <c r="AH361" s="789"/>
      <c r="AI361" s="946">
        <f t="shared" si="18"/>
        <v>0</v>
      </c>
      <c r="AJ361" s="521">
        <v>0</v>
      </c>
      <c r="AK361" s="520">
        <f t="shared" si="19"/>
        <v>0</v>
      </c>
      <c r="AL361" s="695" t="s">
        <v>1661</v>
      </c>
      <c r="AM361" s="669">
        <f t="shared" si="20"/>
        <v>29.4</v>
      </c>
    </row>
    <row r="362" spans="1:39" s="500" customFormat="1" ht="13.35" customHeight="1">
      <c r="A362" s="539" t="s">
        <v>858</v>
      </c>
      <c r="B362" s="539" t="s">
        <v>1286</v>
      </c>
      <c r="C362" s="548" t="s">
        <v>37</v>
      </c>
      <c r="D362" s="519"/>
      <c r="E362" s="520"/>
      <c r="F362" s="726"/>
      <c r="G362" s="520"/>
      <c r="H362" s="520"/>
      <c r="I362" s="521"/>
      <c r="J362" s="521"/>
      <c r="K362" s="772"/>
      <c r="L362" s="514"/>
      <c r="M362" s="756"/>
      <c r="N362" s="514"/>
      <c r="O362" s="514"/>
      <c r="P362" s="514"/>
      <c r="Q362" s="514"/>
      <c r="R362" s="514"/>
      <c r="S362" s="514"/>
      <c r="T362" s="756"/>
      <c r="U362" s="514"/>
      <c r="V362" s="514"/>
      <c r="W362" s="514"/>
      <c r="X362" s="514"/>
      <c r="Y362" s="514"/>
      <c r="Z362" s="514"/>
      <c r="AA362" s="756"/>
      <c r="AB362" s="764"/>
      <c r="AC362" s="514"/>
      <c r="AD362" s="514"/>
      <c r="AE362" s="698"/>
      <c r="AF362" s="514"/>
      <c r="AG362" s="514"/>
      <c r="AH362" s="789"/>
      <c r="AI362" s="946">
        <f t="shared" si="18"/>
        <v>0</v>
      </c>
      <c r="AJ362" s="521">
        <v>0</v>
      </c>
      <c r="AK362" s="520">
        <f t="shared" si="19"/>
        <v>0</v>
      </c>
      <c r="AL362" s="695" t="s">
        <v>1662</v>
      </c>
      <c r="AM362" s="669">
        <f t="shared" si="20"/>
        <v>9.6</v>
      </c>
    </row>
    <row r="363" spans="1:39" s="500" customFormat="1" ht="13.35" customHeight="1">
      <c r="A363" s="539" t="s">
        <v>859</v>
      </c>
      <c r="B363" s="539" t="s">
        <v>1261</v>
      </c>
      <c r="C363" s="548" t="s">
        <v>38</v>
      </c>
      <c r="D363" s="519"/>
      <c r="E363" s="520"/>
      <c r="F363" s="726"/>
      <c r="G363" s="520"/>
      <c r="H363" s="520"/>
      <c r="I363" s="521"/>
      <c r="J363" s="521"/>
      <c r="K363" s="772"/>
      <c r="L363" s="514"/>
      <c r="M363" s="756"/>
      <c r="N363" s="514"/>
      <c r="O363" s="514"/>
      <c r="P363" s="514"/>
      <c r="Q363" s="514"/>
      <c r="R363" s="514"/>
      <c r="S363" s="514"/>
      <c r="T363" s="756"/>
      <c r="U363" s="514"/>
      <c r="V363" s="514"/>
      <c r="W363" s="514"/>
      <c r="X363" s="514"/>
      <c r="Y363" s="514"/>
      <c r="Z363" s="514"/>
      <c r="AA363" s="756"/>
      <c r="AB363" s="764"/>
      <c r="AC363" s="514"/>
      <c r="AD363" s="514"/>
      <c r="AE363" s="698"/>
      <c r="AF363" s="514"/>
      <c r="AG363" s="514"/>
      <c r="AH363" s="789"/>
      <c r="AI363" s="946">
        <f t="shared" si="18"/>
        <v>0</v>
      </c>
      <c r="AJ363" s="521">
        <v>0</v>
      </c>
      <c r="AK363" s="520">
        <f t="shared" si="19"/>
        <v>0</v>
      </c>
      <c r="AL363" s="695" t="s">
        <v>1663</v>
      </c>
      <c r="AM363" s="669">
        <f t="shared" si="20"/>
        <v>23.08</v>
      </c>
    </row>
    <row r="364" spans="1:39" s="500" customFormat="1" ht="13.35" customHeight="1">
      <c r="A364" s="539" t="s">
        <v>860</v>
      </c>
      <c r="B364" s="539" t="s">
        <v>1287</v>
      </c>
      <c r="C364" s="548" t="s">
        <v>38</v>
      </c>
      <c r="D364" s="519"/>
      <c r="E364" s="520"/>
      <c r="F364" s="726"/>
      <c r="G364" s="520"/>
      <c r="H364" s="520"/>
      <c r="I364" s="521"/>
      <c r="J364" s="521"/>
      <c r="K364" s="772"/>
      <c r="L364" s="514"/>
      <c r="M364" s="756"/>
      <c r="N364" s="514"/>
      <c r="O364" s="514"/>
      <c r="P364" s="514"/>
      <c r="Q364" s="514"/>
      <c r="R364" s="514"/>
      <c r="S364" s="514"/>
      <c r="T364" s="756"/>
      <c r="U364" s="514"/>
      <c r="V364" s="514"/>
      <c r="W364" s="514"/>
      <c r="X364" s="514"/>
      <c r="Y364" s="514"/>
      <c r="Z364" s="514"/>
      <c r="AA364" s="756"/>
      <c r="AB364" s="764"/>
      <c r="AC364" s="514"/>
      <c r="AD364" s="514"/>
      <c r="AE364" s="698"/>
      <c r="AF364" s="514"/>
      <c r="AG364" s="514"/>
      <c r="AH364" s="789"/>
      <c r="AI364" s="946">
        <f t="shared" si="18"/>
        <v>0</v>
      </c>
      <c r="AJ364" s="521">
        <v>0</v>
      </c>
      <c r="AK364" s="520">
        <f t="shared" si="19"/>
        <v>0</v>
      </c>
      <c r="AL364" s="695"/>
      <c r="AM364" s="669">
        <f t="shared" si="20"/>
        <v>0</v>
      </c>
    </row>
    <row r="365" spans="1:39" s="500" customFormat="1" ht="13.35" customHeight="1">
      <c r="A365" s="542" t="s">
        <v>482</v>
      </c>
      <c r="B365" s="542" t="s">
        <v>1198</v>
      </c>
      <c r="C365" s="616"/>
      <c r="D365" s="519"/>
      <c r="E365" s="520"/>
      <c r="F365" s="726"/>
      <c r="G365" s="520"/>
      <c r="H365" s="520"/>
      <c r="I365" s="521"/>
      <c r="J365" s="521"/>
      <c r="K365" s="772"/>
      <c r="L365" s="514"/>
      <c r="M365" s="756"/>
      <c r="N365" s="514"/>
      <c r="O365" s="514"/>
      <c r="P365" s="514"/>
      <c r="Q365" s="514"/>
      <c r="R365" s="514"/>
      <c r="S365" s="514"/>
      <c r="T365" s="756"/>
      <c r="U365" s="514"/>
      <c r="V365" s="514"/>
      <c r="W365" s="514"/>
      <c r="X365" s="514"/>
      <c r="Y365" s="514"/>
      <c r="Z365" s="514"/>
      <c r="AA365" s="756"/>
      <c r="AB365" s="764"/>
      <c r="AC365" s="514"/>
      <c r="AD365" s="514"/>
      <c r="AE365" s="698"/>
      <c r="AF365" s="514"/>
      <c r="AG365" s="514"/>
      <c r="AH365" s="789"/>
      <c r="AI365" s="946">
        <f t="shared" si="18"/>
        <v>0</v>
      </c>
      <c r="AJ365" s="521">
        <v>0</v>
      </c>
      <c r="AK365" s="520">
        <f t="shared" si="19"/>
        <v>0</v>
      </c>
      <c r="AL365" s="695" t="s">
        <v>1664</v>
      </c>
      <c r="AM365" s="669">
        <f t="shared" si="20"/>
        <v>48.24</v>
      </c>
    </row>
    <row r="366" spans="1:39" s="500" customFormat="1" ht="13.35" customHeight="1">
      <c r="A366" s="539" t="s">
        <v>861</v>
      </c>
      <c r="B366" s="539" t="s">
        <v>1262</v>
      </c>
      <c r="C366" s="548" t="s">
        <v>37</v>
      </c>
      <c r="D366" s="519"/>
      <c r="E366" s="520"/>
      <c r="F366" s="726"/>
      <c r="G366" s="520"/>
      <c r="H366" s="520"/>
      <c r="I366" s="521"/>
      <c r="J366" s="521"/>
      <c r="K366" s="772"/>
      <c r="L366" s="514"/>
      <c r="M366" s="756"/>
      <c r="N366" s="514"/>
      <c r="O366" s="514"/>
      <c r="P366" s="514"/>
      <c r="Q366" s="514"/>
      <c r="R366" s="514"/>
      <c r="S366" s="514"/>
      <c r="T366" s="756"/>
      <c r="U366" s="514"/>
      <c r="V366" s="514"/>
      <c r="W366" s="514"/>
      <c r="X366" s="514"/>
      <c r="Y366" s="514"/>
      <c r="Z366" s="514"/>
      <c r="AA366" s="756"/>
      <c r="AB366" s="764"/>
      <c r="AC366" s="514"/>
      <c r="AD366" s="514"/>
      <c r="AE366" s="698"/>
      <c r="AF366" s="514"/>
      <c r="AG366" s="514"/>
      <c r="AH366" s="789"/>
      <c r="AI366" s="946">
        <f t="shared" si="18"/>
        <v>0</v>
      </c>
      <c r="AJ366" s="521">
        <v>0</v>
      </c>
      <c r="AK366" s="520">
        <f t="shared" si="19"/>
        <v>0</v>
      </c>
      <c r="AL366" s="695" t="s">
        <v>1665</v>
      </c>
      <c r="AM366" s="669">
        <f t="shared" si="20"/>
        <v>34.880000000000003</v>
      </c>
    </row>
    <row r="367" spans="1:39" s="500" customFormat="1" ht="13.35" customHeight="1">
      <c r="A367" s="539" t="s">
        <v>862</v>
      </c>
      <c r="B367" s="539" t="s">
        <v>1263</v>
      </c>
      <c r="C367" s="548" t="s">
        <v>38</v>
      </c>
      <c r="D367" s="519"/>
      <c r="E367" s="520"/>
      <c r="F367" s="726"/>
      <c r="G367" s="520"/>
      <c r="H367" s="520"/>
      <c r="I367" s="521"/>
      <c r="J367" s="521"/>
      <c r="K367" s="772"/>
      <c r="L367" s="514"/>
      <c r="M367" s="756"/>
      <c r="N367" s="514"/>
      <c r="O367" s="514"/>
      <c r="P367" s="514"/>
      <c r="Q367" s="514"/>
      <c r="R367" s="514"/>
      <c r="S367" s="514"/>
      <c r="T367" s="756"/>
      <c r="U367" s="514"/>
      <c r="V367" s="514"/>
      <c r="W367" s="514"/>
      <c r="X367" s="514"/>
      <c r="Y367" s="514"/>
      <c r="Z367" s="514"/>
      <c r="AA367" s="756"/>
      <c r="AB367" s="764"/>
      <c r="AC367" s="514"/>
      <c r="AD367" s="514"/>
      <c r="AE367" s="698"/>
      <c r="AF367" s="514"/>
      <c r="AG367" s="514"/>
      <c r="AH367" s="789"/>
      <c r="AI367" s="946">
        <f t="shared" si="18"/>
        <v>0</v>
      </c>
      <c r="AJ367" s="521">
        <v>0</v>
      </c>
      <c r="AK367" s="520">
        <f t="shared" si="19"/>
        <v>0</v>
      </c>
      <c r="AL367" s="695" t="s">
        <v>1666</v>
      </c>
      <c r="AM367" s="669">
        <f t="shared" si="20"/>
        <v>22.97</v>
      </c>
    </row>
    <row r="368" spans="1:39" s="500" customFormat="1" ht="13.35" customHeight="1">
      <c r="A368" s="539" t="s">
        <v>863</v>
      </c>
      <c r="B368" s="539" t="s">
        <v>1288</v>
      </c>
      <c r="C368" s="548" t="s">
        <v>37</v>
      </c>
      <c r="D368" s="519"/>
      <c r="E368" s="520"/>
      <c r="F368" s="726"/>
      <c r="G368" s="520"/>
      <c r="H368" s="1041">
        <v>1.06</v>
      </c>
      <c r="I368" s="521"/>
      <c r="J368" s="521"/>
      <c r="K368" s="772"/>
      <c r="L368" s="514"/>
      <c r="M368" s="756"/>
      <c r="N368" s="514"/>
      <c r="O368" s="514"/>
      <c r="P368" s="514"/>
      <c r="Q368" s="514"/>
      <c r="R368" s="514"/>
      <c r="S368" s="514"/>
      <c r="T368" s="756"/>
      <c r="U368" s="514"/>
      <c r="V368" s="514"/>
      <c r="W368" s="514"/>
      <c r="X368" s="514"/>
      <c r="Y368" s="514"/>
      <c r="Z368" s="514"/>
      <c r="AA368" s="756"/>
      <c r="AB368" s="764"/>
      <c r="AC368" s="514"/>
      <c r="AD368" s="514"/>
      <c r="AE368" s="698"/>
      <c r="AF368" s="514"/>
      <c r="AG368" s="514"/>
      <c r="AH368" s="789"/>
      <c r="AI368" s="946">
        <f t="shared" si="18"/>
        <v>1.06</v>
      </c>
      <c r="AJ368" s="521">
        <v>0</v>
      </c>
      <c r="AK368" s="520">
        <f t="shared" si="19"/>
        <v>1.06</v>
      </c>
      <c r="AL368" s="695"/>
      <c r="AM368" s="669">
        <f t="shared" si="20"/>
        <v>-1.06</v>
      </c>
    </row>
    <row r="369" spans="1:39" s="500" customFormat="1" ht="13.35" customHeight="1">
      <c r="A369" s="542" t="s">
        <v>483</v>
      </c>
      <c r="B369" s="542" t="s">
        <v>1264</v>
      </c>
      <c r="C369" s="548"/>
      <c r="D369" s="519"/>
      <c r="E369" s="520"/>
      <c r="F369" s="726"/>
      <c r="G369" s="520"/>
      <c r="H369" s="520"/>
      <c r="I369" s="521"/>
      <c r="J369" s="521"/>
      <c r="K369" s="772"/>
      <c r="L369" s="514"/>
      <c r="M369" s="756"/>
      <c r="N369" s="514"/>
      <c r="O369" s="514"/>
      <c r="P369" s="514"/>
      <c r="Q369" s="514"/>
      <c r="R369" s="514"/>
      <c r="S369" s="514"/>
      <c r="T369" s="756"/>
      <c r="U369" s="514"/>
      <c r="V369" s="514"/>
      <c r="W369" s="514"/>
      <c r="X369" s="514"/>
      <c r="Y369" s="514"/>
      <c r="Z369" s="514"/>
      <c r="AA369" s="756"/>
      <c r="AB369" s="764"/>
      <c r="AC369" s="514"/>
      <c r="AD369" s="514"/>
      <c r="AE369" s="698"/>
      <c r="AF369" s="514"/>
      <c r="AG369" s="514"/>
      <c r="AH369" s="789"/>
      <c r="AI369" s="946">
        <f t="shared" si="18"/>
        <v>0</v>
      </c>
      <c r="AJ369" s="521">
        <v>0</v>
      </c>
      <c r="AK369" s="520">
        <f t="shared" si="19"/>
        <v>0</v>
      </c>
      <c r="AL369" s="695" t="s">
        <v>1667</v>
      </c>
      <c r="AM369" s="669">
        <f t="shared" si="20"/>
        <v>5.88</v>
      </c>
    </row>
    <row r="370" spans="1:39" s="500" customFormat="1" ht="13.35" customHeight="1">
      <c r="A370" s="539" t="s">
        <v>864</v>
      </c>
      <c r="B370" s="539" t="s">
        <v>1289</v>
      </c>
      <c r="C370" s="548" t="s">
        <v>37</v>
      </c>
      <c r="D370" s="519"/>
      <c r="E370" s="520"/>
      <c r="F370" s="726"/>
      <c r="G370" s="520"/>
      <c r="H370" s="520"/>
      <c r="I370" s="521"/>
      <c r="J370" s="521"/>
      <c r="K370" s="772"/>
      <c r="L370" s="514"/>
      <c r="M370" s="756"/>
      <c r="N370" s="514"/>
      <c r="O370" s="514"/>
      <c r="P370" s="514"/>
      <c r="Q370" s="514"/>
      <c r="R370" s="514"/>
      <c r="S370" s="514"/>
      <c r="T370" s="756"/>
      <c r="U370" s="514"/>
      <c r="V370" s="514"/>
      <c r="W370" s="514"/>
      <c r="X370" s="514"/>
      <c r="Y370" s="514"/>
      <c r="Z370" s="514"/>
      <c r="AA370" s="756"/>
      <c r="AB370" s="764"/>
      <c r="AC370" s="514"/>
      <c r="AD370" s="514"/>
      <c r="AE370" s="698"/>
      <c r="AF370" s="514"/>
      <c r="AG370" s="514"/>
      <c r="AH370" s="789"/>
      <c r="AI370" s="946">
        <f t="shared" si="18"/>
        <v>0</v>
      </c>
      <c r="AJ370" s="521">
        <v>0</v>
      </c>
      <c r="AK370" s="520">
        <f t="shared" si="19"/>
        <v>0</v>
      </c>
      <c r="AL370" s="695" t="s">
        <v>1668</v>
      </c>
      <c r="AM370" s="669">
        <f t="shared" si="20"/>
        <v>1.68</v>
      </c>
    </row>
    <row r="371" spans="1:39" s="500" customFormat="1" ht="13.35" customHeight="1">
      <c r="A371" s="539" t="s">
        <v>865</v>
      </c>
      <c r="B371" s="539" t="s">
        <v>1290</v>
      </c>
      <c r="C371" s="548" t="s">
        <v>37</v>
      </c>
      <c r="D371" s="519"/>
      <c r="E371" s="520"/>
      <c r="F371" s="726"/>
      <c r="G371" s="520"/>
      <c r="H371" s="520"/>
      <c r="I371" s="521"/>
      <c r="J371" s="521"/>
      <c r="K371" s="772"/>
      <c r="L371" s="514"/>
      <c r="M371" s="756"/>
      <c r="N371" s="514"/>
      <c r="O371" s="514"/>
      <c r="P371" s="514"/>
      <c r="Q371" s="514"/>
      <c r="R371" s="514"/>
      <c r="S371" s="514"/>
      <c r="T371" s="756"/>
      <c r="U371" s="514"/>
      <c r="V371" s="514"/>
      <c r="W371" s="514"/>
      <c r="X371" s="514"/>
      <c r="Y371" s="514"/>
      <c r="Z371" s="514"/>
      <c r="AA371" s="756"/>
      <c r="AB371" s="764"/>
      <c r="AC371" s="514"/>
      <c r="AD371" s="514"/>
      <c r="AE371" s="698"/>
      <c r="AF371" s="514"/>
      <c r="AG371" s="514"/>
      <c r="AH371" s="789"/>
      <c r="AI371" s="946">
        <f t="shared" si="18"/>
        <v>0</v>
      </c>
      <c r="AJ371" s="521">
        <v>0</v>
      </c>
      <c r="AK371" s="520">
        <f t="shared" si="19"/>
        <v>0</v>
      </c>
      <c r="AL371" s="695"/>
      <c r="AM371" s="669">
        <f t="shared" si="20"/>
        <v>0</v>
      </c>
    </row>
    <row r="372" spans="1:39" s="500" customFormat="1" ht="13.35" customHeight="1">
      <c r="A372" s="542" t="s">
        <v>866</v>
      </c>
      <c r="B372" s="542" t="s">
        <v>1291</v>
      </c>
      <c r="C372" s="616"/>
      <c r="D372" s="519"/>
      <c r="E372" s="520"/>
      <c r="F372" s="726"/>
      <c r="G372" s="520"/>
      <c r="H372" s="520"/>
      <c r="I372" s="521"/>
      <c r="J372" s="521"/>
      <c r="K372" s="772"/>
      <c r="L372" s="514"/>
      <c r="M372" s="756"/>
      <c r="N372" s="514"/>
      <c r="O372" s="514"/>
      <c r="P372" s="514"/>
      <c r="Q372" s="514"/>
      <c r="R372" s="514"/>
      <c r="S372" s="514"/>
      <c r="T372" s="756"/>
      <c r="U372" s="514"/>
      <c r="V372" s="514"/>
      <c r="W372" s="514"/>
      <c r="X372" s="514"/>
      <c r="Y372" s="514"/>
      <c r="Z372" s="514"/>
      <c r="AA372" s="756"/>
      <c r="AB372" s="764"/>
      <c r="AC372" s="514"/>
      <c r="AD372" s="514"/>
      <c r="AE372" s="698"/>
      <c r="AF372" s="514"/>
      <c r="AG372" s="514"/>
      <c r="AH372" s="789"/>
      <c r="AI372" s="946">
        <f t="shared" si="18"/>
        <v>0</v>
      </c>
      <c r="AJ372" s="521">
        <v>0</v>
      </c>
      <c r="AK372" s="520">
        <f t="shared" si="19"/>
        <v>0</v>
      </c>
      <c r="AL372" s="695" t="s">
        <v>1669</v>
      </c>
      <c r="AM372" s="669">
        <f t="shared" si="20"/>
        <v>9.24</v>
      </c>
    </row>
    <row r="373" spans="1:39" s="500" customFormat="1" ht="13.35" customHeight="1">
      <c r="A373" s="539" t="s">
        <v>867</v>
      </c>
      <c r="B373" s="539" t="s">
        <v>1292</v>
      </c>
      <c r="C373" s="548" t="s">
        <v>37</v>
      </c>
      <c r="D373" s="519"/>
      <c r="E373" s="520"/>
      <c r="F373" s="726"/>
      <c r="G373" s="520"/>
      <c r="H373" s="520"/>
      <c r="I373" s="521"/>
      <c r="J373" s="521"/>
      <c r="K373" s="772"/>
      <c r="L373" s="514"/>
      <c r="M373" s="756"/>
      <c r="N373" s="514"/>
      <c r="O373" s="514"/>
      <c r="P373" s="514"/>
      <c r="Q373" s="514"/>
      <c r="R373" s="514"/>
      <c r="S373" s="514"/>
      <c r="T373" s="756"/>
      <c r="U373" s="514"/>
      <c r="V373" s="514"/>
      <c r="W373" s="514"/>
      <c r="X373" s="514"/>
      <c r="Y373" s="514"/>
      <c r="Z373" s="514"/>
      <c r="AA373" s="756"/>
      <c r="AB373" s="764"/>
      <c r="AC373" s="514"/>
      <c r="AD373" s="514"/>
      <c r="AE373" s="698"/>
      <c r="AF373" s="514"/>
      <c r="AG373" s="514"/>
      <c r="AH373" s="789"/>
      <c r="AI373" s="946">
        <f t="shared" si="18"/>
        <v>0</v>
      </c>
      <c r="AJ373" s="521">
        <v>0</v>
      </c>
      <c r="AK373" s="520">
        <f t="shared" si="19"/>
        <v>0</v>
      </c>
      <c r="AL373" s="695"/>
      <c r="AM373" s="669">
        <f t="shared" si="20"/>
        <v>0</v>
      </c>
    </row>
    <row r="374" spans="1:39" s="500" customFormat="1" ht="13.35" customHeight="1">
      <c r="A374" s="542" t="s">
        <v>868</v>
      </c>
      <c r="B374" s="542" t="s">
        <v>1266</v>
      </c>
      <c r="C374" s="616"/>
      <c r="D374" s="519"/>
      <c r="E374" s="520"/>
      <c r="F374" s="726"/>
      <c r="G374" s="520"/>
      <c r="H374" s="520"/>
      <c r="I374" s="521"/>
      <c r="J374" s="521"/>
      <c r="K374" s="772"/>
      <c r="L374" s="514"/>
      <c r="M374" s="756"/>
      <c r="N374" s="514"/>
      <c r="O374" s="514"/>
      <c r="P374" s="514"/>
      <c r="Q374" s="514"/>
      <c r="R374" s="514"/>
      <c r="S374" s="514"/>
      <c r="T374" s="756"/>
      <c r="U374" s="514"/>
      <c r="V374" s="514"/>
      <c r="W374" s="514"/>
      <c r="X374" s="514"/>
      <c r="Y374" s="514"/>
      <c r="Z374" s="514"/>
      <c r="AA374" s="756"/>
      <c r="AB374" s="764"/>
      <c r="AC374" s="514"/>
      <c r="AD374" s="514"/>
      <c r="AE374" s="698"/>
      <c r="AF374" s="514"/>
      <c r="AG374" s="514"/>
      <c r="AH374" s="789"/>
      <c r="AI374" s="946">
        <f t="shared" si="18"/>
        <v>0</v>
      </c>
      <c r="AJ374" s="521">
        <v>0</v>
      </c>
      <c r="AK374" s="520">
        <f t="shared" si="19"/>
        <v>0</v>
      </c>
      <c r="AL374" s="695" t="s">
        <v>1670</v>
      </c>
      <c r="AM374" s="669">
        <f t="shared" si="20"/>
        <v>20</v>
      </c>
    </row>
    <row r="375" spans="1:39" s="500" customFormat="1" ht="13.35" customHeight="1">
      <c r="A375" s="539" t="s">
        <v>869</v>
      </c>
      <c r="B375" s="539" t="s">
        <v>1267</v>
      </c>
      <c r="C375" s="548" t="s">
        <v>1451</v>
      </c>
      <c r="D375" s="519"/>
      <c r="E375" s="520"/>
      <c r="F375" s="726"/>
      <c r="G375" s="520"/>
      <c r="H375" s="520"/>
      <c r="I375" s="521"/>
      <c r="J375" s="521"/>
      <c r="K375" s="772"/>
      <c r="L375" s="514"/>
      <c r="M375" s="756"/>
      <c r="N375" s="514"/>
      <c r="O375" s="514"/>
      <c r="P375" s="514"/>
      <c r="Q375" s="514"/>
      <c r="R375" s="514"/>
      <c r="S375" s="514"/>
      <c r="T375" s="756"/>
      <c r="U375" s="514"/>
      <c r="V375" s="514"/>
      <c r="W375" s="514"/>
      <c r="X375" s="514"/>
      <c r="Y375" s="514"/>
      <c r="Z375" s="514"/>
      <c r="AA375" s="756"/>
      <c r="AB375" s="764"/>
      <c r="AC375" s="514"/>
      <c r="AD375" s="514"/>
      <c r="AE375" s="698"/>
      <c r="AF375" s="514"/>
      <c r="AG375" s="514"/>
      <c r="AH375" s="789"/>
      <c r="AI375" s="946">
        <f t="shared" si="18"/>
        <v>0</v>
      </c>
      <c r="AJ375" s="521">
        <v>0</v>
      </c>
      <c r="AK375" s="520">
        <f t="shared" si="19"/>
        <v>0</v>
      </c>
      <c r="AL375" s="695" t="s">
        <v>1671</v>
      </c>
      <c r="AM375" s="669">
        <f t="shared" si="20"/>
        <v>4</v>
      </c>
    </row>
    <row r="376" spans="1:39" s="500" customFormat="1" ht="13.35" customHeight="1">
      <c r="A376" s="539" t="s">
        <v>870</v>
      </c>
      <c r="B376" s="539" t="s">
        <v>1268</v>
      </c>
      <c r="C376" s="548" t="s">
        <v>36</v>
      </c>
      <c r="D376" s="519"/>
      <c r="E376" s="520"/>
      <c r="F376" s="726"/>
      <c r="G376" s="520"/>
      <c r="H376" s="520"/>
      <c r="I376" s="521"/>
      <c r="J376" s="521"/>
      <c r="K376" s="772"/>
      <c r="L376" s="514"/>
      <c r="M376" s="756"/>
      <c r="N376" s="514"/>
      <c r="O376" s="514"/>
      <c r="P376" s="514"/>
      <c r="Q376" s="514"/>
      <c r="R376" s="514"/>
      <c r="S376" s="514"/>
      <c r="T376" s="756"/>
      <c r="U376" s="514"/>
      <c r="V376" s="514"/>
      <c r="W376" s="514"/>
      <c r="X376" s="514"/>
      <c r="Y376" s="514"/>
      <c r="Z376" s="514"/>
      <c r="AA376" s="756"/>
      <c r="AB376" s="764"/>
      <c r="AC376" s="514"/>
      <c r="AD376" s="514"/>
      <c r="AE376" s="698"/>
      <c r="AF376" s="514"/>
      <c r="AG376" s="514"/>
      <c r="AH376" s="789"/>
      <c r="AI376" s="946">
        <f t="shared" si="18"/>
        <v>0</v>
      </c>
      <c r="AJ376" s="521">
        <v>0</v>
      </c>
      <c r="AK376" s="520">
        <f t="shared" si="19"/>
        <v>0</v>
      </c>
      <c r="AL376" s="695" t="s">
        <v>1671</v>
      </c>
      <c r="AM376" s="669">
        <f t="shared" si="20"/>
        <v>4</v>
      </c>
    </row>
    <row r="377" spans="1:39" s="500" customFormat="1" ht="13.35" customHeight="1">
      <c r="A377" s="539" t="s">
        <v>871</v>
      </c>
      <c r="B377" s="539" t="s">
        <v>1293</v>
      </c>
      <c r="C377" s="548" t="s">
        <v>1451</v>
      </c>
      <c r="D377" s="519"/>
      <c r="E377" s="520"/>
      <c r="F377" s="726"/>
      <c r="G377" s="520"/>
      <c r="H377" s="520"/>
      <c r="I377" s="521"/>
      <c r="J377" s="521"/>
      <c r="K377" s="772"/>
      <c r="L377" s="514"/>
      <c r="M377" s="756"/>
      <c r="N377" s="514"/>
      <c r="O377" s="514"/>
      <c r="P377" s="514"/>
      <c r="Q377" s="514"/>
      <c r="R377" s="514"/>
      <c r="S377" s="514"/>
      <c r="T377" s="756"/>
      <c r="U377" s="514"/>
      <c r="V377" s="514"/>
      <c r="W377" s="514"/>
      <c r="X377" s="514"/>
      <c r="Y377" s="514"/>
      <c r="Z377" s="514"/>
      <c r="AA377" s="756"/>
      <c r="AB377" s="764"/>
      <c r="AC377" s="514"/>
      <c r="AD377" s="514"/>
      <c r="AE377" s="698"/>
      <c r="AF377" s="514"/>
      <c r="AG377" s="514"/>
      <c r="AH377" s="789"/>
      <c r="AI377" s="946">
        <f t="shared" si="18"/>
        <v>0</v>
      </c>
      <c r="AJ377" s="521">
        <v>0</v>
      </c>
      <c r="AK377" s="520">
        <f t="shared" si="19"/>
        <v>0</v>
      </c>
      <c r="AL377" s="695"/>
      <c r="AM377" s="669">
        <f t="shared" si="20"/>
        <v>0</v>
      </c>
    </row>
    <row r="378" spans="1:39" s="500" customFormat="1" ht="13.35" customHeight="1">
      <c r="A378" s="542" t="s">
        <v>872</v>
      </c>
      <c r="B378" s="542" t="s">
        <v>1269</v>
      </c>
      <c r="C378" s="616"/>
      <c r="D378" s="519"/>
      <c r="E378" s="520"/>
      <c r="F378" s="726"/>
      <c r="G378" s="520"/>
      <c r="H378" s="520"/>
      <c r="I378" s="521"/>
      <c r="J378" s="521"/>
      <c r="K378" s="772"/>
      <c r="L378" s="514"/>
      <c r="M378" s="756"/>
      <c r="N378" s="514"/>
      <c r="O378" s="514"/>
      <c r="P378" s="514"/>
      <c r="Q378" s="514"/>
      <c r="R378" s="514"/>
      <c r="S378" s="514"/>
      <c r="T378" s="756"/>
      <c r="U378" s="514"/>
      <c r="V378" s="514"/>
      <c r="W378" s="514"/>
      <c r="X378" s="514"/>
      <c r="Y378" s="514"/>
      <c r="Z378" s="514"/>
      <c r="AA378" s="756"/>
      <c r="AB378" s="764"/>
      <c r="AC378" s="514"/>
      <c r="AD378" s="514"/>
      <c r="AE378" s="698"/>
      <c r="AF378" s="514"/>
      <c r="AG378" s="514"/>
      <c r="AH378" s="789"/>
      <c r="AI378" s="946">
        <f t="shared" si="18"/>
        <v>0</v>
      </c>
      <c r="AJ378" s="521">
        <v>0</v>
      </c>
      <c r="AK378" s="520">
        <f t="shared" si="19"/>
        <v>0</v>
      </c>
      <c r="AL378" s="695" t="s">
        <v>1672</v>
      </c>
      <c r="AM378" s="669">
        <f t="shared" si="20"/>
        <v>18.09</v>
      </c>
    </row>
    <row r="379" spans="1:39" s="500" customFormat="1" ht="13.35" customHeight="1">
      <c r="A379" s="539" t="s">
        <v>873</v>
      </c>
      <c r="B379" s="539" t="s">
        <v>1270</v>
      </c>
      <c r="C379" s="548" t="s">
        <v>37</v>
      </c>
      <c r="D379" s="519"/>
      <c r="E379" s="520"/>
      <c r="F379" s="726"/>
      <c r="G379" s="520"/>
      <c r="H379" s="520"/>
      <c r="I379" s="521"/>
      <c r="J379" s="521"/>
      <c r="K379" s="772"/>
      <c r="L379" s="514"/>
      <c r="M379" s="756"/>
      <c r="N379" s="514"/>
      <c r="O379" s="514"/>
      <c r="P379" s="514"/>
      <c r="Q379" s="514"/>
      <c r="R379" s="514"/>
      <c r="S379" s="514"/>
      <c r="T379" s="756"/>
      <c r="U379" s="514"/>
      <c r="V379" s="514"/>
      <c r="W379" s="514"/>
      <c r="X379" s="514"/>
      <c r="Y379" s="514"/>
      <c r="Z379" s="514"/>
      <c r="AA379" s="756"/>
      <c r="AB379" s="764"/>
      <c r="AC379" s="514"/>
      <c r="AD379" s="514"/>
      <c r="AE379" s="698"/>
      <c r="AF379" s="514"/>
      <c r="AG379" s="514"/>
      <c r="AH379" s="789"/>
      <c r="AI379" s="946">
        <f t="shared" si="18"/>
        <v>0</v>
      </c>
      <c r="AJ379" s="521">
        <v>0</v>
      </c>
      <c r="AK379" s="520">
        <f t="shared" si="19"/>
        <v>0</v>
      </c>
      <c r="AL379" s="695" t="s">
        <v>1673</v>
      </c>
      <c r="AM379" s="669">
        <f t="shared" si="20"/>
        <v>1.75</v>
      </c>
    </row>
    <row r="380" spans="1:39" s="500" customFormat="1" ht="13.35" customHeight="1">
      <c r="A380" s="539" t="s">
        <v>874</v>
      </c>
      <c r="B380" s="539" t="s">
        <v>1271</v>
      </c>
      <c r="C380" s="548" t="s">
        <v>37</v>
      </c>
      <c r="D380" s="519"/>
      <c r="E380" s="520"/>
      <c r="F380" s="726"/>
      <c r="G380" s="520"/>
      <c r="H380" s="520"/>
      <c r="I380" s="521"/>
      <c r="J380" s="521"/>
      <c r="K380" s="772"/>
      <c r="L380" s="514"/>
      <c r="M380" s="756"/>
      <c r="N380" s="514"/>
      <c r="O380" s="514"/>
      <c r="P380" s="514"/>
      <c r="Q380" s="514"/>
      <c r="R380" s="514"/>
      <c r="S380" s="514"/>
      <c r="T380" s="756"/>
      <c r="U380" s="514"/>
      <c r="V380" s="514"/>
      <c r="W380" s="514"/>
      <c r="X380" s="514"/>
      <c r="Y380" s="514"/>
      <c r="Z380" s="514"/>
      <c r="AA380" s="756"/>
      <c r="AB380" s="764"/>
      <c r="AC380" s="514"/>
      <c r="AD380" s="514"/>
      <c r="AE380" s="698"/>
      <c r="AF380" s="514"/>
      <c r="AG380" s="514"/>
      <c r="AH380" s="789"/>
      <c r="AI380" s="946">
        <f t="shared" si="18"/>
        <v>0</v>
      </c>
      <c r="AJ380" s="521">
        <v>0</v>
      </c>
      <c r="AK380" s="520">
        <f t="shared" si="19"/>
        <v>0</v>
      </c>
      <c r="AL380" s="695"/>
      <c r="AM380" s="669">
        <f t="shared" si="20"/>
        <v>0</v>
      </c>
    </row>
    <row r="381" spans="1:39" s="500" customFormat="1" ht="13.35" customHeight="1">
      <c r="A381" s="542" t="s">
        <v>875</v>
      </c>
      <c r="B381" s="542" t="s">
        <v>1272</v>
      </c>
      <c r="C381" s="616"/>
      <c r="D381" s="519"/>
      <c r="E381" s="520"/>
      <c r="F381" s="726"/>
      <c r="G381" s="520"/>
      <c r="H381" s="520"/>
      <c r="I381" s="521"/>
      <c r="J381" s="521"/>
      <c r="K381" s="772"/>
      <c r="L381" s="514"/>
      <c r="M381" s="756"/>
      <c r="N381" s="514"/>
      <c r="O381" s="514"/>
      <c r="P381" s="514"/>
      <c r="Q381" s="514"/>
      <c r="R381" s="514"/>
      <c r="S381" s="514"/>
      <c r="T381" s="756"/>
      <c r="U381" s="514"/>
      <c r="V381" s="514"/>
      <c r="W381" s="514"/>
      <c r="X381" s="514"/>
      <c r="Y381" s="514"/>
      <c r="Z381" s="514"/>
      <c r="AA381" s="756"/>
      <c r="AB381" s="764"/>
      <c r="AC381" s="514"/>
      <c r="AD381" s="514"/>
      <c r="AE381" s="698"/>
      <c r="AF381" s="514"/>
      <c r="AG381" s="514"/>
      <c r="AH381" s="789"/>
      <c r="AI381" s="946">
        <f t="shared" si="18"/>
        <v>0</v>
      </c>
      <c r="AJ381" s="521">
        <v>0</v>
      </c>
      <c r="AK381" s="520">
        <f t="shared" si="19"/>
        <v>0</v>
      </c>
      <c r="AL381" s="695" t="s">
        <v>1655</v>
      </c>
      <c r="AM381" s="669">
        <f t="shared" si="20"/>
        <v>65.92</v>
      </c>
    </row>
    <row r="382" spans="1:39" s="500" customFormat="1" ht="13.35" customHeight="1">
      <c r="A382" s="539" t="s">
        <v>876</v>
      </c>
      <c r="B382" s="539" t="s">
        <v>1273</v>
      </c>
      <c r="C382" s="548" t="s">
        <v>37</v>
      </c>
      <c r="D382" s="519"/>
      <c r="E382" s="520"/>
      <c r="F382" s="726"/>
      <c r="G382" s="520"/>
      <c r="H382" s="520"/>
      <c r="I382" s="521"/>
      <c r="J382" s="521"/>
      <c r="K382" s="772"/>
      <c r="L382" s="514"/>
      <c r="M382" s="756"/>
      <c r="N382" s="514"/>
      <c r="O382" s="514"/>
      <c r="P382" s="514"/>
      <c r="Q382" s="514"/>
      <c r="R382" s="514"/>
      <c r="S382" s="514"/>
      <c r="T382" s="756"/>
      <c r="U382" s="514"/>
      <c r="V382" s="514"/>
      <c r="W382" s="514"/>
      <c r="X382" s="514"/>
      <c r="Y382" s="514"/>
      <c r="Z382" s="514"/>
      <c r="AA382" s="756"/>
      <c r="AB382" s="764"/>
      <c r="AC382" s="514"/>
      <c r="AD382" s="514"/>
      <c r="AE382" s="698"/>
      <c r="AF382" s="514"/>
      <c r="AG382" s="514"/>
      <c r="AH382" s="789"/>
      <c r="AI382" s="946">
        <f t="shared" si="18"/>
        <v>0</v>
      </c>
      <c r="AJ382" s="521">
        <v>0</v>
      </c>
      <c r="AK382" s="520">
        <f t="shared" si="19"/>
        <v>0</v>
      </c>
      <c r="AL382" s="695" t="s">
        <v>1648</v>
      </c>
      <c r="AM382" s="669">
        <f t="shared" si="20"/>
        <v>99.99</v>
      </c>
    </row>
    <row r="383" spans="1:39" s="500" customFormat="1" ht="13.35" customHeight="1">
      <c r="A383" s="539" t="s">
        <v>877</v>
      </c>
      <c r="B383" s="539" t="s">
        <v>1274</v>
      </c>
      <c r="C383" s="548" t="s">
        <v>37</v>
      </c>
      <c r="D383" s="519"/>
      <c r="E383" s="520"/>
      <c r="F383" s="726"/>
      <c r="G383" s="520"/>
      <c r="H383" s="520"/>
      <c r="I383" s="521"/>
      <c r="J383" s="521"/>
      <c r="K383" s="772"/>
      <c r="L383" s="514"/>
      <c r="M383" s="756"/>
      <c r="N383" s="514"/>
      <c r="O383" s="514"/>
      <c r="P383" s="514"/>
      <c r="Q383" s="514"/>
      <c r="R383" s="514"/>
      <c r="S383" s="514"/>
      <c r="T383" s="756"/>
      <c r="U383" s="514"/>
      <c r="V383" s="514"/>
      <c r="W383" s="514"/>
      <c r="X383" s="514"/>
      <c r="Y383" s="514"/>
      <c r="Z383" s="514"/>
      <c r="AA383" s="756"/>
      <c r="AB383" s="764"/>
      <c r="AC383" s="514"/>
      <c r="AD383" s="514"/>
      <c r="AE383" s="698"/>
      <c r="AF383" s="514"/>
      <c r="AG383" s="514"/>
      <c r="AH383" s="789"/>
      <c r="AI383" s="946">
        <f t="shared" si="18"/>
        <v>0</v>
      </c>
      <c r="AJ383" s="521">
        <v>0</v>
      </c>
      <c r="AK383" s="520">
        <f t="shared" si="19"/>
        <v>0</v>
      </c>
      <c r="AL383" s="695" t="s">
        <v>1649</v>
      </c>
      <c r="AM383" s="669">
        <f t="shared" si="20"/>
        <v>60.07</v>
      </c>
    </row>
    <row r="384" spans="1:39" s="500" customFormat="1" ht="13.35" customHeight="1">
      <c r="A384" s="539" t="s">
        <v>878</v>
      </c>
      <c r="B384" s="539" t="s">
        <v>1275</v>
      </c>
      <c r="C384" s="548" t="s">
        <v>37</v>
      </c>
      <c r="D384" s="519"/>
      <c r="E384" s="520"/>
      <c r="F384" s="726"/>
      <c r="G384" s="520"/>
      <c r="H384" s="520"/>
      <c r="I384" s="521"/>
      <c r="J384" s="521"/>
      <c r="K384" s="772"/>
      <c r="L384" s="514"/>
      <c r="M384" s="756"/>
      <c r="N384" s="514"/>
      <c r="O384" s="514"/>
      <c r="P384" s="514"/>
      <c r="Q384" s="514"/>
      <c r="R384" s="514"/>
      <c r="S384" s="514"/>
      <c r="T384" s="756"/>
      <c r="U384" s="514"/>
      <c r="V384" s="514"/>
      <c r="W384" s="514"/>
      <c r="X384" s="514"/>
      <c r="Y384" s="514"/>
      <c r="Z384" s="514"/>
      <c r="AA384" s="756"/>
      <c r="AB384" s="764"/>
      <c r="AC384" s="514"/>
      <c r="AD384" s="514"/>
      <c r="AE384" s="698"/>
      <c r="AF384" s="514"/>
      <c r="AG384" s="514"/>
      <c r="AH384" s="789"/>
      <c r="AI384" s="946">
        <f t="shared" si="18"/>
        <v>0</v>
      </c>
      <c r="AJ384" s="521">
        <v>0</v>
      </c>
      <c r="AK384" s="520">
        <f t="shared" si="19"/>
        <v>0</v>
      </c>
      <c r="AL384" s="695" t="s">
        <v>1650</v>
      </c>
      <c r="AM384" s="669">
        <f t="shared" si="20"/>
        <v>33.6</v>
      </c>
    </row>
    <row r="385" spans="1:39" s="500" customFormat="1" ht="13.35" customHeight="1">
      <c r="A385" s="539" t="s">
        <v>879</v>
      </c>
      <c r="B385" s="539" t="s">
        <v>1276</v>
      </c>
      <c r="C385" s="548" t="s">
        <v>37</v>
      </c>
      <c r="D385" s="519"/>
      <c r="E385" s="520"/>
      <c r="F385" s="726"/>
      <c r="G385" s="520"/>
      <c r="H385" s="520"/>
      <c r="I385" s="521"/>
      <c r="J385" s="521"/>
      <c r="K385" s="772"/>
      <c r="L385" s="514"/>
      <c r="M385" s="756"/>
      <c r="N385" s="514"/>
      <c r="O385" s="514"/>
      <c r="P385" s="514"/>
      <c r="Q385" s="514"/>
      <c r="R385" s="514"/>
      <c r="S385" s="514"/>
      <c r="T385" s="756"/>
      <c r="U385" s="514"/>
      <c r="V385" s="514"/>
      <c r="W385" s="514"/>
      <c r="X385" s="514"/>
      <c r="Y385" s="514"/>
      <c r="Z385" s="514"/>
      <c r="AA385" s="756"/>
      <c r="AB385" s="764"/>
      <c r="AC385" s="514"/>
      <c r="AD385" s="514"/>
      <c r="AE385" s="698"/>
      <c r="AF385" s="514"/>
      <c r="AG385" s="514"/>
      <c r="AH385" s="789"/>
      <c r="AI385" s="946">
        <f t="shared" si="18"/>
        <v>0</v>
      </c>
      <c r="AJ385" s="521">
        <v>0</v>
      </c>
      <c r="AK385" s="520">
        <f t="shared" si="19"/>
        <v>0</v>
      </c>
      <c r="AL385" s="695" t="s">
        <v>1651</v>
      </c>
      <c r="AM385" s="669">
        <f t="shared" si="20"/>
        <v>27.42</v>
      </c>
    </row>
    <row r="386" spans="1:39" s="500" customFormat="1" ht="13.35" customHeight="1">
      <c r="A386" s="539" t="s">
        <v>880</v>
      </c>
      <c r="B386" s="539" t="s">
        <v>1277</v>
      </c>
      <c r="C386" s="548" t="s">
        <v>37</v>
      </c>
      <c r="D386" s="519"/>
      <c r="E386" s="520"/>
      <c r="F386" s="726"/>
      <c r="G386" s="520"/>
      <c r="H386" s="520"/>
      <c r="I386" s="521"/>
      <c r="J386" s="521"/>
      <c r="K386" s="772"/>
      <c r="L386" s="514"/>
      <c r="M386" s="756"/>
      <c r="N386" s="514"/>
      <c r="O386" s="514"/>
      <c r="P386" s="514"/>
      <c r="Q386" s="514"/>
      <c r="R386" s="514"/>
      <c r="S386" s="514"/>
      <c r="T386" s="756"/>
      <c r="U386" s="514"/>
      <c r="V386" s="514"/>
      <c r="W386" s="514"/>
      <c r="X386" s="514"/>
      <c r="Y386" s="514"/>
      <c r="Z386" s="514"/>
      <c r="AA386" s="756"/>
      <c r="AB386" s="764"/>
      <c r="AC386" s="514"/>
      <c r="AD386" s="514"/>
      <c r="AE386" s="698"/>
      <c r="AF386" s="514"/>
      <c r="AG386" s="514"/>
      <c r="AH386" s="789"/>
      <c r="AI386" s="946">
        <f t="shared" si="18"/>
        <v>0</v>
      </c>
      <c r="AJ386" s="521">
        <v>0</v>
      </c>
      <c r="AK386" s="520">
        <f t="shared" si="19"/>
        <v>0</v>
      </c>
      <c r="AL386" s="695" t="s">
        <v>1635</v>
      </c>
      <c r="AM386" s="669">
        <f t="shared" si="20"/>
        <v>15.8</v>
      </c>
    </row>
    <row r="387" spans="1:39" s="500" customFormat="1" ht="13.35" customHeight="1">
      <c r="A387" s="539" t="s">
        <v>881</v>
      </c>
      <c r="B387" s="539" t="s">
        <v>1278</v>
      </c>
      <c r="C387" s="548" t="s">
        <v>37</v>
      </c>
      <c r="D387" s="519"/>
      <c r="E387" s="520"/>
      <c r="F387" s="726"/>
      <c r="G387" s="520"/>
      <c r="H387" s="520"/>
      <c r="I387" s="521"/>
      <c r="J387" s="521"/>
      <c r="K387" s="772"/>
      <c r="L387" s="514"/>
      <c r="M387" s="756"/>
      <c r="N387" s="514"/>
      <c r="O387" s="514"/>
      <c r="P387" s="514"/>
      <c r="Q387" s="514"/>
      <c r="R387" s="514"/>
      <c r="S387" s="514"/>
      <c r="T387" s="756"/>
      <c r="U387" s="514"/>
      <c r="V387" s="514"/>
      <c r="W387" s="514"/>
      <c r="X387" s="514"/>
      <c r="Y387" s="514"/>
      <c r="Z387" s="514"/>
      <c r="AA387" s="756"/>
      <c r="AB387" s="764"/>
      <c r="AC387" s="514"/>
      <c r="AD387" s="514"/>
      <c r="AE387" s="698"/>
      <c r="AF387" s="514"/>
      <c r="AG387" s="514"/>
      <c r="AH387" s="789"/>
      <c r="AI387" s="946">
        <f t="shared" si="18"/>
        <v>0</v>
      </c>
      <c r="AJ387" s="521">
        <v>0</v>
      </c>
      <c r="AK387" s="520">
        <f t="shared" si="19"/>
        <v>0</v>
      </c>
      <c r="AL387" s="695" t="s">
        <v>1674</v>
      </c>
      <c r="AM387" s="669">
        <f t="shared" si="20"/>
        <v>14.7</v>
      </c>
    </row>
    <row r="388" spans="1:39" s="500" customFormat="1" ht="13.35" customHeight="1">
      <c r="A388" s="539" t="s">
        <v>882</v>
      </c>
      <c r="B388" s="539" t="s">
        <v>1279</v>
      </c>
      <c r="C388" s="548" t="s">
        <v>37</v>
      </c>
      <c r="D388" s="519"/>
      <c r="E388" s="520"/>
      <c r="F388" s="726"/>
      <c r="G388" s="520"/>
      <c r="H388" s="520"/>
      <c r="I388" s="521"/>
      <c r="J388" s="521"/>
      <c r="K388" s="772"/>
      <c r="L388" s="514"/>
      <c r="M388" s="756"/>
      <c r="N388" s="514"/>
      <c r="O388" s="514"/>
      <c r="P388" s="514"/>
      <c r="Q388" s="514"/>
      <c r="R388" s="514"/>
      <c r="S388" s="514"/>
      <c r="T388" s="756"/>
      <c r="U388" s="514"/>
      <c r="V388" s="514"/>
      <c r="W388" s="514"/>
      <c r="X388" s="514"/>
      <c r="Y388" s="514"/>
      <c r="Z388" s="514"/>
      <c r="AA388" s="756"/>
      <c r="AB388" s="764"/>
      <c r="AC388" s="514"/>
      <c r="AD388" s="514"/>
      <c r="AE388" s="698"/>
      <c r="AF388" s="514"/>
      <c r="AG388" s="514"/>
      <c r="AH388" s="789"/>
      <c r="AI388" s="946">
        <f t="shared" si="18"/>
        <v>0</v>
      </c>
      <c r="AJ388" s="521">
        <v>0</v>
      </c>
      <c r="AK388" s="520">
        <f t="shared" si="19"/>
        <v>0</v>
      </c>
      <c r="AL388" s="695"/>
      <c r="AM388" s="669">
        <f t="shared" si="20"/>
        <v>0</v>
      </c>
    </row>
    <row r="389" spans="1:39" s="500" customFormat="1" ht="13.35" customHeight="1">
      <c r="A389" s="542" t="s">
        <v>883</v>
      </c>
      <c r="B389" s="542" t="s">
        <v>1280</v>
      </c>
      <c r="C389" s="616"/>
      <c r="D389" s="519"/>
      <c r="E389" s="520"/>
      <c r="F389" s="726"/>
      <c r="G389" s="520"/>
      <c r="H389" s="520"/>
      <c r="I389" s="521"/>
      <c r="J389" s="521"/>
      <c r="K389" s="772"/>
      <c r="L389" s="514"/>
      <c r="M389" s="756"/>
      <c r="N389" s="514"/>
      <c r="O389" s="514"/>
      <c r="P389" s="514"/>
      <c r="Q389" s="514"/>
      <c r="R389" s="514"/>
      <c r="S389" s="514"/>
      <c r="T389" s="756"/>
      <c r="U389" s="514"/>
      <c r="V389" s="514"/>
      <c r="W389" s="514"/>
      <c r="X389" s="514"/>
      <c r="Y389" s="514"/>
      <c r="Z389" s="514"/>
      <c r="AA389" s="756"/>
      <c r="AB389" s="764"/>
      <c r="AC389" s="514"/>
      <c r="AD389" s="514"/>
      <c r="AE389" s="698"/>
      <c r="AF389" s="514"/>
      <c r="AG389" s="514"/>
      <c r="AH389" s="789"/>
      <c r="AI389" s="946">
        <f t="shared" si="18"/>
        <v>0</v>
      </c>
      <c r="AJ389" s="521">
        <v>0</v>
      </c>
      <c r="AK389" s="520">
        <f t="shared" si="19"/>
        <v>0</v>
      </c>
      <c r="AL389" s="695" t="s">
        <v>1675</v>
      </c>
      <c r="AM389" s="669">
        <f t="shared" si="20"/>
        <v>8</v>
      </c>
    </row>
    <row r="390" spans="1:39" s="500" customFormat="1" ht="13.35" customHeight="1">
      <c r="A390" s="539" t="s">
        <v>884</v>
      </c>
      <c r="B390" s="539" t="s">
        <v>1281</v>
      </c>
      <c r="C390" s="548" t="s">
        <v>1450</v>
      </c>
      <c r="D390" s="519"/>
      <c r="E390" s="520"/>
      <c r="F390" s="726"/>
      <c r="G390" s="520"/>
      <c r="H390" s="520"/>
      <c r="I390" s="521"/>
      <c r="J390" s="521"/>
      <c r="K390" s="772"/>
      <c r="L390" s="514"/>
      <c r="M390" s="756"/>
      <c r="N390" s="514"/>
      <c r="O390" s="514"/>
      <c r="P390" s="514"/>
      <c r="Q390" s="514"/>
      <c r="R390" s="514"/>
      <c r="S390" s="514"/>
      <c r="T390" s="756"/>
      <c r="U390" s="514"/>
      <c r="V390" s="514"/>
      <c r="W390" s="514"/>
      <c r="X390" s="514"/>
      <c r="Y390" s="514"/>
      <c r="Z390" s="514"/>
      <c r="AA390" s="756"/>
      <c r="AB390" s="764"/>
      <c r="AC390" s="514"/>
      <c r="AD390" s="514"/>
      <c r="AE390" s="698"/>
      <c r="AF390" s="514"/>
      <c r="AG390" s="514"/>
      <c r="AH390" s="789"/>
      <c r="AI390" s="946">
        <f t="shared" si="18"/>
        <v>0</v>
      </c>
      <c r="AJ390" s="521">
        <v>0</v>
      </c>
      <c r="AK390" s="520">
        <f t="shared" si="19"/>
        <v>0</v>
      </c>
      <c r="AL390" s="695" t="s">
        <v>1455</v>
      </c>
      <c r="AM390" s="669">
        <f t="shared" si="20"/>
        <v>1</v>
      </c>
    </row>
    <row r="391" spans="1:39" s="500" customFormat="1" ht="13.35" customHeight="1">
      <c r="A391" s="539" t="s">
        <v>885</v>
      </c>
      <c r="B391" s="539" t="s">
        <v>1282</v>
      </c>
      <c r="C391" s="548" t="s">
        <v>64</v>
      </c>
      <c r="D391" s="519"/>
      <c r="E391" s="520"/>
      <c r="F391" s="726"/>
      <c r="G391" s="520"/>
      <c r="H391" s="520"/>
      <c r="I391" s="521"/>
      <c r="J391" s="521"/>
      <c r="K391" s="772"/>
      <c r="L391" s="514"/>
      <c r="M391" s="756"/>
      <c r="N391" s="514"/>
      <c r="O391" s="514"/>
      <c r="P391" s="514"/>
      <c r="Q391" s="514"/>
      <c r="R391" s="514"/>
      <c r="S391" s="514"/>
      <c r="T391" s="756"/>
      <c r="U391" s="514"/>
      <c r="V391" s="514"/>
      <c r="W391" s="514"/>
      <c r="X391" s="514"/>
      <c r="Y391" s="514"/>
      <c r="Z391" s="514"/>
      <c r="AA391" s="756"/>
      <c r="AB391" s="764"/>
      <c r="AC391" s="514"/>
      <c r="AD391" s="514"/>
      <c r="AE391" s="698"/>
      <c r="AF391" s="514"/>
      <c r="AG391" s="514"/>
      <c r="AH391" s="789"/>
      <c r="AI391" s="946">
        <f t="shared" si="18"/>
        <v>0</v>
      </c>
      <c r="AJ391" s="521">
        <v>0</v>
      </c>
      <c r="AK391" s="520">
        <f t="shared" si="19"/>
        <v>0</v>
      </c>
      <c r="AL391" s="695" t="s">
        <v>1676</v>
      </c>
      <c r="AM391" s="669">
        <f t="shared" si="20"/>
        <v>19.84</v>
      </c>
    </row>
    <row r="392" spans="1:39" s="500" customFormat="1" ht="13.35" customHeight="1">
      <c r="A392" s="539" t="s">
        <v>886</v>
      </c>
      <c r="B392" s="539" t="s">
        <v>1283</v>
      </c>
      <c r="C392" s="548" t="s">
        <v>37</v>
      </c>
      <c r="D392" s="519"/>
      <c r="E392" s="520"/>
      <c r="F392" s="726"/>
      <c r="G392" s="520"/>
      <c r="H392" s="520"/>
      <c r="I392" s="521"/>
      <c r="J392" s="521"/>
      <c r="K392" s="772"/>
      <c r="L392" s="514"/>
      <c r="M392" s="756"/>
      <c r="N392" s="514"/>
      <c r="O392" s="514"/>
      <c r="P392" s="514"/>
      <c r="Q392" s="514"/>
      <c r="R392" s="514"/>
      <c r="S392" s="514"/>
      <c r="T392" s="756"/>
      <c r="U392" s="514"/>
      <c r="V392" s="514"/>
      <c r="W392" s="514"/>
      <c r="X392" s="514"/>
      <c r="Y392" s="514"/>
      <c r="Z392" s="514"/>
      <c r="AA392" s="756"/>
      <c r="AB392" s="764"/>
      <c r="AC392" s="514"/>
      <c r="AD392" s="514"/>
      <c r="AE392" s="698"/>
      <c r="AF392" s="514"/>
      <c r="AG392" s="514"/>
      <c r="AH392" s="789"/>
      <c r="AI392" s="946">
        <f t="shared" si="18"/>
        <v>0</v>
      </c>
      <c r="AJ392" s="521">
        <v>0</v>
      </c>
      <c r="AK392" s="520">
        <f t="shared" si="19"/>
        <v>0</v>
      </c>
      <c r="AL392" s="695"/>
      <c r="AM392" s="669">
        <f t="shared" si="20"/>
        <v>0</v>
      </c>
    </row>
    <row r="393" spans="1:39" s="500" customFormat="1" ht="13.35" customHeight="1">
      <c r="A393" s="440" t="s">
        <v>484</v>
      </c>
      <c r="B393" s="543" t="s">
        <v>1155</v>
      </c>
      <c r="C393" s="616"/>
      <c r="D393" s="519"/>
      <c r="E393" s="520"/>
      <c r="F393" s="726"/>
      <c r="G393" s="520"/>
      <c r="H393" s="520"/>
      <c r="I393" s="521"/>
      <c r="J393" s="521"/>
      <c r="K393" s="772"/>
      <c r="L393" s="514"/>
      <c r="M393" s="756"/>
      <c r="N393" s="514"/>
      <c r="O393" s="514"/>
      <c r="P393" s="514"/>
      <c r="Q393" s="514"/>
      <c r="R393" s="514"/>
      <c r="S393" s="514"/>
      <c r="T393" s="756"/>
      <c r="U393" s="514"/>
      <c r="V393" s="514"/>
      <c r="W393" s="514"/>
      <c r="X393" s="514"/>
      <c r="Y393" s="514"/>
      <c r="Z393" s="514"/>
      <c r="AA393" s="756"/>
      <c r="AB393" s="764"/>
      <c r="AC393" s="514"/>
      <c r="AD393" s="514"/>
      <c r="AE393" s="698"/>
      <c r="AF393" s="514"/>
      <c r="AG393" s="514"/>
      <c r="AH393" s="789"/>
      <c r="AI393" s="946">
        <f t="shared" si="18"/>
        <v>0</v>
      </c>
      <c r="AJ393" s="521">
        <v>0</v>
      </c>
      <c r="AK393" s="520">
        <f t="shared" si="19"/>
        <v>0</v>
      </c>
      <c r="AL393" s="695"/>
      <c r="AM393" s="669">
        <f t="shared" si="20"/>
        <v>0</v>
      </c>
    </row>
    <row r="394" spans="1:39" s="500" customFormat="1" ht="13.35" customHeight="1">
      <c r="A394" s="542" t="s">
        <v>485</v>
      </c>
      <c r="B394" s="542" t="s">
        <v>1236</v>
      </c>
      <c r="C394" s="616"/>
      <c r="D394" s="519"/>
      <c r="E394" s="520"/>
      <c r="F394" s="726"/>
      <c r="G394" s="520"/>
      <c r="H394" s="520"/>
      <c r="I394" s="521"/>
      <c r="J394" s="521"/>
      <c r="K394" s="772"/>
      <c r="L394" s="514"/>
      <c r="M394" s="756"/>
      <c r="N394" s="514"/>
      <c r="O394" s="514"/>
      <c r="P394" s="514"/>
      <c r="Q394" s="514"/>
      <c r="R394" s="514"/>
      <c r="S394" s="514"/>
      <c r="T394" s="756"/>
      <c r="U394" s="514"/>
      <c r="V394" s="514"/>
      <c r="W394" s="514"/>
      <c r="X394" s="514"/>
      <c r="Y394" s="514"/>
      <c r="Z394" s="514"/>
      <c r="AA394" s="756"/>
      <c r="AB394" s="764"/>
      <c r="AC394" s="514"/>
      <c r="AD394" s="514"/>
      <c r="AE394" s="698"/>
      <c r="AF394" s="514"/>
      <c r="AG394" s="514"/>
      <c r="AH394" s="789"/>
      <c r="AI394" s="946">
        <f t="shared" si="18"/>
        <v>0</v>
      </c>
      <c r="AJ394" s="521">
        <v>0</v>
      </c>
      <c r="AK394" s="520">
        <f t="shared" si="19"/>
        <v>0</v>
      </c>
      <c r="AL394" s="695" t="s">
        <v>1677</v>
      </c>
      <c r="AM394" s="669">
        <f t="shared" si="20"/>
        <v>45.75</v>
      </c>
    </row>
    <row r="395" spans="1:39" s="500" customFormat="1" ht="13.35" customHeight="1">
      <c r="A395" s="539" t="s">
        <v>887</v>
      </c>
      <c r="B395" s="539" t="s">
        <v>1237</v>
      </c>
      <c r="C395" s="548" t="s">
        <v>37</v>
      </c>
      <c r="D395" s="519"/>
      <c r="E395" s="520"/>
      <c r="F395" s="726"/>
      <c r="G395" s="520"/>
      <c r="H395" s="520"/>
      <c r="I395" s="521"/>
      <c r="J395" s="521"/>
      <c r="K395" s="772"/>
      <c r="L395" s="514"/>
      <c r="M395" s="756"/>
      <c r="N395" s="514"/>
      <c r="O395" s="514"/>
      <c r="P395" s="514"/>
      <c r="Q395" s="514"/>
      <c r="R395" s="514"/>
      <c r="S395" s="514"/>
      <c r="T395" s="756"/>
      <c r="U395" s="514"/>
      <c r="V395" s="514"/>
      <c r="W395" s="514"/>
      <c r="X395" s="514"/>
      <c r="Y395" s="514"/>
      <c r="Z395" s="514"/>
      <c r="AA395" s="756"/>
      <c r="AB395" s="764"/>
      <c r="AC395" s="514"/>
      <c r="AD395" s="514"/>
      <c r="AE395" s="698"/>
      <c r="AF395" s="514"/>
      <c r="AG395" s="514"/>
      <c r="AH395" s="789"/>
      <c r="AI395" s="946">
        <f t="shared" si="18"/>
        <v>0</v>
      </c>
      <c r="AJ395" s="521">
        <v>0</v>
      </c>
      <c r="AK395" s="520">
        <f t="shared" si="19"/>
        <v>0</v>
      </c>
      <c r="AL395" s="695" t="s">
        <v>1678</v>
      </c>
      <c r="AM395" s="669">
        <f t="shared" si="20"/>
        <v>18.920000000000002</v>
      </c>
    </row>
    <row r="396" spans="1:39" s="500" customFormat="1" ht="13.35" customHeight="1">
      <c r="A396" s="539" t="s">
        <v>888</v>
      </c>
      <c r="B396" s="539" t="s">
        <v>1238</v>
      </c>
      <c r="C396" s="548" t="s">
        <v>37</v>
      </c>
      <c r="D396" s="519"/>
      <c r="E396" s="520"/>
      <c r="F396" s="726"/>
      <c r="G396" s="520"/>
      <c r="H396" s="520"/>
      <c r="I396" s="521"/>
      <c r="J396" s="521"/>
      <c r="K396" s="772"/>
      <c r="L396" s="514"/>
      <c r="M396" s="756"/>
      <c r="N396" s="514"/>
      <c r="O396" s="514"/>
      <c r="P396" s="514"/>
      <c r="Q396" s="514"/>
      <c r="R396" s="514"/>
      <c r="S396" s="514"/>
      <c r="T396" s="756"/>
      <c r="U396" s="514"/>
      <c r="V396" s="514"/>
      <c r="W396" s="514"/>
      <c r="X396" s="514"/>
      <c r="Y396" s="514"/>
      <c r="Z396" s="514"/>
      <c r="AA396" s="756"/>
      <c r="AB396" s="764"/>
      <c r="AC396" s="514"/>
      <c r="AD396" s="514"/>
      <c r="AE396" s="698"/>
      <c r="AF396" s="514"/>
      <c r="AG396" s="514"/>
      <c r="AH396" s="789"/>
      <c r="AI396" s="946">
        <f t="shared" ref="AI396:AI459" si="21">ROUND((SUM(D396:AH396)),2)</f>
        <v>0</v>
      </c>
      <c r="AJ396" s="521">
        <v>0</v>
      </c>
      <c r="AK396" s="520">
        <f t="shared" si="19"/>
        <v>0</v>
      </c>
      <c r="AL396" s="695"/>
      <c r="AM396" s="669">
        <f t="shared" si="20"/>
        <v>0</v>
      </c>
    </row>
    <row r="397" spans="1:39" s="500" customFormat="1" ht="13.35" customHeight="1">
      <c r="A397" s="542" t="s">
        <v>486</v>
      </c>
      <c r="B397" s="542" t="s">
        <v>1239</v>
      </c>
      <c r="C397" s="616"/>
      <c r="D397" s="519"/>
      <c r="E397" s="520"/>
      <c r="F397" s="726"/>
      <c r="G397" s="520"/>
      <c r="H397" s="520"/>
      <c r="I397" s="521"/>
      <c r="J397" s="521"/>
      <c r="K397" s="772"/>
      <c r="L397" s="514"/>
      <c r="M397" s="756"/>
      <c r="N397" s="514"/>
      <c r="O397" s="514"/>
      <c r="P397" s="514"/>
      <c r="Q397" s="514"/>
      <c r="R397" s="514"/>
      <c r="S397" s="514"/>
      <c r="T397" s="756"/>
      <c r="U397" s="514"/>
      <c r="V397" s="514"/>
      <c r="W397" s="514"/>
      <c r="X397" s="514"/>
      <c r="Y397" s="514"/>
      <c r="Z397" s="514"/>
      <c r="AA397" s="756"/>
      <c r="AB397" s="764"/>
      <c r="AC397" s="514"/>
      <c r="AD397" s="514"/>
      <c r="AE397" s="698"/>
      <c r="AF397" s="514"/>
      <c r="AG397" s="514"/>
      <c r="AH397" s="789"/>
      <c r="AI397" s="946">
        <f t="shared" si="21"/>
        <v>0</v>
      </c>
      <c r="AJ397" s="521">
        <v>0</v>
      </c>
      <c r="AK397" s="520">
        <f t="shared" si="19"/>
        <v>0</v>
      </c>
      <c r="AL397" s="695" t="s">
        <v>1679</v>
      </c>
      <c r="AM397" s="669">
        <f t="shared" si="20"/>
        <v>83.58</v>
      </c>
    </row>
    <row r="398" spans="1:39" s="500" customFormat="1" ht="13.35" customHeight="1">
      <c r="A398" s="539" t="s">
        <v>889</v>
      </c>
      <c r="B398" s="539" t="s">
        <v>1240</v>
      </c>
      <c r="C398" s="548" t="s">
        <v>37</v>
      </c>
      <c r="D398" s="519"/>
      <c r="E398" s="520"/>
      <c r="F398" s="726"/>
      <c r="G398" s="520"/>
      <c r="H398" s="520"/>
      <c r="I398" s="521"/>
      <c r="J398" s="521"/>
      <c r="K398" s="772"/>
      <c r="L398" s="514"/>
      <c r="M398" s="756"/>
      <c r="N398" s="514"/>
      <c r="O398" s="514"/>
      <c r="P398" s="514"/>
      <c r="Q398" s="514"/>
      <c r="R398" s="514"/>
      <c r="S398" s="514"/>
      <c r="T398" s="756"/>
      <c r="U398" s="514"/>
      <c r="V398" s="514"/>
      <c r="W398" s="514"/>
      <c r="X398" s="514"/>
      <c r="Y398" s="514"/>
      <c r="Z398" s="514"/>
      <c r="AA398" s="756"/>
      <c r="AB398" s="764"/>
      <c r="AC398" s="514"/>
      <c r="AD398" s="514"/>
      <c r="AE398" s="698"/>
      <c r="AF398" s="514"/>
      <c r="AG398" s="514"/>
      <c r="AH398" s="789"/>
      <c r="AI398" s="946">
        <f t="shared" si="21"/>
        <v>0</v>
      </c>
      <c r="AJ398" s="521">
        <v>0</v>
      </c>
      <c r="AK398" s="520">
        <f t="shared" si="19"/>
        <v>0</v>
      </c>
      <c r="AL398" s="695" t="s">
        <v>1677</v>
      </c>
      <c r="AM398" s="669">
        <f t="shared" si="20"/>
        <v>45.75</v>
      </c>
    </row>
    <row r="399" spans="1:39" s="500" customFormat="1" ht="13.35" customHeight="1">
      <c r="A399" s="539" t="s">
        <v>890</v>
      </c>
      <c r="B399" s="539" t="s">
        <v>1241</v>
      </c>
      <c r="C399" s="548" t="s">
        <v>37</v>
      </c>
      <c r="D399" s="519"/>
      <c r="E399" s="520"/>
      <c r="F399" s="726"/>
      <c r="G399" s="520"/>
      <c r="H399" s="520"/>
      <c r="I399" s="521"/>
      <c r="J399" s="521"/>
      <c r="K399" s="772"/>
      <c r="L399" s="514"/>
      <c r="M399" s="756"/>
      <c r="N399" s="514"/>
      <c r="O399" s="514"/>
      <c r="P399" s="514"/>
      <c r="Q399" s="514"/>
      <c r="R399" s="514"/>
      <c r="S399" s="514"/>
      <c r="T399" s="756"/>
      <c r="U399" s="514"/>
      <c r="V399" s="514"/>
      <c r="W399" s="514"/>
      <c r="X399" s="514"/>
      <c r="Y399" s="514"/>
      <c r="Z399" s="514"/>
      <c r="AA399" s="756"/>
      <c r="AB399" s="764"/>
      <c r="AC399" s="514"/>
      <c r="AD399" s="514"/>
      <c r="AE399" s="698"/>
      <c r="AF399" s="514"/>
      <c r="AG399" s="514"/>
      <c r="AH399" s="789"/>
      <c r="AI399" s="946">
        <f t="shared" si="21"/>
        <v>0</v>
      </c>
      <c r="AJ399" s="521">
        <v>0</v>
      </c>
      <c r="AK399" s="520">
        <f t="shared" si="19"/>
        <v>0</v>
      </c>
      <c r="AL399" s="695" t="s">
        <v>1680</v>
      </c>
      <c r="AM399" s="669">
        <f t="shared" si="20"/>
        <v>12.95</v>
      </c>
    </row>
    <row r="400" spans="1:39" s="500" customFormat="1" ht="13.35" customHeight="1">
      <c r="A400" s="539" t="s">
        <v>891</v>
      </c>
      <c r="B400" s="539" t="s">
        <v>1242</v>
      </c>
      <c r="C400" s="548" t="s">
        <v>37</v>
      </c>
      <c r="D400" s="519"/>
      <c r="E400" s="520"/>
      <c r="F400" s="726"/>
      <c r="G400" s="520"/>
      <c r="H400" s="520"/>
      <c r="I400" s="521"/>
      <c r="J400" s="521"/>
      <c r="K400" s="772"/>
      <c r="L400" s="514"/>
      <c r="M400" s="756"/>
      <c r="N400" s="514"/>
      <c r="O400" s="514"/>
      <c r="P400" s="514"/>
      <c r="Q400" s="514"/>
      <c r="R400" s="514"/>
      <c r="S400" s="514"/>
      <c r="T400" s="756"/>
      <c r="U400" s="514"/>
      <c r="V400" s="514"/>
      <c r="W400" s="514"/>
      <c r="X400" s="514"/>
      <c r="Y400" s="514"/>
      <c r="Z400" s="514"/>
      <c r="AA400" s="756"/>
      <c r="AB400" s="764"/>
      <c r="AC400" s="514"/>
      <c r="AD400" s="514"/>
      <c r="AE400" s="698"/>
      <c r="AF400" s="514"/>
      <c r="AG400" s="514"/>
      <c r="AH400" s="789"/>
      <c r="AI400" s="946">
        <f t="shared" si="21"/>
        <v>0</v>
      </c>
      <c r="AJ400" s="521">
        <v>0</v>
      </c>
      <c r="AK400" s="520">
        <f t="shared" si="19"/>
        <v>0</v>
      </c>
      <c r="AL400" s="695" t="s">
        <v>1681</v>
      </c>
      <c r="AM400" s="669">
        <f t="shared" si="20"/>
        <v>24.87</v>
      </c>
    </row>
    <row r="401" spans="1:39" s="500" customFormat="1" ht="13.35" customHeight="1">
      <c r="A401" s="539" t="s">
        <v>892</v>
      </c>
      <c r="B401" s="539" t="s">
        <v>1243</v>
      </c>
      <c r="C401" s="548" t="s">
        <v>37</v>
      </c>
      <c r="D401" s="519"/>
      <c r="E401" s="520"/>
      <c r="F401" s="726"/>
      <c r="G401" s="520"/>
      <c r="H401" s="520"/>
      <c r="I401" s="521"/>
      <c r="J401" s="521"/>
      <c r="K401" s="772"/>
      <c r="L401" s="514"/>
      <c r="M401" s="756"/>
      <c r="N401" s="514"/>
      <c r="O401" s="514"/>
      <c r="P401" s="514"/>
      <c r="Q401" s="514"/>
      <c r="R401" s="514"/>
      <c r="S401" s="514"/>
      <c r="T401" s="756"/>
      <c r="U401" s="514"/>
      <c r="V401" s="514"/>
      <c r="W401" s="514"/>
      <c r="X401" s="514"/>
      <c r="Y401" s="514"/>
      <c r="Z401" s="514"/>
      <c r="AA401" s="756"/>
      <c r="AB401" s="764"/>
      <c r="AC401" s="514"/>
      <c r="AD401" s="514"/>
      <c r="AE401" s="698"/>
      <c r="AF401" s="514"/>
      <c r="AG401" s="514"/>
      <c r="AH401" s="789"/>
      <c r="AI401" s="946">
        <f t="shared" si="21"/>
        <v>0</v>
      </c>
      <c r="AJ401" s="521">
        <v>0</v>
      </c>
      <c r="AK401" s="520">
        <f t="shared" si="19"/>
        <v>0</v>
      </c>
      <c r="AL401" s="695" t="s">
        <v>1682</v>
      </c>
      <c r="AM401" s="669">
        <f t="shared" si="20"/>
        <v>17.22</v>
      </c>
    </row>
    <row r="402" spans="1:39" s="500" customFormat="1" ht="13.35" customHeight="1">
      <c r="A402" s="539" t="s">
        <v>893</v>
      </c>
      <c r="B402" s="539" t="s">
        <v>1244</v>
      </c>
      <c r="C402" s="548" t="s">
        <v>37</v>
      </c>
      <c r="D402" s="519"/>
      <c r="E402" s="520"/>
      <c r="F402" s="726"/>
      <c r="G402" s="520"/>
      <c r="H402" s="520"/>
      <c r="I402" s="521"/>
      <c r="J402" s="521"/>
      <c r="K402" s="772"/>
      <c r="L402" s="514"/>
      <c r="M402" s="756"/>
      <c r="N402" s="514"/>
      <c r="O402" s="514"/>
      <c r="P402" s="514"/>
      <c r="Q402" s="514"/>
      <c r="R402" s="514"/>
      <c r="S402" s="514"/>
      <c r="T402" s="756"/>
      <c r="U402" s="514"/>
      <c r="V402" s="514"/>
      <c r="W402" s="514"/>
      <c r="X402" s="514"/>
      <c r="Y402" s="514"/>
      <c r="Z402" s="514"/>
      <c r="AA402" s="756"/>
      <c r="AB402" s="764"/>
      <c r="AC402" s="514"/>
      <c r="AD402" s="514"/>
      <c r="AE402" s="698"/>
      <c r="AF402" s="514"/>
      <c r="AG402" s="514"/>
      <c r="AH402" s="789"/>
      <c r="AI402" s="946">
        <f t="shared" si="21"/>
        <v>0</v>
      </c>
      <c r="AJ402" s="521">
        <v>0</v>
      </c>
      <c r="AK402" s="520">
        <f t="shared" si="19"/>
        <v>0</v>
      </c>
      <c r="AL402" s="695" t="s">
        <v>1683</v>
      </c>
      <c r="AM402" s="669">
        <f t="shared" si="20"/>
        <v>48.7</v>
      </c>
    </row>
    <row r="403" spans="1:39" s="500" customFormat="1" ht="13.35" customHeight="1">
      <c r="A403" s="539" t="s">
        <v>894</v>
      </c>
      <c r="B403" s="539" t="s">
        <v>1245</v>
      </c>
      <c r="C403" s="548" t="s">
        <v>38</v>
      </c>
      <c r="D403" s="519"/>
      <c r="E403" s="520"/>
      <c r="F403" s="726"/>
      <c r="G403" s="520"/>
      <c r="H403" s="520"/>
      <c r="I403" s="521"/>
      <c r="J403" s="521"/>
      <c r="K403" s="772"/>
      <c r="L403" s="514"/>
      <c r="M403" s="756"/>
      <c r="N403" s="514"/>
      <c r="O403" s="514"/>
      <c r="P403" s="514"/>
      <c r="Q403" s="514"/>
      <c r="R403" s="514"/>
      <c r="S403" s="514"/>
      <c r="T403" s="756"/>
      <c r="U403" s="514"/>
      <c r="V403" s="514"/>
      <c r="W403" s="514"/>
      <c r="X403" s="514"/>
      <c r="Y403" s="514"/>
      <c r="Z403" s="514"/>
      <c r="AA403" s="756"/>
      <c r="AB403" s="764"/>
      <c r="AC403" s="514"/>
      <c r="AD403" s="514"/>
      <c r="AE403" s="698"/>
      <c r="AF403" s="514"/>
      <c r="AG403" s="514"/>
      <c r="AH403" s="789"/>
      <c r="AI403" s="946">
        <f t="shared" si="21"/>
        <v>0</v>
      </c>
      <c r="AJ403" s="521">
        <v>0</v>
      </c>
      <c r="AK403" s="520">
        <f t="shared" si="19"/>
        <v>0</v>
      </c>
      <c r="AL403" s="695" t="s">
        <v>1684</v>
      </c>
      <c r="AM403" s="669">
        <f t="shared" si="20"/>
        <v>172.48</v>
      </c>
    </row>
    <row r="404" spans="1:39" s="500" customFormat="1" ht="13.35" customHeight="1">
      <c r="A404" s="539" t="s">
        <v>895</v>
      </c>
      <c r="B404" s="539" t="s">
        <v>1246</v>
      </c>
      <c r="C404" s="548" t="s">
        <v>38</v>
      </c>
      <c r="D404" s="519"/>
      <c r="E404" s="520"/>
      <c r="F404" s="726"/>
      <c r="G404" s="520"/>
      <c r="H404" s="520"/>
      <c r="I404" s="521"/>
      <c r="J404" s="521"/>
      <c r="K404" s="772"/>
      <c r="L404" s="514"/>
      <c r="M404" s="756"/>
      <c r="N404" s="514"/>
      <c r="O404" s="514"/>
      <c r="P404" s="514"/>
      <c r="Q404" s="514"/>
      <c r="R404" s="514"/>
      <c r="S404" s="514"/>
      <c r="T404" s="756"/>
      <c r="U404" s="514"/>
      <c r="V404" s="514"/>
      <c r="W404" s="514"/>
      <c r="X404" s="514"/>
      <c r="Y404" s="514"/>
      <c r="Z404" s="514"/>
      <c r="AA404" s="756"/>
      <c r="AB404" s="764"/>
      <c r="AC404" s="514"/>
      <c r="AD404" s="514"/>
      <c r="AE404" s="698"/>
      <c r="AF404" s="514"/>
      <c r="AG404" s="514"/>
      <c r="AH404" s="789"/>
      <c r="AI404" s="946">
        <f t="shared" si="21"/>
        <v>0</v>
      </c>
      <c r="AJ404" s="521">
        <v>0</v>
      </c>
      <c r="AK404" s="520">
        <f t="shared" ref="AK404:AK467" si="22">AI404+AJ404</f>
        <v>0</v>
      </c>
      <c r="AL404" s="695"/>
      <c r="AM404" s="669">
        <f t="shared" ref="AM404:AM467" si="23">AL404-AK404</f>
        <v>0</v>
      </c>
    </row>
    <row r="405" spans="1:39" s="500" customFormat="1" ht="13.35" customHeight="1">
      <c r="A405" s="542" t="s">
        <v>487</v>
      </c>
      <c r="B405" s="542" t="s">
        <v>1247</v>
      </c>
      <c r="C405" s="616"/>
      <c r="D405" s="519"/>
      <c r="E405" s="520"/>
      <c r="F405" s="726"/>
      <c r="G405" s="520"/>
      <c r="H405" s="520"/>
      <c r="I405" s="521"/>
      <c r="J405" s="521"/>
      <c r="K405" s="772"/>
      <c r="L405" s="514"/>
      <c r="M405" s="756"/>
      <c r="N405" s="514"/>
      <c r="O405" s="514"/>
      <c r="P405" s="514"/>
      <c r="Q405" s="514"/>
      <c r="R405" s="514"/>
      <c r="S405" s="514"/>
      <c r="T405" s="756"/>
      <c r="U405" s="514"/>
      <c r="V405" s="514"/>
      <c r="W405" s="514"/>
      <c r="X405" s="514"/>
      <c r="Y405" s="514"/>
      <c r="Z405" s="514"/>
      <c r="AA405" s="756"/>
      <c r="AB405" s="764"/>
      <c r="AC405" s="514"/>
      <c r="AD405" s="514"/>
      <c r="AE405" s="698"/>
      <c r="AF405" s="514"/>
      <c r="AG405" s="514"/>
      <c r="AH405" s="789"/>
      <c r="AI405" s="946">
        <f t="shared" si="21"/>
        <v>0</v>
      </c>
      <c r="AJ405" s="521">
        <v>0</v>
      </c>
      <c r="AK405" s="520">
        <f t="shared" si="22"/>
        <v>0</v>
      </c>
      <c r="AL405" s="695" t="s">
        <v>1685</v>
      </c>
      <c r="AM405" s="669">
        <f t="shared" si="23"/>
        <v>38.24</v>
      </c>
    </row>
    <row r="406" spans="1:39" s="500" customFormat="1" ht="13.35" customHeight="1">
      <c r="A406" s="539" t="s">
        <v>896</v>
      </c>
      <c r="B406" s="539" t="s">
        <v>1248</v>
      </c>
      <c r="C406" s="548" t="s">
        <v>37</v>
      </c>
      <c r="D406" s="519"/>
      <c r="E406" s="520"/>
      <c r="F406" s="726"/>
      <c r="G406" s="520"/>
      <c r="H406" s="520"/>
      <c r="I406" s="521"/>
      <c r="J406" s="521"/>
      <c r="K406" s="772"/>
      <c r="L406" s="514"/>
      <c r="M406" s="756"/>
      <c r="N406" s="514"/>
      <c r="O406" s="514"/>
      <c r="P406" s="514"/>
      <c r="Q406" s="514"/>
      <c r="R406" s="514"/>
      <c r="S406" s="514"/>
      <c r="T406" s="756"/>
      <c r="U406" s="514"/>
      <c r="V406" s="514"/>
      <c r="W406" s="514"/>
      <c r="X406" s="514"/>
      <c r="Y406" s="514"/>
      <c r="Z406" s="514"/>
      <c r="AA406" s="756"/>
      <c r="AB406" s="764"/>
      <c r="AC406" s="514"/>
      <c r="AD406" s="514"/>
      <c r="AE406" s="698"/>
      <c r="AF406" s="514"/>
      <c r="AG406" s="514"/>
      <c r="AH406" s="789"/>
      <c r="AI406" s="946">
        <f t="shared" si="21"/>
        <v>0</v>
      </c>
      <c r="AJ406" s="521">
        <v>0</v>
      </c>
      <c r="AK406" s="520">
        <f t="shared" si="22"/>
        <v>0</v>
      </c>
      <c r="AL406" s="695"/>
      <c r="AM406" s="669">
        <f t="shared" si="23"/>
        <v>0</v>
      </c>
    </row>
    <row r="407" spans="1:39" s="500" customFormat="1" ht="13.35" customHeight="1">
      <c r="A407" s="542" t="s">
        <v>897</v>
      </c>
      <c r="B407" s="542" t="s">
        <v>1249</v>
      </c>
      <c r="C407" s="616"/>
      <c r="D407" s="519"/>
      <c r="E407" s="520"/>
      <c r="F407" s="726"/>
      <c r="G407" s="520"/>
      <c r="H407" s="520"/>
      <c r="I407" s="521"/>
      <c r="J407" s="521"/>
      <c r="K407" s="772"/>
      <c r="L407" s="514"/>
      <c r="M407" s="756"/>
      <c r="N407" s="514"/>
      <c r="O407" s="514"/>
      <c r="P407" s="514"/>
      <c r="Q407" s="514"/>
      <c r="R407" s="514"/>
      <c r="S407" s="514"/>
      <c r="T407" s="756"/>
      <c r="U407" s="514"/>
      <c r="V407" s="514"/>
      <c r="W407" s="514"/>
      <c r="X407" s="514"/>
      <c r="Y407" s="514"/>
      <c r="Z407" s="514"/>
      <c r="AA407" s="756"/>
      <c r="AB407" s="764"/>
      <c r="AC407" s="514"/>
      <c r="AD407" s="514"/>
      <c r="AE407" s="698"/>
      <c r="AF407" s="514"/>
      <c r="AG407" s="514"/>
      <c r="AH407" s="789"/>
      <c r="AI407" s="946">
        <f t="shared" si="21"/>
        <v>0</v>
      </c>
      <c r="AJ407" s="521">
        <v>0</v>
      </c>
      <c r="AK407" s="520">
        <f t="shared" si="22"/>
        <v>0</v>
      </c>
      <c r="AL407" s="695" t="s">
        <v>1686</v>
      </c>
      <c r="AM407" s="669">
        <f t="shared" si="23"/>
        <v>33.03</v>
      </c>
    </row>
    <row r="408" spans="1:39" s="500" customFormat="1" ht="13.35" customHeight="1">
      <c r="A408" s="539" t="s">
        <v>898</v>
      </c>
      <c r="B408" s="539" t="s">
        <v>1250</v>
      </c>
      <c r="C408" s="548" t="s">
        <v>37</v>
      </c>
      <c r="D408" s="519"/>
      <c r="E408" s="520"/>
      <c r="F408" s="726"/>
      <c r="G408" s="520"/>
      <c r="H408" s="520"/>
      <c r="I408" s="521"/>
      <c r="J408" s="521"/>
      <c r="K408" s="772"/>
      <c r="L408" s="514"/>
      <c r="M408" s="756"/>
      <c r="N408" s="514"/>
      <c r="O408" s="514"/>
      <c r="P408" s="514"/>
      <c r="Q408" s="514"/>
      <c r="R408" s="514"/>
      <c r="S408" s="514"/>
      <c r="T408" s="756"/>
      <c r="U408" s="514"/>
      <c r="V408" s="514"/>
      <c r="W408" s="514"/>
      <c r="X408" s="514"/>
      <c r="Y408" s="514"/>
      <c r="Z408" s="514"/>
      <c r="AA408" s="756"/>
      <c r="AB408" s="764"/>
      <c r="AC408" s="514"/>
      <c r="AD408" s="514"/>
      <c r="AE408" s="698"/>
      <c r="AF408" s="514"/>
      <c r="AG408" s="514"/>
      <c r="AH408" s="789"/>
      <c r="AI408" s="946">
        <f t="shared" si="21"/>
        <v>0</v>
      </c>
      <c r="AJ408" s="521">
        <v>0</v>
      </c>
      <c r="AK408" s="520">
        <f t="shared" si="22"/>
        <v>0</v>
      </c>
      <c r="AL408" s="695" t="s">
        <v>1687</v>
      </c>
      <c r="AM408" s="669">
        <f t="shared" si="23"/>
        <v>30.08</v>
      </c>
    </row>
    <row r="409" spans="1:39" s="500" customFormat="1" ht="13.35" customHeight="1">
      <c r="A409" s="539" t="s">
        <v>899</v>
      </c>
      <c r="B409" s="539" t="s">
        <v>1251</v>
      </c>
      <c r="C409" s="548" t="s">
        <v>37</v>
      </c>
      <c r="D409" s="519"/>
      <c r="E409" s="520"/>
      <c r="F409" s="726"/>
      <c r="G409" s="520"/>
      <c r="H409" s="520"/>
      <c r="I409" s="521"/>
      <c r="J409" s="521"/>
      <c r="K409" s="772"/>
      <c r="L409" s="514"/>
      <c r="M409" s="756"/>
      <c r="N409" s="514"/>
      <c r="O409" s="514"/>
      <c r="P409" s="514"/>
      <c r="Q409" s="514"/>
      <c r="R409" s="514"/>
      <c r="S409" s="514"/>
      <c r="T409" s="756"/>
      <c r="U409" s="514"/>
      <c r="V409" s="514"/>
      <c r="W409" s="514"/>
      <c r="X409" s="514"/>
      <c r="Y409" s="514"/>
      <c r="Z409" s="514"/>
      <c r="AA409" s="756"/>
      <c r="AB409" s="764"/>
      <c r="AC409" s="514"/>
      <c r="AD409" s="514"/>
      <c r="AE409" s="698"/>
      <c r="AF409" s="514"/>
      <c r="AG409" s="514"/>
      <c r="AH409" s="789"/>
      <c r="AI409" s="946">
        <f t="shared" si="21"/>
        <v>0</v>
      </c>
      <c r="AJ409" s="521">
        <v>0</v>
      </c>
      <c r="AK409" s="520">
        <f t="shared" si="22"/>
        <v>0</v>
      </c>
      <c r="AL409" s="695" t="s">
        <v>1688</v>
      </c>
      <c r="AM409" s="669">
        <f t="shared" si="23"/>
        <v>2.95</v>
      </c>
    </row>
    <row r="410" spans="1:39" s="500" customFormat="1" ht="13.35" customHeight="1">
      <c r="A410" s="539" t="s">
        <v>900</v>
      </c>
      <c r="B410" s="539" t="s">
        <v>1252</v>
      </c>
      <c r="C410" s="548" t="s">
        <v>37</v>
      </c>
      <c r="D410" s="519"/>
      <c r="E410" s="520"/>
      <c r="F410" s="726"/>
      <c r="G410" s="520"/>
      <c r="H410" s="520"/>
      <c r="I410" s="521"/>
      <c r="J410" s="521"/>
      <c r="K410" s="772"/>
      <c r="L410" s="514"/>
      <c r="M410" s="756"/>
      <c r="N410" s="514"/>
      <c r="O410" s="514"/>
      <c r="P410" s="514"/>
      <c r="Q410" s="514"/>
      <c r="R410" s="514"/>
      <c r="S410" s="514"/>
      <c r="T410" s="756"/>
      <c r="U410" s="514"/>
      <c r="V410" s="514"/>
      <c r="W410" s="514"/>
      <c r="X410" s="514"/>
      <c r="Y410" s="514"/>
      <c r="Z410" s="514"/>
      <c r="AA410" s="756"/>
      <c r="AB410" s="764"/>
      <c r="AC410" s="514"/>
      <c r="AD410" s="514"/>
      <c r="AE410" s="698"/>
      <c r="AF410" s="514"/>
      <c r="AG410" s="514"/>
      <c r="AH410" s="789"/>
      <c r="AI410" s="946">
        <f t="shared" si="21"/>
        <v>0</v>
      </c>
      <c r="AJ410" s="521">
        <v>0</v>
      </c>
      <c r="AK410" s="520">
        <f t="shared" si="22"/>
        <v>0</v>
      </c>
      <c r="AL410" s="695"/>
      <c r="AM410" s="669">
        <f t="shared" si="23"/>
        <v>0</v>
      </c>
    </row>
    <row r="411" spans="1:39" s="500" customFormat="1" ht="13.35" customHeight="1">
      <c r="A411" s="542" t="s">
        <v>901</v>
      </c>
      <c r="B411" s="542" t="s">
        <v>1253</v>
      </c>
      <c r="C411" s="616"/>
      <c r="D411" s="519"/>
      <c r="E411" s="520"/>
      <c r="F411" s="726"/>
      <c r="G411" s="520"/>
      <c r="H411" s="520"/>
      <c r="I411" s="521"/>
      <c r="J411" s="521"/>
      <c r="K411" s="772"/>
      <c r="L411" s="514"/>
      <c r="M411" s="756"/>
      <c r="N411" s="514"/>
      <c r="O411" s="514"/>
      <c r="P411" s="514"/>
      <c r="Q411" s="514"/>
      <c r="R411" s="514"/>
      <c r="S411" s="514"/>
      <c r="T411" s="756"/>
      <c r="U411" s="514"/>
      <c r="V411" s="514"/>
      <c r="W411" s="514"/>
      <c r="X411" s="514"/>
      <c r="Y411" s="514"/>
      <c r="Z411" s="514"/>
      <c r="AA411" s="756"/>
      <c r="AB411" s="764"/>
      <c r="AC411" s="514"/>
      <c r="AD411" s="514"/>
      <c r="AE411" s="698"/>
      <c r="AF411" s="514"/>
      <c r="AG411" s="514"/>
      <c r="AH411" s="789"/>
      <c r="AI411" s="946">
        <f t="shared" si="21"/>
        <v>0</v>
      </c>
      <c r="AJ411" s="521">
        <v>0</v>
      </c>
      <c r="AK411" s="520">
        <f t="shared" si="22"/>
        <v>0</v>
      </c>
      <c r="AL411" s="695" t="s">
        <v>1689</v>
      </c>
      <c r="AM411" s="669">
        <f t="shared" si="23"/>
        <v>6.15</v>
      </c>
    </row>
    <row r="412" spans="1:39" s="500" customFormat="1" ht="13.35" customHeight="1">
      <c r="A412" s="539" t="s">
        <v>902</v>
      </c>
      <c r="B412" s="539" t="s">
        <v>1294</v>
      </c>
      <c r="C412" s="548" t="s">
        <v>38</v>
      </c>
      <c r="D412" s="519"/>
      <c r="E412" s="520"/>
      <c r="F412" s="726"/>
      <c r="G412" s="520"/>
      <c r="H412" s="520"/>
      <c r="I412" s="521"/>
      <c r="J412" s="521"/>
      <c r="K412" s="772"/>
      <c r="L412" s="514"/>
      <c r="M412" s="756"/>
      <c r="N412" s="514"/>
      <c r="O412" s="514"/>
      <c r="P412" s="514"/>
      <c r="Q412" s="514"/>
      <c r="R412" s="514"/>
      <c r="S412" s="514"/>
      <c r="T412" s="756"/>
      <c r="U412" s="514"/>
      <c r="V412" s="514"/>
      <c r="W412" s="514"/>
      <c r="X412" s="514"/>
      <c r="Y412" s="514"/>
      <c r="Z412" s="514"/>
      <c r="AA412" s="756"/>
      <c r="AB412" s="764"/>
      <c r="AC412" s="514"/>
      <c r="AD412" s="514"/>
      <c r="AE412" s="698"/>
      <c r="AF412" s="514"/>
      <c r="AG412" s="514"/>
      <c r="AH412" s="789"/>
      <c r="AI412" s="946">
        <f t="shared" si="21"/>
        <v>0</v>
      </c>
      <c r="AJ412" s="521">
        <v>0</v>
      </c>
      <c r="AK412" s="520">
        <f t="shared" si="22"/>
        <v>0</v>
      </c>
      <c r="AL412" s="695" t="s">
        <v>1690</v>
      </c>
      <c r="AM412" s="669">
        <f t="shared" si="23"/>
        <v>2.77</v>
      </c>
    </row>
    <row r="413" spans="1:39" s="500" customFormat="1" ht="13.35" customHeight="1">
      <c r="A413" s="539" t="s">
        <v>903</v>
      </c>
      <c r="B413" s="539" t="s">
        <v>1255</v>
      </c>
      <c r="C413" s="548" t="s">
        <v>37</v>
      </c>
      <c r="D413" s="519"/>
      <c r="E413" s="520"/>
      <c r="F413" s="726"/>
      <c r="G413" s="520"/>
      <c r="H413" s="520"/>
      <c r="I413" s="521"/>
      <c r="J413" s="521"/>
      <c r="K413" s="772"/>
      <c r="L413" s="514"/>
      <c r="M413" s="756"/>
      <c r="N413" s="514"/>
      <c r="O413" s="514"/>
      <c r="P413" s="514"/>
      <c r="Q413" s="514"/>
      <c r="R413" s="514"/>
      <c r="S413" s="514"/>
      <c r="T413" s="756"/>
      <c r="U413" s="514"/>
      <c r="V413" s="514"/>
      <c r="W413" s="514"/>
      <c r="X413" s="514"/>
      <c r="Y413" s="514"/>
      <c r="Z413" s="514"/>
      <c r="AA413" s="756"/>
      <c r="AB413" s="764"/>
      <c r="AC413" s="514"/>
      <c r="AD413" s="514"/>
      <c r="AE413" s="698"/>
      <c r="AF413" s="514"/>
      <c r="AG413" s="514"/>
      <c r="AH413" s="789"/>
      <c r="AI413" s="946">
        <f t="shared" si="21"/>
        <v>0</v>
      </c>
      <c r="AJ413" s="521">
        <v>0</v>
      </c>
      <c r="AK413" s="520">
        <f t="shared" si="22"/>
        <v>0</v>
      </c>
      <c r="AL413" s="695"/>
      <c r="AM413" s="669">
        <f t="shared" si="23"/>
        <v>0</v>
      </c>
    </row>
    <row r="414" spans="1:39" s="500" customFormat="1" ht="13.35" customHeight="1">
      <c r="A414" s="542" t="s">
        <v>904</v>
      </c>
      <c r="B414" s="542" t="s">
        <v>1256</v>
      </c>
      <c r="C414" s="616"/>
      <c r="D414" s="519"/>
      <c r="E414" s="520"/>
      <c r="F414" s="726"/>
      <c r="G414" s="520"/>
      <c r="H414" s="520"/>
      <c r="I414" s="521"/>
      <c r="J414" s="521"/>
      <c r="K414" s="772"/>
      <c r="L414" s="514"/>
      <c r="M414" s="756"/>
      <c r="N414" s="514"/>
      <c r="O414" s="514"/>
      <c r="P414" s="514"/>
      <c r="Q414" s="514"/>
      <c r="R414" s="514"/>
      <c r="S414" s="514"/>
      <c r="T414" s="756"/>
      <c r="U414" s="514"/>
      <c r="V414" s="514"/>
      <c r="W414" s="514"/>
      <c r="X414" s="514"/>
      <c r="Y414" s="514"/>
      <c r="Z414" s="514"/>
      <c r="AA414" s="756"/>
      <c r="AB414" s="764"/>
      <c r="AC414" s="514"/>
      <c r="AD414" s="514"/>
      <c r="AE414" s="698"/>
      <c r="AF414" s="514"/>
      <c r="AG414" s="514"/>
      <c r="AH414" s="789"/>
      <c r="AI414" s="946">
        <f t="shared" si="21"/>
        <v>0</v>
      </c>
      <c r="AJ414" s="521">
        <v>0</v>
      </c>
      <c r="AK414" s="520">
        <f t="shared" si="22"/>
        <v>0</v>
      </c>
      <c r="AL414" s="695" t="s">
        <v>1691</v>
      </c>
      <c r="AM414" s="669">
        <f t="shared" si="23"/>
        <v>8.3000000000000007</v>
      </c>
    </row>
    <row r="415" spans="1:39" s="500" customFormat="1" ht="13.35" customHeight="1">
      <c r="A415" s="539" t="s">
        <v>905</v>
      </c>
      <c r="B415" s="539" t="s">
        <v>1257</v>
      </c>
      <c r="C415" s="548" t="s">
        <v>37</v>
      </c>
      <c r="D415" s="519"/>
      <c r="E415" s="520"/>
      <c r="F415" s="726"/>
      <c r="G415" s="520"/>
      <c r="H415" s="520"/>
      <c r="I415" s="521"/>
      <c r="J415" s="521"/>
      <c r="K415" s="772"/>
      <c r="L415" s="514"/>
      <c r="M415" s="756"/>
      <c r="N415" s="514"/>
      <c r="O415" s="514"/>
      <c r="P415" s="514"/>
      <c r="Q415" s="514"/>
      <c r="R415" s="514"/>
      <c r="S415" s="514"/>
      <c r="T415" s="756"/>
      <c r="U415" s="514"/>
      <c r="V415" s="514"/>
      <c r="W415" s="514"/>
      <c r="X415" s="514"/>
      <c r="Y415" s="514"/>
      <c r="Z415" s="514"/>
      <c r="AA415" s="756"/>
      <c r="AB415" s="764"/>
      <c r="AC415" s="514"/>
      <c r="AD415" s="1064">
        <v>4.1900000000000004</v>
      </c>
      <c r="AE415" s="698"/>
      <c r="AF415" s="514"/>
      <c r="AG415" s="514"/>
      <c r="AH415" s="789"/>
      <c r="AI415" s="1076">
        <f t="shared" si="21"/>
        <v>4.1900000000000004</v>
      </c>
      <c r="AJ415" s="521">
        <v>0</v>
      </c>
      <c r="AK415" s="520">
        <f t="shared" si="22"/>
        <v>4.1900000000000004</v>
      </c>
      <c r="AL415" s="695"/>
      <c r="AM415" s="669">
        <f t="shared" si="23"/>
        <v>-4.1900000000000004</v>
      </c>
    </row>
    <row r="416" spans="1:39" s="500" customFormat="1" ht="13.35" customHeight="1">
      <c r="A416" s="539" t="s">
        <v>906</v>
      </c>
      <c r="B416" s="539" t="s">
        <v>1258</v>
      </c>
      <c r="C416" s="616"/>
      <c r="D416" s="519"/>
      <c r="E416" s="520"/>
      <c r="F416" s="726"/>
      <c r="G416" s="520"/>
      <c r="H416" s="520"/>
      <c r="I416" s="521"/>
      <c r="J416" s="521"/>
      <c r="K416" s="772"/>
      <c r="L416" s="514"/>
      <c r="M416" s="756"/>
      <c r="N416" s="514"/>
      <c r="O416" s="514"/>
      <c r="P416" s="514"/>
      <c r="Q416" s="514"/>
      <c r="R416" s="514"/>
      <c r="S416" s="514"/>
      <c r="T416" s="756"/>
      <c r="U416" s="514"/>
      <c r="V416" s="514"/>
      <c r="W416" s="514"/>
      <c r="X416" s="514"/>
      <c r="Y416" s="514"/>
      <c r="Z416" s="514"/>
      <c r="AA416" s="756"/>
      <c r="AB416" s="764"/>
      <c r="AC416" s="514"/>
      <c r="AD416" s="514"/>
      <c r="AE416" s="698"/>
      <c r="AF416" s="514"/>
      <c r="AG416" s="514"/>
      <c r="AH416" s="789"/>
      <c r="AI416" s="946">
        <f t="shared" si="21"/>
        <v>0</v>
      </c>
      <c r="AJ416" s="521">
        <v>0</v>
      </c>
      <c r="AK416" s="520">
        <f t="shared" si="22"/>
        <v>0</v>
      </c>
      <c r="AL416" s="695" t="s">
        <v>1692</v>
      </c>
      <c r="AM416" s="669">
        <f t="shared" si="23"/>
        <v>6.66</v>
      </c>
    </row>
    <row r="417" spans="1:39" s="500" customFormat="1" ht="13.35" customHeight="1">
      <c r="A417" s="539" t="s">
        <v>907</v>
      </c>
      <c r="B417" s="539" t="s">
        <v>1259</v>
      </c>
      <c r="C417" s="548" t="s">
        <v>37</v>
      </c>
      <c r="D417" s="519"/>
      <c r="E417" s="520"/>
      <c r="F417" s="726"/>
      <c r="G417" s="520"/>
      <c r="H417" s="520"/>
      <c r="I417" s="521"/>
      <c r="J417" s="521"/>
      <c r="K417" s="772"/>
      <c r="L417" s="514"/>
      <c r="M417" s="756"/>
      <c r="N417" s="514"/>
      <c r="O417" s="514"/>
      <c r="P417" s="514"/>
      <c r="Q417" s="514"/>
      <c r="R417" s="514"/>
      <c r="S417" s="514"/>
      <c r="T417" s="756"/>
      <c r="U417" s="514"/>
      <c r="V417" s="514"/>
      <c r="W417" s="514"/>
      <c r="X417" s="514"/>
      <c r="Y417" s="514"/>
      <c r="Z417" s="514"/>
      <c r="AA417" s="756"/>
      <c r="AB417" s="764"/>
      <c r="AC417" s="514"/>
      <c r="AD417" s="514"/>
      <c r="AE417" s="698"/>
      <c r="AF417" s="514"/>
      <c r="AG417" s="514"/>
      <c r="AH417" s="789"/>
      <c r="AI417" s="946">
        <f t="shared" si="21"/>
        <v>0</v>
      </c>
      <c r="AJ417" s="521">
        <v>0</v>
      </c>
      <c r="AK417" s="520">
        <f t="shared" si="22"/>
        <v>0</v>
      </c>
      <c r="AL417" s="695" t="s">
        <v>1693</v>
      </c>
      <c r="AM417" s="669">
        <f t="shared" si="23"/>
        <v>7.76</v>
      </c>
    </row>
    <row r="418" spans="1:39" s="500" customFormat="1" ht="13.35" customHeight="1">
      <c r="A418" s="539" t="s">
        <v>908</v>
      </c>
      <c r="B418" s="539" t="s">
        <v>1286</v>
      </c>
      <c r="C418" s="548" t="s">
        <v>37</v>
      </c>
      <c r="D418" s="519"/>
      <c r="E418" s="520"/>
      <c r="F418" s="726"/>
      <c r="G418" s="520"/>
      <c r="H418" s="520"/>
      <c r="I418" s="521"/>
      <c r="J418" s="521"/>
      <c r="K418" s="772"/>
      <c r="L418" s="514"/>
      <c r="M418" s="756"/>
      <c r="N418" s="514"/>
      <c r="O418" s="514"/>
      <c r="P418" s="514"/>
      <c r="Q418" s="514"/>
      <c r="R418" s="514"/>
      <c r="S418" s="514"/>
      <c r="T418" s="756"/>
      <c r="U418" s="514"/>
      <c r="V418" s="514"/>
      <c r="W418" s="514"/>
      <c r="X418" s="514"/>
      <c r="Y418" s="514"/>
      <c r="Z418" s="514"/>
      <c r="AA418" s="756"/>
      <c r="AB418" s="764"/>
      <c r="AC418" s="514"/>
      <c r="AD418" s="514"/>
      <c r="AE418" s="698"/>
      <c r="AF418" s="514"/>
      <c r="AG418" s="514"/>
      <c r="AH418" s="789"/>
      <c r="AI418" s="946">
        <f t="shared" si="21"/>
        <v>0</v>
      </c>
      <c r="AJ418" s="521">
        <v>0</v>
      </c>
      <c r="AK418" s="520">
        <f t="shared" si="22"/>
        <v>0</v>
      </c>
      <c r="AL418" s="695" t="s">
        <v>1694</v>
      </c>
      <c r="AM418" s="669">
        <f t="shared" si="23"/>
        <v>25.31</v>
      </c>
    </row>
    <row r="419" spans="1:39" s="500" customFormat="1" ht="13.35" customHeight="1">
      <c r="A419" s="539" t="s">
        <v>909</v>
      </c>
      <c r="B419" s="539" t="s">
        <v>1261</v>
      </c>
      <c r="C419" s="548" t="s">
        <v>38</v>
      </c>
      <c r="D419" s="519"/>
      <c r="E419" s="520"/>
      <c r="F419" s="726"/>
      <c r="G419" s="520"/>
      <c r="H419" s="520"/>
      <c r="I419" s="521"/>
      <c r="J419" s="521"/>
      <c r="K419" s="772"/>
      <c r="L419" s="514"/>
      <c r="M419" s="756"/>
      <c r="N419" s="514"/>
      <c r="O419" s="514"/>
      <c r="P419" s="514"/>
      <c r="Q419" s="514"/>
      <c r="R419" s="514"/>
      <c r="S419" s="514"/>
      <c r="T419" s="756"/>
      <c r="U419" s="514"/>
      <c r="V419" s="514"/>
      <c r="W419" s="514"/>
      <c r="X419" s="514"/>
      <c r="Y419" s="514"/>
      <c r="Z419" s="514"/>
      <c r="AA419" s="756"/>
      <c r="AB419" s="764"/>
      <c r="AC419" s="514"/>
      <c r="AD419" s="514"/>
      <c r="AE419" s="698"/>
      <c r="AF419" s="514"/>
      <c r="AG419" s="514"/>
      <c r="AH419" s="789"/>
      <c r="AI419" s="946">
        <f t="shared" si="21"/>
        <v>0</v>
      </c>
      <c r="AJ419" s="521">
        <v>0</v>
      </c>
      <c r="AK419" s="520">
        <f t="shared" si="22"/>
        <v>0</v>
      </c>
      <c r="AL419" s="695"/>
      <c r="AM419" s="669">
        <f t="shared" si="23"/>
        <v>0</v>
      </c>
    </row>
    <row r="420" spans="1:39" s="500" customFormat="1" ht="13.35" customHeight="1">
      <c r="A420" s="542" t="s">
        <v>910</v>
      </c>
      <c r="B420" s="542" t="s">
        <v>1198</v>
      </c>
      <c r="C420" s="616"/>
      <c r="D420" s="519"/>
      <c r="E420" s="520"/>
      <c r="F420" s="726"/>
      <c r="G420" s="520"/>
      <c r="H420" s="520"/>
      <c r="I420" s="521"/>
      <c r="J420" s="521"/>
      <c r="K420" s="772"/>
      <c r="L420" s="514"/>
      <c r="M420" s="756"/>
      <c r="N420" s="514"/>
      <c r="O420" s="514"/>
      <c r="P420" s="514"/>
      <c r="Q420" s="514"/>
      <c r="R420" s="514"/>
      <c r="S420" s="514"/>
      <c r="T420" s="756"/>
      <c r="U420" s="514"/>
      <c r="V420" s="514"/>
      <c r="W420" s="514"/>
      <c r="X420" s="514"/>
      <c r="Y420" s="514"/>
      <c r="Z420" s="514"/>
      <c r="AA420" s="756"/>
      <c r="AB420" s="764"/>
      <c r="AC420" s="514"/>
      <c r="AD420" s="514"/>
      <c r="AE420" s="698"/>
      <c r="AF420" s="514"/>
      <c r="AG420" s="514"/>
      <c r="AH420" s="789"/>
      <c r="AI420" s="946">
        <f t="shared" si="21"/>
        <v>0</v>
      </c>
      <c r="AJ420" s="521">
        <v>0</v>
      </c>
      <c r="AK420" s="520">
        <f t="shared" si="22"/>
        <v>0</v>
      </c>
      <c r="AL420" s="695" t="s">
        <v>1695</v>
      </c>
      <c r="AM420" s="669">
        <f t="shared" si="23"/>
        <v>34.93</v>
      </c>
    </row>
    <row r="421" spans="1:39" s="500" customFormat="1" ht="13.35" customHeight="1">
      <c r="A421" s="539" t="s">
        <v>911</v>
      </c>
      <c r="B421" s="539" t="s">
        <v>1262</v>
      </c>
      <c r="C421" s="548" t="s">
        <v>37</v>
      </c>
      <c r="D421" s="519"/>
      <c r="E421" s="520"/>
      <c r="F421" s="726"/>
      <c r="G421" s="520"/>
      <c r="H421" s="520"/>
      <c r="I421" s="521"/>
      <c r="J421" s="521"/>
      <c r="K421" s="772"/>
      <c r="L421" s="514"/>
      <c r="M421" s="756"/>
      <c r="N421" s="514"/>
      <c r="O421" s="514"/>
      <c r="P421" s="514"/>
      <c r="Q421" s="514"/>
      <c r="R421" s="514"/>
      <c r="S421" s="514"/>
      <c r="T421" s="756"/>
      <c r="U421" s="514"/>
      <c r="V421" s="514"/>
      <c r="W421" s="514"/>
      <c r="X421" s="514"/>
      <c r="Y421" s="514"/>
      <c r="Z421" s="514"/>
      <c r="AA421" s="756"/>
      <c r="AB421" s="764"/>
      <c r="AC421" s="514"/>
      <c r="AD421" s="514"/>
      <c r="AE421" s="698"/>
      <c r="AF421" s="514"/>
      <c r="AG421" s="514"/>
      <c r="AH421" s="789"/>
      <c r="AI421" s="946">
        <f t="shared" si="21"/>
        <v>0</v>
      </c>
      <c r="AJ421" s="521">
        <v>0</v>
      </c>
      <c r="AK421" s="520">
        <f t="shared" si="22"/>
        <v>0</v>
      </c>
      <c r="AL421" s="695" t="s">
        <v>1689</v>
      </c>
      <c r="AM421" s="669">
        <f t="shared" si="23"/>
        <v>6.15</v>
      </c>
    </row>
    <row r="422" spans="1:39" s="500" customFormat="1" ht="13.35" customHeight="1">
      <c r="A422" s="539" t="s">
        <v>912</v>
      </c>
      <c r="B422" s="539" t="s">
        <v>1263</v>
      </c>
      <c r="C422" s="548" t="s">
        <v>38</v>
      </c>
      <c r="D422" s="519"/>
      <c r="E422" s="520"/>
      <c r="F422" s="726"/>
      <c r="G422" s="520"/>
      <c r="H422" s="520"/>
      <c r="I422" s="521"/>
      <c r="J422" s="521"/>
      <c r="K422" s="772"/>
      <c r="L422" s="514"/>
      <c r="M422" s="756"/>
      <c r="N422" s="514"/>
      <c r="O422" s="514"/>
      <c r="P422" s="514"/>
      <c r="Q422" s="514"/>
      <c r="R422" s="514"/>
      <c r="S422" s="514"/>
      <c r="T422" s="756"/>
      <c r="U422" s="514"/>
      <c r="V422" s="514"/>
      <c r="W422" s="514"/>
      <c r="X422" s="514"/>
      <c r="Y422" s="514"/>
      <c r="Z422" s="514"/>
      <c r="AA422" s="756"/>
      <c r="AB422" s="764"/>
      <c r="AC422" s="514"/>
      <c r="AD422" s="514"/>
      <c r="AE422" s="698"/>
      <c r="AF422" s="514"/>
      <c r="AG422" s="514"/>
      <c r="AH422" s="789"/>
      <c r="AI422" s="946">
        <f t="shared" si="21"/>
        <v>0</v>
      </c>
      <c r="AJ422" s="521">
        <v>0</v>
      </c>
      <c r="AK422" s="520">
        <f t="shared" si="22"/>
        <v>0</v>
      </c>
      <c r="AL422" s="695"/>
      <c r="AM422" s="669">
        <f t="shared" si="23"/>
        <v>0</v>
      </c>
    </row>
    <row r="423" spans="1:39" s="500" customFormat="1" ht="13.35" customHeight="1">
      <c r="A423" s="542" t="s">
        <v>913</v>
      </c>
      <c r="B423" s="542" t="s">
        <v>1264</v>
      </c>
      <c r="C423" s="616"/>
      <c r="D423" s="519"/>
      <c r="E423" s="520"/>
      <c r="F423" s="726"/>
      <c r="G423" s="520"/>
      <c r="H423" s="520"/>
      <c r="I423" s="521"/>
      <c r="J423" s="521"/>
      <c r="K423" s="772"/>
      <c r="L423" s="514"/>
      <c r="M423" s="756"/>
      <c r="N423" s="514"/>
      <c r="O423" s="514"/>
      <c r="P423" s="514"/>
      <c r="Q423" s="514"/>
      <c r="R423" s="514"/>
      <c r="S423" s="514"/>
      <c r="T423" s="756"/>
      <c r="U423" s="514"/>
      <c r="V423" s="514"/>
      <c r="W423" s="514"/>
      <c r="X423" s="514"/>
      <c r="Y423" s="514"/>
      <c r="Z423" s="514"/>
      <c r="AA423" s="756"/>
      <c r="AB423" s="764"/>
      <c r="AC423" s="514"/>
      <c r="AD423" s="514"/>
      <c r="AE423" s="698"/>
      <c r="AF423" s="514"/>
      <c r="AG423" s="514"/>
      <c r="AH423" s="789"/>
      <c r="AI423" s="946">
        <f t="shared" si="21"/>
        <v>0</v>
      </c>
      <c r="AJ423" s="521">
        <v>0</v>
      </c>
      <c r="AK423" s="520">
        <f t="shared" si="22"/>
        <v>0</v>
      </c>
      <c r="AL423" s="695" t="s">
        <v>1696</v>
      </c>
      <c r="AM423" s="669">
        <f t="shared" si="23"/>
        <v>3.78</v>
      </c>
    </row>
    <row r="424" spans="1:39" s="500" customFormat="1" ht="13.35" customHeight="1">
      <c r="A424" s="539" t="s">
        <v>914</v>
      </c>
      <c r="B424" s="539" t="s">
        <v>1265</v>
      </c>
      <c r="C424" s="548" t="s">
        <v>37</v>
      </c>
      <c r="D424" s="519"/>
      <c r="E424" s="520"/>
      <c r="F424" s="726"/>
      <c r="G424" s="520"/>
      <c r="H424" s="520"/>
      <c r="I424" s="521"/>
      <c r="J424" s="521"/>
      <c r="K424" s="772"/>
      <c r="L424" s="514"/>
      <c r="M424" s="756"/>
      <c r="N424" s="514"/>
      <c r="O424" s="514"/>
      <c r="P424" s="514"/>
      <c r="Q424" s="514"/>
      <c r="R424" s="514"/>
      <c r="S424" s="514"/>
      <c r="T424" s="756"/>
      <c r="U424" s="514"/>
      <c r="V424" s="514"/>
      <c r="W424" s="514"/>
      <c r="X424" s="514"/>
      <c r="Y424" s="514"/>
      <c r="Z424" s="514"/>
      <c r="AA424" s="756"/>
      <c r="AB424" s="764"/>
      <c r="AC424" s="514"/>
      <c r="AD424" s="514"/>
      <c r="AE424" s="698"/>
      <c r="AF424" s="514"/>
      <c r="AG424" s="514"/>
      <c r="AH424" s="789"/>
      <c r="AI424" s="946">
        <f t="shared" si="21"/>
        <v>0</v>
      </c>
      <c r="AJ424" s="521">
        <v>0</v>
      </c>
      <c r="AK424" s="520">
        <f t="shared" si="22"/>
        <v>0</v>
      </c>
      <c r="AL424" s="695" t="s">
        <v>1697</v>
      </c>
      <c r="AM424" s="669">
        <f t="shared" si="23"/>
        <v>1.47</v>
      </c>
    </row>
    <row r="425" spans="1:39" s="500" customFormat="1" ht="13.35" customHeight="1">
      <c r="A425" s="539" t="s">
        <v>915</v>
      </c>
      <c r="B425" s="539" t="s">
        <v>1295</v>
      </c>
      <c r="C425" s="548" t="s">
        <v>37</v>
      </c>
      <c r="D425" s="519"/>
      <c r="E425" s="520"/>
      <c r="F425" s="726"/>
      <c r="G425" s="520"/>
      <c r="H425" s="520"/>
      <c r="I425" s="521"/>
      <c r="J425" s="521"/>
      <c r="K425" s="772"/>
      <c r="L425" s="514"/>
      <c r="M425" s="756"/>
      <c r="N425" s="514"/>
      <c r="O425" s="514"/>
      <c r="P425" s="514"/>
      <c r="Q425" s="514"/>
      <c r="R425" s="514"/>
      <c r="S425" s="514"/>
      <c r="T425" s="756"/>
      <c r="U425" s="514"/>
      <c r="V425" s="514"/>
      <c r="W425" s="514"/>
      <c r="X425" s="514"/>
      <c r="Y425" s="514"/>
      <c r="Z425" s="514"/>
      <c r="AA425" s="756"/>
      <c r="AB425" s="764"/>
      <c r="AC425" s="514"/>
      <c r="AD425" s="514"/>
      <c r="AE425" s="698"/>
      <c r="AF425" s="514"/>
      <c r="AG425" s="514"/>
      <c r="AH425" s="789"/>
      <c r="AI425" s="946">
        <f t="shared" si="21"/>
        <v>0</v>
      </c>
      <c r="AJ425" s="521">
        <v>0</v>
      </c>
      <c r="AK425" s="520">
        <f t="shared" si="22"/>
        <v>0</v>
      </c>
      <c r="AL425" s="695"/>
      <c r="AM425" s="669">
        <f t="shared" si="23"/>
        <v>0</v>
      </c>
    </row>
    <row r="426" spans="1:39" s="500" customFormat="1" ht="13.35" customHeight="1">
      <c r="A426" s="542" t="s">
        <v>916</v>
      </c>
      <c r="B426" s="542" t="s">
        <v>1266</v>
      </c>
      <c r="C426" s="616"/>
      <c r="D426" s="519"/>
      <c r="E426" s="520"/>
      <c r="F426" s="726"/>
      <c r="G426" s="520"/>
      <c r="H426" s="520"/>
      <c r="I426" s="521"/>
      <c r="J426" s="521"/>
      <c r="K426" s="772"/>
      <c r="L426" s="514"/>
      <c r="M426" s="756"/>
      <c r="N426" s="514"/>
      <c r="O426" s="514"/>
      <c r="P426" s="514"/>
      <c r="Q426" s="514"/>
      <c r="R426" s="514"/>
      <c r="S426" s="514"/>
      <c r="T426" s="756"/>
      <c r="U426" s="514"/>
      <c r="V426" s="514"/>
      <c r="W426" s="514"/>
      <c r="X426" s="514"/>
      <c r="Y426" s="514"/>
      <c r="Z426" s="514"/>
      <c r="AA426" s="756"/>
      <c r="AB426" s="764"/>
      <c r="AC426" s="514"/>
      <c r="AD426" s="514"/>
      <c r="AE426" s="698"/>
      <c r="AF426" s="514"/>
      <c r="AG426" s="514"/>
      <c r="AH426" s="789"/>
      <c r="AI426" s="946">
        <f t="shared" si="21"/>
        <v>0</v>
      </c>
      <c r="AJ426" s="521">
        <v>0</v>
      </c>
      <c r="AK426" s="520">
        <f t="shared" si="22"/>
        <v>0</v>
      </c>
      <c r="AL426" s="695" t="s">
        <v>1641</v>
      </c>
      <c r="AM426" s="669">
        <f t="shared" si="23"/>
        <v>9</v>
      </c>
    </row>
    <row r="427" spans="1:39" s="500" customFormat="1" ht="13.35" customHeight="1">
      <c r="A427" s="539" t="s">
        <v>917</v>
      </c>
      <c r="B427" s="539" t="s">
        <v>1267</v>
      </c>
      <c r="C427" s="548" t="s">
        <v>1451</v>
      </c>
      <c r="D427" s="519"/>
      <c r="E427" s="520"/>
      <c r="F427" s="726"/>
      <c r="G427" s="520"/>
      <c r="H427" s="520"/>
      <c r="I427" s="521"/>
      <c r="J427" s="521"/>
      <c r="K427" s="772"/>
      <c r="L427" s="514"/>
      <c r="M427" s="756"/>
      <c r="N427" s="514"/>
      <c r="O427" s="514"/>
      <c r="P427" s="514"/>
      <c r="Q427" s="514"/>
      <c r="R427" s="514"/>
      <c r="S427" s="514"/>
      <c r="T427" s="756"/>
      <c r="U427" s="514"/>
      <c r="V427" s="514"/>
      <c r="W427" s="514"/>
      <c r="X427" s="514"/>
      <c r="Y427" s="514"/>
      <c r="Z427" s="514"/>
      <c r="AA427" s="756"/>
      <c r="AB427" s="764"/>
      <c r="AC427" s="514"/>
      <c r="AD427" s="514"/>
      <c r="AE427" s="698"/>
      <c r="AF427" s="514"/>
      <c r="AG427" s="514"/>
      <c r="AH427" s="789"/>
      <c r="AI427" s="946">
        <f t="shared" si="21"/>
        <v>0</v>
      </c>
      <c r="AJ427" s="521">
        <v>0</v>
      </c>
      <c r="AK427" s="520">
        <f t="shared" si="22"/>
        <v>0</v>
      </c>
      <c r="AL427" s="695" t="s">
        <v>1698</v>
      </c>
      <c r="AM427" s="669">
        <f t="shared" si="23"/>
        <v>2</v>
      </c>
    </row>
    <row r="428" spans="1:39" s="500" customFormat="1" ht="13.35" customHeight="1">
      <c r="A428" s="539" t="s">
        <v>918</v>
      </c>
      <c r="B428" s="539" t="s">
        <v>1268</v>
      </c>
      <c r="C428" s="548" t="s">
        <v>36</v>
      </c>
      <c r="D428" s="519"/>
      <c r="E428" s="520"/>
      <c r="F428" s="726"/>
      <c r="G428" s="520"/>
      <c r="H428" s="520"/>
      <c r="I428" s="521"/>
      <c r="J428" s="521"/>
      <c r="K428" s="772"/>
      <c r="L428" s="514"/>
      <c r="M428" s="756"/>
      <c r="N428" s="514"/>
      <c r="O428" s="514"/>
      <c r="P428" s="514"/>
      <c r="Q428" s="514"/>
      <c r="R428" s="514"/>
      <c r="S428" s="514"/>
      <c r="T428" s="756"/>
      <c r="U428" s="514"/>
      <c r="V428" s="514"/>
      <c r="W428" s="514"/>
      <c r="X428" s="514"/>
      <c r="Y428" s="514"/>
      <c r="Z428" s="514"/>
      <c r="AA428" s="756"/>
      <c r="AB428" s="764"/>
      <c r="AC428" s="514"/>
      <c r="AD428" s="514"/>
      <c r="AE428" s="698"/>
      <c r="AF428" s="514"/>
      <c r="AG428" s="514"/>
      <c r="AH428" s="789"/>
      <c r="AI428" s="946">
        <f t="shared" si="21"/>
        <v>0</v>
      </c>
      <c r="AJ428" s="521">
        <v>0</v>
      </c>
      <c r="AK428" s="520">
        <f t="shared" si="22"/>
        <v>0</v>
      </c>
      <c r="AL428" s="695" t="s">
        <v>1455</v>
      </c>
      <c r="AM428" s="669">
        <f t="shared" si="23"/>
        <v>1</v>
      </c>
    </row>
    <row r="429" spans="1:39" s="500" customFormat="1" ht="13.35" customHeight="1">
      <c r="A429" s="539" t="s">
        <v>919</v>
      </c>
      <c r="B429" s="539" t="s">
        <v>1296</v>
      </c>
      <c r="C429" s="548" t="s">
        <v>36</v>
      </c>
      <c r="D429" s="519"/>
      <c r="E429" s="520"/>
      <c r="F429" s="726"/>
      <c r="G429" s="520"/>
      <c r="H429" s="520"/>
      <c r="I429" s="521"/>
      <c r="J429" s="521"/>
      <c r="K429" s="772"/>
      <c r="L429" s="514"/>
      <c r="M429" s="756"/>
      <c r="N429" s="514"/>
      <c r="O429" s="514"/>
      <c r="P429" s="514"/>
      <c r="Q429" s="514"/>
      <c r="R429" s="514"/>
      <c r="S429" s="514"/>
      <c r="T429" s="756"/>
      <c r="U429" s="514"/>
      <c r="V429" s="514"/>
      <c r="W429" s="514"/>
      <c r="X429" s="514"/>
      <c r="Y429" s="514"/>
      <c r="Z429" s="514"/>
      <c r="AA429" s="756"/>
      <c r="AB429" s="764"/>
      <c r="AC429" s="514"/>
      <c r="AD429" s="514"/>
      <c r="AE429" s="698"/>
      <c r="AF429" s="514"/>
      <c r="AG429" s="514"/>
      <c r="AH429" s="789"/>
      <c r="AI429" s="946">
        <f t="shared" si="21"/>
        <v>0</v>
      </c>
      <c r="AJ429" s="521">
        <v>0</v>
      </c>
      <c r="AK429" s="520">
        <f t="shared" si="22"/>
        <v>0</v>
      </c>
      <c r="AL429" s="695"/>
      <c r="AM429" s="669">
        <f t="shared" si="23"/>
        <v>0</v>
      </c>
    </row>
    <row r="430" spans="1:39" s="500" customFormat="1" ht="13.35" customHeight="1">
      <c r="A430" s="542" t="s">
        <v>920</v>
      </c>
      <c r="B430" s="542" t="s">
        <v>1269</v>
      </c>
      <c r="C430" s="616"/>
      <c r="D430" s="519"/>
      <c r="E430" s="520"/>
      <c r="F430" s="726"/>
      <c r="G430" s="520"/>
      <c r="H430" s="520"/>
      <c r="I430" s="521"/>
      <c r="J430" s="521"/>
      <c r="K430" s="772"/>
      <c r="L430" s="514"/>
      <c r="M430" s="756"/>
      <c r="N430" s="514"/>
      <c r="O430" s="514"/>
      <c r="P430" s="514"/>
      <c r="Q430" s="514"/>
      <c r="R430" s="514"/>
      <c r="S430" s="514"/>
      <c r="T430" s="756"/>
      <c r="U430" s="514"/>
      <c r="V430" s="514"/>
      <c r="W430" s="514"/>
      <c r="X430" s="514"/>
      <c r="Y430" s="514"/>
      <c r="Z430" s="514"/>
      <c r="AA430" s="756"/>
      <c r="AB430" s="764"/>
      <c r="AC430" s="514"/>
      <c r="AD430" s="514"/>
      <c r="AE430" s="698"/>
      <c r="AF430" s="514"/>
      <c r="AG430" s="514"/>
      <c r="AH430" s="789"/>
      <c r="AI430" s="946">
        <f t="shared" si="21"/>
        <v>0</v>
      </c>
      <c r="AJ430" s="521">
        <v>0</v>
      </c>
      <c r="AK430" s="520">
        <f t="shared" si="22"/>
        <v>0</v>
      </c>
      <c r="AL430" s="695" t="s">
        <v>1699</v>
      </c>
      <c r="AM430" s="669">
        <f t="shared" si="23"/>
        <v>7.54</v>
      </c>
    </row>
    <row r="431" spans="1:39" s="500" customFormat="1" ht="13.35" customHeight="1">
      <c r="A431" s="539" t="s">
        <v>921</v>
      </c>
      <c r="B431" s="539" t="s">
        <v>1270</v>
      </c>
      <c r="C431" s="548" t="s">
        <v>37</v>
      </c>
      <c r="D431" s="519"/>
      <c r="E431" s="520"/>
      <c r="F431" s="726"/>
      <c r="G431" s="520"/>
      <c r="H431" s="520"/>
      <c r="I431" s="521"/>
      <c r="J431" s="521"/>
      <c r="K431" s="772"/>
      <c r="L431" s="514"/>
      <c r="M431" s="756"/>
      <c r="N431" s="514"/>
      <c r="O431" s="514"/>
      <c r="P431" s="514"/>
      <c r="Q431" s="514"/>
      <c r="R431" s="514"/>
      <c r="S431" s="514"/>
      <c r="T431" s="756"/>
      <c r="U431" s="514"/>
      <c r="V431" s="514"/>
      <c r="W431" s="514"/>
      <c r="X431" s="514"/>
      <c r="Y431" s="514"/>
      <c r="Z431" s="514"/>
      <c r="AA431" s="756"/>
      <c r="AB431" s="764"/>
      <c r="AC431" s="514"/>
      <c r="AD431" s="514"/>
      <c r="AE431" s="698"/>
      <c r="AF431" s="514"/>
      <c r="AG431" s="514"/>
      <c r="AH431" s="789"/>
      <c r="AI431" s="946">
        <f t="shared" si="21"/>
        <v>0</v>
      </c>
      <c r="AJ431" s="521">
        <v>0</v>
      </c>
      <c r="AK431" s="520">
        <f t="shared" si="22"/>
        <v>0</v>
      </c>
      <c r="AL431" s="695" t="s">
        <v>1700</v>
      </c>
      <c r="AM431" s="669">
        <f t="shared" si="23"/>
        <v>1.25</v>
      </c>
    </row>
    <row r="432" spans="1:39" s="500" customFormat="1" ht="13.35" customHeight="1">
      <c r="A432" s="539" t="s">
        <v>922</v>
      </c>
      <c r="B432" s="539" t="s">
        <v>1271</v>
      </c>
      <c r="C432" s="548" t="s">
        <v>37</v>
      </c>
      <c r="D432" s="519"/>
      <c r="E432" s="520"/>
      <c r="F432" s="726"/>
      <c r="G432" s="520"/>
      <c r="H432" s="520"/>
      <c r="I432" s="521"/>
      <c r="J432" s="521"/>
      <c r="K432" s="772"/>
      <c r="L432" s="514"/>
      <c r="M432" s="756"/>
      <c r="N432" s="514"/>
      <c r="O432" s="514"/>
      <c r="P432" s="514"/>
      <c r="Q432" s="514"/>
      <c r="R432" s="514"/>
      <c r="S432" s="514"/>
      <c r="T432" s="756"/>
      <c r="U432" s="514"/>
      <c r="V432" s="514"/>
      <c r="W432" s="514"/>
      <c r="X432" s="514"/>
      <c r="Y432" s="514"/>
      <c r="Z432" s="514"/>
      <c r="AA432" s="756"/>
      <c r="AB432" s="764"/>
      <c r="AC432" s="514"/>
      <c r="AD432" s="514"/>
      <c r="AE432" s="698"/>
      <c r="AF432" s="514"/>
      <c r="AG432" s="514"/>
      <c r="AH432" s="789"/>
      <c r="AI432" s="946">
        <f t="shared" si="21"/>
        <v>0</v>
      </c>
      <c r="AJ432" s="521">
        <v>0</v>
      </c>
      <c r="AK432" s="520">
        <f t="shared" si="22"/>
        <v>0</v>
      </c>
      <c r="AL432" s="695"/>
      <c r="AM432" s="669">
        <f t="shared" si="23"/>
        <v>0</v>
      </c>
    </row>
    <row r="433" spans="1:39" s="500" customFormat="1" ht="13.35" customHeight="1">
      <c r="A433" s="542" t="s">
        <v>923</v>
      </c>
      <c r="B433" s="542" t="s">
        <v>1272</v>
      </c>
      <c r="C433" s="616"/>
      <c r="D433" s="519"/>
      <c r="E433" s="520"/>
      <c r="F433" s="726"/>
      <c r="G433" s="520"/>
      <c r="H433" s="520"/>
      <c r="I433" s="521"/>
      <c r="J433" s="521"/>
      <c r="K433" s="772"/>
      <c r="L433" s="514"/>
      <c r="M433" s="756"/>
      <c r="N433" s="514"/>
      <c r="O433" s="514"/>
      <c r="P433" s="514"/>
      <c r="Q433" s="514"/>
      <c r="R433" s="514"/>
      <c r="S433" s="514"/>
      <c r="T433" s="756"/>
      <c r="U433" s="514"/>
      <c r="V433" s="514"/>
      <c r="W433" s="514"/>
      <c r="X433" s="514"/>
      <c r="Y433" s="514"/>
      <c r="Z433" s="514"/>
      <c r="AA433" s="756"/>
      <c r="AB433" s="764"/>
      <c r="AC433" s="514"/>
      <c r="AD433" s="514"/>
      <c r="AE433" s="698"/>
      <c r="AF433" s="514"/>
      <c r="AG433" s="514"/>
      <c r="AH433" s="789"/>
      <c r="AI433" s="946">
        <f t="shared" si="21"/>
        <v>0</v>
      </c>
      <c r="AJ433" s="521">
        <v>0</v>
      </c>
      <c r="AK433" s="520">
        <f t="shared" si="22"/>
        <v>0</v>
      </c>
      <c r="AL433" s="695" t="s">
        <v>1685</v>
      </c>
      <c r="AM433" s="669">
        <f t="shared" si="23"/>
        <v>38.24</v>
      </c>
    </row>
    <row r="434" spans="1:39" s="500" customFormat="1" ht="13.35" customHeight="1">
      <c r="A434" s="539" t="s">
        <v>924</v>
      </c>
      <c r="B434" s="539" t="s">
        <v>1273</v>
      </c>
      <c r="C434" s="548" t="s">
        <v>37</v>
      </c>
      <c r="D434" s="519"/>
      <c r="E434" s="520"/>
      <c r="F434" s="726"/>
      <c r="G434" s="520"/>
      <c r="H434" s="520"/>
      <c r="I434" s="521"/>
      <c r="J434" s="521"/>
      <c r="K434" s="772"/>
      <c r="L434" s="514"/>
      <c r="M434" s="756"/>
      <c r="N434" s="514"/>
      <c r="O434" s="514"/>
      <c r="P434" s="514"/>
      <c r="Q434" s="514"/>
      <c r="R434" s="514"/>
      <c r="S434" s="514"/>
      <c r="T434" s="756"/>
      <c r="U434" s="514"/>
      <c r="V434" s="514"/>
      <c r="W434" s="514"/>
      <c r="X434" s="514"/>
      <c r="Y434" s="514"/>
      <c r="Z434" s="514"/>
      <c r="AA434" s="756"/>
      <c r="AB434" s="764"/>
      <c r="AC434" s="514"/>
      <c r="AD434" s="514"/>
      <c r="AE434" s="698"/>
      <c r="AF434" s="514"/>
      <c r="AG434" s="514"/>
      <c r="AH434" s="789"/>
      <c r="AI434" s="946">
        <f t="shared" si="21"/>
        <v>0</v>
      </c>
      <c r="AJ434" s="521">
        <v>0</v>
      </c>
      <c r="AK434" s="520">
        <f t="shared" si="22"/>
        <v>0</v>
      </c>
      <c r="AL434" s="695" t="s">
        <v>1679</v>
      </c>
      <c r="AM434" s="669">
        <f t="shared" si="23"/>
        <v>83.58</v>
      </c>
    </row>
    <row r="435" spans="1:39" s="500" customFormat="1" ht="13.35" customHeight="1">
      <c r="A435" s="539" t="s">
        <v>925</v>
      </c>
      <c r="B435" s="539" t="s">
        <v>1274</v>
      </c>
      <c r="C435" s="548" t="s">
        <v>37</v>
      </c>
      <c r="D435" s="519"/>
      <c r="E435" s="520"/>
      <c r="F435" s="726"/>
      <c r="G435" s="520"/>
      <c r="H435" s="520"/>
      <c r="I435" s="521"/>
      <c r="J435" s="521"/>
      <c r="K435" s="772"/>
      <c r="L435" s="514"/>
      <c r="M435" s="756"/>
      <c r="N435" s="514"/>
      <c r="O435" s="514"/>
      <c r="P435" s="514"/>
      <c r="Q435" s="514"/>
      <c r="R435" s="514"/>
      <c r="S435" s="514"/>
      <c r="T435" s="756"/>
      <c r="U435" s="514"/>
      <c r="V435" s="514"/>
      <c r="W435" s="514"/>
      <c r="X435" s="514"/>
      <c r="Y435" s="514"/>
      <c r="Z435" s="514"/>
      <c r="AA435" s="756"/>
      <c r="AB435" s="764"/>
      <c r="AC435" s="514"/>
      <c r="AD435" s="514"/>
      <c r="AE435" s="698"/>
      <c r="AF435" s="514"/>
      <c r="AG435" s="514"/>
      <c r="AH435" s="789"/>
      <c r="AI435" s="946">
        <f t="shared" si="21"/>
        <v>0</v>
      </c>
      <c r="AJ435" s="521">
        <v>0</v>
      </c>
      <c r="AK435" s="520">
        <f t="shared" si="22"/>
        <v>0</v>
      </c>
      <c r="AL435" s="695" t="s">
        <v>1677</v>
      </c>
      <c r="AM435" s="669">
        <f t="shared" si="23"/>
        <v>45.75</v>
      </c>
    </row>
    <row r="436" spans="1:39" s="500" customFormat="1" ht="13.35" customHeight="1">
      <c r="A436" s="539" t="s">
        <v>926</v>
      </c>
      <c r="B436" s="539" t="s">
        <v>1275</v>
      </c>
      <c r="C436" s="548" t="s">
        <v>37</v>
      </c>
      <c r="D436" s="519"/>
      <c r="E436" s="520"/>
      <c r="F436" s="726"/>
      <c r="G436" s="520"/>
      <c r="H436" s="520"/>
      <c r="I436" s="521"/>
      <c r="J436" s="521"/>
      <c r="K436" s="772"/>
      <c r="L436" s="514"/>
      <c r="M436" s="756"/>
      <c r="N436" s="514"/>
      <c r="O436" s="514"/>
      <c r="P436" s="514"/>
      <c r="Q436" s="514"/>
      <c r="R436" s="514"/>
      <c r="S436" s="514"/>
      <c r="T436" s="756"/>
      <c r="U436" s="514"/>
      <c r="V436" s="514"/>
      <c r="W436" s="514"/>
      <c r="X436" s="514"/>
      <c r="Y436" s="514"/>
      <c r="Z436" s="514"/>
      <c r="AA436" s="756"/>
      <c r="AB436" s="764"/>
      <c r="AC436" s="514"/>
      <c r="AD436" s="514"/>
      <c r="AE436" s="698"/>
      <c r="AF436" s="514"/>
      <c r="AG436" s="514"/>
      <c r="AH436" s="789"/>
      <c r="AI436" s="946">
        <f t="shared" si="21"/>
        <v>0</v>
      </c>
      <c r="AJ436" s="521">
        <v>0</v>
      </c>
      <c r="AK436" s="520">
        <f t="shared" si="22"/>
        <v>0</v>
      </c>
      <c r="AL436" s="695" t="s">
        <v>1680</v>
      </c>
      <c r="AM436" s="669">
        <f t="shared" si="23"/>
        <v>12.95</v>
      </c>
    </row>
    <row r="437" spans="1:39" s="500" customFormat="1" ht="13.35" customHeight="1">
      <c r="A437" s="539" t="s">
        <v>927</v>
      </c>
      <c r="B437" s="539" t="s">
        <v>1276</v>
      </c>
      <c r="C437" s="548" t="s">
        <v>37</v>
      </c>
      <c r="D437" s="519"/>
      <c r="E437" s="520"/>
      <c r="F437" s="726"/>
      <c r="G437" s="520"/>
      <c r="H437" s="520"/>
      <c r="I437" s="521"/>
      <c r="J437" s="521"/>
      <c r="K437" s="772"/>
      <c r="L437" s="514"/>
      <c r="M437" s="756"/>
      <c r="N437" s="514"/>
      <c r="O437" s="514"/>
      <c r="P437" s="514"/>
      <c r="Q437" s="514"/>
      <c r="R437" s="514"/>
      <c r="S437" s="514"/>
      <c r="T437" s="756"/>
      <c r="U437" s="514"/>
      <c r="V437" s="514"/>
      <c r="W437" s="514"/>
      <c r="X437" s="514"/>
      <c r="Y437" s="514"/>
      <c r="Z437" s="514"/>
      <c r="AA437" s="756"/>
      <c r="AB437" s="764"/>
      <c r="AC437" s="514"/>
      <c r="AD437" s="514"/>
      <c r="AE437" s="698"/>
      <c r="AF437" s="514"/>
      <c r="AG437" s="514"/>
      <c r="AH437" s="789"/>
      <c r="AI437" s="946">
        <f t="shared" si="21"/>
        <v>0</v>
      </c>
      <c r="AJ437" s="521">
        <v>0</v>
      </c>
      <c r="AK437" s="520">
        <f t="shared" si="22"/>
        <v>0</v>
      </c>
      <c r="AL437" s="695" t="s">
        <v>1681</v>
      </c>
      <c r="AM437" s="669">
        <f t="shared" si="23"/>
        <v>24.87</v>
      </c>
    </row>
    <row r="438" spans="1:39" s="500" customFormat="1" ht="13.35" customHeight="1">
      <c r="A438" s="539" t="s">
        <v>928</v>
      </c>
      <c r="B438" s="539" t="s">
        <v>1277</v>
      </c>
      <c r="C438" s="548" t="s">
        <v>37</v>
      </c>
      <c r="D438" s="519"/>
      <c r="E438" s="520"/>
      <c r="F438" s="726"/>
      <c r="G438" s="520"/>
      <c r="H438" s="520"/>
      <c r="I438" s="521"/>
      <c r="J438" s="521"/>
      <c r="K438" s="772"/>
      <c r="L438" s="514"/>
      <c r="M438" s="756"/>
      <c r="N438" s="514"/>
      <c r="O438" s="514"/>
      <c r="P438" s="514"/>
      <c r="Q438" s="514"/>
      <c r="R438" s="514"/>
      <c r="S438" s="514"/>
      <c r="T438" s="756"/>
      <c r="U438" s="514"/>
      <c r="V438" s="514"/>
      <c r="W438" s="514"/>
      <c r="X438" s="514"/>
      <c r="Y438" s="514"/>
      <c r="Z438" s="514"/>
      <c r="AA438" s="756"/>
      <c r="AB438" s="764"/>
      <c r="AC438" s="514"/>
      <c r="AD438" s="514"/>
      <c r="AE438" s="698"/>
      <c r="AF438" s="514"/>
      <c r="AG438" s="514"/>
      <c r="AH438" s="789"/>
      <c r="AI438" s="946">
        <f t="shared" si="21"/>
        <v>0</v>
      </c>
      <c r="AJ438" s="521">
        <v>0</v>
      </c>
      <c r="AK438" s="520">
        <f t="shared" si="22"/>
        <v>0</v>
      </c>
      <c r="AL438" s="695" t="s">
        <v>1692</v>
      </c>
      <c r="AM438" s="669">
        <f t="shared" si="23"/>
        <v>6.66</v>
      </c>
    </row>
    <row r="439" spans="1:39" s="500" customFormat="1" ht="13.35" customHeight="1">
      <c r="A439" s="539" t="s">
        <v>929</v>
      </c>
      <c r="B439" s="539" t="s">
        <v>1278</v>
      </c>
      <c r="C439" s="548" t="s">
        <v>37</v>
      </c>
      <c r="D439" s="519"/>
      <c r="E439" s="520"/>
      <c r="F439" s="726"/>
      <c r="G439" s="520"/>
      <c r="H439" s="520"/>
      <c r="I439" s="521"/>
      <c r="J439" s="521"/>
      <c r="K439" s="772"/>
      <c r="L439" s="514"/>
      <c r="M439" s="756"/>
      <c r="N439" s="514"/>
      <c r="O439" s="514"/>
      <c r="P439" s="514"/>
      <c r="Q439" s="514"/>
      <c r="R439" s="514"/>
      <c r="S439" s="514"/>
      <c r="T439" s="756"/>
      <c r="U439" s="514"/>
      <c r="V439" s="514"/>
      <c r="W439" s="514"/>
      <c r="X439" s="514"/>
      <c r="Y439" s="514"/>
      <c r="Z439" s="514"/>
      <c r="AA439" s="756"/>
      <c r="AB439" s="764"/>
      <c r="AC439" s="514"/>
      <c r="AD439" s="514"/>
      <c r="AE439" s="698"/>
      <c r="AF439" s="514"/>
      <c r="AG439" s="514"/>
      <c r="AH439" s="789"/>
      <c r="AI439" s="946">
        <f t="shared" si="21"/>
        <v>0</v>
      </c>
      <c r="AJ439" s="521">
        <v>0</v>
      </c>
      <c r="AK439" s="520">
        <f t="shared" si="22"/>
        <v>0</v>
      </c>
      <c r="AL439" s="695" t="s">
        <v>1701</v>
      </c>
      <c r="AM439" s="669">
        <f t="shared" si="23"/>
        <v>12.48</v>
      </c>
    </row>
    <row r="440" spans="1:39" s="500" customFormat="1" ht="13.35" customHeight="1">
      <c r="A440" s="539" t="s">
        <v>930</v>
      </c>
      <c r="B440" s="539" t="s">
        <v>1279</v>
      </c>
      <c r="C440" s="548" t="s">
        <v>37</v>
      </c>
      <c r="D440" s="519"/>
      <c r="E440" s="520"/>
      <c r="F440" s="726"/>
      <c r="G440" s="520"/>
      <c r="H440" s="520"/>
      <c r="I440" s="521"/>
      <c r="J440" s="521"/>
      <c r="K440" s="772"/>
      <c r="L440" s="514"/>
      <c r="M440" s="756"/>
      <c r="N440" s="514"/>
      <c r="O440" s="514"/>
      <c r="P440" s="514"/>
      <c r="Q440" s="514"/>
      <c r="R440" s="514"/>
      <c r="S440" s="514"/>
      <c r="T440" s="756"/>
      <c r="U440" s="514"/>
      <c r="V440" s="514"/>
      <c r="W440" s="514"/>
      <c r="X440" s="514"/>
      <c r="Y440" s="514"/>
      <c r="Z440" s="514"/>
      <c r="AA440" s="756"/>
      <c r="AB440" s="764"/>
      <c r="AC440" s="514"/>
      <c r="AD440" s="514"/>
      <c r="AE440" s="698"/>
      <c r="AF440" s="514"/>
      <c r="AG440" s="514"/>
      <c r="AH440" s="789"/>
      <c r="AI440" s="946">
        <f t="shared" si="21"/>
        <v>0</v>
      </c>
      <c r="AJ440" s="521">
        <v>0</v>
      </c>
      <c r="AK440" s="520">
        <f t="shared" si="22"/>
        <v>0</v>
      </c>
      <c r="AL440" s="695"/>
      <c r="AM440" s="669">
        <f t="shared" si="23"/>
        <v>0</v>
      </c>
    </row>
    <row r="441" spans="1:39" s="500" customFormat="1" ht="13.35" customHeight="1">
      <c r="A441" s="542" t="s">
        <v>931</v>
      </c>
      <c r="B441" s="542" t="s">
        <v>1280</v>
      </c>
      <c r="C441" s="616"/>
      <c r="D441" s="519"/>
      <c r="E441" s="520"/>
      <c r="F441" s="726"/>
      <c r="G441" s="520"/>
      <c r="H441" s="520"/>
      <c r="I441" s="521"/>
      <c r="J441" s="521"/>
      <c r="K441" s="772"/>
      <c r="L441" s="514"/>
      <c r="M441" s="756"/>
      <c r="N441" s="514"/>
      <c r="O441" s="514"/>
      <c r="P441" s="514"/>
      <c r="Q441" s="514"/>
      <c r="R441" s="514"/>
      <c r="S441" s="514"/>
      <c r="T441" s="756"/>
      <c r="U441" s="514"/>
      <c r="V441" s="514"/>
      <c r="W441" s="514"/>
      <c r="X441" s="514"/>
      <c r="Y441" s="514"/>
      <c r="Z441" s="514"/>
      <c r="AA441" s="756"/>
      <c r="AB441" s="764"/>
      <c r="AC441" s="514"/>
      <c r="AD441" s="514"/>
      <c r="AE441" s="698"/>
      <c r="AF441" s="514"/>
      <c r="AG441" s="514"/>
      <c r="AH441" s="789"/>
      <c r="AI441" s="946">
        <f t="shared" si="21"/>
        <v>0</v>
      </c>
      <c r="AJ441" s="521">
        <v>0</v>
      </c>
      <c r="AK441" s="520">
        <f t="shared" si="22"/>
        <v>0</v>
      </c>
      <c r="AL441" s="695" t="s">
        <v>1455</v>
      </c>
      <c r="AM441" s="669">
        <f t="shared" si="23"/>
        <v>1</v>
      </c>
    </row>
    <row r="442" spans="1:39" s="500" customFormat="1" ht="13.35" customHeight="1">
      <c r="A442" s="539" t="s">
        <v>932</v>
      </c>
      <c r="B442" s="539" t="s">
        <v>1281</v>
      </c>
      <c r="C442" s="548" t="s">
        <v>1450</v>
      </c>
      <c r="D442" s="519"/>
      <c r="E442" s="520"/>
      <c r="F442" s="726"/>
      <c r="G442" s="520"/>
      <c r="H442" s="520"/>
      <c r="I442" s="521"/>
      <c r="J442" s="521"/>
      <c r="K442" s="772"/>
      <c r="L442" s="514"/>
      <c r="M442" s="756"/>
      <c r="N442" s="514"/>
      <c r="O442" s="514"/>
      <c r="P442" s="514"/>
      <c r="Q442" s="514"/>
      <c r="R442" s="514"/>
      <c r="S442" s="514"/>
      <c r="T442" s="756"/>
      <c r="U442" s="514"/>
      <c r="V442" s="514"/>
      <c r="W442" s="514"/>
      <c r="X442" s="514"/>
      <c r="Y442" s="514"/>
      <c r="Z442" s="514"/>
      <c r="AA442" s="756"/>
      <c r="AB442" s="764"/>
      <c r="AC442" s="514"/>
      <c r="AD442" s="514"/>
      <c r="AE442" s="698"/>
      <c r="AF442" s="514"/>
      <c r="AG442" s="514"/>
      <c r="AH442" s="789"/>
      <c r="AI442" s="946">
        <f t="shared" si="21"/>
        <v>0</v>
      </c>
      <c r="AJ442" s="521">
        <v>0</v>
      </c>
      <c r="AK442" s="520">
        <f t="shared" si="22"/>
        <v>0</v>
      </c>
      <c r="AL442" s="695" t="s">
        <v>1455</v>
      </c>
      <c r="AM442" s="669">
        <f t="shared" si="23"/>
        <v>1</v>
      </c>
    </row>
    <row r="443" spans="1:39" s="500" customFormat="1" ht="13.35" customHeight="1">
      <c r="A443" s="539" t="s">
        <v>933</v>
      </c>
      <c r="B443" s="539" t="s">
        <v>1282</v>
      </c>
      <c r="C443" s="548" t="s">
        <v>64</v>
      </c>
      <c r="D443" s="519"/>
      <c r="E443" s="520"/>
      <c r="F443" s="726"/>
      <c r="G443" s="520"/>
      <c r="H443" s="520"/>
      <c r="I443" s="521"/>
      <c r="J443" s="521"/>
      <c r="K443" s="772"/>
      <c r="L443" s="514"/>
      <c r="M443" s="756"/>
      <c r="N443" s="514"/>
      <c r="O443" s="514"/>
      <c r="P443" s="514"/>
      <c r="Q443" s="514"/>
      <c r="R443" s="514"/>
      <c r="S443" s="514"/>
      <c r="T443" s="756"/>
      <c r="U443" s="514"/>
      <c r="V443" s="514"/>
      <c r="W443" s="514"/>
      <c r="X443" s="514"/>
      <c r="Y443" s="514"/>
      <c r="Z443" s="514"/>
      <c r="AA443" s="756"/>
      <c r="AB443" s="764"/>
      <c r="AC443" s="514"/>
      <c r="AD443" s="514"/>
      <c r="AE443" s="698"/>
      <c r="AF443" s="514"/>
      <c r="AG443" s="514"/>
      <c r="AH443" s="789"/>
      <c r="AI443" s="946">
        <f t="shared" si="21"/>
        <v>0</v>
      </c>
      <c r="AJ443" s="521">
        <v>0</v>
      </c>
      <c r="AK443" s="520">
        <f t="shared" si="22"/>
        <v>0</v>
      </c>
      <c r="AL443" s="695" t="s">
        <v>1702</v>
      </c>
      <c r="AM443" s="669">
        <f t="shared" si="23"/>
        <v>6.79</v>
      </c>
    </row>
    <row r="444" spans="1:39" s="500" customFormat="1" ht="13.35" customHeight="1">
      <c r="A444" s="539" t="s">
        <v>934</v>
      </c>
      <c r="B444" s="539" t="s">
        <v>1283</v>
      </c>
      <c r="C444" s="548" t="s">
        <v>37</v>
      </c>
      <c r="D444" s="519"/>
      <c r="E444" s="520"/>
      <c r="F444" s="726"/>
      <c r="G444" s="520"/>
      <c r="H444" s="520"/>
      <c r="I444" s="521"/>
      <c r="J444" s="521"/>
      <c r="K444" s="772"/>
      <c r="L444" s="514"/>
      <c r="M444" s="756"/>
      <c r="N444" s="514"/>
      <c r="O444" s="514"/>
      <c r="P444" s="514"/>
      <c r="Q444" s="514"/>
      <c r="R444" s="514"/>
      <c r="S444" s="514"/>
      <c r="T444" s="756"/>
      <c r="U444" s="514"/>
      <c r="V444" s="514"/>
      <c r="W444" s="514"/>
      <c r="X444" s="514"/>
      <c r="Y444" s="514"/>
      <c r="Z444" s="514"/>
      <c r="AA444" s="756"/>
      <c r="AB444" s="764"/>
      <c r="AC444" s="514"/>
      <c r="AD444" s="514"/>
      <c r="AE444" s="698"/>
      <c r="AF444" s="514"/>
      <c r="AG444" s="514"/>
      <c r="AH444" s="789"/>
      <c r="AI444" s="946">
        <f t="shared" si="21"/>
        <v>0</v>
      </c>
      <c r="AJ444" s="521">
        <v>0</v>
      </c>
      <c r="AK444" s="520">
        <f t="shared" si="22"/>
        <v>0</v>
      </c>
      <c r="AL444" s="695"/>
      <c r="AM444" s="669">
        <f t="shared" si="23"/>
        <v>0</v>
      </c>
    </row>
    <row r="445" spans="1:39" s="500" customFormat="1" ht="13.35" customHeight="1">
      <c r="A445" s="440" t="s">
        <v>518</v>
      </c>
      <c r="B445" s="543" t="s">
        <v>1297</v>
      </c>
      <c r="C445" s="616"/>
      <c r="D445" s="519"/>
      <c r="E445" s="520"/>
      <c r="F445" s="726"/>
      <c r="G445" s="520"/>
      <c r="H445" s="520"/>
      <c r="I445" s="521"/>
      <c r="J445" s="521"/>
      <c r="K445" s="772"/>
      <c r="L445" s="514"/>
      <c r="M445" s="756"/>
      <c r="N445" s="514"/>
      <c r="O445" s="514"/>
      <c r="P445" s="514"/>
      <c r="Q445" s="514"/>
      <c r="R445" s="514"/>
      <c r="S445" s="514"/>
      <c r="T445" s="756"/>
      <c r="U445" s="514"/>
      <c r="V445" s="514"/>
      <c r="W445" s="514"/>
      <c r="X445" s="514"/>
      <c r="Y445" s="514"/>
      <c r="Z445" s="514"/>
      <c r="AA445" s="756"/>
      <c r="AB445" s="764"/>
      <c r="AC445" s="514"/>
      <c r="AD445" s="514"/>
      <c r="AE445" s="698"/>
      <c r="AF445" s="514"/>
      <c r="AG445" s="514"/>
      <c r="AH445" s="789"/>
      <c r="AI445" s="946">
        <f t="shared" si="21"/>
        <v>0</v>
      </c>
      <c r="AJ445" s="521">
        <v>0</v>
      </c>
      <c r="AK445" s="520">
        <f t="shared" si="22"/>
        <v>0</v>
      </c>
      <c r="AL445" s="695"/>
      <c r="AM445" s="669">
        <f t="shared" si="23"/>
        <v>0</v>
      </c>
    </row>
    <row r="446" spans="1:39" s="500" customFormat="1" ht="13.35" customHeight="1">
      <c r="A446" s="542" t="s">
        <v>519</v>
      </c>
      <c r="B446" s="542" t="s">
        <v>1236</v>
      </c>
      <c r="C446" s="616"/>
      <c r="D446" s="519"/>
      <c r="E446" s="520"/>
      <c r="F446" s="726"/>
      <c r="G446" s="520"/>
      <c r="H446" s="520"/>
      <c r="I446" s="521"/>
      <c r="J446" s="521"/>
      <c r="K446" s="772"/>
      <c r="L446" s="514"/>
      <c r="M446" s="756"/>
      <c r="N446" s="514"/>
      <c r="O446" s="514"/>
      <c r="P446" s="514"/>
      <c r="Q446" s="514"/>
      <c r="R446" s="514"/>
      <c r="S446" s="514"/>
      <c r="T446" s="756"/>
      <c r="U446" s="514"/>
      <c r="V446" s="514"/>
      <c r="W446" s="514"/>
      <c r="X446" s="514"/>
      <c r="Y446" s="514"/>
      <c r="Z446" s="514"/>
      <c r="AA446" s="756"/>
      <c r="AB446" s="764"/>
      <c r="AC446" s="514"/>
      <c r="AD446" s="514"/>
      <c r="AE446" s="698"/>
      <c r="AF446" s="514"/>
      <c r="AG446" s="514"/>
      <c r="AH446" s="789"/>
      <c r="AI446" s="946">
        <f t="shared" si="21"/>
        <v>0</v>
      </c>
      <c r="AJ446" s="521">
        <v>0</v>
      </c>
      <c r="AK446" s="520">
        <f t="shared" si="22"/>
        <v>0</v>
      </c>
      <c r="AL446" s="695" t="s">
        <v>1703</v>
      </c>
      <c r="AM446" s="669">
        <f t="shared" si="23"/>
        <v>56.66</v>
      </c>
    </row>
    <row r="447" spans="1:39" s="500" customFormat="1" ht="13.35" customHeight="1">
      <c r="A447" s="539" t="s">
        <v>520</v>
      </c>
      <c r="B447" s="539" t="s">
        <v>1237</v>
      </c>
      <c r="C447" s="548" t="s">
        <v>37</v>
      </c>
      <c r="D447" s="519"/>
      <c r="E447" s="520"/>
      <c r="F447" s="726"/>
      <c r="G447" s="520"/>
      <c r="H447" s="520"/>
      <c r="I447" s="521"/>
      <c r="J447" s="521"/>
      <c r="K447" s="772"/>
      <c r="L447" s="514"/>
      <c r="M447" s="756"/>
      <c r="N447" s="514"/>
      <c r="O447" s="514"/>
      <c r="P447" s="514"/>
      <c r="Q447" s="514"/>
      <c r="R447" s="514"/>
      <c r="S447" s="514"/>
      <c r="T447" s="756"/>
      <c r="U447" s="514"/>
      <c r="V447" s="514"/>
      <c r="W447" s="514"/>
      <c r="X447" s="514"/>
      <c r="Y447" s="514"/>
      <c r="Z447" s="514"/>
      <c r="AA447" s="756"/>
      <c r="AB447" s="764"/>
      <c r="AC447" s="514"/>
      <c r="AD447" s="514"/>
      <c r="AE447" s="698"/>
      <c r="AF447" s="514"/>
      <c r="AG447" s="514"/>
      <c r="AH447" s="789"/>
      <c r="AI447" s="946">
        <f t="shared" si="21"/>
        <v>0</v>
      </c>
      <c r="AJ447" s="521">
        <v>0</v>
      </c>
      <c r="AK447" s="520">
        <f t="shared" si="22"/>
        <v>0</v>
      </c>
      <c r="AL447" s="695" t="s">
        <v>1704</v>
      </c>
      <c r="AM447" s="669">
        <f t="shared" si="23"/>
        <v>8.17</v>
      </c>
    </row>
    <row r="448" spans="1:39" s="500" customFormat="1" ht="13.35" customHeight="1">
      <c r="A448" s="539" t="s">
        <v>521</v>
      </c>
      <c r="B448" s="539" t="s">
        <v>1238</v>
      </c>
      <c r="C448" s="548" t="s">
        <v>37</v>
      </c>
      <c r="D448" s="519"/>
      <c r="E448" s="520"/>
      <c r="F448" s="726"/>
      <c r="G448" s="520"/>
      <c r="H448" s="520"/>
      <c r="I448" s="521"/>
      <c r="J448" s="521"/>
      <c r="K448" s="772"/>
      <c r="L448" s="514"/>
      <c r="M448" s="756"/>
      <c r="N448" s="514"/>
      <c r="O448" s="514"/>
      <c r="P448" s="514"/>
      <c r="Q448" s="514"/>
      <c r="R448" s="514"/>
      <c r="S448" s="514"/>
      <c r="T448" s="756"/>
      <c r="U448" s="514"/>
      <c r="V448" s="514"/>
      <c r="W448" s="514"/>
      <c r="X448" s="514"/>
      <c r="Y448" s="514"/>
      <c r="Z448" s="514"/>
      <c r="AA448" s="756"/>
      <c r="AB448" s="764"/>
      <c r="AC448" s="514"/>
      <c r="AD448" s="514"/>
      <c r="AE448" s="698"/>
      <c r="AF448" s="514"/>
      <c r="AG448" s="514"/>
      <c r="AH448" s="789"/>
      <c r="AI448" s="946">
        <f t="shared" si="21"/>
        <v>0</v>
      </c>
      <c r="AJ448" s="521">
        <v>0</v>
      </c>
      <c r="AK448" s="520">
        <f t="shared" si="22"/>
        <v>0</v>
      </c>
      <c r="AL448" s="695"/>
      <c r="AM448" s="669">
        <f t="shared" si="23"/>
        <v>0</v>
      </c>
    </row>
    <row r="449" spans="1:39" s="500" customFormat="1" ht="13.35" customHeight="1">
      <c r="A449" s="542" t="s">
        <v>522</v>
      </c>
      <c r="B449" s="542" t="s">
        <v>1239</v>
      </c>
      <c r="C449" s="616"/>
      <c r="D449" s="519"/>
      <c r="E449" s="520"/>
      <c r="F449" s="726"/>
      <c r="G449" s="520"/>
      <c r="H449" s="520"/>
      <c r="I449" s="521"/>
      <c r="J449" s="521"/>
      <c r="K449" s="772"/>
      <c r="L449" s="514"/>
      <c r="M449" s="756"/>
      <c r="N449" s="514"/>
      <c r="O449" s="514"/>
      <c r="P449" s="514"/>
      <c r="Q449" s="514"/>
      <c r="R449" s="514"/>
      <c r="S449" s="514"/>
      <c r="T449" s="756"/>
      <c r="U449" s="514"/>
      <c r="V449" s="514"/>
      <c r="W449" s="514"/>
      <c r="X449" s="514"/>
      <c r="Y449" s="514"/>
      <c r="Z449" s="514"/>
      <c r="AA449" s="756"/>
      <c r="AB449" s="764"/>
      <c r="AC449" s="514"/>
      <c r="AD449" s="514"/>
      <c r="AE449" s="698"/>
      <c r="AF449" s="514"/>
      <c r="AG449" s="514"/>
      <c r="AH449" s="789"/>
      <c r="AI449" s="946">
        <f t="shared" si="21"/>
        <v>0</v>
      </c>
      <c r="AJ449" s="521">
        <v>0</v>
      </c>
      <c r="AK449" s="520">
        <f t="shared" si="22"/>
        <v>0</v>
      </c>
      <c r="AL449" s="695" t="s">
        <v>1705</v>
      </c>
      <c r="AM449" s="669">
        <f t="shared" si="23"/>
        <v>77.680000000000007</v>
      </c>
    </row>
    <row r="450" spans="1:39" s="500" customFormat="1" ht="13.35" customHeight="1">
      <c r="A450" s="539" t="s">
        <v>523</v>
      </c>
      <c r="B450" s="539" t="s">
        <v>1240</v>
      </c>
      <c r="C450" s="548" t="s">
        <v>37</v>
      </c>
      <c r="D450" s="519"/>
      <c r="E450" s="520"/>
      <c r="F450" s="726"/>
      <c r="G450" s="520"/>
      <c r="H450" s="520"/>
      <c r="I450" s="521"/>
      <c r="J450" s="521"/>
      <c r="K450" s="772"/>
      <c r="L450" s="514"/>
      <c r="M450" s="756"/>
      <c r="N450" s="514"/>
      <c r="O450" s="514"/>
      <c r="P450" s="514"/>
      <c r="Q450" s="514"/>
      <c r="R450" s="514"/>
      <c r="S450" s="514"/>
      <c r="T450" s="756"/>
      <c r="U450" s="514"/>
      <c r="V450" s="514"/>
      <c r="W450" s="514"/>
      <c r="X450" s="514"/>
      <c r="Y450" s="514"/>
      <c r="Z450" s="514"/>
      <c r="AA450" s="756"/>
      <c r="AB450" s="764"/>
      <c r="AC450" s="514"/>
      <c r="AD450" s="514"/>
      <c r="AE450" s="698"/>
      <c r="AF450" s="514"/>
      <c r="AG450" s="514"/>
      <c r="AH450" s="789"/>
      <c r="AI450" s="946">
        <f t="shared" si="21"/>
        <v>0</v>
      </c>
      <c r="AJ450" s="521">
        <v>0</v>
      </c>
      <c r="AK450" s="520">
        <f t="shared" si="22"/>
        <v>0</v>
      </c>
      <c r="AL450" s="695" t="s">
        <v>1706</v>
      </c>
      <c r="AM450" s="669">
        <f t="shared" si="23"/>
        <v>51.98</v>
      </c>
    </row>
    <row r="451" spans="1:39" s="500" customFormat="1" ht="13.35" customHeight="1">
      <c r="A451" s="539" t="s">
        <v>935</v>
      </c>
      <c r="B451" s="539" t="s">
        <v>1241</v>
      </c>
      <c r="C451" s="548" t="s">
        <v>37</v>
      </c>
      <c r="D451" s="519"/>
      <c r="E451" s="520"/>
      <c r="F451" s="726"/>
      <c r="G451" s="520"/>
      <c r="H451" s="520"/>
      <c r="I451" s="521"/>
      <c r="J451" s="521"/>
      <c r="K451" s="772"/>
      <c r="L451" s="514"/>
      <c r="M451" s="756"/>
      <c r="N451" s="514"/>
      <c r="O451" s="514"/>
      <c r="P451" s="514"/>
      <c r="Q451" s="514"/>
      <c r="R451" s="514"/>
      <c r="S451" s="514"/>
      <c r="T451" s="756"/>
      <c r="U451" s="514"/>
      <c r="V451" s="514"/>
      <c r="W451" s="514"/>
      <c r="X451" s="514"/>
      <c r="Y451" s="514"/>
      <c r="Z451" s="514"/>
      <c r="AA451" s="756"/>
      <c r="AB451" s="764"/>
      <c r="AC451" s="514"/>
      <c r="AD451" s="514"/>
      <c r="AE451" s="698"/>
      <c r="AF451" s="514"/>
      <c r="AG451" s="514"/>
      <c r="AH451" s="789"/>
      <c r="AI451" s="946">
        <f t="shared" si="21"/>
        <v>0</v>
      </c>
      <c r="AJ451" s="521">
        <v>0</v>
      </c>
      <c r="AK451" s="520">
        <f t="shared" si="22"/>
        <v>0</v>
      </c>
      <c r="AL451" s="695" t="s">
        <v>1707</v>
      </c>
      <c r="AM451" s="669">
        <f t="shared" si="23"/>
        <v>12</v>
      </c>
    </row>
    <row r="452" spans="1:39" s="500" customFormat="1" ht="13.35" customHeight="1">
      <c r="A452" s="539" t="s">
        <v>936</v>
      </c>
      <c r="B452" s="539" t="s">
        <v>1242</v>
      </c>
      <c r="C452" s="548" t="s">
        <v>37</v>
      </c>
      <c r="D452" s="519"/>
      <c r="E452" s="520"/>
      <c r="F452" s="726"/>
      <c r="G452" s="520"/>
      <c r="H452" s="520"/>
      <c r="I452" s="521"/>
      <c r="J452" s="521"/>
      <c r="K452" s="772"/>
      <c r="L452" s="514"/>
      <c r="M452" s="756"/>
      <c r="N452" s="514"/>
      <c r="O452" s="514"/>
      <c r="P452" s="514"/>
      <c r="Q452" s="514"/>
      <c r="R452" s="514"/>
      <c r="S452" s="514"/>
      <c r="T452" s="756"/>
      <c r="U452" s="514"/>
      <c r="V452" s="514"/>
      <c r="W452" s="514"/>
      <c r="X452" s="514"/>
      <c r="Y452" s="514"/>
      <c r="Z452" s="514"/>
      <c r="AA452" s="756"/>
      <c r="AB452" s="764"/>
      <c r="AC452" s="514"/>
      <c r="AD452" s="514"/>
      <c r="AE452" s="698"/>
      <c r="AF452" s="514"/>
      <c r="AG452" s="514"/>
      <c r="AH452" s="789"/>
      <c r="AI452" s="946">
        <f t="shared" si="21"/>
        <v>0</v>
      </c>
      <c r="AJ452" s="521">
        <v>0</v>
      </c>
      <c r="AK452" s="520">
        <f t="shared" si="22"/>
        <v>0</v>
      </c>
      <c r="AL452" s="695" t="s">
        <v>1708</v>
      </c>
      <c r="AM452" s="669">
        <f t="shared" si="23"/>
        <v>19.97</v>
      </c>
    </row>
    <row r="453" spans="1:39" s="500" customFormat="1" ht="13.35" customHeight="1">
      <c r="A453" s="539" t="s">
        <v>937</v>
      </c>
      <c r="B453" s="539" t="s">
        <v>1243</v>
      </c>
      <c r="C453" s="548" t="s">
        <v>37</v>
      </c>
      <c r="D453" s="519"/>
      <c r="E453" s="520"/>
      <c r="F453" s="726"/>
      <c r="G453" s="520"/>
      <c r="H453" s="520"/>
      <c r="I453" s="521"/>
      <c r="J453" s="521"/>
      <c r="K453" s="772"/>
      <c r="L453" s="514"/>
      <c r="M453" s="756"/>
      <c r="N453" s="514"/>
      <c r="O453" s="514"/>
      <c r="P453" s="514"/>
      <c r="Q453" s="514"/>
      <c r="R453" s="514"/>
      <c r="S453" s="514"/>
      <c r="T453" s="756"/>
      <c r="U453" s="514"/>
      <c r="V453" s="514"/>
      <c r="W453" s="514"/>
      <c r="X453" s="514"/>
      <c r="Y453" s="514"/>
      <c r="Z453" s="514"/>
      <c r="AA453" s="756"/>
      <c r="AB453" s="764"/>
      <c r="AC453" s="514"/>
      <c r="AD453" s="514"/>
      <c r="AE453" s="698"/>
      <c r="AF453" s="514"/>
      <c r="AG453" s="514"/>
      <c r="AH453" s="789"/>
      <c r="AI453" s="946">
        <f t="shared" si="21"/>
        <v>0</v>
      </c>
      <c r="AJ453" s="521">
        <v>0</v>
      </c>
      <c r="AK453" s="520">
        <f t="shared" si="22"/>
        <v>0</v>
      </c>
      <c r="AL453" s="695" t="s">
        <v>1709</v>
      </c>
      <c r="AM453" s="669">
        <f t="shared" si="23"/>
        <v>35.729999999999997</v>
      </c>
    </row>
    <row r="454" spans="1:39" s="500" customFormat="1" ht="13.35" customHeight="1">
      <c r="A454" s="539" t="s">
        <v>938</v>
      </c>
      <c r="B454" s="539" t="s">
        <v>1244</v>
      </c>
      <c r="C454" s="548" t="s">
        <v>37</v>
      </c>
      <c r="D454" s="519"/>
      <c r="E454" s="520"/>
      <c r="F454" s="726"/>
      <c r="G454" s="520"/>
      <c r="H454" s="520"/>
      <c r="I454" s="521"/>
      <c r="J454" s="521"/>
      <c r="K454" s="772"/>
      <c r="L454" s="514"/>
      <c r="M454" s="756"/>
      <c r="N454" s="514"/>
      <c r="O454" s="514"/>
      <c r="P454" s="514"/>
      <c r="Q454" s="514"/>
      <c r="R454" s="514"/>
      <c r="S454" s="514"/>
      <c r="T454" s="756"/>
      <c r="U454" s="514"/>
      <c r="V454" s="514"/>
      <c r="W454" s="514"/>
      <c r="X454" s="514"/>
      <c r="Y454" s="514"/>
      <c r="Z454" s="514"/>
      <c r="AA454" s="756"/>
      <c r="AB454" s="764"/>
      <c r="AC454" s="514"/>
      <c r="AD454" s="514"/>
      <c r="AE454" s="698"/>
      <c r="AF454" s="514"/>
      <c r="AG454" s="514"/>
      <c r="AH454" s="789"/>
      <c r="AI454" s="946">
        <f t="shared" si="21"/>
        <v>0</v>
      </c>
      <c r="AJ454" s="521">
        <v>0</v>
      </c>
      <c r="AK454" s="520">
        <f t="shared" si="22"/>
        <v>0</v>
      </c>
      <c r="AL454" s="695" t="s">
        <v>1710</v>
      </c>
      <c r="AM454" s="669">
        <f t="shared" si="23"/>
        <v>35.9</v>
      </c>
    </row>
    <row r="455" spans="1:39" s="500" customFormat="1" ht="13.35" customHeight="1">
      <c r="A455" s="539" t="s">
        <v>939</v>
      </c>
      <c r="B455" s="539" t="s">
        <v>1245</v>
      </c>
      <c r="C455" s="548" t="s">
        <v>38</v>
      </c>
      <c r="D455" s="519"/>
      <c r="E455" s="520"/>
      <c r="F455" s="726"/>
      <c r="G455" s="520"/>
      <c r="H455" s="520"/>
      <c r="I455" s="521"/>
      <c r="J455" s="521"/>
      <c r="K455" s="772"/>
      <c r="L455" s="514"/>
      <c r="M455" s="756"/>
      <c r="N455" s="514"/>
      <c r="O455" s="514"/>
      <c r="P455" s="514"/>
      <c r="Q455" s="514"/>
      <c r="R455" s="514"/>
      <c r="S455" s="514"/>
      <c r="T455" s="756"/>
      <c r="U455" s="514"/>
      <c r="V455" s="514"/>
      <c r="W455" s="514"/>
      <c r="X455" s="514"/>
      <c r="Y455" s="514"/>
      <c r="Z455" s="514"/>
      <c r="AA455" s="756"/>
      <c r="AB455" s="764"/>
      <c r="AC455" s="514"/>
      <c r="AD455" s="514"/>
      <c r="AE455" s="698"/>
      <c r="AF455" s="514"/>
      <c r="AG455" s="514"/>
      <c r="AH455" s="789"/>
      <c r="AI455" s="946">
        <f t="shared" si="21"/>
        <v>0</v>
      </c>
      <c r="AJ455" s="521">
        <v>0</v>
      </c>
      <c r="AK455" s="520">
        <f t="shared" si="22"/>
        <v>0</v>
      </c>
      <c r="AL455" s="695" t="s">
        <v>1711</v>
      </c>
      <c r="AM455" s="669">
        <f t="shared" si="23"/>
        <v>151.28</v>
      </c>
    </row>
    <row r="456" spans="1:39" s="500" customFormat="1" ht="13.35" customHeight="1">
      <c r="A456" s="539" t="s">
        <v>940</v>
      </c>
      <c r="B456" s="539" t="s">
        <v>1246</v>
      </c>
      <c r="C456" s="548" t="s">
        <v>38</v>
      </c>
      <c r="D456" s="519"/>
      <c r="E456" s="520"/>
      <c r="F456" s="726"/>
      <c r="G456" s="520"/>
      <c r="H456" s="520"/>
      <c r="I456" s="521"/>
      <c r="J456" s="521"/>
      <c r="K456" s="772"/>
      <c r="L456" s="514"/>
      <c r="M456" s="756"/>
      <c r="N456" s="514"/>
      <c r="O456" s="514"/>
      <c r="P456" s="514"/>
      <c r="Q456" s="514"/>
      <c r="R456" s="514"/>
      <c r="S456" s="514"/>
      <c r="T456" s="756"/>
      <c r="U456" s="514"/>
      <c r="V456" s="514"/>
      <c r="W456" s="514"/>
      <c r="X456" s="514"/>
      <c r="Y456" s="514"/>
      <c r="Z456" s="514"/>
      <c r="AA456" s="756"/>
      <c r="AB456" s="764"/>
      <c r="AC456" s="514"/>
      <c r="AD456" s="514"/>
      <c r="AE456" s="698"/>
      <c r="AF456" s="514"/>
      <c r="AG456" s="514"/>
      <c r="AH456" s="789"/>
      <c r="AI456" s="946">
        <f t="shared" si="21"/>
        <v>0</v>
      </c>
      <c r="AJ456" s="521">
        <v>0</v>
      </c>
      <c r="AK456" s="520">
        <f t="shared" si="22"/>
        <v>0</v>
      </c>
      <c r="AL456" s="695"/>
      <c r="AM456" s="669">
        <f t="shared" si="23"/>
        <v>0</v>
      </c>
    </row>
    <row r="457" spans="1:39" s="500" customFormat="1" ht="13.35" customHeight="1">
      <c r="A457" s="542" t="s">
        <v>524</v>
      </c>
      <c r="B457" s="542" t="s">
        <v>1247</v>
      </c>
      <c r="C457" s="616"/>
      <c r="D457" s="519"/>
      <c r="E457" s="520"/>
      <c r="F457" s="726"/>
      <c r="G457" s="520"/>
      <c r="H457" s="520"/>
      <c r="I457" s="521"/>
      <c r="J457" s="521"/>
      <c r="K457" s="772"/>
      <c r="L457" s="514"/>
      <c r="M457" s="756"/>
      <c r="N457" s="514"/>
      <c r="O457" s="514"/>
      <c r="P457" s="514"/>
      <c r="Q457" s="514"/>
      <c r="R457" s="514"/>
      <c r="S457" s="514"/>
      <c r="T457" s="756"/>
      <c r="U457" s="514"/>
      <c r="V457" s="514"/>
      <c r="W457" s="514"/>
      <c r="X457" s="514"/>
      <c r="Y457" s="514"/>
      <c r="Z457" s="514"/>
      <c r="AA457" s="756"/>
      <c r="AB457" s="764"/>
      <c r="AC457" s="514"/>
      <c r="AD457" s="514"/>
      <c r="AE457" s="698"/>
      <c r="AF457" s="514"/>
      <c r="AG457" s="514"/>
      <c r="AH457" s="789"/>
      <c r="AI457" s="946">
        <f t="shared" si="21"/>
        <v>0</v>
      </c>
      <c r="AJ457" s="521">
        <v>0</v>
      </c>
      <c r="AK457" s="520">
        <f t="shared" si="22"/>
        <v>0</v>
      </c>
      <c r="AL457" s="695" t="s">
        <v>1712</v>
      </c>
      <c r="AM457" s="669">
        <f t="shared" si="23"/>
        <v>33.950000000000003</v>
      </c>
    </row>
    <row r="458" spans="1:39" s="500" customFormat="1" ht="13.35" customHeight="1">
      <c r="A458" s="539" t="s">
        <v>525</v>
      </c>
      <c r="B458" s="539" t="s">
        <v>1248</v>
      </c>
      <c r="C458" s="548" t="s">
        <v>37</v>
      </c>
      <c r="D458" s="519"/>
      <c r="E458" s="520"/>
      <c r="F458" s="726"/>
      <c r="G458" s="520"/>
      <c r="H458" s="520"/>
      <c r="I458" s="521"/>
      <c r="J458" s="521"/>
      <c r="K458" s="772"/>
      <c r="L458" s="514"/>
      <c r="M458" s="756"/>
      <c r="N458" s="514"/>
      <c r="O458" s="514"/>
      <c r="P458" s="514"/>
      <c r="Q458" s="514"/>
      <c r="R458" s="514"/>
      <c r="S458" s="514"/>
      <c r="T458" s="756"/>
      <c r="U458" s="514"/>
      <c r="V458" s="514"/>
      <c r="W458" s="514"/>
      <c r="X458" s="514"/>
      <c r="Y458" s="514"/>
      <c r="Z458" s="514"/>
      <c r="AA458" s="756"/>
      <c r="AB458" s="764"/>
      <c r="AC458" s="514"/>
      <c r="AD458" s="514"/>
      <c r="AE458" s="698"/>
      <c r="AF458" s="514"/>
      <c r="AG458" s="514"/>
      <c r="AH458" s="789"/>
      <c r="AI458" s="946">
        <f t="shared" si="21"/>
        <v>0</v>
      </c>
      <c r="AJ458" s="521">
        <v>0</v>
      </c>
      <c r="AK458" s="520">
        <f t="shared" si="22"/>
        <v>0</v>
      </c>
      <c r="AL458" s="695"/>
      <c r="AM458" s="669">
        <f t="shared" si="23"/>
        <v>0</v>
      </c>
    </row>
    <row r="459" spans="1:39" s="500" customFormat="1" ht="13.35" customHeight="1">
      <c r="A459" s="542" t="s">
        <v>941</v>
      </c>
      <c r="B459" s="542" t="s">
        <v>1249</v>
      </c>
      <c r="C459" s="616"/>
      <c r="D459" s="519"/>
      <c r="E459" s="520"/>
      <c r="F459" s="726"/>
      <c r="G459" s="520"/>
      <c r="H459" s="520"/>
      <c r="I459" s="521"/>
      <c r="J459" s="521"/>
      <c r="K459" s="772"/>
      <c r="L459" s="514"/>
      <c r="M459" s="756"/>
      <c r="N459" s="514"/>
      <c r="O459" s="514"/>
      <c r="P459" s="514"/>
      <c r="Q459" s="514"/>
      <c r="R459" s="514"/>
      <c r="S459" s="514"/>
      <c r="T459" s="756"/>
      <c r="U459" s="514"/>
      <c r="V459" s="514"/>
      <c r="W459" s="514"/>
      <c r="X459" s="514"/>
      <c r="Y459" s="514"/>
      <c r="Z459" s="514"/>
      <c r="AA459" s="756"/>
      <c r="AB459" s="764"/>
      <c r="AC459" s="514"/>
      <c r="AD459" s="514"/>
      <c r="AE459" s="698"/>
      <c r="AF459" s="514"/>
      <c r="AG459" s="514"/>
      <c r="AH459" s="789"/>
      <c r="AI459" s="946">
        <f t="shared" si="21"/>
        <v>0</v>
      </c>
      <c r="AJ459" s="521">
        <v>0</v>
      </c>
      <c r="AK459" s="520">
        <f t="shared" si="22"/>
        <v>0</v>
      </c>
      <c r="AL459" s="695" t="s">
        <v>1713</v>
      </c>
      <c r="AM459" s="669">
        <f t="shared" si="23"/>
        <v>22.08</v>
      </c>
    </row>
    <row r="460" spans="1:39" s="500" customFormat="1" ht="13.35" customHeight="1">
      <c r="A460" s="539" t="s">
        <v>942</v>
      </c>
      <c r="B460" s="539" t="s">
        <v>1250</v>
      </c>
      <c r="C460" s="548" t="s">
        <v>37</v>
      </c>
      <c r="D460" s="519"/>
      <c r="E460" s="520"/>
      <c r="F460" s="726"/>
      <c r="G460" s="520"/>
      <c r="H460" s="520"/>
      <c r="I460" s="521"/>
      <c r="J460" s="521"/>
      <c r="K460" s="772"/>
      <c r="L460" s="514"/>
      <c r="M460" s="756"/>
      <c r="N460" s="514"/>
      <c r="O460" s="514"/>
      <c r="P460" s="514"/>
      <c r="Q460" s="514"/>
      <c r="R460" s="514"/>
      <c r="S460" s="514"/>
      <c r="T460" s="756"/>
      <c r="U460" s="514"/>
      <c r="V460" s="514"/>
      <c r="W460" s="514"/>
      <c r="X460" s="514"/>
      <c r="Y460" s="514"/>
      <c r="Z460" s="514"/>
      <c r="AA460" s="756"/>
      <c r="AB460" s="764"/>
      <c r="AC460" s="514"/>
      <c r="AD460" s="514"/>
      <c r="AE460" s="698"/>
      <c r="AF460" s="514"/>
      <c r="AG460" s="514"/>
      <c r="AH460" s="789"/>
      <c r="AI460" s="946">
        <f t="shared" ref="AI460:AI523" si="24">ROUND((SUM(D460:AH460)),2)</f>
        <v>0</v>
      </c>
      <c r="AJ460" s="521">
        <v>0</v>
      </c>
      <c r="AK460" s="520">
        <f t="shared" si="22"/>
        <v>0</v>
      </c>
      <c r="AL460" s="695" t="s">
        <v>1714</v>
      </c>
      <c r="AM460" s="669">
        <f t="shared" si="23"/>
        <v>12.13</v>
      </c>
    </row>
    <row r="461" spans="1:39" s="500" customFormat="1" ht="13.35" customHeight="1">
      <c r="A461" s="539" t="s">
        <v>943</v>
      </c>
      <c r="B461" s="539" t="s">
        <v>1251</v>
      </c>
      <c r="C461" s="548" t="s">
        <v>37</v>
      </c>
      <c r="D461" s="519"/>
      <c r="E461" s="520"/>
      <c r="F461" s="726"/>
      <c r="G461" s="520"/>
      <c r="H461" s="520"/>
      <c r="I461" s="521"/>
      <c r="J461" s="521"/>
      <c r="K461" s="772"/>
      <c r="L461" s="514"/>
      <c r="M461" s="756"/>
      <c r="N461" s="514"/>
      <c r="O461" s="514"/>
      <c r="P461" s="514"/>
      <c r="Q461" s="514"/>
      <c r="R461" s="514"/>
      <c r="S461" s="514"/>
      <c r="T461" s="756"/>
      <c r="U461" s="514"/>
      <c r="V461" s="514"/>
      <c r="W461" s="514"/>
      <c r="X461" s="514"/>
      <c r="Y461" s="514"/>
      <c r="Z461" s="514"/>
      <c r="AA461" s="756"/>
      <c r="AB461" s="764"/>
      <c r="AC461" s="514"/>
      <c r="AD461" s="514"/>
      <c r="AE461" s="698"/>
      <c r="AF461" s="514"/>
      <c r="AG461" s="514"/>
      <c r="AH461" s="789"/>
      <c r="AI461" s="946">
        <f t="shared" si="24"/>
        <v>0</v>
      </c>
      <c r="AJ461" s="521">
        <v>0</v>
      </c>
      <c r="AK461" s="520">
        <f t="shared" si="22"/>
        <v>0</v>
      </c>
      <c r="AL461" s="695" t="s">
        <v>1715</v>
      </c>
      <c r="AM461" s="669">
        <f t="shared" si="23"/>
        <v>9.9499999999999993</v>
      </c>
    </row>
    <row r="462" spans="1:39" s="500" customFormat="1" ht="13.35" customHeight="1">
      <c r="A462" s="539" t="s">
        <v>944</v>
      </c>
      <c r="B462" s="539" t="s">
        <v>1252</v>
      </c>
      <c r="C462" s="548" t="s">
        <v>37</v>
      </c>
      <c r="D462" s="519"/>
      <c r="E462" s="520"/>
      <c r="F462" s="726"/>
      <c r="G462" s="520"/>
      <c r="H462" s="520"/>
      <c r="I462" s="521"/>
      <c r="J462" s="521"/>
      <c r="K462" s="772"/>
      <c r="L462" s="514"/>
      <c r="M462" s="756"/>
      <c r="N462" s="514"/>
      <c r="O462" s="514"/>
      <c r="P462" s="514"/>
      <c r="Q462" s="514"/>
      <c r="R462" s="514"/>
      <c r="S462" s="514"/>
      <c r="T462" s="756"/>
      <c r="U462" s="514"/>
      <c r="V462" s="514"/>
      <c r="W462" s="514"/>
      <c r="X462" s="514"/>
      <c r="Y462" s="514"/>
      <c r="Z462" s="514"/>
      <c r="AA462" s="756"/>
      <c r="AB462" s="764"/>
      <c r="AC462" s="514"/>
      <c r="AD462" s="514"/>
      <c r="AE462" s="698"/>
      <c r="AF462" s="514"/>
      <c r="AG462" s="514"/>
      <c r="AH462" s="789"/>
      <c r="AI462" s="946">
        <f t="shared" si="24"/>
        <v>0</v>
      </c>
      <c r="AJ462" s="521">
        <v>0</v>
      </c>
      <c r="AK462" s="520">
        <f t="shared" si="22"/>
        <v>0</v>
      </c>
      <c r="AL462" s="695"/>
      <c r="AM462" s="669">
        <f t="shared" si="23"/>
        <v>0</v>
      </c>
    </row>
    <row r="463" spans="1:39" s="500" customFormat="1" ht="13.35" customHeight="1">
      <c r="A463" s="542" t="s">
        <v>945</v>
      </c>
      <c r="B463" s="542" t="s">
        <v>1256</v>
      </c>
      <c r="C463" s="616"/>
      <c r="D463" s="519"/>
      <c r="E463" s="520"/>
      <c r="F463" s="726"/>
      <c r="G463" s="520"/>
      <c r="H463" s="520"/>
      <c r="I463" s="521"/>
      <c r="J463" s="521"/>
      <c r="K463" s="772"/>
      <c r="L463" s="514"/>
      <c r="M463" s="756"/>
      <c r="N463" s="514"/>
      <c r="O463" s="514"/>
      <c r="P463" s="514"/>
      <c r="Q463" s="514"/>
      <c r="R463" s="514"/>
      <c r="S463" s="514"/>
      <c r="T463" s="756"/>
      <c r="U463" s="514"/>
      <c r="V463" s="514"/>
      <c r="W463" s="514"/>
      <c r="X463" s="514"/>
      <c r="Y463" s="514"/>
      <c r="Z463" s="514"/>
      <c r="AA463" s="756"/>
      <c r="AB463" s="764"/>
      <c r="AC463" s="514"/>
      <c r="AD463" s="514"/>
      <c r="AE463" s="698"/>
      <c r="AF463" s="514"/>
      <c r="AG463" s="514"/>
      <c r="AH463" s="789"/>
      <c r="AI463" s="946">
        <f t="shared" si="24"/>
        <v>0</v>
      </c>
      <c r="AJ463" s="521">
        <v>0</v>
      </c>
      <c r="AK463" s="520">
        <f t="shared" si="22"/>
        <v>0</v>
      </c>
      <c r="AL463" s="695" t="s">
        <v>1716</v>
      </c>
      <c r="AM463" s="669">
        <f t="shared" si="23"/>
        <v>8.93</v>
      </c>
    </row>
    <row r="464" spans="1:39" s="500" customFormat="1" ht="13.35" customHeight="1">
      <c r="A464" s="539" t="s">
        <v>946</v>
      </c>
      <c r="B464" s="539" t="s">
        <v>1257</v>
      </c>
      <c r="C464" s="548" t="s">
        <v>37</v>
      </c>
      <c r="D464" s="519"/>
      <c r="E464" s="520"/>
      <c r="F464" s="726"/>
      <c r="G464" s="520"/>
      <c r="H464" s="520"/>
      <c r="I464" s="521"/>
      <c r="J464" s="521"/>
      <c r="K464" s="772"/>
      <c r="L464" s="514"/>
      <c r="M464" s="756"/>
      <c r="N464" s="514"/>
      <c r="O464" s="514"/>
      <c r="P464" s="514"/>
      <c r="Q464" s="514"/>
      <c r="R464" s="514"/>
      <c r="S464" s="514"/>
      <c r="T464" s="756"/>
      <c r="U464" s="514"/>
      <c r="V464" s="514"/>
      <c r="W464" s="514"/>
      <c r="X464" s="514"/>
      <c r="Y464" s="514"/>
      <c r="Z464" s="514"/>
      <c r="AA464" s="756"/>
      <c r="AB464" s="764"/>
      <c r="AC464" s="514"/>
      <c r="AD464" s="514"/>
      <c r="AE464" s="698"/>
      <c r="AF464" s="514"/>
      <c r="AG464" s="514"/>
      <c r="AH464" s="789"/>
      <c r="AI464" s="946">
        <f t="shared" si="24"/>
        <v>0</v>
      </c>
      <c r="AJ464" s="521">
        <v>0</v>
      </c>
      <c r="AK464" s="520">
        <f t="shared" si="22"/>
        <v>0</v>
      </c>
      <c r="AL464" s="695"/>
      <c r="AM464" s="669">
        <f t="shared" si="23"/>
        <v>0</v>
      </c>
    </row>
    <row r="465" spans="1:39" s="500" customFormat="1" ht="13.35" customHeight="1">
      <c r="A465" s="542" t="s">
        <v>947</v>
      </c>
      <c r="B465" s="542" t="s">
        <v>1258</v>
      </c>
      <c r="C465" s="616"/>
      <c r="D465" s="519"/>
      <c r="E465" s="520"/>
      <c r="F465" s="726"/>
      <c r="G465" s="520"/>
      <c r="H465" s="520"/>
      <c r="I465" s="521"/>
      <c r="J465" s="521"/>
      <c r="K465" s="772"/>
      <c r="L465" s="514"/>
      <c r="M465" s="756"/>
      <c r="N465" s="514"/>
      <c r="O465" s="514"/>
      <c r="P465" s="514"/>
      <c r="Q465" s="514"/>
      <c r="R465" s="514"/>
      <c r="S465" s="514"/>
      <c r="T465" s="756"/>
      <c r="U465" s="514"/>
      <c r="V465" s="514"/>
      <c r="W465" s="514"/>
      <c r="X465" s="514"/>
      <c r="Y465" s="514"/>
      <c r="Z465" s="514"/>
      <c r="AA465" s="756"/>
      <c r="AB465" s="764"/>
      <c r="AC465" s="514"/>
      <c r="AD465" s="514"/>
      <c r="AE465" s="698"/>
      <c r="AF465" s="514"/>
      <c r="AG465" s="514"/>
      <c r="AH465" s="789"/>
      <c r="AI465" s="946">
        <f t="shared" si="24"/>
        <v>0</v>
      </c>
      <c r="AJ465" s="521">
        <v>0</v>
      </c>
      <c r="AK465" s="520">
        <f t="shared" si="22"/>
        <v>0</v>
      </c>
      <c r="AL465" s="695" t="s">
        <v>1717</v>
      </c>
      <c r="AM465" s="669">
        <f t="shared" si="23"/>
        <v>6.91</v>
      </c>
    </row>
    <row r="466" spans="1:39" s="500" customFormat="1" ht="13.35" customHeight="1">
      <c r="A466" s="539" t="s">
        <v>948</v>
      </c>
      <c r="B466" s="539" t="s">
        <v>1259</v>
      </c>
      <c r="C466" s="548" t="s">
        <v>37</v>
      </c>
      <c r="D466" s="519"/>
      <c r="E466" s="520"/>
      <c r="F466" s="726"/>
      <c r="G466" s="520"/>
      <c r="H466" s="520"/>
      <c r="I466" s="521"/>
      <c r="J466" s="521"/>
      <c r="K466" s="772"/>
      <c r="L466" s="514"/>
      <c r="M466" s="756"/>
      <c r="N466" s="514"/>
      <c r="O466" s="514"/>
      <c r="P466" s="514"/>
      <c r="Q466" s="514"/>
      <c r="R466" s="514"/>
      <c r="S466" s="514"/>
      <c r="T466" s="756"/>
      <c r="U466" s="514"/>
      <c r="V466" s="514"/>
      <c r="W466" s="514"/>
      <c r="X466" s="514"/>
      <c r="Y466" s="514"/>
      <c r="Z466" s="514"/>
      <c r="AA466" s="756"/>
      <c r="AB466" s="764"/>
      <c r="AC466" s="514"/>
      <c r="AD466" s="514"/>
      <c r="AE466" s="698"/>
      <c r="AF466" s="514"/>
      <c r="AG466" s="514"/>
      <c r="AH466" s="789"/>
      <c r="AI466" s="946">
        <f t="shared" si="24"/>
        <v>0</v>
      </c>
      <c r="AJ466" s="521">
        <v>0</v>
      </c>
      <c r="AK466" s="520">
        <f t="shared" si="22"/>
        <v>0</v>
      </c>
      <c r="AL466" s="695" t="s">
        <v>1718</v>
      </c>
      <c r="AM466" s="669">
        <f t="shared" si="23"/>
        <v>8.86</v>
      </c>
    </row>
    <row r="467" spans="1:39" s="500" customFormat="1" ht="13.35" customHeight="1">
      <c r="A467" s="539" t="s">
        <v>949</v>
      </c>
      <c r="B467" s="539" t="s">
        <v>1286</v>
      </c>
      <c r="C467" s="548" t="s">
        <v>37</v>
      </c>
      <c r="D467" s="519"/>
      <c r="E467" s="520"/>
      <c r="F467" s="726"/>
      <c r="G467" s="520"/>
      <c r="H467" s="520"/>
      <c r="I467" s="521"/>
      <c r="J467" s="521"/>
      <c r="K467" s="772"/>
      <c r="L467" s="514"/>
      <c r="M467" s="756"/>
      <c r="N467" s="514"/>
      <c r="O467" s="514"/>
      <c r="P467" s="514"/>
      <c r="Q467" s="514"/>
      <c r="R467" s="514"/>
      <c r="S467" s="514"/>
      <c r="T467" s="756"/>
      <c r="U467" s="514"/>
      <c r="V467" s="514"/>
      <c r="W467" s="514"/>
      <c r="X467" s="514"/>
      <c r="Y467" s="514"/>
      <c r="Z467" s="514"/>
      <c r="AA467" s="756"/>
      <c r="AB467" s="764"/>
      <c r="AC467" s="514"/>
      <c r="AD467" s="514"/>
      <c r="AE467" s="698"/>
      <c r="AF467" s="514"/>
      <c r="AG467" s="514"/>
      <c r="AH467" s="789"/>
      <c r="AI467" s="946">
        <f t="shared" si="24"/>
        <v>0</v>
      </c>
      <c r="AJ467" s="521">
        <v>0</v>
      </c>
      <c r="AK467" s="520">
        <f t="shared" si="22"/>
        <v>0</v>
      </c>
      <c r="AL467" s="695" t="s">
        <v>1719</v>
      </c>
      <c r="AM467" s="669">
        <f t="shared" si="23"/>
        <v>10.78</v>
      </c>
    </row>
    <row r="468" spans="1:39" s="500" customFormat="1" ht="13.35" customHeight="1">
      <c r="A468" s="539" t="s">
        <v>950</v>
      </c>
      <c r="B468" s="539" t="s">
        <v>1260</v>
      </c>
      <c r="C468" s="548" t="s">
        <v>38</v>
      </c>
      <c r="D468" s="519"/>
      <c r="E468" s="520"/>
      <c r="F468" s="726"/>
      <c r="G468" s="520"/>
      <c r="H468" s="520"/>
      <c r="I468" s="521"/>
      <c r="J468" s="521"/>
      <c r="K468" s="772"/>
      <c r="L468" s="514"/>
      <c r="M468" s="756"/>
      <c r="N468" s="514"/>
      <c r="O468" s="514"/>
      <c r="P468" s="514"/>
      <c r="Q468" s="514"/>
      <c r="R468" s="514"/>
      <c r="S468" s="514"/>
      <c r="T468" s="756"/>
      <c r="U468" s="514"/>
      <c r="V468" s="514"/>
      <c r="W468" s="514"/>
      <c r="X468" s="514"/>
      <c r="Y468" s="514"/>
      <c r="Z468" s="514"/>
      <c r="AA468" s="756"/>
      <c r="AB468" s="764"/>
      <c r="AC468" s="514"/>
      <c r="AD468" s="514"/>
      <c r="AE468" s="698"/>
      <c r="AF468" s="514"/>
      <c r="AG468" s="514"/>
      <c r="AH468" s="789"/>
      <c r="AI468" s="946">
        <f t="shared" si="24"/>
        <v>0</v>
      </c>
      <c r="AJ468" s="521">
        <v>0</v>
      </c>
      <c r="AK468" s="520">
        <f t="shared" ref="AK468:AK531" si="25">AI468+AJ468</f>
        <v>0</v>
      </c>
      <c r="AL468" s="695" t="s">
        <v>1720</v>
      </c>
      <c r="AM468" s="669">
        <f t="shared" ref="AM468:AM531" si="26">AL468-AK468</f>
        <v>14.4</v>
      </c>
    </row>
    <row r="469" spans="1:39" s="500" customFormat="1" ht="13.35" customHeight="1">
      <c r="A469" s="539" t="s">
        <v>951</v>
      </c>
      <c r="B469" s="539" t="s">
        <v>1261</v>
      </c>
      <c r="C469" s="548" t="s">
        <v>38</v>
      </c>
      <c r="D469" s="519"/>
      <c r="E469" s="520"/>
      <c r="F469" s="726"/>
      <c r="G469" s="520"/>
      <c r="H469" s="520"/>
      <c r="I469" s="521"/>
      <c r="J469" s="521"/>
      <c r="K469" s="772"/>
      <c r="L469" s="514"/>
      <c r="M469" s="756"/>
      <c r="N469" s="514"/>
      <c r="O469" s="514"/>
      <c r="P469" s="514"/>
      <c r="Q469" s="514"/>
      <c r="R469" s="514"/>
      <c r="S469" s="514"/>
      <c r="T469" s="756"/>
      <c r="U469" s="514"/>
      <c r="V469" s="514"/>
      <c r="W469" s="514"/>
      <c r="X469" s="514"/>
      <c r="Y469" s="514"/>
      <c r="Z469" s="514"/>
      <c r="AA469" s="756"/>
      <c r="AB469" s="764"/>
      <c r="AC469" s="514"/>
      <c r="AD469" s="514"/>
      <c r="AE469" s="698"/>
      <c r="AF469" s="514"/>
      <c r="AG469" s="514"/>
      <c r="AH469" s="789"/>
      <c r="AI469" s="946">
        <f t="shared" si="24"/>
        <v>0</v>
      </c>
      <c r="AJ469" s="521">
        <v>0</v>
      </c>
      <c r="AK469" s="520">
        <f t="shared" si="25"/>
        <v>0</v>
      </c>
      <c r="AL469" s="695"/>
      <c r="AM469" s="669">
        <f t="shared" si="26"/>
        <v>0</v>
      </c>
    </row>
    <row r="470" spans="1:39" s="500" customFormat="1" ht="13.35" customHeight="1">
      <c r="A470" s="542" t="s">
        <v>952</v>
      </c>
      <c r="B470" s="542" t="s">
        <v>1198</v>
      </c>
      <c r="C470" s="616"/>
      <c r="D470" s="519"/>
      <c r="E470" s="520"/>
      <c r="F470" s="726"/>
      <c r="G470" s="520"/>
      <c r="H470" s="520"/>
      <c r="I470" s="521"/>
      <c r="J470" s="521"/>
      <c r="K470" s="772"/>
      <c r="L470" s="514"/>
      <c r="M470" s="756"/>
      <c r="N470" s="514"/>
      <c r="O470" s="514"/>
      <c r="P470" s="514"/>
      <c r="Q470" s="514"/>
      <c r="R470" s="514"/>
      <c r="S470" s="514"/>
      <c r="T470" s="756"/>
      <c r="U470" s="514"/>
      <c r="V470" s="514"/>
      <c r="W470" s="514"/>
      <c r="X470" s="514"/>
      <c r="Y470" s="514"/>
      <c r="Z470" s="514"/>
      <c r="AA470" s="756"/>
      <c r="AB470" s="764"/>
      <c r="AC470" s="514"/>
      <c r="AD470" s="514"/>
      <c r="AE470" s="698"/>
      <c r="AF470" s="514"/>
      <c r="AG470" s="514"/>
      <c r="AH470" s="789"/>
      <c r="AI470" s="946">
        <f t="shared" si="24"/>
        <v>0</v>
      </c>
      <c r="AJ470" s="521">
        <v>0</v>
      </c>
      <c r="AK470" s="520">
        <f t="shared" si="25"/>
        <v>0</v>
      </c>
      <c r="AL470" s="695" t="s">
        <v>1721</v>
      </c>
      <c r="AM470" s="669">
        <f t="shared" si="26"/>
        <v>21.28</v>
      </c>
    </row>
    <row r="471" spans="1:39" s="500" customFormat="1" ht="13.35" customHeight="1">
      <c r="A471" s="539" t="s">
        <v>953</v>
      </c>
      <c r="B471" s="539" t="s">
        <v>1262</v>
      </c>
      <c r="C471" s="548" t="s">
        <v>37</v>
      </c>
      <c r="D471" s="519"/>
      <c r="E471" s="520"/>
      <c r="F471" s="726"/>
      <c r="G471" s="520"/>
      <c r="H471" s="520"/>
      <c r="I471" s="521"/>
      <c r="J471" s="521"/>
      <c r="K471" s="772"/>
      <c r="L471" s="514"/>
      <c r="M471" s="756"/>
      <c r="N471" s="514"/>
      <c r="O471" s="514"/>
      <c r="P471" s="514"/>
      <c r="Q471" s="514"/>
      <c r="R471" s="514"/>
      <c r="S471" s="514"/>
      <c r="T471" s="756"/>
      <c r="U471" s="514"/>
      <c r="V471" s="514"/>
      <c r="W471" s="514"/>
      <c r="X471" s="514"/>
      <c r="Y471" s="514"/>
      <c r="Z471" s="514"/>
      <c r="AA471" s="756"/>
      <c r="AB471" s="764"/>
      <c r="AC471" s="514"/>
      <c r="AD471" s="514"/>
      <c r="AE471" s="698"/>
      <c r="AF471" s="514"/>
      <c r="AG471" s="514"/>
      <c r="AH471" s="789"/>
      <c r="AI471" s="946">
        <f t="shared" si="24"/>
        <v>0</v>
      </c>
      <c r="AJ471" s="521">
        <v>0</v>
      </c>
      <c r="AK471" s="520">
        <f t="shared" si="25"/>
        <v>0</v>
      </c>
      <c r="AL471" s="695" t="s">
        <v>1689</v>
      </c>
      <c r="AM471" s="669">
        <f t="shared" si="26"/>
        <v>6.15</v>
      </c>
    </row>
    <row r="472" spans="1:39" s="500" customFormat="1" ht="13.35" customHeight="1">
      <c r="A472" s="539" t="s">
        <v>954</v>
      </c>
      <c r="B472" s="539" t="s">
        <v>1263</v>
      </c>
      <c r="C472" s="548" t="s">
        <v>38</v>
      </c>
      <c r="D472" s="519"/>
      <c r="E472" s="520"/>
      <c r="F472" s="726"/>
      <c r="G472" s="520"/>
      <c r="H472" s="520"/>
      <c r="I472" s="521"/>
      <c r="J472" s="521"/>
      <c r="K472" s="772"/>
      <c r="L472" s="514"/>
      <c r="M472" s="756"/>
      <c r="N472" s="514"/>
      <c r="O472" s="514"/>
      <c r="P472" s="514"/>
      <c r="Q472" s="514"/>
      <c r="R472" s="514"/>
      <c r="S472" s="514"/>
      <c r="T472" s="756"/>
      <c r="U472" s="514"/>
      <c r="V472" s="514"/>
      <c r="W472" s="514"/>
      <c r="X472" s="514"/>
      <c r="Y472" s="514"/>
      <c r="Z472" s="514"/>
      <c r="AA472" s="756"/>
      <c r="AB472" s="764"/>
      <c r="AC472" s="514"/>
      <c r="AD472" s="514"/>
      <c r="AE472" s="698"/>
      <c r="AF472" s="514"/>
      <c r="AG472" s="514"/>
      <c r="AH472" s="789"/>
      <c r="AI472" s="946">
        <f t="shared" si="24"/>
        <v>0</v>
      </c>
      <c r="AJ472" s="521">
        <v>0</v>
      </c>
      <c r="AK472" s="520">
        <f t="shared" si="25"/>
        <v>0</v>
      </c>
      <c r="AL472" s="695"/>
      <c r="AM472" s="669">
        <f t="shared" si="26"/>
        <v>0</v>
      </c>
    </row>
    <row r="473" spans="1:39" s="500" customFormat="1" ht="13.35" customHeight="1">
      <c r="A473" s="542" t="s">
        <v>955</v>
      </c>
      <c r="B473" s="542" t="s">
        <v>1264</v>
      </c>
      <c r="C473" s="616"/>
      <c r="D473" s="519"/>
      <c r="E473" s="520"/>
      <c r="F473" s="726"/>
      <c r="G473" s="520"/>
      <c r="H473" s="520"/>
      <c r="I473" s="521"/>
      <c r="J473" s="521"/>
      <c r="K473" s="772"/>
      <c r="L473" s="514"/>
      <c r="M473" s="756"/>
      <c r="N473" s="514"/>
      <c r="O473" s="514"/>
      <c r="P473" s="514"/>
      <c r="Q473" s="514"/>
      <c r="R473" s="514"/>
      <c r="S473" s="514"/>
      <c r="T473" s="756"/>
      <c r="U473" s="514"/>
      <c r="V473" s="514"/>
      <c r="W473" s="514"/>
      <c r="X473" s="514"/>
      <c r="Y473" s="514"/>
      <c r="Z473" s="514"/>
      <c r="AA473" s="756"/>
      <c r="AB473" s="764"/>
      <c r="AC473" s="514"/>
      <c r="AD473" s="514"/>
      <c r="AE473" s="698"/>
      <c r="AF473" s="514"/>
      <c r="AG473" s="514"/>
      <c r="AH473" s="789"/>
      <c r="AI473" s="946">
        <f t="shared" si="24"/>
        <v>0</v>
      </c>
      <c r="AJ473" s="521">
        <v>0</v>
      </c>
      <c r="AK473" s="520">
        <f t="shared" si="25"/>
        <v>0</v>
      </c>
      <c r="AL473" s="695" t="s">
        <v>1722</v>
      </c>
      <c r="AM473" s="669">
        <f t="shared" si="26"/>
        <v>1.89</v>
      </c>
    </row>
    <row r="474" spans="1:39" s="500" customFormat="1" ht="13.35" customHeight="1">
      <c r="A474" s="539" t="s">
        <v>956</v>
      </c>
      <c r="B474" s="539" t="s">
        <v>1265</v>
      </c>
      <c r="C474" s="548" t="s">
        <v>37</v>
      </c>
      <c r="D474" s="519"/>
      <c r="E474" s="520"/>
      <c r="F474" s="726"/>
      <c r="G474" s="520"/>
      <c r="H474" s="520"/>
      <c r="I474" s="521"/>
      <c r="J474" s="521"/>
      <c r="K474" s="772"/>
      <c r="L474" s="514"/>
      <c r="M474" s="756"/>
      <c r="N474" s="514"/>
      <c r="O474" s="514"/>
      <c r="P474" s="514"/>
      <c r="Q474" s="514"/>
      <c r="R474" s="514"/>
      <c r="S474" s="514"/>
      <c r="T474" s="756"/>
      <c r="U474" s="514"/>
      <c r="V474" s="514"/>
      <c r="W474" s="514"/>
      <c r="X474" s="514"/>
      <c r="Y474" s="514"/>
      <c r="Z474" s="514"/>
      <c r="AA474" s="756"/>
      <c r="AB474" s="764"/>
      <c r="AC474" s="514"/>
      <c r="AD474" s="514"/>
      <c r="AE474" s="698"/>
      <c r="AF474" s="514"/>
      <c r="AG474" s="514"/>
      <c r="AH474" s="789"/>
      <c r="AI474" s="946">
        <f t="shared" si="24"/>
        <v>0</v>
      </c>
      <c r="AJ474" s="521">
        <v>0</v>
      </c>
      <c r="AK474" s="520">
        <f t="shared" si="25"/>
        <v>0</v>
      </c>
      <c r="AL474" s="695" t="s">
        <v>1723</v>
      </c>
      <c r="AM474" s="669">
        <f t="shared" si="26"/>
        <v>3.15</v>
      </c>
    </row>
    <row r="475" spans="1:39" s="500" customFormat="1" ht="13.35" customHeight="1">
      <c r="A475" s="539" t="s">
        <v>957</v>
      </c>
      <c r="B475" s="539" t="s">
        <v>1295</v>
      </c>
      <c r="C475" s="548" t="s">
        <v>37</v>
      </c>
      <c r="D475" s="519"/>
      <c r="E475" s="520"/>
      <c r="F475" s="726"/>
      <c r="G475" s="520"/>
      <c r="H475" s="520"/>
      <c r="I475" s="521"/>
      <c r="J475" s="521"/>
      <c r="K475" s="772"/>
      <c r="L475" s="514"/>
      <c r="M475" s="756"/>
      <c r="N475" s="514"/>
      <c r="O475" s="514"/>
      <c r="P475" s="514"/>
      <c r="Q475" s="514"/>
      <c r="R475" s="514"/>
      <c r="S475" s="514"/>
      <c r="T475" s="756"/>
      <c r="U475" s="514"/>
      <c r="V475" s="514"/>
      <c r="W475" s="514"/>
      <c r="X475" s="514"/>
      <c r="Y475" s="514"/>
      <c r="Z475" s="514"/>
      <c r="AA475" s="756"/>
      <c r="AB475" s="764"/>
      <c r="AC475" s="514"/>
      <c r="AD475" s="514"/>
      <c r="AE475" s="698"/>
      <c r="AF475" s="514"/>
      <c r="AG475" s="514"/>
      <c r="AH475" s="789"/>
      <c r="AI475" s="946">
        <f t="shared" si="24"/>
        <v>0</v>
      </c>
      <c r="AJ475" s="521">
        <v>0</v>
      </c>
      <c r="AK475" s="520">
        <f t="shared" si="25"/>
        <v>0</v>
      </c>
      <c r="AL475" s="695"/>
      <c r="AM475" s="669">
        <f t="shared" si="26"/>
        <v>0</v>
      </c>
    </row>
    <row r="476" spans="1:39" s="500" customFormat="1" ht="13.35" customHeight="1">
      <c r="A476" s="542" t="s">
        <v>958</v>
      </c>
      <c r="B476" s="542" t="s">
        <v>1266</v>
      </c>
      <c r="C476" s="616"/>
      <c r="D476" s="519"/>
      <c r="E476" s="520"/>
      <c r="F476" s="726"/>
      <c r="G476" s="520"/>
      <c r="H476" s="520"/>
      <c r="I476" s="521"/>
      <c r="J476" s="521"/>
      <c r="K476" s="772"/>
      <c r="L476" s="514"/>
      <c r="M476" s="756"/>
      <c r="N476" s="514"/>
      <c r="O476" s="514"/>
      <c r="P476" s="514"/>
      <c r="Q476" s="514"/>
      <c r="R476" s="514"/>
      <c r="S476" s="514"/>
      <c r="T476" s="756"/>
      <c r="U476" s="514"/>
      <c r="V476" s="514"/>
      <c r="W476" s="514"/>
      <c r="X476" s="514"/>
      <c r="Y476" s="514"/>
      <c r="Z476" s="514"/>
      <c r="AA476" s="756"/>
      <c r="AB476" s="764"/>
      <c r="AC476" s="514"/>
      <c r="AD476" s="514"/>
      <c r="AE476" s="698"/>
      <c r="AF476" s="514"/>
      <c r="AG476" s="514"/>
      <c r="AH476" s="789"/>
      <c r="AI476" s="946">
        <f t="shared" si="24"/>
        <v>0</v>
      </c>
      <c r="AJ476" s="521">
        <v>0</v>
      </c>
      <c r="AK476" s="520">
        <f t="shared" si="25"/>
        <v>0</v>
      </c>
      <c r="AL476" s="695" t="s">
        <v>1641</v>
      </c>
      <c r="AM476" s="669">
        <f t="shared" si="26"/>
        <v>9</v>
      </c>
    </row>
    <row r="477" spans="1:39" s="500" customFormat="1" ht="13.35" customHeight="1">
      <c r="A477" s="539" t="s">
        <v>959</v>
      </c>
      <c r="B477" s="539" t="s">
        <v>1267</v>
      </c>
      <c r="C477" s="548" t="s">
        <v>1451</v>
      </c>
      <c r="D477" s="519"/>
      <c r="E477" s="520"/>
      <c r="F477" s="726"/>
      <c r="G477" s="520"/>
      <c r="H477" s="520"/>
      <c r="I477" s="521"/>
      <c r="J477" s="521"/>
      <c r="K477" s="772"/>
      <c r="L477" s="514"/>
      <c r="M477" s="756"/>
      <c r="N477" s="514"/>
      <c r="O477" s="514"/>
      <c r="P477" s="514"/>
      <c r="Q477" s="514"/>
      <c r="R477" s="514"/>
      <c r="S477" s="514"/>
      <c r="T477" s="756"/>
      <c r="U477" s="514"/>
      <c r="V477" s="514"/>
      <c r="W477" s="514"/>
      <c r="X477" s="514"/>
      <c r="Y477" s="514"/>
      <c r="Z477" s="514"/>
      <c r="AA477" s="756"/>
      <c r="AB477" s="764"/>
      <c r="AC477" s="514"/>
      <c r="AD477" s="514"/>
      <c r="AE477" s="698"/>
      <c r="AF477" s="514"/>
      <c r="AG477" s="514"/>
      <c r="AH477" s="789"/>
      <c r="AI477" s="946">
        <f t="shared" si="24"/>
        <v>0</v>
      </c>
      <c r="AJ477" s="521">
        <v>0</v>
      </c>
      <c r="AK477" s="520">
        <f t="shared" si="25"/>
        <v>0</v>
      </c>
      <c r="AL477" s="695" t="s">
        <v>1455</v>
      </c>
      <c r="AM477" s="669">
        <f t="shared" si="26"/>
        <v>1</v>
      </c>
    </row>
    <row r="478" spans="1:39" s="500" customFormat="1" ht="13.35" customHeight="1">
      <c r="A478" s="539" t="s">
        <v>960</v>
      </c>
      <c r="B478" s="539" t="s">
        <v>1268</v>
      </c>
      <c r="C478" s="548" t="s">
        <v>36</v>
      </c>
      <c r="D478" s="519"/>
      <c r="E478" s="520"/>
      <c r="F478" s="726"/>
      <c r="G478" s="520"/>
      <c r="H478" s="520"/>
      <c r="I478" s="521"/>
      <c r="J478" s="521"/>
      <c r="K478" s="772"/>
      <c r="L478" s="514"/>
      <c r="M478" s="756"/>
      <c r="N478" s="514"/>
      <c r="O478" s="514"/>
      <c r="P478" s="514"/>
      <c r="Q478" s="514"/>
      <c r="R478" s="514"/>
      <c r="S478" s="514"/>
      <c r="T478" s="756"/>
      <c r="U478" s="514"/>
      <c r="V478" s="514"/>
      <c r="W478" s="514"/>
      <c r="X478" s="514"/>
      <c r="Y478" s="514"/>
      <c r="Z478" s="514"/>
      <c r="AA478" s="756"/>
      <c r="AB478" s="764"/>
      <c r="AC478" s="514"/>
      <c r="AD478" s="514"/>
      <c r="AE478" s="698"/>
      <c r="AF478" s="514"/>
      <c r="AG478" s="514"/>
      <c r="AH478" s="789"/>
      <c r="AI478" s="946">
        <f t="shared" si="24"/>
        <v>0</v>
      </c>
      <c r="AJ478" s="521">
        <v>0</v>
      </c>
      <c r="AK478" s="520">
        <f t="shared" si="25"/>
        <v>0</v>
      </c>
      <c r="AL478" s="695" t="s">
        <v>1698</v>
      </c>
      <c r="AM478" s="669">
        <f t="shared" si="26"/>
        <v>2</v>
      </c>
    </row>
    <row r="479" spans="1:39" s="500" customFormat="1" ht="13.35" customHeight="1">
      <c r="A479" s="539" t="s">
        <v>961</v>
      </c>
      <c r="B479" s="539" t="s">
        <v>1296</v>
      </c>
      <c r="C479" s="548" t="s">
        <v>36</v>
      </c>
      <c r="D479" s="519"/>
      <c r="E479" s="520"/>
      <c r="F479" s="726"/>
      <c r="G479" s="520"/>
      <c r="H479" s="520"/>
      <c r="I479" s="521"/>
      <c r="J479" s="521"/>
      <c r="K479" s="772"/>
      <c r="L479" s="514"/>
      <c r="M479" s="756"/>
      <c r="N479" s="514"/>
      <c r="O479" s="514"/>
      <c r="P479" s="514"/>
      <c r="Q479" s="514"/>
      <c r="R479" s="514"/>
      <c r="S479" s="514"/>
      <c r="T479" s="756"/>
      <c r="U479" s="514"/>
      <c r="V479" s="514"/>
      <c r="W479" s="514"/>
      <c r="X479" s="514"/>
      <c r="Y479" s="514"/>
      <c r="Z479" s="514"/>
      <c r="AA479" s="756"/>
      <c r="AB479" s="764"/>
      <c r="AC479" s="514"/>
      <c r="AD479" s="514"/>
      <c r="AE479" s="698"/>
      <c r="AF479" s="514"/>
      <c r="AG479" s="514"/>
      <c r="AH479" s="789"/>
      <c r="AI479" s="946">
        <f t="shared" si="24"/>
        <v>0</v>
      </c>
      <c r="AJ479" s="521">
        <v>0</v>
      </c>
      <c r="AK479" s="520">
        <f t="shared" si="25"/>
        <v>0</v>
      </c>
      <c r="AL479" s="695"/>
      <c r="AM479" s="669">
        <f t="shared" si="26"/>
        <v>0</v>
      </c>
    </row>
    <row r="480" spans="1:39" s="500" customFormat="1" ht="13.35" customHeight="1">
      <c r="A480" s="542" t="s">
        <v>962</v>
      </c>
      <c r="B480" s="542" t="s">
        <v>1269</v>
      </c>
      <c r="C480" s="616"/>
      <c r="D480" s="519"/>
      <c r="E480" s="520"/>
      <c r="F480" s="726"/>
      <c r="G480" s="520"/>
      <c r="H480" s="520"/>
      <c r="I480" s="521"/>
      <c r="J480" s="521"/>
      <c r="K480" s="772"/>
      <c r="L480" s="514"/>
      <c r="M480" s="756"/>
      <c r="N480" s="514"/>
      <c r="O480" s="514"/>
      <c r="P480" s="514"/>
      <c r="Q480" s="514"/>
      <c r="R480" s="514"/>
      <c r="S480" s="514"/>
      <c r="T480" s="756"/>
      <c r="U480" s="514"/>
      <c r="V480" s="514"/>
      <c r="W480" s="514"/>
      <c r="X480" s="514"/>
      <c r="Y480" s="514"/>
      <c r="Z480" s="514"/>
      <c r="AA480" s="756"/>
      <c r="AB480" s="764"/>
      <c r="AC480" s="514"/>
      <c r="AD480" s="514"/>
      <c r="AE480" s="698"/>
      <c r="AF480" s="514"/>
      <c r="AG480" s="514"/>
      <c r="AH480" s="789"/>
      <c r="AI480" s="946">
        <f t="shared" si="24"/>
        <v>0</v>
      </c>
      <c r="AJ480" s="521">
        <v>0</v>
      </c>
      <c r="AK480" s="520">
        <f t="shared" si="25"/>
        <v>0</v>
      </c>
      <c r="AL480" s="695" t="s">
        <v>1724</v>
      </c>
      <c r="AM480" s="669">
        <f t="shared" si="26"/>
        <v>4.96</v>
      </c>
    </row>
    <row r="481" spans="1:39" s="500" customFormat="1" ht="13.35" customHeight="1">
      <c r="A481" s="539" t="s">
        <v>963</v>
      </c>
      <c r="B481" s="539" t="s">
        <v>1270</v>
      </c>
      <c r="C481" s="548" t="s">
        <v>37</v>
      </c>
      <c r="D481" s="519"/>
      <c r="E481" s="520"/>
      <c r="F481" s="726"/>
      <c r="G481" s="520"/>
      <c r="H481" s="520"/>
      <c r="I481" s="521"/>
      <c r="J481" s="521"/>
      <c r="K481" s="772"/>
      <c r="L481" s="514"/>
      <c r="M481" s="756"/>
      <c r="N481" s="514"/>
      <c r="O481" s="514"/>
      <c r="P481" s="514"/>
      <c r="Q481" s="514"/>
      <c r="R481" s="514"/>
      <c r="S481" s="514"/>
      <c r="T481" s="756"/>
      <c r="U481" s="514"/>
      <c r="V481" s="514"/>
      <c r="W481" s="514"/>
      <c r="X481" s="514"/>
      <c r="Y481" s="514"/>
      <c r="Z481" s="514"/>
      <c r="AA481" s="756"/>
      <c r="AB481" s="764"/>
      <c r="AC481" s="514"/>
      <c r="AD481" s="514"/>
      <c r="AE481" s="698"/>
      <c r="AF481" s="514"/>
      <c r="AG481" s="514"/>
      <c r="AH481" s="789"/>
      <c r="AI481" s="946">
        <f t="shared" si="24"/>
        <v>0</v>
      </c>
      <c r="AJ481" s="521">
        <v>0</v>
      </c>
      <c r="AK481" s="520">
        <f t="shared" si="25"/>
        <v>0</v>
      </c>
      <c r="AL481" s="695" t="s">
        <v>1488</v>
      </c>
      <c r="AM481" s="669">
        <f t="shared" si="26"/>
        <v>1.2</v>
      </c>
    </row>
    <row r="482" spans="1:39" s="500" customFormat="1" ht="13.35" customHeight="1">
      <c r="A482" s="539" t="s">
        <v>964</v>
      </c>
      <c r="B482" s="539" t="s">
        <v>1271</v>
      </c>
      <c r="C482" s="548" t="s">
        <v>37</v>
      </c>
      <c r="D482" s="519"/>
      <c r="E482" s="520"/>
      <c r="F482" s="726"/>
      <c r="G482" s="520"/>
      <c r="H482" s="520"/>
      <c r="I482" s="521"/>
      <c r="J482" s="521"/>
      <c r="K482" s="772"/>
      <c r="L482" s="514"/>
      <c r="M482" s="756"/>
      <c r="N482" s="514"/>
      <c r="O482" s="514"/>
      <c r="P482" s="514"/>
      <c r="Q482" s="514"/>
      <c r="R482" s="514"/>
      <c r="S482" s="514"/>
      <c r="T482" s="756"/>
      <c r="U482" s="514"/>
      <c r="V482" s="514"/>
      <c r="W482" s="514"/>
      <c r="X482" s="514"/>
      <c r="Y482" s="514"/>
      <c r="Z482" s="514"/>
      <c r="AA482" s="756"/>
      <c r="AB482" s="764"/>
      <c r="AC482" s="514"/>
      <c r="AD482" s="514"/>
      <c r="AE482" s="698"/>
      <c r="AF482" s="514"/>
      <c r="AG482" s="514"/>
      <c r="AH482" s="789"/>
      <c r="AI482" s="946">
        <f t="shared" si="24"/>
        <v>0</v>
      </c>
      <c r="AJ482" s="521">
        <v>0</v>
      </c>
      <c r="AK482" s="520">
        <f t="shared" si="25"/>
        <v>0</v>
      </c>
      <c r="AL482" s="695"/>
      <c r="AM482" s="669">
        <f t="shared" si="26"/>
        <v>0</v>
      </c>
    </row>
    <row r="483" spans="1:39" s="500" customFormat="1" ht="13.35" customHeight="1">
      <c r="A483" s="542" t="s">
        <v>965</v>
      </c>
      <c r="B483" s="542" t="s">
        <v>1272</v>
      </c>
      <c r="C483" s="616"/>
      <c r="D483" s="519"/>
      <c r="E483" s="520"/>
      <c r="F483" s="726"/>
      <c r="G483" s="520"/>
      <c r="H483" s="520"/>
      <c r="I483" s="521"/>
      <c r="J483" s="521"/>
      <c r="K483" s="772"/>
      <c r="L483" s="514"/>
      <c r="M483" s="756"/>
      <c r="N483" s="514"/>
      <c r="O483" s="514"/>
      <c r="P483" s="514"/>
      <c r="Q483" s="514"/>
      <c r="R483" s="514"/>
      <c r="S483" s="514"/>
      <c r="T483" s="756"/>
      <c r="U483" s="514"/>
      <c r="V483" s="514"/>
      <c r="W483" s="514"/>
      <c r="X483" s="514"/>
      <c r="Y483" s="514"/>
      <c r="Z483" s="514"/>
      <c r="AA483" s="756"/>
      <c r="AB483" s="764"/>
      <c r="AC483" s="514"/>
      <c r="AD483" s="514"/>
      <c r="AE483" s="698"/>
      <c r="AF483" s="514"/>
      <c r="AG483" s="514"/>
      <c r="AH483" s="789"/>
      <c r="AI483" s="946">
        <f t="shared" si="24"/>
        <v>0</v>
      </c>
      <c r="AJ483" s="521">
        <v>0</v>
      </c>
      <c r="AK483" s="520">
        <f t="shared" si="25"/>
        <v>0</v>
      </c>
      <c r="AL483" s="695" t="s">
        <v>1712</v>
      </c>
      <c r="AM483" s="669">
        <f t="shared" si="26"/>
        <v>33.950000000000003</v>
      </c>
    </row>
    <row r="484" spans="1:39" s="500" customFormat="1" ht="13.35" customHeight="1">
      <c r="A484" s="539" t="s">
        <v>966</v>
      </c>
      <c r="B484" s="539" t="s">
        <v>1273</v>
      </c>
      <c r="C484" s="548" t="s">
        <v>37</v>
      </c>
      <c r="D484" s="519"/>
      <c r="E484" s="520"/>
      <c r="F484" s="726"/>
      <c r="G484" s="520"/>
      <c r="H484" s="520"/>
      <c r="I484" s="521"/>
      <c r="J484" s="521"/>
      <c r="K484" s="772"/>
      <c r="L484" s="514"/>
      <c r="M484" s="756"/>
      <c r="N484" s="514"/>
      <c r="O484" s="514"/>
      <c r="P484" s="514"/>
      <c r="Q484" s="514"/>
      <c r="R484" s="514"/>
      <c r="S484" s="514"/>
      <c r="T484" s="756"/>
      <c r="U484" s="514"/>
      <c r="V484" s="514"/>
      <c r="W484" s="514"/>
      <c r="X484" s="514"/>
      <c r="Y484" s="514"/>
      <c r="Z484" s="514"/>
      <c r="AA484" s="756"/>
      <c r="AB484" s="764"/>
      <c r="AC484" s="514"/>
      <c r="AD484" s="514"/>
      <c r="AE484" s="698"/>
      <c r="AF484" s="514"/>
      <c r="AG484" s="514"/>
      <c r="AH484" s="789"/>
      <c r="AI484" s="946">
        <f t="shared" si="24"/>
        <v>0</v>
      </c>
      <c r="AJ484" s="521">
        <v>0</v>
      </c>
      <c r="AK484" s="520">
        <f t="shared" si="25"/>
        <v>0</v>
      </c>
      <c r="AL484" s="695" t="s">
        <v>1705</v>
      </c>
      <c r="AM484" s="669">
        <f t="shared" si="26"/>
        <v>77.680000000000007</v>
      </c>
    </row>
    <row r="485" spans="1:39" s="500" customFormat="1" ht="13.35" customHeight="1">
      <c r="A485" s="539" t="s">
        <v>967</v>
      </c>
      <c r="B485" s="539" t="s">
        <v>1274</v>
      </c>
      <c r="C485" s="548" t="s">
        <v>37</v>
      </c>
      <c r="D485" s="519"/>
      <c r="E485" s="520"/>
      <c r="F485" s="726"/>
      <c r="G485" s="520"/>
      <c r="H485" s="520"/>
      <c r="I485" s="521"/>
      <c r="J485" s="521"/>
      <c r="K485" s="772"/>
      <c r="L485" s="514"/>
      <c r="M485" s="756"/>
      <c r="N485" s="514"/>
      <c r="O485" s="514"/>
      <c r="P485" s="514"/>
      <c r="Q485" s="514"/>
      <c r="R485" s="514"/>
      <c r="S485" s="514"/>
      <c r="T485" s="756"/>
      <c r="U485" s="514"/>
      <c r="V485" s="514"/>
      <c r="W485" s="514"/>
      <c r="X485" s="514"/>
      <c r="Y485" s="514"/>
      <c r="Z485" s="514"/>
      <c r="AA485" s="756"/>
      <c r="AB485" s="764"/>
      <c r="AC485" s="514"/>
      <c r="AD485" s="514"/>
      <c r="AE485" s="698"/>
      <c r="AF485" s="514"/>
      <c r="AG485" s="514"/>
      <c r="AH485" s="789"/>
      <c r="AI485" s="946">
        <f t="shared" si="24"/>
        <v>0</v>
      </c>
      <c r="AJ485" s="521">
        <v>0</v>
      </c>
      <c r="AK485" s="520">
        <f t="shared" si="25"/>
        <v>0</v>
      </c>
      <c r="AL485" s="695" t="s">
        <v>1706</v>
      </c>
      <c r="AM485" s="669">
        <f t="shared" si="26"/>
        <v>51.98</v>
      </c>
    </row>
    <row r="486" spans="1:39" s="500" customFormat="1" ht="13.35" customHeight="1">
      <c r="A486" s="539" t="s">
        <v>968</v>
      </c>
      <c r="B486" s="539" t="s">
        <v>1275</v>
      </c>
      <c r="C486" s="548" t="s">
        <v>37</v>
      </c>
      <c r="D486" s="519"/>
      <c r="E486" s="520"/>
      <c r="F486" s="726"/>
      <c r="G486" s="520"/>
      <c r="H486" s="520"/>
      <c r="I486" s="521"/>
      <c r="J486" s="521"/>
      <c r="K486" s="772"/>
      <c r="L486" s="514"/>
      <c r="M486" s="756"/>
      <c r="N486" s="514"/>
      <c r="O486" s="514"/>
      <c r="P486" s="514"/>
      <c r="Q486" s="514"/>
      <c r="R486" s="514"/>
      <c r="S486" s="514"/>
      <c r="T486" s="756"/>
      <c r="U486" s="514"/>
      <c r="V486" s="514"/>
      <c r="W486" s="514"/>
      <c r="X486" s="514"/>
      <c r="Y486" s="514"/>
      <c r="Z486" s="514"/>
      <c r="AA486" s="756"/>
      <c r="AB486" s="764"/>
      <c r="AC486" s="514"/>
      <c r="AD486" s="514"/>
      <c r="AE486" s="698"/>
      <c r="AF486" s="514"/>
      <c r="AG486" s="514"/>
      <c r="AH486" s="789"/>
      <c r="AI486" s="946">
        <f t="shared" si="24"/>
        <v>0</v>
      </c>
      <c r="AJ486" s="521">
        <v>0</v>
      </c>
      <c r="AK486" s="520">
        <f t="shared" si="25"/>
        <v>0</v>
      </c>
      <c r="AL486" s="695" t="s">
        <v>1707</v>
      </c>
      <c r="AM486" s="669">
        <f t="shared" si="26"/>
        <v>12</v>
      </c>
    </row>
    <row r="487" spans="1:39" s="500" customFormat="1" ht="13.35" customHeight="1">
      <c r="A487" s="539" t="s">
        <v>969</v>
      </c>
      <c r="B487" s="539" t="s">
        <v>1276</v>
      </c>
      <c r="C487" s="548" t="s">
        <v>37</v>
      </c>
      <c r="D487" s="519"/>
      <c r="E487" s="520"/>
      <c r="F487" s="726"/>
      <c r="G487" s="520"/>
      <c r="H487" s="520"/>
      <c r="I487" s="521"/>
      <c r="J487" s="521"/>
      <c r="K487" s="772"/>
      <c r="L487" s="514"/>
      <c r="M487" s="756"/>
      <c r="N487" s="514"/>
      <c r="O487" s="514"/>
      <c r="P487" s="514"/>
      <c r="Q487" s="514"/>
      <c r="R487" s="514"/>
      <c r="S487" s="514"/>
      <c r="T487" s="756"/>
      <c r="U487" s="514"/>
      <c r="V487" s="514"/>
      <c r="W487" s="514"/>
      <c r="X487" s="514"/>
      <c r="Y487" s="514"/>
      <c r="Z487" s="514"/>
      <c r="AA487" s="756"/>
      <c r="AB487" s="764"/>
      <c r="AC487" s="514"/>
      <c r="AD487" s="514"/>
      <c r="AE487" s="698"/>
      <c r="AF487" s="514"/>
      <c r="AG487" s="514"/>
      <c r="AH487" s="789"/>
      <c r="AI487" s="946">
        <f t="shared" si="24"/>
        <v>0</v>
      </c>
      <c r="AJ487" s="521">
        <v>0</v>
      </c>
      <c r="AK487" s="520">
        <f t="shared" si="25"/>
        <v>0</v>
      </c>
      <c r="AL487" s="695" t="s">
        <v>1708</v>
      </c>
      <c r="AM487" s="669">
        <f t="shared" si="26"/>
        <v>19.97</v>
      </c>
    </row>
    <row r="488" spans="1:39" s="500" customFormat="1" ht="13.35" customHeight="1">
      <c r="A488" s="539" t="s">
        <v>970</v>
      </c>
      <c r="B488" s="539" t="s">
        <v>1277</v>
      </c>
      <c r="C488" s="548" t="s">
        <v>37</v>
      </c>
      <c r="D488" s="519"/>
      <c r="E488" s="520"/>
      <c r="F488" s="726"/>
      <c r="G488" s="520"/>
      <c r="H488" s="520"/>
      <c r="I488" s="521"/>
      <c r="J488" s="521"/>
      <c r="K488" s="772"/>
      <c r="L488" s="514"/>
      <c r="M488" s="756"/>
      <c r="N488" s="514"/>
      <c r="O488" s="514"/>
      <c r="P488" s="514"/>
      <c r="Q488" s="514"/>
      <c r="R488" s="514"/>
      <c r="S488" s="514"/>
      <c r="T488" s="756"/>
      <c r="U488" s="514"/>
      <c r="V488" s="514"/>
      <c r="W488" s="514"/>
      <c r="X488" s="514"/>
      <c r="Y488" s="514"/>
      <c r="Z488" s="514"/>
      <c r="AA488" s="756"/>
      <c r="AB488" s="764"/>
      <c r="AC488" s="514"/>
      <c r="AD488" s="514"/>
      <c r="AE488" s="698"/>
      <c r="AF488" s="514"/>
      <c r="AG488" s="514"/>
      <c r="AH488" s="789"/>
      <c r="AI488" s="946">
        <f t="shared" si="24"/>
        <v>0</v>
      </c>
      <c r="AJ488" s="521">
        <v>0</v>
      </c>
      <c r="AK488" s="520">
        <f t="shared" si="25"/>
        <v>0</v>
      </c>
      <c r="AL488" s="695" t="s">
        <v>1717</v>
      </c>
      <c r="AM488" s="669">
        <f t="shared" si="26"/>
        <v>6.91</v>
      </c>
    </row>
    <row r="489" spans="1:39" s="500" customFormat="1" ht="13.35" customHeight="1">
      <c r="A489" s="539" t="s">
        <v>971</v>
      </c>
      <c r="B489" s="539" t="s">
        <v>1278</v>
      </c>
      <c r="C489" s="548" t="s">
        <v>37</v>
      </c>
      <c r="D489" s="519"/>
      <c r="E489" s="520"/>
      <c r="F489" s="726"/>
      <c r="G489" s="520"/>
      <c r="H489" s="520"/>
      <c r="I489" s="521"/>
      <c r="J489" s="521"/>
      <c r="K489" s="772"/>
      <c r="L489" s="514"/>
      <c r="M489" s="756"/>
      <c r="N489" s="514"/>
      <c r="O489" s="514"/>
      <c r="P489" s="514"/>
      <c r="Q489" s="514"/>
      <c r="R489" s="514"/>
      <c r="S489" s="514"/>
      <c r="T489" s="756"/>
      <c r="U489" s="514"/>
      <c r="V489" s="514"/>
      <c r="W489" s="514"/>
      <c r="X489" s="514"/>
      <c r="Y489" s="514"/>
      <c r="Z489" s="514"/>
      <c r="AA489" s="756"/>
      <c r="AB489" s="764"/>
      <c r="AC489" s="514"/>
      <c r="AD489" s="514"/>
      <c r="AE489" s="698"/>
      <c r="AF489" s="514"/>
      <c r="AG489" s="514"/>
      <c r="AH489" s="789"/>
      <c r="AI489" s="946">
        <f t="shared" si="24"/>
        <v>0</v>
      </c>
      <c r="AJ489" s="521">
        <v>0</v>
      </c>
      <c r="AK489" s="520">
        <f t="shared" si="25"/>
        <v>0</v>
      </c>
      <c r="AL489" s="695" t="s">
        <v>1725</v>
      </c>
      <c r="AM489" s="669">
        <f t="shared" si="26"/>
        <v>10.5</v>
      </c>
    </row>
    <row r="490" spans="1:39" s="500" customFormat="1" ht="13.35" customHeight="1">
      <c r="A490" s="539" t="s">
        <v>972</v>
      </c>
      <c r="B490" s="539" t="s">
        <v>1279</v>
      </c>
      <c r="C490" s="548" t="s">
        <v>37</v>
      </c>
      <c r="D490" s="519"/>
      <c r="E490" s="520"/>
      <c r="F490" s="726"/>
      <c r="G490" s="520"/>
      <c r="H490" s="520"/>
      <c r="I490" s="521"/>
      <c r="J490" s="521"/>
      <c r="K490" s="772"/>
      <c r="L490" s="514"/>
      <c r="M490" s="756"/>
      <c r="N490" s="514"/>
      <c r="O490" s="514"/>
      <c r="P490" s="514"/>
      <c r="Q490" s="514"/>
      <c r="R490" s="514"/>
      <c r="S490" s="514"/>
      <c r="T490" s="756"/>
      <c r="U490" s="514"/>
      <c r="V490" s="514"/>
      <c r="W490" s="514"/>
      <c r="X490" s="514"/>
      <c r="Y490" s="514"/>
      <c r="Z490" s="514"/>
      <c r="AA490" s="756"/>
      <c r="AB490" s="764"/>
      <c r="AC490" s="514"/>
      <c r="AD490" s="514"/>
      <c r="AE490" s="698"/>
      <c r="AF490" s="514"/>
      <c r="AG490" s="514"/>
      <c r="AH490" s="789"/>
      <c r="AI490" s="946">
        <f t="shared" si="24"/>
        <v>0</v>
      </c>
      <c r="AJ490" s="521">
        <v>0</v>
      </c>
      <c r="AK490" s="520">
        <f t="shared" si="25"/>
        <v>0</v>
      </c>
      <c r="AL490" s="695"/>
      <c r="AM490" s="669">
        <f t="shared" si="26"/>
        <v>0</v>
      </c>
    </row>
    <row r="491" spans="1:39" s="500" customFormat="1" ht="13.35" customHeight="1">
      <c r="A491" s="542" t="s">
        <v>973</v>
      </c>
      <c r="B491" s="542" t="s">
        <v>1280</v>
      </c>
      <c r="C491" s="616"/>
      <c r="D491" s="519"/>
      <c r="E491" s="520"/>
      <c r="F491" s="726"/>
      <c r="G491" s="520"/>
      <c r="H491" s="520"/>
      <c r="I491" s="521"/>
      <c r="J491" s="521"/>
      <c r="K491" s="772"/>
      <c r="L491" s="514"/>
      <c r="M491" s="756"/>
      <c r="N491" s="514"/>
      <c r="O491" s="514"/>
      <c r="P491" s="514"/>
      <c r="Q491" s="514"/>
      <c r="R491" s="514"/>
      <c r="S491" s="514"/>
      <c r="T491" s="756"/>
      <c r="U491" s="514"/>
      <c r="V491" s="514"/>
      <c r="W491" s="514"/>
      <c r="X491" s="514"/>
      <c r="Y491" s="514"/>
      <c r="Z491" s="514"/>
      <c r="AA491" s="756"/>
      <c r="AB491" s="764"/>
      <c r="AC491" s="514"/>
      <c r="AD491" s="514"/>
      <c r="AE491" s="698"/>
      <c r="AF491" s="514"/>
      <c r="AG491" s="514"/>
      <c r="AH491" s="789"/>
      <c r="AI491" s="946">
        <f t="shared" si="24"/>
        <v>0</v>
      </c>
      <c r="AJ491" s="521">
        <v>0</v>
      </c>
      <c r="AK491" s="520">
        <f t="shared" si="25"/>
        <v>0</v>
      </c>
      <c r="AL491" s="695" t="s">
        <v>1726</v>
      </c>
      <c r="AM491" s="669">
        <f t="shared" si="26"/>
        <v>11</v>
      </c>
    </row>
    <row r="492" spans="1:39" s="500" customFormat="1" ht="13.35" customHeight="1">
      <c r="A492" s="539" t="s">
        <v>974</v>
      </c>
      <c r="B492" s="539" t="s">
        <v>1281</v>
      </c>
      <c r="C492" s="548" t="s">
        <v>1450</v>
      </c>
      <c r="D492" s="519"/>
      <c r="E492" s="520"/>
      <c r="F492" s="726"/>
      <c r="G492" s="520"/>
      <c r="H492" s="520"/>
      <c r="I492" s="521"/>
      <c r="J492" s="521"/>
      <c r="K492" s="772"/>
      <c r="L492" s="514"/>
      <c r="M492" s="756"/>
      <c r="N492" s="514"/>
      <c r="O492" s="514"/>
      <c r="P492" s="514"/>
      <c r="Q492" s="514"/>
      <c r="R492" s="514"/>
      <c r="S492" s="514"/>
      <c r="T492" s="756"/>
      <c r="U492" s="514"/>
      <c r="V492" s="514"/>
      <c r="W492" s="514"/>
      <c r="X492" s="514"/>
      <c r="Y492" s="514"/>
      <c r="Z492" s="514"/>
      <c r="AA492" s="756"/>
      <c r="AB492" s="764"/>
      <c r="AC492" s="514"/>
      <c r="AD492" s="514"/>
      <c r="AE492" s="698"/>
      <c r="AF492" s="514"/>
      <c r="AG492" s="514"/>
      <c r="AH492" s="789"/>
      <c r="AI492" s="946">
        <f t="shared" si="24"/>
        <v>0</v>
      </c>
      <c r="AJ492" s="521">
        <v>0</v>
      </c>
      <c r="AK492" s="520">
        <f t="shared" si="25"/>
        <v>0</v>
      </c>
      <c r="AL492" s="695" t="s">
        <v>1455</v>
      </c>
      <c r="AM492" s="669">
        <f t="shared" si="26"/>
        <v>1</v>
      </c>
    </row>
    <row r="493" spans="1:39" s="500" customFormat="1" ht="13.35" customHeight="1">
      <c r="A493" s="539" t="s">
        <v>975</v>
      </c>
      <c r="B493" s="539" t="s">
        <v>1282</v>
      </c>
      <c r="C493" s="548" t="s">
        <v>64</v>
      </c>
      <c r="D493" s="519"/>
      <c r="E493" s="520"/>
      <c r="F493" s="726"/>
      <c r="G493" s="520"/>
      <c r="H493" s="520"/>
      <c r="I493" s="521"/>
      <c r="J493" s="521"/>
      <c r="K493" s="772"/>
      <c r="L493" s="514"/>
      <c r="M493" s="756"/>
      <c r="N493" s="514"/>
      <c r="O493" s="514"/>
      <c r="P493" s="514"/>
      <c r="Q493" s="514"/>
      <c r="R493" s="514"/>
      <c r="S493" s="514"/>
      <c r="T493" s="756"/>
      <c r="U493" s="514"/>
      <c r="V493" s="514"/>
      <c r="W493" s="514"/>
      <c r="X493" s="514"/>
      <c r="Y493" s="514"/>
      <c r="Z493" s="514"/>
      <c r="AA493" s="756"/>
      <c r="AB493" s="764"/>
      <c r="AC493" s="514"/>
      <c r="AD493" s="514"/>
      <c r="AE493" s="698"/>
      <c r="AF493" s="514"/>
      <c r="AG493" s="514"/>
      <c r="AH493" s="789"/>
      <c r="AI493" s="946">
        <f t="shared" si="24"/>
        <v>0</v>
      </c>
      <c r="AJ493" s="521">
        <v>0</v>
      </c>
      <c r="AK493" s="520">
        <f t="shared" si="25"/>
        <v>0</v>
      </c>
      <c r="AL493" s="695" t="s">
        <v>1727</v>
      </c>
      <c r="AM493" s="669">
        <f t="shared" si="26"/>
        <v>8.15</v>
      </c>
    </row>
    <row r="494" spans="1:39" s="500" customFormat="1" ht="13.35" customHeight="1">
      <c r="A494" s="539" t="s">
        <v>976</v>
      </c>
      <c r="B494" s="539" t="s">
        <v>1283</v>
      </c>
      <c r="C494" s="548" t="s">
        <v>37</v>
      </c>
      <c r="D494" s="519"/>
      <c r="E494" s="520"/>
      <c r="F494" s="726"/>
      <c r="G494" s="520"/>
      <c r="H494" s="520"/>
      <c r="I494" s="521"/>
      <c r="J494" s="521"/>
      <c r="K494" s="772"/>
      <c r="L494" s="514"/>
      <c r="M494" s="756"/>
      <c r="N494" s="514"/>
      <c r="O494" s="514"/>
      <c r="P494" s="514"/>
      <c r="Q494" s="514"/>
      <c r="R494" s="514"/>
      <c r="S494" s="514"/>
      <c r="T494" s="756"/>
      <c r="U494" s="514"/>
      <c r="V494" s="514"/>
      <c r="W494" s="514"/>
      <c r="X494" s="514"/>
      <c r="Y494" s="514"/>
      <c r="Z494" s="514"/>
      <c r="AA494" s="756"/>
      <c r="AB494" s="764"/>
      <c r="AC494" s="514"/>
      <c r="AD494" s="514"/>
      <c r="AE494" s="698"/>
      <c r="AF494" s="514"/>
      <c r="AG494" s="514"/>
      <c r="AH494" s="789"/>
      <c r="AI494" s="946">
        <f t="shared" si="24"/>
        <v>0</v>
      </c>
      <c r="AJ494" s="521">
        <v>0</v>
      </c>
      <c r="AK494" s="520">
        <f t="shared" si="25"/>
        <v>0</v>
      </c>
      <c r="AL494" s="695"/>
      <c r="AM494" s="669">
        <f t="shared" si="26"/>
        <v>0</v>
      </c>
    </row>
    <row r="495" spans="1:39" s="500" customFormat="1" ht="13.35" customHeight="1">
      <c r="A495" s="440" t="s">
        <v>526</v>
      </c>
      <c r="B495" s="543" t="s">
        <v>1298</v>
      </c>
      <c r="C495" s="616"/>
      <c r="D495" s="519"/>
      <c r="E495" s="520"/>
      <c r="F495" s="726"/>
      <c r="G495" s="520"/>
      <c r="H495" s="520"/>
      <c r="I495" s="521"/>
      <c r="J495" s="521"/>
      <c r="K495" s="772"/>
      <c r="L495" s="514"/>
      <c r="M495" s="756"/>
      <c r="N495" s="514"/>
      <c r="O495" s="514"/>
      <c r="P495" s="514"/>
      <c r="Q495" s="514"/>
      <c r="R495" s="514"/>
      <c r="S495" s="514"/>
      <c r="T495" s="756"/>
      <c r="U495" s="514"/>
      <c r="V495" s="514"/>
      <c r="W495" s="514"/>
      <c r="X495" s="514"/>
      <c r="Y495" s="514"/>
      <c r="Z495" s="514"/>
      <c r="AA495" s="756"/>
      <c r="AB495" s="764"/>
      <c r="AC495" s="514"/>
      <c r="AD495" s="514"/>
      <c r="AE495" s="698"/>
      <c r="AF495" s="514"/>
      <c r="AG495" s="514"/>
      <c r="AH495" s="789"/>
      <c r="AI495" s="946">
        <f t="shared" si="24"/>
        <v>0</v>
      </c>
      <c r="AJ495" s="521">
        <v>0</v>
      </c>
      <c r="AK495" s="520">
        <f t="shared" si="25"/>
        <v>0</v>
      </c>
      <c r="AL495" s="695"/>
      <c r="AM495" s="669">
        <f t="shared" si="26"/>
        <v>0</v>
      </c>
    </row>
    <row r="496" spans="1:39" s="500" customFormat="1" ht="13.35" customHeight="1">
      <c r="A496" s="542" t="s">
        <v>527</v>
      </c>
      <c r="B496" s="542" t="s">
        <v>1236</v>
      </c>
      <c r="C496" s="616"/>
      <c r="D496" s="519"/>
      <c r="E496" s="520"/>
      <c r="F496" s="726"/>
      <c r="G496" s="520"/>
      <c r="H496" s="520"/>
      <c r="I496" s="521"/>
      <c r="J496" s="521"/>
      <c r="K496" s="772"/>
      <c r="L496" s="514"/>
      <c r="M496" s="756"/>
      <c r="N496" s="514"/>
      <c r="O496" s="514"/>
      <c r="P496" s="514"/>
      <c r="Q496" s="514"/>
      <c r="R496" s="514"/>
      <c r="S496" s="514"/>
      <c r="T496" s="756"/>
      <c r="U496" s="514"/>
      <c r="V496" s="514"/>
      <c r="W496" s="514"/>
      <c r="X496" s="514"/>
      <c r="Y496" s="514"/>
      <c r="Z496" s="514"/>
      <c r="AA496" s="756"/>
      <c r="AB496" s="764"/>
      <c r="AC496" s="514"/>
      <c r="AD496" s="514"/>
      <c r="AE496" s="698"/>
      <c r="AF496" s="514"/>
      <c r="AG496" s="514"/>
      <c r="AH496" s="789"/>
      <c r="AI496" s="946">
        <f t="shared" si="24"/>
        <v>0</v>
      </c>
      <c r="AJ496" s="521">
        <v>0</v>
      </c>
      <c r="AK496" s="520">
        <f t="shared" si="25"/>
        <v>0</v>
      </c>
      <c r="AL496" s="695" t="s">
        <v>1728</v>
      </c>
      <c r="AM496" s="669">
        <f t="shared" si="26"/>
        <v>239.98</v>
      </c>
    </row>
    <row r="497" spans="1:39" s="500" customFormat="1" ht="13.35" customHeight="1">
      <c r="A497" s="539" t="s">
        <v>528</v>
      </c>
      <c r="B497" s="539" t="s">
        <v>1299</v>
      </c>
      <c r="C497" s="548" t="s">
        <v>37</v>
      </c>
      <c r="D497" s="519"/>
      <c r="E497" s="520"/>
      <c r="F497" s="726"/>
      <c r="G497" s="520"/>
      <c r="H497" s="520"/>
      <c r="I497" s="521"/>
      <c r="J497" s="521"/>
      <c r="K497" s="772"/>
      <c r="L497" s="514"/>
      <c r="M497" s="756"/>
      <c r="N497" s="514"/>
      <c r="O497" s="514"/>
      <c r="P497" s="514"/>
      <c r="Q497" s="514"/>
      <c r="R497" s="514"/>
      <c r="S497" s="514"/>
      <c r="T497" s="756"/>
      <c r="U497" s="514"/>
      <c r="V497" s="514"/>
      <c r="W497" s="522"/>
      <c r="X497" s="514"/>
      <c r="Y497" s="514"/>
      <c r="Z497" s="514"/>
      <c r="AA497" s="756"/>
      <c r="AB497" s="764"/>
      <c r="AC497" s="514"/>
      <c r="AD497" s="514"/>
      <c r="AE497" s="698"/>
      <c r="AF497" s="514"/>
      <c r="AG497" s="514"/>
      <c r="AH497" s="789"/>
      <c r="AI497" s="946">
        <f t="shared" si="24"/>
        <v>0</v>
      </c>
      <c r="AJ497" s="521">
        <v>0</v>
      </c>
      <c r="AK497" s="520">
        <f t="shared" si="25"/>
        <v>0</v>
      </c>
      <c r="AL497" s="695"/>
      <c r="AM497" s="669">
        <f t="shared" si="26"/>
        <v>0</v>
      </c>
    </row>
    <row r="498" spans="1:39" s="500" customFormat="1" ht="13.35" customHeight="1">
      <c r="A498" s="542" t="s">
        <v>977</v>
      </c>
      <c r="B498" s="542" t="s">
        <v>1239</v>
      </c>
      <c r="C498" s="616"/>
      <c r="D498" s="519"/>
      <c r="E498" s="520"/>
      <c r="F498" s="726"/>
      <c r="G498" s="520"/>
      <c r="H498" s="520"/>
      <c r="I498" s="521"/>
      <c r="J498" s="521"/>
      <c r="K498" s="772"/>
      <c r="L498" s="514"/>
      <c r="M498" s="756"/>
      <c r="N498" s="514"/>
      <c r="O498" s="514"/>
      <c r="P498" s="514"/>
      <c r="Q498" s="514"/>
      <c r="R498" s="514"/>
      <c r="S498" s="514"/>
      <c r="T498" s="756"/>
      <c r="U498" s="514"/>
      <c r="V498" s="514"/>
      <c r="W498" s="514"/>
      <c r="X498" s="514"/>
      <c r="Y498" s="514"/>
      <c r="Z498" s="514"/>
      <c r="AA498" s="756"/>
      <c r="AB498" s="764"/>
      <c r="AC498" s="514"/>
      <c r="AD498" s="514"/>
      <c r="AE498" s="698"/>
      <c r="AF498" s="514"/>
      <c r="AG498" s="514"/>
      <c r="AH498" s="789"/>
      <c r="AI498" s="946">
        <f t="shared" si="24"/>
        <v>0</v>
      </c>
      <c r="AJ498" s="521">
        <v>0</v>
      </c>
      <c r="AK498" s="520">
        <f t="shared" si="25"/>
        <v>0</v>
      </c>
      <c r="AL498" s="695" t="s">
        <v>1729</v>
      </c>
      <c r="AM498" s="669">
        <f t="shared" si="26"/>
        <v>117.85</v>
      </c>
    </row>
    <row r="499" spans="1:39" s="500" customFormat="1" ht="13.35" customHeight="1">
      <c r="A499" s="539" t="s">
        <v>978</v>
      </c>
      <c r="B499" s="539" t="s">
        <v>1300</v>
      </c>
      <c r="C499" s="548" t="s">
        <v>37</v>
      </c>
      <c r="D499" s="519"/>
      <c r="E499" s="520"/>
      <c r="F499" s="726"/>
      <c r="G499" s="520"/>
      <c r="H499" s="520"/>
      <c r="I499" s="521"/>
      <c r="J499" s="521"/>
      <c r="K499" s="772"/>
      <c r="L499" s="514"/>
      <c r="M499" s="756"/>
      <c r="N499" s="514"/>
      <c r="O499" s="514"/>
      <c r="P499" s="514"/>
      <c r="Q499" s="1064">
        <f>2.9*3.2</f>
        <v>9.2799999999999994</v>
      </c>
      <c r="R499" s="1026">
        <f>1.7*2.7</f>
        <v>4.59</v>
      </c>
      <c r="S499" s="1064">
        <f>2*2.7</f>
        <v>5.4</v>
      </c>
      <c r="T499" s="756"/>
      <c r="U499" s="1064">
        <f>3.5*0.56</f>
        <v>1.9600000000000002</v>
      </c>
      <c r="V499" s="1064">
        <f>3.5*2.25</f>
        <v>7.875</v>
      </c>
      <c r="W499" s="514"/>
      <c r="X499" s="514"/>
      <c r="Z499" s="1051">
        <f>2.95*3.3</f>
        <v>9.7349999999999994</v>
      </c>
      <c r="AA499" s="756"/>
      <c r="AB499" s="764"/>
      <c r="AC499" s="1066">
        <f>2.65*2.35</f>
        <v>6.2275</v>
      </c>
      <c r="AD499" s="514"/>
      <c r="AE499" s="698"/>
      <c r="AF499" s="514"/>
      <c r="AG499" s="514"/>
      <c r="AH499" s="789"/>
      <c r="AI499" s="1076">
        <f t="shared" si="24"/>
        <v>45.07</v>
      </c>
      <c r="AJ499" s="521">
        <v>0</v>
      </c>
      <c r="AK499" s="520">
        <f t="shared" si="25"/>
        <v>45.07</v>
      </c>
      <c r="AL499" s="695" t="s">
        <v>1730</v>
      </c>
      <c r="AM499" s="669">
        <f t="shared" si="26"/>
        <v>20.869999999999997</v>
      </c>
    </row>
    <row r="500" spans="1:39" s="500" customFormat="1" ht="13.35" customHeight="1">
      <c r="A500" s="539" t="s">
        <v>979</v>
      </c>
      <c r="B500" s="539" t="s">
        <v>1301</v>
      </c>
      <c r="C500" s="548" t="s">
        <v>37</v>
      </c>
      <c r="D500" s="519"/>
      <c r="E500" s="520"/>
      <c r="F500" s="726"/>
      <c r="G500" s="520"/>
      <c r="H500" s="520"/>
      <c r="I500" s="521"/>
      <c r="J500" s="521"/>
      <c r="K500" s="772"/>
      <c r="L500" s="514"/>
      <c r="M500" s="756"/>
      <c r="N500" s="514"/>
      <c r="O500" s="514"/>
      <c r="P500" s="514"/>
      <c r="Q500" s="514"/>
      <c r="R500" s="514"/>
      <c r="S500" s="514"/>
      <c r="T500" s="756"/>
      <c r="U500" s="514"/>
      <c r="V500" s="514"/>
      <c r="W500" s="514"/>
      <c r="X500" s="514"/>
      <c r="Y500" s="514"/>
      <c r="Z500" s="514"/>
      <c r="AA500" s="756"/>
      <c r="AB500" s="764"/>
      <c r="AC500" s="514"/>
      <c r="AD500" s="514"/>
      <c r="AE500" s="698"/>
      <c r="AF500" s="514"/>
      <c r="AG500" s="514"/>
      <c r="AH500" s="789"/>
      <c r="AI500" s="946">
        <f t="shared" si="24"/>
        <v>0</v>
      </c>
      <c r="AJ500" s="521">
        <v>0</v>
      </c>
      <c r="AK500" s="520">
        <f t="shared" si="25"/>
        <v>0</v>
      </c>
      <c r="AL500" s="695" t="s">
        <v>1590</v>
      </c>
      <c r="AM500" s="669">
        <f t="shared" si="26"/>
        <v>49.66</v>
      </c>
    </row>
    <row r="501" spans="1:39" s="500" customFormat="1" ht="13.35" customHeight="1">
      <c r="A501" s="539" t="s">
        <v>980</v>
      </c>
      <c r="B501" s="539" t="s">
        <v>1302</v>
      </c>
      <c r="C501" s="548" t="s">
        <v>37</v>
      </c>
      <c r="D501" s="519"/>
      <c r="E501" s="520"/>
      <c r="F501" s="726"/>
      <c r="G501" s="520"/>
      <c r="H501" s="520"/>
      <c r="I501" s="521"/>
      <c r="J501" s="521"/>
      <c r="K501" s="772"/>
      <c r="L501" s="514"/>
      <c r="M501" s="756"/>
      <c r="N501" s="514"/>
      <c r="O501" s="514"/>
      <c r="P501" s="1026">
        <f>3.2*0.5</f>
        <v>1.6</v>
      </c>
      <c r="Q501" s="514"/>
      <c r="R501" s="1026">
        <f>4.2*0.5+2*0.5</f>
        <v>3.1</v>
      </c>
      <c r="S501" s="1064">
        <f>2.2*0.5+2.45*0.5+2.8*0.5</f>
        <v>3.7250000000000001</v>
      </c>
      <c r="T501" s="756"/>
      <c r="U501" s="514"/>
      <c r="V501" s="1064">
        <f>3.1*0.27+8.75*0.27+2.6*0.6</f>
        <v>4.759500000000001</v>
      </c>
      <c r="W501" s="514"/>
      <c r="X501" s="522"/>
      <c r="Y501" s="1026">
        <f>11.5*0.45</f>
        <v>5.1749999999999998</v>
      </c>
      <c r="Z501" s="522"/>
      <c r="AA501" s="756"/>
      <c r="AB501" s="764"/>
      <c r="AC501" s="514"/>
      <c r="AD501" s="514"/>
      <c r="AE501" s="698"/>
      <c r="AF501" s="514"/>
      <c r="AG501" s="514"/>
      <c r="AH501" s="789"/>
      <c r="AI501" s="1076">
        <f t="shared" si="24"/>
        <v>18.36</v>
      </c>
      <c r="AJ501" s="521">
        <v>0</v>
      </c>
      <c r="AK501" s="520">
        <f t="shared" si="25"/>
        <v>18.36</v>
      </c>
      <c r="AL501" s="695"/>
      <c r="AM501" s="669">
        <f t="shared" si="26"/>
        <v>-18.36</v>
      </c>
    </row>
    <row r="502" spans="1:39" s="500" customFormat="1" ht="13.35" customHeight="1">
      <c r="A502" s="542" t="s">
        <v>981</v>
      </c>
      <c r="B502" s="542" t="s">
        <v>1291</v>
      </c>
      <c r="C502" s="616"/>
      <c r="D502" s="519"/>
      <c r="E502" s="520"/>
      <c r="F502" s="726"/>
      <c r="G502" s="520"/>
      <c r="H502" s="520"/>
      <c r="I502" s="521"/>
      <c r="J502" s="521"/>
      <c r="K502" s="772"/>
      <c r="L502" s="514"/>
      <c r="M502" s="756"/>
      <c r="N502" s="514"/>
      <c r="O502" s="514"/>
      <c r="P502" s="514"/>
      <c r="Q502" s="514"/>
      <c r="R502" s="514"/>
      <c r="S502" s="514"/>
      <c r="T502" s="756"/>
      <c r="U502" s="514"/>
      <c r="V502" s="514"/>
      <c r="W502" s="514"/>
      <c r="X502" s="514"/>
      <c r="Y502" s="514"/>
      <c r="Z502" s="514"/>
      <c r="AA502" s="756"/>
      <c r="AB502" s="764"/>
      <c r="AC502" s="514"/>
      <c r="AD502" s="514"/>
      <c r="AE502" s="698"/>
      <c r="AF502" s="514"/>
      <c r="AG502" s="514"/>
      <c r="AH502" s="789"/>
      <c r="AI502" s="946">
        <f t="shared" si="24"/>
        <v>0</v>
      </c>
      <c r="AJ502" s="521">
        <v>0</v>
      </c>
      <c r="AK502" s="520">
        <f t="shared" si="25"/>
        <v>0</v>
      </c>
      <c r="AL502" s="695" t="s">
        <v>1731</v>
      </c>
      <c r="AM502" s="669">
        <f t="shared" si="26"/>
        <v>7.98</v>
      </c>
    </row>
    <row r="503" spans="1:39" s="500" customFormat="1" ht="13.35" customHeight="1">
      <c r="A503" s="539" t="s">
        <v>982</v>
      </c>
      <c r="B503" s="539" t="s">
        <v>1303</v>
      </c>
      <c r="C503" s="548" t="s">
        <v>37</v>
      </c>
      <c r="D503" s="519"/>
      <c r="E503" s="520"/>
      <c r="F503" s="726"/>
      <c r="G503" s="520"/>
      <c r="H503" s="520"/>
      <c r="I503" s="521"/>
      <c r="J503" s="521"/>
      <c r="K503" s="772"/>
      <c r="L503" s="514"/>
      <c r="M503" s="756"/>
      <c r="N503" s="514"/>
      <c r="O503" s="514"/>
      <c r="P503" s="514"/>
      <c r="Q503" s="514"/>
      <c r="R503" s="514"/>
      <c r="S503" s="514"/>
      <c r="T503" s="756"/>
      <c r="U503" s="514"/>
      <c r="V503" s="514"/>
      <c r="W503" s="514"/>
      <c r="X503" s="514"/>
      <c r="Y503" s="514"/>
      <c r="Z503" s="514"/>
      <c r="AA503" s="756"/>
      <c r="AB503" s="764"/>
      <c r="AC503" s="514"/>
      <c r="AD503" s="514"/>
      <c r="AE503" s="698"/>
      <c r="AF503" s="514"/>
      <c r="AG503" s="514"/>
      <c r="AH503" s="789"/>
      <c r="AI503" s="946">
        <f t="shared" si="24"/>
        <v>0</v>
      </c>
      <c r="AJ503" s="521">
        <v>0</v>
      </c>
      <c r="AK503" s="520">
        <f t="shared" si="25"/>
        <v>0</v>
      </c>
      <c r="AL503" s="695"/>
      <c r="AM503" s="669">
        <f t="shared" si="26"/>
        <v>0</v>
      </c>
    </row>
    <row r="504" spans="1:39" s="500" customFormat="1" ht="13.35" customHeight="1">
      <c r="A504" s="542" t="s">
        <v>983</v>
      </c>
      <c r="B504" s="542" t="s">
        <v>1272</v>
      </c>
      <c r="C504" s="616"/>
      <c r="D504" s="519"/>
      <c r="E504" s="520"/>
      <c r="F504" s="726"/>
      <c r="G504" s="520"/>
      <c r="H504" s="520"/>
      <c r="I504" s="521"/>
      <c r="J504" s="521"/>
      <c r="K504" s="772"/>
      <c r="L504" s="514"/>
      <c r="M504" s="756"/>
      <c r="N504" s="514"/>
      <c r="O504" s="514"/>
      <c r="P504" s="514"/>
      <c r="Q504" s="514"/>
      <c r="R504" s="514"/>
      <c r="S504" s="514"/>
      <c r="T504" s="756"/>
      <c r="U504" s="514"/>
      <c r="V504" s="514"/>
      <c r="W504" s="514"/>
      <c r="X504" s="514"/>
      <c r="Y504" s="514"/>
      <c r="Z504" s="514"/>
      <c r="AA504" s="756"/>
      <c r="AB504" s="764"/>
      <c r="AC504" s="514"/>
      <c r="AD504" s="514"/>
      <c r="AE504" s="698"/>
      <c r="AF504" s="514"/>
      <c r="AG504" s="514"/>
      <c r="AH504" s="789"/>
      <c r="AI504" s="946">
        <f t="shared" si="24"/>
        <v>0</v>
      </c>
      <c r="AJ504" s="521">
        <v>0</v>
      </c>
      <c r="AK504" s="520">
        <f t="shared" si="25"/>
        <v>0</v>
      </c>
      <c r="AL504" s="695" t="s">
        <v>1729</v>
      </c>
      <c r="AM504" s="669">
        <f t="shared" si="26"/>
        <v>117.85</v>
      </c>
    </row>
    <row r="505" spans="1:39" s="500" customFormat="1" ht="13.35" customHeight="1">
      <c r="A505" s="539" t="s">
        <v>984</v>
      </c>
      <c r="B505" s="539" t="s">
        <v>1304</v>
      </c>
      <c r="C505" s="548" t="s">
        <v>37</v>
      </c>
      <c r="D505" s="519"/>
      <c r="E505" s="520"/>
      <c r="F505" s="726"/>
      <c r="G505" s="520"/>
      <c r="H505" s="520"/>
      <c r="I505" s="521"/>
      <c r="J505" s="521"/>
      <c r="K505" s="772"/>
      <c r="L505" s="514"/>
      <c r="M505" s="756"/>
      <c r="N505" s="514"/>
      <c r="O505" s="514"/>
      <c r="P505" s="514"/>
      <c r="Q505" s="514"/>
      <c r="R505" s="514"/>
      <c r="S505" s="514"/>
      <c r="T505" s="756"/>
      <c r="U505" s="514"/>
      <c r="V505" s="514"/>
      <c r="W505" s="514"/>
      <c r="X505" s="514"/>
      <c r="Y505" s="514"/>
      <c r="Z505" s="514"/>
      <c r="AA505" s="756"/>
      <c r="AB505" s="764"/>
      <c r="AC505" s="514"/>
      <c r="AD505" s="514"/>
      <c r="AE505" s="698"/>
      <c r="AF505" s="514"/>
      <c r="AG505" s="514"/>
      <c r="AH505" s="789"/>
      <c r="AI505" s="946">
        <f t="shared" si="24"/>
        <v>0</v>
      </c>
      <c r="AJ505" s="521">
        <v>0</v>
      </c>
      <c r="AK505" s="520">
        <f t="shared" si="25"/>
        <v>0</v>
      </c>
      <c r="AL505" s="695" t="s">
        <v>1730</v>
      </c>
      <c r="AM505" s="669">
        <f t="shared" si="26"/>
        <v>65.94</v>
      </c>
    </row>
    <row r="506" spans="1:39" s="500" customFormat="1" ht="13.35" customHeight="1">
      <c r="A506" s="539" t="s">
        <v>985</v>
      </c>
      <c r="B506" s="539" t="s">
        <v>1276</v>
      </c>
      <c r="C506" s="548" t="s">
        <v>37</v>
      </c>
      <c r="D506" s="519"/>
      <c r="E506" s="520"/>
      <c r="F506" s="726"/>
      <c r="G506" s="520"/>
      <c r="H506" s="520"/>
      <c r="I506" s="521"/>
      <c r="J506" s="521"/>
      <c r="K506" s="772"/>
      <c r="L506" s="514"/>
      <c r="M506" s="756"/>
      <c r="N506" s="514"/>
      <c r="O506" s="514"/>
      <c r="P506" s="514"/>
      <c r="Q506" s="514"/>
      <c r="R506" s="514"/>
      <c r="S506" s="514"/>
      <c r="T506" s="756"/>
      <c r="U506" s="514"/>
      <c r="V506" s="514"/>
      <c r="W506" s="514"/>
      <c r="X506" s="514"/>
      <c r="Y506" s="514"/>
      <c r="Z506" s="514"/>
      <c r="AA506" s="756"/>
      <c r="AB506" s="764"/>
      <c r="AC506" s="514"/>
      <c r="AD506" s="514"/>
      <c r="AE506" s="698"/>
      <c r="AF506" s="514"/>
      <c r="AG506" s="514"/>
      <c r="AH506" s="789"/>
      <c r="AI506" s="946">
        <f t="shared" si="24"/>
        <v>0</v>
      </c>
      <c r="AJ506" s="521">
        <v>0</v>
      </c>
      <c r="AK506" s="520">
        <f t="shared" si="25"/>
        <v>0</v>
      </c>
      <c r="AL506" s="695" t="s">
        <v>1590</v>
      </c>
      <c r="AM506" s="669">
        <f t="shared" si="26"/>
        <v>49.66</v>
      </c>
    </row>
    <row r="507" spans="1:39" s="500" customFormat="1" ht="13.35" customHeight="1">
      <c r="A507" s="539" t="s">
        <v>986</v>
      </c>
      <c r="B507" s="539" t="s">
        <v>1277</v>
      </c>
      <c r="C507" s="548" t="s">
        <v>37</v>
      </c>
      <c r="D507" s="519"/>
      <c r="E507" s="520"/>
      <c r="F507" s="726"/>
      <c r="G507" s="520"/>
      <c r="H507" s="520"/>
      <c r="I507" s="521"/>
      <c r="J507" s="521"/>
      <c r="K507" s="772"/>
      <c r="L507" s="514"/>
      <c r="M507" s="756"/>
      <c r="N507" s="514"/>
      <c r="O507" s="514"/>
      <c r="P507" s="514"/>
      <c r="Q507" s="514"/>
      <c r="R507" s="514"/>
      <c r="S507" s="514"/>
      <c r="T507" s="756"/>
      <c r="U507" s="514"/>
      <c r="V507" s="514"/>
      <c r="W507" s="514"/>
      <c r="X507" s="514"/>
      <c r="Y507" s="514"/>
      <c r="Z507" s="514"/>
      <c r="AA507" s="756"/>
      <c r="AB507" s="764"/>
      <c r="AC507" s="514"/>
      <c r="AD507" s="514"/>
      <c r="AE507" s="698"/>
      <c r="AF507" s="514"/>
      <c r="AG507" s="514"/>
      <c r="AH507" s="789"/>
      <c r="AI507" s="946">
        <f t="shared" si="24"/>
        <v>0</v>
      </c>
      <c r="AJ507" s="521">
        <v>0</v>
      </c>
      <c r="AK507" s="520">
        <f t="shared" si="25"/>
        <v>0</v>
      </c>
      <c r="AL507" s="695"/>
      <c r="AM507" s="669">
        <f t="shared" si="26"/>
        <v>0</v>
      </c>
    </row>
    <row r="508" spans="1:39" s="500" customFormat="1" ht="13.35" customHeight="1">
      <c r="A508" s="440" t="s">
        <v>987</v>
      </c>
      <c r="B508" s="543" t="s">
        <v>1305</v>
      </c>
      <c r="C508" s="616"/>
      <c r="D508" s="519"/>
      <c r="E508" s="520"/>
      <c r="F508" s="726"/>
      <c r="G508" s="520"/>
      <c r="H508" s="520"/>
      <c r="I508" s="521"/>
      <c r="J508" s="521"/>
      <c r="K508" s="772"/>
      <c r="L508" s="514"/>
      <c r="M508" s="756"/>
      <c r="N508" s="514"/>
      <c r="O508" s="514"/>
      <c r="P508" s="514"/>
      <c r="Q508" s="514"/>
      <c r="R508" s="514"/>
      <c r="S508" s="514"/>
      <c r="T508" s="756"/>
      <c r="U508" s="514"/>
      <c r="V508" s="514"/>
      <c r="W508" s="514"/>
      <c r="X508" s="514"/>
      <c r="Y508" s="514"/>
      <c r="Z508" s="514"/>
      <c r="AA508" s="756"/>
      <c r="AB508" s="764"/>
      <c r="AC508" s="514"/>
      <c r="AD508" s="514"/>
      <c r="AE508" s="698"/>
      <c r="AF508" s="514"/>
      <c r="AG508" s="514"/>
      <c r="AH508" s="789"/>
      <c r="AI508" s="946">
        <f t="shared" si="24"/>
        <v>0</v>
      </c>
      <c r="AJ508" s="521">
        <v>0</v>
      </c>
      <c r="AK508" s="520">
        <f t="shared" si="25"/>
        <v>0</v>
      </c>
      <c r="AL508" s="695" t="s">
        <v>1732</v>
      </c>
      <c r="AM508" s="669">
        <f t="shared" si="26"/>
        <v>154.19</v>
      </c>
    </row>
    <row r="509" spans="1:39" s="500" customFormat="1" ht="13.35" customHeight="1">
      <c r="A509" s="542" t="s">
        <v>988</v>
      </c>
      <c r="B509" s="542" t="s">
        <v>1306</v>
      </c>
      <c r="C509" s="548" t="s">
        <v>37</v>
      </c>
      <c r="D509" s="519"/>
      <c r="E509" s="520"/>
      <c r="F509" s="726"/>
      <c r="G509" s="520"/>
      <c r="H509" s="520"/>
      <c r="I509" s="521"/>
      <c r="J509" s="521"/>
      <c r="K509" s="772"/>
      <c r="L509" s="514"/>
      <c r="M509" s="756"/>
      <c r="N509" s="514"/>
      <c r="O509" s="514"/>
      <c r="P509" s="514"/>
      <c r="Q509" s="514"/>
      <c r="R509" s="1026">
        <f>5*3.8+3.2*0.28</f>
        <v>19.896000000000001</v>
      </c>
      <c r="S509" s="1064">
        <f>3.5*1.8</f>
        <v>6.3</v>
      </c>
      <c r="T509" s="756"/>
      <c r="U509" s="1064">
        <f>3.5*0.56+2.25*0.26+3.3*2.95</f>
        <v>12.28</v>
      </c>
      <c r="V509" s="1064">
        <f>3.5*2.25+3.2*0.8+2.45*2.4</f>
        <v>16.315000000000001</v>
      </c>
      <c r="W509" s="514"/>
      <c r="X509" s="514"/>
      <c r="Z509" s="1051">
        <f>2.95*3.3</f>
        <v>9.7349999999999994</v>
      </c>
      <c r="AA509" s="756"/>
      <c r="AB509" s="764"/>
      <c r="AC509" s="1066">
        <f>2.65*2.35</f>
        <v>6.2275</v>
      </c>
      <c r="AD509" s="514"/>
      <c r="AE509" s="698"/>
      <c r="AF509" s="514"/>
      <c r="AG509" s="514"/>
      <c r="AH509" s="789"/>
      <c r="AI509" s="1076">
        <f t="shared" si="24"/>
        <v>70.75</v>
      </c>
      <c r="AJ509" s="521">
        <v>0</v>
      </c>
      <c r="AK509" s="520">
        <f t="shared" si="25"/>
        <v>70.75</v>
      </c>
      <c r="AL509" s="695" t="s">
        <v>1733</v>
      </c>
      <c r="AM509" s="669">
        <f t="shared" si="26"/>
        <v>-21.939999999999998</v>
      </c>
    </row>
    <row r="510" spans="1:39" s="500" customFormat="1" ht="13.35" customHeight="1">
      <c r="A510" s="542" t="s">
        <v>989</v>
      </c>
      <c r="B510" s="542" t="s">
        <v>1307</v>
      </c>
      <c r="C510" s="548" t="s">
        <v>37</v>
      </c>
      <c r="D510" s="519"/>
      <c r="E510" s="520"/>
      <c r="F510" s="726"/>
      <c r="G510" s="520"/>
      <c r="H510" s="520"/>
      <c r="I510" s="521"/>
      <c r="J510" s="521"/>
      <c r="K510" s="772"/>
      <c r="L510" s="514"/>
      <c r="M510" s="756"/>
      <c r="N510" s="514"/>
      <c r="O510" s="514"/>
      <c r="P510" s="514"/>
      <c r="Q510" s="514"/>
      <c r="R510" s="514"/>
      <c r="S510" s="514"/>
      <c r="T510" s="756"/>
      <c r="U510" s="514"/>
      <c r="V510" s="514"/>
      <c r="W510" s="514"/>
      <c r="X510" s="514"/>
      <c r="Y510" s="514"/>
      <c r="Z510" s="514"/>
      <c r="AA510" s="756"/>
      <c r="AB510" s="764"/>
      <c r="AC510" s="514"/>
      <c r="AD510" s="514"/>
      <c r="AE510" s="698"/>
      <c r="AF510" s="514"/>
      <c r="AG510" s="514"/>
      <c r="AH510" s="789"/>
      <c r="AI510" s="946">
        <f t="shared" si="24"/>
        <v>0</v>
      </c>
      <c r="AJ510" s="521">
        <v>0</v>
      </c>
      <c r="AK510" s="520">
        <f t="shared" si="25"/>
        <v>0</v>
      </c>
      <c r="AL510" s="695"/>
      <c r="AM510" s="669">
        <f t="shared" si="26"/>
        <v>0</v>
      </c>
    </row>
    <row r="511" spans="1:39" s="500" customFormat="1" ht="13.35" customHeight="1">
      <c r="A511" s="440" t="s">
        <v>990</v>
      </c>
      <c r="B511" s="543" t="s">
        <v>1308</v>
      </c>
      <c r="C511" s="616"/>
      <c r="D511" s="519"/>
      <c r="E511" s="520"/>
      <c r="F511" s="726"/>
      <c r="G511" s="520"/>
      <c r="H511" s="520"/>
      <c r="I511" s="521"/>
      <c r="J511" s="521"/>
      <c r="K511" s="772"/>
      <c r="L511" s="514"/>
      <c r="M511" s="756"/>
      <c r="N511" s="514"/>
      <c r="O511" s="514"/>
      <c r="P511" s="514"/>
      <c r="Q511" s="514"/>
      <c r="R511" s="514"/>
      <c r="S511" s="514"/>
      <c r="T511" s="756"/>
      <c r="U511" s="514"/>
      <c r="V511" s="514"/>
      <c r="W511" s="514"/>
      <c r="X511" s="514"/>
      <c r="Y511" s="514"/>
      <c r="Z511" s="514"/>
      <c r="AA511" s="756"/>
      <c r="AB511" s="764"/>
      <c r="AC511" s="514"/>
      <c r="AD511" s="514"/>
      <c r="AE511" s="698"/>
      <c r="AF511" s="514"/>
      <c r="AG511" s="514"/>
      <c r="AH511" s="789"/>
      <c r="AI511" s="946">
        <f t="shared" si="24"/>
        <v>0</v>
      </c>
      <c r="AJ511" s="521">
        <v>0</v>
      </c>
      <c r="AK511" s="520">
        <f t="shared" si="25"/>
        <v>0</v>
      </c>
      <c r="AL511" s="695"/>
      <c r="AM511" s="669">
        <f t="shared" si="26"/>
        <v>0</v>
      </c>
    </row>
    <row r="512" spans="1:39" s="500" customFormat="1" ht="13.35" customHeight="1">
      <c r="A512" s="542" t="s">
        <v>991</v>
      </c>
      <c r="B512" s="542" t="s">
        <v>1249</v>
      </c>
      <c r="C512" s="616"/>
      <c r="D512" s="519"/>
      <c r="E512" s="520"/>
      <c r="F512" s="726"/>
      <c r="G512" s="520"/>
      <c r="H512" s="520"/>
      <c r="I512" s="521"/>
      <c r="J512" s="521"/>
      <c r="K512" s="772"/>
      <c r="L512" s="514"/>
      <c r="M512" s="756"/>
      <c r="N512" s="514"/>
      <c r="O512" s="514"/>
      <c r="P512" s="514"/>
      <c r="Q512" s="514"/>
      <c r="R512" s="514"/>
      <c r="S512" s="514"/>
      <c r="T512" s="756"/>
      <c r="U512" s="514"/>
      <c r="V512" s="514"/>
      <c r="W512" s="514"/>
      <c r="X512" s="514"/>
      <c r="Y512" s="514"/>
      <c r="Z512" s="514"/>
      <c r="AA512" s="756"/>
      <c r="AB512" s="764"/>
      <c r="AC512" s="514"/>
      <c r="AD512" s="514"/>
      <c r="AE512" s="698"/>
      <c r="AF512" s="514"/>
      <c r="AG512" s="514"/>
      <c r="AH512" s="789"/>
      <c r="AI512" s="946">
        <f t="shared" si="24"/>
        <v>0</v>
      </c>
      <c r="AJ512" s="521">
        <v>0</v>
      </c>
      <c r="AK512" s="520">
        <f t="shared" si="25"/>
        <v>0</v>
      </c>
      <c r="AL512" s="695" t="s">
        <v>1608</v>
      </c>
      <c r="AM512" s="669">
        <f t="shared" si="26"/>
        <v>60</v>
      </c>
    </row>
    <row r="513" spans="1:39" s="500" customFormat="1" ht="13.35" customHeight="1">
      <c r="A513" s="539" t="s">
        <v>992</v>
      </c>
      <c r="B513" s="539" t="s">
        <v>1309</v>
      </c>
      <c r="C513" s="548" t="s">
        <v>37</v>
      </c>
      <c r="D513" s="519"/>
      <c r="E513" s="520"/>
      <c r="F513" s="726"/>
      <c r="G513" s="520"/>
      <c r="H513" s="520"/>
      <c r="I513" s="521"/>
      <c r="J513" s="521"/>
      <c r="K513" s="772"/>
      <c r="L513" s="514"/>
      <c r="M513" s="756"/>
      <c r="N513" s="514"/>
      <c r="O513" s="514"/>
      <c r="P513" s="514"/>
      <c r="Q513" s="514"/>
      <c r="R513" s="514"/>
      <c r="S513" s="514"/>
      <c r="T513" s="756"/>
      <c r="U513" s="514"/>
      <c r="V513" s="514"/>
      <c r="W513" s="514"/>
      <c r="X513" s="514"/>
      <c r="Y513" s="514"/>
      <c r="Z513" s="514"/>
      <c r="AA513" s="756"/>
      <c r="AB513" s="764"/>
      <c r="AC513" s="514"/>
      <c r="AD513" s="514"/>
      <c r="AE513" s="698"/>
      <c r="AF513" s="514"/>
      <c r="AG513" s="514"/>
      <c r="AH513" s="789"/>
      <c r="AI513" s="946">
        <f t="shared" si="24"/>
        <v>0</v>
      </c>
      <c r="AJ513" s="521">
        <v>0</v>
      </c>
      <c r="AK513" s="520">
        <f t="shared" si="25"/>
        <v>0</v>
      </c>
      <c r="AL513" s="695" t="s">
        <v>1633</v>
      </c>
      <c r="AM513" s="669">
        <f t="shared" si="26"/>
        <v>5.18</v>
      </c>
    </row>
    <row r="514" spans="1:39" s="500" customFormat="1" ht="13.35" customHeight="1">
      <c r="A514" s="539" t="s">
        <v>993</v>
      </c>
      <c r="B514" s="539" t="s">
        <v>1310</v>
      </c>
      <c r="C514" s="548" t="s">
        <v>37</v>
      </c>
      <c r="D514" s="519"/>
      <c r="E514" s="520"/>
      <c r="F514" s="726"/>
      <c r="G514" s="520"/>
      <c r="H514" s="520"/>
      <c r="I514" s="521"/>
      <c r="J514" s="521"/>
      <c r="K514" s="772"/>
      <c r="L514" s="514"/>
      <c r="M514" s="756"/>
      <c r="N514" s="514"/>
      <c r="O514" s="514"/>
      <c r="P514" s="514"/>
      <c r="Q514" s="514"/>
      <c r="R514" s="514"/>
      <c r="S514" s="514"/>
      <c r="T514" s="756"/>
      <c r="U514" s="514"/>
      <c r="V514" s="514"/>
      <c r="W514" s="514"/>
      <c r="X514" s="514"/>
      <c r="Y514" s="514"/>
      <c r="Z514" s="514"/>
      <c r="AA514" s="756"/>
      <c r="AB514" s="764"/>
      <c r="AC514" s="514"/>
      <c r="AD514" s="514"/>
      <c r="AE514" s="698"/>
      <c r="AF514" s="514"/>
      <c r="AG514" s="514"/>
      <c r="AH514" s="789"/>
      <c r="AI514" s="946">
        <f t="shared" si="24"/>
        <v>0</v>
      </c>
      <c r="AJ514" s="521">
        <v>0</v>
      </c>
      <c r="AK514" s="520">
        <f t="shared" si="25"/>
        <v>0</v>
      </c>
      <c r="AL514" s="695"/>
      <c r="AM514" s="669">
        <f t="shared" si="26"/>
        <v>0</v>
      </c>
    </row>
    <row r="515" spans="1:39" s="500" customFormat="1" ht="13.35" customHeight="1">
      <c r="A515" s="542" t="s">
        <v>994</v>
      </c>
      <c r="B515" s="542" t="s">
        <v>1253</v>
      </c>
      <c r="C515" s="616"/>
      <c r="D515" s="519"/>
      <c r="E515" s="520"/>
      <c r="F515" s="726"/>
      <c r="G515" s="520"/>
      <c r="H515" s="520"/>
      <c r="I515" s="521"/>
      <c r="J515" s="521"/>
      <c r="K515" s="772"/>
      <c r="L515" s="514"/>
      <c r="M515" s="756"/>
      <c r="N515" s="514"/>
      <c r="O515" s="514"/>
      <c r="P515" s="514"/>
      <c r="Q515" s="514"/>
      <c r="R515" s="514"/>
      <c r="S515" s="514"/>
      <c r="T515" s="756"/>
      <c r="U515" s="514"/>
      <c r="V515" s="514"/>
      <c r="W515" s="514"/>
      <c r="X515" s="514"/>
      <c r="Y515" s="514"/>
      <c r="Z515" s="514"/>
      <c r="AA515" s="756"/>
      <c r="AB515" s="764"/>
      <c r="AC515" s="514"/>
      <c r="AD515" s="514"/>
      <c r="AE515" s="698"/>
      <c r="AF515" s="514"/>
      <c r="AG515" s="514"/>
      <c r="AH515" s="789"/>
      <c r="AI515" s="946">
        <f t="shared" si="24"/>
        <v>0</v>
      </c>
      <c r="AJ515" s="521">
        <v>0</v>
      </c>
      <c r="AK515" s="520">
        <f t="shared" si="25"/>
        <v>0</v>
      </c>
      <c r="AL515" s="695" t="s">
        <v>1734</v>
      </c>
      <c r="AM515" s="669">
        <f t="shared" si="26"/>
        <v>73.98</v>
      </c>
    </row>
    <row r="516" spans="1:39" s="500" customFormat="1" ht="13.35" customHeight="1">
      <c r="A516" s="539" t="s">
        <v>995</v>
      </c>
      <c r="B516" s="539" t="s">
        <v>1311</v>
      </c>
      <c r="C516" s="548" t="s">
        <v>38</v>
      </c>
      <c r="D516" s="519"/>
      <c r="E516" s="520"/>
      <c r="F516" s="726"/>
      <c r="G516" s="520"/>
      <c r="H516" s="520"/>
      <c r="I516" s="521"/>
      <c r="J516" s="521"/>
      <c r="K516" s="772"/>
      <c r="L516" s="514"/>
      <c r="M516" s="756"/>
      <c r="N516" s="514"/>
      <c r="O516" s="514"/>
      <c r="P516" s="514"/>
      <c r="Q516" s="514"/>
      <c r="R516" s="514"/>
      <c r="S516" s="514"/>
      <c r="T516" s="756"/>
      <c r="U516" s="514"/>
      <c r="V516" s="514"/>
      <c r="W516" s="514"/>
      <c r="X516" s="514"/>
      <c r="Y516" s="514"/>
      <c r="Z516" s="514"/>
      <c r="AA516" s="756"/>
      <c r="AB516" s="764"/>
      <c r="AC516" s="514"/>
      <c r="AD516" s="514"/>
      <c r="AE516" s="698"/>
      <c r="AF516" s="514"/>
      <c r="AG516" s="514"/>
      <c r="AH516" s="789"/>
      <c r="AI516" s="946">
        <f t="shared" si="24"/>
        <v>0</v>
      </c>
      <c r="AJ516" s="521">
        <v>0</v>
      </c>
      <c r="AK516" s="520">
        <f t="shared" si="25"/>
        <v>0</v>
      </c>
      <c r="AL516" s="695" t="s">
        <v>1735</v>
      </c>
      <c r="AM516" s="669">
        <f t="shared" si="26"/>
        <v>44.39</v>
      </c>
    </row>
    <row r="517" spans="1:39" s="500" customFormat="1" ht="13.35" customHeight="1">
      <c r="A517" s="539" t="s">
        <v>996</v>
      </c>
      <c r="B517" s="539" t="s">
        <v>1255</v>
      </c>
      <c r="C517" s="548" t="s">
        <v>37</v>
      </c>
      <c r="D517" s="519"/>
      <c r="E517" s="520"/>
      <c r="F517" s="726"/>
      <c r="G517" s="520"/>
      <c r="H517" s="520"/>
      <c r="I517" s="521"/>
      <c r="J517" s="521"/>
      <c r="K517" s="772"/>
      <c r="L517" s="514"/>
      <c r="M517" s="756"/>
      <c r="N517" s="514"/>
      <c r="O517" s="514"/>
      <c r="P517" s="514"/>
      <c r="Q517" s="514"/>
      <c r="R517" s="514"/>
      <c r="S517" s="514"/>
      <c r="T517" s="756"/>
      <c r="U517" s="514"/>
      <c r="V517" s="514"/>
      <c r="W517" s="514"/>
      <c r="X517" s="514"/>
      <c r="Y517" s="514"/>
      <c r="Z517" s="514"/>
      <c r="AA517" s="756"/>
      <c r="AB517" s="764"/>
      <c r="AC517" s="514"/>
      <c r="AD517" s="514"/>
      <c r="AE517" s="698"/>
      <c r="AF517" s="514"/>
      <c r="AG517" s="514"/>
      <c r="AH517" s="789"/>
      <c r="AI517" s="946">
        <f t="shared" si="24"/>
        <v>0</v>
      </c>
      <c r="AJ517" s="521">
        <v>0</v>
      </c>
      <c r="AK517" s="520">
        <f t="shared" si="25"/>
        <v>0</v>
      </c>
      <c r="AL517" s="695"/>
      <c r="AM517" s="669">
        <f t="shared" si="26"/>
        <v>0</v>
      </c>
    </row>
    <row r="518" spans="1:39" s="500" customFormat="1" ht="13.35" customHeight="1">
      <c r="A518" s="542" t="s">
        <v>997</v>
      </c>
      <c r="B518" s="542" t="s">
        <v>1312</v>
      </c>
      <c r="C518" s="616"/>
      <c r="D518" s="519"/>
      <c r="E518" s="520"/>
      <c r="F518" s="726"/>
      <c r="G518" s="520"/>
      <c r="H518" s="520"/>
      <c r="I518" s="521"/>
      <c r="J518" s="521"/>
      <c r="K518" s="772"/>
      <c r="L518" s="514"/>
      <c r="M518" s="756"/>
      <c r="N518" s="514"/>
      <c r="O518" s="514"/>
      <c r="P518" s="514"/>
      <c r="Q518" s="514"/>
      <c r="R518" s="514"/>
      <c r="S518" s="514"/>
      <c r="T518" s="756"/>
      <c r="U518" s="514"/>
      <c r="V518" s="514"/>
      <c r="W518" s="514"/>
      <c r="X518" s="514"/>
      <c r="Y518" s="514"/>
      <c r="Z518" s="514"/>
      <c r="AA518" s="756"/>
      <c r="AB518" s="764"/>
      <c r="AC518" s="514"/>
      <c r="AD518" s="514"/>
      <c r="AE518" s="698"/>
      <c r="AF518" s="514"/>
      <c r="AG518" s="514"/>
      <c r="AH518" s="789"/>
      <c r="AI518" s="946">
        <f t="shared" si="24"/>
        <v>0</v>
      </c>
      <c r="AJ518" s="521">
        <v>0</v>
      </c>
      <c r="AK518" s="520">
        <f t="shared" si="25"/>
        <v>0</v>
      </c>
      <c r="AL518" s="695" t="s">
        <v>1736</v>
      </c>
      <c r="AM518" s="669">
        <f t="shared" si="26"/>
        <v>64</v>
      </c>
    </row>
    <row r="519" spans="1:39" s="500" customFormat="1" ht="13.35" customHeight="1">
      <c r="A519" s="539" t="s">
        <v>998</v>
      </c>
      <c r="B519" s="539" t="s">
        <v>1313</v>
      </c>
      <c r="C519" s="548" t="s">
        <v>37</v>
      </c>
      <c r="D519" s="519"/>
      <c r="E519" s="520"/>
      <c r="F519" s="726"/>
      <c r="G519" s="520"/>
      <c r="H519" s="520"/>
      <c r="I519" s="521"/>
      <c r="J519" s="521"/>
      <c r="K519" s="772"/>
      <c r="L519" s="514"/>
      <c r="M519" s="756"/>
      <c r="N519" s="514"/>
      <c r="O519" s="514"/>
      <c r="P519" s="514"/>
      <c r="Q519" s="514"/>
      <c r="R519" s="514"/>
      <c r="S519" s="514"/>
      <c r="T519" s="756"/>
      <c r="U519" s="514"/>
      <c r="V519" s="514"/>
      <c r="W519" s="514"/>
      <c r="X519" s="514"/>
      <c r="Y519" s="514"/>
      <c r="Z519" s="514"/>
      <c r="AA519" s="756"/>
      <c r="AB519" s="764"/>
      <c r="AC519" s="514"/>
      <c r="AD519" s="514"/>
      <c r="AE519" s="698"/>
      <c r="AF519" s="514"/>
      <c r="AG519" s="514"/>
      <c r="AH519" s="789"/>
      <c r="AI519" s="946">
        <f t="shared" si="24"/>
        <v>0</v>
      </c>
      <c r="AJ519" s="521">
        <v>0</v>
      </c>
      <c r="AK519" s="520">
        <f t="shared" si="25"/>
        <v>0</v>
      </c>
      <c r="AL519" s="695"/>
      <c r="AM519" s="669">
        <f t="shared" si="26"/>
        <v>0</v>
      </c>
    </row>
    <row r="520" spans="1:39" s="500" customFormat="1" ht="13.35" customHeight="1">
      <c r="A520" s="542" t="s">
        <v>999</v>
      </c>
      <c r="B520" s="542" t="s">
        <v>1200</v>
      </c>
      <c r="C520" s="616"/>
      <c r="D520" s="519"/>
      <c r="E520" s="520"/>
      <c r="F520" s="726"/>
      <c r="G520" s="520"/>
      <c r="H520" s="520"/>
      <c r="I520" s="521"/>
      <c r="J520" s="521"/>
      <c r="K520" s="772"/>
      <c r="L520" s="514"/>
      <c r="M520" s="756"/>
      <c r="N520" s="514"/>
      <c r="O520" s="514"/>
      <c r="P520" s="514"/>
      <c r="Q520" s="514"/>
      <c r="R520" s="514"/>
      <c r="S520" s="514"/>
      <c r="T520" s="756"/>
      <c r="U520" s="514"/>
      <c r="V520" s="514"/>
      <c r="W520" s="514"/>
      <c r="X520" s="514"/>
      <c r="Y520" s="514"/>
      <c r="Z520" s="514"/>
      <c r="AA520" s="756"/>
      <c r="AB520" s="764"/>
      <c r="AC520" s="514"/>
      <c r="AD520" s="514"/>
      <c r="AE520" s="698"/>
      <c r="AF520" s="514"/>
      <c r="AG520" s="514"/>
      <c r="AH520" s="789"/>
      <c r="AI520" s="946">
        <f t="shared" si="24"/>
        <v>0</v>
      </c>
      <c r="AJ520" s="521">
        <v>0</v>
      </c>
      <c r="AK520" s="520">
        <f t="shared" si="25"/>
        <v>0</v>
      </c>
      <c r="AL520" s="695" t="s">
        <v>1737</v>
      </c>
      <c r="AM520" s="669">
        <f t="shared" si="26"/>
        <v>22</v>
      </c>
    </row>
    <row r="521" spans="1:39" s="500" customFormat="1" ht="13.35" customHeight="1">
      <c r="A521" s="539" t="s">
        <v>1000</v>
      </c>
      <c r="B521" s="539" t="s">
        <v>1314</v>
      </c>
      <c r="C521" s="548" t="s">
        <v>38</v>
      </c>
      <c r="D521" s="519"/>
      <c r="E521" s="520"/>
      <c r="F521" s="726"/>
      <c r="G521" s="520"/>
      <c r="H521" s="520"/>
      <c r="I521" s="521"/>
      <c r="J521" s="521"/>
      <c r="K521" s="772"/>
      <c r="L521" s="514"/>
      <c r="M521" s="756"/>
      <c r="N521" s="514"/>
      <c r="O521" s="514"/>
      <c r="P521" s="514"/>
      <c r="Q521" s="514"/>
      <c r="R521" s="514"/>
      <c r="S521" s="514"/>
      <c r="T521" s="756"/>
      <c r="U521" s="514"/>
      <c r="V521" s="514"/>
      <c r="W521" s="514"/>
      <c r="X521" s="514"/>
      <c r="Y521" s="514"/>
      <c r="Z521" s="514"/>
      <c r="AA521" s="756"/>
      <c r="AB521" s="764"/>
      <c r="AC521" s="514"/>
      <c r="AD521" s="514"/>
      <c r="AE521" s="698"/>
      <c r="AF521" s="514"/>
      <c r="AG521" s="514"/>
      <c r="AH521" s="789"/>
      <c r="AI521" s="946">
        <f t="shared" si="24"/>
        <v>0</v>
      </c>
      <c r="AJ521" s="521">
        <v>0</v>
      </c>
      <c r="AK521" s="520">
        <f t="shared" si="25"/>
        <v>0</v>
      </c>
      <c r="AL521" s="695" t="s">
        <v>1455</v>
      </c>
      <c r="AM521" s="669">
        <f t="shared" si="26"/>
        <v>1</v>
      </c>
    </row>
    <row r="522" spans="1:39" s="500" customFormat="1" ht="13.35" customHeight="1">
      <c r="A522" s="539" t="s">
        <v>1001</v>
      </c>
      <c r="B522" s="539" t="s">
        <v>1315</v>
      </c>
      <c r="C522" s="548" t="s">
        <v>1450</v>
      </c>
      <c r="D522" s="519"/>
      <c r="E522" s="520"/>
      <c r="F522" s="726"/>
      <c r="G522" s="520"/>
      <c r="H522" s="520"/>
      <c r="I522" s="521"/>
      <c r="J522" s="521"/>
      <c r="K522" s="772"/>
      <c r="L522" s="514"/>
      <c r="M522" s="756"/>
      <c r="N522" s="514"/>
      <c r="O522" s="514"/>
      <c r="P522" s="514"/>
      <c r="Q522" s="514"/>
      <c r="R522" s="514"/>
      <c r="S522" s="514"/>
      <c r="T522" s="756"/>
      <c r="U522" s="514"/>
      <c r="V522" s="514"/>
      <c r="W522" s="514"/>
      <c r="X522" s="514"/>
      <c r="Y522" s="514"/>
      <c r="Z522" s="514"/>
      <c r="AA522" s="756"/>
      <c r="AB522" s="764"/>
      <c r="AC522" s="514"/>
      <c r="AD522" s="514"/>
      <c r="AE522" s="698"/>
      <c r="AF522" s="514"/>
      <c r="AG522" s="514"/>
      <c r="AH522" s="789"/>
      <c r="AI522" s="946">
        <f t="shared" si="24"/>
        <v>0</v>
      </c>
      <c r="AJ522" s="521">
        <v>0</v>
      </c>
      <c r="AK522" s="520">
        <f t="shared" si="25"/>
        <v>0</v>
      </c>
      <c r="AL522" s="695"/>
      <c r="AM522" s="669">
        <f t="shared" si="26"/>
        <v>0</v>
      </c>
    </row>
    <row r="523" spans="1:39" s="500" customFormat="1" ht="13.35" customHeight="1">
      <c r="A523" s="440" t="s">
        <v>1002</v>
      </c>
      <c r="B523" s="543" t="s">
        <v>1316</v>
      </c>
      <c r="C523" s="616"/>
      <c r="D523" s="519"/>
      <c r="E523" s="520"/>
      <c r="F523" s="726"/>
      <c r="G523" s="520"/>
      <c r="H523" s="520"/>
      <c r="I523" s="521"/>
      <c r="J523" s="521"/>
      <c r="K523" s="772"/>
      <c r="L523" s="514"/>
      <c r="M523" s="756"/>
      <c r="N523" s="514"/>
      <c r="O523" s="514"/>
      <c r="P523" s="514"/>
      <c r="Q523" s="514"/>
      <c r="R523" s="514"/>
      <c r="S523" s="514"/>
      <c r="T523" s="756"/>
      <c r="U523" s="514"/>
      <c r="V523" s="514"/>
      <c r="W523" s="514"/>
      <c r="X523" s="514"/>
      <c r="Y523" s="514"/>
      <c r="Z523" s="514"/>
      <c r="AA523" s="756"/>
      <c r="AB523" s="764"/>
      <c r="AC523" s="514"/>
      <c r="AD523" s="514"/>
      <c r="AE523" s="698"/>
      <c r="AF523" s="514"/>
      <c r="AG523" s="514"/>
      <c r="AH523" s="789"/>
      <c r="AI523" s="946">
        <f t="shared" si="24"/>
        <v>0</v>
      </c>
      <c r="AJ523" s="521">
        <v>0</v>
      </c>
      <c r="AK523" s="520">
        <f t="shared" si="25"/>
        <v>0</v>
      </c>
      <c r="AL523" s="695"/>
      <c r="AM523" s="669">
        <f t="shared" si="26"/>
        <v>0</v>
      </c>
    </row>
    <row r="524" spans="1:39" s="500" customFormat="1" ht="13.35" customHeight="1">
      <c r="A524" s="542" t="s">
        <v>1003</v>
      </c>
      <c r="B524" s="542" t="s">
        <v>1249</v>
      </c>
      <c r="C524" s="616"/>
      <c r="D524" s="519"/>
      <c r="E524" s="520"/>
      <c r="F524" s="726"/>
      <c r="G524" s="520"/>
      <c r="H524" s="520"/>
      <c r="I524" s="521"/>
      <c r="J524" s="521"/>
      <c r="K524" s="772"/>
      <c r="L524" s="514"/>
      <c r="M524" s="756"/>
      <c r="N524" s="514"/>
      <c r="O524" s="514"/>
      <c r="P524" s="514"/>
      <c r="Q524" s="514"/>
      <c r="R524" s="514"/>
      <c r="S524" s="514"/>
      <c r="T524" s="756"/>
      <c r="U524" s="514"/>
      <c r="V524" s="514"/>
      <c r="W524" s="514"/>
      <c r="X524" s="514"/>
      <c r="Y524" s="514"/>
      <c r="Z524" s="514"/>
      <c r="AA524" s="756"/>
      <c r="AB524" s="764"/>
      <c r="AC524" s="514"/>
      <c r="AD524" s="514"/>
      <c r="AE524" s="698"/>
      <c r="AF524" s="514"/>
      <c r="AG524" s="514"/>
      <c r="AH524" s="789"/>
      <c r="AI524" s="946">
        <f t="shared" ref="AI524:AI587" si="27">ROUND((SUM(D524:AH524)),2)</f>
        <v>0</v>
      </c>
      <c r="AJ524" s="521">
        <v>0</v>
      </c>
      <c r="AK524" s="520">
        <f t="shared" si="25"/>
        <v>0</v>
      </c>
      <c r="AL524" s="695" t="s">
        <v>1738</v>
      </c>
      <c r="AM524" s="669">
        <f t="shared" si="26"/>
        <v>28.21</v>
      </c>
    </row>
    <row r="525" spans="1:39" s="500" customFormat="1" ht="13.35" customHeight="1">
      <c r="A525" s="539" t="s">
        <v>1004</v>
      </c>
      <c r="B525" s="539" t="s">
        <v>1317</v>
      </c>
      <c r="C525" s="548" t="s">
        <v>37</v>
      </c>
      <c r="D525" s="519"/>
      <c r="E525" s="520"/>
      <c r="F525" s="726"/>
      <c r="G525" s="520"/>
      <c r="H525" s="520"/>
      <c r="I525" s="521"/>
      <c r="J525" s="521"/>
      <c r="K525" s="772"/>
      <c r="L525" s="514"/>
      <c r="M525" s="756"/>
      <c r="N525" s="514"/>
      <c r="O525" s="514"/>
      <c r="P525" s="514"/>
      <c r="Q525" s="514"/>
      <c r="R525" s="514"/>
      <c r="S525" s="514"/>
      <c r="T525" s="756"/>
      <c r="U525" s="514"/>
      <c r="V525" s="514"/>
      <c r="W525" s="514"/>
      <c r="X525" s="514"/>
      <c r="Y525" s="514"/>
      <c r="Z525" s="514"/>
      <c r="AA525" s="756"/>
      <c r="AB525" s="764"/>
      <c r="AC525" s="514"/>
      <c r="AD525" s="514"/>
      <c r="AE525" s="698"/>
      <c r="AF525" s="514"/>
      <c r="AG525" s="514"/>
      <c r="AH525" s="789"/>
      <c r="AI525" s="946">
        <f t="shared" si="27"/>
        <v>0</v>
      </c>
      <c r="AJ525" s="521">
        <v>0</v>
      </c>
      <c r="AK525" s="520">
        <f t="shared" si="25"/>
        <v>0</v>
      </c>
      <c r="AL525" s="695"/>
      <c r="AM525" s="669">
        <f t="shared" si="26"/>
        <v>0</v>
      </c>
    </row>
    <row r="526" spans="1:39" s="500" customFormat="1" ht="13.35" customHeight="1">
      <c r="A526" s="542" t="s">
        <v>1005</v>
      </c>
      <c r="B526" s="542" t="s">
        <v>1318</v>
      </c>
      <c r="C526" s="616"/>
      <c r="D526" s="519"/>
      <c r="E526" s="520"/>
      <c r="F526" s="726"/>
      <c r="G526" s="520"/>
      <c r="H526" s="520"/>
      <c r="I526" s="521"/>
      <c r="J526" s="521"/>
      <c r="K526" s="772"/>
      <c r="L526" s="514"/>
      <c r="M526" s="756"/>
      <c r="N526" s="514"/>
      <c r="O526" s="514"/>
      <c r="P526" s="514"/>
      <c r="Q526" s="514"/>
      <c r="R526" s="514"/>
      <c r="S526" s="514"/>
      <c r="T526" s="756"/>
      <c r="U526" s="514"/>
      <c r="V526" s="514"/>
      <c r="W526" s="514"/>
      <c r="X526" s="514"/>
      <c r="Y526" s="514"/>
      <c r="Z526" s="514"/>
      <c r="AA526" s="756"/>
      <c r="AB526" s="764"/>
      <c r="AC526" s="514"/>
      <c r="AD526" s="514"/>
      <c r="AE526" s="698"/>
      <c r="AF526" s="514"/>
      <c r="AG526" s="514"/>
      <c r="AH526" s="789"/>
      <c r="AI526" s="946">
        <f t="shared" si="27"/>
        <v>0</v>
      </c>
      <c r="AJ526" s="521">
        <v>0</v>
      </c>
      <c r="AK526" s="520">
        <f t="shared" si="25"/>
        <v>0</v>
      </c>
      <c r="AL526" s="695" t="s">
        <v>1739</v>
      </c>
      <c r="AM526" s="669">
        <f t="shared" si="26"/>
        <v>5.9</v>
      </c>
    </row>
    <row r="527" spans="1:39" s="500" customFormat="1" ht="13.35" customHeight="1">
      <c r="A527" s="539" t="s">
        <v>1006</v>
      </c>
      <c r="B527" s="539" t="s">
        <v>1319</v>
      </c>
      <c r="C527" s="548" t="s">
        <v>40</v>
      </c>
      <c r="D527" s="519"/>
      <c r="E527" s="520"/>
      <c r="F527" s="726"/>
      <c r="G527" s="520"/>
      <c r="H527" s="520"/>
      <c r="I527" s="521"/>
      <c r="J527" s="521"/>
      <c r="K527" s="772"/>
      <c r="L527" s="514"/>
      <c r="M527" s="756"/>
      <c r="N527" s="514"/>
      <c r="O527" s="514"/>
      <c r="P527" s="514"/>
      <c r="Q527" s="514"/>
      <c r="R527" s="514"/>
      <c r="S527" s="514"/>
      <c r="T527" s="756"/>
      <c r="U527" s="514"/>
      <c r="V527" s="514"/>
      <c r="W527" s="514"/>
      <c r="X527" s="514"/>
      <c r="Y527" s="514"/>
      <c r="Z527" s="514"/>
      <c r="AA527" s="756"/>
      <c r="AB527" s="764"/>
      <c r="AC527" s="514"/>
      <c r="AD527" s="514"/>
      <c r="AE527" s="698"/>
      <c r="AF527" s="514"/>
      <c r="AG527" s="514"/>
      <c r="AH527" s="789"/>
      <c r="AI527" s="946">
        <f t="shared" si="27"/>
        <v>0</v>
      </c>
      <c r="AJ527" s="521">
        <v>0</v>
      </c>
      <c r="AK527" s="520">
        <f t="shared" si="25"/>
        <v>0</v>
      </c>
      <c r="AL527" s="695" t="s">
        <v>1678</v>
      </c>
      <c r="AM527" s="669">
        <f t="shared" si="26"/>
        <v>18.920000000000002</v>
      </c>
    </row>
    <row r="528" spans="1:39" s="500" customFormat="1" ht="13.35" customHeight="1">
      <c r="A528" s="539" t="s">
        <v>1007</v>
      </c>
      <c r="B528" s="539" t="s">
        <v>1196</v>
      </c>
      <c r="C528" s="548" t="s">
        <v>37</v>
      </c>
      <c r="D528" s="519"/>
      <c r="E528" s="520"/>
      <c r="F528" s="726"/>
      <c r="G528" s="520"/>
      <c r="H528" s="520"/>
      <c r="I528" s="521"/>
      <c r="J528" s="521"/>
      <c r="K528" s="772"/>
      <c r="L528" s="514"/>
      <c r="M528" s="756"/>
      <c r="N528" s="514"/>
      <c r="O528" s="514"/>
      <c r="P528" s="514"/>
      <c r="Q528" s="514"/>
      <c r="R528" s="514"/>
      <c r="S528" s="514"/>
      <c r="T528" s="756"/>
      <c r="U528" s="514"/>
      <c r="V528" s="514"/>
      <c r="W528" s="514"/>
      <c r="X528" s="514"/>
      <c r="Y528" s="514"/>
      <c r="Z528" s="514"/>
      <c r="AA528" s="756"/>
      <c r="AB528" s="764"/>
      <c r="AC528" s="514"/>
      <c r="AD528" s="514"/>
      <c r="AE528" s="698"/>
      <c r="AF528" s="514"/>
      <c r="AG528" s="514"/>
      <c r="AH528" s="789"/>
      <c r="AI528" s="946">
        <f t="shared" si="27"/>
        <v>0</v>
      </c>
      <c r="AJ528" s="521">
        <v>0</v>
      </c>
      <c r="AK528" s="520">
        <f t="shared" si="25"/>
        <v>0</v>
      </c>
      <c r="AL528" s="695"/>
      <c r="AM528" s="669">
        <f t="shared" si="26"/>
        <v>0</v>
      </c>
    </row>
    <row r="529" spans="1:39" s="500" customFormat="1" ht="13.35" customHeight="1">
      <c r="A529" s="542" t="s">
        <v>1008</v>
      </c>
      <c r="B529" s="542" t="s">
        <v>1291</v>
      </c>
      <c r="C529" s="616"/>
      <c r="D529" s="519"/>
      <c r="E529" s="520"/>
      <c r="F529" s="726"/>
      <c r="G529" s="520"/>
      <c r="H529" s="520"/>
      <c r="I529" s="521"/>
      <c r="J529" s="521"/>
      <c r="K529" s="772"/>
      <c r="L529" s="514"/>
      <c r="M529" s="756"/>
      <c r="N529" s="514"/>
      <c r="O529" s="514"/>
      <c r="P529" s="514"/>
      <c r="Q529" s="514"/>
      <c r="R529" s="514"/>
      <c r="S529" s="514"/>
      <c r="T529" s="756"/>
      <c r="U529" s="514"/>
      <c r="V529" s="514"/>
      <c r="W529" s="514"/>
      <c r="X529" s="514"/>
      <c r="Y529" s="514"/>
      <c r="Z529" s="514"/>
      <c r="AA529" s="756"/>
      <c r="AB529" s="764"/>
      <c r="AC529" s="514"/>
      <c r="AD529" s="514"/>
      <c r="AE529" s="698"/>
      <c r="AF529" s="514"/>
      <c r="AG529" s="514"/>
      <c r="AH529" s="789"/>
      <c r="AI529" s="946">
        <f t="shared" si="27"/>
        <v>0</v>
      </c>
      <c r="AJ529" s="521">
        <v>0</v>
      </c>
      <c r="AK529" s="520">
        <f t="shared" si="25"/>
        <v>0</v>
      </c>
      <c r="AL529" s="695" t="s">
        <v>1628</v>
      </c>
      <c r="AM529" s="669">
        <f t="shared" si="26"/>
        <v>90.62</v>
      </c>
    </row>
    <row r="530" spans="1:39" s="500" customFormat="1" ht="13.35" customHeight="1">
      <c r="A530" s="539" t="s">
        <v>1009</v>
      </c>
      <c r="B530" s="539" t="s">
        <v>1320</v>
      </c>
      <c r="C530" s="548" t="s">
        <v>38</v>
      </c>
      <c r="D530" s="519"/>
      <c r="E530" s="520"/>
      <c r="F530" s="726"/>
      <c r="G530" s="520"/>
      <c r="H530" s="520"/>
      <c r="I530" s="521"/>
      <c r="J530" s="521"/>
      <c r="K530" s="772"/>
      <c r="L530" s="514"/>
      <c r="M530" s="756"/>
      <c r="N530" s="514"/>
      <c r="O530" s="514"/>
      <c r="P530" s="514"/>
      <c r="Q530" s="514"/>
      <c r="R530" s="514"/>
      <c r="S530" s="514"/>
      <c r="T530" s="756"/>
      <c r="U530" s="514"/>
      <c r="V530" s="514"/>
      <c r="W530" s="514"/>
      <c r="X530" s="514"/>
      <c r="Y530" s="514"/>
      <c r="Z530" s="514"/>
      <c r="AA530" s="756"/>
      <c r="AB530" s="764"/>
      <c r="AC530" s="514"/>
      <c r="AD530" s="514"/>
      <c r="AE530" s="698"/>
      <c r="AF530" s="514"/>
      <c r="AG530" s="514"/>
      <c r="AH530" s="789"/>
      <c r="AI530" s="946">
        <f t="shared" si="27"/>
        <v>0</v>
      </c>
      <c r="AJ530" s="521">
        <v>0</v>
      </c>
      <c r="AK530" s="520">
        <f t="shared" si="25"/>
        <v>0</v>
      </c>
      <c r="AL530" s="695"/>
      <c r="AM530" s="669">
        <f t="shared" si="26"/>
        <v>0</v>
      </c>
    </row>
    <row r="531" spans="1:39" s="500" customFormat="1" ht="13.35" customHeight="1">
      <c r="A531" s="542" t="s">
        <v>1010</v>
      </c>
      <c r="B531" s="542" t="s">
        <v>1321</v>
      </c>
      <c r="C531" s="616"/>
      <c r="D531" s="519"/>
      <c r="E531" s="520"/>
      <c r="F531" s="726"/>
      <c r="G531" s="520"/>
      <c r="H531" s="520"/>
      <c r="I531" s="521"/>
      <c r="J531" s="521"/>
      <c r="K531" s="772"/>
      <c r="L531" s="514"/>
      <c r="M531" s="756"/>
      <c r="N531" s="514"/>
      <c r="O531" s="514"/>
      <c r="P531" s="514"/>
      <c r="Q531" s="514"/>
      <c r="R531" s="514"/>
      <c r="S531" s="514"/>
      <c r="T531" s="756"/>
      <c r="U531" s="514"/>
      <c r="V531" s="514"/>
      <c r="W531" s="514"/>
      <c r="X531" s="514"/>
      <c r="Y531" s="514"/>
      <c r="Z531" s="514"/>
      <c r="AA531" s="756"/>
      <c r="AB531" s="764"/>
      <c r="AC531" s="514"/>
      <c r="AD531" s="514"/>
      <c r="AE531" s="698"/>
      <c r="AF531" s="514"/>
      <c r="AG531" s="514"/>
      <c r="AH531" s="789"/>
      <c r="AI531" s="946">
        <f t="shared" si="27"/>
        <v>0</v>
      </c>
      <c r="AJ531" s="521">
        <v>0</v>
      </c>
      <c r="AK531" s="520">
        <f t="shared" si="25"/>
        <v>0</v>
      </c>
      <c r="AL531" s="695" t="s">
        <v>1740</v>
      </c>
      <c r="AM531" s="669">
        <f t="shared" si="26"/>
        <v>36.799999999999997</v>
      </c>
    </row>
    <row r="532" spans="1:39" s="500" customFormat="1" ht="13.35" customHeight="1">
      <c r="A532" s="539" t="s">
        <v>1011</v>
      </c>
      <c r="B532" s="539" t="s">
        <v>1314</v>
      </c>
      <c r="C532" s="548" t="s">
        <v>38</v>
      </c>
      <c r="D532" s="519"/>
      <c r="E532" s="520"/>
      <c r="F532" s="726"/>
      <c r="G532" s="520"/>
      <c r="H532" s="520"/>
      <c r="I532" s="521"/>
      <c r="J532" s="521"/>
      <c r="K532" s="772"/>
      <c r="L532" s="514"/>
      <c r="M532" s="756"/>
      <c r="N532" s="514"/>
      <c r="O532" s="514"/>
      <c r="P532" s="514"/>
      <c r="Q532" s="514"/>
      <c r="R532" s="514"/>
      <c r="S532" s="514"/>
      <c r="T532" s="756"/>
      <c r="U532" s="514"/>
      <c r="V532" s="514"/>
      <c r="W532" s="514"/>
      <c r="X532" s="514"/>
      <c r="Y532" s="514"/>
      <c r="Z532" s="514"/>
      <c r="AA532" s="756"/>
      <c r="AB532" s="764"/>
      <c r="AC532" s="514"/>
      <c r="AD532" s="514"/>
      <c r="AE532" s="698"/>
      <c r="AF532" s="514"/>
      <c r="AG532" s="514"/>
      <c r="AH532" s="789"/>
      <c r="AI532" s="946">
        <f t="shared" si="27"/>
        <v>0</v>
      </c>
      <c r="AJ532" s="521">
        <v>0</v>
      </c>
      <c r="AK532" s="520">
        <f t="shared" ref="AK532:AK595" si="28">AI532+AJ532</f>
        <v>0</v>
      </c>
      <c r="AL532" s="695"/>
      <c r="AM532" s="669">
        <f t="shared" ref="AM532:AM595" si="29">AL532-AK532</f>
        <v>0</v>
      </c>
    </row>
    <row r="533" spans="1:39" s="500" customFormat="1" ht="13.35" customHeight="1">
      <c r="A533" s="440" t="s">
        <v>1012</v>
      </c>
      <c r="B533" s="543" t="s">
        <v>1322</v>
      </c>
      <c r="C533" s="616"/>
      <c r="D533" s="519"/>
      <c r="E533" s="520"/>
      <c r="F533" s="726"/>
      <c r="G533" s="520"/>
      <c r="H533" s="520"/>
      <c r="I533" s="521"/>
      <c r="J533" s="521"/>
      <c r="K533" s="772"/>
      <c r="L533" s="514"/>
      <c r="M533" s="756"/>
      <c r="N533" s="514"/>
      <c r="O533" s="514"/>
      <c r="P533" s="514"/>
      <c r="Q533" s="514"/>
      <c r="R533" s="514"/>
      <c r="S533" s="514"/>
      <c r="T533" s="756"/>
      <c r="U533" s="514"/>
      <c r="V533" s="514"/>
      <c r="W533" s="514"/>
      <c r="X533" s="514"/>
      <c r="Y533" s="514"/>
      <c r="Z533" s="514"/>
      <c r="AA533" s="756"/>
      <c r="AB533" s="764"/>
      <c r="AC533" s="514"/>
      <c r="AD533" s="514"/>
      <c r="AE533" s="698"/>
      <c r="AF533" s="514"/>
      <c r="AG533" s="514"/>
      <c r="AH533" s="789"/>
      <c r="AI533" s="946">
        <f t="shared" si="27"/>
        <v>0</v>
      </c>
      <c r="AJ533" s="521">
        <v>0</v>
      </c>
      <c r="AK533" s="520">
        <f t="shared" si="28"/>
        <v>0</v>
      </c>
      <c r="AL533" s="695"/>
      <c r="AM533" s="669">
        <f t="shared" si="29"/>
        <v>0</v>
      </c>
    </row>
    <row r="534" spans="1:39" s="500" customFormat="1" ht="13.35" customHeight="1">
      <c r="A534" s="542" t="s">
        <v>1013</v>
      </c>
      <c r="B534" s="542" t="s">
        <v>1323</v>
      </c>
      <c r="C534" s="616"/>
      <c r="D534" s="519"/>
      <c r="E534" s="520"/>
      <c r="F534" s="726"/>
      <c r="G534" s="520"/>
      <c r="H534" s="520"/>
      <c r="I534" s="521"/>
      <c r="J534" s="521"/>
      <c r="K534" s="772"/>
      <c r="L534" s="514"/>
      <c r="M534" s="756"/>
      <c r="N534" s="514"/>
      <c r="O534" s="514"/>
      <c r="P534" s="514"/>
      <c r="Q534" s="514"/>
      <c r="R534" s="514"/>
      <c r="S534" s="514"/>
      <c r="T534" s="756"/>
      <c r="U534" s="514"/>
      <c r="V534" s="514"/>
      <c r="W534" s="514"/>
      <c r="X534" s="514"/>
      <c r="Y534" s="514"/>
      <c r="Z534" s="514"/>
      <c r="AA534" s="756"/>
      <c r="AB534" s="764"/>
      <c r="AC534" s="514"/>
      <c r="AD534" s="514"/>
      <c r="AE534" s="698"/>
      <c r="AF534" s="514"/>
      <c r="AG534" s="514"/>
      <c r="AH534" s="789"/>
      <c r="AI534" s="946">
        <f t="shared" si="27"/>
        <v>0</v>
      </c>
      <c r="AJ534" s="521">
        <v>0</v>
      </c>
      <c r="AK534" s="520">
        <f t="shared" si="28"/>
        <v>0</v>
      </c>
      <c r="AL534" s="695" t="s">
        <v>1741</v>
      </c>
      <c r="AM534" s="669">
        <f t="shared" si="29"/>
        <v>42.32</v>
      </c>
    </row>
    <row r="535" spans="1:39" s="500" customFormat="1" ht="13.35" customHeight="1">
      <c r="A535" s="539" t="s">
        <v>1014</v>
      </c>
      <c r="B535" s="539" t="s">
        <v>1324</v>
      </c>
      <c r="C535" s="548" t="s">
        <v>37</v>
      </c>
      <c r="D535" s="519"/>
      <c r="E535" s="520"/>
      <c r="F535" s="726"/>
      <c r="G535" s="520"/>
      <c r="H535" s="520"/>
      <c r="I535" s="521"/>
      <c r="J535" s="521"/>
      <c r="K535" s="772"/>
      <c r="L535" s="514"/>
      <c r="M535" s="756"/>
      <c r="N535" s="514"/>
      <c r="O535" s="514"/>
      <c r="P535" s="514"/>
      <c r="Q535" s="514"/>
      <c r="R535" s="514"/>
      <c r="S535" s="514"/>
      <c r="T535" s="756"/>
      <c r="U535" s="514"/>
      <c r="V535" s="514"/>
      <c r="W535" s="514"/>
      <c r="X535" s="514"/>
      <c r="Y535" s="514"/>
      <c r="Z535" s="514"/>
      <c r="AA535" s="756"/>
      <c r="AB535" s="764"/>
      <c r="AC535" s="514"/>
      <c r="AD535" s="514"/>
      <c r="AE535" s="698"/>
      <c r="AF535" s="514"/>
      <c r="AG535" s="514"/>
      <c r="AH535" s="789"/>
      <c r="AI535" s="946">
        <f t="shared" si="27"/>
        <v>0</v>
      </c>
      <c r="AJ535" s="521">
        <v>0</v>
      </c>
      <c r="AK535" s="520">
        <f t="shared" si="28"/>
        <v>0</v>
      </c>
      <c r="AL535" s="695" t="s">
        <v>1741</v>
      </c>
      <c r="AM535" s="669">
        <f t="shared" si="29"/>
        <v>42.32</v>
      </c>
    </row>
    <row r="536" spans="1:39" s="500" customFormat="1" ht="13.35" customHeight="1">
      <c r="A536" s="539" t="s">
        <v>1015</v>
      </c>
      <c r="B536" s="539" t="s">
        <v>1325</v>
      </c>
      <c r="C536" s="548" t="s">
        <v>37</v>
      </c>
      <c r="D536" s="519"/>
      <c r="E536" s="520"/>
      <c r="F536" s="726"/>
      <c r="G536" s="520"/>
      <c r="H536" s="520"/>
      <c r="I536" s="521"/>
      <c r="J536" s="521"/>
      <c r="K536" s="772"/>
      <c r="L536" s="514"/>
      <c r="M536" s="756"/>
      <c r="N536" s="514"/>
      <c r="O536" s="514"/>
      <c r="P536" s="514"/>
      <c r="Q536" s="514"/>
      <c r="R536" s="514"/>
      <c r="S536" s="514"/>
      <c r="T536" s="756"/>
      <c r="U536" s="514"/>
      <c r="V536" s="514"/>
      <c r="W536" s="514"/>
      <c r="X536" s="514"/>
      <c r="Y536" s="514"/>
      <c r="Z536" s="514"/>
      <c r="AA536" s="756"/>
      <c r="AB536" s="764"/>
      <c r="AC536" s="514"/>
      <c r="AD536" s="514"/>
      <c r="AE536" s="698"/>
      <c r="AF536" s="514"/>
      <c r="AG536" s="514"/>
      <c r="AH536" s="789"/>
      <c r="AI536" s="946">
        <f t="shared" si="27"/>
        <v>0</v>
      </c>
      <c r="AJ536" s="521">
        <v>0</v>
      </c>
      <c r="AK536" s="520">
        <f t="shared" si="28"/>
        <v>0</v>
      </c>
      <c r="AL536" s="695" t="s">
        <v>1742</v>
      </c>
      <c r="AM536" s="669">
        <f t="shared" si="29"/>
        <v>10</v>
      </c>
    </row>
    <row r="537" spans="1:39" s="500" customFormat="1" ht="14.1" customHeight="1" thickBot="1">
      <c r="A537" s="539" t="s">
        <v>1016</v>
      </c>
      <c r="B537" s="539" t="s">
        <v>1326</v>
      </c>
      <c r="C537" s="548" t="s">
        <v>36</v>
      </c>
      <c r="D537" s="519"/>
      <c r="E537" s="520"/>
      <c r="F537" s="726"/>
      <c r="G537" s="520"/>
      <c r="H537" s="520"/>
      <c r="I537" s="521"/>
      <c r="J537" s="521"/>
      <c r="K537" s="772"/>
      <c r="L537" s="514"/>
      <c r="M537" s="756"/>
      <c r="N537" s="514"/>
      <c r="O537" s="514"/>
      <c r="P537" s="514"/>
      <c r="Q537" s="514"/>
      <c r="R537" s="514"/>
      <c r="S537" s="514"/>
      <c r="T537" s="756"/>
      <c r="U537" s="514"/>
      <c r="V537" s="514"/>
      <c r="W537" s="514"/>
      <c r="X537" s="514"/>
      <c r="Y537" s="514"/>
      <c r="Z537" s="514"/>
      <c r="AA537" s="756"/>
      <c r="AB537" s="764"/>
      <c r="AC537" s="514"/>
      <c r="AD537" s="514"/>
      <c r="AE537" s="698"/>
      <c r="AF537" s="514"/>
      <c r="AG537" s="514"/>
      <c r="AH537" s="789"/>
      <c r="AI537" s="946">
        <f t="shared" si="27"/>
        <v>0</v>
      </c>
      <c r="AJ537" s="521">
        <v>0</v>
      </c>
      <c r="AK537" s="520">
        <f t="shared" si="28"/>
        <v>0</v>
      </c>
      <c r="AL537" s="695"/>
      <c r="AM537" s="669">
        <f t="shared" si="29"/>
        <v>0</v>
      </c>
    </row>
    <row r="538" spans="1:39" s="843" customFormat="1" ht="13.35" customHeight="1">
      <c r="A538" s="949" t="s">
        <v>488</v>
      </c>
      <c r="B538" s="949" t="s">
        <v>1327</v>
      </c>
      <c r="C538" s="951"/>
      <c r="D538" s="519"/>
      <c r="E538" s="520"/>
      <c r="F538" s="726"/>
      <c r="G538" s="520"/>
      <c r="H538" s="520"/>
      <c r="I538" s="521"/>
      <c r="J538" s="521"/>
      <c r="K538" s="772"/>
      <c r="L538" s="514"/>
      <c r="M538" s="756"/>
      <c r="N538" s="514"/>
      <c r="O538" s="514"/>
      <c r="P538" s="514"/>
      <c r="Q538" s="514"/>
      <c r="R538" s="514"/>
      <c r="S538" s="514"/>
      <c r="T538" s="756"/>
      <c r="U538" s="514"/>
      <c r="V538" s="514"/>
      <c r="W538" s="514"/>
      <c r="X538" s="514"/>
      <c r="Y538" s="514"/>
      <c r="Z538" s="514"/>
      <c r="AA538" s="756"/>
      <c r="AB538" s="764"/>
      <c r="AC538" s="514"/>
      <c r="AD538" s="514"/>
      <c r="AE538" s="698"/>
      <c r="AF538" s="514"/>
      <c r="AG538" s="514"/>
      <c r="AH538" s="789"/>
      <c r="AI538" s="946">
        <f t="shared" si="27"/>
        <v>0</v>
      </c>
      <c r="AJ538" s="521">
        <v>0</v>
      </c>
      <c r="AK538" s="520">
        <f t="shared" si="28"/>
        <v>0</v>
      </c>
      <c r="AL538" s="848"/>
      <c r="AM538" s="842">
        <f t="shared" si="29"/>
        <v>0</v>
      </c>
    </row>
    <row r="539" spans="1:39" s="500" customFormat="1" ht="13.35" customHeight="1">
      <c r="A539" s="440" t="s">
        <v>489</v>
      </c>
      <c r="B539" s="543" t="s">
        <v>1328</v>
      </c>
      <c r="C539" s="616"/>
      <c r="D539" s="519"/>
      <c r="E539" s="520"/>
      <c r="F539" s="726"/>
      <c r="G539" s="520"/>
      <c r="H539" s="520"/>
      <c r="I539" s="521"/>
      <c r="J539" s="521"/>
      <c r="K539" s="772"/>
      <c r="L539" s="514"/>
      <c r="M539" s="756"/>
      <c r="N539" s="514"/>
      <c r="O539" s="514"/>
      <c r="P539" s="514"/>
      <c r="Q539" s="514"/>
      <c r="R539" s="514"/>
      <c r="S539" s="514"/>
      <c r="T539" s="756"/>
      <c r="U539" s="514"/>
      <c r="V539" s="514"/>
      <c r="W539" s="514"/>
      <c r="X539" s="514"/>
      <c r="Y539" s="514"/>
      <c r="Z539" s="514"/>
      <c r="AA539" s="756"/>
      <c r="AB539" s="764"/>
      <c r="AC539" s="514"/>
      <c r="AD539" s="514"/>
      <c r="AE539" s="698"/>
      <c r="AF539" s="514"/>
      <c r="AG539" s="514"/>
      <c r="AH539" s="789"/>
      <c r="AI539" s="946">
        <f t="shared" si="27"/>
        <v>0</v>
      </c>
      <c r="AJ539" s="521">
        <v>0</v>
      </c>
      <c r="AK539" s="520">
        <f t="shared" si="28"/>
        <v>0</v>
      </c>
      <c r="AL539" s="695" t="s">
        <v>1671</v>
      </c>
      <c r="AM539" s="669">
        <f t="shared" si="29"/>
        <v>4</v>
      </c>
    </row>
    <row r="540" spans="1:39" s="500" customFormat="1" ht="13.35" customHeight="1">
      <c r="A540" s="542" t="s">
        <v>490</v>
      </c>
      <c r="B540" s="542" t="s">
        <v>1329</v>
      </c>
      <c r="C540" s="548" t="s">
        <v>1450</v>
      </c>
      <c r="D540" s="519"/>
      <c r="E540" s="520"/>
      <c r="F540" s="726"/>
      <c r="G540" s="520"/>
      <c r="H540" s="520"/>
      <c r="I540" s="521"/>
      <c r="J540" s="521"/>
      <c r="K540" s="772"/>
      <c r="L540" s="514"/>
      <c r="M540" s="756"/>
      <c r="N540" s="514"/>
      <c r="O540" s="514"/>
      <c r="P540" s="514"/>
      <c r="Q540" s="514"/>
      <c r="R540" s="514"/>
      <c r="S540" s="514"/>
      <c r="T540" s="756"/>
      <c r="U540" s="514"/>
      <c r="V540" s="514"/>
      <c r="W540" s="514"/>
      <c r="X540" s="514"/>
      <c r="Y540" s="514"/>
      <c r="Z540" s="514"/>
      <c r="AA540" s="756"/>
      <c r="AB540" s="764"/>
      <c r="AC540" s="514"/>
      <c r="AD540" s="514"/>
      <c r="AE540" s="698"/>
      <c r="AF540" s="514"/>
      <c r="AG540" s="514"/>
      <c r="AH540" s="789"/>
      <c r="AI540" s="946">
        <f t="shared" si="27"/>
        <v>0</v>
      </c>
      <c r="AJ540" s="521">
        <v>0</v>
      </c>
      <c r="AK540" s="520">
        <f t="shared" si="28"/>
        <v>0</v>
      </c>
      <c r="AL540" s="695" t="s">
        <v>1698</v>
      </c>
      <c r="AM540" s="669">
        <f t="shared" si="29"/>
        <v>2</v>
      </c>
    </row>
    <row r="541" spans="1:39" s="500" customFormat="1" ht="13.35" customHeight="1">
      <c r="A541" s="542" t="s">
        <v>491</v>
      </c>
      <c r="B541" s="542" t="s">
        <v>1330</v>
      </c>
      <c r="C541" s="548" t="s">
        <v>1450</v>
      </c>
      <c r="D541" s="519"/>
      <c r="E541" s="520"/>
      <c r="F541" s="726"/>
      <c r="G541" s="520"/>
      <c r="H541" s="520"/>
      <c r="I541" s="521"/>
      <c r="J541" s="521"/>
      <c r="K541" s="772"/>
      <c r="L541" s="514"/>
      <c r="M541" s="756"/>
      <c r="N541" s="514"/>
      <c r="O541" s="514"/>
      <c r="P541" s="514"/>
      <c r="Q541" s="514"/>
      <c r="R541" s="514"/>
      <c r="S541" s="514"/>
      <c r="T541" s="756"/>
      <c r="U541" s="514"/>
      <c r="V541" s="514"/>
      <c r="W541" s="514"/>
      <c r="X541" s="514"/>
      <c r="Y541" s="514"/>
      <c r="Z541" s="514"/>
      <c r="AA541" s="756"/>
      <c r="AB541" s="764"/>
      <c r="AC541" s="514"/>
      <c r="AD541" s="514"/>
      <c r="AE541" s="698"/>
      <c r="AF541" s="514"/>
      <c r="AG541" s="514"/>
      <c r="AH541" s="789"/>
      <c r="AI541" s="946">
        <f t="shared" si="27"/>
        <v>0</v>
      </c>
      <c r="AJ541" s="521">
        <v>0</v>
      </c>
      <c r="AK541" s="520">
        <f t="shared" si="28"/>
        <v>0</v>
      </c>
      <c r="AL541" s="695" t="s">
        <v>1671</v>
      </c>
      <c r="AM541" s="669">
        <f t="shared" si="29"/>
        <v>4</v>
      </c>
    </row>
    <row r="542" spans="1:39" s="500" customFormat="1" ht="13.35" customHeight="1">
      <c r="A542" s="542" t="s">
        <v>492</v>
      </c>
      <c r="B542" s="542" t="s">
        <v>1331</v>
      </c>
      <c r="C542" s="548" t="s">
        <v>1450</v>
      </c>
      <c r="D542" s="519"/>
      <c r="E542" s="520"/>
      <c r="F542" s="726"/>
      <c r="G542" s="520"/>
      <c r="H542" s="520"/>
      <c r="I542" s="521"/>
      <c r="J542" s="521"/>
      <c r="K542" s="772"/>
      <c r="L542" s="514"/>
      <c r="M542" s="756"/>
      <c r="N542" s="514"/>
      <c r="O542" s="514"/>
      <c r="P542" s="514"/>
      <c r="Q542" s="514"/>
      <c r="R542" s="514"/>
      <c r="S542" s="514"/>
      <c r="T542" s="756"/>
      <c r="U542" s="514"/>
      <c r="V542" s="514"/>
      <c r="W542" s="514"/>
      <c r="X542" s="514"/>
      <c r="Y542" s="514"/>
      <c r="Z542" s="514"/>
      <c r="AA542" s="756"/>
      <c r="AB542" s="764"/>
      <c r="AC542" s="514"/>
      <c r="AD542" s="514"/>
      <c r="AE542" s="698"/>
      <c r="AF542" s="514"/>
      <c r="AG542" s="514"/>
      <c r="AH542" s="789"/>
      <c r="AI542" s="946">
        <f t="shared" si="27"/>
        <v>0</v>
      </c>
      <c r="AJ542" s="521">
        <v>0</v>
      </c>
      <c r="AK542" s="520">
        <f t="shared" si="28"/>
        <v>0</v>
      </c>
      <c r="AL542" s="695" t="s">
        <v>1698</v>
      </c>
      <c r="AM542" s="669">
        <f t="shared" si="29"/>
        <v>2</v>
      </c>
    </row>
    <row r="543" spans="1:39" s="500" customFormat="1" ht="13.35" customHeight="1">
      <c r="A543" s="542" t="s">
        <v>1017</v>
      </c>
      <c r="B543" s="542" t="s">
        <v>1332</v>
      </c>
      <c r="C543" s="548" t="s">
        <v>1450</v>
      </c>
      <c r="D543" s="519"/>
      <c r="E543" s="520"/>
      <c r="F543" s="726"/>
      <c r="G543" s="520"/>
      <c r="H543" s="520"/>
      <c r="I543" s="521"/>
      <c r="J543" s="521"/>
      <c r="K543" s="772"/>
      <c r="L543" s="514"/>
      <c r="M543" s="756"/>
      <c r="N543" s="514"/>
      <c r="O543" s="514"/>
      <c r="P543" s="514"/>
      <c r="Q543" s="514"/>
      <c r="R543" s="514"/>
      <c r="S543" s="514"/>
      <c r="T543" s="756"/>
      <c r="U543" s="514"/>
      <c r="V543" s="514"/>
      <c r="W543" s="514"/>
      <c r="X543" s="514"/>
      <c r="Y543" s="514"/>
      <c r="Z543" s="514"/>
      <c r="AA543" s="756"/>
      <c r="AB543" s="764"/>
      <c r="AC543" s="514"/>
      <c r="AD543" s="514"/>
      <c r="AE543" s="698"/>
      <c r="AF543" s="514"/>
      <c r="AG543" s="514"/>
      <c r="AH543" s="789"/>
      <c r="AI543" s="946">
        <f t="shared" si="27"/>
        <v>0</v>
      </c>
      <c r="AJ543" s="521">
        <v>0</v>
      </c>
      <c r="AK543" s="520">
        <f t="shared" si="28"/>
        <v>0</v>
      </c>
      <c r="AL543" s="695" t="s">
        <v>1455</v>
      </c>
      <c r="AM543" s="669">
        <f t="shared" si="29"/>
        <v>1</v>
      </c>
    </row>
    <row r="544" spans="1:39" s="500" customFormat="1" ht="13.35" customHeight="1">
      <c r="A544" s="542" t="s">
        <v>1018</v>
      </c>
      <c r="B544" s="542" t="s">
        <v>1333</v>
      </c>
      <c r="C544" s="548" t="s">
        <v>1450</v>
      </c>
      <c r="D544" s="519"/>
      <c r="E544" s="520"/>
      <c r="F544" s="726"/>
      <c r="G544" s="520"/>
      <c r="H544" s="520"/>
      <c r="I544" s="521"/>
      <c r="J544" s="521"/>
      <c r="K544" s="772"/>
      <c r="L544" s="514"/>
      <c r="M544" s="756"/>
      <c r="N544" s="514"/>
      <c r="O544" s="514"/>
      <c r="P544" s="514"/>
      <c r="Q544" s="514"/>
      <c r="R544" s="514"/>
      <c r="S544" s="514"/>
      <c r="T544" s="756"/>
      <c r="U544" s="514"/>
      <c r="V544" s="514"/>
      <c r="W544" s="514"/>
      <c r="X544" s="514"/>
      <c r="Y544" s="514"/>
      <c r="Z544" s="514"/>
      <c r="AA544" s="756"/>
      <c r="AB544" s="764"/>
      <c r="AC544" s="514"/>
      <c r="AD544" s="514"/>
      <c r="AE544" s="698"/>
      <c r="AF544" s="514"/>
      <c r="AG544" s="514"/>
      <c r="AH544" s="789"/>
      <c r="AI544" s="946">
        <f t="shared" si="27"/>
        <v>0</v>
      </c>
      <c r="AJ544" s="521">
        <v>0</v>
      </c>
      <c r="AK544" s="520">
        <f t="shared" si="28"/>
        <v>0</v>
      </c>
      <c r="AL544" s="695" t="s">
        <v>1617</v>
      </c>
      <c r="AM544" s="669">
        <f t="shared" si="29"/>
        <v>6</v>
      </c>
    </row>
    <row r="545" spans="1:39" s="500" customFormat="1" ht="13.35" customHeight="1">
      <c r="A545" s="542" t="s">
        <v>1019</v>
      </c>
      <c r="B545" s="542" t="s">
        <v>1334</v>
      </c>
      <c r="C545" s="548" t="s">
        <v>1450</v>
      </c>
      <c r="D545" s="519"/>
      <c r="E545" s="520"/>
      <c r="F545" s="726"/>
      <c r="G545" s="520"/>
      <c r="H545" s="520"/>
      <c r="I545" s="521"/>
      <c r="J545" s="521"/>
      <c r="K545" s="772"/>
      <c r="L545" s="514"/>
      <c r="M545" s="756"/>
      <c r="N545" s="514"/>
      <c r="O545" s="514"/>
      <c r="P545" s="514"/>
      <c r="Q545" s="514"/>
      <c r="R545" s="514"/>
      <c r="S545" s="514"/>
      <c r="T545" s="756"/>
      <c r="U545" s="514"/>
      <c r="V545" s="514"/>
      <c r="W545" s="514"/>
      <c r="X545" s="514"/>
      <c r="Y545" s="514"/>
      <c r="Z545" s="514"/>
      <c r="AA545" s="756"/>
      <c r="AB545" s="764"/>
      <c r="AC545" s="514"/>
      <c r="AD545" s="514"/>
      <c r="AE545" s="698"/>
      <c r="AF545" s="514"/>
      <c r="AG545" s="514"/>
      <c r="AH545" s="789"/>
      <c r="AI545" s="946">
        <f t="shared" si="27"/>
        <v>0</v>
      </c>
      <c r="AJ545" s="521">
        <v>0</v>
      </c>
      <c r="AK545" s="520">
        <f t="shared" si="28"/>
        <v>0</v>
      </c>
      <c r="AL545" s="695" t="s">
        <v>1671</v>
      </c>
      <c r="AM545" s="669">
        <f t="shared" si="29"/>
        <v>4</v>
      </c>
    </row>
    <row r="546" spans="1:39" s="500" customFormat="1" ht="13.35" customHeight="1">
      <c r="A546" s="542" t="s">
        <v>1020</v>
      </c>
      <c r="B546" s="542" t="s">
        <v>1335</v>
      </c>
      <c r="C546" s="548" t="s">
        <v>1450</v>
      </c>
      <c r="D546" s="519"/>
      <c r="E546" s="520"/>
      <c r="F546" s="726"/>
      <c r="G546" s="520"/>
      <c r="H546" s="520"/>
      <c r="I546" s="521"/>
      <c r="J546" s="521"/>
      <c r="K546" s="772"/>
      <c r="L546" s="514"/>
      <c r="M546" s="756"/>
      <c r="N546" s="514"/>
      <c r="O546" s="514"/>
      <c r="P546" s="514"/>
      <c r="Q546" s="514"/>
      <c r="R546" s="514"/>
      <c r="S546" s="514"/>
      <c r="T546" s="756"/>
      <c r="U546" s="514"/>
      <c r="V546" s="514"/>
      <c r="W546" s="514"/>
      <c r="X546" s="514"/>
      <c r="Y546" s="514"/>
      <c r="Z546" s="514"/>
      <c r="AA546" s="756"/>
      <c r="AB546" s="764"/>
      <c r="AC546" s="514"/>
      <c r="AD546" s="514"/>
      <c r="AE546" s="698"/>
      <c r="AF546" s="514"/>
      <c r="AG546" s="514"/>
      <c r="AH546" s="789"/>
      <c r="AI546" s="946">
        <f t="shared" si="27"/>
        <v>0</v>
      </c>
      <c r="AJ546" s="521">
        <v>0</v>
      </c>
      <c r="AK546" s="520">
        <f t="shared" si="28"/>
        <v>0</v>
      </c>
      <c r="AL546" s="695" t="s">
        <v>1455</v>
      </c>
      <c r="AM546" s="669">
        <f t="shared" si="29"/>
        <v>1</v>
      </c>
    </row>
    <row r="547" spans="1:39" s="500" customFormat="1" ht="13.35" customHeight="1">
      <c r="A547" s="542" t="s">
        <v>1021</v>
      </c>
      <c r="B547" s="542" t="s">
        <v>1336</v>
      </c>
      <c r="C547" s="548" t="s">
        <v>1451</v>
      </c>
      <c r="D547" s="519"/>
      <c r="E547" s="520"/>
      <c r="F547" s="726"/>
      <c r="G547" s="520"/>
      <c r="H547" s="520"/>
      <c r="I547" s="521"/>
      <c r="J547" s="521"/>
      <c r="K547" s="772"/>
      <c r="L547" s="514"/>
      <c r="M547" s="756"/>
      <c r="N547" s="514"/>
      <c r="O547" s="514"/>
      <c r="P547" s="514"/>
      <c r="Q547" s="514"/>
      <c r="R547" s="514"/>
      <c r="S547" s="514"/>
      <c r="T547" s="756"/>
      <c r="U547" s="514"/>
      <c r="V547" s="514"/>
      <c r="W547" s="514"/>
      <c r="X547" s="514"/>
      <c r="Y547" s="514"/>
      <c r="Z547" s="514"/>
      <c r="AA547" s="756"/>
      <c r="AB547" s="764"/>
      <c r="AC547" s="514"/>
      <c r="AD547" s="514"/>
      <c r="AE547" s="698"/>
      <c r="AF547" s="514"/>
      <c r="AG547" s="514"/>
      <c r="AH547" s="789"/>
      <c r="AI547" s="946">
        <f t="shared" si="27"/>
        <v>0</v>
      </c>
      <c r="AJ547" s="521">
        <v>0</v>
      </c>
      <c r="AK547" s="520">
        <f t="shared" si="28"/>
        <v>0</v>
      </c>
      <c r="AL547" s="695" t="s">
        <v>1455</v>
      </c>
      <c r="AM547" s="669">
        <f t="shared" si="29"/>
        <v>1</v>
      </c>
    </row>
    <row r="548" spans="1:39" s="500" customFormat="1" ht="13.35" customHeight="1">
      <c r="A548" s="542" t="s">
        <v>1022</v>
      </c>
      <c r="B548" s="542" t="s">
        <v>1337</v>
      </c>
      <c r="C548" s="548" t="s">
        <v>41</v>
      </c>
      <c r="D548" s="519"/>
      <c r="E548" s="520"/>
      <c r="F548" s="726"/>
      <c r="G548" s="520"/>
      <c r="H548" s="520"/>
      <c r="I548" s="521"/>
      <c r="J548" s="521"/>
      <c r="K548" s="772"/>
      <c r="L548" s="514"/>
      <c r="M548" s="756"/>
      <c r="N548" s="514"/>
      <c r="O548" s="514"/>
      <c r="P548" s="514"/>
      <c r="Q548" s="514"/>
      <c r="R548" s="514"/>
      <c r="S548" s="514"/>
      <c r="T548" s="756"/>
      <c r="U548" s="514"/>
      <c r="V548" s="514"/>
      <c r="W548" s="514"/>
      <c r="X548" s="514"/>
      <c r="Y548" s="514"/>
      <c r="Z548" s="514"/>
      <c r="AA548" s="756"/>
      <c r="AB548" s="764"/>
      <c r="AC548" s="514"/>
      <c r="AD548" s="514"/>
      <c r="AE548" s="698"/>
      <c r="AF548" s="514"/>
      <c r="AG548" s="514"/>
      <c r="AH548" s="789"/>
      <c r="AI548" s="946">
        <f t="shared" si="27"/>
        <v>0</v>
      </c>
      <c r="AJ548" s="521">
        <v>0</v>
      </c>
      <c r="AK548" s="520">
        <f t="shared" si="28"/>
        <v>0</v>
      </c>
      <c r="AL548" s="695" t="s">
        <v>1455</v>
      </c>
      <c r="AM548" s="669">
        <f t="shared" si="29"/>
        <v>1</v>
      </c>
    </row>
    <row r="549" spans="1:39" s="500" customFormat="1" ht="13.35" customHeight="1">
      <c r="A549" s="542" t="s">
        <v>1023</v>
      </c>
      <c r="B549" s="542" t="s">
        <v>1338</v>
      </c>
      <c r="C549" s="548" t="s">
        <v>1450</v>
      </c>
      <c r="D549" s="519"/>
      <c r="E549" s="520"/>
      <c r="F549" s="726"/>
      <c r="G549" s="520"/>
      <c r="H549" s="520"/>
      <c r="I549" s="521"/>
      <c r="J549" s="521"/>
      <c r="K549" s="772"/>
      <c r="L549" s="514"/>
      <c r="M549" s="756"/>
      <c r="N549" s="514"/>
      <c r="O549" s="514"/>
      <c r="P549" s="514"/>
      <c r="Q549" s="514"/>
      <c r="R549" s="514"/>
      <c r="S549" s="514"/>
      <c r="T549" s="756"/>
      <c r="U549" s="514"/>
      <c r="V549" s="514"/>
      <c r="W549" s="514"/>
      <c r="X549" s="514"/>
      <c r="Y549" s="514"/>
      <c r="Z549" s="514"/>
      <c r="AA549" s="756"/>
      <c r="AB549" s="764"/>
      <c r="AC549" s="514"/>
      <c r="AD549" s="514"/>
      <c r="AE549" s="698"/>
      <c r="AF549" s="514"/>
      <c r="AG549" s="514"/>
      <c r="AH549" s="789"/>
      <c r="AI549" s="946">
        <f t="shared" si="27"/>
        <v>0</v>
      </c>
      <c r="AJ549" s="521">
        <v>0</v>
      </c>
      <c r="AK549" s="520">
        <f t="shared" si="28"/>
        <v>0</v>
      </c>
      <c r="AL549" s="695" t="s">
        <v>1743</v>
      </c>
      <c r="AM549" s="669">
        <f t="shared" si="29"/>
        <v>19</v>
      </c>
    </row>
    <row r="550" spans="1:39" s="500" customFormat="1" ht="13.35" customHeight="1">
      <c r="A550" s="542" t="s">
        <v>1024</v>
      </c>
      <c r="B550" s="542" t="s">
        <v>1339</v>
      </c>
      <c r="C550" s="548" t="s">
        <v>1451</v>
      </c>
      <c r="D550" s="519"/>
      <c r="E550" s="520"/>
      <c r="F550" s="726"/>
      <c r="G550" s="520"/>
      <c r="H550" s="520"/>
      <c r="I550" s="521"/>
      <c r="J550" s="521"/>
      <c r="K550" s="772"/>
      <c r="L550" s="514"/>
      <c r="M550" s="756"/>
      <c r="N550" s="514"/>
      <c r="O550" s="514"/>
      <c r="P550" s="514"/>
      <c r="Q550" s="514"/>
      <c r="R550" s="514"/>
      <c r="S550" s="514"/>
      <c r="T550" s="756"/>
      <c r="U550" s="514"/>
      <c r="V550" s="514"/>
      <c r="W550" s="514"/>
      <c r="X550" s="514"/>
      <c r="Y550" s="514"/>
      <c r="Z550" s="514"/>
      <c r="AA550" s="756"/>
      <c r="AB550" s="764"/>
      <c r="AC550" s="514"/>
      <c r="AD550" s="514"/>
      <c r="AE550" s="698"/>
      <c r="AF550" s="514"/>
      <c r="AG550" s="514"/>
      <c r="AH550" s="789"/>
      <c r="AI550" s="946">
        <f t="shared" si="27"/>
        <v>0</v>
      </c>
      <c r="AJ550" s="521">
        <v>0</v>
      </c>
      <c r="AK550" s="520">
        <f t="shared" si="28"/>
        <v>0</v>
      </c>
      <c r="AL550" s="695"/>
      <c r="AM550" s="669">
        <f t="shared" si="29"/>
        <v>0</v>
      </c>
    </row>
    <row r="551" spans="1:39" s="500" customFormat="1" ht="13.35" customHeight="1">
      <c r="A551" s="440" t="s">
        <v>493</v>
      </c>
      <c r="B551" s="543" t="s">
        <v>1340</v>
      </c>
      <c r="C551" s="616"/>
      <c r="D551" s="519"/>
      <c r="E551" s="520"/>
      <c r="F551" s="726"/>
      <c r="G551" s="520"/>
      <c r="H551" s="520"/>
      <c r="I551" s="521"/>
      <c r="J551" s="521"/>
      <c r="K551" s="772"/>
      <c r="L551" s="514"/>
      <c r="M551" s="756"/>
      <c r="N551" s="514"/>
      <c r="O551" s="514"/>
      <c r="P551" s="514"/>
      <c r="Q551" s="514"/>
      <c r="R551" s="514"/>
      <c r="S551" s="514"/>
      <c r="T551" s="756"/>
      <c r="U551" s="514"/>
      <c r="V551" s="514"/>
      <c r="W551" s="514"/>
      <c r="X551" s="514"/>
      <c r="Y551" s="514"/>
      <c r="Z551" s="514"/>
      <c r="AA551" s="756"/>
      <c r="AB551" s="764"/>
      <c r="AC551" s="514"/>
      <c r="AD551" s="514"/>
      <c r="AE551" s="698"/>
      <c r="AF551" s="514"/>
      <c r="AG551" s="514"/>
      <c r="AH551" s="789"/>
      <c r="AI551" s="946">
        <f t="shared" si="27"/>
        <v>0</v>
      </c>
      <c r="AJ551" s="521">
        <v>0</v>
      </c>
      <c r="AK551" s="520">
        <f t="shared" si="28"/>
        <v>0</v>
      </c>
      <c r="AL551" s="695" t="s">
        <v>1671</v>
      </c>
      <c r="AM551" s="669">
        <f t="shared" si="29"/>
        <v>4</v>
      </c>
    </row>
    <row r="552" spans="1:39" s="500" customFormat="1" ht="13.35" customHeight="1">
      <c r="A552" s="542" t="s">
        <v>494</v>
      </c>
      <c r="B552" s="542" t="s">
        <v>1341</v>
      </c>
      <c r="C552" s="548" t="s">
        <v>1452</v>
      </c>
      <c r="D552" s="519"/>
      <c r="E552" s="520"/>
      <c r="F552" s="726"/>
      <c r="G552" s="520"/>
      <c r="H552" s="520"/>
      <c r="I552" s="521"/>
      <c r="J552" s="521"/>
      <c r="K552" s="772"/>
      <c r="L552" s="514"/>
      <c r="M552" s="756"/>
      <c r="N552" s="514"/>
      <c r="O552" s="514"/>
      <c r="P552" s="514"/>
      <c r="Q552" s="514"/>
      <c r="R552" s="514"/>
      <c r="S552" s="514"/>
      <c r="T552" s="756"/>
      <c r="U552" s="514"/>
      <c r="V552" s="514"/>
      <c r="W552" s="514"/>
      <c r="X552" s="514"/>
      <c r="Y552" s="514"/>
      <c r="Z552" s="514"/>
      <c r="AA552" s="756"/>
      <c r="AB552" s="764"/>
      <c r="AC552" s="514"/>
      <c r="AD552" s="514"/>
      <c r="AE552" s="698"/>
      <c r="AF552" s="514"/>
      <c r="AG552" s="514"/>
      <c r="AH552" s="789"/>
      <c r="AI552" s="946">
        <f t="shared" si="27"/>
        <v>0</v>
      </c>
      <c r="AJ552" s="521">
        <v>0</v>
      </c>
      <c r="AK552" s="520">
        <f t="shared" si="28"/>
        <v>0</v>
      </c>
      <c r="AL552" s="695" t="s">
        <v>1617</v>
      </c>
      <c r="AM552" s="669">
        <f t="shared" si="29"/>
        <v>6</v>
      </c>
    </row>
    <row r="553" spans="1:39" s="500" customFormat="1" ht="13.35" customHeight="1">
      <c r="A553" s="542" t="s">
        <v>495</v>
      </c>
      <c r="B553" s="542" t="s">
        <v>1342</v>
      </c>
      <c r="C553" s="548" t="s">
        <v>1452</v>
      </c>
      <c r="D553" s="519"/>
      <c r="E553" s="520"/>
      <c r="F553" s="726"/>
      <c r="G553" s="520"/>
      <c r="H553" s="520"/>
      <c r="I553" s="521"/>
      <c r="J553" s="521"/>
      <c r="K553" s="772"/>
      <c r="L553" s="514"/>
      <c r="M553" s="756"/>
      <c r="N553" s="514"/>
      <c r="O553" s="514"/>
      <c r="P553" s="514"/>
      <c r="Q553" s="514"/>
      <c r="R553" s="514"/>
      <c r="S553" s="514"/>
      <c r="T553" s="756"/>
      <c r="U553" s="514"/>
      <c r="V553" s="514"/>
      <c r="W553" s="514"/>
      <c r="X553" s="514"/>
      <c r="Y553" s="514"/>
      <c r="Z553" s="514"/>
      <c r="AA553" s="756"/>
      <c r="AB553" s="764"/>
      <c r="AC553" s="514"/>
      <c r="AD553" s="514"/>
      <c r="AE553" s="698"/>
      <c r="AF553" s="514"/>
      <c r="AG553" s="514"/>
      <c r="AH553" s="789"/>
      <c r="AI553" s="946">
        <f t="shared" si="27"/>
        <v>0</v>
      </c>
      <c r="AJ553" s="521">
        <v>0</v>
      </c>
      <c r="AK553" s="520">
        <f t="shared" si="28"/>
        <v>0</v>
      </c>
      <c r="AL553" s="695" t="s">
        <v>1742</v>
      </c>
      <c r="AM553" s="669">
        <f t="shared" si="29"/>
        <v>10</v>
      </c>
    </row>
    <row r="554" spans="1:39" s="500" customFormat="1" ht="13.35" customHeight="1">
      <c r="A554" s="542" t="s">
        <v>496</v>
      </c>
      <c r="B554" s="542" t="s">
        <v>1343</v>
      </c>
      <c r="C554" s="548" t="s">
        <v>1452</v>
      </c>
      <c r="D554" s="519"/>
      <c r="E554" s="520"/>
      <c r="F554" s="726"/>
      <c r="G554" s="520"/>
      <c r="H554" s="520"/>
      <c r="I554" s="521"/>
      <c r="J554" s="521"/>
      <c r="K554" s="772"/>
      <c r="L554" s="514"/>
      <c r="M554" s="756"/>
      <c r="N554" s="514"/>
      <c r="O554" s="514"/>
      <c r="P554" s="514"/>
      <c r="Q554" s="514"/>
      <c r="R554" s="514"/>
      <c r="S554" s="514"/>
      <c r="T554" s="756"/>
      <c r="U554" s="514"/>
      <c r="V554" s="514"/>
      <c r="W554" s="514"/>
      <c r="X554" s="514"/>
      <c r="Y554" s="514"/>
      <c r="Z554" s="514"/>
      <c r="AA554" s="756"/>
      <c r="AB554" s="764"/>
      <c r="AC554" s="514"/>
      <c r="AD554" s="514"/>
      <c r="AE554" s="698"/>
      <c r="AF554" s="514"/>
      <c r="AG554" s="514"/>
      <c r="AH554" s="789"/>
      <c r="AI554" s="946">
        <f t="shared" si="27"/>
        <v>0</v>
      </c>
      <c r="AJ554" s="521">
        <v>0</v>
      </c>
      <c r="AK554" s="520">
        <f t="shared" si="28"/>
        <v>0</v>
      </c>
      <c r="AL554" s="695" t="s">
        <v>1744</v>
      </c>
      <c r="AM554" s="669">
        <f t="shared" si="29"/>
        <v>32.450000000000003</v>
      </c>
    </row>
    <row r="555" spans="1:39" s="500" customFormat="1" ht="13.35" customHeight="1">
      <c r="A555" s="542" t="s">
        <v>1025</v>
      </c>
      <c r="B555" s="542" t="s">
        <v>1344</v>
      </c>
      <c r="C555" s="548" t="s">
        <v>38</v>
      </c>
      <c r="D555" s="519"/>
      <c r="E555" s="520"/>
      <c r="F555" s="726"/>
      <c r="G555" s="520"/>
      <c r="H555" s="520"/>
      <c r="I555" s="521"/>
      <c r="J555" s="521"/>
      <c r="K555" s="772"/>
      <c r="L555" s="514"/>
      <c r="M555" s="756"/>
      <c r="N555" s="514"/>
      <c r="O555" s="514"/>
      <c r="P555" s="514"/>
      <c r="Q555" s="514"/>
      <c r="R555" s="514"/>
      <c r="S555" s="514"/>
      <c r="T555" s="756"/>
      <c r="U555" s="514"/>
      <c r="V555" s="514"/>
      <c r="W555" s="514"/>
      <c r="X555" s="514"/>
      <c r="Y555" s="514"/>
      <c r="Z555" s="514"/>
      <c r="AA555" s="756"/>
      <c r="AB555" s="764"/>
      <c r="AC555" s="514"/>
      <c r="AD555" s="514"/>
      <c r="AE555" s="698"/>
      <c r="AF555" s="514"/>
      <c r="AG555" s="514"/>
      <c r="AH555" s="789"/>
      <c r="AI555" s="946">
        <f t="shared" si="27"/>
        <v>0</v>
      </c>
      <c r="AJ555" s="521">
        <v>0</v>
      </c>
      <c r="AK555" s="520">
        <f t="shared" si="28"/>
        <v>0</v>
      </c>
      <c r="AL555" s="695" t="s">
        <v>1745</v>
      </c>
      <c r="AM555" s="669">
        <f t="shared" si="29"/>
        <v>45.55</v>
      </c>
    </row>
    <row r="556" spans="1:39" s="500" customFormat="1" ht="13.35" customHeight="1">
      <c r="A556" s="542" t="s">
        <v>1026</v>
      </c>
      <c r="B556" s="542" t="s">
        <v>1345</v>
      </c>
      <c r="C556" s="548" t="s">
        <v>38</v>
      </c>
      <c r="D556" s="519"/>
      <c r="E556" s="520"/>
      <c r="F556" s="726"/>
      <c r="G556" s="520"/>
      <c r="H556" s="520"/>
      <c r="I556" s="521"/>
      <c r="J556" s="521"/>
      <c r="K556" s="772"/>
      <c r="L556" s="514"/>
      <c r="M556" s="756"/>
      <c r="N556" s="514"/>
      <c r="O556" s="514"/>
      <c r="P556" s="514"/>
      <c r="Q556" s="514"/>
      <c r="R556" s="514"/>
      <c r="S556" s="514"/>
      <c r="T556" s="756"/>
      <c r="U556" s="514"/>
      <c r="V556" s="514"/>
      <c r="W556" s="514"/>
      <c r="X556" s="514"/>
      <c r="Y556" s="514"/>
      <c r="Z556" s="514"/>
      <c r="AA556" s="756"/>
      <c r="AB556" s="764"/>
      <c r="AC556" s="514"/>
      <c r="AD556" s="514"/>
      <c r="AE556" s="698"/>
      <c r="AF556" s="514"/>
      <c r="AG556" s="514"/>
      <c r="AH556" s="789"/>
      <c r="AI556" s="946">
        <f t="shared" si="27"/>
        <v>0</v>
      </c>
      <c r="AJ556" s="521">
        <v>0</v>
      </c>
      <c r="AK556" s="520">
        <f t="shared" si="28"/>
        <v>0</v>
      </c>
      <c r="AL556" s="695" t="s">
        <v>1671</v>
      </c>
      <c r="AM556" s="669">
        <f t="shared" si="29"/>
        <v>4</v>
      </c>
    </row>
    <row r="557" spans="1:39" s="500" customFormat="1" ht="13.35" customHeight="1">
      <c r="A557" s="542" t="s">
        <v>1027</v>
      </c>
      <c r="B557" s="542" t="s">
        <v>1346</v>
      </c>
      <c r="C557" s="548" t="s">
        <v>1450</v>
      </c>
      <c r="D557" s="519"/>
      <c r="E557" s="520"/>
      <c r="F557" s="726"/>
      <c r="G557" s="520"/>
      <c r="H557" s="520"/>
      <c r="I557" s="521"/>
      <c r="J557" s="521"/>
      <c r="K557" s="772"/>
      <c r="L557" s="514"/>
      <c r="M557" s="756"/>
      <c r="N557" s="514"/>
      <c r="O557" s="514"/>
      <c r="P557" s="514"/>
      <c r="Q557" s="514"/>
      <c r="R557" s="514"/>
      <c r="S557" s="514"/>
      <c r="T557" s="756"/>
      <c r="U557" s="514"/>
      <c r="V557" s="514"/>
      <c r="W557" s="514"/>
      <c r="X557" s="514"/>
      <c r="Y557" s="514"/>
      <c r="Z557" s="514"/>
      <c r="AA557" s="756"/>
      <c r="AB557" s="764"/>
      <c r="AC557" s="514"/>
      <c r="AD557" s="514"/>
      <c r="AE557" s="698"/>
      <c r="AF557" s="514"/>
      <c r="AG557" s="514"/>
      <c r="AH557" s="789"/>
      <c r="AI557" s="946">
        <f t="shared" si="27"/>
        <v>0</v>
      </c>
      <c r="AJ557" s="521">
        <v>0</v>
      </c>
      <c r="AK557" s="520">
        <f t="shared" si="28"/>
        <v>0</v>
      </c>
      <c r="AL557" s="695" t="s">
        <v>1698</v>
      </c>
      <c r="AM557" s="669">
        <f t="shared" si="29"/>
        <v>2</v>
      </c>
    </row>
    <row r="558" spans="1:39" s="500" customFormat="1" ht="13.35" customHeight="1">
      <c r="A558" s="542" t="s">
        <v>1028</v>
      </c>
      <c r="B558" s="542" t="s">
        <v>1347</v>
      </c>
      <c r="C558" s="548" t="s">
        <v>1450</v>
      </c>
      <c r="D558" s="519"/>
      <c r="E558" s="520"/>
      <c r="F558" s="726"/>
      <c r="G558" s="520"/>
      <c r="H558" s="520"/>
      <c r="I558" s="521"/>
      <c r="J558" s="521"/>
      <c r="K558" s="772"/>
      <c r="L558" s="514"/>
      <c r="M558" s="756"/>
      <c r="N558" s="514"/>
      <c r="O558" s="514"/>
      <c r="P558" s="514"/>
      <c r="Q558" s="514"/>
      <c r="R558" s="514"/>
      <c r="S558" s="514"/>
      <c r="T558" s="756"/>
      <c r="U558" s="514"/>
      <c r="V558" s="514"/>
      <c r="W558" s="514"/>
      <c r="X558" s="514"/>
      <c r="Y558" s="514"/>
      <c r="Z558" s="514"/>
      <c r="AA558" s="756"/>
      <c r="AB558" s="764"/>
      <c r="AC558" s="514"/>
      <c r="AD558" s="514"/>
      <c r="AE558" s="698"/>
      <c r="AF558" s="514"/>
      <c r="AG558" s="514"/>
      <c r="AH558" s="789"/>
      <c r="AI558" s="946">
        <f t="shared" si="27"/>
        <v>0</v>
      </c>
      <c r="AJ558" s="521">
        <v>0</v>
      </c>
      <c r="AK558" s="520">
        <f t="shared" si="28"/>
        <v>0</v>
      </c>
      <c r="AL558" s="695" t="s">
        <v>1617</v>
      </c>
      <c r="AM558" s="669">
        <f t="shared" si="29"/>
        <v>6</v>
      </c>
    </row>
    <row r="559" spans="1:39" s="500" customFormat="1" ht="13.35" customHeight="1">
      <c r="A559" s="542" t="s">
        <v>1029</v>
      </c>
      <c r="B559" s="542" t="s">
        <v>1348</v>
      </c>
      <c r="C559" s="548" t="s">
        <v>1450</v>
      </c>
      <c r="D559" s="519"/>
      <c r="E559" s="520"/>
      <c r="F559" s="726"/>
      <c r="G559" s="520"/>
      <c r="H559" s="520"/>
      <c r="I559" s="521"/>
      <c r="J559" s="521"/>
      <c r="K559" s="772"/>
      <c r="L559" s="514"/>
      <c r="M559" s="756"/>
      <c r="N559" s="514"/>
      <c r="O559" s="514"/>
      <c r="P559" s="514"/>
      <c r="Q559" s="514"/>
      <c r="R559" s="514"/>
      <c r="S559" s="514"/>
      <c r="T559" s="756"/>
      <c r="U559" s="514"/>
      <c r="V559" s="514"/>
      <c r="W559" s="514"/>
      <c r="X559" s="514"/>
      <c r="Y559" s="514"/>
      <c r="Z559" s="514"/>
      <c r="AA559" s="756"/>
      <c r="AB559" s="764"/>
      <c r="AC559" s="514"/>
      <c r="AD559" s="514"/>
      <c r="AE559" s="698"/>
      <c r="AF559" s="514"/>
      <c r="AG559" s="514"/>
      <c r="AH559" s="789"/>
      <c r="AI559" s="946">
        <f t="shared" si="27"/>
        <v>0</v>
      </c>
      <c r="AJ559" s="521">
        <v>0</v>
      </c>
      <c r="AK559" s="520">
        <f t="shared" si="28"/>
        <v>0</v>
      </c>
      <c r="AL559" s="695" t="s">
        <v>1617</v>
      </c>
      <c r="AM559" s="669">
        <f t="shared" si="29"/>
        <v>6</v>
      </c>
    </row>
    <row r="560" spans="1:39" s="500" customFormat="1" ht="13.35" customHeight="1">
      <c r="A560" s="542" t="s">
        <v>1030</v>
      </c>
      <c r="B560" s="542" t="s">
        <v>1349</v>
      </c>
      <c r="C560" s="548" t="s">
        <v>1450</v>
      </c>
      <c r="D560" s="519"/>
      <c r="E560" s="520"/>
      <c r="F560" s="726"/>
      <c r="G560" s="520"/>
      <c r="H560" s="520"/>
      <c r="I560" s="521"/>
      <c r="J560" s="521"/>
      <c r="K560" s="772"/>
      <c r="L560" s="514"/>
      <c r="M560" s="756"/>
      <c r="N560" s="514"/>
      <c r="O560" s="514"/>
      <c r="P560" s="514"/>
      <c r="Q560" s="514"/>
      <c r="R560" s="514"/>
      <c r="S560" s="514"/>
      <c r="T560" s="756"/>
      <c r="U560" s="514"/>
      <c r="V560" s="514"/>
      <c r="W560" s="514"/>
      <c r="X560" s="514"/>
      <c r="Y560" s="514"/>
      <c r="Z560" s="514"/>
      <c r="AA560" s="756"/>
      <c r="AB560" s="764"/>
      <c r="AC560" s="514"/>
      <c r="AD560" s="514"/>
      <c r="AE560" s="698"/>
      <c r="AF560" s="514"/>
      <c r="AG560" s="514"/>
      <c r="AH560" s="789"/>
      <c r="AI560" s="946">
        <f t="shared" si="27"/>
        <v>0</v>
      </c>
      <c r="AJ560" s="521">
        <v>0</v>
      </c>
      <c r="AK560" s="520">
        <f t="shared" si="28"/>
        <v>0</v>
      </c>
      <c r="AL560" s="695" t="s">
        <v>1617</v>
      </c>
      <c r="AM560" s="669">
        <f t="shared" si="29"/>
        <v>6</v>
      </c>
    </row>
    <row r="561" spans="1:39" s="500" customFormat="1" ht="13.35" customHeight="1" thickBot="1">
      <c r="A561" s="542" t="s">
        <v>1031</v>
      </c>
      <c r="B561" s="542" t="s">
        <v>1350</v>
      </c>
      <c r="C561" s="548" t="s">
        <v>1451</v>
      </c>
      <c r="D561" s="519"/>
      <c r="E561" s="520"/>
      <c r="F561" s="726"/>
      <c r="G561" s="520"/>
      <c r="H561" s="520"/>
      <c r="I561" s="521"/>
      <c r="J561" s="521"/>
      <c r="K561" s="772"/>
      <c r="L561" s="514"/>
      <c r="M561" s="756"/>
      <c r="N561" s="514"/>
      <c r="O561" s="514"/>
      <c r="P561" s="514"/>
      <c r="Q561" s="514"/>
      <c r="R561" s="514"/>
      <c r="S561" s="514"/>
      <c r="T561" s="756"/>
      <c r="U561" s="514"/>
      <c r="V561" s="514"/>
      <c r="W561" s="514"/>
      <c r="X561" s="514"/>
      <c r="Y561" s="514"/>
      <c r="Z561" s="514"/>
      <c r="AA561" s="756"/>
      <c r="AB561" s="764"/>
      <c r="AC561" s="514"/>
      <c r="AD561" s="514"/>
      <c r="AE561" s="698"/>
      <c r="AF561" s="514"/>
      <c r="AG561" s="522"/>
      <c r="AH561" s="789"/>
      <c r="AI561" s="946">
        <f t="shared" si="27"/>
        <v>0</v>
      </c>
      <c r="AJ561" s="521">
        <v>0</v>
      </c>
      <c r="AK561" s="520">
        <f t="shared" si="28"/>
        <v>0</v>
      </c>
      <c r="AL561" s="695"/>
      <c r="AM561" s="669">
        <f t="shared" si="29"/>
        <v>0</v>
      </c>
    </row>
    <row r="562" spans="1:39" s="500" customFormat="1" ht="13.35" hidden="1" customHeight="1">
      <c r="A562" s="440" t="s">
        <v>497</v>
      </c>
      <c r="B562" s="543" t="s">
        <v>1351</v>
      </c>
      <c r="C562" s="616"/>
      <c r="D562" s="519"/>
      <c r="E562" s="520"/>
      <c r="F562" s="726"/>
      <c r="G562" s="520"/>
      <c r="H562" s="520"/>
      <c r="I562" s="521"/>
      <c r="J562" s="521"/>
      <c r="K562" s="772"/>
      <c r="L562" s="514"/>
      <c r="M562" s="756"/>
      <c r="N562" s="514"/>
      <c r="O562" s="514"/>
      <c r="P562" s="514"/>
      <c r="Q562" s="514"/>
      <c r="R562" s="514"/>
      <c r="S562" s="514"/>
      <c r="T562" s="756"/>
      <c r="U562" s="514"/>
      <c r="V562" s="514"/>
      <c r="W562" s="514"/>
      <c r="X562" s="514"/>
      <c r="Y562" s="514"/>
      <c r="Z562" s="514"/>
      <c r="AA562" s="756"/>
      <c r="AB562" s="764"/>
      <c r="AC562" s="514"/>
      <c r="AD562" s="514"/>
      <c r="AE562" s="698"/>
      <c r="AF562" s="514"/>
      <c r="AG562" s="514"/>
      <c r="AH562" s="789"/>
      <c r="AI562" s="946">
        <f t="shared" si="27"/>
        <v>0</v>
      </c>
      <c r="AJ562" s="521">
        <v>0</v>
      </c>
      <c r="AK562" s="520">
        <f t="shared" si="28"/>
        <v>0</v>
      </c>
      <c r="AL562" s="695" t="s">
        <v>1746</v>
      </c>
      <c r="AM562" s="669">
        <f t="shared" si="29"/>
        <v>18.04</v>
      </c>
    </row>
    <row r="563" spans="1:39" s="500" customFormat="1" ht="13.35" hidden="1" customHeight="1">
      <c r="A563" s="542" t="s">
        <v>498</v>
      </c>
      <c r="B563" s="542" t="s">
        <v>1352</v>
      </c>
      <c r="C563" s="548" t="s">
        <v>40</v>
      </c>
      <c r="D563" s="519"/>
      <c r="E563" s="520"/>
      <c r="F563" s="726"/>
      <c r="G563" s="520"/>
      <c r="H563" s="520"/>
      <c r="I563" s="521"/>
      <c r="J563" s="521"/>
      <c r="K563" s="772"/>
      <c r="L563" s="514"/>
      <c r="M563" s="756"/>
      <c r="N563" s="514"/>
      <c r="O563" s="514"/>
      <c r="P563" s="514"/>
      <c r="Q563" s="514"/>
      <c r="R563" s="514"/>
      <c r="S563" s="514"/>
      <c r="T563" s="756"/>
      <c r="U563" s="514"/>
      <c r="V563" s="514"/>
      <c r="W563" s="514"/>
      <c r="X563" s="514"/>
      <c r="Y563" s="514"/>
      <c r="Z563" s="514"/>
      <c r="AA563" s="756"/>
      <c r="AB563" s="764"/>
      <c r="AC563" s="514"/>
      <c r="AD563" s="514"/>
      <c r="AE563" s="698"/>
      <c r="AF563" s="514"/>
      <c r="AG563" s="514"/>
      <c r="AH563" s="789"/>
      <c r="AI563" s="946">
        <f t="shared" si="27"/>
        <v>0</v>
      </c>
      <c r="AJ563" s="521">
        <v>0</v>
      </c>
      <c r="AK563" s="520">
        <f t="shared" si="28"/>
        <v>0</v>
      </c>
      <c r="AL563" s="695" t="s">
        <v>1746</v>
      </c>
      <c r="AM563" s="669">
        <f t="shared" si="29"/>
        <v>18.04</v>
      </c>
    </row>
    <row r="564" spans="1:39" s="500" customFormat="1" ht="13.35" hidden="1" customHeight="1">
      <c r="A564" s="542" t="s">
        <v>499</v>
      </c>
      <c r="B564" s="542" t="s">
        <v>1353</v>
      </c>
      <c r="C564" s="548" t="s">
        <v>40</v>
      </c>
      <c r="D564" s="519"/>
      <c r="E564" s="520"/>
      <c r="F564" s="726"/>
      <c r="G564" s="520"/>
      <c r="H564" s="520"/>
      <c r="I564" s="521"/>
      <c r="J564" s="521"/>
      <c r="K564" s="772"/>
      <c r="L564" s="514"/>
      <c r="M564" s="756"/>
      <c r="N564" s="514"/>
      <c r="O564" s="514"/>
      <c r="P564" s="514"/>
      <c r="Q564" s="514"/>
      <c r="R564" s="514"/>
      <c r="S564" s="514"/>
      <c r="T564" s="756"/>
      <c r="U564" s="514"/>
      <c r="V564" s="514"/>
      <c r="W564" s="514"/>
      <c r="X564" s="514"/>
      <c r="Y564" s="514"/>
      <c r="Z564" s="514"/>
      <c r="AA564" s="756"/>
      <c r="AB564" s="764"/>
      <c r="AC564" s="514"/>
      <c r="AD564" s="514"/>
      <c r="AE564" s="698"/>
      <c r="AF564" s="514"/>
      <c r="AG564" s="514"/>
      <c r="AH564" s="789"/>
      <c r="AI564" s="946">
        <f t="shared" si="27"/>
        <v>0</v>
      </c>
      <c r="AJ564" s="521">
        <v>0</v>
      </c>
      <c r="AK564" s="520">
        <f t="shared" si="28"/>
        <v>0</v>
      </c>
      <c r="AL564" s="695" t="s">
        <v>1455</v>
      </c>
      <c r="AM564" s="669">
        <f t="shared" si="29"/>
        <v>1</v>
      </c>
    </row>
    <row r="565" spans="1:39" s="500" customFormat="1" ht="13.35" hidden="1" customHeight="1">
      <c r="A565" s="542" t="s">
        <v>1032</v>
      </c>
      <c r="B565" s="542" t="s">
        <v>1354</v>
      </c>
      <c r="C565" s="548" t="s">
        <v>36</v>
      </c>
      <c r="D565" s="519"/>
      <c r="E565" s="520"/>
      <c r="F565" s="726"/>
      <c r="G565" s="520"/>
      <c r="H565" s="520"/>
      <c r="I565" s="521"/>
      <c r="J565" s="521"/>
      <c r="K565" s="772"/>
      <c r="L565" s="514"/>
      <c r="M565" s="756"/>
      <c r="N565" s="514"/>
      <c r="O565" s="514"/>
      <c r="P565" s="514"/>
      <c r="Q565" s="514"/>
      <c r="R565" s="514"/>
      <c r="S565" s="514"/>
      <c r="T565" s="756"/>
      <c r="U565" s="514"/>
      <c r="V565" s="514"/>
      <c r="W565" s="514"/>
      <c r="X565" s="514"/>
      <c r="Y565" s="514"/>
      <c r="Z565" s="514"/>
      <c r="AA565" s="756"/>
      <c r="AB565" s="764"/>
      <c r="AC565" s="514"/>
      <c r="AD565" s="514"/>
      <c r="AE565" s="698"/>
      <c r="AF565" s="514"/>
      <c r="AG565" s="514"/>
      <c r="AH565" s="789"/>
      <c r="AI565" s="946">
        <f t="shared" si="27"/>
        <v>0</v>
      </c>
      <c r="AJ565" s="521">
        <v>0</v>
      </c>
      <c r="AK565" s="520">
        <f t="shared" si="28"/>
        <v>0</v>
      </c>
      <c r="AL565" s="695" t="s">
        <v>1455</v>
      </c>
      <c r="AM565" s="669">
        <f t="shared" si="29"/>
        <v>1</v>
      </c>
    </row>
    <row r="566" spans="1:39" s="500" customFormat="1" ht="13.35" hidden="1" customHeight="1">
      <c r="A566" s="542" t="s">
        <v>1033</v>
      </c>
      <c r="B566" s="542" t="s">
        <v>1355</v>
      </c>
      <c r="C566" s="548" t="s">
        <v>41</v>
      </c>
      <c r="D566" s="519"/>
      <c r="E566" s="520"/>
      <c r="F566" s="726"/>
      <c r="G566" s="520"/>
      <c r="H566" s="520"/>
      <c r="I566" s="521"/>
      <c r="J566" s="521"/>
      <c r="K566" s="772"/>
      <c r="L566" s="514"/>
      <c r="M566" s="756"/>
      <c r="N566" s="514"/>
      <c r="O566" s="514"/>
      <c r="P566" s="514"/>
      <c r="Q566" s="514"/>
      <c r="R566" s="514"/>
      <c r="S566" s="514"/>
      <c r="T566" s="756"/>
      <c r="U566" s="514"/>
      <c r="V566" s="514"/>
      <c r="W566" s="514"/>
      <c r="X566" s="514"/>
      <c r="Y566" s="514"/>
      <c r="Z566" s="514"/>
      <c r="AA566" s="756"/>
      <c r="AB566" s="764"/>
      <c r="AC566" s="514"/>
      <c r="AD566" s="514"/>
      <c r="AE566" s="698"/>
      <c r="AF566" s="514"/>
      <c r="AG566" s="514"/>
      <c r="AH566" s="789"/>
      <c r="AI566" s="946">
        <f t="shared" si="27"/>
        <v>0</v>
      </c>
      <c r="AJ566" s="521">
        <v>0</v>
      </c>
      <c r="AK566" s="520">
        <f t="shared" si="28"/>
        <v>0</v>
      </c>
      <c r="AL566" s="695"/>
      <c r="AM566" s="669">
        <f t="shared" si="29"/>
        <v>0</v>
      </c>
    </row>
    <row r="567" spans="1:39" s="500" customFormat="1" ht="13.35" hidden="1" customHeight="1">
      <c r="A567" s="440" t="s">
        <v>500</v>
      </c>
      <c r="B567" s="543" t="s">
        <v>1356</v>
      </c>
      <c r="C567" s="616"/>
      <c r="D567" s="519"/>
      <c r="E567" s="520"/>
      <c r="F567" s="726"/>
      <c r="G567" s="520"/>
      <c r="H567" s="520"/>
      <c r="I567" s="521"/>
      <c r="J567" s="521"/>
      <c r="K567" s="772"/>
      <c r="L567" s="514"/>
      <c r="M567" s="756"/>
      <c r="N567" s="514"/>
      <c r="O567" s="514"/>
      <c r="P567" s="514"/>
      <c r="Q567" s="514"/>
      <c r="R567" s="514"/>
      <c r="S567" s="514"/>
      <c r="T567" s="756"/>
      <c r="U567" s="514"/>
      <c r="V567" s="514"/>
      <c r="W567" s="514"/>
      <c r="X567" s="514"/>
      <c r="Y567" s="514"/>
      <c r="Z567" s="514"/>
      <c r="AA567" s="756"/>
      <c r="AB567" s="764"/>
      <c r="AC567" s="514"/>
      <c r="AD567" s="514"/>
      <c r="AE567" s="698"/>
      <c r="AF567" s="514"/>
      <c r="AG567" s="514"/>
      <c r="AH567" s="789"/>
      <c r="AI567" s="946">
        <f t="shared" si="27"/>
        <v>0</v>
      </c>
      <c r="AJ567" s="521">
        <v>0</v>
      </c>
      <c r="AK567" s="520">
        <f t="shared" si="28"/>
        <v>0</v>
      </c>
      <c r="AL567" s="695" t="s">
        <v>1747</v>
      </c>
      <c r="AM567" s="669">
        <f t="shared" si="29"/>
        <v>10.08</v>
      </c>
    </row>
    <row r="568" spans="1:39" s="500" customFormat="1" ht="13.35" hidden="1" customHeight="1">
      <c r="A568" s="542" t="s">
        <v>501</v>
      </c>
      <c r="B568" s="542" t="s">
        <v>1352</v>
      </c>
      <c r="C568" s="548" t="s">
        <v>40</v>
      </c>
      <c r="D568" s="519"/>
      <c r="E568" s="520"/>
      <c r="F568" s="726"/>
      <c r="G568" s="520"/>
      <c r="H568" s="520"/>
      <c r="I568" s="521"/>
      <c r="J568" s="521"/>
      <c r="K568" s="772"/>
      <c r="L568" s="514"/>
      <c r="M568" s="756"/>
      <c r="N568" s="514"/>
      <c r="O568" s="514"/>
      <c r="P568" s="514"/>
      <c r="Q568" s="514"/>
      <c r="R568" s="514"/>
      <c r="S568" s="514"/>
      <c r="T568" s="756"/>
      <c r="U568" s="514"/>
      <c r="V568" s="514"/>
      <c r="W568" s="514"/>
      <c r="X568" s="514"/>
      <c r="Y568" s="514"/>
      <c r="Z568" s="514"/>
      <c r="AA568" s="756"/>
      <c r="AB568" s="764"/>
      <c r="AC568" s="514"/>
      <c r="AD568" s="514"/>
      <c r="AE568" s="698"/>
      <c r="AF568" s="514"/>
      <c r="AG568" s="514"/>
      <c r="AH568" s="789"/>
      <c r="AI568" s="946">
        <f t="shared" si="27"/>
        <v>0</v>
      </c>
      <c r="AJ568" s="521">
        <v>0</v>
      </c>
      <c r="AK568" s="520">
        <f t="shared" si="28"/>
        <v>0</v>
      </c>
      <c r="AL568" s="695" t="s">
        <v>1747</v>
      </c>
      <c r="AM568" s="669">
        <f t="shared" si="29"/>
        <v>10.08</v>
      </c>
    </row>
    <row r="569" spans="1:39" s="500" customFormat="1" ht="13.35" hidden="1" customHeight="1">
      <c r="A569" s="542" t="s">
        <v>502</v>
      </c>
      <c r="B569" s="542" t="s">
        <v>1353</v>
      </c>
      <c r="C569" s="548" t="s">
        <v>40</v>
      </c>
      <c r="D569" s="519"/>
      <c r="E569" s="520"/>
      <c r="F569" s="726"/>
      <c r="G569" s="520"/>
      <c r="H569" s="520"/>
      <c r="I569" s="521"/>
      <c r="J569" s="521"/>
      <c r="K569" s="772"/>
      <c r="L569" s="514"/>
      <c r="M569" s="756"/>
      <c r="N569" s="514"/>
      <c r="O569" s="514"/>
      <c r="P569" s="514"/>
      <c r="Q569" s="514"/>
      <c r="R569" s="514"/>
      <c r="S569" s="514"/>
      <c r="T569" s="756"/>
      <c r="U569" s="514"/>
      <c r="V569" s="514"/>
      <c r="W569" s="514"/>
      <c r="X569" s="514"/>
      <c r="Y569" s="514"/>
      <c r="Z569" s="514"/>
      <c r="AA569" s="756"/>
      <c r="AB569" s="764"/>
      <c r="AC569" s="514"/>
      <c r="AD569" s="514"/>
      <c r="AE569" s="698"/>
      <c r="AF569" s="514"/>
      <c r="AG569" s="514"/>
      <c r="AH569" s="789"/>
      <c r="AI569" s="946">
        <f t="shared" si="27"/>
        <v>0</v>
      </c>
      <c r="AJ569" s="521">
        <v>0</v>
      </c>
      <c r="AK569" s="520">
        <f t="shared" si="28"/>
        <v>0</v>
      </c>
      <c r="AL569" s="695" t="s">
        <v>1748</v>
      </c>
      <c r="AM569" s="669">
        <f t="shared" si="29"/>
        <v>5.04</v>
      </c>
    </row>
    <row r="570" spans="1:39" s="500" customFormat="1" ht="13.35" hidden="1" customHeight="1">
      <c r="A570" s="542" t="s">
        <v>503</v>
      </c>
      <c r="B570" s="542" t="s">
        <v>1357</v>
      </c>
      <c r="C570" s="548" t="s">
        <v>40</v>
      </c>
      <c r="D570" s="519"/>
      <c r="E570" s="520"/>
      <c r="F570" s="726"/>
      <c r="G570" s="520"/>
      <c r="H570" s="520"/>
      <c r="I570" s="521"/>
      <c r="J570" s="521"/>
      <c r="K570" s="772"/>
      <c r="L570" s="514"/>
      <c r="M570" s="756"/>
      <c r="N570" s="514"/>
      <c r="O570" s="514"/>
      <c r="P570" s="514"/>
      <c r="Q570" s="514"/>
      <c r="R570" s="514"/>
      <c r="S570" s="514"/>
      <c r="T570" s="756"/>
      <c r="U570" s="514"/>
      <c r="V570" s="514"/>
      <c r="W570" s="514"/>
      <c r="X570" s="514"/>
      <c r="Y570" s="514"/>
      <c r="Z570" s="514"/>
      <c r="AA570" s="756"/>
      <c r="AB570" s="764"/>
      <c r="AC570" s="514"/>
      <c r="AD570" s="514"/>
      <c r="AE570" s="698"/>
      <c r="AF570" s="514"/>
      <c r="AG570" s="514"/>
      <c r="AH570" s="789"/>
      <c r="AI570" s="946">
        <f t="shared" si="27"/>
        <v>0</v>
      </c>
      <c r="AJ570" s="521">
        <v>0</v>
      </c>
      <c r="AK570" s="520">
        <f t="shared" si="28"/>
        <v>0</v>
      </c>
      <c r="AL570" s="695" t="s">
        <v>1455</v>
      </c>
      <c r="AM570" s="669">
        <f t="shared" si="29"/>
        <v>1</v>
      </c>
    </row>
    <row r="571" spans="1:39" s="500" customFormat="1" ht="13.35" hidden="1" customHeight="1">
      <c r="A571" s="542" t="s">
        <v>504</v>
      </c>
      <c r="B571" s="542" t="s">
        <v>1358</v>
      </c>
      <c r="C571" s="548" t="s">
        <v>41</v>
      </c>
      <c r="D571" s="519"/>
      <c r="E571" s="520"/>
      <c r="F571" s="726"/>
      <c r="G571" s="520"/>
      <c r="H571" s="520"/>
      <c r="I571" s="521"/>
      <c r="J571" s="521"/>
      <c r="K571" s="772"/>
      <c r="L571" s="514"/>
      <c r="M571" s="756"/>
      <c r="N571" s="514"/>
      <c r="O571" s="514"/>
      <c r="P571" s="514"/>
      <c r="Q571" s="514"/>
      <c r="R571" s="514"/>
      <c r="S571" s="514"/>
      <c r="T571" s="756"/>
      <c r="U571" s="514"/>
      <c r="V571" s="514"/>
      <c r="W571" s="514"/>
      <c r="X571" s="514"/>
      <c r="Y571" s="514"/>
      <c r="Z571" s="514"/>
      <c r="AA571" s="756"/>
      <c r="AB571" s="764"/>
      <c r="AC571" s="514"/>
      <c r="AD571" s="514"/>
      <c r="AE571" s="698"/>
      <c r="AF571" s="514"/>
      <c r="AG571" s="514"/>
      <c r="AH571" s="789"/>
      <c r="AI571" s="946">
        <f t="shared" si="27"/>
        <v>0</v>
      </c>
      <c r="AJ571" s="521">
        <v>0</v>
      </c>
      <c r="AK571" s="520">
        <f t="shared" si="28"/>
        <v>0</v>
      </c>
      <c r="AL571" s="695" t="s">
        <v>1602</v>
      </c>
      <c r="AM571" s="669">
        <f t="shared" si="29"/>
        <v>24</v>
      </c>
    </row>
    <row r="572" spans="1:39" s="500" customFormat="1" ht="13.35" hidden="1" customHeight="1">
      <c r="A572" s="542" t="s">
        <v>1034</v>
      </c>
      <c r="B572" s="542" t="s">
        <v>1359</v>
      </c>
      <c r="C572" s="548" t="s">
        <v>38</v>
      </c>
      <c r="D572" s="519"/>
      <c r="E572" s="520"/>
      <c r="F572" s="726"/>
      <c r="G572" s="520"/>
      <c r="H572" s="520"/>
      <c r="I572" s="521"/>
      <c r="J572" s="521"/>
      <c r="K572" s="772"/>
      <c r="L572" s="514"/>
      <c r="M572" s="756"/>
      <c r="N572" s="514"/>
      <c r="O572" s="514"/>
      <c r="P572" s="514"/>
      <c r="Q572" s="514"/>
      <c r="R572" s="514"/>
      <c r="S572" s="514"/>
      <c r="T572" s="756"/>
      <c r="U572" s="514"/>
      <c r="V572" s="514"/>
      <c r="W572" s="514"/>
      <c r="X572" s="514"/>
      <c r="Y572" s="514"/>
      <c r="Z572" s="514"/>
      <c r="AA572" s="756"/>
      <c r="AB572" s="764"/>
      <c r="AC572" s="514"/>
      <c r="AD572" s="514"/>
      <c r="AE572" s="698"/>
      <c r="AF572" s="514"/>
      <c r="AG572" s="514"/>
      <c r="AH572" s="789"/>
      <c r="AI572" s="946">
        <f t="shared" si="27"/>
        <v>0</v>
      </c>
      <c r="AJ572" s="521">
        <v>0</v>
      </c>
      <c r="AK572" s="520">
        <f t="shared" si="28"/>
        <v>0</v>
      </c>
      <c r="AL572" s="695"/>
      <c r="AM572" s="669">
        <f t="shared" si="29"/>
        <v>0</v>
      </c>
    </row>
    <row r="573" spans="1:39" ht="13.35" hidden="1" customHeight="1">
      <c r="A573" s="440" t="s">
        <v>505</v>
      </c>
      <c r="B573" s="543" t="s">
        <v>1360</v>
      </c>
      <c r="C573" s="616"/>
      <c r="D573" s="519"/>
      <c r="E573" s="520"/>
      <c r="F573" s="726"/>
      <c r="G573" s="520"/>
      <c r="H573" s="520"/>
      <c r="I573" s="521"/>
      <c r="J573" s="521"/>
      <c r="K573" s="772"/>
      <c r="L573" s="514"/>
      <c r="M573" s="756"/>
      <c r="N573" s="514"/>
      <c r="O573" s="514"/>
      <c r="P573" s="514"/>
      <c r="Q573" s="514"/>
      <c r="R573" s="514"/>
      <c r="S573" s="514"/>
      <c r="T573" s="756"/>
      <c r="U573" s="514"/>
      <c r="V573" s="514"/>
      <c r="W573" s="514"/>
      <c r="X573" s="514"/>
      <c r="Y573" s="514"/>
      <c r="Z573" s="514"/>
      <c r="AA573" s="756"/>
      <c r="AB573" s="764"/>
      <c r="AC573" s="514"/>
      <c r="AD573" s="514"/>
      <c r="AE573" s="698"/>
      <c r="AF573" s="514"/>
      <c r="AG573" s="514"/>
      <c r="AH573" s="789"/>
      <c r="AI573" s="946">
        <f t="shared" si="27"/>
        <v>0</v>
      </c>
      <c r="AJ573" s="521">
        <v>0</v>
      </c>
      <c r="AK573" s="520">
        <f t="shared" si="28"/>
        <v>0</v>
      </c>
      <c r="AL573" s="695" t="s">
        <v>1493</v>
      </c>
      <c r="AM573" s="669">
        <f t="shared" si="29"/>
        <v>15</v>
      </c>
    </row>
    <row r="574" spans="1:39" ht="13.35" hidden="1" customHeight="1">
      <c r="A574" s="542" t="s">
        <v>506</v>
      </c>
      <c r="B574" s="542" t="s">
        <v>1361</v>
      </c>
      <c r="C574" s="548" t="s">
        <v>1452</v>
      </c>
      <c r="D574" s="519"/>
      <c r="E574" s="520"/>
      <c r="F574" s="726"/>
      <c r="G574" s="520"/>
      <c r="H574" s="520"/>
      <c r="I574" s="521"/>
      <c r="J574" s="521"/>
      <c r="K574" s="772"/>
      <c r="L574" s="514"/>
      <c r="M574" s="756"/>
      <c r="N574" s="514"/>
      <c r="O574" s="514"/>
      <c r="P574" s="514"/>
      <c r="Q574" s="514"/>
      <c r="R574" s="514"/>
      <c r="S574" s="514"/>
      <c r="T574" s="756"/>
      <c r="U574" s="514"/>
      <c r="V574" s="514"/>
      <c r="W574" s="514"/>
      <c r="X574" s="514"/>
      <c r="Y574" s="514"/>
      <c r="Z574" s="514"/>
      <c r="AA574" s="756"/>
      <c r="AB574" s="764"/>
      <c r="AC574" s="514"/>
      <c r="AD574" s="514"/>
      <c r="AE574" s="698"/>
      <c r="AF574" s="514"/>
      <c r="AG574" s="514"/>
      <c r="AH574" s="789"/>
      <c r="AI574" s="946">
        <f t="shared" si="27"/>
        <v>0</v>
      </c>
      <c r="AJ574" s="521">
        <v>0</v>
      </c>
      <c r="AK574" s="520">
        <f t="shared" si="28"/>
        <v>0</v>
      </c>
      <c r="AL574" s="695" t="s">
        <v>1749</v>
      </c>
      <c r="AM574" s="669">
        <f t="shared" si="29"/>
        <v>31.6</v>
      </c>
    </row>
    <row r="575" spans="1:39" ht="13.35" hidden="1" customHeight="1">
      <c r="A575" s="542" t="s">
        <v>507</v>
      </c>
      <c r="B575" s="542" t="s">
        <v>1362</v>
      </c>
      <c r="C575" s="548" t="s">
        <v>38</v>
      </c>
      <c r="D575" s="519"/>
      <c r="E575" s="520"/>
      <c r="F575" s="726"/>
      <c r="G575" s="520"/>
      <c r="H575" s="520"/>
      <c r="I575" s="521"/>
      <c r="J575" s="521"/>
      <c r="K575" s="772"/>
      <c r="L575" s="514"/>
      <c r="M575" s="756"/>
      <c r="N575" s="514"/>
      <c r="O575" s="514"/>
      <c r="P575" s="514"/>
      <c r="Q575" s="514"/>
      <c r="R575" s="514"/>
      <c r="S575" s="514"/>
      <c r="T575" s="756"/>
      <c r="U575" s="514"/>
      <c r="V575" s="514"/>
      <c r="W575" s="514"/>
      <c r="X575" s="514"/>
      <c r="Y575" s="514"/>
      <c r="Z575" s="514"/>
      <c r="AA575" s="756"/>
      <c r="AB575" s="764"/>
      <c r="AC575" s="514"/>
      <c r="AD575" s="514"/>
      <c r="AE575" s="698"/>
      <c r="AF575" s="514"/>
      <c r="AG575" s="514"/>
      <c r="AH575" s="789"/>
      <c r="AI575" s="946">
        <f t="shared" si="27"/>
        <v>0</v>
      </c>
      <c r="AJ575" s="521">
        <v>0</v>
      </c>
      <c r="AK575" s="520">
        <f t="shared" si="28"/>
        <v>0</v>
      </c>
      <c r="AL575" s="695" t="s">
        <v>1750</v>
      </c>
      <c r="AM575" s="669">
        <f t="shared" si="29"/>
        <v>46.35</v>
      </c>
    </row>
    <row r="576" spans="1:39" ht="13.35" hidden="1" customHeight="1">
      <c r="A576" s="542" t="s">
        <v>508</v>
      </c>
      <c r="B576" s="542" t="s">
        <v>1363</v>
      </c>
      <c r="C576" s="548" t="s">
        <v>38</v>
      </c>
      <c r="D576" s="519"/>
      <c r="E576" s="520"/>
      <c r="F576" s="726"/>
      <c r="G576" s="520"/>
      <c r="H576" s="520"/>
      <c r="I576" s="521"/>
      <c r="J576" s="521"/>
      <c r="K576" s="772"/>
      <c r="L576" s="514"/>
      <c r="M576" s="756"/>
      <c r="N576" s="514"/>
      <c r="O576" s="514"/>
      <c r="P576" s="514"/>
      <c r="Q576" s="514"/>
      <c r="R576" s="514"/>
      <c r="S576" s="514"/>
      <c r="T576" s="756"/>
      <c r="U576" s="514"/>
      <c r="V576" s="514"/>
      <c r="W576" s="514"/>
      <c r="X576" s="514"/>
      <c r="Y576" s="514"/>
      <c r="Z576" s="514"/>
      <c r="AA576" s="756"/>
      <c r="AB576" s="764"/>
      <c r="AC576" s="514"/>
      <c r="AD576" s="514"/>
      <c r="AE576" s="698"/>
      <c r="AF576" s="514"/>
      <c r="AG576" s="514"/>
      <c r="AH576" s="789"/>
      <c r="AI576" s="946">
        <f t="shared" si="27"/>
        <v>0</v>
      </c>
      <c r="AJ576" s="521">
        <v>0</v>
      </c>
      <c r="AK576" s="520">
        <f t="shared" si="28"/>
        <v>0</v>
      </c>
      <c r="AL576" s="695" t="s">
        <v>1617</v>
      </c>
      <c r="AM576" s="669">
        <f t="shared" si="29"/>
        <v>6</v>
      </c>
    </row>
    <row r="577" spans="1:39" ht="13.35" hidden="1" customHeight="1">
      <c r="A577" s="542" t="s">
        <v>1035</v>
      </c>
      <c r="B577" s="542" t="s">
        <v>1364</v>
      </c>
      <c r="C577" s="548" t="s">
        <v>1450</v>
      </c>
      <c r="D577" s="519"/>
      <c r="E577" s="520"/>
      <c r="F577" s="726"/>
      <c r="G577" s="520"/>
      <c r="H577" s="520"/>
      <c r="I577" s="521"/>
      <c r="J577" s="521"/>
      <c r="K577" s="772"/>
      <c r="L577" s="514"/>
      <c r="M577" s="756"/>
      <c r="N577" s="514"/>
      <c r="O577" s="514"/>
      <c r="P577" s="514"/>
      <c r="Q577" s="514"/>
      <c r="R577" s="514"/>
      <c r="S577" s="514"/>
      <c r="T577" s="756"/>
      <c r="U577" s="514"/>
      <c r="V577" s="514"/>
      <c r="W577" s="514"/>
      <c r="X577" s="514"/>
      <c r="Y577" s="514"/>
      <c r="Z577" s="514"/>
      <c r="AA577" s="756"/>
      <c r="AB577" s="764"/>
      <c r="AC577" s="514"/>
      <c r="AD577" s="514"/>
      <c r="AE577" s="698"/>
      <c r="AF577" s="514"/>
      <c r="AG577" s="514"/>
      <c r="AH577" s="789"/>
      <c r="AI577" s="946">
        <f t="shared" si="27"/>
        <v>0</v>
      </c>
      <c r="AJ577" s="521">
        <v>0</v>
      </c>
      <c r="AK577" s="520">
        <f t="shared" si="28"/>
        <v>0</v>
      </c>
      <c r="AL577" s="695" t="s">
        <v>1455</v>
      </c>
      <c r="AM577" s="669">
        <f t="shared" si="29"/>
        <v>1</v>
      </c>
    </row>
    <row r="578" spans="1:39" ht="13.35" hidden="1" customHeight="1">
      <c r="A578" s="542" t="s">
        <v>1036</v>
      </c>
      <c r="B578" s="542" t="s">
        <v>1365</v>
      </c>
      <c r="C578" s="548" t="s">
        <v>1451</v>
      </c>
      <c r="D578" s="519"/>
      <c r="E578" s="520"/>
      <c r="F578" s="726"/>
      <c r="G578" s="520"/>
      <c r="H578" s="520"/>
      <c r="I578" s="521"/>
      <c r="J578" s="521"/>
      <c r="K578" s="772"/>
      <c r="L578" s="514"/>
      <c r="M578" s="756"/>
      <c r="N578" s="514"/>
      <c r="O578" s="514"/>
      <c r="P578" s="514"/>
      <c r="Q578" s="514"/>
      <c r="R578" s="514"/>
      <c r="S578" s="514"/>
      <c r="T578" s="756"/>
      <c r="U578" s="514"/>
      <c r="V578" s="514"/>
      <c r="W578" s="514"/>
      <c r="X578" s="514"/>
      <c r="Y578" s="514"/>
      <c r="Z578" s="514"/>
      <c r="AA578" s="756"/>
      <c r="AB578" s="764"/>
      <c r="AC578" s="514"/>
      <c r="AD578" s="514"/>
      <c r="AE578" s="698"/>
      <c r="AF578" s="514"/>
      <c r="AG578" s="514"/>
      <c r="AH578" s="789"/>
      <c r="AI578" s="946">
        <f t="shared" si="27"/>
        <v>0</v>
      </c>
      <c r="AJ578" s="521">
        <v>0</v>
      </c>
      <c r="AK578" s="520">
        <f t="shared" si="28"/>
        <v>0</v>
      </c>
      <c r="AL578" s="695" t="s">
        <v>1698</v>
      </c>
      <c r="AM578" s="669">
        <f t="shared" si="29"/>
        <v>2</v>
      </c>
    </row>
    <row r="579" spans="1:39" ht="13.35" hidden="1" customHeight="1">
      <c r="A579" s="542" t="s">
        <v>1037</v>
      </c>
      <c r="B579" s="542" t="s">
        <v>1366</v>
      </c>
      <c r="C579" s="548" t="s">
        <v>1450</v>
      </c>
      <c r="D579" s="519"/>
      <c r="E579" s="520"/>
      <c r="F579" s="726"/>
      <c r="G579" s="520"/>
      <c r="H579" s="520"/>
      <c r="I579" s="521"/>
      <c r="J579" s="521"/>
      <c r="K579" s="772"/>
      <c r="L579" s="514"/>
      <c r="M579" s="756"/>
      <c r="N579" s="514"/>
      <c r="O579" s="514"/>
      <c r="P579" s="514"/>
      <c r="Q579" s="514"/>
      <c r="R579" s="514"/>
      <c r="S579" s="514"/>
      <c r="T579" s="756"/>
      <c r="U579" s="514"/>
      <c r="V579" s="514"/>
      <c r="W579" s="514"/>
      <c r="X579" s="514"/>
      <c r="Y579" s="514"/>
      <c r="Z579" s="514"/>
      <c r="AA579" s="756"/>
      <c r="AB579" s="764"/>
      <c r="AC579" s="514"/>
      <c r="AD579" s="514"/>
      <c r="AE579" s="698"/>
      <c r="AF579" s="514"/>
      <c r="AG579" s="514"/>
      <c r="AH579" s="789"/>
      <c r="AI579" s="946">
        <f t="shared" si="27"/>
        <v>0</v>
      </c>
      <c r="AJ579" s="521">
        <v>0</v>
      </c>
      <c r="AK579" s="520">
        <f t="shared" si="28"/>
        <v>0</v>
      </c>
      <c r="AL579" s="695"/>
      <c r="AM579" s="669">
        <f t="shared" si="29"/>
        <v>0</v>
      </c>
    </row>
    <row r="580" spans="1:39" ht="13.35" hidden="1" customHeight="1">
      <c r="A580" s="440" t="s">
        <v>1038</v>
      </c>
      <c r="B580" s="543" t="s">
        <v>1367</v>
      </c>
      <c r="C580" s="548"/>
      <c r="D580" s="519"/>
      <c r="E580" s="520"/>
      <c r="F580" s="726"/>
      <c r="G580" s="520"/>
      <c r="H580" s="520"/>
      <c r="I580" s="521"/>
      <c r="J580" s="521"/>
      <c r="K580" s="772"/>
      <c r="L580" s="514"/>
      <c r="M580" s="756"/>
      <c r="N580" s="514"/>
      <c r="O580" s="514"/>
      <c r="P580" s="514"/>
      <c r="Q580" s="514"/>
      <c r="R580" s="514"/>
      <c r="S580" s="514"/>
      <c r="T580" s="756"/>
      <c r="U580" s="514"/>
      <c r="V580" s="514"/>
      <c r="W580" s="514"/>
      <c r="X580" s="514"/>
      <c r="Y580" s="514"/>
      <c r="Z580" s="514"/>
      <c r="AA580" s="756"/>
      <c r="AB580" s="764"/>
      <c r="AC580" s="514"/>
      <c r="AD580" s="514"/>
      <c r="AE580" s="698"/>
      <c r="AF580" s="514"/>
      <c r="AG580" s="514"/>
      <c r="AH580" s="789"/>
      <c r="AI580" s="946">
        <f t="shared" si="27"/>
        <v>0</v>
      </c>
      <c r="AJ580" s="521">
        <v>0</v>
      </c>
      <c r="AK580" s="520">
        <f t="shared" si="28"/>
        <v>0</v>
      </c>
      <c r="AL580" s="695" t="s">
        <v>1455</v>
      </c>
      <c r="AM580" s="669">
        <f t="shared" si="29"/>
        <v>1</v>
      </c>
    </row>
    <row r="581" spans="1:39" ht="13.35" hidden="1" customHeight="1">
      <c r="A581" s="542" t="s">
        <v>509</v>
      </c>
      <c r="B581" s="542" t="s">
        <v>1368</v>
      </c>
      <c r="C581" s="548" t="s">
        <v>64</v>
      </c>
      <c r="D581" s="519"/>
      <c r="E581" s="520"/>
      <c r="F581" s="726"/>
      <c r="G581" s="520"/>
      <c r="H581" s="520"/>
      <c r="I581" s="521"/>
      <c r="J581" s="521"/>
      <c r="K581" s="772"/>
      <c r="L581" s="514"/>
      <c r="M581" s="756"/>
      <c r="N581" s="514"/>
      <c r="O581" s="514"/>
      <c r="P581" s="514"/>
      <c r="Q581" s="514"/>
      <c r="R581" s="514"/>
      <c r="S581" s="514"/>
      <c r="T581" s="756"/>
      <c r="U581" s="514"/>
      <c r="V581" s="514"/>
      <c r="W581" s="514"/>
      <c r="X581" s="514"/>
      <c r="Y581" s="514"/>
      <c r="Z581" s="514"/>
      <c r="AA581" s="756"/>
      <c r="AB581" s="764"/>
      <c r="AC581" s="514"/>
      <c r="AD581" s="514"/>
      <c r="AE581" s="698"/>
      <c r="AF581" s="514"/>
      <c r="AG581" s="514"/>
      <c r="AH581" s="789"/>
      <c r="AI581" s="946">
        <f t="shared" si="27"/>
        <v>0</v>
      </c>
      <c r="AJ581" s="521">
        <v>0</v>
      </c>
      <c r="AK581" s="520">
        <f t="shared" si="28"/>
        <v>0</v>
      </c>
      <c r="AL581" s="695" t="s">
        <v>1751</v>
      </c>
      <c r="AM581" s="669">
        <f t="shared" si="29"/>
        <v>77.95</v>
      </c>
    </row>
    <row r="582" spans="1:39" ht="13.35" hidden="1" customHeight="1">
      <c r="A582" s="542" t="s">
        <v>510</v>
      </c>
      <c r="B582" s="542" t="s">
        <v>1369</v>
      </c>
      <c r="C582" s="548" t="s">
        <v>38</v>
      </c>
      <c r="D582" s="519"/>
      <c r="E582" s="520"/>
      <c r="F582" s="726"/>
      <c r="G582" s="520"/>
      <c r="H582" s="520"/>
      <c r="I582" s="521"/>
      <c r="J582" s="521"/>
      <c r="K582" s="772"/>
      <c r="L582" s="514"/>
      <c r="M582" s="756"/>
      <c r="N582" s="514"/>
      <c r="O582" s="514"/>
      <c r="P582" s="514"/>
      <c r="Q582" s="514"/>
      <c r="R582" s="514"/>
      <c r="S582" s="514"/>
      <c r="T582" s="756"/>
      <c r="U582" s="514"/>
      <c r="V582" s="514"/>
      <c r="W582" s="514"/>
      <c r="X582" s="514"/>
      <c r="Y582" s="514"/>
      <c r="Z582" s="514"/>
      <c r="AA582" s="756"/>
      <c r="AB582" s="764"/>
      <c r="AC582" s="514"/>
      <c r="AD582" s="514"/>
      <c r="AE582" s="698"/>
      <c r="AF582" s="514"/>
      <c r="AG582" s="514"/>
      <c r="AH582" s="789"/>
      <c r="AI582" s="946">
        <f t="shared" si="27"/>
        <v>0</v>
      </c>
      <c r="AJ582" s="521">
        <v>0</v>
      </c>
      <c r="AK582" s="520">
        <f t="shared" si="28"/>
        <v>0</v>
      </c>
      <c r="AL582" s="695"/>
      <c r="AM582" s="669">
        <f t="shared" si="29"/>
        <v>0</v>
      </c>
    </row>
    <row r="583" spans="1:39" ht="13.35" hidden="1" customHeight="1">
      <c r="A583" s="440" t="s">
        <v>1039</v>
      </c>
      <c r="B583" s="543" t="s">
        <v>1370</v>
      </c>
      <c r="C583" s="548"/>
      <c r="D583" s="519"/>
      <c r="E583" s="520"/>
      <c r="F583" s="726"/>
      <c r="G583" s="520"/>
      <c r="H583" s="520"/>
      <c r="I583" s="521"/>
      <c r="J583" s="521"/>
      <c r="K583" s="772"/>
      <c r="L583" s="514"/>
      <c r="M583" s="756"/>
      <c r="N583" s="514"/>
      <c r="O583" s="514"/>
      <c r="P583" s="514"/>
      <c r="Q583" s="514"/>
      <c r="R583" s="514"/>
      <c r="S583" s="514"/>
      <c r="T583" s="756"/>
      <c r="U583" s="514"/>
      <c r="V583" s="514"/>
      <c r="W583" s="514"/>
      <c r="X583" s="514"/>
      <c r="Y583" s="514"/>
      <c r="Z583" s="514"/>
      <c r="AA583" s="756"/>
      <c r="AB583" s="764"/>
      <c r="AC583" s="514"/>
      <c r="AD583" s="514"/>
      <c r="AE583" s="698"/>
      <c r="AF583" s="514"/>
      <c r="AG583" s="514"/>
      <c r="AH583" s="789"/>
      <c r="AI583" s="946">
        <f t="shared" si="27"/>
        <v>0</v>
      </c>
      <c r="AJ583" s="521">
        <v>0</v>
      </c>
      <c r="AK583" s="520">
        <f t="shared" si="28"/>
        <v>0</v>
      </c>
      <c r="AL583" s="695" t="s">
        <v>1752</v>
      </c>
      <c r="AM583" s="669">
        <f t="shared" si="29"/>
        <v>110.78</v>
      </c>
    </row>
    <row r="584" spans="1:39" ht="13.35" hidden="1" customHeight="1">
      <c r="A584" s="542" t="s">
        <v>1040</v>
      </c>
      <c r="B584" s="542" t="s">
        <v>1371</v>
      </c>
      <c r="C584" s="548" t="s">
        <v>38</v>
      </c>
      <c r="D584" s="519"/>
      <c r="E584" s="520"/>
      <c r="F584" s="726"/>
      <c r="G584" s="520"/>
      <c r="H584" s="520"/>
      <c r="I584" s="521"/>
      <c r="J584" s="521"/>
      <c r="K584" s="772"/>
      <c r="L584" s="514"/>
      <c r="M584" s="756"/>
      <c r="N584" s="514"/>
      <c r="O584" s="514"/>
      <c r="P584" s="514"/>
      <c r="Q584" s="514"/>
      <c r="R584" s="514"/>
      <c r="S584" s="514"/>
      <c r="T584" s="756"/>
      <c r="U584" s="514"/>
      <c r="V584" s="514"/>
      <c r="W584" s="514"/>
      <c r="X584" s="514"/>
      <c r="Y584" s="514"/>
      <c r="Z584" s="514"/>
      <c r="AA584" s="756"/>
      <c r="AB584" s="764"/>
      <c r="AC584" s="514"/>
      <c r="AD584" s="514"/>
      <c r="AE584" s="698"/>
      <c r="AF584" s="514"/>
      <c r="AG584" s="514"/>
      <c r="AH584" s="789"/>
      <c r="AI584" s="946">
        <f t="shared" si="27"/>
        <v>0</v>
      </c>
      <c r="AJ584" s="521">
        <v>0</v>
      </c>
      <c r="AK584" s="520">
        <f t="shared" si="28"/>
        <v>0</v>
      </c>
      <c r="AL584" s="695" t="s">
        <v>1753</v>
      </c>
      <c r="AM584" s="669">
        <f t="shared" si="29"/>
        <v>34</v>
      </c>
    </row>
    <row r="585" spans="1:39" ht="13.35" hidden="1" customHeight="1">
      <c r="A585" s="542" t="s">
        <v>1041</v>
      </c>
      <c r="B585" s="542" t="s">
        <v>1372</v>
      </c>
      <c r="C585" s="548" t="s">
        <v>1450</v>
      </c>
      <c r="D585" s="519"/>
      <c r="E585" s="520"/>
      <c r="F585" s="726"/>
      <c r="G585" s="520"/>
      <c r="H585" s="520"/>
      <c r="I585" s="521"/>
      <c r="J585" s="521"/>
      <c r="K585" s="772"/>
      <c r="L585" s="514"/>
      <c r="M585" s="756"/>
      <c r="N585" s="514"/>
      <c r="O585" s="514"/>
      <c r="P585" s="514"/>
      <c r="Q585" s="514"/>
      <c r="R585" s="514"/>
      <c r="S585" s="514"/>
      <c r="T585" s="756"/>
      <c r="U585" s="514"/>
      <c r="V585" s="514"/>
      <c r="W585" s="514"/>
      <c r="X585" s="514"/>
      <c r="Y585" s="514"/>
      <c r="Z585" s="514"/>
      <c r="AA585" s="756"/>
      <c r="AB585" s="764"/>
      <c r="AC585" s="514"/>
      <c r="AD585" s="514"/>
      <c r="AE585" s="698"/>
      <c r="AF585" s="514"/>
      <c r="AG585" s="514"/>
      <c r="AH585" s="789"/>
      <c r="AI585" s="946">
        <f t="shared" si="27"/>
        <v>0</v>
      </c>
      <c r="AJ585" s="521">
        <v>0</v>
      </c>
      <c r="AK585" s="520">
        <f t="shared" si="28"/>
        <v>0</v>
      </c>
      <c r="AL585" s="695" t="s">
        <v>1754</v>
      </c>
      <c r="AM585" s="669">
        <f t="shared" si="29"/>
        <v>35.200000000000003</v>
      </c>
    </row>
    <row r="586" spans="1:39" ht="13.35" hidden="1" customHeight="1">
      <c r="A586" s="542" t="s">
        <v>1042</v>
      </c>
      <c r="B586" s="542" t="s">
        <v>1373</v>
      </c>
      <c r="C586" s="548" t="s">
        <v>37</v>
      </c>
      <c r="D586" s="519"/>
      <c r="E586" s="520"/>
      <c r="F586" s="726"/>
      <c r="G586" s="520"/>
      <c r="H586" s="520"/>
      <c r="I586" s="521"/>
      <c r="J586" s="521"/>
      <c r="K586" s="772"/>
      <c r="L586" s="514"/>
      <c r="M586" s="756"/>
      <c r="N586" s="514"/>
      <c r="O586" s="514"/>
      <c r="P586" s="514"/>
      <c r="Q586" s="514"/>
      <c r="R586" s="514"/>
      <c r="S586" s="514"/>
      <c r="T586" s="756"/>
      <c r="U586" s="514"/>
      <c r="V586" s="514"/>
      <c r="W586" s="514"/>
      <c r="X586" s="514"/>
      <c r="Y586" s="514"/>
      <c r="Z586" s="514"/>
      <c r="AA586" s="756"/>
      <c r="AB586" s="764"/>
      <c r="AC586" s="514"/>
      <c r="AD586" s="514"/>
      <c r="AE586" s="698"/>
      <c r="AF586" s="514"/>
      <c r="AG586" s="514"/>
      <c r="AH586" s="789"/>
      <c r="AI586" s="946">
        <f t="shared" si="27"/>
        <v>0</v>
      </c>
      <c r="AJ586" s="521">
        <v>0</v>
      </c>
      <c r="AK586" s="520">
        <f t="shared" si="28"/>
        <v>0</v>
      </c>
      <c r="AL586" s="695" t="s">
        <v>1755</v>
      </c>
      <c r="AM586" s="669">
        <f t="shared" si="29"/>
        <v>1.32</v>
      </c>
    </row>
    <row r="587" spans="1:39" ht="13.35" hidden="1" customHeight="1">
      <c r="A587" s="542" t="s">
        <v>1043</v>
      </c>
      <c r="B587" s="542" t="s">
        <v>1374</v>
      </c>
      <c r="C587" s="548" t="s">
        <v>40</v>
      </c>
      <c r="D587" s="519"/>
      <c r="E587" s="520"/>
      <c r="F587" s="726"/>
      <c r="G587" s="520"/>
      <c r="H587" s="520"/>
      <c r="I587" s="521"/>
      <c r="J587" s="521"/>
      <c r="K587" s="772"/>
      <c r="L587" s="514"/>
      <c r="M587" s="756"/>
      <c r="N587" s="514"/>
      <c r="O587" s="514"/>
      <c r="P587" s="514"/>
      <c r="Q587" s="514"/>
      <c r="R587" s="514"/>
      <c r="S587" s="514"/>
      <c r="T587" s="756"/>
      <c r="U587" s="514"/>
      <c r="V587" s="514"/>
      <c r="W587" s="514"/>
      <c r="X587" s="514"/>
      <c r="Y587" s="514"/>
      <c r="Z587" s="514"/>
      <c r="AA587" s="756"/>
      <c r="AB587" s="764"/>
      <c r="AC587" s="514"/>
      <c r="AD587" s="514"/>
      <c r="AE587" s="698"/>
      <c r="AF587" s="514"/>
      <c r="AG587" s="514"/>
      <c r="AH587" s="789"/>
      <c r="AI587" s="946">
        <f t="shared" si="27"/>
        <v>0</v>
      </c>
      <c r="AJ587" s="521">
        <v>0</v>
      </c>
      <c r="AK587" s="520">
        <f t="shared" si="28"/>
        <v>0</v>
      </c>
      <c r="AL587" s="695" t="s">
        <v>1756</v>
      </c>
      <c r="AM587" s="669">
        <f t="shared" si="29"/>
        <v>114.4</v>
      </c>
    </row>
    <row r="588" spans="1:39" ht="13.35" hidden="1" customHeight="1">
      <c r="A588" s="542" t="s">
        <v>1044</v>
      </c>
      <c r="B588" s="542" t="s">
        <v>1375</v>
      </c>
      <c r="C588" s="548" t="s">
        <v>48</v>
      </c>
      <c r="D588" s="519"/>
      <c r="E588" s="520"/>
      <c r="F588" s="726"/>
      <c r="G588" s="520"/>
      <c r="H588" s="520"/>
      <c r="I588" s="521"/>
      <c r="J588" s="521"/>
      <c r="K588" s="772"/>
      <c r="L588" s="514"/>
      <c r="M588" s="756"/>
      <c r="N588" s="514"/>
      <c r="O588" s="514"/>
      <c r="P588" s="514"/>
      <c r="Q588" s="514"/>
      <c r="R588" s="514"/>
      <c r="S588" s="514"/>
      <c r="T588" s="756"/>
      <c r="U588" s="514"/>
      <c r="V588" s="514"/>
      <c r="W588" s="514"/>
      <c r="X588" s="514"/>
      <c r="Y588" s="514"/>
      <c r="Z588" s="514"/>
      <c r="AA588" s="756"/>
      <c r="AB588" s="764"/>
      <c r="AC588" s="514"/>
      <c r="AD588" s="514"/>
      <c r="AE588" s="698"/>
      <c r="AF588" s="514"/>
      <c r="AG588" s="514"/>
      <c r="AH588" s="789"/>
      <c r="AI588" s="946">
        <f t="shared" ref="AI588:AI651" si="30">ROUND((SUM(D588:AH588)),2)</f>
        <v>0</v>
      </c>
      <c r="AJ588" s="521">
        <v>0</v>
      </c>
      <c r="AK588" s="520">
        <f t="shared" si="28"/>
        <v>0</v>
      </c>
      <c r="AL588" s="695" t="s">
        <v>1757</v>
      </c>
      <c r="AM588" s="669">
        <f t="shared" si="29"/>
        <v>89.98</v>
      </c>
    </row>
    <row r="589" spans="1:39" ht="13.35" hidden="1" customHeight="1">
      <c r="A589" s="542" t="s">
        <v>1045</v>
      </c>
      <c r="B589" s="542" t="s">
        <v>1376</v>
      </c>
      <c r="C589" s="548" t="s">
        <v>38</v>
      </c>
      <c r="D589" s="519"/>
      <c r="E589" s="520"/>
      <c r="F589" s="726"/>
      <c r="G589" s="520"/>
      <c r="H589" s="520"/>
      <c r="I589" s="521"/>
      <c r="J589" s="521"/>
      <c r="K589" s="772"/>
      <c r="L589" s="514"/>
      <c r="M589" s="756"/>
      <c r="N589" s="514"/>
      <c r="O589" s="514"/>
      <c r="P589" s="514"/>
      <c r="Q589" s="514"/>
      <c r="R589" s="514"/>
      <c r="S589" s="514"/>
      <c r="T589" s="756"/>
      <c r="U589" s="514"/>
      <c r="V589" s="514"/>
      <c r="W589" s="514"/>
      <c r="X589" s="514"/>
      <c r="Y589" s="514"/>
      <c r="Z589" s="514"/>
      <c r="AA589" s="756"/>
      <c r="AB589" s="764"/>
      <c r="AC589" s="514"/>
      <c r="AD589" s="514"/>
      <c r="AE589" s="698"/>
      <c r="AF589" s="514"/>
      <c r="AG589" s="514"/>
      <c r="AH589" s="789"/>
      <c r="AI589" s="946">
        <f t="shared" si="30"/>
        <v>0</v>
      </c>
      <c r="AJ589" s="521">
        <v>0</v>
      </c>
      <c r="AK589" s="520">
        <f t="shared" si="28"/>
        <v>0</v>
      </c>
      <c r="AL589" s="695" t="s">
        <v>1758</v>
      </c>
      <c r="AM589" s="669">
        <f t="shared" si="29"/>
        <v>33.78</v>
      </c>
    </row>
    <row r="590" spans="1:39" ht="13.35" hidden="1" customHeight="1">
      <c r="A590" s="542" t="s">
        <v>1046</v>
      </c>
      <c r="B590" s="542" t="s">
        <v>1377</v>
      </c>
      <c r="C590" s="548" t="s">
        <v>38</v>
      </c>
      <c r="D590" s="519"/>
      <c r="E590" s="520"/>
      <c r="F590" s="726"/>
      <c r="G590" s="520"/>
      <c r="H590" s="520"/>
      <c r="I590" s="521"/>
      <c r="J590" s="521"/>
      <c r="K590" s="772"/>
      <c r="L590" s="514"/>
      <c r="M590" s="756"/>
      <c r="N590" s="514"/>
      <c r="O590" s="514"/>
      <c r="P590" s="514"/>
      <c r="Q590" s="514"/>
      <c r="R590" s="514"/>
      <c r="S590" s="514"/>
      <c r="T590" s="756"/>
      <c r="U590" s="514"/>
      <c r="V590" s="514"/>
      <c r="W590" s="514"/>
      <c r="X590" s="514"/>
      <c r="Y590" s="514"/>
      <c r="Z590" s="514"/>
      <c r="AA590" s="756"/>
      <c r="AB590" s="764"/>
      <c r="AC590" s="514"/>
      <c r="AD590" s="514"/>
      <c r="AE590" s="698"/>
      <c r="AF590" s="514"/>
      <c r="AG590" s="514"/>
      <c r="AH590" s="789"/>
      <c r="AI590" s="946">
        <f t="shared" si="30"/>
        <v>0</v>
      </c>
      <c r="AJ590" s="521">
        <v>0</v>
      </c>
      <c r="AK590" s="520">
        <f t="shared" si="28"/>
        <v>0</v>
      </c>
      <c r="AL590" s="695" t="s">
        <v>1759</v>
      </c>
      <c r="AM590" s="669">
        <f t="shared" si="29"/>
        <v>18</v>
      </c>
    </row>
    <row r="591" spans="1:39" ht="13.35" hidden="1" customHeight="1">
      <c r="A591" s="542" t="s">
        <v>1047</v>
      </c>
      <c r="B591" s="542" t="s">
        <v>1353</v>
      </c>
      <c r="C591" s="548" t="s">
        <v>40</v>
      </c>
      <c r="D591" s="519"/>
      <c r="E591" s="520"/>
      <c r="F591" s="726"/>
      <c r="G591" s="520"/>
      <c r="H591" s="520"/>
      <c r="I591" s="521"/>
      <c r="J591" s="521"/>
      <c r="K591" s="772"/>
      <c r="L591" s="514"/>
      <c r="M591" s="756"/>
      <c r="N591" s="514"/>
      <c r="O591" s="514"/>
      <c r="P591" s="514"/>
      <c r="Q591" s="514"/>
      <c r="R591" s="514"/>
      <c r="S591" s="514"/>
      <c r="T591" s="756"/>
      <c r="U591" s="514"/>
      <c r="V591" s="514"/>
      <c r="W591" s="514"/>
      <c r="X591" s="514"/>
      <c r="Y591" s="514"/>
      <c r="Z591" s="514"/>
      <c r="AA591" s="756"/>
      <c r="AB591" s="764"/>
      <c r="AC591" s="514"/>
      <c r="AD591" s="514"/>
      <c r="AE591" s="698"/>
      <c r="AF591" s="514"/>
      <c r="AG591" s="514"/>
      <c r="AH591" s="789"/>
      <c r="AI591" s="946">
        <f t="shared" si="30"/>
        <v>0</v>
      </c>
      <c r="AJ591" s="521">
        <v>0</v>
      </c>
      <c r="AK591" s="520">
        <f t="shared" si="28"/>
        <v>0</v>
      </c>
      <c r="AL591" s="695" t="s">
        <v>1760</v>
      </c>
      <c r="AM591" s="669">
        <f t="shared" si="29"/>
        <v>56.2</v>
      </c>
    </row>
    <row r="592" spans="1:39" ht="13.35" hidden="1" customHeight="1">
      <c r="A592" s="542" t="s">
        <v>1048</v>
      </c>
      <c r="B592" s="542" t="s">
        <v>1378</v>
      </c>
      <c r="C592" s="548" t="s">
        <v>38</v>
      </c>
      <c r="D592" s="519"/>
      <c r="E592" s="520"/>
      <c r="F592" s="726"/>
      <c r="G592" s="520"/>
      <c r="H592" s="520"/>
      <c r="I592" s="521"/>
      <c r="J592" s="521"/>
      <c r="K592" s="772"/>
      <c r="L592" s="514"/>
      <c r="M592" s="756"/>
      <c r="N592" s="514"/>
      <c r="O592" s="514"/>
      <c r="P592" s="514"/>
      <c r="Q592" s="514"/>
      <c r="R592" s="514"/>
      <c r="S592" s="514"/>
      <c r="T592" s="756"/>
      <c r="U592" s="514"/>
      <c r="V592" s="514"/>
      <c r="W592" s="514"/>
      <c r="X592" s="514"/>
      <c r="Y592" s="514"/>
      <c r="Z592" s="514"/>
      <c r="AA592" s="756"/>
      <c r="AB592" s="764"/>
      <c r="AC592" s="514"/>
      <c r="AD592" s="514"/>
      <c r="AE592" s="698"/>
      <c r="AF592" s="514"/>
      <c r="AG592" s="514"/>
      <c r="AH592" s="789"/>
      <c r="AI592" s="946">
        <f t="shared" si="30"/>
        <v>0</v>
      </c>
      <c r="AJ592" s="521">
        <v>0</v>
      </c>
      <c r="AK592" s="520">
        <f t="shared" si="28"/>
        <v>0</v>
      </c>
      <c r="AL592" s="695" t="s">
        <v>1760</v>
      </c>
      <c r="AM592" s="669">
        <f t="shared" si="29"/>
        <v>56.2</v>
      </c>
    </row>
    <row r="593" spans="1:39" ht="13.35" hidden="1" customHeight="1">
      <c r="A593" s="542" t="s">
        <v>1049</v>
      </c>
      <c r="B593" s="542" t="s">
        <v>1379</v>
      </c>
      <c r="C593" s="548" t="s">
        <v>38</v>
      </c>
      <c r="D593" s="519"/>
      <c r="E593" s="520"/>
      <c r="F593" s="726"/>
      <c r="G593" s="520"/>
      <c r="H593" s="520"/>
      <c r="I593" s="521"/>
      <c r="J593" s="521"/>
      <c r="K593" s="772"/>
      <c r="L593" s="514"/>
      <c r="M593" s="756"/>
      <c r="N593" s="514"/>
      <c r="O593" s="514"/>
      <c r="P593" s="514"/>
      <c r="Q593" s="514"/>
      <c r="R593" s="514"/>
      <c r="S593" s="514"/>
      <c r="T593" s="756"/>
      <c r="U593" s="514"/>
      <c r="V593" s="514"/>
      <c r="W593" s="514"/>
      <c r="X593" s="514"/>
      <c r="Y593" s="514"/>
      <c r="Z593" s="514"/>
      <c r="AA593" s="756"/>
      <c r="AB593" s="764"/>
      <c r="AC593" s="514"/>
      <c r="AD593" s="514"/>
      <c r="AE593" s="698"/>
      <c r="AF593" s="514"/>
      <c r="AG593" s="514"/>
      <c r="AH593" s="789"/>
      <c r="AI593" s="946">
        <f t="shared" si="30"/>
        <v>0</v>
      </c>
      <c r="AJ593" s="521">
        <v>0</v>
      </c>
      <c r="AK593" s="520">
        <f t="shared" si="28"/>
        <v>0</v>
      </c>
      <c r="AL593" s="695" t="s">
        <v>1761</v>
      </c>
      <c r="AM593" s="669">
        <f t="shared" si="29"/>
        <v>59.01</v>
      </c>
    </row>
    <row r="594" spans="1:39" ht="13.35" hidden="1" customHeight="1">
      <c r="A594" s="542" t="s">
        <v>1050</v>
      </c>
      <c r="B594" s="542" t="s">
        <v>1380</v>
      </c>
      <c r="C594" s="548" t="s">
        <v>37</v>
      </c>
      <c r="D594" s="519"/>
      <c r="E594" s="520"/>
      <c r="F594" s="726"/>
      <c r="G594" s="520"/>
      <c r="H594" s="520"/>
      <c r="I594" s="521"/>
      <c r="J594" s="521"/>
      <c r="K594" s="772"/>
      <c r="L594" s="514"/>
      <c r="M594" s="756"/>
      <c r="N594" s="514"/>
      <c r="O594" s="514"/>
      <c r="P594" s="514"/>
      <c r="Q594" s="514"/>
      <c r="R594" s="514"/>
      <c r="S594" s="514"/>
      <c r="T594" s="756"/>
      <c r="U594" s="514"/>
      <c r="V594" s="514"/>
      <c r="W594" s="514"/>
      <c r="X594" s="514"/>
      <c r="Y594" s="514"/>
      <c r="Z594" s="514"/>
      <c r="AA594" s="756"/>
      <c r="AB594" s="764"/>
      <c r="AC594" s="514"/>
      <c r="AD594" s="514"/>
      <c r="AE594" s="698"/>
      <c r="AF594" s="514"/>
      <c r="AG594" s="514"/>
      <c r="AH594" s="789"/>
      <c r="AI594" s="946">
        <f t="shared" si="30"/>
        <v>0</v>
      </c>
      <c r="AJ594" s="521">
        <v>0</v>
      </c>
      <c r="AK594" s="520">
        <f t="shared" si="28"/>
        <v>0</v>
      </c>
      <c r="AL594" s="695" t="s">
        <v>1762</v>
      </c>
      <c r="AM594" s="669">
        <f t="shared" si="29"/>
        <v>36.119999999999997</v>
      </c>
    </row>
    <row r="595" spans="1:39" ht="13.35" hidden="1" customHeight="1">
      <c r="A595" s="542" t="s">
        <v>1051</v>
      </c>
      <c r="B595" s="542" t="s">
        <v>1381</v>
      </c>
      <c r="C595" s="548" t="s">
        <v>38</v>
      </c>
      <c r="D595" s="519"/>
      <c r="E595" s="520"/>
      <c r="F595" s="726"/>
      <c r="G595" s="520"/>
      <c r="H595" s="520"/>
      <c r="I595" s="521"/>
      <c r="J595" s="521"/>
      <c r="K595" s="772"/>
      <c r="L595" s="514"/>
      <c r="M595" s="756"/>
      <c r="N595" s="514"/>
      <c r="O595" s="514"/>
      <c r="P595" s="514"/>
      <c r="Q595" s="514"/>
      <c r="R595" s="514"/>
      <c r="S595" s="514"/>
      <c r="T595" s="756"/>
      <c r="U595" s="514"/>
      <c r="V595" s="514"/>
      <c r="W595" s="514"/>
      <c r="X595" s="514"/>
      <c r="Y595" s="514"/>
      <c r="Z595" s="514"/>
      <c r="AA595" s="756"/>
      <c r="AB595" s="764"/>
      <c r="AC595" s="514"/>
      <c r="AD595" s="514"/>
      <c r="AE595" s="698"/>
      <c r="AF595" s="514"/>
      <c r="AG595" s="514"/>
      <c r="AH595" s="789"/>
      <c r="AI595" s="946">
        <f t="shared" si="30"/>
        <v>0</v>
      </c>
      <c r="AJ595" s="521">
        <v>0</v>
      </c>
      <c r="AK595" s="520">
        <f t="shared" si="28"/>
        <v>0</v>
      </c>
      <c r="AL595" s="695" t="s">
        <v>1670</v>
      </c>
      <c r="AM595" s="669">
        <f t="shared" si="29"/>
        <v>20</v>
      </c>
    </row>
    <row r="596" spans="1:39" ht="14.1" hidden="1" customHeight="1">
      <c r="A596" s="542" t="s">
        <v>1052</v>
      </c>
      <c r="B596" s="542" t="s">
        <v>1382</v>
      </c>
      <c r="C596" s="548" t="s">
        <v>38</v>
      </c>
      <c r="D596" s="519"/>
      <c r="E596" s="520"/>
      <c r="F596" s="726"/>
      <c r="G596" s="520"/>
      <c r="H596" s="520"/>
      <c r="I596" s="521"/>
      <c r="J596" s="521"/>
      <c r="K596" s="772"/>
      <c r="L596" s="514"/>
      <c r="M596" s="756"/>
      <c r="N596" s="514"/>
      <c r="O596" s="514"/>
      <c r="P596" s="514"/>
      <c r="Q596" s="514"/>
      <c r="R596" s="514"/>
      <c r="S596" s="514"/>
      <c r="T596" s="756"/>
      <c r="U596" s="514"/>
      <c r="V596" s="514"/>
      <c r="W596" s="514"/>
      <c r="X596" s="514"/>
      <c r="Y596" s="514"/>
      <c r="Z596" s="514"/>
      <c r="AA596" s="756"/>
      <c r="AB596" s="764"/>
      <c r="AC596" s="514"/>
      <c r="AD596" s="514"/>
      <c r="AE596" s="698"/>
      <c r="AF596" s="514"/>
      <c r="AG596" s="514"/>
      <c r="AH596" s="789"/>
      <c r="AI596" s="946">
        <f t="shared" si="30"/>
        <v>0</v>
      </c>
      <c r="AJ596" s="521">
        <v>0</v>
      </c>
      <c r="AK596" s="520">
        <f t="shared" ref="AK596:AK659" si="31">AI596+AJ596</f>
        <v>0</v>
      </c>
      <c r="AL596" s="695"/>
      <c r="AM596" s="669">
        <f t="shared" ref="AM596:AM659" si="32">AL596-AK596</f>
        <v>0</v>
      </c>
    </row>
    <row r="597" spans="1:39" s="978" customFormat="1" ht="13.35" hidden="1" customHeight="1">
      <c r="A597" s="949" t="s">
        <v>511</v>
      </c>
      <c r="B597" s="949" t="s">
        <v>1383</v>
      </c>
      <c r="C597" s="951"/>
      <c r="D597" s="519"/>
      <c r="E597" s="520"/>
      <c r="F597" s="726"/>
      <c r="G597" s="520"/>
      <c r="H597" s="520"/>
      <c r="I597" s="521"/>
      <c r="J597" s="521"/>
      <c r="K597" s="772"/>
      <c r="L597" s="514"/>
      <c r="M597" s="756"/>
      <c r="N597" s="514"/>
      <c r="O597" s="514"/>
      <c r="P597" s="514"/>
      <c r="Q597" s="514"/>
      <c r="R597" s="514"/>
      <c r="S597" s="514"/>
      <c r="T597" s="756"/>
      <c r="U597" s="514"/>
      <c r="V597" s="514"/>
      <c r="W597" s="514"/>
      <c r="X597" s="514"/>
      <c r="Y597" s="514"/>
      <c r="Z597" s="514"/>
      <c r="AA597" s="756"/>
      <c r="AB597" s="764"/>
      <c r="AC597" s="514"/>
      <c r="AD597" s="514"/>
      <c r="AE597" s="698"/>
      <c r="AF597" s="514"/>
      <c r="AG597" s="514"/>
      <c r="AH597" s="789"/>
      <c r="AI597" s="946">
        <f t="shared" si="30"/>
        <v>0</v>
      </c>
      <c r="AJ597" s="521">
        <v>0</v>
      </c>
      <c r="AK597" s="520">
        <f t="shared" si="31"/>
        <v>0</v>
      </c>
      <c r="AL597" s="848"/>
      <c r="AM597" s="842">
        <f t="shared" si="32"/>
        <v>0</v>
      </c>
    </row>
    <row r="598" spans="1:39" ht="13.35" hidden="1" customHeight="1">
      <c r="A598" s="440" t="s">
        <v>512</v>
      </c>
      <c r="B598" s="543" t="s">
        <v>1384</v>
      </c>
      <c r="C598" s="616"/>
      <c r="D598" s="519"/>
      <c r="E598" s="520"/>
      <c r="F598" s="726"/>
      <c r="G598" s="520"/>
      <c r="H598" s="520"/>
      <c r="I598" s="521"/>
      <c r="J598" s="521"/>
      <c r="K598" s="772"/>
      <c r="L598" s="514"/>
      <c r="M598" s="756"/>
      <c r="N598" s="514"/>
      <c r="O598" s="514"/>
      <c r="P598" s="514"/>
      <c r="Q598" s="514"/>
      <c r="R598" s="514"/>
      <c r="S598" s="514"/>
      <c r="T598" s="756"/>
      <c r="U598" s="514"/>
      <c r="V598" s="514"/>
      <c r="W598" s="514"/>
      <c r="X598" s="514"/>
      <c r="Y598" s="514"/>
      <c r="Z598" s="514"/>
      <c r="AA598" s="756"/>
      <c r="AB598" s="764"/>
      <c r="AC598" s="514"/>
      <c r="AD598" s="514"/>
      <c r="AE598" s="698"/>
      <c r="AF598" s="514"/>
      <c r="AG598" s="514"/>
      <c r="AH598" s="789"/>
      <c r="AI598" s="946">
        <f t="shared" si="30"/>
        <v>0</v>
      </c>
      <c r="AJ598" s="521">
        <v>0</v>
      </c>
      <c r="AK598" s="520">
        <f t="shared" si="31"/>
        <v>0</v>
      </c>
      <c r="AL598" s="695"/>
      <c r="AM598" s="669">
        <f t="shared" si="32"/>
        <v>0</v>
      </c>
    </row>
    <row r="599" spans="1:39" ht="13.35" hidden="1" customHeight="1">
      <c r="A599" s="542" t="s">
        <v>1053</v>
      </c>
      <c r="B599" s="542" t="s">
        <v>1385</v>
      </c>
      <c r="C599" s="616"/>
      <c r="D599" s="519"/>
      <c r="E599" s="520"/>
      <c r="F599" s="726"/>
      <c r="G599" s="520"/>
      <c r="H599" s="520"/>
      <c r="I599" s="521"/>
      <c r="J599" s="521"/>
      <c r="K599" s="772"/>
      <c r="L599" s="514"/>
      <c r="M599" s="756"/>
      <c r="N599" s="514"/>
      <c r="O599" s="514"/>
      <c r="P599" s="514"/>
      <c r="Q599" s="514"/>
      <c r="R599" s="514"/>
      <c r="S599" s="514"/>
      <c r="T599" s="756"/>
      <c r="U599" s="514"/>
      <c r="V599" s="514"/>
      <c r="W599" s="514"/>
      <c r="X599" s="514"/>
      <c r="Y599" s="514"/>
      <c r="Z599" s="514"/>
      <c r="AA599" s="756"/>
      <c r="AB599" s="764"/>
      <c r="AC599" s="514"/>
      <c r="AD599" s="514"/>
      <c r="AE599" s="698"/>
      <c r="AF599" s="514"/>
      <c r="AG599" s="514"/>
      <c r="AH599" s="789"/>
      <c r="AI599" s="946">
        <f t="shared" si="30"/>
        <v>0</v>
      </c>
      <c r="AJ599" s="521">
        <v>0</v>
      </c>
      <c r="AK599" s="520">
        <f t="shared" si="31"/>
        <v>0</v>
      </c>
      <c r="AL599" s="695" t="s">
        <v>1455</v>
      </c>
      <c r="AM599" s="669">
        <f t="shared" si="32"/>
        <v>1</v>
      </c>
    </row>
    <row r="600" spans="1:39" ht="13.35" hidden="1" customHeight="1">
      <c r="A600" s="539" t="s">
        <v>1054</v>
      </c>
      <c r="B600" s="539" t="s">
        <v>1386</v>
      </c>
      <c r="C600" s="548" t="s">
        <v>1453</v>
      </c>
      <c r="D600" s="519"/>
      <c r="E600" s="520"/>
      <c r="F600" s="726"/>
      <c r="G600" s="520"/>
      <c r="H600" s="520"/>
      <c r="I600" s="521"/>
      <c r="J600" s="521"/>
      <c r="K600" s="772"/>
      <c r="L600" s="514"/>
      <c r="M600" s="756"/>
      <c r="N600" s="514"/>
      <c r="O600" s="514"/>
      <c r="P600" s="514"/>
      <c r="Q600" s="514"/>
      <c r="R600" s="514"/>
      <c r="S600" s="514"/>
      <c r="T600" s="756"/>
      <c r="U600" s="514"/>
      <c r="V600" s="514"/>
      <c r="W600" s="514"/>
      <c r="X600" s="514"/>
      <c r="Y600" s="514"/>
      <c r="Z600" s="514"/>
      <c r="AA600" s="756"/>
      <c r="AB600" s="764"/>
      <c r="AC600" s="514"/>
      <c r="AD600" s="514"/>
      <c r="AE600" s="698"/>
      <c r="AF600" s="514"/>
      <c r="AG600" s="514"/>
      <c r="AH600" s="789"/>
      <c r="AI600" s="946">
        <f t="shared" si="30"/>
        <v>0</v>
      </c>
      <c r="AJ600" s="521">
        <v>0</v>
      </c>
      <c r="AK600" s="520">
        <f t="shared" si="31"/>
        <v>0</v>
      </c>
      <c r="AL600" s="695" t="s">
        <v>1455</v>
      </c>
      <c r="AM600" s="669">
        <f t="shared" si="32"/>
        <v>1</v>
      </c>
    </row>
    <row r="601" spans="1:39" ht="13.35" hidden="1" customHeight="1">
      <c r="A601" s="539" t="s">
        <v>1055</v>
      </c>
      <c r="B601" s="539" t="s">
        <v>1387</v>
      </c>
      <c r="C601" s="548" t="s">
        <v>1453</v>
      </c>
      <c r="D601" s="519"/>
      <c r="E601" s="520"/>
      <c r="F601" s="726"/>
      <c r="G601" s="520"/>
      <c r="H601" s="520"/>
      <c r="I601" s="521"/>
      <c r="J601" s="521"/>
      <c r="K601" s="772"/>
      <c r="L601" s="514"/>
      <c r="M601" s="756"/>
      <c r="N601" s="514"/>
      <c r="O601" s="514"/>
      <c r="P601" s="514"/>
      <c r="Q601" s="514"/>
      <c r="R601" s="514"/>
      <c r="S601" s="514"/>
      <c r="T601" s="756"/>
      <c r="U601" s="514"/>
      <c r="V601" s="514"/>
      <c r="W601" s="514"/>
      <c r="X601" s="514"/>
      <c r="Y601" s="514"/>
      <c r="Z601" s="514"/>
      <c r="AA601" s="756"/>
      <c r="AB601" s="764"/>
      <c r="AC601" s="514"/>
      <c r="AD601" s="514"/>
      <c r="AE601" s="698"/>
      <c r="AF601" s="514"/>
      <c r="AG601" s="514"/>
      <c r="AH601" s="789"/>
      <c r="AI601" s="946">
        <f t="shared" si="30"/>
        <v>0</v>
      </c>
      <c r="AJ601" s="521">
        <v>0</v>
      </c>
      <c r="AK601" s="520">
        <f t="shared" si="31"/>
        <v>0</v>
      </c>
      <c r="AL601" s="695" t="s">
        <v>1455</v>
      </c>
      <c r="AM601" s="669">
        <f t="shared" si="32"/>
        <v>1</v>
      </c>
    </row>
    <row r="602" spans="1:39" ht="13.35" hidden="1" customHeight="1">
      <c r="A602" s="539" t="s">
        <v>1056</v>
      </c>
      <c r="B602" s="539" t="s">
        <v>1388</v>
      </c>
      <c r="C602" s="548" t="s">
        <v>1453</v>
      </c>
      <c r="D602" s="519"/>
      <c r="E602" s="520"/>
      <c r="F602" s="726"/>
      <c r="G602" s="520"/>
      <c r="H602" s="520"/>
      <c r="I602" s="521"/>
      <c r="J602" s="521"/>
      <c r="K602" s="772"/>
      <c r="L602" s="514"/>
      <c r="M602" s="756"/>
      <c r="N602" s="514"/>
      <c r="O602" s="514"/>
      <c r="P602" s="514"/>
      <c r="Q602" s="514"/>
      <c r="R602" s="514"/>
      <c r="S602" s="514"/>
      <c r="T602" s="756"/>
      <c r="U602" s="514"/>
      <c r="V602" s="514"/>
      <c r="W602" s="514"/>
      <c r="X602" s="514"/>
      <c r="Y602" s="514"/>
      <c r="Z602" s="514"/>
      <c r="AA602" s="756"/>
      <c r="AB602" s="764"/>
      <c r="AC602" s="514"/>
      <c r="AD602" s="514"/>
      <c r="AE602" s="698"/>
      <c r="AF602" s="514"/>
      <c r="AG602" s="514"/>
      <c r="AH602" s="789"/>
      <c r="AI602" s="946">
        <f t="shared" si="30"/>
        <v>0</v>
      </c>
      <c r="AJ602" s="521">
        <v>0</v>
      </c>
      <c r="AK602" s="520">
        <f t="shared" si="31"/>
        <v>0</v>
      </c>
      <c r="AL602" s="695" t="s">
        <v>1455</v>
      </c>
      <c r="AM602" s="669">
        <f t="shared" si="32"/>
        <v>1</v>
      </c>
    </row>
    <row r="603" spans="1:39" ht="13.35" hidden="1" customHeight="1">
      <c r="A603" s="539" t="s">
        <v>1057</v>
      </c>
      <c r="B603" s="539" t="s">
        <v>1389</v>
      </c>
      <c r="C603" s="548" t="s">
        <v>1453</v>
      </c>
      <c r="D603" s="519"/>
      <c r="E603" s="520"/>
      <c r="F603" s="726"/>
      <c r="G603" s="520"/>
      <c r="H603" s="520"/>
      <c r="I603" s="521"/>
      <c r="J603" s="521"/>
      <c r="K603" s="772"/>
      <c r="L603" s="514"/>
      <c r="M603" s="756"/>
      <c r="N603" s="514"/>
      <c r="O603" s="514"/>
      <c r="P603" s="514"/>
      <c r="Q603" s="514"/>
      <c r="R603" s="514"/>
      <c r="S603" s="514"/>
      <c r="T603" s="756"/>
      <c r="U603" s="514"/>
      <c r="V603" s="514"/>
      <c r="W603" s="514"/>
      <c r="X603" s="514"/>
      <c r="Y603" s="514"/>
      <c r="Z603" s="514"/>
      <c r="AA603" s="756"/>
      <c r="AB603" s="764"/>
      <c r="AC603" s="514"/>
      <c r="AD603" s="514"/>
      <c r="AE603" s="698"/>
      <c r="AF603" s="514"/>
      <c r="AG603" s="514"/>
      <c r="AH603" s="789"/>
      <c r="AI603" s="946">
        <f t="shared" si="30"/>
        <v>0</v>
      </c>
      <c r="AJ603" s="521">
        <v>0</v>
      </c>
      <c r="AK603" s="520">
        <f t="shared" si="31"/>
        <v>0</v>
      </c>
      <c r="AL603" s="695"/>
      <c r="AM603" s="669">
        <f t="shared" si="32"/>
        <v>0</v>
      </c>
    </row>
    <row r="604" spans="1:39" ht="13.35" hidden="1" customHeight="1">
      <c r="A604" s="542" t="s">
        <v>1058</v>
      </c>
      <c r="B604" s="542" t="s">
        <v>1390</v>
      </c>
      <c r="C604" s="616"/>
      <c r="D604" s="519"/>
      <c r="E604" s="520"/>
      <c r="F604" s="726"/>
      <c r="G604" s="520"/>
      <c r="H604" s="520"/>
      <c r="I604" s="521"/>
      <c r="J604" s="521"/>
      <c r="K604" s="772"/>
      <c r="L604" s="514"/>
      <c r="M604" s="756"/>
      <c r="N604" s="514"/>
      <c r="O604" s="514"/>
      <c r="P604" s="514"/>
      <c r="Q604" s="514"/>
      <c r="R604" s="514"/>
      <c r="S604" s="514"/>
      <c r="T604" s="756"/>
      <c r="U604" s="514"/>
      <c r="V604" s="514"/>
      <c r="W604" s="514"/>
      <c r="X604" s="514"/>
      <c r="Y604" s="514"/>
      <c r="Z604" s="514"/>
      <c r="AA604" s="756"/>
      <c r="AB604" s="764"/>
      <c r="AC604" s="514"/>
      <c r="AD604" s="514"/>
      <c r="AE604" s="698"/>
      <c r="AF604" s="514"/>
      <c r="AG604" s="514"/>
      <c r="AH604" s="789"/>
      <c r="AI604" s="946">
        <f t="shared" si="30"/>
        <v>0</v>
      </c>
      <c r="AJ604" s="521">
        <v>0</v>
      </c>
      <c r="AK604" s="520">
        <f t="shared" si="31"/>
        <v>0</v>
      </c>
      <c r="AL604" s="695" t="s">
        <v>1763</v>
      </c>
      <c r="AM604" s="669">
        <f t="shared" si="32"/>
        <v>43</v>
      </c>
    </row>
    <row r="605" spans="1:39" ht="13.35" hidden="1" customHeight="1">
      <c r="A605" s="539" t="s">
        <v>1059</v>
      </c>
      <c r="B605" s="539" t="s">
        <v>1390</v>
      </c>
      <c r="C605" s="548" t="s">
        <v>1452</v>
      </c>
      <c r="D605" s="519"/>
      <c r="E605" s="520"/>
      <c r="F605" s="726"/>
      <c r="G605" s="520"/>
      <c r="H605" s="520"/>
      <c r="I605" s="521"/>
      <c r="J605" s="521"/>
      <c r="K605" s="772"/>
      <c r="L605" s="514"/>
      <c r="M605" s="756"/>
      <c r="N605" s="514"/>
      <c r="O605" s="514"/>
      <c r="P605" s="514"/>
      <c r="Q605" s="514"/>
      <c r="R605" s="514"/>
      <c r="S605" s="514"/>
      <c r="T605" s="756"/>
      <c r="U605" s="514"/>
      <c r="V605" s="514"/>
      <c r="W605" s="514"/>
      <c r="X605" s="514"/>
      <c r="Y605" s="514"/>
      <c r="Z605" s="514"/>
      <c r="AA605" s="756"/>
      <c r="AB605" s="764"/>
      <c r="AC605" s="522"/>
      <c r="AD605" s="514"/>
      <c r="AE605" s="698"/>
      <c r="AF605" s="514"/>
      <c r="AG605" s="514"/>
      <c r="AH605" s="789"/>
      <c r="AI605" s="946">
        <f t="shared" si="30"/>
        <v>0</v>
      </c>
      <c r="AJ605" s="521">
        <v>0</v>
      </c>
      <c r="AK605" s="520">
        <f t="shared" si="31"/>
        <v>0</v>
      </c>
      <c r="AL605" s="695" t="s">
        <v>1764</v>
      </c>
      <c r="AM605" s="669">
        <f t="shared" si="32"/>
        <v>7</v>
      </c>
    </row>
    <row r="606" spans="1:39" ht="13.35" hidden="1" customHeight="1">
      <c r="A606" s="539" t="s">
        <v>1060</v>
      </c>
      <c r="B606" s="539" t="s">
        <v>1391</v>
      </c>
      <c r="C606" s="548" t="s">
        <v>1452</v>
      </c>
      <c r="D606" s="519"/>
      <c r="E606" s="520"/>
      <c r="F606" s="726"/>
      <c r="G606" s="520"/>
      <c r="H606" s="520"/>
      <c r="I606" s="521"/>
      <c r="J606" s="521"/>
      <c r="K606" s="772"/>
      <c r="L606" s="514"/>
      <c r="M606" s="756"/>
      <c r="N606" s="514"/>
      <c r="O606" s="514"/>
      <c r="P606" s="514"/>
      <c r="Q606" s="514"/>
      <c r="R606" s="514"/>
      <c r="S606" s="514"/>
      <c r="T606" s="756"/>
      <c r="U606" s="514"/>
      <c r="V606" s="514"/>
      <c r="W606" s="514"/>
      <c r="X606" s="514"/>
      <c r="Y606" s="514"/>
      <c r="Z606" s="514"/>
      <c r="AA606" s="756"/>
      <c r="AB606" s="764"/>
      <c r="AC606" s="514"/>
      <c r="AD606" s="514"/>
      <c r="AE606" s="698"/>
      <c r="AF606" s="514"/>
      <c r="AG606" s="514"/>
      <c r="AH606" s="789"/>
      <c r="AI606" s="946">
        <f t="shared" si="30"/>
        <v>0</v>
      </c>
      <c r="AJ606" s="521">
        <v>0</v>
      </c>
      <c r="AK606" s="520">
        <f t="shared" si="31"/>
        <v>0</v>
      </c>
      <c r="AL606" s="695"/>
      <c r="AM606" s="669">
        <f t="shared" si="32"/>
        <v>0</v>
      </c>
    </row>
    <row r="607" spans="1:39" ht="13.35" hidden="1" customHeight="1">
      <c r="A607" s="542" t="s">
        <v>1061</v>
      </c>
      <c r="B607" s="542" t="s">
        <v>1392</v>
      </c>
      <c r="C607" s="616"/>
      <c r="D607" s="519"/>
      <c r="E607" s="520"/>
      <c r="F607" s="726"/>
      <c r="G607" s="520"/>
      <c r="H607" s="520"/>
      <c r="I607" s="521"/>
      <c r="J607" s="521"/>
      <c r="K607" s="772"/>
      <c r="L607" s="514"/>
      <c r="M607" s="756"/>
      <c r="N607" s="514"/>
      <c r="O607" s="514"/>
      <c r="P607" s="514"/>
      <c r="Q607" s="514"/>
      <c r="R607" s="514"/>
      <c r="S607" s="514"/>
      <c r="T607" s="756"/>
      <c r="U607" s="514"/>
      <c r="V607" s="514"/>
      <c r="W607" s="514"/>
      <c r="X607" s="514"/>
      <c r="Y607" s="514"/>
      <c r="Z607" s="514"/>
      <c r="AA607" s="756"/>
      <c r="AB607" s="764"/>
      <c r="AC607" s="514"/>
      <c r="AD607" s="514"/>
      <c r="AE607" s="698"/>
      <c r="AF607" s="514"/>
      <c r="AG607" s="514"/>
      <c r="AH607" s="789"/>
      <c r="AI607" s="946">
        <f t="shared" si="30"/>
        <v>0</v>
      </c>
      <c r="AJ607" s="521">
        <v>0</v>
      </c>
      <c r="AK607" s="520">
        <f t="shared" si="31"/>
        <v>0</v>
      </c>
      <c r="AL607" s="695" t="s">
        <v>1765</v>
      </c>
      <c r="AM607" s="669">
        <f t="shared" si="32"/>
        <v>17</v>
      </c>
    </row>
    <row r="608" spans="1:39" ht="13.35" hidden="1" customHeight="1">
      <c r="A608" s="539" t="s">
        <v>1062</v>
      </c>
      <c r="B608" s="539" t="s">
        <v>1393</v>
      </c>
      <c r="C608" s="548" t="s">
        <v>36</v>
      </c>
      <c r="D608" s="519"/>
      <c r="E608" s="520"/>
      <c r="F608" s="726"/>
      <c r="G608" s="520"/>
      <c r="H608" s="520"/>
      <c r="I608" s="521"/>
      <c r="J608" s="521"/>
      <c r="K608" s="772"/>
      <c r="L608" s="514"/>
      <c r="M608" s="756"/>
      <c r="N608" s="514"/>
      <c r="O608" s="514"/>
      <c r="P608" s="514"/>
      <c r="Q608" s="514"/>
      <c r="R608" s="514"/>
      <c r="S608" s="514"/>
      <c r="T608" s="756"/>
      <c r="U608" s="514"/>
      <c r="V608" s="514"/>
      <c r="W608" s="514"/>
      <c r="X608" s="514"/>
      <c r="Y608" s="514"/>
      <c r="Z608" s="514"/>
      <c r="AA608" s="756"/>
      <c r="AB608" s="764"/>
      <c r="AC608" s="514"/>
      <c r="AD608" s="514"/>
      <c r="AE608" s="698"/>
      <c r="AF608" s="514"/>
      <c r="AG608" s="514"/>
      <c r="AH608" s="789"/>
      <c r="AI608" s="946">
        <f t="shared" si="30"/>
        <v>0</v>
      </c>
      <c r="AJ608" s="521">
        <v>0</v>
      </c>
      <c r="AK608" s="520">
        <f t="shared" si="31"/>
        <v>0</v>
      </c>
      <c r="AL608" s="695" t="s">
        <v>1766</v>
      </c>
      <c r="AM608" s="669">
        <f t="shared" si="32"/>
        <v>23</v>
      </c>
    </row>
    <row r="609" spans="1:39" ht="13.35" hidden="1" customHeight="1">
      <c r="A609" s="539" t="s">
        <v>1063</v>
      </c>
      <c r="B609" s="539" t="s">
        <v>1394</v>
      </c>
      <c r="C609" s="548" t="s">
        <v>36</v>
      </c>
      <c r="D609" s="519"/>
      <c r="E609" s="520"/>
      <c r="F609" s="726"/>
      <c r="G609" s="520"/>
      <c r="H609" s="520"/>
      <c r="I609" s="521"/>
      <c r="J609" s="521"/>
      <c r="K609" s="772"/>
      <c r="L609" s="514"/>
      <c r="M609" s="756"/>
      <c r="N609" s="514"/>
      <c r="O609" s="514"/>
      <c r="P609" s="514"/>
      <c r="Q609" s="514"/>
      <c r="R609" s="514"/>
      <c r="S609" s="514"/>
      <c r="T609" s="756"/>
      <c r="U609" s="514"/>
      <c r="V609" s="514"/>
      <c r="W609" s="514"/>
      <c r="X609" s="514"/>
      <c r="Y609" s="514"/>
      <c r="Z609" s="514"/>
      <c r="AA609" s="756"/>
      <c r="AB609" s="764"/>
      <c r="AC609" s="514"/>
      <c r="AD609" s="514"/>
      <c r="AE609" s="698"/>
      <c r="AF609" s="514"/>
      <c r="AG609" s="514"/>
      <c r="AH609" s="789"/>
      <c r="AI609" s="946">
        <f t="shared" si="30"/>
        <v>0</v>
      </c>
      <c r="AJ609" s="521">
        <v>0</v>
      </c>
      <c r="AK609" s="520">
        <f t="shared" si="31"/>
        <v>0</v>
      </c>
      <c r="AL609" s="695" t="s">
        <v>1698</v>
      </c>
      <c r="AM609" s="669">
        <f t="shared" si="32"/>
        <v>2</v>
      </c>
    </row>
    <row r="610" spans="1:39" ht="13.35" hidden="1" customHeight="1">
      <c r="A610" s="539" t="s">
        <v>1064</v>
      </c>
      <c r="B610" s="539" t="s">
        <v>1395</v>
      </c>
      <c r="C610" s="548" t="s">
        <v>36</v>
      </c>
      <c r="D610" s="519"/>
      <c r="E610" s="520"/>
      <c r="F610" s="726"/>
      <c r="G610" s="520"/>
      <c r="H610" s="520"/>
      <c r="I610" s="521"/>
      <c r="J610" s="521"/>
      <c r="K610" s="772"/>
      <c r="L610" s="514"/>
      <c r="M610" s="756"/>
      <c r="N610" s="514"/>
      <c r="O610" s="514"/>
      <c r="P610" s="514"/>
      <c r="Q610" s="514"/>
      <c r="R610" s="514"/>
      <c r="S610" s="514"/>
      <c r="T610" s="756"/>
      <c r="U610" s="514"/>
      <c r="V610" s="514"/>
      <c r="W610" s="514"/>
      <c r="X610" s="514"/>
      <c r="Y610" s="514"/>
      <c r="Z610" s="514"/>
      <c r="AA610" s="756"/>
      <c r="AB610" s="764"/>
      <c r="AC610" s="514"/>
      <c r="AD610" s="514"/>
      <c r="AE610" s="698"/>
      <c r="AF610" s="514"/>
      <c r="AG610" s="514"/>
      <c r="AH610" s="789"/>
      <c r="AI610" s="946">
        <f t="shared" si="30"/>
        <v>0</v>
      </c>
      <c r="AJ610" s="521">
        <v>0</v>
      </c>
      <c r="AK610" s="520">
        <f t="shared" si="31"/>
        <v>0</v>
      </c>
      <c r="AL610" s="695" t="s">
        <v>1455</v>
      </c>
      <c r="AM610" s="669">
        <f t="shared" si="32"/>
        <v>1</v>
      </c>
    </row>
    <row r="611" spans="1:39" ht="13.35" hidden="1" customHeight="1">
      <c r="A611" s="539" t="s">
        <v>1065</v>
      </c>
      <c r="B611" s="539" t="s">
        <v>1396</v>
      </c>
      <c r="C611" s="548" t="s">
        <v>36</v>
      </c>
      <c r="D611" s="519"/>
      <c r="E611" s="520"/>
      <c r="F611" s="726"/>
      <c r="G611" s="520"/>
      <c r="H611" s="520"/>
      <c r="I611" s="521"/>
      <c r="J611" s="521"/>
      <c r="K611" s="772"/>
      <c r="L611" s="514"/>
      <c r="M611" s="756"/>
      <c r="N611" s="514"/>
      <c r="O611" s="514"/>
      <c r="P611" s="514"/>
      <c r="Q611" s="514"/>
      <c r="R611" s="514"/>
      <c r="S611" s="514"/>
      <c r="T611" s="756"/>
      <c r="U611" s="514"/>
      <c r="V611" s="514"/>
      <c r="W611" s="514"/>
      <c r="X611" s="514"/>
      <c r="Y611" s="514"/>
      <c r="Z611" s="514"/>
      <c r="AA611" s="756"/>
      <c r="AB611" s="764"/>
      <c r="AC611" s="514"/>
      <c r="AD611" s="514"/>
      <c r="AE611" s="698"/>
      <c r="AF611" s="514"/>
      <c r="AG611" s="514"/>
      <c r="AH611" s="789"/>
      <c r="AI611" s="946">
        <f t="shared" si="30"/>
        <v>0</v>
      </c>
      <c r="AJ611" s="521">
        <v>0</v>
      </c>
      <c r="AK611" s="520">
        <f t="shared" si="31"/>
        <v>0</v>
      </c>
      <c r="AL611" s="695" t="s">
        <v>1764</v>
      </c>
      <c r="AM611" s="669">
        <f t="shared" si="32"/>
        <v>7</v>
      </c>
    </row>
    <row r="612" spans="1:39" ht="13.35" hidden="1" customHeight="1">
      <c r="A612" s="539" t="s">
        <v>1066</v>
      </c>
      <c r="B612" s="539" t="s">
        <v>1397</v>
      </c>
      <c r="C612" s="548" t="s">
        <v>36</v>
      </c>
      <c r="D612" s="519"/>
      <c r="E612" s="520"/>
      <c r="F612" s="726"/>
      <c r="G612" s="520"/>
      <c r="H612" s="520"/>
      <c r="I612" s="521"/>
      <c r="J612" s="521"/>
      <c r="K612" s="772"/>
      <c r="L612" s="514"/>
      <c r="M612" s="756"/>
      <c r="N612" s="514"/>
      <c r="O612" s="514"/>
      <c r="P612" s="514"/>
      <c r="Q612" s="514"/>
      <c r="R612" s="514"/>
      <c r="S612" s="514"/>
      <c r="T612" s="756"/>
      <c r="U612" s="514"/>
      <c r="V612" s="514"/>
      <c r="W612" s="514"/>
      <c r="X612" s="514"/>
      <c r="Y612" s="514"/>
      <c r="Z612" s="514"/>
      <c r="AA612" s="756"/>
      <c r="AB612" s="764"/>
      <c r="AC612" s="514"/>
      <c r="AD612" s="514"/>
      <c r="AE612" s="698"/>
      <c r="AF612" s="514"/>
      <c r="AG612" s="514"/>
      <c r="AH612" s="789"/>
      <c r="AI612" s="946">
        <f t="shared" si="30"/>
        <v>0</v>
      </c>
      <c r="AJ612" s="521">
        <v>0</v>
      </c>
      <c r="AK612" s="520">
        <f t="shared" si="31"/>
        <v>0</v>
      </c>
      <c r="AL612" s="695"/>
      <c r="AM612" s="669">
        <f t="shared" si="32"/>
        <v>0</v>
      </c>
    </row>
    <row r="613" spans="1:39" ht="13.35" hidden="1" customHeight="1">
      <c r="A613" s="542" t="s">
        <v>1067</v>
      </c>
      <c r="B613" s="542" t="s">
        <v>1398</v>
      </c>
      <c r="C613" s="616"/>
      <c r="D613" s="519"/>
      <c r="E613" s="520"/>
      <c r="F613" s="726"/>
      <c r="G613" s="520"/>
      <c r="H613" s="520"/>
      <c r="I613" s="521"/>
      <c r="J613" s="521"/>
      <c r="K613" s="772"/>
      <c r="L613" s="514"/>
      <c r="M613" s="756"/>
      <c r="N613" s="514"/>
      <c r="O613" s="514"/>
      <c r="P613" s="514"/>
      <c r="Q613" s="514"/>
      <c r="R613" s="514"/>
      <c r="S613" s="514"/>
      <c r="T613" s="756"/>
      <c r="U613" s="514"/>
      <c r="V613" s="514"/>
      <c r="W613" s="514"/>
      <c r="X613" s="514"/>
      <c r="Y613" s="514"/>
      <c r="Z613" s="514"/>
      <c r="AA613" s="756"/>
      <c r="AB613" s="764"/>
      <c r="AC613" s="514"/>
      <c r="AD613" s="514"/>
      <c r="AE613" s="698"/>
      <c r="AF613" s="514"/>
      <c r="AG613" s="514"/>
      <c r="AH613" s="789"/>
      <c r="AI613" s="946">
        <f t="shared" si="30"/>
        <v>0</v>
      </c>
      <c r="AJ613" s="521">
        <v>0</v>
      </c>
      <c r="AK613" s="520">
        <f t="shared" si="31"/>
        <v>0</v>
      </c>
      <c r="AL613" s="695" t="s">
        <v>1489</v>
      </c>
      <c r="AM613" s="669">
        <f t="shared" si="32"/>
        <v>16</v>
      </c>
    </row>
    <row r="614" spans="1:39" ht="13.35" hidden="1" customHeight="1">
      <c r="A614" s="539" t="s">
        <v>1068</v>
      </c>
      <c r="B614" s="539" t="s">
        <v>1399</v>
      </c>
      <c r="C614" s="548" t="s">
        <v>1452</v>
      </c>
      <c r="D614" s="519"/>
      <c r="E614" s="520"/>
      <c r="F614" s="726"/>
      <c r="G614" s="520"/>
      <c r="H614" s="520"/>
      <c r="I614" s="521"/>
      <c r="J614" s="521"/>
      <c r="K614" s="772"/>
      <c r="L614" s="514"/>
      <c r="M614" s="756"/>
      <c r="N614" s="514"/>
      <c r="O614" s="514"/>
      <c r="P614" s="514"/>
      <c r="Q614" s="514"/>
      <c r="R614" s="514"/>
      <c r="S614" s="514"/>
      <c r="T614" s="756"/>
      <c r="U614" s="514"/>
      <c r="V614" s="514"/>
      <c r="W614" s="514"/>
      <c r="X614" s="514"/>
      <c r="Y614" s="514"/>
      <c r="Z614" s="514"/>
      <c r="AA614" s="756"/>
      <c r="AB614" s="764"/>
      <c r="AC614" s="514"/>
      <c r="AD614" s="514"/>
      <c r="AE614" s="698"/>
      <c r="AF614" s="514"/>
      <c r="AG614" s="514"/>
      <c r="AH614" s="789"/>
      <c r="AI614" s="946">
        <f t="shared" si="30"/>
        <v>0</v>
      </c>
      <c r="AJ614" s="521">
        <v>0</v>
      </c>
      <c r="AK614" s="520">
        <f t="shared" si="31"/>
        <v>0</v>
      </c>
      <c r="AL614" s="695" t="s">
        <v>1698</v>
      </c>
      <c r="AM614" s="669">
        <f t="shared" si="32"/>
        <v>2</v>
      </c>
    </row>
    <row r="615" spans="1:39" ht="13.35" hidden="1" customHeight="1">
      <c r="A615" s="539" t="s">
        <v>1069</v>
      </c>
      <c r="B615" s="539" t="s">
        <v>1400</v>
      </c>
      <c r="C615" s="548" t="s">
        <v>1452</v>
      </c>
      <c r="D615" s="519"/>
      <c r="E615" s="520"/>
      <c r="F615" s="726"/>
      <c r="G615" s="520"/>
      <c r="H615" s="520"/>
      <c r="I615" s="521"/>
      <c r="J615" s="521"/>
      <c r="K615" s="772"/>
      <c r="L615" s="514"/>
      <c r="M615" s="756"/>
      <c r="N615" s="514"/>
      <c r="O615" s="514"/>
      <c r="P615" s="514"/>
      <c r="Q615" s="514"/>
      <c r="R615" s="514"/>
      <c r="S615" s="514"/>
      <c r="T615" s="756"/>
      <c r="U615" s="514"/>
      <c r="V615" s="514"/>
      <c r="W615" s="514"/>
      <c r="X615" s="514"/>
      <c r="Y615" s="514"/>
      <c r="Z615" s="514"/>
      <c r="AA615" s="756"/>
      <c r="AB615" s="764"/>
      <c r="AC615" s="514"/>
      <c r="AD615" s="514"/>
      <c r="AE615" s="698"/>
      <c r="AF615" s="514"/>
      <c r="AG615" s="514"/>
      <c r="AH615" s="789"/>
      <c r="AI615" s="946">
        <f t="shared" si="30"/>
        <v>0</v>
      </c>
      <c r="AJ615" s="521">
        <v>0</v>
      </c>
      <c r="AK615" s="520">
        <f t="shared" si="31"/>
        <v>0</v>
      </c>
      <c r="AL615" s="695" t="s">
        <v>1698</v>
      </c>
      <c r="AM615" s="669">
        <f t="shared" si="32"/>
        <v>2</v>
      </c>
    </row>
    <row r="616" spans="1:39" ht="13.35" hidden="1" customHeight="1">
      <c r="A616" s="539" t="s">
        <v>1070</v>
      </c>
      <c r="B616" s="539" t="s">
        <v>1401</v>
      </c>
      <c r="C616" s="548" t="s">
        <v>1452</v>
      </c>
      <c r="D616" s="519"/>
      <c r="E616" s="520"/>
      <c r="F616" s="726"/>
      <c r="G616" s="520"/>
      <c r="H616" s="520"/>
      <c r="I616" s="521"/>
      <c r="J616" s="521"/>
      <c r="K616" s="772"/>
      <c r="L616" s="514"/>
      <c r="M616" s="756"/>
      <c r="N616" s="514"/>
      <c r="O616" s="514"/>
      <c r="P616" s="514"/>
      <c r="Q616" s="514"/>
      <c r="R616" s="514"/>
      <c r="S616" s="514"/>
      <c r="T616" s="756"/>
      <c r="U616" s="514"/>
      <c r="V616" s="514"/>
      <c r="W616" s="514"/>
      <c r="X616" s="514"/>
      <c r="Y616" s="514"/>
      <c r="Z616" s="514"/>
      <c r="AA616" s="756"/>
      <c r="AB616" s="764"/>
      <c r="AC616" s="514"/>
      <c r="AD616" s="514"/>
      <c r="AE616" s="698"/>
      <c r="AF616" s="514"/>
      <c r="AG616" s="514"/>
      <c r="AH616" s="789"/>
      <c r="AI616" s="946">
        <f t="shared" si="30"/>
        <v>0</v>
      </c>
      <c r="AJ616" s="521">
        <v>0</v>
      </c>
      <c r="AK616" s="520">
        <f t="shared" si="31"/>
        <v>0</v>
      </c>
      <c r="AL616" s="695"/>
      <c r="AM616" s="669">
        <f t="shared" si="32"/>
        <v>0</v>
      </c>
    </row>
    <row r="617" spans="1:39" ht="13.35" hidden="1" customHeight="1">
      <c r="A617" s="542" t="s">
        <v>1071</v>
      </c>
      <c r="B617" s="542" t="s">
        <v>1402</v>
      </c>
      <c r="C617" s="616"/>
      <c r="D617" s="519"/>
      <c r="E617" s="520"/>
      <c r="F617" s="726"/>
      <c r="G617" s="520"/>
      <c r="H617" s="520"/>
      <c r="I617" s="521"/>
      <c r="J617" s="521"/>
      <c r="K617" s="772"/>
      <c r="L617" s="514"/>
      <c r="M617" s="756"/>
      <c r="N617" s="514"/>
      <c r="O617" s="514"/>
      <c r="P617" s="514"/>
      <c r="Q617" s="514"/>
      <c r="R617" s="514"/>
      <c r="S617" s="514"/>
      <c r="T617" s="756"/>
      <c r="U617" s="514"/>
      <c r="V617" s="514"/>
      <c r="W617" s="514"/>
      <c r="X617" s="514"/>
      <c r="Y617" s="514"/>
      <c r="Z617" s="514"/>
      <c r="AA617" s="756"/>
      <c r="AB617" s="764"/>
      <c r="AC617" s="514"/>
      <c r="AD617" s="514"/>
      <c r="AE617" s="698"/>
      <c r="AF617" s="514"/>
      <c r="AG617" s="514"/>
      <c r="AH617" s="789"/>
      <c r="AI617" s="946">
        <f t="shared" si="30"/>
        <v>0</v>
      </c>
      <c r="AJ617" s="521">
        <v>0</v>
      </c>
      <c r="AK617" s="520">
        <f t="shared" si="31"/>
        <v>0</v>
      </c>
      <c r="AL617" s="695" t="s">
        <v>1767</v>
      </c>
      <c r="AM617" s="669">
        <f t="shared" si="32"/>
        <v>14</v>
      </c>
    </row>
    <row r="618" spans="1:39" ht="13.35" hidden="1" customHeight="1">
      <c r="A618" s="539" t="s">
        <v>1072</v>
      </c>
      <c r="B618" s="539" t="s">
        <v>1403</v>
      </c>
      <c r="C618" s="548" t="s">
        <v>1452</v>
      </c>
      <c r="D618" s="519"/>
      <c r="E618" s="520"/>
      <c r="F618" s="726"/>
      <c r="G618" s="520"/>
      <c r="H618" s="520"/>
      <c r="I618" s="521"/>
      <c r="J618" s="521"/>
      <c r="K618" s="772"/>
      <c r="L618" s="514"/>
      <c r="M618" s="756"/>
      <c r="N618" s="514"/>
      <c r="O618" s="514"/>
      <c r="P618" s="514"/>
      <c r="Q618" s="514"/>
      <c r="R618" s="514"/>
      <c r="S618" s="514"/>
      <c r="T618" s="756"/>
      <c r="U618" s="514"/>
      <c r="V618" s="514"/>
      <c r="W618" s="514"/>
      <c r="X618" s="514"/>
      <c r="Y618" s="514"/>
      <c r="Z618" s="514"/>
      <c r="AA618" s="756"/>
      <c r="AB618" s="764"/>
      <c r="AC618" s="514"/>
      <c r="AD618" s="514"/>
      <c r="AE618" s="698"/>
      <c r="AF618" s="514"/>
      <c r="AG618" s="514"/>
      <c r="AH618" s="789"/>
      <c r="AI618" s="946">
        <f t="shared" si="30"/>
        <v>0</v>
      </c>
      <c r="AJ618" s="521">
        <v>0</v>
      </c>
      <c r="AK618" s="520">
        <f t="shared" si="31"/>
        <v>0</v>
      </c>
      <c r="AL618" s="695" t="s">
        <v>1455</v>
      </c>
      <c r="AM618" s="669">
        <f t="shared" si="32"/>
        <v>1</v>
      </c>
    </row>
    <row r="619" spans="1:39" ht="13.35" hidden="1" customHeight="1">
      <c r="A619" s="539" t="s">
        <v>1073</v>
      </c>
      <c r="B619" s="539" t="s">
        <v>1404</v>
      </c>
      <c r="C619" s="548" t="s">
        <v>1452</v>
      </c>
      <c r="D619" s="519"/>
      <c r="E619" s="520"/>
      <c r="F619" s="726"/>
      <c r="G619" s="520"/>
      <c r="H619" s="520"/>
      <c r="I619" s="521"/>
      <c r="J619" s="521"/>
      <c r="K619" s="772"/>
      <c r="L619" s="514"/>
      <c r="M619" s="756"/>
      <c r="N619" s="514"/>
      <c r="O619" s="514"/>
      <c r="P619" s="514"/>
      <c r="Q619" s="514"/>
      <c r="R619" s="514"/>
      <c r="S619" s="514"/>
      <c r="T619" s="756"/>
      <c r="U619" s="514"/>
      <c r="V619" s="514"/>
      <c r="W619" s="514"/>
      <c r="X619" s="514"/>
      <c r="Y619" s="514"/>
      <c r="Z619" s="514"/>
      <c r="AA619" s="756"/>
      <c r="AB619" s="764"/>
      <c r="AC619" s="514"/>
      <c r="AD619" s="514"/>
      <c r="AE619" s="698"/>
      <c r="AF619" s="514"/>
      <c r="AG619" s="527"/>
      <c r="AH619" s="527"/>
      <c r="AI619" s="946">
        <f t="shared" si="30"/>
        <v>0</v>
      </c>
      <c r="AJ619" s="521">
        <v>0</v>
      </c>
      <c r="AK619" s="520">
        <f t="shared" si="31"/>
        <v>0</v>
      </c>
      <c r="AL619" s="695" t="s">
        <v>1618</v>
      </c>
      <c r="AM619" s="669">
        <f t="shared" si="32"/>
        <v>3</v>
      </c>
    </row>
    <row r="620" spans="1:39" ht="13.35" hidden="1" customHeight="1">
      <c r="A620" s="539" t="s">
        <v>1074</v>
      </c>
      <c r="B620" s="539" t="s">
        <v>1405</v>
      </c>
      <c r="C620" s="548" t="s">
        <v>1452</v>
      </c>
      <c r="D620" s="519"/>
      <c r="E620" s="520"/>
      <c r="F620" s="726"/>
      <c r="G620" s="520"/>
      <c r="H620" s="520"/>
      <c r="I620" s="521"/>
      <c r="J620" s="521"/>
      <c r="K620" s="772"/>
      <c r="L620" s="514"/>
      <c r="M620" s="756"/>
      <c r="N620" s="514"/>
      <c r="O620" s="514"/>
      <c r="P620" s="514"/>
      <c r="Q620" s="514"/>
      <c r="R620" s="514"/>
      <c r="S620" s="514"/>
      <c r="T620" s="756"/>
      <c r="U620" s="514"/>
      <c r="V620" s="514"/>
      <c r="W620" s="514"/>
      <c r="X620" s="514"/>
      <c r="Y620" s="514"/>
      <c r="Z620" s="514"/>
      <c r="AA620" s="756"/>
      <c r="AB620" s="764"/>
      <c r="AC620" s="514"/>
      <c r="AD620" s="514"/>
      <c r="AE620" s="698"/>
      <c r="AF620" s="514"/>
      <c r="AG620" s="527"/>
      <c r="AH620" s="527"/>
      <c r="AI620" s="946">
        <f t="shared" si="30"/>
        <v>0</v>
      </c>
      <c r="AJ620" s="521">
        <v>0</v>
      </c>
      <c r="AK620" s="520">
        <f t="shared" si="31"/>
        <v>0</v>
      </c>
      <c r="AL620" s="695" t="s">
        <v>1641</v>
      </c>
      <c r="AM620" s="669">
        <f t="shared" si="32"/>
        <v>9</v>
      </c>
    </row>
    <row r="621" spans="1:39" ht="13.35" hidden="1" customHeight="1">
      <c r="A621" s="539" t="s">
        <v>1075</v>
      </c>
      <c r="B621" s="539" t="s">
        <v>1406</v>
      </c>
      <c r="C621" s="548" t="s">
        <v>1452</v>
      </c>
      <c r="D621" s="519"/>
      <c r="E621" s="520"/>
      <c r="F621" s="726"/>
      <c r="G621" s="520"/>
      <c r="H621" s="520"/>
      <c r="I621" s="521"/>
      <c r="J621" s="521"/>
      <c r="K621" s="772"/>
      <c r="L621" s="514"/>
      <c r="M621" s="756"/>
      <c r="N621" s="514"/>
      <c r="O621" s="514"/>
      <c r="P621" s="514"/>
      <c r="Q621" s="514"/>
      <c r="R621" s="514"/>
      <c r="S621" s="514"/>
      <c r="T621" s="756"/>
      <c r="U621" s="514"/>
      <c r="V621" s="514"/>
      <c r="W621" s="514"/>
      <c r="X621" s="514"/>
      <c r="Y621" s="514"/>
      <c r="Z621" s="514"/>
      <c r="AA621" s="756"/>
      <c r="AB621" s="764"/>
      <c r="AC621" s="514"/>
      <c r="AD621" s="514"/>
      <c r="AE621" s="698"/>
      <c r="AF621" s="514"/>
      <c r="AG621" s="527"/>
      <c r="AH621" s="527"/>
      <c r="AI621" s="946">
        <f t="shared" si="30"/>
        <v>0</v>
      </c>
      <c r="AJ621" s="521">
        <v>0</v>
      </c>
      <c r="AK621" s="520">
        <f t="shared" si="31"/>
        <v>0</v>
      </c>
      <c r="AL621" s="695" t="s">
        <v>1455</v>
      </c>
      <c r="AM621" s="669">
        <f t="shared" si="32"/>
        <v>1</v>
      </c>
    </row>
    <row r="622" spans="1:39" ht="13.35" hidden="1" customHeight="1">
      <c r="A622" s="539" t="s">
        <v>1076</v>
      </c>
      <c r="B622" s="539" t="s">
        <v>1407</v>
      </c>
      <c r="C622" s="548" t="s">
        <v>1452</v>
      </c>
      <c r="D622" s="519"/>
      <c r="E622" s="520"/>
      <c r="F622" s="726"/>
      <c r="G622" s="520"/>
      <c r="H622" s="520"/>
      <c r="I622" s="521"/>
      <c r="J622" s="521"/>
      <c r="K622" s="772"/>
      <c r="L622" s="514"/>
      <c r="M622" s="756"/>
      <c r="N622" s="514"/>
      <c r="O622" s="514"/>
      <c r="P622" s="514"/>
      <c r="Q622" s="514"/>
      <c r="R622" s="514"/>
      <c r="S622" s="514"/>
      <c r="T622" s="756"/>
      <c r="U622" s="514"/>
      <c r="V622" s="514"/>
      <c r="W622" s="514"/>
      <c r="X622" s="514"/>
      <c r="Y622" s="514"/>
      <c r="Z622" s="514"/>
      <c r="AA622" s="756"/>
      <c r="AB622" s="764"/>
      <c r="AC622" s="514"/>
      <c r="AD622" s="514"/>
      <c r="AE622" s="698"/>
      <c r="AF622" s="514"/>
      <c r="AG622" s="527"/>
      <c r="AH622" s="527"/>
      <c r="AI622" s="946">
        <f t="shared" si="30"/>
        <v>0</v>
      </c>
      <c r="AJ622" s="521">
        <v>0</v>
      </c>
      <c r="AK622" s="520">
        <f t="shared" si="31"/>
        <v>0</v>
      </c>
      <c r="AL622" s="695"/>
      <c r="AM622" s="669">
        <f t="shared" si="32"/>
        <v>0</v>
      </c>
    </row>
    <row r="623" spans="1:39" ht="13.35" hidden="1" customHeight="1">
      <c r="A623" s="542" t="s">
        <v>1077</v>
      </c>
      <c r="B623" s="542" t="s">
        <v>1408</v>
      </c>
      <c r="C623" s="616"/>
      <c r="D623" s="519"/>
      <c r="E623" s="520"/>
      <c r="F623" s="726"/>
      <c r="G623" s="520"/>
      <c r="H623" s="520"/>
      <c r="I623" s="521"/>
      <c r="J623" s="521"/>
      <c r="K623" s="772"/>
      <c r="L623" s="514"/>
      <c r="M623" s="756"/>
      <c r="N623" s="514"/>
      <c r="O623" s="514"/>
      <c r="P623" s="514"/>
      <c r="Q623" s="514"/>
      <c r="R623" s="514"/>
      <c r="S623" s="514"/>
      <c r="T623" s="756"/>
      <c r="U623" s="514"/>
      <c r="V623" s="514"/>
      <c r="W623" s="514"/>
      <c r="X623" s="514"/>
      <c r="Y623" s="514"/>
      <c r="Z623" s="514"/>
      <c r="AA623" s="756"/>
      <c r="AB623" s="764"/>
      <c r="AC623" s="514"/>
      <c r="AD623" s="514"/>
      <c r="AE623" s="698"/>
      <c r="AF623" s="514"/>
      <c r="AG623" s="527"/>
      <c r="AH623" s="527"/>
      <c r="AI623" s="946">
        <f t="shared" si="30"/>
        <v>0</v>
      </c>
      <c r="AJ623" s="521">
        <v>0</v>
      </c>
      <c r="AK623" s="520">
        <f t="shared" si="31"/>
        <v>0</v>
      </c>
      <c r="AL623" s="695" t="s">
        <v>1455</v>
      </c>
      <c r="AM623" s="669">
        <f t="shared" si="32"/>
        <v>1</v>
      </c>
    </row>
    <row r="624" spans="1:39" ht="13.35" hidden="1" customHeight="1">
      <c r="A624" s="539" t="s">
        <v>1078</v>
      </c>
      <c r="B624" s="539" t="s">
        <v>1409</v>
      </c>
      <c r="C624" s="548" t="s">
        <v>1452</v>
      </c>
      <c r="D624" s="519"/>
      <c r="E624" s="520"/>
      <c r="F624" s="726"/>
      <c r="G624" s="520"/>
      <c r="H624" s="520"/>
      <c r="I624" s="521"/>
      <c r="J624" s="521"/>
      <c r="K624" s="772"/>
      <c r="L624" s="514"/>
      <c r="M624" s="756"/>
      <c r="N624" s="514"/>
      <c r="O624" s="514"/>
      <c r="P624" s="514"/>
      <c r="Q624" s="514"/>
      <c r="R624" s="514"/>
      <c r="S624" s="514"/>
      <c r="T624" s="756"/>
      <c r="U624" s="514"/>
      <c r="V624" s="514"/>
      <c r="W624" s="514"/>
      <c r="X624" s="514"/>
      <c r="Y624" s="514"/>
      <c r="Z624" s="514"/>
      <c r="AA624" s="756"/>
      <c r="AB624" s="764"/>
      <c r="AC624" s="514"/>
      <c r="AD624" s="514"/>
      <c r="AE624" s="698"/>
      <c r="AF624" s="514"/>
      <c r="AG624" s="527"/>
      <c r="AH624" s="527"/>
      <c r="AI624" s="946">
        <f t="shared" si="30"/>
        <v>0</v>
      </c>
      <c r="AJ624" s="521">
        <v>0</v>
      </c>
      <c r="AK624" s="520">
        <f t="shared" si="31"/>
        <v>0</v>
      </c>
      <c r="AL624" s="695" t="s">
        <v>1455</v>
      </c>
      <c r="AM624" s="669">
        <f t="shared" si="32"/>
        <v>1</v>
      </c>
    </row>
    <row r="625" spans="1:39" ht="13.35" hidden="1" customHeight="1">
      <c r="A625" s="539" t="s">
        <v>1079</v>
      </c>
      <c r="B625" s="539" t="s">
        <v>1410</v>
      </c>
      <c r="C625" s="548" t="s">
        <v>1452</v>
      </c>
      <c r="D625" s="519"/>
      <c r="E625" s="520"/>
      <c r="F625" s="726"/>
      <c r="G625" s="520"/>
      <c r="H625" s="520"/>
      <c r="I625" s="521"/>
      <c r="J625" s="521"/>
      <c r="K625" s="772"/>
      <c r="L625" s="514"/>
      <c r="M625" s="756"/>
      <c r="N625" s="514"/>
      <c r="O625" s="514"/>
      <c r="P625" s="514"/>
      <c r="Q625" s="514"/>
      <c r="R625" s="514"/>
      <c r="S625" s="514"/>
      <c r="T625" s="756"/>
      <c r="U625" s="514"/>
      <c r="V625" s="514"/>
      <c r="W625" s="514"/>
      <c r="X625" s="514"/>
      <c r="Y625" s="514"/>
      <c r="Z625" s="514"/>
      <c r="AA625" s="756"/>
      <c r="AB625" s="764"/>
      <c r="AC625" s="514"/>
      <c r="AD625" s="514"/>
      <c r="AE625" s="698"/>
      <c r="AF625" s="514"/>
      <c r="AG625" s="527"/>
      <c r="AH625" s="527"/>
      <c r="AI625" s="946">
        <f t="shared" si="30"/>
        <v>0</v>
      </c>
      <c r="AJ625" s="521">
        <v>0</v>
      </c>
      <c r="AK625" s="520">
        <f t="shared" si="31"/>
        <v>0</v>
      </c>
      <c r="AL625" s="695" t="s">
        <v>1726</v>
      </c>
      <c r="AM625" s="669">
        <f t="shared" si="32"/>
        <v>11</v>
      </c>
    </row>
    <row r="626" spans="1:39" ht="13.35" hidden="1" customHeight="1">
      <c r="A626" s="539" t="s">
        <v>1080</v>
      </c>
      <c r="B626" s="539" t="s">
        <v>1411</v>
      </c>
      <c r="C626" s="548" t="s">
        <v>1452</v>
      </c>
      <c r="D626" s="519"/>
      <c r="E626" s="520"/>
      <c r="F626" s="726"/>
      <c r="G626" s="520"/>
      <c r="H626" s="520"/>
      <c r="I626" s="521"/>
      <c r="J626" s="521"/>
      <c r="K626" s="772"/>
      <c r="L626" s="514"/>
      <c r="M626" s="756"/>
      <c r="N626" s="514"/>
      <c r="O626" s="514"/>
      <c r="P626" s="514"/>
      <c r="Q626" s="514"/>
      <c r="R626" s="514"/>
      <c r="S626" s="514"/>
      <c r="T626" s="756"/>
      <c r="U626" s="514"/>
      <c r="V626" s="514"/>
      <c r="W626" s="514"/>
      <c r="X626" s="514"/>
      <c r="Y626" s="514"/>
      <c r="Z626" s="514"/>
      <c r="AA626" s="756"/>
      <c r="AB626" s="764"/>
      <c r="AC626" s="514"/>
      <c r="AD626" s="514"/>
      <c r="AE626" s="698"/>
      <c r="AF626" s="514"/>
      <c r="AG626" s="527"/>
      <c r="AH626" s="527"/>
      <c r="AI626" s="946">
        <f t="shared" si="30"/>
        <v>0</v>
      </c>
      <c r="AJ626" s="521">
        <v>0</v>
      </c>
      <c r="AK626" s="520">
        <f t="shared" si="31"/>
        <v>0</v>
      </c>
      <c r="AL626" s="695" t="s">
        <v>1698</v>
      </c>
      <c r="AM626" s="669">
        <f t="shared" si="32"/>
        <v>2</v>
      </c>
    </row>
    <row r="627" spans="1:39" ht="13.35" hidden="1" customHeight="1">
      <c r="A627" s="539" t="s">
        <v>1081</v>
      </c>
      <c r="B627" s="539" t="s">
        <v>1412</v>
      </c>
      <c r="C627" s="548" t="s">
        <v>1452</v>
      </c>
      <c r="D627" s="519"/>
      <c r="E627" s="520"/>
      <c r="F627" s="726"/>
      <c r="G627" s="520"/>
      <c r="H627" s="520"/>
      <c r="I627" s="521"/>
      <c r="J627" s="521"/>
      <c r="K627" s="772"/>
      <c r="L627" s="514"/>
      <c r="M627" s="756"/>
      <c r="N627" s="514"/>
      <c r="O627" s="514"/>
      <c r="P627" s="514"/>
      <c r="Q627" s="514"/>
      <c r="R627" s="514"/>
      <c r="S627" s="514"/>
      <c r="T627" s="756"/>
      <c r="U627" s="514"/>
      <c r="V627" s="514"/>
      <c r="W627" s="514"/>
      <c r="X627" s="514"/>
      <c r="Y627" s="514"/>
      <c r="Z627" s="514"/>
      <c r="AA627" s="756"/>
      <c r="AB627" s="764"/>
      <c r="AC627" s="514"/>
      <c r="AD627" s="514"/>
      <c r="AE627" s="698"/>
      <c r="AF627" s="514"/>
      <c r="AG627" s="527"/>
      <c r="AH627" s="527"/>
      <c r="AI627" s="946">
        <f t="shared" si="30"/>
        <v>0</v>
      </c>
      <c r="AJ627" s="521">
        <v>0</v>
      </c>
      <c r="AK627" s="520">
        <f t="shared" si="31"/>
        <v>0</v>
      </c>
      <c r="AL627" s="695" t="s">
        <v>1698</v>
      </c>
      <c r="AM627" s="669">
        <f t="shared" si="32"/>
        <v>2</v>
      </c>
    </row>
    <row r="628" spans="1:39" ht="13.35" hidden="1" customHeight="1">
      <c r="A628" s="539" t="s">
        <v>1082</v>
      </c>
      <c r="B628" s="539" t="s">
        <v>1413</v>
      </c>
      <c r="C628" s="548" t="s">
        <v>1452</v>
      </c>
      <c r="D628" s="519"/>
      <c r="E628" s="520"/>
      <c r="F628" s="726"/>
      <c r="G628" s="520"/>
      <c r="H628" s="520"/>
      <c r="I628" s="521"/>
      <c r="J628" s="521"/>
      <c r="K628" s="772"/>
      <c r="L628" s="514"/>
      <c r="M628" s="756"/>
      <c r="N628" s="514"/>
      <c r="O628" s="514"/>
      <c r="P628" s="514"/>
      <c r="Q628" s="514"/>
      <c r="R628" s="514"/>
      <c r="S628" s="514"/>
      <c r="T628" s="756"/>
      <c r="U628" s="514"/>
      <c r="V628" s="514"/>
      <c r="W628" s="514"/>
      <c r="X628" s="514"/>
      <c r="Y628" s="514"/>
      <c r="Z628" s="514"/>
      <c r="AA628" s="756"/>
      <c r="AB628" s="764"/>
      <c r="AC628" s="514"/>
      <c r="AD628" s="514"/>
      <c r="AE628" s="698"/>
      <c r="AF628" s="514"/>
      <c r="AG628" s="527"/>
      <c r="AH628" s="527"/>
      <c r="AI628" s="946">
        <f t="shared" si="30"/>
        <v>0</v>
      </c>
      <c r="AJ628" s="521">
        <v>0</v>
      </c>
      <c r="AK628" s="520">
        <f t="shared" si="31"/>
        <v>0</v>
      </c>
      <c r="AL628" s="695"/>
      <c r="AM628" s="669">
        <f t="shared" si="32"/>
        <v>0</v>
      </c>
    </row>
    <row r="629" spans="1:39" ht="13.35" hidden="1" customHeight="1">
      <c r="A629" s="542" t="s">
        <v>1083</v>
      </c>
      <c r="B629" s="542" t="s">
        <v>1414</v>
      </c>
      <c r="C629" s="616"/>
      <c r="D629" s="519"/>
      <c r="E629" s="520"/>
      <c r="F629" s="726"/>
      <c r="G629" s="520"/>
      <c r="H629" s="520"/>
      <c r="I629" s="521"/>
      <c r="J629" s="521"/>
      <c r="K629" s="772"/>
      <c r="L629" s="514"/>
      <c r="M629" s="756"/>
      <c r="N629" s="514"/>
      <c r="O629" s="514"/>
      <c r="P629" s="514"/>
      <c r="Q629" s="514"/>
      <c r="R629" s="514"/>
      <c r="S629" s="514"/>
      <c r="T629" s="756"/>
      <c r="U629" s="514"/>
      <c r="V629" s="514"/>
      <c r="W629" s="514"/>
      <c r="X629" s="514"/>
      <c r="Y629" s="514"/>
      <c r="Z629" s="514"/>
      <c r="AA629" s="756"/>
      <c r="AB629" s="764"/>
      <c r="AC629" s="514"/>
      <c r="AD629" s="514"/>
      <c r="AE629" s="698"/>
      <c r="AF629" s="514"/>
      <c r="AG629" s="527"/>
      <c r="AH629" s="527"/>
      <c r="AI629" s="946">
        <f t="shared" si="30"/>
        <v>0</v>
      </c>
      <c r="AJ629" s="521">
        <v>0</v>
      </c>
      <c r="AK629" s="520">
        <f t="shared" si="31"/>
        <v>0</v>
      </c>
      <c r="AL629" s="695" t="s">
        <v>1455</v>
      </c>
      <c r="AM629" s="669">
        <f t="shared" si="32"/>
        <v>1</v>
      </c>
    </row>
    <row r="630" spans="1:39" ht="13.35" hidden="1" customHeight="1">
      <c r="A630" s="539" t="s">
        <v>1084</v>
      </c>
      <c r="B630" s="539" t="s">
        <v>1415</v>
      </c>
      <c r="C630" s="548" t="s">
        <v>36</v>
      </c>
      <c r="D630" s="519"/>
      <c r="E630" s="520"/>
      <c r="F630" s="726"/>
      <c r="G630" s="520"/>
      <c r="H630" s="520"/>
      <c r="I630" s="521"/>
      <c r="J630" s="521"/>
      <c r="K630" s="772"/>
      <c r="L630" s="514"/>
      <c r="M630" s="756"/>
      <c r="N630" s="514"/>
      <c r="O630" s="514"/>
      <c r="P630" s="514"/>
      <c r="Q630" s="514"/>
      <c r="R630" s="514"/>
      <c r="S630" s="514"/>
      <c r="T630" s="756"/>
      <c r="U630" s="514"/>
      <c r="V630" s="514"/>
      <c r="W630" s="514"/>
      <c r="X630" s="514"/>
      <c r="Y630" s="514"/>
      <c r="Z630" s="514"/>
      <c r="AA630" s="756"/>
      <c r="AB630" s="764"/>
      <c r="AC630" s="514"/>
      <c r="AD630" s="514"/>
      <c r="AE630" s="698"/>
      <c r="AF630" s="514"/>
      <c r="AG630" s="527"/>
      <c r="AH630" s="527"/>
      <c r="AI630" s="946">
        <f t="shared" si="30"/>
        <v>0</v>
      </c>
      <c r="AJ630" s="521">
        <v>0</v>
      </c>
      <c r="AK630" s="520">
        <f t="shared" si="31"/>
        <v>0</v>
      </c>
      <c r="AL630" s="695"/>
      <c r="AM630" s="669">
        <f t="shared" si="32"/>
        <v>0</v>
      </c>
    </row>
    <row r="631" spans="1:39" ht="13.35" hidden="1" customHeight="1">
      <c r="A631" s="542" t="s">
        <v>1085</v>
      </c>
      <c r="B631" s="542" t="s">
        <v>1416</v>
      </c>
      <c r="C631" s="616"/>
      <c r="D631" s="519"/>
      <c r="E631" s="520"/>
      <c r="F631" s="726"/>
      <c r="G631" s="520"/>
      <c r="H631" s="520"/>
      <c r="I631" s="521"/>
      <c r="J631" s="521"/>
      <c r="K631" s="772"/>
      <c r="L631" s="514"/>
      <c r="M631" s="756"/>
      <c r="N631" s="514"/>
      <c r="O631" s="514"/>
      <c r="P631" s="514"/>
      <c r="Q631" s="514"/>
      <c r="R631" s="514"/>
      <c r="S631" s="514"/>
      <c r="T631" s="756"/>
      <c r="U631" s="514"/>
      <c r="V631" s="514"/>
      <c r="W631" s="514"/>
      <c r="X631" s="514"/>
      <c r="Y631" s="514"/>
      <c r="Z631" s="514"/>
      <c r="AA631" s="756"/>
      <c r="AB631" s="764"/>
      <c r="AC631" s="514"/>
      <c r="AD631" s="514"/>
      <c r="AE631" s="698"/>
      <c r="AF631" s="514"/>
      <c r="AG631" s="527"/>
      <c r="AH631" s="527"/>
      <c r="AI631" s="946">
        <f t="shared" si="30"/>
        <v>0</v>
      </c>
      <c r="AJ631" s="521">
        <v>0</v>
      </c>
      <c r="AK631" s="520">
        <f t="shared" si="31"/>
        <v>0</v>
      </c>
      <c r="AL631" s="695" t="s">
        <v>1455</v>
      </c>
      <c r="AM631" s="669">
        <f t="shared" si="32"/>
        <v>1</v>
      </c>
    </row>
    <row r="632" spans="1:39" ht="13.35" hidden="1" customHeight="1">
      <c r="A632" s="539" t="s">
        <v>1086</v>
      </c>
      <c r="B632" s="539" t="s">
        <v>1417</v>
      </c>
      <c r="C632" s="548" t="s">
        <v>36</v>
      </c>
      <c r="D632" s="519"/>
      <c r="E632" s="520"/>
      <c r="F632" s="726"/>
      <c r="G632" s="520"/>
      <c r="H632" s="520"/>
      <c r="I632" s="521"/>
      <c r="J632" s="521"/>
      <c r="K632" s="772"/>
      <c r="L632" s="514"/>
      <c r="M632" s="756"/>
      <c r="N632" s="514"/>
      <c r="O632" s="514"/>
      <c r="P632" s="514"/>
      <c r="Q632" s="514"/>
      <c r="R632" s="514"/>
      <c r="S632" s="514"/>
      <c r="T632" s="756"/>
      <c r="U632" s="514"/>
      <c r="V632" s="514"/>
      <c r="W632" s="514"/>
      <c r="X632" s="514"/>
      <c r="Y632" s="514"/>
      <c r="Z632" s="514"/>
      <c r="AA632" s="756"/>
      <c r="AB632" s="764"/>
      <c r="AC632" s="514"/>
      <c r="AD632" s="514"/>
      <c r="AE632" s="698"/>
      <c r="AF632" s="514"/>
      <c r="AG632" s="527"/>
      <c r="AH632" s="527"/>
      <c r="AI632" s="946">
        <f t="shared" si="30"/>
        <v>0</v>
      </c>
      <c r="AJ632" s="521">
        <v>0</v>
      </c>
      <c r="AK632" s="520">
        <f t="shared" si="31"/>
        <v>0</v>
      </c>
      <c r="AL632" s="695"/>
      <c r="AM632" s="669">
        <f t="shared" si="32"/>
        <v>0</v>
      </c>
    </row>
    <row r="633" spans="1:39" ht="13.35" hidden="1" customHeight="1">
      <c r="A633" s="440" t="s">
        <v>513</v>
      </c>
      <c r="B633" s="543" t="s">
        <v>1418</v>
      </c>
      <c r="C633" s="616"/>
      <c r="D633" s="519"/>
      <c r="E633" s="520"/>
      <c r="F633" s="726"/>
      <c r="G633" s="520"/>
      <c r="H633" s="520"/>
      <c r="I633" s="521"/>
      <c r="J633" s="521"/>
      <c r="K633" s="772"/>
      <c r="L633" s="514"/>
      <c r="M633" s="756"/>
      <c r="N633" s="514"/>
      <c r="O633" s="514"/>
      <c r="P633" s="514"/>
      <c r="Q633" s="514"/>
      <c r="R633" s="514"/>
      <c r="S633" s="514"/>
      <c r="T633" s="756"/>
      <c r="U633" s="514"/>
      <c r="V633" s="514"/>
      <c r="W633" s="514"/>
      <c r="X633" s="514"/>
      <c r="Y633" s="514"/>
      <c r="Z633" s="514"/>
      <c r="AA633" s="756"/>
      <c r="AB633" s="764"/>
      <c r="AC633" s="514"/>
      <c r="AD633" s="514"/>
      <c r="AE633" s="698"/>
      <c r="AF633" s="514"/>
      <c r="AG633" s="527"/>
      <c r="AH633" s="527"/>
      <c r="AI633" s="946">
        <f t="shared" si="30"/>
        <v>0</v>
      </c>
      <c r="AJ633" s="521">
        <v>0</v>
      </c>
      <c r="AK633" s="520">
        <f t="shared" si="31"/>
        <v>0</v>
      </c>
      <c r="AL633" s="695"/>
      <c r="AM633" s="669">
        <f t="shared" si="32"/>
        <v>0</v>
      </c>
    </row>
    <row r="634" spans="1:39" ht="13.35" hidden="1" customHeight="1">
      <c r="A634" s="542" t="s">
        <v>1087</v>
      </c>
      <c r="B634" s="542" t="s">
        <v>1419</v>
      </c>
      <c r="C634" s="616"/>
      <c r="D634" s="519"/>
      <c r="E634" s="520"/>
      <c r="F634" s="726"/>
      <c r="G634" s="520"/>
      <c r="H634" s="520"/>
      <c r="I634" s="521"/>
      <c r="J634" s="521"/>
      <c r="K634" s="772"/>
      <c r="L634" s="514"/>
      <c r="M634" s="756"/>
      <c r="N634" s="514"/>
      <c r="O634" s="514"/>
      <c r="P634" s="514"/>
      <c r="Q634" s="514"/>
      <c r="R634" s="514"/>
      <c r="S634" s="514"/>
      <c r="T634" s="756"/>
      <c r="U634" s="514"/>
      <c r="V634" s="514"/>
      <c r="W634" s="514"/>
      <c r="X634" s="514"/>
      <c r="Y634" s="514"/>
      <c r="Z634" s="514"/>
      <c r="AA634" s="756"/>
      <c r="AB634" s="764"/>
      <c r="AC634" s="514"/>
      <c r="AD634" s="514"/>
      <c r="AE634" s="698"/>
      <c r="AF634" s="514"/>
      <c r="AG634" s="527"/>
      <c r="AH634" s="527"/>
      <c r="AI634" s="946">
        <f t="shared" si="30"/>
        <v>0</v>
      </c>
      <c r="AJ634" s="521">
        <v>0</v>
      </c>
      <c r="AK634" s="520">
        <f t="shared" si="31"/>
        <v>0</v>
      </c>
      <c r="AL634" s="695" t="s">
        <v>1768</v>
      </c>
      <c r="AM634" s="669">
        <f t="shared" si="32"/>
        <v>29</v>
      </c>
    </row>
    <row r="635" spans="1:39" ht="13.35" hidden="1" customHeight="1">
      <c r="A635" s="539" t="s">
        <v>1088</v>
      </c>
      <c r="B635" s="539" t="s">
        <v>1420</v>
      </c>
      <c r="C635" s="548" t="s">
        <v>38</v>
      </c>
      <c r="D635" s="519"/>
      <c r="E635" s="520"/>
      <c r="F635" s="726"/>
      <c r="G635" s="520"/>
      <c r="H635" s="520"/>
      <c r="I635" s="521"/>
      <c r="J635" s="521"/>
      <c r="K635" s="772"/>
      <c r="L635" s="514"/>
      <c r="M635" s="756"/>
      <c r="N635" s="514"/>
      <c r="O635" s="514"/>
      <c r="P635" s="514"/>
      <c r="Q635" s="514"/>
      <c r="R635" s="514"/>
      <c r="S635" s="514"/>
      <c r="T635" s="756"/>
      <c r="U635" s="514"/>
      <c r="V635" s="514"/>
      <c r="W635" s="514"/>
      <c r="X635" s="514"/>
      <c r="Y635" s="514"/>
      <c r="Z635" s="514"/>
      <c r="AA635" s="756"/>
      <c r="AB635" s="764"/>
      <c r="AC635" s="514"/>
      <c r="AD635" s="514"/>
      <c r="AE635" s="698"/>
      <c r="AF635" s="514"/>
      <c r="AG635" s="527"/>
      <c r="AH635" s="527"/>
      <c r="AI635" s="946">
        <f t="shared" si="30"/>
        <v>0</v>
      </c>
      <c r="AJ635" s="521">
        <v>0</v>
      </c>
      <c r="AK635" s="520">
        <f t="shared" si="31"/>
        <v>0</v>
      </c>
      <c r="AL635" s="695"/>
      <c r="AM635" s="669">
        <f t="shared" si="32"/>
        <v>0</v>
      </c>
    </row>
    <row r="636" spans="1:39" ht="13.35" hidden="1" customHeight="1">
      <c r="A636" s="542" t="s">
        <v>1089</v>
      </c>
      <c r="B636" s="542" t="s">
        <v>1421</v>
      </c>
      <c r="C636" s="616"/>
      <c r="D636" s="519"/>
      <c r="E636" s="520"/>
      <c r="F636" s="726"/>
      <c r="G636" s="520"/>
      <c r="H636" s="520"/>
      <c r="I636" s="521"/>
      <c r="J636" s="521"/>
      <c r="K636" s="772"/>
      <c r="L636" s="514"/>
      <c r="M636" s="756"/>
      <c r="N636" s="514"/>
      <c r="O636" s="514"/>
      <c r="P636" s="514"/>
      <c r="Q636" s="514"/>
      <c r="R636" s="514"/>
      <c r="S636" s="514"/>
      <c r="T636" s="756"/>
      <c r="U636" s="514"/>
      <c r="V636" s="514"/>
      <c r="W636" s="514"/>
      <c r="X636" s="514"/>
      <c r="Y636" s="514"/>
      <c r="Z636" s="514"/>
      <c r="AA636" s="756"/>
      <c r="AB636" s="764"/>
      <c r="AC636" s="514"/>
      <c r="AD636" s="514"/>
      <c r="AE636" s="698"/>
      <c r="AF636" s="514"/>
      <c r="AG636" s="527"/>
      <c r="AH636" s="527"/>
      <c r="AI636" s="946">
        <f t="shared" si="30"/>
        <v>0</v>
      </c>
      <c r="AJ636" s="521">
        <v>0</v>
      </c>
      <c r="AK636" s="520">
        <f t="shared" si="31"/>
        <v>0</v>
      </c>
      <c r="AL636" s="695" t="s">
        <v>1736</v>
      </c>
      <c r="AM636" s="669">
        <f t="shared" si="32"/>
        <v>64</v>
      </c>
    </row>
    <row r="637" spans="1:39" ht="13.35" hidden="1" customHeight="1">
      <c r="A637" s="539" t="s">
        <v>1090</v>
      </c>
      <c r="B637" s="539" t="s">
        <v>1422</v>
      </c>
      <c r="C637" s="548" t="s">
        <v>38</v>
      </c>
      <c r="D637" s="519"/>
      <c r="E637" s="520"/>
      <c r="F637" s="726"/>
      <c r="G637" s="520"/>
      <c r="H637" s="520"/>
      <c r="I637" s="521"/>
      <c r="J637" s="521"/>
      <c r="K637" s="772"/>
      <c r="L637" s="514"/>
      <c r="M637" s="756"/>
      <c r="N637" s="514"/>
      <c r="O637" s="514"/>
      <c r="P637" s="514"/>
      <c r="Q637" s="514"/>
      <c r="R637" s="514"/>
      <c r="S637" s="514"/>
      <c r="T637" s="756"/>
      <c r="U637" s="514"/>
      <c r="V637" s="514"/>
      <c r="W637" s="514"/>
      <c r="X637" s="514"/>
      <c r="Y637" s="514"/>
      <c r="Z637" s="514"/>
      <c r="AA637" s="756"/>
      <c r="AB637" s="764"/>
      <c r="AC637" s="514"/>
      <c r="AD637" s="514"/>
      <c r="AE637" s="698"/>
      <c r="AF637" s="514"/>
      <c r="AG637" s="527"/>
      <c r="AH637" s="527"/>
      <c r="AI637" s="946">
        <f t="shared" si="30"/>
        <v>0</v>
      </c>
      <c r="AJ637" s="521">
        <v>0</v>
      </c>
      <c r="AK637" s="520">
        <f t="shared" si="31"/>
        <v>0</v>
      </c>
      <c r="AL637" s="695"/>
      <c r="AM637" s="669">
        <f t="shared" si="32"/>
        <v>0</v>
      </c>
    </row>
    <row r="638" spans="1:39" ht="13.35" hidden="1" customHeight="1">
      <c r="A638" s="542" t="s">
        <v>1091</v>
      </c>
      <c r="B638" s="542" t="s">
        <v>1423</v>
      </c>
      <c r="C638" s="616"/>
      <c r="D638" s="519"/>
      <c r="E638" s="520"/>
      <c r="F638" s="726"/>
      <c r="G638" s="520"/>
      <c r="H638" s="520"/>
      <c r="I638" s="521"/>
      <c r="J638" s="521"/>
      <c r="K638" s="772"/>
      <c r="L638" s="514"/>
      <c r="M638" s="756"/>
      <c r="N638" s="514"/>
      <c r="O638" s="514"/>
      <c r="P638" s="514"/>
      <c r="Q638" s="514"/>
      <c r="R638" s="514"/>
      <c r="S638" s="514"/>
      <c r="T638" s="756"/>
      <c r="U638" s="514"/>
      <c r="V638" s="514"/>
      <c r="W638" s="514"/>
      <c r="X638" s="514"/>
      <c r="Y638" s="514"/>
      <c r="Z638" s="514"/>
      <c r="AA638" s="756"/>
      <c r="AB638" s="764"/>
      <c r="AC638" s="514"/>
      <c r="AD638" s="514"/>
      <c r="AE638" s="698"/>
      <c r="AF638" s="514"/>
      <c r="AG638" s="527"/>
      <c r="AH638" s="527"/>
      <c r="AI638" s="946">
        <f t="shared" si="30"/>
        <v>0</v>
      </c>
      <c r="AJ638" s="521">
        <v>0</v>
      </c>
      <c r="AK638" s="520">
        <f t="shared" si="31"/>
        <v>0</v>
      </c>
      <c r="AL638" s="695" t="s">
        <v>1736</v>
      </c>
      <c r="AM638" s="669">
        <f t="shared" si="32"/>
        <v>64</v>
      </c>
    </row>
    <row r="639" spans="1:39" ht="13.35" hidden="1" customHeight="1">
      <c r="A639" s="539" t="s">
        <v>1092</v>
      </c>
      <c r="B639" s="539" t="s">
        <v>1424</v>
      </c>
      <c r="C639" s="548" t="s">
        <v>38</v>
      </c>
      <c r="D639" s="519"/>
      <c r="E639" s="520"/>
      <c r="F639" s="726"/>
      <c r="G639" s="520"/>
      <c r="H639" s="520"/>
      <c r="I639" s="521"/>
      <c r="J639" s="521"/>
      <c r="K639" s="772"/>
      <c r="L639" s="514"/>
      <c r="M639" s="756"/>
      <c r="N639" s="514"/>
      <c r="O639" s="514"/>
      <c r="P639" s="514"/>
      <c r="Q639" s="514"/>
      <c r="R639" s="514"/>
      <c r="S639" s="514"/>
      <c r="T639" s="756"/>
      <c r="U639" s="514"/>
      <c r="V639" s="514"/>
      <c r="W639" s="514"/>
      <c r="X639" s="514"/>
      <c r="Y639" s="514"/>
      <c r="Z639" s="514"/>
      <c r="AA639" s="756"/>
      <c r="AB639" s="764"/>
      <c r="AC639" s="514"/>
      <c r="AD639" s="514"/>
      <c r="AE639" s="698"/>
      <c r="AF639" s="514"/>
      <c r="AG639" s="527"/>
      <c r="AH639" s="527"/>
      <c r="AI639" s="946">
        <f t="shared" si="30"/>
        <v>0</v>
      </c>
      <c r="AJ639" s="521">
        <v>0</v>
      </c>
      <c r="AK639" s="520">
        <f t="shared" si="31"/>
        <v>0</v>
      </c>
      <c r="AL639" s="695"/>
      <c r="AM639" s="669">
        <f t="shared" si="32"/>
        <v>0</v>
      </c>
    </row>
    <row r="640" spans="1:39" ht="13.35" hidden="1" customHeight="1">
      <c r="A640" s="542" t="s">
        <v>1093</v>
      </c>
      <c r="B640" s="542" t="s">
        <v>1425</v>
      </c>
      <c r="C640" s="616"/>
      <c r="D640" s="519"/>
      <c r="E640" s="520"/>
      <c r="F640" s="726"/>
      <c r="G640" s="520"/>
      <c r="H640" s="520"/>
      <c r="I640" s="521"/>
      <c r="J640" s="521"/>
      <c r="K640" s="772"/>
      <c r="L640" s="514"/>
      <c r="M640" s="756"/>
      <c r="N640" s="514"/>
      <c r="O640" s="514"/>
      <c r="P640" s="514"/>
      <c r="Q640" s="514"/>
      <c r="R640" s="514"/>
      <c r="S640" s="514"/>
      <c r="T640" s="756"/>
      <c r="U640" s="514"/>
      <c r="V640" s="514"/>
      <c r="W640" s="514"/>
      <c r="X640" s="514"/>
      <c r="Y640" s="514"/>
      <c r="Z640" s="514"/>
      <c r="AA640" s="756"/>
      <c r="AB640" s="764"/>
      <c r="AC640" s="514"/>
      <c r="AD640" s="514"/>
      <c r="AE640" s="698"/>
      <c r="AF640" s="514"/>
      <c r="AG640" s="527"/>
      <c r="AH640" s="527"/>
      <c r="AI640" s="946">
        <f t="shared" si="30"/>
        <v>0</v>
      </c>
      <c r="AJ640" s="521">
        <v>0</v>
      </c>
      <c r="AK640" s="520">
        <f t="shared" si="31"/>
        <v>0</v>
      </c>
      <c r="AL640" s="695" t="s">
        <v>1617</v>
      </c>
      <c r="AM640" s="669">
        <f t="shared" si="32"/>
        <v>6</v>
      </c>
    </row>
    <row r="641" spans="1:39" ht="13.35" hidden="1" customHeight="1">
      <c r="A641" s="539" t="s">
        <v>1094</v>
      </c>
      <c r="B641" s="539" t="s">
        <v>1426</v>
      </c>
      <c r="C641" s="548" t="s">
        <v>1452</v>
      </c>
      <c r="D641" s="519"/>
      <c r="E641" s="520"/>
      <c r="F641" s="726"/>
      <c r="G641" s="520"/>
      <c r="H641" s="520"/>
      <c r="I641" s="521"/>
      <c r="J641" s="521"/>
      <c r="K641" s="772"/>
      <c r="L641" s="514"/>
      <c r="M641" s="756"/>
      <c r="N641" s="514"/>
      <c r="O641" s="514"/>
      <c r="P641" s="514"/>
      <c r="Q641" s="514"/>
      <c r="R641" s="514"/>
      <c r="S641" s="514"/>
      <c r="T641" s="756"/>
      <c r="U641" s="514"/>
      <c r="V641" s="514"/>
      <c r="W641" s="514"/>
      <c r="X641" s="514"/>
      <c r="Y641" s="514"/>
      <c r="Z641" s="514"/>
      <c r="AA641" s="756"/>
      <c r="AB641" s="764"/>
      <c r="AC641" s="514"/>
      <c r="AD641" s="514"/>
      <c r="AE641" s="698"/>
      <c r="AF641" s="514"/>
      <c r="AG641" s="527"/>
      <c r="AH641" s="527"/>
      <c r="AI641" s="946">
        <f t="shared" si="30"/>
        <v>0</v>
      </c>
      <c r="AJ641" s="521">
        <v>0</v>
      </c>
      <c r="AK641" s="520">
        <f t="shared" si="31"/>
        <v>0</v>
      </c>
      <c r="AL641" s="695"/>
      <c r="AM641" s="669">
        <f t="shared" si="32"/>
        <v>0</v>
      </c>
    </row>
    <row r="642" spans="1:39" ht="13.35" hidden="1" customHeight="1">
      <c r="A642" s="542" t="s">
        <v>1095</v>
      </c>
      <c r="B642" s="542" t="s">
        <v>1392</v>
      </c>
      <c r="C642" s="616"/>
      <c r="D642" s="519"/>
      <c r="E642" s="520"/>
      <c r="F642" s="726"/>
      <c r="G642" s="520"/>
      <c r="H642" s="520"/>
      <c r="I642" s="521"/>
      <c r="J642" s="521"/>
      <c r="K642" s="772"/>
      <c r="L642" s="514"/>
      <c r="M642" s="756"/>
      <c r="N642" s="514"/>
      <c r="O642" s="514"/>
      <c r="P642" s="514"/>
      <c r="Q642" s="514"/>
      <c r="R642" s="514"/>
      <c r="S642" s="514"/>
      <c r="T642" s="756"/>
      <c r="U642" s="514"/>
      <c r="V642" s="514"/>
      <c r="W642" s="514"/>
      <c r="X642" s="514"/>
      <c r="Y642" s="514"/>
      <c r="Z642" s="514"/>
      <c r="AA642" s="756"/>
      <c r="AB642" s="764"/>
      <c r="AC642" s="514"/>
      <c r="AD642" s="514"/>
      <c r="AE642" s="698"/>
      <c r="AF642" s="514"/>
      <c r="AG642" s="527"/>
      <c r="AH642" s="527"/>
      <c r="AI642" s="946">
        <f t="shared" si="30"/>
        <v>0</v>
      </c>
      <c r="AJ642" s="521">
        <v>0</v>
      </c>
      <c r="AK642" s="520">
        <f t="shared" si="31"/>
        <v>0</v>
      </c>
      <c r="AL642" s="695" t="s">
        <v>1617</v>
      </c>
      <c r="AM642" s="669">
        <f t="shared" si="32"/>
        <v>6</v>
      </c>
    </row>
    <row r="643" spans="1:39" ht="13.35" hidden="1" customHeight="1">
      <c r="A643" s="539" t="s">
        <v>1096</v>
      </c>
      <c r="B643" s="539" t="s">
        <v>1427</v>
      </c>
      <c r="C643" s="548" t="s">
        <v>36</v>
      </c>
      <c r="D643" s="519"/>
      <c r="E643" s="520"/>
      <c r="F643" s="726"/>
      <c r="G643" s="520"/>
      <c r="H643" s="520"/>
      <c r="I643" s="521"/>
      <c r="J643" s="521"/>
      <c r="K643" s="772"/>
      <c r="L643" s="514"/>
      <c r="M643" s="756"/>
      <c r="N643" s="514"/>
      <c r="O643" s="514"/>
      <c r="P643" s="514"/>
      <c r="Q643" s="514"/>
      <c r="R643" s="514"/>
      <c r="S643" s="514"/>
      <c r="T643" s="756"/>
      <c r="U643" s="514"/>
      <c r="V643" s="514"/>
      <c r="W643" s="514"/>
      <c r="X643" s="514"/>
      <c r="Y643" s="514"/>
      <c r="Z643" s="514"/>
      <c r="AA643" s="756"/>
      <c r="AB643" s="764"/>
      <c r="AC643" s="514"/>
      <c r="AD643" s="514"/>
      <c r="AE643" s="698"/>
      <c r="AF643" s="514"/>
      <c r="AG643" s="527"/>
      <c r="AH643" s="527"/>
      <c r="AI643" s="946">
        <f t="shared" si="30"/>
        <v>0</v>
      </c>
      <c r="AJ643" s="521">
        <v>0</v>
      </c>
      <c r="AK643" s="520">
        <f t="shared" si="31"/>
        <v>0</v>
      </c>
      <c r="AL643" s="695"/>
      <c r="AM643" s="669">
        <f t="shared" si="32"/>
        <v>0</v>
      </c>
    </row>
    <row r="644" spans="1:39" ht="13.35" hidden="1" customHeight="1">
      <c r="A644" s="440" t="s">
        <v>1097</v>
      </c>
      <c r="B644" s="543" t="s">
        <v>1428</v>
      </c>
      <c r="C644" s="616"/>
      <c r="D644" s="519"/>
      <c r="E644" s="520"/>
      <c r="F644" s="726"/>
      <c r="G644" s="520"/>
      <c r="H644" s="520"/>
      <c r="I644" s="521"/>
      <c r="J644" s="521"/>
      <c r="K644" s="772"/>
      <c r="L644" s="514"/>
      <c r="M644" s="756"/>
      <c r="N644" s="514"/>
      <c r="O644" s="514"/>
      <c r="P644" s="514"/>
      <c r="Q644" s="514"/>
      <c r="R644" s="514"/>
      <c r="S644" s="514"/>
      <c r="T644" s="756"/>
      <c r="U644" s="514"/>
      <c r="V644" s="514"/>
      <c r="W644" s="514"/>
      <c r="X644" s="514"/>
      <c r="Y644" s="514"/>
      <c r="Z644" s="514"/>
      <c r="AA644" s="756"/>
      <c r="AB644" s="764"/>
      <c r="AC644" s="514"/>
      <c r="AD644" s="514"/>
      <c r="AE644" s="698"/>
      <c r="AF644" s="514"/>
      <c r="AG644" s="527"/>
      <c r="AH644" s="527"/>
      <c r="AI644" s="946">
        <f t="shared" si="30"/>
        <v>0</v>
      </c>
      <c r="AJ644" s="521">
        <v>0</v>
      </c>
      <c r="AK644" s="520">
        <f t="shared" si="31"/>
        <v>0</v>
      </c>
      <c r="AL644" s="695"/>
      <c r="AM644" s="669">
        <f t="shared" si="32"/>
        <v>0</v>
      </c>
    </row>
    <row r="645" spans="1:39" ht="13.35" hidden="1" customHeight="1">
      <c r="A645" s="542" t="s">
        <v>1098</v>
      </c>
      <c r="B645" s="542" t="s">
        <v>1419</v>
      </c>
      <c r="C645" s="616"/>
      <c r="D645" s="519"/>
      <c r="E645" s="520"/>
      <c r="F645" s="726"/>
      <c r="G645" s="520"/>
      <c r="H645" s="520"/>
      <c r="I645" s="521"/>
      <c r="J645" s="521"/>
      <c r="K645" s="772"/>
      <c r="L645" s="514"/>
      <c r="M645" s="756"/>
      <c r="N645" s="514"/>
      <c r="O645" s="514"/>
      <c r="P645" s="514"/>
      <c r="Q645" s="514"/>
      <c r="R645" s="514"/>
      <c r="S645" s="514"/>
      <c r="T645" s="756"/>
      <c r="U645" s="514"/>
      <c r="V645" s="514"/>
      <c r="W645" s="514"/>
      <c r="X645" s="514"/>
      <c r="Y645" s="514"/>
      <c r="Z645" s="514"/>
      <c r="AA645" s="756"/>
      <c r="AB645" s="764"/>
      <c r="AC645" s="514"/>
      <c r="AD645" s="514"/>
      <c r="AE645" s="698"/>
      <c r="AF645" s="514"/>
      <c r="AG645" s="527"/>
      <c r="AH645" s="527"/>
      <c r="AI645" s="946">
        <f t="shared" si="30"/>
        <v>0</v>
      </c>
      <c r="AJ645" s="521">
        <v>0</v>
      </c>
      <c r="AK645" s="520">
        <f t="shared" si="31"/>
        <v>0</v>
      </c>
      <c r="AL645" s="695" t="s">
        <v>1769</v>
      </c>
      <c r="AM645" s="669">
        <f t="shared" si="32"/>
        <v>56</v>
      </c>
    </row>
    <row r="646" spans="1:39" ht="13.35" hidden="1" customHeight="1">
      <c r="A646" s="539" t="s">
        <v>1099</v>
      </c>
      <c r="B646" s="539" t="s">
        <v>1420</v>
      </c>
      <c r="C646" s="548" t="s">
        <v>38</v>
      </c>
      <c r="D646" s="519"/>
      <c r="E646" s="520"/>
      <c r="F646" s="726"/>
      <c r="G646" s="520"/>
      <c r="H646" s="520"/>
      <c r="I646" s="521"/>
      <c r="J646" s="521"/>
      <c r="K646" s="772"/>
      <c r="L646" s="514"/>
      <c r="M646" s="756"/>
      <c r="N646" s="514"/>
      <c r="O646" s="514"/>
      <c r="P646" s="514"/>
      <c r="Q646" s="514"/>
      <c r="R646" s="514"/>
      <c r="S646" s="514"/>
      <c r="T646" s="756"/>
      <c r="U646" s="514"/>
      <c r="V646" s="514"/>
      <c r="W646" s="514"/>
      <c r="X646" s="514"/>
      <c r="Y646" s="514"/>
      <c r="Z646" s="514"/>
      <c r="AA646" s="756"/>
      <c r="AB646" s="764"/>
      <c r="AC646" s="514"/>
      <c r="AD646" s="514"/>
      <c r="AE646" s="698"/>
      <c r="AF646" s="514"/>
      <c r="AG646" s="527"/>
      <c r="AH646" s="527"/>
      <c r="AI646" s="946">
        <f t="shared" si="30"/>
        <v>0</v>
      </c>
      <c r="AJ646" s="521">
        <v>0</v>
      </c>
      <c r="AK646" s="520">
        <f t="shared" si="31"/>
        <v>0</v>
      </c>
      <c r="AL646" s="695"/>
      <c r="AM646" s="669">
        <f t="shared" si="32"/>
        <v>0</v>
      </c>
    </row>
    <row r="647" spans="1:39" ht="13.35" hidden="1" customHeight="1">
      <c r="A647" s="542" t="s">
        <v>1100</v>
      </c>
      <c r="B647" s="542" t="s">
        <v>1421</v>
      </c>
      <c r="C647" s="616"/>
      <c r="D647" s="519"/>
      <c r="E647" s="520"/>
      <c r="F647" s="726"/>
      <c r="G647" s="520"/>
      <c r="H647" s="520"/>
      <c r="I647" s="521"/>
      <c r="J647" s="521"/>
      <c r="K647" s="772"/>
      <c r="L647" s="514"/>
      <c r="M647" s="756"/>
      <c r="N647" s="514"/>
      <c r="O647" s="514"/>
      <c r="P647" s="514"/>
      <c r="Q647" s="514"/>
      <c r="R647" s="514"/>
      <c r="S647" s="514"/>
      <c r="T647" s="756"/>
      <c r="U647" s="514"/>
      <c r="V647" s="514"/>
      <c r="W647" s="514"/>
      <c r="X647" s="514"/>
      <c r="Y647" s="514"/>
      <c r="Z647" s="514"/>
      <c r="AA647" s="756"/>
      <c r="AB647" s="764"/>
      <c r="AC647" s="514"/>
      <c r="AD647" s="514"/>
      <c r="AE647" s="698"/>
      <c r="AF647" s="514"/>
      <c r="AG647" s="527"/>
      <c r="AH647" s="527"/>
      <c r="AI647" s="946">
        <f t="shared" si="30"/>
        <v>0</v>
      </c>
      <c r="AJ647" s="521">
        <v>0</v>
      </c>
      <c r="AK647" s="520">
        <f t="shared" si="31"/>
        <v>0</v>
      </c>
      <c r="AL647" s="695" t="s">
        <v>1770</v>
      </c>
      <c r="AM647" s="669">
        <f t="shared" si="32"/>
        <v>80</v>
      </c>
    </row>
    <row r="648" spans="1:39" ht="13.35" hidden="1" customHeight="1">
      <c r="A648" s="539" t="s">
        <v>1101</v>
      </c>
      <c r="B648" s="539" t="s">
        <v>1429</v>
      </c>
      <c r="C648" s="548" t="s">
        <v>38</v>
      </c>
      <c r="D648" s="519"/>
      <c r="E648" s="520"/>
      <c r="F648" s="726"/>
      <c r="G648" s="520"/>
      <c r="H648" s="520"/>
      <c r="I648" s="521"/>
      <c r="J648" s="521"/>
      <c r="K648" s="772"/>
      <c r="L648" s="514"/>
      <c r="M648" s="756"/>
      <c r="N648" s="514"/>
      <c r="O648" s="514"/>
      <c r="P648" s="514"/>
      <c r="Q648" s="514"/>
      <c r="R648" s="514"/>
      <c r="S648" s="514"/>
      <c r="T648" s="756"/>
      <c r="U648" s="514"/>
      <c r="V648" s="514"/>
      <c r="W648" s="514"/>
      <c r="X648" s="514"/>
      <c r="Y648" s="514"/>
      <c r="Z648" s="514"/>
      <c r="AA648" s="756"/>
      <c r="AB648" s="764"/>
      <c r="AC648" s="514"/>
      <c r="AD648" s="514"/>
      <c r="AE648" s="698"/>
      <c r="AF648" s="514"/>
      <c r="AG648" s="527"/>
      <c r="AH648" s="527"/>
      <c r="AI648" s="946">
        <f t="shared" si="30"/>
        <v>0</v>
      </c>
      <c r="AJ648" s="521">
        <v>0</v>
      </c>
      <c r="AK648" s="520">
        <f t="shared" si="31"/>
        <v>0</v>
      </c>
      <c r="AL648" s="695"/>
      <c r="AM648" s="669">
        <f t="shared" si="32"/>
        <v>0</v>
      </c>
    </row>
    <row r="649" spans="1:39" ht="13.35" hidden="1" customHeight="1">
      <c r="A649" s="542" t="s">
        <v>1102</v>
      </c>
      <c r="B649" s="542" t="s">
        <v>1423</v>
      </c>
      <c r="C649" s="616"/>
      <c r="D649" s="519"/>
      <c r="E649" s="520"/>
      <c r="F649" s="726"/>
      <c r="G649" s="520"/>
      <c r="H649" s="520"/>
      <c r="I649" s="521"/>
      <c r="J649" s="521"/>
      <c r="K649" s="772"/>
      <c r="L649" s="514"/>
      <c r="M649" s="756"/>
      <c r="N649" s="514"/>
      <c r="O649" s="514"/>
      <c r="P649" s="514"/>
      <c r="Q649" s="514"/>
      <c r="R649" s="514"/>
      <c r="S649" s="514"/>
      <c r="T649" s="756"/>
      <c r="U649" s="514"/>
      <c r="V649" s="514"/>
      <c r="W649" s="514"/>
      <c r="X649" s="514"/>
      <c r="Y649" s="514"/>
      <c r="Z649" s="514"/>
      <c r="AA649" s="756"/>
      <c r="AB649" s="764"/>
      <c r="AC649" s="514"/>
      <c r="AD649" s="514"/>
      <c r="AE649" s="698"/>
      <c r="AF649" s="514"/>
      <c r="AG649" s="527"/>
      <c r="AH649" s="527"/>
      <c r="AI649" s="946">
        <f t="shared" si="30"/>
        <v>0</v>
      </c>
      <c r="AJ649" s="521">
        <v>0</v>
      </c>
      <c r="AK649" s="520">
        <f t="shared" si="31"/>
        <v>0</v>
      </c>
      <c r="AL649" s="695" t="s">
        <v>1769</v>
      </c>
      <c r="AM649" s="669">
        <f t="shared" si="32"/>
        <v>56</v>
      </c>
    </row>
    <row r="650" spans="1:39" ht="13.35" hidden="1" customHeight="1">
      <c r="A650" s="539" t="s">
        <v>1103</v>
      </c>
      <c r="B650" s="539" t="s">
        <v>1430</v>
      </c>
      <c r="C650" s="548" t="s">
        <v>38</v>
      </c>
      <c r="D650" s="519"/>
      <c r="E650" s="520"/>
      <c r="F650" s="726"/>
      <c r="G650" s="520"/>
      <c r="H650" s="520"/>
      <c r="I650" s="521"/>
      <c r="J650" s="521"/>
      <c r="K650" s="772"/>
      <c r="L650" s="514"/>
      <c r="M650" s="756"/>
      <c r="N650" s="514"/>
      <c r="O650" s="514"/>
      <c r="P650" s="514"/>
      <c r="Q650" s="514"/>
      <c r="R650" s="514"/>
      <c r="S650" s="514"/>
      <c r="T650" s="756"/>
      <c r="U650" s="514"/>
      <c r="V650" s="514"/>
      <c r="W650" s="514"/>
      <c r="X650" s="514"/>
      <c r="Y650" s="514"/>
      <c r="Z650" s="514"/>
      <c r="AA650" s="756"/>
      <c r="AB650" s="764"/>
      <c r="AC650" s="514"/>
      <c r="AD650" s="514"/>
      <c r="AE650" s="698"/>
      <c r="AF650" s="514"/>
      <c r="AG650" s="527"/>
      <c r="AH650" s="527"/>
      <c r="AI650" s="946">
        <f t="shared" si="30"/>
        <v>0</v>
      </c>
      <c r="AJ650" s="521">
        <v>0</v>
      </c>
      <c r="AK650" s="520">
        <f t="shared" si="31"/>
        <v>0</v>
      </c>
      <c r="AL650" s="695"/>
      <c r="AM650" s="669">
        <f t="shared" si="32"/>
        <v>0</v>
      </c>
    </row>
    <row r="651" spans="1:39" ht="13.35" hidden="1" customHeight="1">
      <c r="A651" s="542" t="s">
        <v>1104</v>
      </c>
      <c r="B651" s="542" t="s">
        <v>1431</v>
      </c>
      <c r="C651" s="616"/>
      <c r="D651" s="519"/>
      <c r="E651" s="520"/>
      <c r="F651" s="726"/>
      <c r="G651" s="520"/>
      <c r="H651" s="520"/>
      <c r="I651" s="521"/>
      <c r="J651" s="521"/>
      <c r="K651" s="772"/>
      <c r="L651" s="514"/>
      <c r="M651" s="756"/>
      <c r="N651" s="514"/>
      <c r="O651" s="514"/>
      <c r="P651" s="514"/>
      <c r="Q651" s="514"/>
      <c r="R651" s="514"/>
      <c r="S651" s="514"/>
      <c r="T651" s="756"/>
      <c r="U651" s="514"/>
      <c r="V651" s="514"/>
      <c r="W651" s="514"/>
      <c r="X651" s="514"/>
      <c r="Y651" s="514"/>
      <c r="Z651" s="514"/>
      <c r="AA651" s="756"/>
      <c r="AB651" s="764"/>
      <c r="AC651" s="514"/>
      <c r="AD651" s="514"/>
      <c r="AE651" s="698"/>
      <c r="AF651" s="514"/>
      <c r="AG651" s="527"/>
      <c r="AH651" s="527"/>
      <c r="AI651" s="946">
        <f t="shared" si="30"/>
        <v>0</v>
      </c>
      <c r="AJ651" s="521">
        <v>0</v>
      </c>
      <c r="AK651" s="520">
        <f t="shared" si="31"/>
        <v>0</v>
      </c>
      <c r="AL651" s="695" t="s">
        <v>1617</v>
      </c>
      <c r="AM651" s="669">
        <f t="shared" si="32"/>
        <v>6</v>
      </c>
    </row>
    <row r="652" spans="1:39" ht="13.35" hidden="1" customHeight="1">
      <c r="A652" s="539" t="s">
        <v>1105</v>
      </c>
      <c r="B652" s="539" t="s">
        <v>1432</v>
      </c>
      <c r="C652" s="548" t="s">
        <v>36</v>
      </c>
      <c r="D652" s="519"/>
      <c r="E652" s="520"/>
      <c r="F652" s="726"/>
      <c r="G652" s="520"/>
      <c r="H652" s="520"/>
      <c r="I652" s="521"/>
      <c r="J652" s="521"/>
      <c r="K652" s="772"/>
      <c r="L652" s="514"/>
      <c r="M652" s="756"/>
      <c r="N652" s="514"/>
      <c r="O652" s="514"/>
      <c r="P652" s="514"/>
      <c r="Q652" s="514"/>
      <c r="R652" s="514"/>
      <c r="S652" s="514"/>
      <c r="T652" s="756"/>
      <c r="U652" s="514"/>
      <c r="V652" s="514"/>
      <c r="W652" s="514"/>
      <c r="X652" s="514"/>
      <c r="Y652" s="514"/>
      <c r="Z652" s="514"/>
      <c r="AA652" s="756"/>
      <c r="AB652" s="764"/>
      <c r="AC652" s="514"/>
      <c r="AD652" s="514"/>
      <c r="AE652" s="698"/>
      <c r="AF652" s="514"/>
      <c r="AG652" s="527"/>
      <c r="AH652" s="527"/>
      <c r="AI652" s="946">
        <f t="shared" ref="AI652:AI678" si="33">ROUND((SUM(D652:AH652)),2)</f>
        <v>0</v>
      </c>
      <c r="AJ652" s="521">
        <v>0</v>
      </c>
      <c r="AK652" s="520">
        <f t="shared" si="31"/>
        <v>0</v>
      </c>
      <c r="AL652" s="695"/>
      <c r="AM652" s="669">
        <f t="shared" si="32"/>
        <v>0</v>
      </c>
    </row>
    <row r="653" spans="1:39" ht="13.35" hidden="1" customHeight="1">
      <c r="A653" s="542" t="s">
        <v>1106</v>
      </c>
      <c r="B653" s="542" t="s">
        <v>1433</v>
      </c>
      <c r="C653" s="616"/>
      <c r="D653" s="519"/>
      <c r="E653" s="520"/>
      <c r="F653" s="726"/>
      <c r="G653" s="520"/>
      <c r="H653" s="520"/>
      <c r="I653" s="521"/>
      <c r="J653" s="521"/>
      <c r="K653" s="772"/>
      <c r="L653" s="514"/>
      <c r="M653" s="756"/>
      <c r="N653" s="514"/>
      <c r="O653" s="514"/>
      <c r="P653" s="514"/>
      <c r="Q653" s="514"/>
      <c r="R653" s="514"/>
      <c r="S653" s="514"/>
      <c r="T653" s="756"/>
      <c r="U653" s="514"/>
      <c r="V653" s="514"/>
      <c r="W653" s="514"/>
      <c r="X653" s="514"/>
      <c r="Y653" s="514"/>
      <c r="Z653" s="514"/>
      <c r="AA653" s="756"/>
      <c r="AB653" s="764"/>
      <c r="AC653" s="514"/>
      <c r="AD653" s="514"/>
      <c r="AE653" s="698"/>
      <c r="AF653" s="514"/>
      <c r="AG653" s="527"/>
      <c r="AH653" s="527"/>
      <c r="AI653" s="946">
        <f t="shared" si="33"/>
        <v>0</v>
      </c>
      <c r="AJ653" s="521">
        <v>0</v>
      </c>
      <c r="AK653" s="520">
        <f t="shared" si="31"/>
        <v>0</v>
      </c>
      <c r="AL653" s="695" t="s">
        <v>1617</v>
      </c>
      <c r="AM653" s="669">
        <f t="shared" si="32"/>
        <v>6</v>
      </c>
    </row>
    <row r="654" spans="1:39" ht="13.35" hidden="1" customHeight="1">
      <c r="A654" s="539" t="s">
        <v>1107</v>
      </c>
      <c r="B654" s="539" t="s">
        <v>1434</v>
      </c>
      <c r="C654" s="548" t="s">
        <v>1452</v>
      </c>
      <c r="D654" s="519"/>
      <c r="E654" s="520"/>
      <c r="F654" s="726"/>
      <c r="G654" s="520"/>
      <c r="H654" s="520"/>
      <c r="I654" s="521"/>
      <c r="J654" s="521"/>
      <c r="K654" s="772"/>
      <c r="L654" s="514"/>
      <c r="M654" s="756"/>
      <c r="N654" s="514"/>
      <c r="O654" s="514"/>
      <c r="P654" s="514"/>
      <c r="Q654" s="514"/>
      <c r="R654" s="514"/>
      <c r="S654" s="514"/>
      <c r="T654" s="756"/>
      <c r="U654" s="514"/>
      <c r="V654" s="514"/>
      <c r="W654" s="514"/>
      <c r="X654" s="514"/>
      <c r="Y654" s="514"/>
      <c r="Z654" s="514"/>
      <c r="AA654" s="756"/>
      <c r="AB654" s="764"/>
      <c r="AC654" s="514"/>
      <c r="AD654" s="514"/>
      <c r="AE654" s="698"/>
      <c r="AF654" s="514"/>
      <c r="AG654" s="527"/>
      <c r="AH654" s="527"/>
      <c r="AI654" s="946">
        <f t="shared" si="33"/>
        <v>0</v>
      </c>
      <c r="AJ654" s="521">
        <v>0</v>
      </c>
      <c r="AK654" s="520">
        <f t="shared" si="31"/>
        <v>0</v>
      </c>
      <c r="AL654" s="695"/>
      <c r="AM654" s="669">
        <f t="shared" si="32"/>
        <v>0</v>
      </c>
    </row>
    <row r="655" spans="1:39" ht="13.35" hidden="1" customHeight="1">
      <c r="A655" s="542" t="s">
        <v>1108</v>
      </c>
      <c r="B655" s="542" t="s">
        <v>1416</v>
      </c>
      <c r="C655" s="616"/>
      <c r="D655" s="519"/>
      <c r="E655" s="520"/>
      <c r="F655" s="726"/>
      <c r="G655" s="520"/>
      <c r="H655" s="520"/>
      <c r="I655" s="521"/>
      <c r="J655" s="521"/>
      <c r="K655" s="772"/>
      <c r="L655" s="514"/>
      <c r="M655" s="756"/>
      <c r="N655" s="514"/>
      <c r="O655" s="514"/>
      <c r="P655" s="514"/>
      <c r="Q655" s="514"/>
      <c r="R655" s="514"/>
      <c r="S655" s="514"/>
      <c r="T655" s="756"/>
      <c r="U655" s="514"/>
      <c r="V655" s="514"/>
      <c r="W655" s="514"/>
      <c r="X655" s="514"/>
      <c r="Y655" s="514"/>
      <c r="Z655" s="514"/>
      <c r="AA655" s="756"/>
      <c r="AB655" s="764"/>
      <c r="AC655" s="514"/>
      <c r="AD655" s="514"/>
      <c r="AE655" s="698"/>
      <c r="AF655" s="514"/>
      <c r="AG655" s="527"/>
      <c r="AH655" s="527"/>
      <c r="AI655" s="946">
        <f t="shared" si="33"/>
        <v>0</v>
      </c>
      <c r="AJ655" s="521">
        <v>0</v>
      </c>
      <c r="AK655" s="520">
        <f t="shared" si="31"/>
        <v>0</v>
      </c>
      <c r="AL655" s="695" t="s">
        <v>1617</v>
      </c>
      <c r="AM655" s="669">
        <f t="shared" si="32"/>
        <v>6</v>
      </c>
    </row>
    <row r="656" spans="1:39" ht="13.35" hidden="1" customHeight="1">
      <c r="A656" s="539" t="s">
        <v>1109</v>
      </c>
      <c r="B656" s="539" t="s">
        <v>1435</v>
      </c>
      <c r="C656" s="548" t="s">
        <v>36</v>
      </c>
      <c r="D656" s="519"/>
      <c r="E656" s="520"/>
      <c r="F656" s="726"/>
      <c r="G656" s="520"/>
      <c r="H656" s="520"/>
      <c r="I656" s="521"/>
      <c r="J656" s="521"/>
      <c r="K656" s="772"/>
      <c r="L656" s="514"/>
      <c r="M656" s="756"/>
      <c r="N656" s="514"/>
      <c r="O656" s="514"/>
      <c r="P656" s="514"/>
      <c r="Q656" s="514"/>
      <c r="R656" s="514"/>
      <c r="S656" s="514"/>
      <c r="T656" s="756"/>
      <c r="U656" s="514"/>
      <c r="V656" s="514"/>
      <c r="W656" s="514"/>
      <c r="X656" s="514"/>
      <c r="Y656" s="514"/>
      <c r="Z656" s="514"/>
      <c r="AA656" s="756"/>
      <c r="AB656" s="764"/>
      <c r="AC656" s="514"/>
      <c r="AD656" s="514"/>
      <c r="AE656" s="698"/>
      <c r="AF656" s="514"/>
      <c r="AG656" s="527"/>
      <c r="AH656" s="527"/>
      <c r="AI656" s="946">
        <f t="shared" si="33"/>
        <v>0</v>
      </c>
      <c r="AJ656" s="521">
        <v>0</v>
      </c>
      <c r="AK656" s="520">
        <f t="shared" si="31"/>
        <v>0</v>
      </c>
      <c r="AL656" s="695"/>
      <c r="AM656" s="669">
        <f t="shared" si="32"/>
        <v>0</v>
      </c>
    </row>
    <row r="657" spans="1:39" ht="13.35" hidden="1" customHeight="1">
      <c r="A657" s="542" t="s">
        <v>1110</v>
      </c>
      <c r="B657" s="542" t="s">
        <v>1425</v>
      </c>
      <c r="C657" s="616"/>
      <c r="D657" s="519"/>
      <c r="E657" s="520"/>
      <c r="F657" s="726"/>
      <c r="G657" s="520"/>
      <c r="H657" s="520"/>
      <c r="I657" s="521"/>
      <c r="J657" s="521"/>
      <c r="K657" s="772"/>
      <c r="L657" s="514"/>
      <c r="M657" s="756"/>
      <c r="N657" s="514"/>
      <c r="O657" s="514"/>
      <c r="P657" s="514"/>
      <c r="Q657" s="514"/>
      <c r="R657" s="514"/>
      <c r="S657" s="514"/>
      <c r="T657" s="756"/>
      <c r="U657" s="514"/>
      <c r="V657" s="514"/>
      <c r="W657" s="514"/>
      <c r="X657" s="514"/>
      <c r="Y657" s="514"/>
      <c r="Z657" s="514"/>
      <c r="AA657" s="756"/>
      <c r="AB657" s="764"/>
      <c r="AC657" s="514"/>
      <c r="AD657" s="514"/>
      <c r="AE657" s="698"/>
      <c r="AF657" s="514"/>
      <c r="AG657" s="527"/>
      <c r="AH657" s="527"/>
      <c r="AI657" s="946">
        <f t="shared" si="33"/>
        <v>0</v>
      </c>
      <c r="AJ657" s="521">
        <v>0</v>
      </c>
      <c r="AK657" s="520">
        <f t="shared" si="31"/>
        <v>0</v>
      </c>
      <c r="AL657" s="695" t="s">
        <v>1617</v>
      </c>
      <c r="AM657" s="669">
        <f t="shared" si="32"/>
        <v>6</v>
      </c>
    </row>
    <row r="658" spans="1:39" ht="13.35" hidden="1" customHeight="1">
      <c r="A658" s="539" t="s">
        <v>1111</v>
      </c>
      <c r="B658" s="539" t="s">
        <v>1436</v>
      </c>
      <c r="C658" s="548" t="s">
        <v>1452</v>
      </c>
      <c r="D658" s="519"/>
      <c r="E658" s="520"/>
      <c r="F658" s="726"/>
      <c r="G658" s="520"/>
      <c r="H658" s="520"/>
      <c r="I658" s="521"/>
      <c r="J658" s="521"/>
      <c r="K658" s="772"/>
      <c r="L658" s="514"/>
      <c r="M658" s="756"/>
      <c r="N658" s="514"/>
      <c r="O658" s="514"/>
      <c r="P658" s="514"/>
      <c r="Q658" s="514"/>
      <c r="R658" s="514"/>
      <c r="S658" s="514"/>
      <c r="T658" s="756"/>
      <c r="U658" s="514"/>
      <c r="V658" s="514"/>
      <c r="W658" s="514"/>
      <c r="X658" s="514"/>
      <c r="Y658" s="514"/>
      <c r="Z658" s="514"/>
      <c r="AA658" s="756"/>
      <c r="AB658" s="764"/>
      <c r="AC658" s="514"/>
      <c r="AD658" s="514"/>
      <c r="AE658" s="698"/>
      <c r="AF658" s="514"/>
      <c r="AG658" s="527"/>
      <c r="AH658" s="527"/>
      <c r="AI658" s="946">
        <f t="shared" si="33"/>
        <v>0</v>
      </c>
      <c r="AJ658" s="521">
        <v>0</v>
      </c>
      <c r="AK658" s="520">
        <f t="shared" si="31"/>
        <v>0</v>
      </c>
      <c r="AL658" s="695"/>
      <c r="AM658" s="669">
        <f t="shared" si="32"/>
        <v>0</v>
      </c>
    </row>
    <row r="659" spans="1:39" ht="13.35" hidden="1" customHeight="1">
      <c r="A659" s="542" t="s">
        <v>1112</v>
      </c>
      <c r="B659" s="542" t="s">
        <v>1392</v>
      </c>
      <c r="C659" s="616"/>
      <c r="D659" s="519"/>
      <c r="E659" s="520"/>
      <c r="F659" s="726"/>
      <c r="G659" s="520"/>
      <c r="H659" s="520"/>
      <c r="I659" s="521"/>
      <c r="J659" s="521"/>
      <c r="K659" s="772"/>
      <c r="L659" s="514"/>
      <c r="M659" s="756"/>
      <c r="N659" s="514"/>
      <c r="O659" s="514"/>
      <c r="P659" s="514"/>
      <c r="Q659" s="514"/>
      <c r="R659" s="514"/>
      <c r="S659" s="514"/>
      <c r="T659" s="756"/>
      <c r="U659" s="514"/>
      <c r="V659" s="514"/>
      <c r="W659" s="514"/>
      <c r="X659" s="514"/>
      <c r="Y659" s="514"/>
      <c r="Z659" s="514"/>
      <c r="AA659" s="756"/>
      <c r="AB659" s="764"/>
      <c r="AC659" s="514"/>
      <c r="AD659" s="514"/>
      <c r="AE659" s="698"/>
      <c r="AF659" s="514"/>
      <c r="AG659" s="527"/>
      <c r="AH659" s="527"/>
      <c r="AI659" s="946">
        <f t="shared" si="33"/>
        <v>0</v>
      </c>
      <c r="AJ659" s="521">
        <v>0</v>
      </c>
      <c r="AK659" s="520">
        <f t="shared" si="31"/>
        <v>0</v>
      </c>
      <c r="AL659" s="695" t="s">
        <v>1617</v>
      </c>
      <c r="AM659" s="669">
        <f t="shared" si="32"/>
        <v>6</v>
      </c>
    </row>
    <row r="660" spans="1:39" ht="13.35" hidden="1" customHeight="1">
      <c r="A660" s="539" t="s">
        <v>1113</v>
      </c>
      <c r="B660" s="539" t="s">
        <v>1437</v>
      </c>
      <c r="C660" s="548" t="s">
        <v>36</v>
      </c>
      <c r="D660" s="519"/>
      <c r="E660" s="520"/>
      <c r="F660" s="726"/>
      <c r="G660" s="520"/>
      <c r="H660" s="520"/>
      <c r="I660" s="521"/>
      <c r="J660" s="521"/>
      <c r="K660" s="772"/>
      <c r="L660" s="514"/>
      <c r="M660" s="756"/>
      <c r="N660" s="514"/>
      <c r="O660" s="514"/>
      <c r="P660" s="514"/>
      <c r="Q660" s="514"/>
      <c r="R660" s="514"/>
      <c r="S660" s="514"/>
      <c r="T660" s="756"/>
      <c r="U660" s="514"/>
      <c r="V660" s="514"/>
      <c r="W660" s="514"/>
      <c r="X660" s="514"/>
      <c r="Y660" s="514"/>
      <c r="Z660" s="514"/>
      <c r="AA660" s="756"/>
      <c r="AB660" s="764"/>
      <c r="AC660" s="514"/>
      <c r="AD660" s="514"/>
      <c r="AE660" s="698"/>
      <c r="AF660" s="514"/>
      <c r="AG660" s="527"/>
      <c r="AH660" s="527"/>
      <c r="AI660" s="946">
        <f t="shared" si="33"/>
        <v>0</v>
      </c>
      <c r="AJ660" s="521">
        <v>0</v>
      </c>
      <c r="AK660" s="520">
        <f t="shared" ref="AK660:AK678" si="34">AI660+AJ660</f>
        <v>0</v>
      </c>
      <c r="AL660" s="695"/>
      <c r="AM660" s="669">
        <f t="shared" ref="AM660:AM679" si="35">AL660-AK660</f>
        <v>0</v>
      </c>
    </row>
    <row r="661" spans="1:39" ht="13.35" hidden="1" customHeight="1">
      <c r="A661" s="440" t="s">
        <v>1114</v>
      </c>
      <c r="B661" s="543" t="s">
        <v>1438</v>
      </c>
      <c r="C661" s="616"/>
      <c r="D661" s="519"/>
      <c r="E661" s="520"/>
      <c r="F661" s="726"/>
      <c r="G661" s="520"/>
      <c r="H661" s="520"/>
      <c r="I661" s="521"/>
      <c r="J661" s="521"/>
      <c r="K661" s="772"/>
      <c r="L661" s="514"/>
      <c r="M661" s="756"/>
      <c r="N661" s="514"/>
      <c r="O661" s="514"/>
      <c r="P661" s="514"/>
      <c r="Q661" s="514"/>
      <c r="R661" s="514"/>
      <c r="S661" s="514"/>
      <c r="T661" s="756"/>
      <c r="U661" s="514"/>
      <c r="V661" s="514"/>
      <c r="W661" s="514"/>
      <c r="X661" s="514"/>
      <c r="Y661" s="514"/>
      <c r="Z661" s="514"/>
      <c r="AA661" s="756"/>
      <c r="AB661" s="764"/>
      <c r="AC661" s="514"/>
      <c r="AD661" s="514"/>
      <c r="AE661" s="698"/>
      <c r="AF661" s="514"/>
      <c r="AG661" s="527"/>
      <c r="AH661" s="527"/>
      <c r="AI661" s="946">
        <f t="shared" si="33"/>
        <v>0</v>
      </c>
      <c r="AJ661" s="521">
        <v>0</v>
      </c>
      <c r="AK661" s="520">
        <f t="shared" si="34"/>
        <v>0</v>
      </c>
      <c r="AL661" s="695"/>
      <c r="AM661" s="669">
        <f t="shared" si="35"/>
        <v>0</v>
      </c>
    </row>
    <row r="662" spans="1:39" ht="13.35" hidden="1" customHeight="1">
      <c r="A662" s="542" t="s">
        <v>1115</v>
      </c>
      <c r="B662" s="542" t="s">
        <v>1439</v>
      </c>
      <c r="C662" s="616"/>
      <c r="D662" s="519"/>
      <c r="E662" s="520"/>
      <c r="F662" s="726"/>
      <c r="G662" s="520"/>
      <c r="H662" s="520"/>
      <c r="I662" s="521"/>
      <c r="J662" s="521"/>
      <c r="K662" s="772"/>
      <c r="L662" s="514"/>
      <c r="M662" s="756"/>
      <c r="N662" s="514"/>
      <c r="O662" s="514"/>
      <c r="P662" s="514"/>
      <c r="Q662" s="514"/>
      <c r="R662" s="514"/>
      <c r="S662" s="514"/>
      <c r="T662" s="756"/>
      <c r="U662" s="514"/>
      <c r="V662" s="514"/>
      <c r="W662" s="514"/>
      <c r="X662" s="514"/>
      <c r="Y662" s="514"/>
      <c r="Z662" s="514"/>
      <c r="AA662" s="756"/>
      <c r="AB662" s="764"/>
      <c r="AC662" s="514"/>
      <c r="AD662" s="514"/>
      <c r="AE662" s="698"/>
      <c r="AF662" s="514"/>
      <c r="AG662" s="527"/>
      <c r="AH662" s="527"/>
      <c r="AI662" s="946">
        <f t="shared" si="33"/>
        <v>0</v>
      </c>
      <c r="AJ662" s="521">
        <v>0</v>
      </c>
      <c r="AK662" s="520">
        <f t="shared" si="34"/>
        <v>0</v>
      </c>
      <c r="AL662" s="695" t="s">
        <v>1455</v>
      </c>
      <c r="AM662" s="669">
        <f t="shared" si="35"/>
        <v>1</v>
      </c>
    </row>
    <row r="663" spans="1:39" ht="13.35" hidden="1" customHeight="1">
      <c r="A663" s="539" t="s">
        <v>1116</v>
      </c>
      <c r="B663" s="539" t="s">
        <v>1440</v>
      </c>
      <c r="C663" s="548" t="s">
        <v>1453</v>
      </c>
      <c r="D663" s="519"/>
      <c r="E663" s="520"/>
      <c r="F663" s="726"/>
      <c r="G663" s="520"/>
      <c r="H663" s="520"/>
      <c r="I663" s="521"/>
      <c r="J663" s="521"/>
      <c r="K663" s="772"/>
      <c r="L663" s="514"/>
      <c r="M663" s="756"/>
      <c r="N663" s="514"/>
      <c r="O663" s="514"/>
      <c r="P663" s="514"/>
      <c r="Q663" s="514"/>
      <c r="R663" s="514"/>
      <c r="S663" s="514"/>
      <c r="T663" s="756"/>
      <c r="U663" s="514"/>
      <c r="V663" s="514"/>
      <c r="W663" s="514"/>
      <c r="X663" s="514"/>
      <c r="Y663" s="514"/>
      <c r="Z663" s="514"/>
      <c r="AA663" s="756"/>
      <c r="AB663" s="764"/>
      <c r="AC663" s="514"/>
      <c r="AD663" s="514"/>
      <c r="AE663" s="698"/>
      <c r="AF663" s="514"/>
      <c r="AG663" s="527"/>
      <c r="AH663" s="527"/>
      <c r="AI663" s="946">
        <f t="shared" si="33"/>
        <v>0</v>
      </c>
      <c r="AJ663" s="521">
        <v>0</v>
      </c>
      <c r="AK663" s="520">
        <f t="shared" si="34"/>
        <v>0</v>
      </c>
      <c r="AL663" s="695"/>
      <c r="AM663" s="669">
        <f t="shared" si="35"/>
        <v>0</v>
      </c>
    </row>
    <row r="664" spans="1:39" ht="13.35" hidden="1" customHeight="1">
      <c r="A664" s="542" t="s">
        <v>1117</v>
      </c>
      <c r="B664" s="542" t="s">
        <v>1441</v>
      </c>
      <c r="C664" s="616"/>
      <c r="D664" s="519"/>
      <c r="E664" s="520"/>
      <c r="F664" s="726"/>
      <c r="G664" s="520"/>
      <c r="H664" s="520"/>
      <c r="I664" s="521"/>
      <c r="J664" s="521"/>
      <c r="K664" s="772"/>
      <c r="L664" s="514"/>
      <c r="M664" s="756"/>
      <c r="N664" s="514"/>
      <c r="O664" s="514"/>
      <c r="P664" s="514"/>
      <c r="Q664" s="514"/>
      <c r="R664" s="514"/>
      <c r="S664" s="514"/>
      <c r="T664" s="756"/>
      <c r="U664" s="514"/>
      <c r="V664" s="514"/>
      <c r="W664" s="514"/>
      <c r="X664" s="514"/>
      <c r="Y664" s="514"/>
      <c r="Z664" s="514"/>
      <c r="AA664" s="756"/>
      <c r="AB664" s="764"/>
      <c r="AC664" s="514"/>
      <c r="AD664" s="514"/>
      <c r="AE664" s="698"/>
      <c r="AF664" s="514"/>
      <c r="AG664" s="527"/>
      <c r="AH664" s="527"/>
      <c r="AI664" s="946">
        <f t="shared" si="33"/>
        <v>0</v>
      </c>
      <c r="AJ664" s="521">
        <v>0</v>
      </c>
      <c r="AK664" s="520">
        <f t="shared" si="34"/>
        <v>0</v>
      </c>
      <c r="AL664" s="695" t="s">
        <v>1698</v>
      </c>
      <c r="AM664" s="669">
        <f t="shared" si="35"/>
        <v>2</v>
      </c>
    </row>
    <row r="665" spans="1:39" ht="13.35" hidden="1" customHeight="1">
      <c r="A665" s="539" t="s">
        <v>1118</v>
      </c>
      <c r="B665" s="539" t="s">
        <v>1442</v>
      </c>
      <c r="C665" s="548" t="s">
        <v>1454</v>
      </c>
      <c r="D665" s="519"/>
      <c r="E665" s="520"/>
      <c r="F665" s="726"/>
      <c r="G665" s="520"/>
      <c r="H665" s="520"/>
      <c r="I665" s="521"/>
      <c r="J665" s="521"/>
      <c r="K665" s="772"/>
      <c r="L665" s="514"/>
      <c r="M665" s="756"/>
      <c r="N665" s="514"/>
      <c r="O665" s="514"/>
      <c r="P665" s="514"/>
      <c r="Q665" s="514"/>
      <c r="R665" s="514"/>
      <c r="S665" s="514"/>
      <c r="T665" s="756"/>
      <c r="U665" s="514"/>
      <c r="V665" s="514"/>
      <c r="W665" s="514"/>
      <c r="X665" s="514"/>
      <c r="Y665" s="514"/>
      <c r="Z665" s="514"/>
      <c r="AA665" s="756"/>
      <c r="AB665" s="764"/>
      <c r="AC665" s="514"/>
      <c r="AD665" s="514"/>
      <c r="AE665" s="698"/>
      <c r="AF665" s="514"/>
      <c r="AG665" s="527"/>
      <c r="AH665" s="527"/>
      <c r="AI665" s="946">
        <f t="shared" si="33"/>
        <v>0</v>
      </c>
      <c r="AJ665" s="521">
        <v>0</v>
      </c>
      <c r="AK665" s="520">
        <f t="shared" si="34"/>
        <v>0</v>
      </c>
      <c r="AL665" s="695"/>
      <c r="AM665" s="669">
        <f t="shared" si="35"/>
        <v>0</v>
      </c>
    </row>
    <row r="666" spans="1:39" ht="13.35" hidden="1" customHeight="1">
      <c r="A666" s="542" t="s">
        <v>1119</v>
      </c>
      <c r="B666" s="542" t="s">
        <v>1419</v>
      </c>
      <c r="C666" s="616"/>
      <c r="D666" s="519"/>
      <c r="E666" s="520"/>
      <c r="F666" s="726"/>
      <c r="G666" s="520"/>
      <c r="H666" s="520"/>
      <c r="I666" s="521"/>
      <c r="J666" s="521"/>
      <c r="K666" s="772"/>
      <c r="L666" s="514"/>
      <c r="M666" s="756"/>
      <c r="N666" s="514"/>
      <c r="O666" s="514"/>
      <c r="P666" s="514"/>
      <c r="Q666" s="514"/>
      <c r="R666" s="514"/>
      <c r="S666" s="514"/>
      <c r="T666" s="756"/>
      <c r="U666" s="514"/>
      <c r="V666" s="514"/>
      <c r="W666" s="514"/>
      <c r="X666" s="514"/>
      <c r="Y666" s="514"/>
      <c r="Z666" s="514"/>
      <c r="AA666" s="756"/>
      <c r="AB666" s="764"/>
      <c r="AC666" s="514"/>
      <c r="AD666" s="514"/>
      <c r="AE666" s="698"/>
      <c r="AF666" s="514"/>
      <c r="AG666" s="527"/>
      <c r="AH666" s="527"/>
      <c r="AI666" s="946">
        <f t="shared" si="33"/>
        <v>0</v>
      </c>
      <c r="AJ666" s="521">
        <v>0</v>
      </c>
      <c r="AK666" s="520">
        <f t="shared" si="34"/>
        <v>0</v>
      </c>
      <c r="AL666" s="695" t="s">
        <v>1771</v>
      </c>
      <c r="AM666" s="669">
        <f t="shared" si="35"/>
        <v>90</v>
      </c>
    </row>
    <row r="667" spans="1:39" ht="13.35" hidden="1" customHeight="1">
      <c r="A667" s="539" t="s">
        <v>1120</v>
      </c>
      <c r="B667" s="539" t="s">
        <v>1420</v>
      </c>
      <c r="C667" s="548" t="s">
        <v>38</v>
      </c>
      <c r="D667" s="519"/>
      <c r="E667" s="520"/>
      <c r="F667" s="726"/>
      <c r="G667" s="520"/>
      <c r="H667" s="520"/>
      <c r="I667" s="521"/>
      <c r="J667" s="521"/>
      <c r="K667" s="772"/>
      <c r="L667" s="514"/>
      <c r="M667" s="756"/>
      <c r="N667" s="514"/>
      <c r="O667" s="514"/>
      <c r="P667" s="514"/>
      <c r="Q667" s="514"/>
      <c r="R667" s="514"/>
      <c r="S667" s="514"/>
      <c r="T667" s="756"/>
      <c r="U667" s="514"/>
      <c r="V667" s="514"/>
      <c r="W667" s="514"/>
      <c r="X667" s="514"/>
      <c r="Y667" s="514"/>
      <c r="Z667" s="514"/>
      <c r="AA667" s="756"/>
      <c r="AB667" s="764"/>
      <c r="AC667" s="514"/>
      <c r="AD667" s="514"/>
      <c r="AE667" s="698"/>
      <c r="AF667" s="514"/>
      <c r="AG667" s="527"/>
      <c r="AH667" s="527"/>
      <c r="AI667" s="946">
        <f t="shared" si="33"/>
        <v>0</v>
      </c>
      <c r="AJ667" s="521">
        <v>0</v>
      </c>
      <c r="AK667" s="520">
        <f t="shared" si="34"/>
        <v>0</v>
      </c>
      <c r="AL667" s="695"/>
      <c r="AM667" s="669">
        <f t="shared" si="35"/>
        <v>0</v>
      </c>
    </row>
    <row r="668" spans="1:39" ht="13.35" hidden="1" customHeight="1">
      <c r="A668" s="542" t="s">
        <v>1121</v>
      </c>
      <c r="B668" s="542" t="s">
        <v>1421</v>
      </c>
      <c r="C668" s="616"/>
      <c r="D668" s="519"/>
      <c r="E668" s="520"/>
      <c r="F668" s="726"/>
      <c r="G668" s="520"/>
      <c r="H668" s="520"/>
      <c r="I668" s="521"/>
      <c r="J668" s="521"/>
      <c r="K668" s="772"/>
      <c r="L668" s="514"/>
      <c r="M668" s="756"/>
      <c r="N668" s="514"/>
      <c r="O668" s="514"/>
      <c r="P668" s="514"/>
      <c r="Q668" s="514"/>
      <c r="R668" s="514"/>
      <c r="S668" s="514"/>
      <c r="T668" s="756"/>
      <c r="U668" s="514"/>
      <c r="V668" s="514"/>
      <c r="W668" s="514"/>
      <c r="X668" s="514"/>
      <c r="Y668" s="514"/>
      <c r="Z668" s="514"/>
      <c r="AA668" s="756"/>
      <c r="AB668" s="764"/>
      <c r="AC668" s="514"/>
      <c r="AD668" s="514"/>
      <c r="AE668" s="698"/>
      <c r="AF668" s="514"/>
      <c r="AG668" s="527"/>
      <c r="AH668" s="527"/>
      <c r="AI668" s="946">
        <f t="shared" si="33"/>
        <v>0</v>
      </c>
      <c r="AJ668" s="521">
        <v>0</v>
      </c>
      <c r="AK668" s="520">
        <f t="shared" si="34"/>
        <v>0</v>
      </c>
      <c r="AL668" s="695">
        <v>12</v>
      </c>
      <c r="AM668" s="669">
        <f t="shared" si="35"/>
        <v>12</v>
      </c>
    </row>
    <row r="669" spans="1:39" ht="13.35" hidden="1" customHeight="1">
      <c r="A669" s="539" t="s">
        <v>1122</v>
      </c>
      <c r="B669" s="539" t="s">
        <v>1443</v>
      </c>
      <c r="C669" s="548" t="s">
        <v>38</v>
      </c>
      <c r="D669" s="519"/>
      <c r="E669" s="520"/>
      <c r="F669" s="726"/>
      <c r="G669" s="520"/>
      <c r="H669" s="520"/>
      <c r="I669" s="521"/>
      <c r="J669" s="521"/>
      <c r="K669" s="772"/>
      <c r="L669" s="514"/>
      <c r="M669" s="756"/>
      <c r="N669" s="514"/>
      <c r="O669" s="514"/>
      <c r="P669" s="514"/>
      <c r="Q669" s="514"/>
      <c r="R669" s="514"/>
      <c r="S669" s="514"/>
      <c r="T669" s="756"/>
      <c r="U669" s="514"/>
      <c r="V669" s="514"/>
      <c r="W669" s="514"/>
      <c r="X669" s="514"/>
      <c r="Y669" s="514"/>
      <c r="Z669" s="514"/>
      <c r="AA669" s="756"/>
      <c r="AB669" s="764"/>
      <c r="AC669" s="514"/>
      <c r="AD669" s="514"/>
      <c r="AE669" s="698"/>
      <c r="AF669" s="514"/>
      <c r="AG669" s="527"/>
      <c r="AH669" s="527"/>
      <c r="AI669" s="946">
        <f t="shared" si="33"/>
        <v>0</v>
      </c>
      <c r="AJ669" s="521">
        <v>0</v>
      </c>
      <c r="AK669" s="520">
        <f t="shared" si="34"/>
        <v>0</v>
      </c>
      <c r="AL669" s="695">
        <v>106</v>
      </c>
      <c r="AM669" s="669">
        <f t="shared" si="35"/>
        <v>106</v>
      </c>
    </row>
    <row r="670" spans="1:39" ht="13.35" hidden="1" customHeight="1">
      <c r="A670" s="539" t="s">
        <v>1123</v>
      </c>
      <c r="B670" s="539" t="s">
        <v>1444</v>
      </c>
      <c r="C670" s="548" t="s">
        <v>38</v>
      </c>
      <c r="D670" s="519"/>
      <c r="E670" s="520"/>
      <c r="F670" s="726"/>
      <c r="G670" s="520"/>
      <c r="H670" s="520"/>
      <c r="I670" s="521"/>
      <c r="J670" s="521"/>
      <c r="K670" s="772"/>
      <c r="L670" s="514"/>
      <c r="M670" s="756"/>
      <c r="N670" s="514"/>
      <c r="O670" s="514"/>
      <c r="P670" s="514"/>
      <c r="Q670" s="514"/>
      <c r="R670" s="514"/>
      <c r="S670" s="514"/>
      <c r="T670" s="756"/>
      <c r="U670" s="514"/>
      <c r="V670" s="514"/>
      <c r="W670" s="514"/>
      <c r="X670" s="514"/>
      <c r="Y670" s="514"/>
      <c r="Z670" s="514"/>
      <c r="AA670" s="756"/>
      <c r="AB670" s="764"/>
      <c r="AC670" s="514"/>
      <c r="AD670" s="514"/>
      <c r="AE670" s="698"/>
      <c r="AF670" s="514"/>
      <c r="AG670" s="527"/>
      <c r="AH670" s="527"/>
      <c r="AI670" s="946">
        <f t="shared" si="33"/>
        <v>0</v>
      </c>
      <c r="AJ670" s="521">
        <v>0</v>
      </c>
      <c r="AK670" s="520">
        <f t="shared" si="34"/>
        <v>0</v>
      </c>
      <c r="AL670" s="695"/>
      <c r="AM670" s="669">
        <f t="shared" si="35"/>
        <v>0</v>
      </c>
    </row>
    <row r="671" spans="1:39" ht="13.35" hidden="1" customHeight="1">
      <c r="A671" s="542" t="s">
        <v>1124</v>
      </c>
      <c r="B671" s="542" t="s">
        <v>1423</v>
      </c>
      <c r="C671" s="616"/>
      <c r="D671" s="519"/>
      <c r="E671" s="520"/>
      <c r="F671" s="726"/>
      <c r="G671" s="520"/>
      <c r="H671" s="520"/>
      <c r="I671" s="521"/>
      <c r="J671" s="521"/>
      <c r="K671" s="772"/>
      <c r="L671" s="514"/>
      <c r="M671" s="756"/>
      <c r="N671" s="514"/>
      <c r="O671" s="514"/>
      <c r="P671" s="514"/>
      <c r="Q671" s="514"/>
      <c r="R671" s="514"/>
      <c r="S671" s="514"/>
      <c r="T671" s="756"/>
      <c r="U671" s="514"/>
      <c r="V671" s="514"/>
      <c r="W671" s="514"/>
      <c r="X671" s="514"/>
      <c r="Y671" s="514"/>
      <c r="Z671" s="514"/>
      <c r="AA671" s="756"/>
      <c r="AB671" s="764"/>
      <c r="AC671" s="514"/>
      <c r="AD671" s="514"/>
      <c r="AE671" s="698"/>
      <c r="AF671" s="514"/>
      <c r="AG671" s="527"/>
      <c r="AH671" s="527"/>
      <c r="AI671" s="946">
        <f t="shared" si="33"/>
        <v>0</v>
      </c>
      <c r="AJ671" s="521">
        <v>0</v>
      </c>
      <c r="AK671" s="520">
        <f t="shared" si="34"/>
        <v>0</v>
      </c>
      <c r="AL671" s="695">
        <v>106</v>
      </c>
      <c r="AM671" s="669">
        <f t="shared" si="35"/>
        <v>106</v>
      </c>
    </row>
    <row r="672" spans="1:39" ht="13.35" hidden="1" customHeight="1">
      <c r="A672" s="539" t="s">
        <v>1125</v>
      </c>
      <c r="B672" s="539" t="s">
        <v>1445</v>
      </c>
      <c r="C672" s="548" t="s">
        <v>38</v>
      </c>
      <c r="D672" s="519"/>
      <c r="E672" s="520"/>
      <c r="F672" s="726"/>
      <c r="G672" s="520"/>
      <c r="H672" s="520"/>
      <c r="I672" s="521"/>
      <c r="J672" s="521"/>
      <c r="K672" s="772"/>
      <c r="L672" s="514"/>
      <c r="M672" s="756"/>
      <c r="N672" s="514"/>
      <c r="O672" s="514"/>
      <c r="P672" s="514"/>
      <c r="Q672" s="514"/>
      <c r="R672" s="514"/>
      <c r="S672" s="514"/>
      <c r="T672" s="756"/>
      <c r="U672" s="514"/>
      <c r="V672" s="514"/>
      <c r="W672" s="514"/>
      <c r="X672" s="514"/>
      <c r="Y672" s="514"/>
      <c r="Z672" s="514"/>
      <c r="AA672" s="756"/>
      <c r="AB672" s="764"/>
      <c r="AC672" s="514"/>
      <c r="AD672" s="514"/>
      <c r="AE672" s="698"/>
      <c r="AF672" s="514"/>
      <c r="AG672" s="527"/>
      <c r="AH672" s="527"/>
      <c r="AI672" s="946">
        <f t="shared" si="33"/>
        <v>0</v>
      </c>
      <c r="AJ672" s="521">
        <v>0</v>
      </c>
      <c r="AK672" s="520">
        <f t="shared" si="34"/>
        <v>0</v>
      </c>
      <c r="AL672" s="695"/>
      <c r="AM672" s="669">
        <f t="shared" si="35"/>
        <v>0</v>
      </c>
    </row>
    <row r="673" spans="1:39" ht="13.35" hidden="1" customHeight="1">
      <c r="A673" s="542" t="s">
        <v>1126</v>
      </c>
      <c r="B673" s="542" t="s">
        <v>1416</v>
      </c>
      <c r="C673" s="616"/>
      <c r="D673" s="519"/>
      <c r="E673" s="520"/>
      <c r="F673" s="726"/>
      <c r="G673" s="520"/>
      <c r="H673" s="520"/>
      <c r="I673" s="521"/>
      <c r="J673" s="521"/>
      <c r="K673" s="772"/>
      <c r="L673" s="514"/>
      <c r="M673" s="756"/>
      <c r="N673" s="514"/>
      <c r="O673" s="514"/>
      <c r="P673" s="514"/>
      <c r="Q673" s="514"/>
      <c r="R673" s="514"/>
      <c r="S673" s="514"/>
      <c r="T673" s="756"/>
      <c r="U673" s="514"/>
      <c r="V673" s="514"/>
      <c r="W673" s="514"/>
      <c r="X673" s="514"/>
      <c r="Y673" s="514"/>
      <c r="Z673" s="514"/>
      <c r="AA673" s="756"/>
      <c r="AB673" s="764"/>
      <c r="AC673" s="514"/>
      <c r="AD673" s="514"/>
      <c r="AE673" s="698"/>
      <c r="AF673" s="514"/>
      <c r="AG673" s="527"/>
      <c r="AH673" s="527"/>
      <c r="AI673" s="946">
        <f t="shared" si="33"/>
        <v>0</v>
      </c>
      <c r="AJ673" s="521">
        <v>0</v>
      </c>
      <c r="AK673" s="520">
        <f t="shared" si="34"/>
        <v>0</v>
      </c>
      <c r="AL673" s="695">
        <v>5</v>
      </c>
      <c r="AM673" s="669">
        <f t="shared" si="35"/>
        <v>5</v>
      </c>
    </row>
    <row r="674" spans="1:39" ht="13.35" hidden="1" customHeight="1">
      <c r="A674" s="539" t="s">
        <v>1127</v>
      </c>
      <c r="B674" s="539" t="s">
        <v>1417</v>
      </c>
      <c r="C674" s="548" t="s">
        <v>36</v>
      </c>
      <c r="D674" s="519"/>
      <c r="E674" s="520"/>
      <c r="F674" s="726"/>
      <c r="G674" s="520"/>
      <c r="H674" s="520"/>
      <c r="I674" s="521"/>
      <c r="J674" s="521"/>
      <c r="K674" s="772"/>
      <c r="L674" s="514"/>
      <c r="M674" s="756"/>
      <c r="N674" s="514"/>
      <c r="O674" s="514"/>
      <c r="P674" s="514"/>
      <c r="Q674" s="514"/>
      <c r="R674" s="514"/>
      <c r="S674" s="514"/>
      <c r="T674" s="756"/>
      <c r="U674" s="514"/>
      <c r="V674" s="514"/>
      <c r="W674" s="514"/>
      <c r="X674" s="514"/>
      <c r="Y674" s="514"/>
      <c r="Z674" s="514"/>
      <c r="AA674" s="756"/>
      <c r="AB674" s="764"/>
      <c r="AC674" s="514"/>
      <c r="AD674" s="514"/>
      <c r="AE674" s="698"/>
      <c r="AF674" s="514"/>
      <c r="AG674" s="527"/>
      <c r="AH674" s="527"/>
      <c r="AI674" s="946">
        <f t="shared" si="33"/>
        <v>0</v>
      </c>
      <c r="AJ674" s="521">
        <v>0</v>
      </c>
      <c r="AK674" s="520">
        <f t="shared" si="34"/>
        <v>0</v>
      </c>
      <c r="AL674" s="695"/>
      <c r="AM674" s="669">
        <f t="shared" si="35"/>
        <v>0</v>
      </c>
    </row>
    <row r="675" spans="1:39" ht="13.35" hidden="1" customHeight="1">
      <c r="A675" s="542" t="s">
        <v>1128</v>
      </c>
      <c r="B675" s="542" t="s">
        <v>1446</v>
      </c>
      <c r="C675" s="616"/>
      <c r="D675" s="519"/>
      <c r="E675" s="520"/>
      <c r="F675" s="726"/>
      <c r="G675" s="520"/>
      <c r="H675" s="520"/>
      <c r="I675" s="521"/>
      <c r="J675" s="521"/>
      <c r="K675" s="772"/>
      <c r="L675" s="514"/>
      <c r="M675" s="756"/>
      <c r="N675" s="514"/>
      <c r="O675" s="514"/>
      <c r="P675" s="514"/>
      <c r="Q675" s="514"/>
      <c r="R675" s="514"/>
      <c r="S675" s="514"/>
      <c r="T675" s="756"/>
      <c r="U675" s="514"/>
      <c r="V675" s="514"/>
      <c r="W675" s="514"/>
      <c r="X675" s="514"/>
      <c r="Y675" s="514"/>
      <c r="Z675" s="514"/>
      <c r="AA675" s="756"/>
      <c r="AB675" s="764"/>
      <c r="AC675" s="514"/>
      <c r="AD675" s="514"/>
      <c r="AE675" s="698"/>
      <c r="AF675" s="514"/>
      <c r="AG675" s="527"/>
      <c r="AH675" s="527"/>
      <c r="AI675" s="946">
        <f t="shared" si="33"/>
        <v>0</v>
      </c>
      <c r="AJ675" s="521">
        <v>0</v>
      </c>
      <c r="AK675" s="520">
        <f t="shared" si="34"/>
        <v>0</v>
      </c>
      <c r="AL675" s="695">
        <v>1</v>
      </c>
      <c r="AM675" s="669">
        <f t="shared" si="35"/>
        <v>1</v>
      </c>
    </row>
    <row r="676" spans="1:39" ht="13.35" hidden="1" customHeight="1">
      <c r="A676" s="539" t="s">
        <v>1129</v>
      </c>
      <c r="B676" s="539" t="s">
        <v>1447</v>
      </c>
      <c r="C676" s="548" t="s">
        <v>64</v>
      </c>
      <c r="D676" s="519"/>
      <c r="E676" s="520"/>
      <c r="F676" s="726"/>
      <c r="G676" s="520"/>
      <c r="H676" s="520"/>
      <c r="I676" s="521"/>
      <c r="J676" s="521"/>
      <c r="K676" s="772"/>
      <c r="L676" s="514"/>
      <c r="M676" s="756"/>
      <c r="N676" s="514"/>
      <c r="O676" s="514"/>
      <c r="P676" s="514"/>
      <c r="Q676" s="514"/>
      <c r="R676" s="514"/>
      <c r="S676" s="514"/>
      <c r="T676" s="756"/>
      <c r="U676" s="514"/>
      <c r="V676" s="514"/>
      <c r="W676" s="514"/>
      <c r="X676" s="514"/>
      <c r="Y676" s="514"/>
      <c r="Z676" s="514"/>
      <c r="AA676" s="756"/>
      <c r="AB676" s="764"/>
      <c r="AC676" s="514"/>
      <c r="AD676" s="514"/>
      <c r="AE676" s="698"/>
      <c r="AF676" s="514"/>
      <c r="AG676" s="527"/>
      <c r="AH676" s="527"/>
      <c r="AI676" s="946">
        <f t="shared" si="33"/>
        <v>0</v>
      </c>
      <c r="AJ676" s="521">
        <v>0</v>
      </c>
      <c r="AK676" s="520">
        <f t="shared" si="34"/>
        <v>0</v>
      </c>
      <c r="AL676" s="695"/>
      <c r="AM676" s="669">
        <f t="shared" si="35"/>
        <v>0</v>
      </c>
    </row>
    <row r="677" spans="1:39" ht="13.35" hidden="1" customHeight="1">
      <c r="A677" s="542" t="s">
        <v>1130</v>
      </c>
      <c r="B677" s="542" t="s">
        <v>1448</v>
      </c>
      <c r="C677" s="792"/>
      <c r="D677" s="520"/>
      <c r="E677" s="520"/>
      <c r="F677" s="726"/>
      <c r="G677" s="520"/>
      <c r="H677" s="520"/>
      <c r="I677" s="521"/>
      <c r="J677" s="521"/>
      <c r="K677" s="772"/>
      <c r="L677" s="527"/>
      <c r="M677" s="727"/>
      <c r="N677" s="527"/>
      <c r="O677" s="527"/>
      <c r="P677" s="527"/>
      <c r="Q677" s="527"/>
      <c r="R677" s="527"/>
      <c r="S677" s="527"/>
      <c r="T677" s="727"/>
      <c r="U677" s="527"/>
      <c r="V677" s="527"/>
      <c r="W677" s="527"/>
      <c r="X677" s="527"/>
      <c r="Y677" s="527"/>
      <c r="Z677" s="527"/>
      <c r="AA677" s="727"/>
      <c r="AB677" s="812"/>
      <c r="AC677" s="527"/>
      <c r="AD677" s="527"/>
      <c r="AE677" s="868"/>
      <c r="AF677" s="527"/>
      <c r="AG677" s="527"/>
      <c r="AH677" s="527"/>
      <c r="AI677" s="946">
        <f t="shared" si="33"/>
        <v>0</v>
      </c>
      <c r="AJ677" s="521">
        <v>1</v>
      </c>
      <c r="AK677" s="520">
        <f t="shared" si="34"/>
        <v>1</v>
      </c>
      <c r="AL677" s="695"/>
      <c r="AM677" s="669">
        <f t="shared" si="35"/>
        <v>-1</v>
      </c>
    </row>
    <row r="678" spans="1:39" ht="14.1" hidden="1" customHeight="1">
      <c r="A678" s="554" t="s">
        <v>1131</v>
      </c>
      <c r="B678" s="554" t="s">
        <v>1449</v>
      </c>
      <c r="C678" s="793" t="s">
        <v>64</v>
      </c>
      <c r="D678" s="520"/>
      <c r="E678" s="520"/>
      <c r="F678" s="726"/>
      <c r="G678" s="520"/>
      <c r="H678" s="520"/>
      <c r="I678" s="521"/>
      <c r="J678" s="521"/>
      <c r="K678" s="772"/>
      <c r="L678" s="527"/>
      <c r="M678" s="727"/>
      <c r="N678" s="527"/>
      <c r="O678" s="527"/>
      <c r="P678" s="527"/>
      <c r="Q678" s="527"/>
      <c r="R678" s="527"/>
      <c r="S678" s="527"/>
      <c r="T678" s="727"/>
      <c r="U678" s="527"/>
      <c r="V678" s="527"/>
      <c r="W678" s="527"/>
      <c r="X678" s="527"/>
      <c r="Y678" s="527"/>
      <c r="Z678" s="527"/>
      <c r="AA678" s="727"/>
      <c r="AB678" s="812"/>
      <c r="AC678" s="527"/>
      <c r="AD678" s="527"/>
      <c r="AE678" s="868"/>
      <c r="AF678" s="527"/>
      <c r="AG678" s="527"/>
      <c r="AH678" s="527"/>
      <c r="AI678" s="946">
        <f t="shared" si="33"/>
        <v>0</v>
      </c>
      <c r="AJ678" s="521">
        <v>2</v>
      </c>
      <c r="AK678" s="520">
        <f t="shared" si="34"/>
        <v>2</v>
      </c>
      <c r="AL678" s="695"/>
      <c r="AM678" s="669">
        <f t="shared" si="35"/>
        <v>-2</v>
      </c>
    </row>
    <row r="679" spans="1:39" ht="14.1" customHeight="1" thickBot="1">
      <c r="A679" s="556"/>
      <c r="B679" s="557" t="s">
        <v>2</v>
      </c>
      <c r="C679" s="531"/>
      <c r="D679" s="794"/>
      <c r="E679" s="794"/>
      <c r="F679" s="796"/>
      <c r="G679" s="795"/>
      <c r="H679" s="795"/>
      <c r="I679" s="794"/>
      <c r="J679" s="795"/>
      <c r="K679" s="1057"/>
      <c r="L679" s="791"/>
      <c r="M679" s="798"/>
      <c r="N679" s="791"/>
      <c r="O679" s="791"/>
      <c r="P679" s="791"/>
      <c r="Q679" s="791"/>
      <c r="R679" s="791"/>
      <c r="S679" s="791"/>
      <c r="T679" s="798"/>
      <c r="U679" s="791"/>
      <c r="V679" s="791"/>
      <c r="W679" s="791"/>
      <c r="X679" s="791"/>
      <c r="Y679" s="791"/>
      <c r="Z679" s="791"/>
      <c r="AA679" s="798"/>
      <c r="AB679" s="1067"/>
      <c r="AC679" s="791"/>
      <c r="AD679" s="791"/>
      <c r="AE679" s="941"/>
      <c r="AF679" s="791"/>
      <c r="AG679" s="791"/>
      <c r="AH679" s="791"/>
      <c r="AI679" s="954"/>
      <c r="AJ679" s="671"/>
      <c r="AK679" s="671"/>
      <c r="AL679" s="696">
        <f>AK679/10</f>
        <v>0</v>
      </c>
      <c r="AM679" s="669">
        <f t="shared" si="35"/>
        <v>0</v>
      </c>
    </row>
  </sheetData>
  <mergeCells count="8">
    <mergeCell ref="A9:A10"/>
    <mergeCell ref="B9:B10"/>
    <mergeCell ref="A1:X1"/>
    <mergeCell ref="A2:X2"/>
    <mergeCell ref="B4:L4"/>
    <mergeCell ref="B5:AA5"/>
    <mergeCell ref="Q7:V7"/>
    <mergeCell ref="W7:Z7"/>
  </mergeCells>
  <pageMargins left="0.7" right="0.7" top="0.75" bottom="0.75" header="0.3" footer="0.3"/>
  <pageSetup scale="30" orientation="portrait" r:id="rId1"/>
  <colBreaks count="1" manualBreakCount="1">
    <brk id="35" max="1048575" man="1"/>
  </colBreaks>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002060"/>
  </sheetPr>
  <dimension ref="A1:AQ165"/>
  <sheetViews>
    <sheetView workbookViewId="0">
      <selection sqref="A1:X1"/>
    </sheetView>
  </sheetViews>
  <sheetFormatPr baseColWidth="10" defaultColWidth="11.42578125" defaultRowHeight="12.75"/>
  <cols>
    <col min="1" max="1" width="14.42578125" style="552" customWidth="1"/>
    <col min="2" max="2" width="69.42578125" style="550" customWidth="1"/>
    <col min="3" max="3" width="5" style="498" customWidth="1"/>
    <col min="4" max="5" width="7" style="498" customWidth="1"/>
    <col min="6" max="6" width="7" style="735" customWidth="1"/>
    <col min="7" max="12" width="7" style="498" customWidth="1"/>
    <col min="13" max="13" width="7" style="735" customWidth="1"/>
    <col min="14" max="19" width="7" style="498" customWidth="1"/>
    <col min="20" max="20" width="7" style="735" customWidth="1"/>
    <col min="21" max="24" width="7" style="498" customWidth="1"/>
    <col min="25" max="25" width="7.42578125" style="498" customWidth="1"/>
    <col min="26" max="26" width="7" style="498" customWidth="1"/>
    <col min="27" max="27" width="7" style="735" customWidth="1"/>
    <col min="28" max="28" width="7" style="1049" customWidth="1"/>
    <col min="29" max="29" width="7" style="498" customWidth="1"/>
    <col min="30" max="30" width="7" style="499" customWidth="1"/>
    <col min="31" max="31" width="10.42578125" style="499" customWidth="1"/>
    <col min="32" max="32" width="7" style="499" customWidth="1"/>
    <col min="33" max="34" width="7" style="499" hidden="1" customWidth="1"/>
    <col min="35" max="36" width="9.42578125" style="498" customWidth="1"/>
    <col min="37" max="37" width="8.42578125" style="498" customWidth="1"/>
    <col min="38" max="38" width="11.42578125" style="498" customWidth="1"/>
    <col min="39" max="256" width="11.42578125" style="498"/>
    <col min="257" max="257" width="6.42578125" style="498" customWidth="1"/>
    <col min="258" max="258" width="47.5703125" style="498" customWidth="1"/>
    <col min="259" max="260" width="5" style="498" customWidth="1"/>
    <col min="261" max="261" width="5.42578125" style="498" customWidth="1"/>
    <col min="262" max="262" width="4.5703125" style="498" customWidth="1"/>
    <col min="263" max="264" width="4.42578125" style="498" customWidth="1"/>
    <col min="265" max="265" width="3.5703125" style="498" customWidth="1"/>
    <col min="266" max="266" width="5" style="498" customWidth="1"/>
    <col min="267" max="267" width="4" style="498" customWidth="1"/>
    <col min="268" max="269" width="4.5703125" style="498" customWidth="1"/>
    <col min="270" max="270" width="4.42578125" style="498" customWidth="1"/>
    <col min="271" max="271" width="4" style="498" customWidth="1"/>
    <col min="272" max="272" width="3.5703125" style="498" customWidth="1"/>
    <col min="273" max="274" width="4.5703125" style="498" customWidth="1"/>
    <col min="275" max="275" width="4" style="498" customWidth="1"/>
    <col min="276" max="277" width="4.42578125" style="498" customWidth="1"/>
    <col min="278" max="278" width="3.5703125" style="498" customWidth="1"/>
    <col min="279" max="279" width="4.42578125" style="498" customWidth="1"/>
    <col min="280" max="280" width="5.5703125" style="498" customWidth="1"/>
    <col min="281" max="281" width="3.5703125" style="498" customWidth="1"/>
    <col min="282" max="282" width="4" style="498" customWidth="1"/>
    <col min="283" max="283" width="4.5703125" style="498" customWidth="1"/>
    <col min="284" max="286" width="4.42578125" style="498" customWidth="1"/>
    <col min="287" max="288" width="4.5703125" style="498" customWidth="1"/>
    <col min="289" max="289" width="4" style="498" customWidth="1"/>
    <col min="290" max="290" width="4.5703125" style="498" customWidth="1"/>
    <col min="291" max="291" width="6" style="498" customWidth="1"/>
    <col min="292" max="292" width="8.5703125" style="498" customWidth="1"/>
    <col min="293" max="512" width="11.42578125" style="498"/>
    <col min="513" max="513" width="6.42578125" style="498" customWidth="1"/>
    <col min="514" max="514" width="47.5703125" style="498" customWidth="1"/>
    <col min="515" max="516" width="5" style="498" customWidth="1"/>
    <col min="517" max="517" width="5.42578125" style="498" customWidth="1"/>
    <col min="518" max="518" width="4.5703125" style="498" customWidth="1"/>
    <col min="519" max="520" width="4.42578125" style="498" customWidth="1"/>
    <col min="521" max="521" width="3.5703125" style="498" customWidth="1"/>
    <col min="522" max="522" width="5" style="498" customWidth="1"/>
    <col min="523" max="523" width="4" style="498" customWidth="1"/>
    <col min="524" max="525" width="4.5703125" style="498" customWidth="1"/>
    <col min="526" max="526" width="4.42578125" style="498" customWidth="1"/>
    <col min="527" max="527" width="4" style="498" customWidth="1"/>
    <col min="528" max="528" width="3.5703125" style="498" customWidth="1"/>
    <col min="529" max="530" width="4.5703125" style="498" customWidth="1"/>
    <col min="531" max="531" width="4" style="498" customWidth="1"/>
    <col min="532" max="533" width="4.42578125" style="498" customWidth="1"/>
    <col min="534" max="534" width="3.5703125" style="498" customWidth="1"/>
    <col min="535" max="535" width="4.42578125" style="498" customWidth="1"/>
    <col min="536" max="536" width="5.5703125" style="498" customWidth="1"/>
    <col min="537" max="537" width="3.5703125" style="498" customWidth="1"/>
    <col min="538" max="538" width="4" style="498" customWidth="1"/>
    <col min="539" max="539" width="4.5703125" style="498" customWidth="1"/>
    <col min="540" max="542" width="4.42578125" style="498" customWidth="1"/>
    <col min="543" max="544" width="4.5703125" style="498" customWidth="1"/>
    <col min="545" max="545" width="4" style="498" customWidth="1"/>
    <col min="546" max="546" width="4.5703125" style="498" customWidth="1"/>
    <col min="547" max="547" width="6" style="498" customWidth="1"/>
    <col min="548" max="548" width="8.5703125" style="498" customWidth="1"/>
    <col min="549" max="768" width="11.42578125" style="498"/>
    <col min="769" max="769" width="6.42578125" style="498" customWidth="1"/>
    <col min="770" max="770" width="47.5703125" style="498" customWidth="1"/>
    <col min="771" max="772" width="5" style="498" customWidth="1"/>
    <col min="773" max="773" width="5.42578125" style="498" customWidth="1"/>
    <col min="774" max="774" width="4.5703125" style="498" customWidth="1"/>
    <col min="775" max="776" width="4.42578125" style="498" customWidth="1"/>
    <col min="777" max="777" width="3.5703125" style="498" customWidth="1"/>
    <col min="778" max="778" width="5" style="498" customWidth="1"/>
    <col min="779" max="779" width="4" style="498" customWidth="1"/>
    <col min="780" max="781" width="4.5703125" style="498" customWidth="1"/>
    <col min="782" max="782" width="4.42578125" style="498" customWidth="1"/>
    <col min="783" max="783" width="4" style="498" customWidth="1"/>
    <col min="784" max="784" width="3.5703125" style="498" customWidth="1"/>
    <col min="785" max="786" width="4.5703125" style="498" customWidth="1"/>
    <col min="787" max="787" width="4" style="498" customWidth="1"/>
    <col min="788" max="789" width="4.42578125" style="498" customWidth="1"/>
    <col min="790" max="790" width="3.5703125" style="498" customWidth="1"/>
    <col min="791" max="791" width="4.42578125" style="498" customWidth="1"/>
    <col min="792" max="792" width="5.5703125" style="498" customWidth="1"/>
    <col min="793" max="793" width="3.5703125" style="498" customWidth="1"/>
    <col min="794" max="794" width="4" style="498" customWidth="1"/>
    <col min="795" max="795" width="4.5703125" style="498" customWidth="1"/>
    <col min="796" max="798" width="4.42578125" style="498" customWidth="1"/>
    <col min="799" max="800" width="4.5703125" style="498" customWidth="1"/>
    <col min="801" max="801" width="4" style="498" customWidth="1"/>
    <col min="802" max="802" width="4.5703125" style="498" customWidth="1"/>
    <col min="803" max="803" width="6" style="498" customWidth="1"/>
    <col min="804" max="804" width="8.5703125" style="498" customWidth="1"/>
    <col min="805" max="1024" width="11.42578125" style="498"/>
    <col min="1025" max="1025" width="6.42578125" style="498" customWidth="1"/>
    <col min="1026" max="1026" width="47.5703125" style="498" customWidth="1"/>
    <col min="1027" max="1028" width="5" style="498" customWidth="1"/>
    <col min="1029" max="1029" width="5.42578125" style="498" customWidth="1"/>
    <col min="1030" max="1030" width="4.5703125" style="498" customWidth="1"/>
    <col min="1031" max="1032" width="4.42578125" style="498" customWidth="1"/>
    <col min="1033" max="1033" width="3.5703125" style="498" customWidth="1"/>
    <col min="1034" max="1034" width="5" style="498" customWidth="1"/>
    <col min="1035" max="1035" width="4" style="498" customWidth="1"/>
    <col min="1036" max="1037" width="4.5703125" style="498" customWidth="1"/>
    <col min="1038" max="1038" width="4.42578125" style="498" customWidth="1"/>
    <col min="1039" max="1039" width="4" style="498" customWidth="1"/>
    <col min="1040" max="1040" width="3.5703125" style="498" customWidth="1"/>
    <col min="1041" max="1042" width="4.5703125" style="498" customWidth="1"/>
    <col min="1043" max="1043" width="4" style="498" customWidth="1"/>
    <col min="1044" max="1045" width="4.42578125" style="498" customWidth="1"/>
    <col min="1046" max="1046" width="3.5703125" style="498" customWidth="1"/>
    <col min="1047" max="1047" width="4.42578125" style="498" customWidth="1"/>
    <col min="1048" max="1048" width="5.5703125" style="498" customWidth="1"/>
    <col min="1049" max="1049" width="3.5703125" style="498" customWidth="1"/>
    <col min="1050" max="1050" width="4" style="498" customWidth="1"/>
    <col min="1051" max="1051" width="4.5703125" style="498" customWidth="1"/>
    <col min="1052" max="1054" width="4.42578125" style="498" customWidth="1"/>
    <col min="1055" max="1056" width="4.5703125" style="498" customWidth="1"/>
    <col min="1057" max="1057" width="4" style="498" customWidth="1"/>
    <col min="1058" max="1058" width="4.5703125" style="498" customWidth="1"/>
    <col min="1059" max="1059" width="6" style="498" customWidth="1"/>
    <col min="1060" max="1060" width="8.5703125" style="498" customWidth="1"/>
    <col min="1061" max="1280" width="11.42578125" style="498"/>
    <col min="1281" max="1281" width="6.42578125" style="498" customWidth="1"/>
    <col min="1282" max="1282" width="47.5703125" style="498" customWidth="1"/>
    <col min="1283" max="1284" width="5" style="498" customWidth="1"/>
    <col min="1285" max="1285" width="5.42578125" style="498" customWidth="1"/>
    <col min="1286" max="1286" width="4.5703125" style="498" customWidth="1"/>
    <col min="1287" max="1288" width="4.42578125" style="498" customWidth="1"/>
    <col min="1289" max="1289" width="3.5703125" style="498" customWidth="1"/>
    <col min="1290" max="1290" width="5" style="498" customWidth="1"/>
    <col min="1291" max="1291" width="4" style="498" customWidth="1"/>
    <col min="1292" max="1293" width="4.5703125" style="498" customWidth="1"/>
    <col min="1294" max="1294" width="4.42578125" style="498" customWidth="1"/>
    <col min="1295" max="1295" width="4" style="498" customWidth="1"/>
    <col min="1296" max="1296" width="3.5703125" style="498" customWidth="1"/>
    <col min="1297" max="1298" width="4.5703125" style="498" customWidth="1"/>
    <col min="1299" max="1299" width="4" style="498" customWidth="1"/>
    <col min="1300" max="1301" width="4.42578125" style="498" customWidth="1"/>
    <col min="1302" max="1302" width="3.5703125" style="498" customWidth="1"/>
    <col min="1303" max="1303" width="4.42578125" style="498" customWidth="1"/>
    <col min="1304" max="1304" width="5.5703125" style="498" customWidth="1"/>
    <col min="1305" max="1305" width="3.5703125" style="498" customWidth="1"/>
    <col min="1306" max="1306" width="4" style="498" customWidth="1"/>
    <col min="1307" max="1307" width="4.5703125" style="498" customWidth="1"/>
    <col min="1308" max="1310" width="4.42578125" style="498" customWidth="1"/>
    <col min="1311" max="1312" width="4.5703125" style="498" customWidth="1"/>
    <col min="1313" max="1313" width="4" style="498" customWidth="1"/>
    <col min="1314" max="1314" width="4.5703125" style="498" customWidth="1"/>
    <col min="1315" max="1315" width="6" style="498" customWidth="1"/>
    <col min="1316" max="1316" width="8.5703125" style="498" customWidth="1"/>
    <col min="1317" max="1536" width="11.42578125" style="498"/>
    <col min="1537" max="1537" width="6.42578125" style="498" customWidth="1"/>
    <col min="1538" max="1538" width="47.5703125" style="498" customWidth="1"/>
    <col min="1539" max="1540" width="5" style="498" customWidth="1"/>
    <col min="1541" max="1541" width="5.42578125" style="498" customWidth="1"/>
    <col min="1542" max="1542" width="4.5703125" style="498" customWidth="1"/>
    <col min="1543" max="1544" width="4.42578125" style="498" customWidth="1"/>
    <col min="1545" max="1545" width="3.5703125" style="498" customWidth="1"/>
    <col min="1546" max="1546" width="5" style="498" customWidth="1"/>
    <col min="1547" max="1547" width="4" style="498" customWidth="1"/>
    <col min="1548" max="1549" width="4.5703125" style="498" customWidth="1"/>
    <col min="1550" max="1550" width="4.42578125" style="498" customWidth="1"/>
    <col min="1551" max="1551" width="4" style="498" customWidth="1"/>
    <col min="1552" max="1552" width="3.5703125" style="498" customWidth="1"/>
    <col min="1553" max="1554" width="4.5703125" style="498" customWidth="1"/>
    <col min="1555" max="1555" width="4" style="498" customWidth="1"/>
    <col min="1556" max="1557" width="4.42578125" style="498" customWidth="1"/>
    <col min="1558" max="1558" width="3.5703125" style="498" customWidth="1"/>
    <col min="1559" max="1559" width="4.42578125" style="498" customWidth="1"/>
    <col min="1560" max="1560" width="5.5703125" style="498" customWidth="1"/>
    <col min="1561" max="1561" width="3.5703125" style="498" customWidth="1"/>
    <col min="1562" max="1562" width="4" style="498" customWidth="1"/>
    <col min="1563" max="1563" width="4.5703125" style="498" customWidth="1"/>
    <col min="1564" max="1566" width="4.42578125" style="498" customWidth="1"/>
    <col min="1567" max="1568" width="4.5703125" style="498" customWidth="1"/>
    <col min="1569" max="1569" width="4" style="498" customWidth="1"/>
    <col min="1570" max="1570" width="4.5703125" style="498" customWidth="1"/>
    <col min="1571" max="1571" width="6" style="498" customWidth="1"/>
    <col min="1572" max="1572" width="8.5703125" style="498" customWidth="1"/>
    <col min="1573" max="1792" width="11.42578125" style="498"/>
    <col min="1793" max="1793" width="6.42578125" style="498" customWidth="1"/>
    <col min="1794" max="1794" width="47.5703125" style="498" customWidth="1"/>
    <col min="1795" max="1796" width="5" style="498" customWidth="1"/>
    <col min="1797" max="1797" width="5.42578125" style="498" customWidth="1"/>
    <col min="1798" max="1798" width="4.5703125" style="498" customWidth="1"/>
    <col min="1799" max="1800" width="4.42578125" style="498" customWidth="1"/>
    <col min="1801" max="1801" width="3.5703125" style="498" customWidth="1"/>
    <col min="1802" max="1802" width="5" style="498" customWidth="1"/>
    <col min="1803" max="1803" width="4" style="498" customWidth="1"/>
    <col min="1804" max="1805" width="4.5703125" style="498" customWidth="1"/>
    <col min="1806" max="1806" width="4.42578125" style="498" customWidth="1"/>
    <col min="1807" max="1807" width="4" style="498" customWidth="1"/>
    <col min="1808" max="1808" width="3.5703125" style="498" customWidth="1"/>
    <col min="1809" max="1810" width="4.5703125" style="498" customWidth="1"/>
    <col min="1811" max="1811" width="4" style="498" customWidth="1"/>
    <col min="1812" max="1813" width="4.42578125" style="498" customWidth="1"/>
    <col min="1814" max="1814" width="3.5703125" style="498" customWidth="1"/>
    <col min="1815" max="1815" width="4.42578125" style="498" customWidth="1"/>
    <col min="1816" max="1816" width="5.5703125" style="498" customWidth="1"/>
    <col min="1817" max="1817" width="3.5703125" style="498" customWidth="1"/>
    <col min="1818" max="1818" width="4" style="498" customWidth="1"/>
    <col min="1819" max="1819" width="4.5703125" style="498" customWidth="1"/>
    <col min="1820" max="1822" width="4.42578125" style="498" customWidth="1"/>
    <col min="1823" max="1824" width="4.5703125" style="498" customWidth="1"/>
    <col min="1825" max="1825" width="4" style="498" customWidth="1"/>
    <col min="1826" max="1826" width="4.5703125" style="498" customWidth="1"/>
    <col min="1827" max="1827" width="6" style="498" customWidth="1"/>
    <col min="1828" max="1828" width="8.5703125" style="498" customWidth="1"/>
    <col min="1829" max="2048" width="11.42578125" style="498"/>
    <col min="2049" max="2049" width="6.42578125" style="498" customWidth="1"/>
    <col min="2050" max="2050" width="47.5703125" style="498" customWidth="1"/>
    <col min="2051" max="2052" width="5" style="498" customWidth="1"/>
    <col min="2053" max="2053" width="5.42578125" style="498" customWidth="1"/>
    <col min="2054" max="2054" width="4.5703125" style="498" customWidth="1"/>
    <col min="2055" max="2056" width="4.42578125" style="498" customWidth="1"/>
    <col min="2057" max="2057" width="3.5703125" style="498" customWidth="1"/>
    <col min="2058" max="2058" width="5" style="498" customWidth="1"/>
    <col min="2059" max="2059" width="4" style="498" customWidth="1"/>
    <col min="2060" max="2061" width="4.5703125" style="498" customWidth="1"/>
    <col min="2062" max="2062" width="4.42578125" style="498" customWidth="1"/>
    <col min="2063" max="2063" width="4" style="498" customWidth="1"/>
    <col min="2064" max="2064" width="3.5703125" style="498" customWidth="1"/>
    <col min="2065" max="2066" width="4.5703125" style="498" customWidth="1"/>
    <col min="2067" max="2067" width="4" style="498" customWidth="1"/>
    <col min="2068" max="2069" width="4.42578125" style="498" customWidth="1"/>
    <col min="2070" max="2070" width="3.5703125" style="498" customWidth="1"/>
    <col min="2071" max="2071" width="4.42578125" style="498" customWidth="1"/>
    <col min="2072" max="2072" width="5.5703125" style="498" customWidth="1"/>
    <col min="2073" max="2073" width="3.5703125" style="498" customWidth="1"/>
    <col min="2074" max="2074" width="4" style="498" customWidth="1"/>
    <col min="2075" max="2075" width="4.5703125" style="498" customWidth="1"/>
    <col min="2076" max="2078" width="4.42578125" style="498" customWidth="1"/>
    <col min="2079" max="2080" width="4.5703125" style="498" customWidth="1"/>
    <col min="2081" max="2081" width="4" style="498" customWidth="1"/>
    <col min="2082" max="2082" width="4.5703125" style="498" customWidth="1"/>
    <col min="2083" max="2083" width="6" style="498" customWidth="1"/>
    <col min="2084" max="2084" width="8.5703125" style="498" customWidth="1"/>
    <col min="2085" max="2304" width="11.42578125" style="498"/>
    <col min="2305" max="2305" width="6.42578125" style="498" customWidth="1"/>
    <col min="2306" max="2306" width="47.5703125" style="498" customWidth="1"/>
    <col min="2307" max="2308" width="5" style="498" customWidth="1"/>
    <col min="2309" max="2309" width="5.42578125" style="498" customWidth="1"/>
    <col min="2310" max="2310" width="4.5703125" style="498" customWidth="1"/>
    <col min="2311" max="2312" width="4.42578125" style="498" customWidth="1"/>
    <col min="2313" max="2313" width="3.5703125" style="498" customWidth="1"/>
    <col min="2314" max="2314" width="5" style="498" customWidth="1"/>
    <col min="2315" max="2315" width="4" style="498" customWidth="1"/>
    <col min="2316" max="2317" width="4.5703125" style="498" customWidth="1"/>
    <col min="2318" max="2318" width="4.42578125" style="498" customWidth="1"/>
    <col min="2319" max="2319" width="4" style="498" customWidth="1"/>
    <col min="2320" max="2320" width="3.5703125" style="498" customWidth="1"/>
    <col min="2321" max="2322" width="4.5703125" style="498" customWidth="1"/>
    <col min="2323" max="2323" width="4" style="498" customWidth="1"/>
    <col min="2324" max="2325" width="4.42578125" style="498" customWidth="1"/>
    <col min="2326" max="2326" width="3.5703125" style="498" customWidth="1"/>
    <col min="2327" max="2327" width="4.42578125" style="498" customWidth="1"/>
    <col min="2328" max="2328" width="5.5703125" style="498" customWidth="1"/>
    <col min="2329" max="2329" width="3.5703125" style="498" customWidth="1"/>
    <col min="2330" max="2330" width="4" style="498" customWidth="1"/>
    <col min="2331" max="2331" width="4.5703125" style="498" customWidth="1"/>
    <col min="2332" max="2334" width="4.42578125" style="498" customWidth="1"/>
    <col min="2335" max="2336" width="4.5703125" style="498" customWidth="1"/>
    <col min="2337" max="2337" width="4" style="498" customWidth="1"/>
    <col min="2338" max="2338" width="4.5703125" style="498" customWidth="1"/>
    <col min="2339" max="2339" width="6" style="498" customWidth="1"/>
    <col min="2340" max="2340" width="8.5703125" style="498" customWidth="1"/>
    <col min="2341" max="2560" width="11.42578125" style="498"/>
    <col min="2561" max="2561" width="6.42578125" style="498" customWidth="1"/>
    <col min="2562" max="2562" width="47.5703125" style="498" customWidth="1"/>
    <col min="2563" max="2564" width="5" style="498" customWidth="1"/>
    <col min="2565" max="2565" width="5.42578125" style="498" customWidth="1"/>
    <col min="2566" max="2566" width="4.5703125" style="498" customWidth="1"/>
    <col min="2567" max="2568" width="4.42578125" style="498" customWidth="1"/>
    <col min="2569" max="2569" width="3.5703125" style="498" customWidth="1"/>
    <col min="2570" max="2570" width="5" style="498" customWidth="1"/>
    <col min="2571" max="2571" width="4" style="498" customWidth="1"/>
    <col min="2572" max="2573" width="4.5703125" style="498" customWidth="1"/>
    <col min="2574" max="2574" width="4.42578125" style="498" customWidth="1"/>
    <col min="2575" max="2575" width="4" style="498" customWidth="1"/>
    <col min="2576" max="2576" width="3.5703125" style="498" customWidth="1"/>
    <col min="2577" max="2578" width="4.5703125" style="498" customWidth="1"/>
    <col min="2579" max="2579" width="4" style="498" customWidth="1"/>
    <col min="2580" max="2581" width="4.42578125" style="498" customWidth="1"/>
    <col min="2582" max="2582" width="3.5703125" style="498" customWidth="1"/>
    <col min="2583" max="2583" width="4.42578125" style="498" customWidth="1"/>
    <col min="2584" max="2584" width="5.5703125" style="498" customWidth="1"/>
    <col min="2585" max="2585" width="3.5703125" style="498" customWidth="1"/>
    <col min="2586" max="2586" width="4" style="498" customWidth="1"/>
    <col min="2587" max="2587" width="4.5703125" style="498" customWidth="1"/>
    <col min="2588" max="2590" width="4.42578125" style="498" customWidth="1"/>
    <col min="2591" max="2592" width="4.5703125" style="498" customWidth="1"/>
    <col min="2593" max="2593" width="4" style="498" customWidth="1"/>
    <col min="2594" max="2594" width="4.5703125" style="498" customWidth="1"/>
    <col min="2595" max="2595" width="6" style="498" customWidth="1"/>
    <col min="2596" max="2596" width="8.5703125" style="498" customWidth="1"/>
    <col min="2597" max="2816" width="11.42578125" style="498"/>
    <col min="2817" max="2817" width="6.42578125" style="498" customWidth="1"/>
    <col min="2818" max="2818" width="47.5703125" style="498" customWidth="1"/>
    <col min="2819" max="2820" width="5" style="498" customWidth="1"/>
    <col min="2821" max="2821" width="5.42578125" style="498" customWidth="1"/>
    <col min="2822" max="2822" width="4.5703125" style="498" customWidth="1"/>
    <col min="2823" max="2824" width="4.42578125" style="498" customWidth="1"/>
    <col min="2825" max="2825" width="3.5703125" style="498" customWidth="1"/>
    <col min="2826" max="2826" width="5" style="498" customWidth="1"/>
    <col min="2827" max="2827" width="4" style="498" customWidth="1"/>
    <col min="2828" max="2829" width="4.5703125" style="498" customWidth="1"/>
    <col min="2830" max="2830" width="4.42578125" style="498" customWidth="1"/>
    <col min="2831" max="2831" width="4" style="498" customWidth="1"/>
    <col min="2832" max="2832" width="3.5703125" style="498" customWidth="1"/>
    <col min="2833" max="2834" width="4.5703125" style="498" customWidth="1"/>
    <col min="2835" max="2835" width="4" style="498" customWidth="1"/>
    <col min="2836" max="2837" width="4.42578125" style="498" customWidth="1"/>
    <col min="2838" max="2838" width="3.5703125" style="498" customWidth="1"/>
    <col min="2839" max="2839" width="4.42578125" style="498" customWidth="1"/>
    <col min="2840" max="2840" width="5.5703125" style="498" customWidth="1"/>
    <col min="2841" max="2841" width="3.5703125" style="498" customWidth="1"/>
    <col min="2842" max="2842" width="4" style="498" customWidth="1"/>
    <col min="2843" max="2843" width="4.5703125" style="498" customWidth="1"/>
    <col min="2844" max="2846" width="4.42578125" style="498" customWidth="1"/>
    <col min="2847" max="2848" width="4.5703125" style="498" customWidth="1"/>
    <col min="2849" max="2849" width="4" style="498" customWidth="1"/>
    <col min="2850" max="2850" width="4.5703125" style="498" customWidth="1"/>
    <col min="2851" max="2851" width="6" style="498" customWidth="1"/>
    <col min="2852" max="2852" width="8.5703125" style="498" customWidth="1"/>
    <col min="2853" max="3072" width="11.42578125" style="498"/>
    <col min="3073" max="3073" width="6.42578125" style="498" customWidth="1"/>
    <col min="3074" max="3074" width="47.5703125" style="498" customWidth="1"/>
    <col min="3075" max="3076" width="5" style="498" customWidth="1"/>
    <col min="3077" max="3077" width="5.42578125" style="498" customWidth="1"/>
    <col min="3078" max="3078" width="4.5703125" style="498" customWidth="1"/>
    <col min="3079" max="3080" width="4.42578125" style="498" customWidth="1"/>
    <col min="3081" max="3081" width="3.5703125" style="498" customWidth="1"/>
    <col min="3082" max="3082" width="5" style="498" customWidth="1"/>
    <col min="3083" max="3083" width="4" style="498" customWidth="1"/>
    <col min="3084" max="3085" width="4.5703125" style="498" customWidth="1"/>
    <col min="3086" max="3086" width="4.42578125" style="498" customWidth="1"/>
    <col min="3087" max="3087" width="4" style="498" customWidth="1"/>
    <col min="3088" max="3088" width="3.5703125" style="498" customWidth="1"/>
    <col min="3089" max="3090" width="4.5703125" style="498" customWidth="1"/>
    <col min="3091" max="3091" width="4" style="498" customWidth="1"/>
    <col min="3092" max="3093" width="4.42578125" style="498" customWidth="1"/>
    <col min="3094" max="3094" width="3.5703125" style="498" customWidth="1"/>
    <col min="3095" max="3095" width="4.42578125" style="498" customWidth="1"/>
    <col min="3096" max="3096" width="5.5703125" style="498" customWidth="1"/>
    <col min="3097" max="3097" width="3.5703125" style="498" customWidth="1"/>
    <col min="3098" max="3098" width="4" style="498" customWidth="1"/>
    <col min="3099" max="3099" width="4.5703125" style="498" customWidth="1"/>
    <col min="3100" max="3102" width="4.42578125" style="498" customWidth="1"/>
    <col min="3103" max="3104" width="4.5703125" style="498" customWidth="1"/>
    <col min="3105" max="3105" width="4" style="498" customWidth="1"/>
    <col min="3106" max="3106" width="4.5703125" style="498" customWidth="1"/>
    <col min="3107" max="3107" width="6" style="498" customWidth="1"/>
    <col min="3108" max="3108" width="8.5703125" style="498" customWidth="1"/>
    <col min="3109" max="3328" width="11.42578125" style="498"/>
    <col min="3329" max="3329" width="6.42578125" style="498" customWidth="1"/>
    <col min="3330" max="3330" width="47.5703125" style="498" customWidth="1"/>
    <col min="3331" max="3332" width="5" style="498" customWidth="1"/>
    <col min="3333" max="3333" width="5.42578125" style="498" customWidth="1"/>
    <col min="3334" max="3334" width="4.5703125" style="498" customWidth="1"/>
    <col min="3335" max="3336" width="4.42578125" style="498" customWidth="1"/>
    <col min="3337" max="3337" width="3.5703125" style="498" customWidth="1"/>
    <col min="3338" max="3338" width="5" style="498" customWidth="1"/>
    <col min="3339" max="3339" width="4" style="498" customWidth="1"/>
    <col min="3340" max="3341" width="4.5703125" style="498" customWidth="1"/>
    <col min="3342" max="3342" width="4.42578125" style="498" customWidth="1"/>
    <col min="3343" max="3343" width="4" style="498" customWidth="1"/>
    <col min="3344" max="3344" width="3.5703125" style="498" customWidth="1"/>
    <col min="3345" max="3346" width="4.5703125" style="498" customWidth="1"/>
    <col min="3347" max="3347" width="4" style="498" customWidth="1"/>
    <col min="3348" max="3349" width="4.42578125" style="498" customWidth="1"/>
    <col min="3350" max="3350" width="3.5703125" style="498" customWidth="1"/>
    <col min="3351" max="3351" width="4.42578125" style="498" customWidth="1"/>
    <col min="3352" max="3352" width="5.5703125" style="498" customWidth="1"/>
    <col min="3353" max="3353" width="3.5703125" style="498" customWidth="1"/>
    <col min="3354" max="3354" width="4" style="498" customWidth="1"/>
    <col min="3355" max="3355" width="4.5703125" style="498" customWidth="1"/>
    <col min="3356" max="3358" width="4.42578125" style="498" customWidth="1"/>
    <col min="3359" max="3360" width="4.5703125" style="498" customWidth="1"/>
    <col min="3361" max="3361" width="4" style="498" customWidth="1"/>
    <col min="3362" max="3362" width="4.5703125" style="498" customWidth="1"/>
    <col min="3363" max="3363" width="6" style="498" customWidth="1"/>
    <col min="3364" max="3364" width="8.5703125" style="498" customWidth="1"/>
    <col min="3365" max="3584" width="11.42578125" style="498"/>
    <col min="3585" max="3585" width="6.42578125" style="498" customWidth="1"/>
    <col min="3586" max="3586" width="47.5703125" style="498" customWidth="1"/>
    <col min="3587" max="3588" width="5" style="498" customWidth="1"/>
    <col min="3589" max="3589" width="5.42578125" style="498" customWidth="1"/>
    <col min="3590" max="3590" width="4.5703125" style="498" customWidth="1"/>
    <col min="3591" max="3592" width="4.42578125" style="498" customWidth="1"/>
    <col min="3593" max="3593" width="3.5703125" style="498" customWidth="1"/>
    <col min="3594" max="3594" width="5" style="498" customWidth="1"/>
    <col min="3595" max="3595" width="4" style="498" customWidth="1"/>
    <col min="3596" max="3597" width="4.5703125" style="498" customWidth="1"/>
    <col min="3598" max="3598" width="4.42578125" style="498" customWidth="1"/>
    <col min="3599" max="3599" width="4" style="498" customWidth="1"/>
    <col min="3600" max="3600" width="3.5703125" style="498" customWidth="1"/>
    <col min="3601" max="3602" width="4.5703125" style="498" customWidth="1"/>
    <col min="3603" max="3603" width="4" style="498" customWidth="1"/>
    <col min="3604" max="3605" width="4.42578125" style="498" customWidth="1"/>
    <col min="3606" max="3606" width="3.5703125" style="498" customWidth="1"/>
    <col min="3607" max="3607" width="4.42578125" style="498" customWidth="1"/>
    <col min="3608" max="3608" width="5.5703125" style="498" customWidth="1"/>
    <col min="3609" max="3609" width="3.5703125" style="498" customWidth="1"/>
    <col min="3610" max="3610" width="4" style="498" customWidth="1"/>
    <col min="3611" max="3611" width="4.5703125" style="498" customWidth="1"/>
    <col min="3612" max="3614" width="4.42578125" style="498" customWidth="1"/>
    <col min="3615" max="3616" width="4.5703125" style="498" customWidth="1"/>
    <col min="3617" max="3617" width="4" style="498" customWidth="1"/>
    <col min="3618" max="3618" width="4.5703125" style="498" customWidth="1"/>
    <col min="3619" max="3619" width="6" style="498" customWidth="1"/>
    <col min="3620" max="3620" width="8.5703125" style="498" customWidth="1"/>
    <col min="3621" max="3840" width="11.42578125" style="498"/>
    <col min="3841" max="3841" width="6.42578125" style="498" customWidth="1"/>
    <col min="3842" max="3842" width="47.5703125" style="498" customWidth="1"/>
    <col min="3843" max="3844" width="5" style="498" customWidth="1"/>
    <col min="3845" max="3845" width="5.42578125" style="498" customWidth="1"/>
    <col min="3846" max="3846" width="4.5703125" style="498" customWidth="1"/>
    <col min="3847" max="3848" width="4.42578125" style="498" customWidth="1"/>
    <col min="3849" max="3849" width="3.5703125" style="498" customWidth="1"/>
    <col min="3850" max="3850" width="5" style="498" customWidth="1"/>
    <col min="3851" max="3851" width="4" style="498" customWidth="1"/>
    <col min="3852" max="3853" width="4.5703125" style="498" customWidth="1"/>
    <col min="3854" max="3854" width="4.42578125" style="498" customWidth="1"/>
    <col min="3855" max="3855" width="4" style="498" customWidth="1"/>
    <col min="3856" max="3856" width="3.5703125" style="498" customWidth="1"/>
    <col min="3857" max="3858" width="4.5703125" style="498" customWidth="1"/>
    <col min="3859" max="3859" width="4" style="498" customWidth="1"/>
    <col min="3860" max="3861" width="4.42578125" style="498" customWidth="1"/>
    <col min="3862" max="3862" width="3.5703125" style="498" customWidth="1"/>
    <col min="3863" max="3863" width="4.42578125" style="498" customWidth="1"/>
    <col min="3864" max="3864" width="5.5703125" style="498" customWidth="1"/>
    <col min="3865" max="3865" width="3.5703125" style="498" customWidth="1"/>
    <col min="3866" max="3866" width="4" style="498" customWidth="1"/>
    <col min="3867" max="3867" width="4.5703125" style="498" customWidth="1"/>
    <col min="3868" max="3870" width="4.42578125" style="498" customWidth="1"/>
    <col min="3871" max="3872" width="4.5703125" style="498" customWidth="1"/>
    <col min="3873" max="3873" width="4" style="498" customWidth="1"/>
    <col min="3874" max="3874" width="4.5703125" style="498" customWidth="1"/>
    <col min="3875" max="3875" width="6" style="498" customWidth="1"/>
    <col min="3876" max="3876" width="8.5703125" style="498" customWidth="1"/>
    <col min="3877" max="4096" width="11.42578125" style="498"/>
    <col min="4097" max="4097" width="6.42578125" style="498" customWidth="1"/>
    <col min="4098" max="4098" width="47.5703125" style="498" customWidth="1"/>
    <col min="4099" max="4100" width="5" style="498" customWidth="1"/>
    <col min="4101" max="4101" width="5.42578125" style="498" customWidth="1"/>
    <col min="4102" max="4102" width="4.5703125" style="498" customWidth="1"/>
    <col min="4103" max="4104" width="4.42578125" style="498" customWidth="1"/>
    <col min="4105" max="4105" width="3.5703125" style="498" customWidth="1"/>
    <col min="4106" max="4106" width="5" style="498" customWidth="1"/>
    <col min="4107" max="4107" width="4" style="498" customWidth="1"/>
    <col min="4108" max="4109" width="4.5703125" style="498" customWidth="1"/>
    <col min="4110" max="4110" width="4.42578125" style="498" customWidth="1"/>
    <col min="4111" max="4111" width="4" style="498" customWidth="1"/>
    <col min="4112" max="4112" width="3.5703125" style="498" customWidth="1"/>
    <col min="4113" max="4114" width="4.5703125" style="498" customWidth="1"/>
    <col min="4115" max="4115" width="4" style="498" customWidth="1"/>
    <col min="4116" max="4117" width="4.42578125" style="498" customWidth="1"/>
    <col min="4118" max="4118" width="3.5703125" style="498" customWidth="1"/>
    <col min="4119" max="4119" width="4.42578125" style="498" customWidth="1"/>
    <col min="4120" max="4120" width="5.5703125" style="498" customWidth="1"/>
    <col min="4121" max="4121" width="3.5703125" style="498" customWidth="1"/>
    <col min="4122" max="4122" width="4" style="498" customWidth="1"/>
    <col min="4123" max="4123" width="4.5703125" style="498" customWidth="1"/>
    <col min="4124" max="4126" width="4.42578125" style="498" customWidth="1"/>
    <col min="4127" max="4128" width="4.5703125" style="498" customWidth="1"/>
    <col min="4129" max="4129" width="4" style="498" customWidth="1"/>
    <col min="4130" max="4130" width="4.5703125" style="498" customWidth="1"/>
    <col min="4131" max="4131" width="6" style="498" customWidth="1"/>
    <col min="4132" max="4132" width="8.5703125" style="498" customWidth="1"/>
    <col min="4133" max="4352" width="11.42578125" style="498"/>
    <col min="4353" max="4353" width="6.42578125" style="498" customWidth="1"/>
    <col min="4354" max="4354" width="47.5703125" style="498" customWidth="1"/>
    <col min="4355" max="4356" width="5" style="498" customWidth="1"/>
    <col min="4357" max="4357" width="5.42578125" style="498" customWidth="1"/>
    <col min="4358" max="4358" width="4.5703125" style="498" customWidth="1"/>
    <col min="4359" max="4360" width="4.42578125" style="498" customWidth="1"/>
    <col min="4361" max="4361" width="3.5703125" style="498" customWidth="1"/>
    <col min="4362" max="4362" width="5" style="498" customWidth="1"/>
    <col min="4363" max="4363" width="4" style="498" customWidth="1"/>
    <col min="4364" max="4365" width="4.5703125" style="498" customWidth="1"/>
    <col min="4366" max="4366" width="4.42578125" style="498" customWidth="1"/>
    <col min="4367" max="4367" width="4" style="498" customWidth="1"/>
    <col min="4368" max="4368" width="3.5703125" style="498" customWidth="1"/>
    <col min="4369" max="4370" width="4.5703125" style="498" customWidth="1"/>
    <col min="4371" max="4371" width="4" style="498" customWidth="1"/>
    <col min="4372" max="4373" width="4.42578125" style="498" customWidth="1"/>
    <col min="4374" max="4374" width="3.5703125" style="498" customWidth="1"/>
    <col min="4375" max="4375" width="4.42578125" style="498" customWidth="1"/>
    <col min="4376" max="4376" width="5.5703125" style="498" customWidth="1"/>
    <col min="4377" max="4377" width="3.5703125" style="498" customWidth="1"/>
    <col min="4378" max="4378" width="4" style="498" customWidth="1"/>
    <col min="4379" max="4379" width="4.5703125" style="498" customWidth="1"/>
    <col min="4380" max="4382" width="4.42578125" style="498" customWidth="1"/>
    <col min="4383" max="4384" width="4.5703125" style="498" customWidth="1"/>
    <col min="4385" max="4385" width="4" style="498" customWidth="1"/>
    <col min="4386" max="4386" width="4.5703125" style="498" customWidth="1"/>
    <col min="4387" max="4387" width="6" style="498" customWidth="1"/>
    <col min="4388" max="4388" width="8.5703125" style="498" customWidth="1"/>
    <col min="4389" max="4608" width="11.42578125" style="498"/>
    <col min="4609" max="4609" width="6.42578125" style="498" customWidth="1"/>
    <col min="4610" max="4610" width="47.5703125" style="498" customWidth="1"/>
    <col min="4611" max="4612" width="5" style="498" customWidth="1"/>
    <col min="4613" max="4613" width="5.42578125" style="498" customWidth="1"/>
    <col min="4614" max="4614" width="4.5703125" style="498" customWidth="1"/>
    <col min="4615" max="4616" width="4.42578125" style="498" customWidth="1"/>
    <col min="4617" max="4617" width="3.5703125" style="498" customWidth="1"/>
    <col min="4618" max="4618" width="5" style="498" customWidth="1"/>
    <col min="4619" max="4619" width="4" style="498" customWidth="1"/>
    <col min="4620" max="4621" width="4.5703125" style="498" customWidth="1"/>
    <col min="4622" max="4622" width="4.42578125" style="498" customWidth="1"/>
    <col min="4623" max="4623" width="4" style="498" customWidth="1"/>
    <col min="4624" max="4624" width="3.5703125" style="498" customWidth="1"/>
    <col min="4625" max="4626" width="4.5703125" style="498" customWidth="1"/>
    <col min="4627" max="4627" width="4" style="498" customWidth="1"/>
    <col min="4628" max="4629" width="4.42578125" style="498" customWidth="1"/>
    <col min="4630" max="4630" width="3.5703125" style="498" customWidth="1"/>
    <col min="4631" max="4631" width="4.42578125" style="498" customWidth="1"/>
    <col min="4632" max="4632" width="5.5703125" style="498" customWidth="1"/>
    <col min="4633" max="4633" width="3.5703125" style="498" customWidth="1"/>
    <col min="4634" max="4634" width="4" style="498" customWidth="1"/>
    <col min="4635" max="4635" width="4.5703125" style="498" customWidth="1"/>
    <col min="4636" max="4638" width="4.42578125" style="498" customWidth="1"/>
    <col min="4639" max="4640" width="4.5703125" style="498" customWidth="1"/>
    <col min="4641" max="4641" width="4" style="498" customWidth="1"/>
    <col min="4642" max="4642" width="4.5703125" style="498" customWidth="1"/>
    <col min="4643" max="4643" width="6" style="498" customWidth="1"/>
    <col min="4644" max="4644" width="8.5703125" style="498" customWidth="1"/>
    <col min="4645" max="4864" width="11.42578125" style="498"/>
    <col min="4865" max="4865" width="6.42578125" style="498" customWidth="1"/>
    <col min="4866" max="4866" width="47.5703125" style="498" customWidth="1"/>
    <col min="4867" max="4868" width="5" style="498" customWidth="1"/>
    <col min="4869" max="4869" width="5.42578125" style="498" customWidth="1"/>
    <col min="4870" max="4870" width="4.5703125" style="498" customWidth="1"/>
    <col min="4871" max="4872" width="4.42578125" style="498" customWidth="1"/>
    <col min="4873" max="4873" width="3.5703125" style="498" customWidth="1"/>
    <col min="4874" max="4874" width="5" style="498" customWidth="1"/>
    <col min="4875" max="4875" width="4" style="498" customWidth="1"/>
    <col min="4876" max="4877" width="4.5703125" style="498" customWidth="1"/>
    <col min="4878" max="4878" width="4.42578125" style="498" customWidth="1"/>
    <col min="4879" max="4879" width="4" style="498" customWidth="1"/>
    <col min="4880" max="4880" width="3.5703125" style="498" customWidth="1"/>
    <col min="4881" max="4882" width="4.5703125" style="498" customWidth="1"/>
    <col min="4883" max="4883" width="4" style="498" customWidth="1"/>
    <col min="4884" max="4885" width="4.42578125" style="498" customWidth="1"/>
    <col min="4886" max="4886" width="3.5703125" style="498" customWidth="1"/>
    <col min="4887" max="4887" width="4.42578125" style="498" customWidth="1"/>
    <col min="4888" max="4888" width="5.5703125" style="498" customWidth="1"/>
    <col min="4889" max="4889" width="3.5703125" style="498" customWidth="1"/>
    <col min="4890" max="4890" width="4" style="498" customWidth="1"/>
    <col min="4891" max="4891" width="4.5703125" style="498" customWidth="1"/>
    <col min="4892" max="4894" width="4.42578125" style="498" customWidth="1"/>
    <col min="4895" max="4896" width="4.5703125" style="498" customWidth="1"/>
    <col min="4897" max="4897" width="4" style="498" customWidth="1"/>
    <col min="4898" max="4898" width="4.5703125" style="498" customWidth="1"/>
    <col min="4899" max="4899" width="6" style="498" customWidth="1"/>
    <col min="4900" max="4900" width="8.5703125" style="498" customWidth="1"/>
    <col min="4901" max="5120" width="11.42578125" style="498"/>
    <col min="5121" max="5121" width="6.42578125" style="498" customWidth="1"/>
    <col min="5122" max="5122" width="47.5703125" style="498" customWidth="1"/>
    <col min="5123" max="5124" width="5" style="498" customWidth="1"/>
    <col min="5125" max="5125" width="5.42578125" style="498" customWidth="1"/>
    <col min="5126" max="5126" width="4.5703125" style="498" customWidth="1"/>
    <col min="5127" max="5128" width="4.42578125" style="498" customWidth="1"/>
    <col min="5129" max="5129" width="3.5703125" style="498" customWidth="1"/>
    <col min="5130" max="5130" width="5" style="498" customWidth="1"/>
    <col min="5131" max="5131" width="4" style="498" customWidth="1"/>
    <col min="5132" max="5133" width="4.5703125" style="498" customWidth="1"/>
    <col min="5134" max="5134" width="4.42578125" style="498" customWidth="1"/>
    <col min="5135" max="5135" width="4" style="498" customWidth="1"/>
    <col min="5136" max="5136" width="3.5703125" style="498" customWidth="1"/>
    <col min="5137" max="5138" width="4.5703125" style="498" customWidth="1"/>
    <col min="5139" max="5139" width="4" style="498" customWidth="1"/>
    <col min="5140" max="5141" width="4.42578125" style="498" customWidth="1"/>
    <col min="5142" max="5142" width="3.5703125" style="498" customWidth="1"/>
    <col min="5143" max="5143" width="4.42578125" style="498" customWidth="1"/>
    <col min="5144" max="5144" width="5.5703125" style="498" customWidth="1"/>
    <col min="5145" max="5145" width="3.5703125" style="498" customWidth="1"/>
    <col min="5146" max="5146" width="4" style="498" customWidth="1"/>
    <col min="5147" max="5147" width="4.5703125" style="498" customWidth="1"/>
    <col min="5148" max="5150" width="4.42578125" style="498" customWidth="1"/>
    <col min="5151" max="5152" width="4.5703125" style="498" customWidth="1"/>
    <col min="5153" max="5153" width="4" style="498" customWidth="1"/>
    <col min="5154" max="5154" width="4.5703125" style="498" customWidth="1"/>
    <col min="5155" max="5155" width="6" style="498" customWidth="1"/>
    <col min="5156" max="5156" width="8.5703125" style="498" customWidth="1"/>
    <col min="5157" max="5376" width="11.42578125" style="498"/>
    <col min="5377" max="5377" width="6.42578125" style="498" customWidth="1"/>
    <col min="5378" max="5378" width="47.5703125" style="498" customWidth="1"/>
    <col min="5379" max="5380" width="5" style="498" customWidth="1"/>
    <col min="5381" max="5381" width="5.42578125" style="498" customWidth="1"/>
    <col min="5382" max="5382" width="4.5703125" style="498" customWidth="1"/>
    <col min="5383" max="5384" width="4.42578125" style="498" customWidth="1"/>
    <col min="5385" max="5385" width="3.5703125" style="498" customWidth="1"/>
    <col min="5386" max="5386" width="5" style="498" customWidth="1"/>
    <col min="5387" max="5387" width="4" style="498" customWidth="1"/>
    <col min="5388" max="5389" width="4.5703125" style="498" customWidth="1"/>
    <col min="5390" max="5390" width="4.42578125" style="498" customWidth="1"/>
    <col min="5391" max="5391" width="4" style="498" customWidth="1"/>
    <col min="5392" max="5392" width="3.5703125" style="498" customWidth="1"/>
    <col min="5393" max="5394" width="4.5703125" style="498" customWidth="1"/>
    <col min="5395" max="5395" width="4" style="498" customWidth="1"/>
    <col min="5396" max="5397" width="4.42578125" style="498" customWidth="1"/>
    <col min="5398" max="5398" width="3.5703125" style="498" customWidth="1"/>
    <col min="5399" max="5399" width="4.42578125" style="498" customWidth="1"/>
    <col min="5400" max="5400" width="5.5703125" style="498" customWidth="1"/>
    <col min="5401" max="5401" width="3.5703125" style="498" customWidth="1"/>
    <col min="5402" max="5402" width="4" style="498" customWidth="1"/>
    <col min="5403" max="5403" width="4.5703125" style="498" customWidth="1"/>
    <col min="5404" max="5406" width="4.42578125" style="498" customWidth="1"/>
    <col min="5407" max="5408" width="4.5703125" style="498" customWidth="1"/>
    <col min="5409" max="5409" width="4" style="498" customWidth="1"/>
    <col min="5410" max="5410" width="4.5703125" style="498" customWidth="1"/>
    <col min="5411" max="5411" width="6" style="498" customWidth="1"/>
    <col min="5412" max="5412" width="8.5703125" style="498" customWidth="1"/>
    <col min="5413" max="5632" width="11.42578125" style="498"/>
    <col min="5633" max="5633" width="6.42578125" style="498" customWidth="1"/>
    <col min="5634" max="5634" width="47.5703125" style="498" customWidth="1"/>
    <col min="5635" max="5636" width="5" style="498" customWidth="1"/>
    <col min="5637" max="5637" width="5.42578125" style="498" customWidth="1"/>
    <col min="5638" max="5638" width="4.5703125" style="498" customWidth="1"/>
    <col min="5639" max="5640" width="4.42578125" style="498" customWidth="1"/>
    <col min="5641" max="5641" width="3.5703125" style="498" customWidth="1"/>
    <col min="5642" max="5642" width="5" style="498" customWidth="1"/>
    <col min="5643" max="5643" width="4" style="498" customWidth="1"/>
    <col min="5644" max="5645" width="4.5703125" style="498" customWidth="1"/>
    <col min="5646" max="5646" width="4.42578125" style="498" customWidth="1"/>
    <col min="5647" max="5647" width="4" style="498" customWidth="1"/>
    <col min="5648" max="5648" width="3.5703125" style="498" customWidth="1"/>
    <col min="5649" max="5650" width="4.5703125" style="498" customWidth="1"/>
    <col min="5651" max="5651" width="4" style="498" customWidth="1"/>
    <col min="5652" max="5653" width="4.42578125" style="498" customWidth="1"/>
    <col min="5654" max="5654" width="3.5703125" style="498" customWidth="1"/>
    <col min="5655" max="5655" width="4.42578125" style="498" customWidth="1"/>
    <col min="5656" max="5656" width="5.5703125" style="498" customWidth="1"/>
    <col min="5657" max="5657" width="3.5703125" style="498" customWidth="1"/>
    <col min="5658" max="5658" width="4" style="498" customWidth="1"/>
    <col min="5659" max="5659" width="4.5703125" style="498" customWidth="1"/>
    <col min="5660" max="5662" width="4.42578125" style="498" customWidth="1"/>
    <col min="5663" max="5664" width="4.5703125" style="498" customWidth="1"/>
    <col min="5665" max="5665" width="4" style="498" customWidth="1"/>
    <col min="5666" max="5666" width="4.5703125" style="498" customWidth="1"/>
    <col min="5667" max="5667" width="6" style="498" customWidth="1"/>
    <col min="5668" max="5668" width="8.5703125" style="498" customWidth="1"/>
    <col min="5669" max="5888" width="11.42578125" style="498"/>
    <col min="5889" max="5889" width="6.42578125" style="498" customWidth="1"/>
    <col min="5890" max="5890" width="47.5703125" style="498" customWidth="1"/>
    <col min="5891" max="5892" width="5" style="498" customWidth="1"/>
    <col min="5893" max="5893" width="5.42578125" style="498" customWidth="1"/>
    <col min="5894" max="5894" width="4.5703125" style="498" customWidth="1"/>
    <col min="5895" max="5896" width="4.42578125" style="498" customWidth="1"/>
    <col min="5897" max="5897" width="3.5703125" style="498" customWidth="1"/>
    <col min="5898" max="5898" width="5" style="498" customWidth="1"/>
    <col min="5899" max="5899" width="4" style="498" customWidth="1"/>
    <col min="5900" max="5901" width="4.5703125" style="498" customWidth="1"/>
    <col min="5902" max="5902" width="4.42578125" style="498" customWidth="1"/>
    <col min="5903" max="5903" width="4" style="498" customWidth="1"/>
    <col min="5904" max="5904" width="3.5703125" style="498" customWidth="1"/>
    <col min="5905" max="5906" width="4.5703125" style="498" customWidth="1"/>
    <col min="5907" max="5907" width="4" style="498" customWidth="1"/>
    <col min="5908" max="5909" width="4.42578125" style="498" customWidth="1"/>
    <col min="5910" max="5910" width="3.5703125" style="498" customWidth="1"/>
    <col min="5911" max="5911" width="4.42578125" style="498" customWidth="1"/>
    <col min="5912" max="5912" width="5.5703125" style="498" customWidth="1"/>
    <col min="5913" max="5913" width="3.5703125" style="498" customWidth="1"/>
    <col min="5914" max="5914" width="4" style="498" customWidth="1"/>
    <col min="5915" max="5915" width="4.5703125" style="498" customWidth="1"/>
    <col min="5916" max="5918" width="4.42578125" style="498" customWidth="1"/>
    <col min="5919" max="5920" width="4.5703125" style="498" customWidth="1"/>
    <col min="5921" max="5921" width="4" style="498" customWidth="1"/>
    <col min="5922" max="5922" width="4.5703125" style="498" customWidth="1"/>
    <col min="5923" max="5923" width="6" style="498" customWidth="1"/>
    <col min="5924" max="5924" width="8.5703125" style="498" customWidth="1"/>
    <col min="5925" max="6144" width="11.42578125" style="498"/>
    <col min="6145" max="6145" width="6.42578125" style="498" customWidth="1"/>
    <col min="6146" max="6146" width="47.5703125" style="498" customWidth="1"/>
    <col min="6147" max="6148" width="5" style="498" customWidth="1"/>
    <col min="6149" max="6149" width="5.42578125" style="498" customWidth="1"/>
    <col min="6150" max="6150" width="4.5703125" style="498" customWidth="1"/>
    <col min="6151" max="6152" width="4.42578125" style="498" customWidth="1"/>
    <col min="6153" max="6153" width="3.5703125" style="498" customWidth="1"/>
    <col min="6154" max="6154" width="5" style="498" customWidth="1"/>
    <col min="6155" max="6155" width="4" style="498" customWidth="1"/>
    <col min="6156" max="6157" width="4.5703125" style="498" customWidth="1"/>
    <col min="6158" max="6158" width="4.42578125" style="498" customWidth="1"/>
    <col min="6159" max="6159" width="4" style="498" customWidth="1"/>
    <col min="6160" max="6160" width="3.5703125" style="498" customWidth="1"/>
    <col min="6161" max="6162" width="4.5703125" style="498" customWidth="1"/>
    <col min="6163" max="6163" width="4" style="498" customWidth="1"/>
    <col min="6164" max="6165" width="4.42578125" style="498" customWidth="1"/>
    <col min="6166" max="6166" width="3.5703125" style="498" customWidth="1"/>
    <col min="6167" max="6167" width="4.42578125" style="498" customWidth="1"/>
    <col min="6168" max="6168" width="5.5703125" style="498" customWidth="1"/>
    <col min="6169" max="6169" width="3.5703125" style="498" customWidth="1"/>
    <col min="6170" max="6170" width="4" style="498" customWidth="1"/>
    <col min="6171" max="6171" width="4.5703125" style="498" customWidth="1"/>
    <col min="6172" max="6174" width="4.42578125" style="498" customWidth="1"/>
    <col min="6175" max="6176" width="4.5703125" style="498" customWidth="1"/>
    <col min="6177" max="6177" width="4" style="498" customWidth="1"/>
    <col min="6178" max="6178" width="4.5703125" style="498" customWidth="1"/>
    <col min="6179" max="6179" width="6" style="498" customWidth="1"/>
    <col min="6180" max="6180" width="8.5703125" style="498" customWidth="1"/>
    <col min="6181" max="6400" width="11.42578125" style="498"/>
    <col min="6401" max="6401" width="6.42578125" style="498" customWidth="1"/>
    <col min="6402" max="6402" width="47.5703125" style="498" customWidth="1"/>
    <col min="6403" max="6404" width="5" style="498" customWidth="1"/>
    <col min="6405" max="6405" width="5.42578125" style="498" customWidth="1"/>
    <col min="6406" max="6406" width="4.5703125" style="498" customWidth="1"/>
    <col min="6407" max="6408" width="4.42578125" style="498" customWidth="1"/>
    <col min="6409" max="6409" width="3.5703125" style="498" customWidth="1"/>
    <col min="6410" max="6410" width="5" style="498" customWidth="1"/>
    <col min="6411" max="6411" width="4" style="498" customWidth="1"/>
    <col min="6412" max="6413" width="4.5703125" style="498" customWidth="1"/>
    <col min="6414" max="6414" width="4.42578125" style="498" customWidth="1"/>
    <col min="6415" max="6415" width="4" style="498" customWidth="1"/>
    <col min="6416" max="6416" width="3.5703125" style="498" customWidth="1"/>
    <col min="6417" max="6418" width="4.5703125" style="498" customWidth="1"/>
    <col min="6419" max="6419" width="4" style="498" customWidth="1"/>
    <col min="6420" max="6421" width="4.42578125" style="498" customWidth="1"/>
    <col min="6422" max="6422" width="3.5703125" style="498" customWidth="1"/>
    <col min="6423" max="6423" width="4.42578125" style="498" customWidth="1"/>
    <col min="6424" max="6424" width="5.5703125" style="498" customWidth="1"/>
    <col min="6425" max="6425" width="3.5703125" style="498" customWidth="1"/>
    <col min="6426" max="6426" width="4" style="498" customWidth="1"/>
    <col min="6427" max="6427" width="4.5703125" style="498" customWidth="1"/>
    <col min="6428" max="6430" width="4.42578125" style="498" customWidth="1"/>
    <col min="6431" max="6432" width="4.5703125" style="498" customWidth="1"/>
    <col min="6433" max="6433" width="4" style="498" customWidth="1"/>
    <col min="6434" max="6434" width="4.5703125" style="498" customWidth="1"/>
    <col min="6435" max="6435" width="6" style="498" customWidth="1"/>
    <col min="6436" max="6436" width="8.5703125" style="498" customWidth="1"/>
    <col min="6437" max="6656" width="11.42578125" style="498"/>
    <col min="6657" max="6657" width="6.42578125" style="498" customWidth="1"/>
    <col min="6658" max="6658" width="47.5703125" style="498" customWidth="1"/>
    <col min="6659" max="6660" width="5" style="498" customWidth="1"/>
    <col min="6661" max="6661" width="5.42578125" style="498" customWidth="1"/>
    <col min="6662" max="6662" width="4.5703125" style="498" customWidth="1"/>
    <col min="6663" max="6664" width="4.42578125" style="498" customWidth="1"/>
    <col min="6665" max="6665" width="3.5703125" style="498" customWidth="1"/>
    <col min="6666" max="6666" width="5" style="498" customWidth="1"/>
    <col min="6667" max="6667" width="4" style="498" customWidth="1"/>
    <col min="6668" max="6669" width="4.5703125" style="498" customWidth="1"/>
    <col min="6670" max="6670" width="4.42578125" style="498" customWidth="1"/>
    <col min="6671" max="6671" width="4" style="498" customWidth="1"/>
    <col min="6672" max="6672" width="3.5703125" style="498" customWidth="1"/>
    <col min="6673" max="6674" width="4.5703125" style="498" customWidth="1"/>
    <col min="6675" max="6675" width="4" style="498" customWidth="1"/>
    <col min="6676" max="6677" width="4.42578125" style="498" customWidth="1"/>
    <col min="6678" max="6678" width="3.5703125" style="498" customWidth="1"/>
    <col min="6679" max="6679" width="4.42578125" style="498" customWidth="1"/>
    <col min="6680" max="6680" width="5.5703125" style="498" customWidth="1"/>
    <col min="6681" max="6681" width="3.5703125" style="498" customWidth="1"/>
    <col min="6682" max="6682" width="4" style="498" customWidth="1"/>
    <col min="6683" max="6683" width="4.5703125" style="498" customWidth="1"/>
    <col min="6684" max="6686" width="4.42578125" style="498" customWidth="1"/>
    <col min="6687" max="6688" width="4.5703125" style="498" customWidth="1"/>
    <col min="6689" max="6689" width="4" style="498" customWidth="1"/>
    <col min="6690" max="6690" width="4.5703125" style="498" customWidth="1"/>
    <col min="6691" max="6691" width="6" style="498" customWidth="1"/>
    <col min="6692" max="6692" width="8.5703125" style="498" customWidth="1"/>
    <col min="6693" max="6912" width="11.42578125" style="498"/>
    <col min="6913" max="6913" width="6.42578125" style="498" customWidth="1"/>
    <col min="6914" max="6914" width="47.5703125" style="498" customWidth="1"/>
    <col min="6915" max="6916" width="5" style="498" customWidth="1"/>
    <col min="6917" max="6917" width="5.42578125" style="498" customWidth="1"/>
    <col min="6918" max="6918" width="4.5703125" style="498" customWidth="1"/>
    <col min="6919" max="6920" width="4.42578125" style="498" customWidth="1"/>
    <col min="6921" max="6921" width="3.5703125" style="498" customWidth="1"/>
    <col min="6922" max="6922" width="5" style="498" customWidth="1"/>
    <col min="6923" max="6923" width="4" style="498" customWidth="1"/>
    <col min="6924" max="6925" width="4.5703125" style="498" customWidth="1"/>
    <col min="6926" max="6926" width="4.42578125" style="498" customWidth="1"/>
    <col min="6927" max="6927" width="4" style="498" customWidth="1"/>
    <col min="6928" max="6928" width="3.5703125" style="498" customWidth="1"/>
    <col min="6929" max="6930" width="4.5703125" style="498" customWidth="1"/>
    <col min="6931" max="6931" width="4" style="498" customWidth="1"/>
    <col min="6932" max="6933" width="4.42578125" style="498" customWidth="1"/>
    <col min="6934" max="6934" width="3.5703125" style="498" customWidth="1"/>
    <col min="6935" max="6935" width="4.42578125" style="498" customWidth="1"/>
    <col min="6936" max="6936" width="5.5703125" style="498" customWidth="1"/>
    <col min="6937" max="6937" width="3.5703125" style="498" customWidth="1"/>
    <col min="6938" max="6938" width="4" style="498" customWidth="1"/>
    <col min="6939" max="6939" width="4.5703125" style="498" customWidth="1"/>
    <col min="6940" max="6942" width="4.42578125" style="498" customWidth="1"/>
    <col min="6943" max="6944" width="4.5703125" style="498" customWidth="1"/>
    <col min="6945" max="6945" width="4" style="498" customWidth="1"/>
    <col min="6946" max="6946" width="4.5703125" style="498" customWidth="1"/>
    <col min="6947" max="6947" width="6" style="498" customWidth="1"/>
    <col min="6948" max="6948" width="8.5703125" style="498" customWidth="1"/>
    <col min="6949" max="7168" width="11.42578125" style="498"/>
    <col min="7169" max="7169" width="6.42578125" style="498" customWidth="1"/>
    <col min="7170" max="7170" width="47.5703125" style="498" customWidth="1"/>
    <col min="7171" max="7172" width="5" style="498" customWidth="1"/>
    <col min="7173" max="7173" width="5.42578125" style="498" customWidth="1"/>
    <col min="7174" max="7174" width="4.5703125" style="498" customWidth="1"/>
    <col min="7175" max="7176" width="4.42578125" style="498" customWidth="1"/>
    <col min="7177" max="7177" width="3.5703125" style="498" customWidth="1"/>
    <col min="7178" max="7178" width="5" style="498" customWidth="1"/>
    <col min="7179" max="7179" width="4" style="498" customWidth="1"/>
    <col min="7180" max="7181" width="4.5703125" style="498" customWidth="1"/>
    <col min="7182" max="7182" width="4.42578125" style="498" customWidth="1"/>
    <col min="7183" max="7183" width="4" style="498" customWidth="1"/>
    <col min="7184" max="7184" width="3.5703125" style="498" customWidth="1"/>
    <col min="7185" max="7186" width="4.5703125" style="498" customWidth="1"/>
    <col min="7187" max="7187" width="4" style="498" customWidth="1"/>
    <col min="7188" max="7189" width="4.42578125" style="498" customWidth="1"/>
    <col min="7190" max="7190" width="3.5703125" style="498" customWidth="1"/>
    <col min="7191" max="7191" width="4.42578125" style="498" customWidth="1"/>
    <col min="7192" max="7192" width="5.5703125" style="498" customWidth="1"/>
    <col min="7193" max="7193" width="3.5703125" style="498" customWidth="1"/>
    <col min="7194" max="7194" width="4" style="498" customWidth="1"/>
    <col min="7195" max="7195" width="4.5703125" style="498" customWidth="1"/>
    <col min="7196" max="7198" width="4.42578125" style="498" customWidth="1"/>
    <col min="7199" max="7200" width="4.5703125" style="498" customWidth="1"/>
    <col min="7201" max="7201" width="4" style="498" customWidth="1"/>
    <col min="7202" max="7202" width="4.5703125" style="498" customWidth="1"/>
    <col min="7203" max="7203" width="6" style="498" customWidth="1"/>
    <col min="7204" max="7204" width="8.5703125" style="498" customWidth="1"/>
    <col min="7205" max="7424" width="11.42578125" style="498"/>
    <col min="7425" max="7425" width="6.42578125" style="498" customWidth="1"/>
    <col min="7426" max="7426" width="47.5703125" style="498" customWidth="1"/>
    <col min="7427" max="7428" width="5" style="498" customWidth="1"/>
    <col min="7429" max="7429" width="5.42578125" style="498" customWidth="1"/>
    <col min="7430" max="7430" width="4.5703125" style="498" customWidth="1"/>
    <col min="7431" max="7432" width="4.42578125" style="498" customWidth="1"/>
    <col min="7433" max="7433" width="3.5703125" style="498" customWidth="1"/>
    <col min="7434" max="7434" width="5" style="498" customWidth="1"/>
    <col min="7435" max="7435" width="4" style="498" customWidth="1"/>
    <col min="7436" max="7437" width="4.5703125" style="498" customWidth="1"/>
    <col min="7438" max="7438" width="4.42578125" style="498" customWidth="1"/>
    <col min="7439" max="7439" width="4" style="498" customWidth="1"/>
    <col min="7440" max="7440" width="3.5703125" style="498" customWidth="1"/>
    <col min="7441" max="7442" width="4.5703125" style="498" customWidth="1"/>
    <col min="7443" max="7443" width="4" style="498" customWidth="1"/>
    <col min="7444" max="7445" width="4.42578125" style="498" customWidth="1"/>
    <col min="7446" max="7446" width="3.5703125" style="498" customWidth="1"/>
    <col min="7447" max="7447" width="4.42578125" style="498" customWidth="1"/>
    <col min="7448" max="7448" width="5.5703125" style="498" customWidth="1"/>
    <col min="7449" max="7449" width="3.5703125" style="498" customWidth="1"/>
    <col min="7450" max="7450" width="4" style="498" customWidth="1"/>
    <col min="7451" max="7451" width="4.5703125" style="498" customWidth="1"/>
    <col min="7452" max="7454" width="4.42578125" style="498" customWidth="1"/>
    <col min="7455" max="7456" width="4.5703125" style="498" customWidth="1"/>
    <col min="7457" max="7457" width="4" style="498" customWidth="1"/>
    <col min="7458" max="7458" width="4.5703125" style="498" customWidth="1"/>
    <col min="7459" max="7459" width="6" style="498" customWidth="1"/>
    <col min="7460" max="7460" width="8.5703125" style="498" customWidth="1"/>
    <col min="7461" max="7680" width="11.42578125" style="498"/>
    <col min="7681" max="7681" width="6.42578125" style="498" customWidth="1"/>
    <col min="7682" max="7682" width="47.5703125" style="498" customWidth="1"/>
    <col min="7683" max="7684" width="5" style="498" customWidth="1"/>
    <col min="7685" max="7685" width="5.42578125" style="498" customWidth="1"/>
    <col min="7686" max="7686" width="4.5703125" style="498" customWidth="1"/>
    <col min="7687" max="7688" width="4.42578125" style="498" customWidth="1"/>
    <col min="7689" max="7689" width="3.5703125" style="498" customWidth="1"/>
    <col min="7690" max="7690" width="5" style="498" customWidth="1"/>
    <col min="7691" max="7691" width="4" style="498" customWidth="1"/>
    <col min="7692" max="7693" width="4.5703125" style="498" customWidth="1"/>
    <col min="7694" max="7694" width="4.42578125" style="498" customWidth="1"/>
    <col min="7695" max="7695" width="4" style="498" customWidth="1"/>
    <col min="7696" max="7696" width="3.5703125" style="498" customWidth="1"/>
    <col min="7697" max="7698" width="4.5703125" style="498" customWidth="1"/>
    <col min="7699" max="7699" width="4" style="498" customWidth="1"/>
    <col min="7700" max="7701" width="4.42578125" style="498" customWidth="1"/>
    <col min="7702" max="7702" width="3.5703125" style="498" customWidth="1"/>
    <col min="7703" max="7703" width="4.42578125" style="498" customWidth="1"/>
    <col min="7704" max="7704" width="5.5703125" style="498" customWidth="1"/>
    <col min="7705" max="7705" width="3.5703125" style="498" customWidth="1"/>
    <col min="7706" max="7706" width="4" style="498" customWidth="1"/>
    <col min="7707" max="7707" width="4.5703125" style="498" customWidth="1"/>
    <col min="7708" max="7710" width="4.42578125" style="498" customWidth="1"/>
    <col min="7711" max="7712" width="4.5703125" style="498" customWidth="1"/>
    <col min="7713" max="7713" width="4" style="498" customWidth="1"/>
    <col min="7714" max="7714" width="4.5703125" style="498" customWidth="1"/>
    <col min="7715" max="7715" width="6" style="498" customWidth="1"/>
    <col min="7716" max="7716" width="8.5703125" style="498" customWidth="1"/>
    <col min="7717" max="7936" width="11.42578125" style="498"/>
    <col min="7937" max="7937" width="6.42578125" style="498" customWidth="1"/>
    <col min="7938" max="7938" width="47.5703125" style="498" customWidth="1"/>
    <col min="7939" max="7940" width="5" style="498" customWidth="1"/>
    <col min="7941" max="7941" width="5.42578125" style="498" customWidth="1"/>
    <col min="7942" max="7942" width="4.5703125" style="498" customWidth="1"/>
    <col min="7943" max="7944" width="4.42578125" style="498" customWidth="1"/>
    <col min="7945" max="7945" width="3.5703125" style="498" customWidth="1"/>
    <col min="7946" max="7946" width="5" style="498" customWidth="1"/>
    <col min="7947" max="7947" width="4" style="498" customWidth="1"/>
    <col min="7948" max="7949" width="4.5703125" style="498" customWidth="1"/>
    <col min="7950" max="7950" width="4.42578125" style="498" customWidth="1"/>
    <col min="7951" max="7951" width="4" style="498" customWidth="1"/>
    <col min="7952" max="7952" width="3.5703125" style="498" customWidth="1"/>
    <col min="7953" max="7954" width="4.5703125" style="498" customWidth="1"/>
    <col min="7955" max="7955" width="4" style="498" customWidth="1"/>
    <col min="7956" max="7957" width="4.42578125" style="498" customWidth="1"/>
    <col min="7958" max="7958" width="3.5703125" style="498" customWidth="1"/>
    <col min="7959" max="7959" width="4.42578125" style="498" customWidth="1"/>
    <col min="7960" max="7960" width="5.5703125" style="498" customWidth="1"/>
    <col min="7961" max="7961" width="3.5703125" style="498" customWidth="1"/>
    <col min="7962" max="7962" width="4" style="498" customWidth="1"/>
    <col min="7963" max="7963" width="4.5703125" style="498" customWidth="1"/>
    <col min="7964" max="7966" width="4.42578125" style="498" customWidth="1"/>
    <col min="7967" max="7968" width="4.5703125" style="498" customWidth="1"/>
    <col min="7969" max="7969" width="4" style="498" customWidth="1"/>
    <col min="7970" max="7970" width="4.5703125" style="498" customWidth="1"/>
    <col min="7971" max="7971" width="6" style="498" customWidth="1"/>
    <col min="7972" max="7972" width="8.5703125" style="498" customWidth="1"/>
    <col min="7973" max="8192" width="11.42578125" style="498"/>
    <col min="8193" max="8193" width="6.42578125" style="498" customWidth="1"/>
    <col min="8194" max="8194" width="47.5703125" style="498" customWidth="1"/>
    <col min="8195" max="8196" width="5" style="498" customWidth="1"/>
    <col min="8197" max="8197" width="5.42578125" style="498" customWidth="1"/>
    <col min="8198" max="8198" width="4.5703125" style="498" customWidth="1"/>
    <col min="8199" max="8200" width="4.42578125" style="498" customWidth="1"/>
    <col min="8201" max="8201" width="3.5703125" style="498" customWidth="1"/>
    <col min="8202" max="8202" width="5" style="498" customWidth="1"/>
    <col min="8203" max="8203" width="4" style="498" customWidth="1"/>
    <col min="8204" max="8205" width="4.5703125" style="498" customWidth="1"/>
    <col min="8206" max="8206" width="4.42578125" style="498" customWidth="1"/>
    <col min="8207" max="8207" width="4" style="498" customWidth="1"/>
    <col min="8208" max="8208" width="3.5703125" style="498" customWidth="1"/>
    <col min="8209" max="8210" width="4.5703125" style="498" customWidth="1"/>
    <col min="8211" max="8211" width="4" style="498" customWidth="1"/>
    <col min="8212" max="8213" width="4.42578125" style="498" customWidth="1"/>
    <col min="8214" max="8214" width="3.5703125" style="498" customWidth="1"/>
    <col min="8215" max="8215" width="4.42578125" style="498" customWidth="1"/>
    <col min="8216" max="8216" width="5.5703125" style="498" customWidth="1"/>
    <col min="8217" max="8217" width="3.5703125" style="498" customWidth="1"/>
    <col min="8218" max="8218" width="4" style="498" customWidth="1"/>
    <col min="8219" max="8219" width="4.5703125" style="498" customWidth="1"/>
    <col min="8220" max="8222" width="4.42578125" style="498" customWidth="1"/>
    <col min="8223" max="8224" width="4.5703125" style="498" customWidth="1"/>
    <col min="8225" max="8225" width="4" style="498" customWidth="1"/>
    <col min="8226" max="8226" width="4.5703125" style="498" customWidth="1"/>
    <col min="8227" max="8227" width="6" style="498" customWidth="1"/>
    <col min="8228" max="8228" width="8.5703125" style="498" customWidth="1"/>
    <col min="8229" max="8448" width="11.42578125" style="498"/>
    <col min="8449" max="8449" width="6.42578125" style="498" customWidth="1"/>
    <col min="8450" max="8450" width="47.5703125" style="498" customWidth="1"/>
    <col min="8451" max="8452" width="5" style="498" customWidth="1"/>
    <col min="8453" max="8453" width="5.42578125" style="498" customWidth="1"/>
    <col min="8454" max="8454" width="4.5703125" style="498" customWidth="1"/>
    <col min="8455" max="8456" width="4.42578125" style="498" customWidth="1"/>
    <col min="8457" max="8457" width="3.5703125" style="498" customWidth="1"/>
    <col min="8458" max="8458" width="5" style="498" customWidth="1"/>
    <col min="8459" max="8459" width="4" style="498" customWidth="1"/>
    <col min="8460" max="8461" width="4.5703125" style="498" customWidth="1"/>
    <col min="8462" max="8462" width="4.42578125" style="498" customWidth="1"/>
    <col min="8463" max="8463" width="4" style="498" customWidth="1"/>
    <col min="8464" max="8464" width="3.5703125" style="498" customWidth="1"/>
    <col min="8465" max="8466" width="4.5703125" style="498" customWidth="1"/>
    <col min="8467" max="8467" width="4" style="498" customWidth="1"/>
    <col min="8468" max="8469" width="4.42578125" style="498" customWidth="1"/>
    <col min="8470" max="8470" width="3.5703125" style="498" customWidth="1"/>
    <col min="8471" max="8471" width="4.42578125" style="498" customWidth="1"/>
    <col min="8472" max="8472" width="5.5703125" style="498" customWidth="1"/>
    <col min="8473" max="8473" width="3.5703125" style="498" customWidth="1"/>
    <col min="8474" max="8474" width="4" style="498" customWidth="1"/>
    <col min="8475" max="8475" width="4.5703125" style="498" customWidth="1"/>
    <col min="8476" max="8478" width="4.42578125" style="498" customWidth="1"/>
    <col min="8479" max="8480" width="4.5703125" style="498" customWidth="1"/>
    <col min="8481" max="8481" width="4" style="498" customWidth="1"/>
    <col min="8482" max="8482" width="4.5703125" style="498" customWidth="1"/>
    <col min="8483" max="8483" width="6" style="498" customWidth="1"/>
    <col min="8484" max="8484" width="8.5703125" style="498" customWidth="1"/>
    <col min="8485" max="8704" width="11.42578125" style="498"/>
    <col min="8705" max="8705" width="6.42578125" style="498" customWidth="1"/>
    <col min="8706" max="8706" width="47.5703125" style="498" customWidth="1"/>
    <col min="8707" max="8708" width="5" style="498" customWidth="1"/>
    <col min="8709" max="8709" width="5.42578125" style="498" customWidth="1"/>
    <col min="8710" max="8710" width="4.5703125" style="498" customWidth="1"/>
    <col min="8711" max="8712" width="4.42578125" style="498" customWidth="1"/>
    <col min="8713" max="8713" width="3.5703125" style="498" customWidth="1"/>
    <col min="8714" max="8714" width="5" style="498" customWidth="1"/>
    <col min="8715" max="8715" width="4" style="498" customWidth="1"/>
    <col min="8716" max="8717" width="4.5703125" style="498" customWidth="1"/>
    <col min="8718" max="8718" width="4.42578125" style="498" customWidth="1"/>
    <col min="8719" max="8719" width="4" style="498" customWidth="1"/>
    <col min="8720" max="8720" width="3.5703125" style="498" customWidth="1"/>
    <col min="8721" max="8722" width="4.5703125" style="498" customWidth="1"/>
    <col min="8723" max="8723" width="4" style="498" customWidth="1"/>
    <col min="8724" max="8725" width="4.42578125" style="498" customWidth="1"/>
    <col min="8726" max="8726" width="3.5703125" style="498" customWidth="1"/>
    <col min="8727" max="8727" width="4.42578125" style="498" customWidth="1"/>
    <col min="8728" max="8728" width="5.5703125" style="498" customWidth="1"/>
    <col min="8729" max="8729" width="3.5703125" style="498" customWidth="1"/>
    <col min="8730" max="8730" width="4" style="498" customWidth="1"/>
    <col min="8731" max="8731" width="4.5703125" style="498" customWidth="1"/>
    <col min="8732" max="8734" width="4.42578125" style="498" customWidth="1"/>
    <col min="8735" max="8736" width="4.5703125" style="498" customWidth="1"/>
    <col min="8737" max="8737" width="4" style="498" customWidth="1"/>
    <col min="8738" max="8738" width="4.5703125" style="498" customWidth="1"/>
    <col min="8739" max="8739" width="6" style="498" customWidth="1"/>
    <col min="8740" max="8740" width="8.5703125" style="498" customWidth="1"/>
    <col min="8741" max="8960" width="11.42578125" style="498"/>
    <col min="8961" max="8961" width="6.42578125" style="498" customWidth="1"/>
    <col min="8962" max="8962" width="47.5703125" style="498" customWidth="1"/>
    <col min="8963" max="8964" width="5" style="498" customWidth="1"/>
    <col min="8965" max="8965" width="5.42578125" style="498" customWidth="1"/>
    <col min="8966" max="8966" width="4.5703125" style="498" customWidth="1"/>
    <col min="8967" max="8968" width="4.42578125" style="498" customWidth="1"/>
    <col min="8969" max="8969" width="3.5703125" style="498" customWidth="1"/>
    <col min="8970" max="8970" width="5" style="498" customWidth="1"/>
    <col min="8971" max="8971" width="4" style="498" customWidth="1"/>
    <col min="8972" max="8973" width="4.5703125" style="498" customWidth="1"/>
    <col min="8974" max="8974" width="4.42578125" style="498" customWidth="1"/>
    <col min="8975" max="8975" width="4" style="498" customWidth="1"/>
    <col min="8976" max="8976" width="3.5703125" style="498" customWidth="1"/>
    <col min="8977" max="8978" width="4.5703125" style="498" customWidth="1"/>
    <col min="8979" max="8979" width="4" style="498" customWidth="1"/>
    <col min="8980" max="8981" width="4.42578125" style="498" customWidth="1"/>
    <col min="8982" max="8982" width="3.5703125" style="498" customWidth="1"/>
    <col min="8983" max="8983" width="4.42578125" style="498" customWidth="1"/>
    <col min="8984" max="8984" width="5.5703125" style="498" customWidth="1"/>
    <col min="8985" max="8985" width="3.5703125" style="498" customWidth="1"/>
    <col min="8986" max="8986" width="4" style="498" customWidth="1"/>
    <col min="8987" max="8987" width="4.5703125" style="498" customWidth="1"/>
    <col min="8988" max="8990" width="4.42578125" style="498" customWidth="1"/>
    <col min="8991" max="8992" width="4.5703125" style="498" customWidth="1"/>
    <col min="8993" max="8993" width="4" style="498" customWidth="1"/>
    <col min="8994" max="8994" width="4.5703125" style="498" customWidth="1"/>
    <col min="8995" max="8995" width="6" style="498" customWidth="1"/>
    <col min="8996" max="8996" width="8.5703125" style="498" customWidth="1"/>
    <col min="8997" max="9216" width="11.42578125" style="498"/>
    <col min="9217" max="9217" width="6.42578125" style="498" customWidth="1"/>
    <col min="9218" max="9218" width="47.5703125" style="498" customWidth="1"/>
    <col min="9219" max="9220" width="5" style="498" customWidth="1"/>
    <col min="9221" max="9221" width="5.42578125" style="498" customWidth="1"/>
    <col min="9222" max="9222" width="4.5703125" style="498" customWidth="1"/>
    <col min="9223" max="9224" width="4.42578125" style="498" customWidth="1"/>
    <col min="9225" max="9225" width="3.5703125" style="498" customWidth="1"/>
    <col min="9226" max="9226" width="5" style="498" customWidth="1"/>
    <col min="9227" max="9227" width="4" style="498" customWidth="1"/>
    <col min="9228" max="9229" width="4.5703125" style="498" customWidth="1"/>
    <col min="9230" max="9230" width="4.42578125" style="498" customWidth="1"/>
    <col min="9231" max="9231" width="4" style="498" customWidth="1"/>
    <col min="9232" max="9232" width="3.5703125" style="498" customWidth="1"/>
    <col min="9233" max="9234" width="4.5703125" style="498" customWidth="1"/>
    <col min="9235" max="9235" width="4" style="498" customWidth="1"/>
    <col min="9236" max="9237" width="4.42578125" style="498" customWidth="1"/>
    <col min="9238" max="9238" width="3.5703125" style="498" customWidth="1"/>
    <col min="9239" max="9239" width="4.42578125" style="498" customWidth="1"/>
    <col min="9240" max="9240" width="5.5703125" style="498" customWidth="1"/>
    <col min="9241" max="9241" width="3.5703125" style="498" customWidth="1"/>
    <col min="9242" max="9242" width="4" style="498" customWidth="1"/>
    <col min="9243" max="9243" width="4.5703125" style="498" customWidth="1"/>
    <col min="9244" max="9246" width="4.42578125" style="498" customWidth="1"/>
    <col min="9247" max="9248" width="4.5703125" style="498" customWidth="1"/>
    <col min="9249" max="9249" width="4" style="498" customWidth="1"/>
    <col min="9250" max="9250" width="4.5703125" style="498" customWidth="1"/>
    <col min="9251" max="9251" width="6" style="498" customWidth="1"/>
    <col min="9252" max="9252" width="8.5703125" style="498" customWidth="1"/>
    <col min="9253" max="9472" width="11.42578125" style="498"/>
    <col min="9473" max="9473" width="6.42578125" style="498" customWidth="1"/>
    <col min="9474" max="9474" width="47.5703125" style="498" customWidth="1"/>
    <col min="9475" max="9476" width="5" style="498" customWidth="1"/>
    <col min="9477" max="9477" width="5.42578125" style="498" customWidth="1"/>
    <col min="9478" max="9478" width="4.5703125" style="498" customWidth="1"/>
    <col min="9479" max="9480" width="4.42578125" style="498" customWidth="1"/>
    <col min="9481" max="9481" width="3.5703125" style="498" customWidth="1"/>
    <col min="9482" max="9482" width="5" style="498" customWidth="1"/>
    <col min="9483" max="9483" width="4" style="498" customWidth="1"/>
    <col min="9484" max="9485" width="4.5703125" style="498" customWidth="1"/>
    <col min="9486" max="9486" width="4.42578125" style="498" customWidth="1"/>
    <col min="9487" max="9487" width="4" style="498" customWidth="1"/>
    <col min="9488" max="9488" width="3.5703125" style="498" customWidth="1"/>
    <col min="9489" max="9490" width="4.5703125" style="498" customWidth="1"/>
    <col min="9491" max="9491" width="4" style="498" customWidth="1"/>
    <col min="9492" max="9493" width="4.42578125" style="498" customWidth="1"/>
    <col min="9494" max="9494" width="3.5703125" style="498" customWidth="1"/>
    <col min="9495" max="9495" width="4.42578125" style="498" customWidth="1"/>
    <col min="9496" max="9496" width="5.5703125" style="498" customWidth="1"/>
    <col min="9497" max="9497" width="3.5703125" style="498" customWidth="1"/>
    <col min="9498" max="9498" width="4" style="498" customWidth="1"/>
    <col min="9499" max="9499" width="4.5703125" style="498" customWidth="1"/>
    <col min="9500" max="9502" width="4.42578125" style="498" customWidth="1"/>
    <col min="9503" max="9504" width="4.5703125" style="498" customWidth="1"/>
    <col min="9505" max="9505" width="4" style="498" customWidth="1"/>
    <col min="9506" max="9506" width="4.5703125" style="498" customWidth="1"/>
    <col min="9507" max="9507" width="6" style="498" customWidth="1"/>
    <col min="9508" max="9508" width="8.5703125" style="498" customWidth="1"/>
    <col min="9509" max="9728" width="11.42578125" style="498"/>
    <col min="9729" max="9729" width="6.42578125" style="498" customWidth="1"/>
    <col min="9730" max="9730" width="47.5703125" style="498" customWidth="1"/>
    <col min="9731" max="9732" width="5" style="498" customWidth="1"/>
    <col min="9733" max="9733" width="5.42578125" style="498" customWidth="1"/>
    <col min="9734" max="9734" width="4.5703125" style="498" customWidth="1"/>
    <col min="9735" max="9736" width="4.42578125" style="498" customWidth="1"/>
    <col min="9737" max="9737" width="3.5703125" style="498" customWidth="1"/>
    <col min="9738" max="9738" width="5" style="498" customWidth="1"/>
    <col min="9739" max="9739" width="4" style="498" customWidth="1"/>
    <col min="9740" max="9741" width="4.5703125" style="498" customWidth="1"/>
    <col min="9742" max="9742" width="4.42578125" style="498" customWidth="1"/>
    <col min="9743" max="9743" width="4" style="498" customWidth="1"/>
    <col min="9744" max="9744" width="3.5703125" style="498" customWidth="1"/>
    <col min="9745" max="9746" width="4.5703125" style="498" customWidth="1"/>
    <col min="9747" max="9747" width="4" style="498" customWidth="1"/>
    <col min="9748" max="9749" width="4.42578125" style="498" customWidth="1"/>
    <col min="9750" max="9750" width="3.5703125" style="498" customWidth="1"/>
    <col min="9751" max="9751" width="4.42578125" style="498" customWidth="1"/>
    <col min="9752" max="9752" width="5.5703125" style="498" customWidth="1"/>
    <col min="9753" max="9753" width="3.5703125" style="498" customWidth="1"/>
    <col min="9754" max="9754" width="4" style="498" customWidth="1"/>
    <col min="9755" max="9755" width="4.5703125" style="498" customWidth="1"/>
    <col min="9756" max="9758" width="4.42578125" style="498" customWidth="1"/>
    <col min="9759" max="9760" width="4.5703125" style="498" customWidth="1"/>
    <col min="9761" max="9761" width="4" style="498" customWidth="1"/>
    <col min="9762" max="9762" width="4.5703125" style="498" customWidth="1"/>
    <col min="9763" max="9763" width="6" style="498" customWidth="1"/>
    <col min="9764" max="9764" width="8.5703125" style="498" customWidth="1"/>
    <col min="9765" max="9984" width="11.42578125" style="498"/>
    <col min="9985" max="9985" width="6.42578125" style="498" customWidth="1"/>
    <col min="9986" max="9986" width="47.5703125" style="498" customWidth="1"/>
    <col min="9987" max="9988" width="5" style="498" customWidth="1"/>
    <col min="9989" max="9989" width="5.42578125" style="498" customWidth="1"/>
    <col min="9990" max="9990" width="4.5703125" style="498" customWidth="1"/>
    <col min="9991" max="9992" width="4.42578125" style="498" customWidth="1"/>
    <col min="9993" max="9993" width="3.5703125" style="498" customWidth="1"/>
    <col min="9994" max="9994" width="5" style="498" customWidth="1"/>
    <col min="9995" max="9995" width="4" style="498" customWidth="1"/>
    <col min="9996" max="9997" width="4.5703125" style="498" customWidth="1"/>
    <col min="9998" max="9998" width="4.42578125" style="498" customWidth="1"/>
    <col min="9999" max="9999" width="4" style="498" customWidth="1"/>
    <col min="10000" max="10000" width="3.5703125" style="498" customWidth="1"/>
    <col min="10001" max="10002" width="4.5703125" style="498" customWidth="1"/>
    <col min="10003" max="10003" width="4" style="498" customWidth="1"/>
    <col min="10004" max="10005" width="4.42578125" style="498" customWidth="1"/>
    <col min="10006" max="10006" width="3.5703125" style="498" customWidth="1"/>
    <col min="10007" max="10007" width="4.42578125" style="498" customWidth="1"/>
    <col min="10008" max="10008" width="5.5703125" style="498" customWidth="1"/>
    <col min="10009" max="10009" width="3.5703125" style="498" customWidth="1"/>
    <col min="10010" max="10010" width="4" style="498" customWidth="1"/>
    <col min="10011" max="10011" width="4.5703125" style="498" customWidth="1"/>
    <col min="10012" max="10014" width="4.42578125" style="498" customWidth="1"/>
    <col min="10015" max="10016" width="4.5703125" style="498" customWidth="1"/>
    <col min="10017" max="10017" width="4" style="498" customWidth="1"/>
    <col min="10018" max="10018" width="4.5703125" style="498" customWidth="1"/>
    <col min="10019" max="10019" width="6" style="498" customWidth="1"/>
    <col min="10020" max="10020" width="8.5703125" style="498" customWidth="1"/>
    <col min="10021" max="10240" width="11.42578125" style="498"/>
    <col min="10241" max="10241" width="6.42578125" style="498" customWidth="1"/>
    <col min="10242" max="10242" width="47.5703125" style="498" customWidth="1"/>
    <col min="10243" max="10244" width="5" style="498" customWidth="1"/>
    <col min="10245" max="10245" width="5.42578125" style="498" customWidth="1"/>
    <col min="10246" max="10246" width="4.5703125" style="498" customWidth="1"/>
    <col min="10247" max="10248" width="4.42578125" style="498" customWidth="1"/>
    <col min="10249" max="10249" width="3.5703125" style="498" customWidth="1"/>
    <col min="10250" max="10250" width="5" style="498" customWidth="1"/>
    <col min="10251" max="10251" width="4" style="498" customWidth="1"/>
    <col min="10252" max="10253" width="4.5703125" style="498" customWidth="1"/>
    <col min="10254" max="10254" width="4.42578125" style="498" customWidth="1"/>
    <col min="10255" max="10255" width="4" style="498" customWidth="1"/>
    <col min="10256" max="10256" width="3.5703125" style="498" customWidth="1"/>
    <col min="10257" max="10258" width="4.5703125" style="498" customWidth="1"/>
    <col min="10259" max="10259" width="4" style="498" customWidth="1"/>
    <col min="10260" max="10261" width="4.42578125" style="498" customWidth="1"/>
    <col min="10262" max="10262" width="3.5703125" style="498" customWidth="1"/>
    <col min="10263" max="10263" width="4.42578125" style="498" customWidth="1"/>
    <col min="10264" max="10264" width="5.5703125" style="498" customWidth="1"/>
    <col min="10265" max="10265" width="3.5703125" style="498" customWidth="1"/>
    <col min="10266" max="10266" width="4" style="498" customWidth="1"/>
    <col min="10267" max="10267" width="4.5703125" style="498" customWidth="1"/>
    <col min="10268" max="10270" width="4.42578125" style="498" customWidth="1"/>
    <col min="10271" max="10272" width="4.5703125" style="498" customWidth="1"/>
    <col min="10273" max="10273" width="4" style="498" customWidth="1"/>
    <col min="10274" max="10274" width="4.5703125" style="498" customWidth="1"/>
    <col min="10275" max="10275" width="6" style="498" customWidth="1"/>
    <col min="10276" max="10276" width="8.5703125" style="498" customWidth="1"/>
    <col min="10277" max="10496" width="11.42578125" style="498"/>
    <col min="10497" max="10497" width="6.42578125" style="498" customWidth="1"/>
    <col min="10498" max="10498" width="47.5703125" style="498" customWidth="1"/>
    <col min="10499" max="10500" width="5" style="498" customWidth="1"/>
    <col min="10501" max="10501" width="5.42578125" style="498" customWidth="1"/>
    <col min="10502" max="10502" width="4.5703125" style="498" customWidth="1"/>
    <col min="10503" max="10504" width="4.42578125" style="498" customWidth="1"/>
    <col min="10505" max="10505" width="3.5703125" style="498" customWidth="1"/>
    <col min="10506" max="10506" width="5" style="498" customWidth="1"/>
    <col min="10507" max="10507" width="4" style="498" customWidth="1"/>
    <col min="10508" max="10509" width="4.5703125" style="498" customWidth="1"/>
    <col min="10510" max="10510" width="4.42578125" style="498" customWidth="1"/>
    <col min="10511" max="10511" width="4" style="498" customWidth="1"/>
    <col min="10512" max="10512" width="3.5703125" style="498" customWidth="1"/>
    <col min="10513" max="10514" width="4.5703125" style="498" customWidth="1"/>
    <col min="10515" max="10515" width="4" style="498" customWidth="1"/>
    <col min="10516" max="10517" width="4.42578125" style="498" customWidth="1"/>
    <col min="10518" max="10518" width="3.5703125" style="498" customWidth="1"/>
    <col min="10519" max="10519" width="4.42578125" style="498" customWidth="1"/>
    <col min="10520" max="10520" width="5.5703125" style="498" customWidth="1"/>
    <col min="10521" max="10521" width="3.5703125" style="498" customWidth="1"/>
    <col min="10522" max="10522" width="4" style="498" customWidth="1"/>
    <col min="10523" max="10523" width="4.5703125" style="498" customWidth="1"/>
    <col min="10524" max="10526" width="4.42578125" style="498" customWidth="1"/>
    <col min="10527" max="10528" width="4.5703125" style="498" customWidth="1"/>
    <col min="10529" max="10529" width="4" style="498" customWidth="1"/>
    <col min="10530" max="10530" width="4.5703125" style="498" customWidth="1"/>
    <col min="10531" max="10531" width="6" style="498" customWidth="1"/>
    <col min="10532" max="10532" width="8.5703125" style="498" customWidth="1"/>
    <col min="10533" max="10752" width="11.42578125" style="498"/>
    <col min="10753" max="10753" width="6.42578125" style="498" customWidth="1"/>
    <col min="10754" max="10754" width="47.5703125" style="498" customWidth="1"/>
    <col min="10755" max="10756" width="5" style="498" customWidth="1"/>
    <col min="10757" max="10757" width="5.42578125" style="498" customWidth="1"/>
    <col min="10758" max="10758" width="4.5703125" style="498" customWidth="1"/>
    <col min="10759" max="10760" width="4.42578125" style="498" customWidth="1"/>
    <col min="10761" max="10761" width="3.5703125" style="498" customWidth="1"/>
    <col min="10762" max="10762" width="5" style="498" customWidth="1"/>
    <col min="10763" max="10763" width="4" style="498" customWidth="1"/>
    <col min="10764" max="10765" width="4.5703125" style="498" customWidth="1"/>
    <col min="10766" max="10766" width="4.42578125" style="498" customWidth="1"/>
    <col min="10767" max="10767" width="4" style="498" customWidth="1"/>
    <col min="10768" max="10768" width="3.5703125" style="498" customWidth="1"/>
    <col min="10769" max="10770" width="4.5703125" style="498" customWidth="1"/>
    <col min="10771" max="10771" width="4" style="498" customWidth="1"/>
    <col min="10772" max="10773" width="4.42578125" style="498" customWidth="1"/>
    <col min="10774" max="10774" width="3.5703125" style="498" customWidth="1"/>
    <col min="10775" max="10775" width="4.42578125" style="498" customWidth="1"/>
    <col min="10776" max="10776" width="5.5703125" style="498" customWidth="1"/>
    <col min="10777" max="10777" width="3.5703125" style="498" customWidth="1"/>
    <col min="10778" max="10778" width="4" style="498" customWidth="1"/>
    <col min="10779" max="10779" width="4.5703125" style="498" customWidth="1"/>
    <col min="10780" max="10782" width="4.42578125" style="498" customWidth="1"/>
    <col min="10783" max="10784" width="4.5703125" style="498" customWidth="1"/>
    <col min="10785" max="10785" width="4" style="498" customWidth="1"/>
    <col min="10786" max="10786" width="4.5703125" style="498" customWidth="1"/>
    <col min="10787" max="10787" width="6" style="498" customWidth="1"/>
    <col min="10788" max="10788" width="8.5703125" style="498" customWidth="1"/>
    <col min="10789" max="11008" width="11.42578125" style="498"/>
    <col min="11009" max="11009" width="6.42578125" style="498" customWidth="1"/>
    <col min="11010" max="11010" width="47.5703125" style="498" customWidth="1"/>
    <col min="11011" max="11012" width="5" style="498" customWidth="1"/>
    <col min="11013" max="11013" width="5.42578125" style="498" customWidth="1"/>
    <col min="11014" max="11014" width="4.5703125" style="498" customWidth="1"/>
    <col min="11015" max="11016" width="4.42578125" style="498" customWidth="1"/>
    <col min="11017" max="11017" width="3.5703125" style="498" customWidth="1"/>
    <col min="11018" max="11018" width="5" style="498" customWidth="1"/>
    <col min="11019" max="11019" width="4" style="498" customWidth="1"/>
    <col min="11020" max="11021" width="4.5703125" style="498" customWidth="1"/>
    <col min="11022" max="11022" width="4.42578125" style="498" customWidth="1"/>
    <col min="11023" max="11023" width="4" style="498" customWidth="1"/>
    <col min="11024" max="11024" width="3.5703125" style="498" customWidth="1"/>
    <col min="11025" max="11026" width="4.5703125" style="498" customWidth="1"/>
    <col min="11027" max="11027" width="4" style="498" customWidth="1"/>
    <col min="11028" max="11029" width="4.42578125" style="498" customWidth="1"/>
    <col min="11030" max="11030" width="3.5703125" style="498" customWidth="1"/>
    <col min="11031" max="11031" width="4.42578125" style="498" customWidth="1"/>
    <col min="11032" max="11032" width="5.5703125" style="498" customWidth="1"/>
    <col min="11033" max="11033" width="3.5703125" style="498" customWidth="1"/>
    <col min="11034" max="11034" width="4" style="498" customWidth="1"/>
    <col min="11035" max="11035" width="4.5703125" style="498" customWidth="1"/>
    <col min="11036" max="11038" width="4.42578125" style="498" customWidth="1"/>
    <col min="11039" max="11040" width="4.5703125" style="498" customWidth="1"/>
    <col min="11041" max="11041" width="4" style="498" customWidth="1"/>
    <col min="11042" max="11042" width="4.5703125" style="498" customWidth="1"/>
    <col min="11043" max="11043" width="6" style="498" customWidth="1"/>
    <col min="11044" max="11044" width="8.5703125" style="498" customWidth="1"/>
    <col min="11045" max="11264" width="11.42578125" style="498"/>
    <col min="11265" max="11265" width="6.42578125" style="498" customWidth="1"/>
    <col min="11266" max="11266" width="47.5703125" style="498" customWidth="1"/>
    <col min="11267" max="11268" width="5" style="498" customWidth="1"/>
    <col min="11269" max="11269" width="5.42578125" style="498" customWidth="1"/>
    <col min="11270" max="11270" width="4.5703125" style="498" customWidth="1"/>
    <col min="11271" max="11272" width="4.42578125" style="498" customWidth="1"/>
    <col min="11273" max="11273" width="3.5703125" style="498" customWidth="1"/>
    <col min="11274" max="11274" width="5" style="498" customWidth="1"/>
    <col min="11275" max="11275" width="4" style="498" customWidth="1"/>
    <col min="11276" max="11277" width="4.5703125" style="498" customWidth="1"/>
    <col min="11278" max="11278" width="4.42578125" style="498" customWidth="1"/>
    <col min="11279" max="11279" width="4" style="498" customWidth="1"/>
    <col min="11280" max="11280" width="3.5703125" style="498" customWidth="1"/>
    <col min="11281" max="11282" width="4.5703125" style="498" customWidth="1"/>
    <col min="11283" max="11283" width="4" style="498" customWidth="1"/>
    <col min="11284" max="11285" width="4.42578125" style="498" customWidth="1"/>
    <col min="11286" max="11286" width="3.5703125" style="498" customWidth="1"/>
    <col min="11287" max="11287" width="4.42578125" style="498" customWidth="1"/>
    <col min="11288" max="11288" width="5.5703125" style="498" customWidth="1"/>
    <col min="11289" max="11289" width="3.5703125" style="498" customWidth="1"/>
    <col min="11290" max="11290" width="4" style="498" customWidth="1"/>
    <col min="11291" max="11291" width="4.5703125" style="498" customWidth="1"/>
    <col min="11292" max="11294" width="4.42578125" style="498" customWidth="1"/>
    <col min="11295" max="11296" width="4.5703125" style="498" customWidth="1"/>
    <col min="11297" max="11297" width="4" style="498" customWidth="1"/>
    <col min="11298" max="11298" width="4.5703125" style="498" customWidth="1"/>
    <col min="11299" max="11299" width="6" style="498" customWidth="1"/>
    <col min="11300" max="11300" width="8.5703125" style="498" customWidth="1"/>
    <col min="11301" max="11520" width="11.42578125" style="498"/>
    <col min="11521" max="11521" width="6.42578125" style="498" customWidth="1"/>
    <col min="11522" max="11522" width="47.5703125" style="498" customWidth="1"/>
    <col min="11523" max="11524" width="5" style="498" customWidth="1"/>
    <col min="11525" max="11525" width="5.42578125" style="498" customWidth="1"/>
    <col min="11526" max="11526" width="4.5703125" style="498" customWidth="1"/>
    <col min="11527" max="11528" width="4.42578125" style="498" customWidth="1"/>
    <col min="11529" max="11529" width="3.5703125" style="498" customWidth="1"/>
    <col min="11530" max="11530" width="5" style="498" customWidth="1"/>
    <col min="11531" max="11531" width="4" style="498" customWidth="1"/>
    <col min="11532" max="11533" width="4.5703125" style="498" customWidth="1"/>
    <col min="11534" max="11534" width="4.42578125" style="498" customWidth="1"/>
    <col min="11535" max="11535" width="4" style="498" customWidth="1"/>
    <col min="11536" max="11536" width="3.5703125" style="498" customWidth="1"/>
    <col min="11537" max="11538" width="4.5703125" style="498" customWidth="1"/>
    <col min="11539" max="11539" width="4" style="498" customWidth="1"/>
    <col min="11540" max="11541" width="4.42578125" style="498" customWidth="1"/>
    <col min="11542" max="11542" width="3.5703125" style="498" customWidth="1"/>
    <col min="11543" max="11543" width="4.42578125" style="498" customWidth="1"/>
    <col min="11544" max="11544" width="5.5703125" style="498" customWidth="1"/>
    <col min="11545" max="11545" width="3.5703125" style="498" customWidth="1"/>
    <col min="11546" max="11546" width="4" style="498" customWidth="1"/>
    <col min="11547" max="11547" width="4.5703125" style="498" customWidth="1"/>
    <col min="11548" max="11550" width="4.42578125" style="498" customWidth="1"/>
    <col min="11551" max="11552" width="4.5703125" style="498" customWidth="1"/>
    <col min="11553" max="11553" width="4" style="498" customWidth="1"/>
    <col min="11554" max="11554" width="4.5703125" style="498" customWidth="1"/>
    <col min="11555" max="11555" width="6" style="498" customWidth="1"/>
    <col min="11556" max="11556" width="8.5703125" style="498" customWidth="1"/>
    <col min="11557" max="11776" width="11.42578125" style="498"/>
    <col min="11777" max="11777" width="6.42578125" style="498" customWidth="1"/>
    <col min="11778" max="11778" width="47.5703125" style="498" customWidth="1"/>
    <col min="11779" max="11780" width="5" style="498" customWidth="1"/>
    <col min="11781" max="11781" width="5.42578125" style="498" customWidth="1"/>
    <col min="11782" max="11782" width="4.5703125" style="498" customWidth="1"/>
    <col min="11783" max="11784" width="4.42578125" style="498" customWidth="1"/>
    <col min="11785" max="11785" width="3.5703125" style="498" customWidth="1"/>
    <col min="11786" max="11786" width="5" style="498" customWidth="1"/>
    <col min="11787" max="11787" width="4" style="498" customWidth="1"/>
    <col min="11788" max="11789" width="4.5703125" style="498" customWidth="1"/>
    <col min="11790" max="11790" width="4.42578125" style="498" customWidth="1"/>
    <col min="11791" max="11791" width="4" style="498" customWidth="1"/>
    <col min="11792" max="11792" width="3.5703125" style="498" customWidth="1"/>
    <col min="11793" max="11794" width="4.5703125" style="498" customWidth="1"/>
    <col min="11795" max="11795" width="4" style="498" customWidth="1"/>
    <col min="11796" max="11797" width="4.42578125" style="498" customWidth="1"/>
    <col min="11798" max="11798" width="3.5703125" style="498" customWidth="1"/>
    <col min="11799" max="11799" width="4.42578125" style="498" customWidth="1"/>
    <col min="11800" max="11800" width="5.5703125" style="498" customWidth="1"/>
    <col min="11801" max="11801" width="3.5703125" style="498" customWidth="1"/>
    <col min="11802" max="11802" width="4" style="498" customWidth="1"/>
    <col min="11803" max="11803" width="4.5703125" style="498" customWidth="1"/>
    <col min="11804" max="11806" width="4.42578125" style="498" customWidth="1"/>
    <col min="11807" max="11808" width="4.5703125" style="498" customWidth="1"/>
    <col min="11809" max="11809" width="4" style="498" customWidth="1"/>
    <col min="11810" max="11810" width="4.5703125" style="498" customWidth="1"/>
    <col min="11811" max="11811" width="6" style="498" customWidth="1"/>
    <col min="11812" max="11812" width="8.5703125" style="498" customWidth="1"/>
    <col min="11813" max="12032" width="11.42578125" style="498"/>
    <col min="12033" max="12033" width="6.42578125" style="498" customWidth="1"/>
    <col min="12034" max="12034" width="47.5703125" style="498" customWidth="1"/>
    <col min="12035" max="12036" width="5" style="498" customWidth="1"/>
    <col min="12037" max="12037" width="5.42578125" style="498" customWidth="1"/>
    <col min="12038" max="12038" width="4.5703125" style="498" customWidth="1"/>
    <col min="12039" max="12040" width="4.42578125" style="498" customWidth="1"/>
    <col min="12041" max="12041" width="3.5703125" style="498" customWidth="1"/>
    <col min="12042" max="12042" width="5" style="498" customWidth="1"/>
    <col min="12043" max="12043" width="4" style="498" customWidth="1"/>
    <col min="12044" max="12045" width="4.5703125" style="498" customWidth="1"/>
    <col min="12046" max="12046" width="4.42578125" style="498" customWidth="1"/>
    <col min="12047" max="12047" width="4" style="498" customWidth="1"/>
    <col min="12048" max="12048" width="3.5703125" style="498" customWidth="1"/>
    <col min="12049" max="12050" width="4.5703125" style="498" customWidth="1"/>
    <col min="12051" max="12051" width="4" style="498" customWidth="1"/>
    <col min="12052" max="12053" width="4.42578125" style="498" customWidth="1"/>
    <col min="12054" max="12054" width="3.5703125" style="498" customWidth="1"/>
    <col min="12055" max="12055" width="4.42578125" style="498" customWidth="1"/>
    <col min="12056" max="12056" width="5.5703125" style="498" customWidth="1"/>
    <col min="12057" max="12057" width="3.5703125" style="498" customWidth="1"/>
    <col min="12058" max="12058" width="4" style="498" customWidth="1"/>
    <col min="12059" max="12059" width="4.5703125" style="498" customWidth="1"/>
    <col min="12060" max="12062" width="4.42578125" style="498" customWidth="1"/>
    <col min="12063" max="12064" width="4.5703125" style="498" customWidth="1"/>
    <col min="12065" max="12065" width="4" style="498" customWidth="1"/>
    <col min="12066" max="12066" width="4.5703125" style="498" customWidth="1"/>
    <col min="12067" max="12067" width="6" style="498" customWidth="1"/>
    <col min="12068" max="12068" width="8.5703125" style="498" customWidth="1"/>
    <col min="12069" max="12288" width="11.42578125" style="498"/>
    <col min="12289" max="12289" width="6.42578125" style="498" customWidth="1"/>
    <col min="12290" max="12290" width="47.5703125" style="498" customWidth="1"/>
    <col min="12291" max="12292" width="5" style="498" customWidth="1"/>
    <col min="12293" max="12293" width="5.42578125" style="498" customWidth="1"/>
    <col min="12294" max="12294" width="4.5703125" style="498" customWidth="1"/>
    <col min="12295" max="12296" width="4.42578125" style="498" customWidth="1"/>
    <col min="12297" max="12297" width="3.5703125" style="498" customWidth="1"/>
    <col min="12298" max="12298" width="5" style="498" customWidth="1"/>
    <col min="12299" max="12299" width="4" style="498" customWidth="1"/>
    <col min="12300" max="12301" width="4.5703125" style="498" customWidth="1"/>
    <col min="12302" max="12302" width="4.42578125" style="498" customWidth="1"/>
    <col min="12303" max="12303" width="4" style="498" customWidth="1"/>
    <col min="12304" max="12304" width="3.5703125" style="498" customWidth="1"/>
    <col min="12305" max="12306" width="4.5703125" style="498" customWidth="1"/>
    <col min="12307" max="12307" width="4" style="498" customWidth="1"/>
    <col min="12308" max="12309" width="4.42578125" style="498" customWidth="1"/>
    <col min="12310" max="12310" width="3.5703125" style="498" customWidth="1"/>
    <col min="12311" max="12311" width="4.42578125" style="498" customWidth="1"/>
    <col min="12312" max="12312" width="5.5703125" style="498" customWidth="1"/>
    <col min="12313" max="12313" width="3.5703125" style="498" customWidth="1"/>
    <col min="12314" max="12314" width="4" style="498" customWidth="1"/>
    <col min="12315" max="12315" width="4.5703125" style="498" customWidth="1"/>
    <col min="12316" max="12318" width="4.42578125" style="498" customWidth="1"/>
    <col min="12319" max="12320" width="4.5703125" style="498" customWidth="1"/>
    <col min="12321" max="12321" width="4" style="498" customWidth="1"/>
    <col min="12322" max="12322" width="4.5703125" style="498" customWidth="1"/>
    <col min="12323" max="12323" width="6" style="498" customWidth="1"/>
    <col min="12324" max="12324" width="8.5703125" style="498" customWidth="1"/>
    <col min="12325" max="12544" width="11.42578125" style="498"/>
    <col min="12545" max="12545" width="6.42578125" style="498" customWidth="1"/>
    <col min="12546" max="12546" width="47.5703125" style="498" customWidth="1"/>
    <col min="12547" max="12548" width="5" style="498" customWidth="1"/>
    <col min="12549" max="12549" width="5.42578125" style="498" customWidth="1"/>
    <col min="12550" max="12550" width="4.5703125" style="498" customWidth="1"/>
    <col min="12551" max="12552" width="4.42578125" style="498" customWidth="1"/>
    <col min="12553" max="12553" width="3.5703125" style="498" customWidth="1"/>
    <col min="12554" max="12554" width="5" style="498" customWidth="1"/>
    <col min="12555" max="12555" width="4" style="498" customWidth="1"/>
    <col min="12556" max="12557" width="4.5703125" style="498" customWidth="1"/>
    <col min="12558" max="12558" width="4.42578125" style="498" customWidth="1"/>
    <col min="12559" max="12559" width="4" style="498" customWidth="1"/>
    <col min="12560" max="12560" width="3.5703125" style="498" customWidth="1"/>
    <col min="12561" max="12562" width="4.5703125" style="498" customWidth="1"/>
    <col min="12563" max="12563" width="4" style="498" customWidth="1"/>
    <col min="12564" max="12565" width="4.42578125" style="498" customWidth="1"/>
    <col min="12566" max="12566" width="3.5703125" style="498" customWidth="1"/>
    <col min="12567" max="12567" width="4.42578125" style="498" customWidth="1"/>
    <col min="12568" max="12568" width="5.5703125" style="498" customWidth="1"/>
    <col min="12569" max="12569" width="3.5703125" style="498" customWidth="1"/>
    <col min="12570" max="12570" width="4" style="498" customWidth="1"/>
    <col min="12571" max="12571" width="4.5703125" style="498" customWidth="1"/>
    <col min="12572" max="12574" width="4.42578125" style="498" customWidth="1"/>
    <col min="12575" max="12576" width="4.5703125" style="498" customWidth="1"/>
    <col min="12577" max="12577" width="4" style="498" customWidth="1"/>
    <col min="12578" max="12578" width="4.5703125" style="498" customWidth="1"/>
    <col min="12579" max="12579" width="6" style="498" customWidth="1"/>
    <col min="12580" max="12580" width="8.5703125" style="498" customWidth="1"/>
    <col min="12581" max="12800" width="11.42578125" style="498"/>
    <col min="12801" max="12801" width="6.42578125" style="498" customWidth="1"/>
    <col min="12802" max="12802" width="47.5703125" style="498" customWidth="1"/>
    <col min="12803" max="12804" width="5" style="498" customWidth="1"/>
    <col min="12805" max="12805" width="5.42578125" style="498" customWidth="1"/>
    <col min="12806" max="12806" width="4.5703125" style="498" customWidth="1"/>
    <col min="12807" max="12808" width="4.42578125" style="498" customWidth="1"/>
    <col min="12809" max="12809" width="3.5703125" style="498" customWidth="1"/>
    <col min="12810" max="12810" width="5" style="498" customWidth="1"/>
    <col min="12811" max="12811" width="4" style="498" customWidth="1"/>
    <col min="12812" max="12813" width="4.5703125" style="498" customWidth="1"/>
    <col min="12814" max="12814" width="4.42578125" style="498" customWidth="1"/>
    <col min="12815" max="12815" width="4" style="498" customWidth="1"/>
    <col min="12816" max="12816" width="3.5703125" style="498" customWidth="1"/>
    <col min="12817" max="12818" width="4.5703125" style="498" customWidth="1"/>
    <col min="12819" max="12819" width="4" style="498" customWidth="1"/>
    <col min="12820" max="12821" width="4.42578125" style="498" customWidth="1"/>
    <col min="12822" max="12822" width="3.5703125" style="498" customWidth="1"/>
    <col min="12823" max="12823" width="4.42578125" style="498" customWidth="1"/>
    <col min="12824" max="12824" width="5.5703125" style="498" customWidth="1"/>
    <col min="12825" max="12825" width="3.5703125" style="498" customWidth="1"/>
    <col min="12826" max="12826" width="4" style="498" customWidth="1"/>
    <col min="12827" max="12827" width="4.5703125" style="498" customWidth="1"/>
    <col min="12828" max="12830" width="4.42578125" style="498" customWidth="1"/>
    <col min="12831" max="12832" width="4.5703125" style="498" customWidth="1"/>
    <col min="12833" max="12833" width="4" style="498" customWidth="1"/>
    <col min="12834" max="12834" width="4.5703125" style="498" customWidth="1"/>
    <col min="12835" max="12835" width="6" style="498" customWidth="1"/>
    <col min="12836" max="12836" width="8.5703125" style="498" customWidth="1"/>
    <col min="12837" max="13056" width="11.42578125" style="498"/>
    <col min="13057" max="13057" width="6.42578125" style="498" customWidth="1"/>
    <col min="13058" max="13058" width="47.5703125" style="498" customWidth="1"/>
    <col min="13059" max="13060" width="5" style="498" customWidth="1"/>
    <col min="13061" max="13061" width="5.42578125" style="498" customWidth="1"/>
    <col min="13062" max="13062" width="4.5703125" style="498" customWidth="1"/>
    <col min="13063" max="13064" width="4.42578125" style="498" customWidth="1"/>
    <col min="13065" max="13065" width="3.5703125" style="498" customWidth="1"/>
    <col min="13066" max="13066" width="5" style="498" customWidth="1"/>
    <col min="13067" max="13067" width="4" style="498" customWidth="1"/>
    <col min="13068" max="13069" width="4.5703125" style="498" customWidth="1"/>
    <col min="13070" max="13070" width="4.42578125" style="498" customWidth="1"/>
    <col min="13071" max="13071" width="4" style="498" customWidth="1"/>
    <col min="13072" max="13072" width="3.5703125" style="498" customWidth="1"/>
    <col min="13073" max="13074" width="4.5703125" style="498" customWidth="1"/>
    <col min="13075" max="13075" width="4" style="498" customWidth="1"/>
    <col min="13076" max="13077" width="4.42578125" style="498" customWidth="1"/>
    <col min="13078" max="13078" width="3.5703125" style="498" customWidth="1"/>
    <col min="13079" max="13079" width="4.42578125" style="498" customWidth="1"/>
    <col min="13080" max="13080" width="5.5703125" style="498" customWidth="1"/>
    <col min="13081" max="13081" width="3.5703125" style="498" customWidth="1"/>
    <col min="13082" max="13082" width="4" style="498" customWidth="1"/>
    <col min="13083" max="13083" width="4.5703125" style="498" customWidth="1"/>
    <col min="13084" max="13086" width="4.42578125" style="498" customWidth="1"/>
    <col min="13087" max="13088" width="4.5703125" style="498" customWidth="1"/>
    <col min="13089" max="13089" width="4" style="498" customWidth="1"/>
    <col min="13090" max="13090" width="4.5703125" style="498" customWidth="1"/>
    <col min="13091" max="13091" width="6" style="498" customWidth="1"/>
    <col min="13092" max="13092" width="8.5703125" style="498" customWidth="1"/>
    <col min="13093" max="13312" width="11.42578125" style="498"/>
    <col min="13313" max="13313" width="6.42578125" style="498" customWidth="1"/>
    <col min="13314" max="13314" width="47.5703125" style="498" customWidth="1"/>
    <col min="13315" max="13316" width="5" style="498" customWidth="1"/>
    <col min="13317" max="13317" width="5.42578125" style="498" customWidth="1"/>
    <col min="13318" max="13318" width="4.5703125" style="498" customWidth="1"/>
    <col min="13319" max="13320" width="4.42578125" style="498" customWidth="1"/>
    <col min="13321" max="13321" width="3.5703125" style="498" customWidth="1"/>
    <col min="13322" max="13322" width="5" style="498" customWidth="1"/>
    <col min="13323" max="13323" width="4" style="498" customWidth="1"/>
    <col min="13324" max="13325" width="4.5703125" style="498" customWidth="1"/>
    <col min="13326" max="13326" width="4.42578125" style="498" customWidth="1"/>
    <col min="13327" max="13327" width="4" style="498" customWidth="1"/>
    <col min="13328" max="13328" width="3.5703125" style="498" customWidth="1"/>
    <col min="13329" max="13330" width="4.5703125" style="498" customWidth="1"/>
    <col min="13331" max="13331" width="4" style="498" customWidth="1"/>
    <col min="13332" max="13333" width="4.42578125" style="498" customWidth="1"/>
    <col min="13334" max="13334" width="3.5703125" style="498" customWidth="1"/>
    <col min="13335" max="13335" width="4.42578125" style="498" customWidth="1"/>
    <col min="13336" max="13336" width="5.5703125" style="498" customWidth="1"/>
    <col min="13337" max="13337" width="3.5703125" style="498" customWidth="1"/>
    <col min="13338" max="13338" width="4" style="498" customWidth="1"/>
    <col min="13339" max="13339" width="4.5703125" style="498" customWidth="1"/>
    <col min="13340" max="13342" width="4.42578125" style="498" customWidth="1"/>
    <col min="13343" max="13344" width="4.5703125" style="498" customWidth="1"/>
    <col min="13345" max="13345" width="4" style="498" customWidth="1"/>
    <col min="13346" max="13346" width="4.5703125" style="498" customWidth="1"/>
    <col min="13347" max="13347" width="6" style="498" customWidth="1"/>
    <col min="13348" max="13348" width="8.5703125" style="498" customWidth="1"/>
    <col min="13349" max="13568" width="11.42578125" style="498"/>
    <col min="13569" max="13569" width="6.42578125" style="498" customWidth="1"/>
    <col min="13570" max="13570" width="47.5703125" style="498" customWidth="1"/>
    <col min="13571" max="13572" width="5" style="498" customWidth="1"/>
    <col min="13573" max="13573" width="5.42578125" style="498" customWidth="1"/>
    <col min="13574" max="13574" width="4.5703125" style="498" customWidth="1"/>
    <col min="13575" max="13576" width="4.42578125" style="498" customWidth="1"/>
    <col min="13577" max="13577" width="3.5703125" style="498" customWidth="1"/>
    <col min="13578" max="13578" width="5" style="498" customWidth="1"/>
    <col min="13579" max="13579" width="4" style="498" customWidth="1"/>
    <col min="13580" max="13581" width="4.5703125" style="498" customWidth="1"/>
    <col min="13582" max="13582" width="4.42578125" style="498" customWidth="1"/>
    <col min="13583" max="13583" width="4" style="498" customWidth="1"/>
    <col min="13584" max="13584" width="3.5703125" style="498" customWidth="1"/>
    <col min="13585" max="13586" width="4.5703125" style="498" customWidth="1"/>
    <col min="13587" max="13587" width="4" style="498" customWidth="1"/>
    <col min="13588" max="13589" width="4.42578125" style="498" customWidth="1"/>
    <col min="13590" max="13590" width="3.5703125" style="498" customWidth="1"/>
    <col min="13591" max="13591" width="4.42578125" style="498" customWidth="1"/>
    <col min="13592" max="13592" width="5.5703125" style="498" customWidth="1"/>
    <col min="13593" max="13593" width="3.5703125" style="498" customWidth="1"/>
    <col min="13594" max="13594" width="4" style="498" customWidth="1"/>
    <col min="13595" max="13595" width="4.5703125" style="498" customWidth="1"/>
    <col min="13596" max="13598" width="4.42578125" style="498" customWidth="1"/>
    <col min="13599" max="13600" width="4.5703125" style="498" customWidth="1"/>
    <col min="13601" max="13601" width="4" style="498" customWidth="1"/>
    <col min="13602" max="13602" width="4.5703125" style="498" customWidth="1"/>
    <col min="13603" max="13603" width="6" style="498" customWidth="1"/>
    <col min="13604" max="13604" width="8.5703125" style="498" customWidth="1"/>
    <col min="13605" max="13824" width="11.42578125" style="498"/>
    <col min="13825" max="13825" width="6.42578125" style="498" customWidth="1"/>
    <col min="13826" max="13826" width="47.5703125" style="498" customWidth="1"/>
    <col min="13827" max="13828" width="5" style="498" customWidth="1"/>
    <col min="13829" max="13829" width="5.42578125" style="498" customWidth="1"/>
    <col min="13830" max="13830" width="4.5703125" style="498" customWidth="1"/>
    <col min="13831" max="13832" width="4.42578125" style="498" customWidth="1"/>
    <col min="13833" max="13833" width="3.5703125" style="498" customWidth="1"/>
    <col min="13834" max="13834" width="5" style="498" customWidth="1"/>
    <col min="13835" max="13835" width="4" style="498" customWidth="1"/>
    <col min="13836" max="13837" width="4.5703125" style="498" customWidth="1"/>
    <col min="13838" max="13838" width="4.42578125" style="498" customWidth="1"/>
    <col min="13839" max="13839" width="4" style="498" customWidth="1"/>
    <col min="13840" max="13840" width="3.5703125" style="498" customWidth="1"/>
    <col min="13841" max="13842" width="4.5703125" style="498" customWidth="1"/>
    <col min="13843" max="13843" width="4" style="498" customWidth="1"/>
    <col min="13844" max="13845" width="4.42578125" style="498" customWidth="1"/>
    <col min="13846" max="13846" width="3.5703125" style="498" customWidth="1"/>
    <col min="13847" max="13847" width="4.42578125" style="498" customWidth="1"/>
    <col min="13848" max="13848" width="5.5703125" style="498" customWidth="1"/>
    <col min="13849" max="13849" width="3.5703125" style="498" customWidth="1"/>
    <col min="13850" max="13850" width="4" style="498" customWidth="1"/>
    <col min="13851" max="13851" width="4.5703125" style="498" customWidth="1"/>
    <col min="13852" max="13854" width="4.42578125" style="498" customWidth="1"/>
    <col min="13855" max="13856" width="4.5703125" style="498" customWidth="1"/>
    <col min="13857" max="13857" width="4" style="498" customWidth="1"/>
    <col min="13858" max="13858" width="4.5703125" style="498" customWidth="1"/>
    <col min="13859" max="13859" width="6" style="498" customWidth="1"/>
    <col min="13860" max="13860" width="8.5703125" style="498" customWidth="1"/>
    <col min="13861" max="14080" width="11.42578125" style="498"/>
    <col min="14081" max="14081" width="6.42578125" style="498" customWidth="1"/>
    <col min="14082" max="14082" width="47.5703125" style="498" customWidth="1"/>
    <col min="14083" max="14084" width="5" style="498" customWidth="1"/>
    <col min="14085" max="14085" width="5.42578125" style="498" customWidth="1"/>
    <col min="14086" max="14086" width="4.5703125" style="498" customWidth="1"/>
    <col min="14087" max="14088" width="4.42578125" style="498" customWidth="1"/>
    <col min="14089" max="14089" width="3.5703125" style="498" customWidth="1"/>
    <col min="14090" max="14090" width="5" style="498" customWidth="1"/>
    <col min="14091" max="14091" width="4" style="498" customWidth="1"/>
    <col min="14092" max="14093" width="4.5703125" style="498" customWidth="1"/>
    <col min="14094" max="14094" width="4.42578125" style="498" customWidth="1"/>
    <col min="14095" max="14095" width="4" style="498" customWidth="1"/>
    <col min="14096" max="14096" width="3.5703125" style="498" customWidth="1"/>
    <col min="14097" max="14098" width="4.5703125" style="498" customWidth="1"/>
    <col min="14099" max="14099" width="4" style="498" customWidth="1"/>
    <col min="14100" max="14101" width="4.42578125" style="498" customWidth="1"/>
    <col min="14102" max="14102" width="3.5703125" style="498" customWidth="1"/>
    <col min="14103" max="14103" width="4.42578125" style="498" customWidth="1"/>
    <col min="14104" max="14104" width="5.5703125" style="498" customWidth="1"/>
    <col min="14105" max="14105" width="3.5703125" style="498" customWidth="1"/>
    <col min="14106" max="14106" width="4" style="498" customWidth="1"/>
    <col min="14107" max="14107" width="4.5703125" style="498" customWidth="1"/>
    <col min="14108" max="14110" width="4.42578125" style="498" customWidth="1"/>
    <col min="14111" max="14112" width="4.5703125" style="498" customWidth="1"/>
    <col min="14113" max="14113" width="4" style="498" customWidth="1"/>
    <col min="14114" max="14114" width="4.5703125" style="498" customWidth="1"/>
    <col min="14115" max="14115" width="6" style="498" customWidth="1"/>
    <col min="14116" max="14116" width="8.5703125" style="498" customWidth="1"/>
    <col min="14117" max="14336" width="11.42578125" style="498"/>
    <col min="14337" max="14337" width="6.42578125" style="498" customWidth="1"/>
    <col min="14338" max="14338" width="47.5703125" style="498" customWidth="1"/>
    <col min="14339" max="14340" width="5" style="498" customWidth="1"/>
    <col min="14341" max="14341" width="5.42578125" style="498" customWidth="1"/>
    <col min="14342" max="14342" width="4.5703125" style="498" customWidth="1"/>
    <col min="14343" max="14344" width="4.42578125" style="498" customWidth="1"/>
    <col min="14345" max="14345" width="3.5703125" style="498" customWidth="1"/>
    <col min="14346" max="14346" width="5" style="498" customWidth="1"/>
    <col min="14347" max="14347" width="4" style="498" customWidth="1"/>
    <col min="14348" max="14349" width="4.5703125" style="498" customWidth="1"/>
    <col min="14350" max="14350" width="4.42578125" style="498" customWidth="1"/>
    <col min="14351" max="14351" width="4" style="498" customWidth="1"/>
    <col min="14352" max="14352" width="3.5703125" style="498" customWidth="1"/>
    <col min="14353" max="14354" width="4.5703125" style="498" customWidth="1"/>
    <col min="14355" max="14355" width="4" style="498" customWidth="1"/>
    <col min="14356" max="14357" width="4.42578125" style="498" customWidth="1"/>
    <col min="14358" max="14358" width="3.5703125" style="498" customWidth="1"/>
    <col min="14359" max="14359" width="4.42578125" style="498" customWidth="1"/>
    <col min="14360" max="14360" width="5.5703125" style="498" customWidth="1"/>
    <col min="14361" max="14361" width="3.5703125" style="498" customWidth="1"/>
    <col min="14362" max="14362" width="4" style="498" customWidth="1"/>
    <col min="14363" max="14363" width="4.5703125" style="498" customWidth="1"/>
    <col min="14364" max="14366" width="4.42578125" style="498" customWidth="1"/>
    <col min="14367" max="14368" width="4.5703125" style="498" customWidth="1"/>
    <col min="14369" max="14369" width="4" style="498" customWidth="1"/>
    <col min="14370" max="14370" width="4.5703125" style="498" customWidth="1"/>
    <col min="14371" max="14371" width="6" style="498" customWidth="1"/>
    <col min="14372" max="14372" width="8.5703125" style="498" customWidth="1"/>
    <col min="14373" max="14592" width="11.42578125" style="498"/>
    <col min="14593" max="14593" width="6.42578125" style="498" customWidth="1"/>
    <col min="14594" max="14594" width="47.5703125" style="498" customWidth="1"/>
    <col min="14595" max="14596" width="5" style="498" customWidth="1"/>
    <col min="14597" max="14597" width="5.42578125" style="498" customWidth="1"/>
    <col min="14598" max="14598" width="4.5703125" style="498" customWidth="1"/>
    <col min="14599" max="14600" width="4.42578125" style="498" customWidth="1"/>
    <col min="14601" max="14601" width="3.5703125" style="498" customWidth="1"/>
    <col min="14602" max="14602" width="5" style="498" customWidth="1"/>
    <col min="14603" max="14603" width="4" style="498" customWidth="1"/>
    <col min="14604" max="14605" width="4.5703125" style="498" customWidth="1"/>
    <col min="14606" max="14606" width="4.42578125" style="498" customWidth="1"/>
    <col min="14607" max="14607" width="4" style="498" customWidth="1"/>
    <col min="14608" max="14608" width="3.5703125" style="498" customWidth="1"/>
    <col min="14609" max="14610" width="4.5703125" style="498" customWidth="1"/>
    <col min="14611" max="14611" width="4" style="498" customWidth="1"/>
    <col min="14612" max="14613" width="4.42578125" style="498" customWidth="1"/>
    <col min="14614" max="14614" width="3.5703125" style="498" customWidth="1"/>
    <col min="14615" max="14615" width="4.42578125" style="498" customWidth="1"/>
    <col min="14616" max="14616" width="5.5703125" style="498" customWidth="1"/>
    <col min="14617" max="14617" width="3.5703125" style="498" customWidth="1"/>
    <col min="14618" max="14618" width="4" style="498" customWidth="1"/>
    <col min="14619" max="14619" width="4.5703125" style="498" customWidth="1"/>
    <col min="14620" max="14622" width="4.42578125" style="498" customWidth="1"/>
    <col min="14623" max="14624" width="4.5703125" style="498" customWidth="1"/>
    <col min="14625" max="14625" width="4" style="498" customWidth="1"/>
    <col min="14626" max="14626" width="4.5703125" style="498" customWidth="1"/>
    <col min="14627" max="14627" width="6" style="498" customWidth="1"/>
    <col min="14628" max="14628" width="8.5703125" style="498" customWidth="1"/>
    <col min="14629" max="14848" width="11.42578125" style="498"/>
    <col min="14849" max="14849" width="6.42578125" style="498" customWidth="1"/>
    <col min="14850" max="14850" width="47.5703125" style="498" customWidth="1"/>
    <col min="14851" max="14852" width="5" style="498" customWidth="1"/>
    <col min="14853" max="14853" width="5.42578125" style="498" customWidth="1"/>
    <col min="14854" max="14854" width="4.5703125" style="498" customWidth="1"/>
    <col min="14855" max="14856" width="4.42578125" style="498" customWidth="1"/>
    <col min="14857" max="14857" width="3.5703125" style="498" customWidth="1"/>
    <col min="14858" max="14858" width="5" style="498" customWidth="1"/>
    <col min="14859" max="14859" width="4" style="498" customWidth="1"/>
    <col min="14860" max="14861" width="4.5703125" style="498" customWidth="1"/>
    <col min="14862" max="14862" width="4.42578125" style="498" customWidth="1"/>
    <col min="14863" max="14863" width="4" style="498" customWidth="1"/>
    <col min="14864" max="14864" width="3.5703125" style="498" customWidth="1"/>
    <col min="14865" max="14866" width="4.5703125" style="498" customWidth="1"/>
    <col min="14867" max="14867" width="4" style="498" customWidth="1"/>
    <col min="14868" max="14869" width="4.42578125" style="498" customWidth="1"/>
    <col min="14870" max="14870" width="3.5703125" style="498" customWidth="1"/>
    <col min="14871" max="14871" width="4.42578125" style="498" customWidth="1"/>
    <col min="14872" max="14872" width="5.5703125" style="498" customWidth="1"/>
    <col min="14873" max="14873" width="3.5703125" style="498" customWidth="1"/>
    <col min="14874" max="14874" width="4" style="498" customWidth="1"/>
    <col min="14875" max="14875" width="4.5703125" style="498" customWidth="1"/>
    <col min="14876" max="14878" width="4.42578125" style="498" customWidth="1"/>
    <col min="14879" max="14880" width="4.5703125" style="498" customWidth="1"/>
    <col min="14881" max="14881" width="4" style="498" customWidth="1"/>
    <col min="14882" max="14882" width="4.5703125" style="498" customWidth="1"/>
    <col min="14883" max="14883" width="6" style="498" customWidth="1"/>
    <col min="14884" max="14884" width="8.5703125" style="498" customWidth="1"/>
    <col min="14885" max="15104" width="11.42578125" style="498"/>
    <col min="15105" max="15105" width="6.42578125" style="498" customWidth="1"/>
    <col min="15106" max="15106" width="47.5703125" style="498" customWidth="1"/>
    <col min="15107" max="15108" width="5" style="498" customWidth="1"/>
    <col min="15109" max="15109" width="5.42578125" style="498" customWidth="1"/>
    <col min="15110" max="15110" width="4.5703125" style="498" customWidth="1"/>
    <col min="15111" max="15112" width="4.42578125" style="498" customWidth="1"/>
    <col min="15113" max="15113" width="3.5703125" style="498" customWidth="1"/>
    <col min="15114" max="15114" width="5" style="498" customWidth="1"/>
    <col min="15115" max="15115" width="4" style="498" customWidth="1"/>
    <col min="15116" max="15117" width="4.5703125" style="498" customWidth="1"/>
    <col min="15118" max="15118" width="4.42578125" style="498" customWidth="1"/>
    <col min="15119" max="15119" width="4" style="498" customWidth="1"/>
    <col min="15120" max="15120" width="3.5703125" style="498" customWidth="1"/>
    <col min="15121" max="15122" width="4.5703125" style="498" customWidth="1"/>
    <col min="15123" max="15123" width="4" style="498" customWidth="1"/>
    <col min="15124" max="15125" width="4.42578125" style="498" customWidth="1"/>
    <col min="15126" max="15126" width="3.5703125" style="498" customWidth="1"/>
    <col min="15127" max="15127" width="4.42578125" style="498" customWidth="1"/>
    <col min="15128" max="15128" width="5.5703125" style="498" customWidth="1"/>
    <col min="15129" max="15129" width="3.5703125" style="498" customWidth="1"/>
    <col min="15130" max="15130" width="4" style="498" customWidth="1"/>
    <col min="15131" max="15131" width="4.5703125" style="498" customWidth="1"/>
    <col min="15132" max="15134" width="4.42578125" style="498" customWidth="1"/>
    <col min="15135" max="15136" width="4.5703125" style="498" customWidth="1"/>
    <col min="15137" max="15137" width="4" style="498" customWidth="1"/>
    <col min="15138" max="15138" width="4.5703125" style="498" customWidth="1"/>
    <col min="15139" max="15139" width="6" style="498" customWidth="1"/>
    <col min="15140" max="15140" width="8.5703125" style="498" customWidth="1"/>
    <col min="15141" max="15360" width="11.42578125" style="498"/>
    <col min="15361" max="15361" width="6.42578125" style="498" customWidth="1"/>
    <col min="15362" max="15362" width="47.5703125" style="498" customWidth="1"/>
    <col min="15363" max="15364" width="5" style="498" customWidth="1"/>
    <col min="15365" max="15365" width="5.42578125" style="498" customWidth="1"/>
    <col min="15366" max="15366" width="4.5703125" style="498" customWidth="1"/>
    <col min="15367" max="15368" width="4.42578125" style="498" customWidth="1"/>
    <col min="15369" max="15369" width="3.5703125" style="498" customWidth="1"/>
    <col min="15370" max="15370" width="5" style="498" customWidth="1"/>
    <col min="15371" max="15371" width="4" style="498" customWidth="1"/>
    <col min="15372" max="15373" width="4.5703125" style="498" customWidth="1"/>
    <col min="15374" max="15374" width="4.42578125" style="498" customWidth="1"/>
    <col min="15375" max="15375" width="4" style="498" customWidth="1"/>
    <col min="15376" max="15376" width="3.5703125" style="498" customWidth="1"/>
    <col min="15377" max="15378" width="4.5703125" style="498" customWidth="1"/>
    <col min="15379" max="15379" width="4" style="498" customWidth="1"/>
    <col min="15380" max="15381" width="4.42578125" style="498" customWidth="1"/>
    <col min="15382" max="15382" width="3.5703125" style="498" customWidth="1"/>
    <col min="15383" max="15383" width="4.42578125" style="498" customWidth="1"/>
    <col min="15384" max="15384" width="5.5703125" style="498" customWidth="1"/>
    <col min="15385" max="15385" width="3.5703125" style="498" customWidth="1"/>
    <col min="15386" max="15386" width="4" style="498" customWidth="1"/>
    <col min="15387" max="15387" width="4.5703125" style="498" customWidth="1"/>
    <col min="15388" max="15390" width="4.42578125" style="498" customWidth="1"/>
    <col min="15391" max="15392" width="4.5703125" style="498" customWidth="1"/>
    <col min="15393" max="15393" width="4" style="498" customWidth="1"/>
    <col min="15394" max="15394" width="4.5703125" style="498" customWidth="1"/>
    <col min="15395" max="15395" width="6" style="498" customWidth="1"/>
    <col min="15396" max="15396" width="8.5703125" style="498" customWidth="1"/>
    <col min="15397" max="15616" width="11.42578125" style="498"/>
    <col min="15617" max="15617" width="6.42578125" style="498" customWidth="1"/>
    <col min="15618" max="15618" width="47.5703125" style="498" customWidth="1"/>
    <col min="15619" max="15620" width="5" style="498" customWidth="1"/>
    <col min="15621" max="15621" width="5.42578125" style="498" customWidth="1"/>
    <col min="15622" max="15622" width="4.5703125" style="498" customWidth="1"/>
    <col min="15623" max="15624" width="4.42578125" style="498" customWidth="1"/>
    <col min="15625" max="15625" width="3.5703125" style="498" customWidth="1"/>
    <col min="15626" max="15626" width="5" style="498" customWidth="1"/>
    <col min="15627" max="15627" width="4" style="498" customWidth="1"/>
    <col min="15628" max="15629" width="4.5703125" style="498" customWidth="1"/>
    <col min="15630" max="15630" width="4.42578125" style="498" customWidth="1"/>
    <col min="15631" max="15631" width="4" style="498" customWidth="1"/>
    <col min="15632" max="15632" width="3.5703125" style="498" customWidth="1"/>
    <col min="15633" max="15634" width="4.5703125" style="498" customWidth="1"/>
    <col min="15635" max="15635" width="4" style="498" customWidth="1"/>
    <col min="15636" max="15637" width="4.42578125" style="498" customWidth="1"/>
    <col min="15638" max="15638" width="3.5703125" style="498" customWidth="1"/>
    <col min="15639" max="15639" width="4.42578125" style="498" customWidth="1"/>
    <col min="15640" max="15640" width="5.5703125" style="498" customWidth="1"/>
    <col min="15641" max="15641" width="3.5703125" style="498" customWidth="1"/>
    <col min="15642" max="15642" width="4" style="498" customWidth="1"/>
    <col min="15643" max="15643" width="4.5703125" style="498" customWidth="1"/>
    <col min="15644" max="15646" width="4.42578125" style="498" customWidth="1"/>
    <col min="15647" max="15648" width="4.5703125" style="498" customWidth="1"/>
    <col min="15649" max="15649" width="4" style="498" customWidth="1"/>
    <col min="15650" max="15650" width="4.5703125" style="498" customWidth="1"/>
    <col min="15651" max="15651" width="6" style="498" customWidth="1"/>
    <col min="15652" max="15652" width="8.5703125" style="498" customWidth="1"/>
    <col min="15653" max="15872" width="11.42578125" style="498"/>
    <col min="15873" max="15873" width="6.42578125" style="498" customWidth="1"/>
    <col min="15874" max="15874" width="47.5703125" style="498" customWidth="1"/>
    <col min="15875" max="15876" width="5" style="498" customWidth="1"/>
    <col min="15877" max="15877" width="5.42578125" style="498" customWidth="1"/>
    <col min="15878" max="15878" width="4.5703125" style="498" customWidth="1"/>
    <col min="15879" max="15880" width="4.42578125" style="498" customWidth="1"/>
    <col min="15881" max="15881" width="3.5703125" style="498" customWidth="1"/>
    <col min="15882" max="15882" width="5" style="498" customWidth="1"/>
    <col min="15883" max="15883" width="4" style="498" customWidth="1"/>
    <col min="15884" max="15885" width="4.5703125" style="498" customWidth="1"/>
    <col min="15886" max="15886" width="4.42578125" style="498" customWidth="1"/>
    <col min="15887" max="15887" width="4" style="498" customWidth="1"/>
    <col min="15888" max="15888" width="3.5703125" style="498" customWidth="1"/>
    <col min="15889" max="15890" width="4.5703125" style="498" customWidth="1"/>
    <col min="15891" max="15891" width="4" style="498" customWidth="1"/>
    <col min="15892" max="15893" width="4.42578125" style="498" customWidth="1"/>
    <col min="15894" max="15894" width="3.5703125" style="498" customWidth="1"/>
    <col min="15895" max="15895" width="4.42578125" style="498" customWidth="1"/>
    <col min="15896" max="15896" width="5.5703125" style="498" customWidth="1"/>
    <col min="15897" max="15897" width="3.5703125" style="498" customWidth="1"/>
    <col min="15898" max="15898" width="4" style="498" customWidth="1"/>
    <col min="15899" max="15899" width="4.5703125" style="498" customWidth="1"/>
    <col min="15900" max="15902" width="4.42578125" style="498" customWidth="1"/>
    <col min="15903" max="15904" width="4.5703125" style="498" customWidth="1"/>
    <col min="15905" max="15905" width="4" style="498" customWidth="1"/>
    <col min="15906" max="15906" width="4.5703125" style="498" customWidth="1"/>
    <col min="15907" max="15907" width="6" style="498" customWidth="1"/>
    <col min="15908" max="15908" width="8.5703125" style="498" customWidth="1"/>
    <col min="15909" max="16128" width="11.42578125" style="498"/>
    <col min="16129" max="16129" width="6.42578125" style="498" customWidth="1"/>
    <col min="16130" max="16130" width="47.5703125" style="498" customWidth="1"/>
    <col min="16131" max="16132" width="5" style="498" customWidth="1"/>
    <col min="16133" max="16133" width="5.42578125" style="498" customWidth="1"/>
    <col min="16134" max="16134" width="4.5703125" style="498" customWidth="1"/>
    <col min="16135" max="16136" width="4.42578125" style="498" customWidth="1"/>
    <col min="16137" max="16137" width="3.5703125" style="498" customWidth="1"/>
    <col min="16138" max="16138" width="5" style="498" customWidth="1"/>
    <col min="16139" max="16139" width="4" style="498" customWidth="1"/>
    <col min="16140" max="16141" width="4.5703125" style="498" customWidth="1"/>
    <col min="16142" max="16142" width="4.42578125" style="498" customWidth="1"/>
    <col min="16143" max="16143" width="4" style="498" customWidth="1"/>
    <col min="16144" max="16144" width="3.5703125" style="498" customWidth="1"/>
    <col min="16145" max="16146" width="4.5703125" style="498" customWidth="1"/>
    <col min="16147" max="16147" width="4" style="498" customWidth="1"/>
    <col min="16148" max="16149" width="4.42578125" style="498" customWidth="1"/>
    <col min="16150" max="16150" width="3.5703125" style="498" customWidth="1"/>
    <col min="16151" max="16151" width="4.42578125" style="498" customWidth="1"/>
    <col min="16152" max="16152" width="5.5703125" style="498" customWidth="1"/>
    <col min="16153" max="16153" width="3.5703125" style="498" customWidth="1"/>
    <col min="16154" max="16154" width="4" style="498" customWidth="1"/>
    <col min="16155" max="16155" width="4.5703125" style="498" customWidth="1"/>
    <col min="16156" max="16158" width="4.42578125" style="498" customWidth="1"/>
    <col min="16159" max="16160" width="4.5703125" style="498" customWidth="1"/>
    <col min="16161" max="16161" width="4" style="498" customWidth="1"/>
    <col min="16162" max="16162" width="4.5703125" style="498" customWidth="1"/>
    <col min="16163" max="16163" width="6" style="498" customWidth="1"/>
    <col min="16164" max="16164" width="8.5703125" style="498" customWidth="1"/>
    <col min="16165" max="16384" width="11.42578125" style="498"/>
  </cols>
  <sheetData>
    <row r="1" spans="1:43">
      <c r="A1" s="2213" t="s">
        <v>283</v>
      </c>
      <c r="B1" s="2213"/>
      <c r="C1" s="2213"/>
      <c r="D1" s="2213"/>
      <c r="E1" s="2213"/>
      <c r="F1" s="2213"/>
      <c r="G1" s="2213"/>
      <c r="H1" s="2213"/>
      <c r="I1" s="2213"/>
      <c r="J1" s="2213"/>
      <c r="K1" s="2213"/>
      <c r="L1" s="2213"/>
      <c r="M1" s="2213"/>
      <c r="N1" s="2213"/>
      <c r="O1" s="2213"/>
      <c r="P1" s="2213"/>
      <c r="Q1" s="2213"/>
      <c r="R1" s="2213"/>
      <c r="S1" s="2213"/>
      <c r="T1" s="2213"/>
      <c r="U1" s="2213"/>
      <c r="V1" s="2213"/>
      <c r="W1" s="2213"/>
      <c r="X1" s="2213"/>
    </row>
    <row r="2" spans="1:43">
      <c r="A2" s="2214" t="s">
        <v>1803</v>
      </c>
      <c r="B2" s="2214"/>
      <c r="C2" s="2214"/>
      <c r="D2" s="2214"/>
      <c r="E2" s="2214"/>
      <c r="F2" s="2214"/>
      <c r="G2" s="2214"/>
      <c r="H2" s="2214"/>
      <c r="I2" s="2214"/>
      <c r="J2" s="2214"/>
      <c r="K2" s="2214"/>
      <c r="L2" s="2214"/>
      <c r="M2" s="2214"/>
      <c r="N2" s="2214"/>
      <c r="O2" s="2214"/>
      <c r="P2" s="2214"/>
      <c r="Q2" s="2214"/>
      <c r="R2" s="2214"/>
      <c r="S2" s="2214"/>
      <c r="T2" s="2214"/>
      <c r="U2" s="2214"/>
      <c r="V2" s="2214"/>
      <c r="W2" s="2214"/>
      <c r="X2" s="2214"/>
    </row>
    <row r="3" spans="1:43">
      <c r="A3" s="549"/>
    </row>
    <row r="4" spans="1:43">
      <c r="A4" s="551"/>
      <c r="B4" s="2215" t="s">
        <v>1800</v>
      </c>
      <c r="C4" s="2215"/>
      <c r="D4" s="2215"/>
      <c r="E4" s="2215"/>
      <c r="F4" s="2215"/>
      <c r="G4" s="2215"/>
      <c r="H4" s="2215"/>
      <c r="I4" s="2215"/>
      <c r="J4" s="2215"/>
      <c r="K4" s="2215"/>
      <c r="L4" s="2215"/>
    </row>
    <row r="5" spans="1:43" ht="12.75" customHeight="1">
      <c r="A5" s="551"/>
      <c r="B5" s="2216" t="e">
        <f>#REF!</f>
        <v>#REF!</v>
      </c>
      <c r="C5" s="2217"/>
      <c r="D5" s="2217"/>
      <c r="E5" s="2217"/>
      <c r="F5" s="2217"/>
      <c r="G5" s="2217"/>
      <c r="H5" s="2217"/>
      <c r="I5" s="2217"/>
      <c r="J5" s="2217"/>
      <c r="K5" s="2217"/>
      <c r="L5" s="2217"/>
      <c r="M5" s="2217"/>
      <c r="N5" s="2217"/>
      <c r="O5" s="2217"/>
      <c r="P5" s="2217"/>
      <c r="Q5" s="2217"/>
      <c r="R5" s="2217"/>
      <c r="S5" s="2217"/>
      <c r="T5" s="2217"/>
      <c r="U5" s="2217"/>
      <c r="V5" s="2217"/>
      <c r="W5" s="2217"/>
      <c r="X5" s="2217"/>
      <c r="Y5" s="2217"/>
      <c r="Z5" s="2217"/>
      <c r="AA5" s="2217"/>
    </row>
    <row r="6" spans="1:43" ht="13.5" customHeight="1">
      <c r="B6" s="553"/>
      <c r="C6" s="500"/>
    </row>
    <row r="7" spans="1:43" ht="13.5" customHeight="1" thickBot="1">
      <c r="B7" s="553"/>
      <c r="C7" s="500"/>
      <c r="Q7" s="2220" t="s">
        <v>284</v>
      </c>
      <c r="R7" s="2220"/>
      <c r="S7" s="2220"/>
      <c r="T7" s="2220"/>
      <c r="U7" s="2220"/>
      <c r="V7" s="2220"/>
      <c r="W7" s="2221">
        <v>42857</v>
      </c>
      <c r="X7" s="2221"/>
      <c r="Y7" s="2221"/>
      <c r="Z7" s="2221"/>
    </row>
    <row r="8" spans="1:43" ht="13.5" customHeight="1" thickBot="1">
      <c r="B8" s="553"/>
      <c r="C8" s="500"/>
      <c r="D8" s="1002" t="s">
        <v>2194</v>
      </c>
      <c r="E8" s="1002" t="s">
        <v>2163</v>
      </c>
      <c r="F8" s="1001" t="s">
        <v>2157</v>
      </c>
      <c r="G8" s="1002" t="s">
        <v>2158</v>
      </c>
      <c r="H8" s="1002" t="s">
        <v>2159</v>
      </c>
      <c r="I8" s="1002" t="s">
        <v>2160</v>
      </c>
      <c r="J8" s="1002" t="s">
        <v>2161</v>
      </c>
      <c r="K8" s="1002" t="s">
        <v>2162</v>
      </c>
      <c r="L8" s="1002" t="s">
        <v>2163</v>
      </c>
      <c r="M8" s="1001" t="s">
        <v>2157</v>
      </c>
      <c r="N8" s="1002" t="s">
        <v>2158</v>
      </c>
      <c r="O8" s="1002" t="s">
        <v>2159</v>
      </c>
      <c r="P8" s="1002" t="s">
        <v>2160</v>
      </c>
      <c r="Q8" s="1002" t="s">
        <v>2161</v>
      </c>
      <c r="R8" s="1002" t="s">
        <v>2162</v>
      </c>
      <c r="S8" s="1002" t="s">
        <v>2163</v>
      </c>
      <c r="T8" s="1001" t="s">
        <v>2157</v>
      </c>
      <c r="U8" s="1002" t="s">
        <v>2158</v>
      </c>
      <c r="V8" s="1002" t="s">
        <v>2159</v>
      </c>
      <c r="W8" s="1002" t="s">
        <v>2160</v>
      </c>
      <c r="X8" s="1002" t="s">
        <v>2161</v>
      </c>
      <c r="Y8" s="1002" t="s">
        <v>2162</v>
      </c>
      <c r="Z8" s="1002" t="s">
        <v>2163</v>
      </c>
      <c r="AA8" s="1001" t="s">
        <v>2157</v>
      </c>
      <c r="AB8" s="1068" t="s">
        <v>2158</v>
      </c>
      <c r="AC8" s="1002" t="s">
        <v>2159</v>
      </c>
      <c r="AD8" s="1002" t="s">
        <v>2160</v>
      </c>
      <c r="AE8" s="1002" t="s">
        <v>2161</v>
      </c>
      <c r="AF8" s="1002" t="s">
        <v>2162</v>
      </c>
      <c r="AG8" s="1002" t="s">
        <v>2163</v>
      </c>
      <c r="AH8" s="1002" t="s">
        <v>2157</v>
      </c>
      <c r="AI8" s="871"/>
      <c r="AJ8" s="2222" t="s">
        <v>1982</v>
      </c>
      <c r="AK8" s="2223"/>
      <c r="AL8" s="2223"/>
      <c r="AM8" s="2224"/>
      <c r="AN8" s="2222" t="s">
        <v>1983</v>
      </c>
      <c r="AO8" s="2223"/>
      <c r="AP8" s="2223"/>
      <c r="AQ8" s="2224"/>
    </row>
    <row r="9" spans="1:43" ht="13.5" thickBot="1">
      <c r="A9" s="2218" t="s">
        <v>285</v>
      </c>
      <c r="B9" s="2218" t="s">
        <v>20</v>
      </c>
      <c r="C9" s="501"/>
      <c r="D9" s="502">
        <v>1</v>
      </c>
      <c r="E9" s="502">
        <f t="shared" ref="E9:AH9" si="0">+D9+1</f>
        <v>2</v>
      </c>
      <c r="F9" s="736">
        <f t="shared" si="0"/>
        <v>3</v>
      </c>
      <c r="G9" s="502">
        <f t="shared" si="0"/>
        <v>4</v>
      </c>
      <c r="H9" s="502">
        <f t="shared" si="0"/>
        <v>5</v>
      </c>
      <c r="I9" s="502">
        <f t="shared" si="0"/>
        <v>6</v>
      </c>
      <c r="J9" s="502">
        <f t="shared" si="0"/>
        <v>7</v>
      </c>
      <c r="K9" s="502">
        <f t="shared" si="0"/>
        <v>8</v>
      </c>
      <c r="L9" s="502">
        <f t="shared" si="0"/>
        <v>9</v>
      </c>
      <c r="M9" s="736">
        <f t="shared" si="0"/>
        <v>10</v>
      </c>
      <c r="N9" s="502">
        <f t="shared" si="0"/>
        <v>11</v>
      </c>
      <c r="O9" s="502">
        <f t="shared" si="0"/>
        <v>12</v>
      </c>
      <c r="P9" s="502">
        <f t="shared" si="0"/>
        <v>13</v>
      </c>
      <c r="Q9" s="502">
        <f t="shared" si="0"/>
        <v>14</v>
      </c>
      <c r="R9" s="502">
        <f t="shared" si="0"/>
        <v>15</v>
      </c>
      <c r="S9" s="502">
        <f t="shared" si="0"/>
        <v>16</v>
      </c>
      <c r="T9" s="736">
        <f t="shared" si="0"/>
        <v>17</v>
      </c>
      <c r="U9" s="502">
        <f t="shared" si="0"/>
        <v>18</v>
      </c>
      <c r="V9" s="502">
        <f t="shared" si="0"/>
        <v>19</v>
      </c>
      <c r="W9" s="502">
        <f t="shared" si="0"/>
        <v>20</v>
      </c>
      <c r="X9" s="502">
        <f t="shared" si="0"/>
        <v>21</v>
      </c>
      <c r="Y9" s="502">
        <f t="shared" si="0"/>
        <v>22</v>
      </c>
      <c r="Z9" s="502">
        <f t="shared" si="0"/>
        <v>23</v>
      </c>
      <c r="AA9" s="736">
        <f t="shared" si="0"/>
        <v>24</v>
      </c>
      <c r="AB9" s="762">
        <f t="shared" si="0"/>
        <v>25</v>
      </c>
      <c r="AC9" s="502">
        <f t="shared" si="0"/>
        <v>26</v>
      </c>
      <c r="AD9" s="503">
        <f t="shared" si="0"/>
        <v>27</v>
      </c>
      <c r="AE9" s="502">
        <f t="shared" si="0"/>
        <v>28</v>
      </c>
      <c r="AF9" s="503">
        <f t="shared" si="0"/>
        <v>29</v>
      </c>
      <c r="AG9" s="502">
        <f t="shared" si="0"/>
        <v>30</v>
      </c>
      <c r="AH9" s="503">
        <f t="shared" si="0"/>
        <v>31</v>
      </c>
      <c r="AI9" s="504" t="s">
        <v>359</v>
      </c>
      <c r="AJ9" s="865" t="s">
        <v>26</v>
      </c>
      <c r="AK9" s="866" t="s">
        <v>1822</v>
      </c>
      <c r="AL9" s="866" t="s">
        <v>1821</v>
      </c>
      <c r="AM9" s="867" t="s">
        <v>25</v>
      </c>
      <c r="AN9" s="865" t="s">
        <v>26</v>
      </c>
      <c r="AO9" s="866" t="s">
        <v>1822</v>
      </c>
      <c r="AP9" s="866" t="s">
        <v>1821</v>
      </c>
      <c r="AQ9" s="867" t="s">
        <v>25</v>
      </c>
    </row>
    <row r="10" spans="1:43" ht="13.5" thickBot="1">
      <c r="A10" s="2219"/>
      <c r="B10" s="2219"/>
      <c r="C10" s="506" t="s">
        <v>286</v>
      </c>
      <c r="D10" s="507" t="s">
        <v>305</v>
      </c>
      <c r="E10" s="507" t="s">
        <v>305</v>
      </c>
      <c r="F10" s="737" t="s">
        <v>305</v>
      </c>
      <c r="G10" s="507" t="s">
        <v>305</v>
      </c>
      <c r="H10" s="507" t="s">
        <v>305</v>
      </c>
      <c r="I10" s="507" t="s">
        <v>305</v>
      </c>
      <c r="J10" s="507" t="s">
        <v>305</v>
      </c>
      <c r="K10" s="507" t="s">
        <v>305</v>
      </c>
      <c r="L10" s="507" t="s">
        <v>305</v>
      </c>
      <c r="M10" s="737" t="s">
        <v>305</v>
      </c>
      <c r="N10" s="507" t="s">
        <v>305</v>
      </c>
      <c r="O10" s="507" t="s">
        <v>305</v>
      </c>
      <c r="P10" s="507" t="s">
        <v>305</v>
      </c>
      <c r="Q10" s="507" t="s">
        <v>305</v>
      </c>
      <c r="R10" s="507" t="s">
        <v>305</v>
      </c>
      <c r="S10" s="507" t="s">
        <v>305</v>
      </c>
      <c r="T10" s="737" t="s">
        <v>305</v>
      </c>
      <c r="U10" s="507" t="s">
        <v>305</v>
      </c>
      <c r="V10" s="507" t="s">
        <v>305</v>
      </c>
      <c r="W10" s="507" t="s">
        <v>305</v>
      </c>
      <c r="X10" s="507" t="s">
        <v>305</v>
      </c>
      <c r="Y10" s="507" t="s">
        <v>305</v>
      </c>
      <c r="Z10" s="507" t="s">
        <v>305</v>
      </c>
      <c r="AA10" s="737" t="s">
        <v>305</v>
      </c>
      <c r="AB10" s="763" t="s">
        <v>305</v>
      </c>
      <c r="AC10" s="507" t="s">
        <v>305</v>
      </c>
      <c r="AD10" s="508" t="s">
        <v>305</v>
      </c>
      <c r="AE10" s="507" t="s">
        <v>305</v>
      </c>
      <c r="AF10" s="508" t="s">
        <v>305</v>
      </c>
      <c r="AG10" s="507" t="s">
        <v>305</v>
      </c>
      <c r="AH10" s="507" t="s">
        <v>305</v>
      </c>
      <c r="AI10" s="509" t="s">
        <v>287</v>
      </c>
      <c r="AJ10" s="505"/>
      <c r="AN10" s="505"/>
    </row>
    <row r="11" spans="1:43" s="518" customFormat="1">
      <c r="A11" s="559" t="s">
        <v>514</v>
      </c>
      <c r="B11" s="560" t="s">
        <v>1804</v>
      </c>
      <c r="C11" s="558"/>
      <c r="D11" s="510"/>
      <c r="E11" s="511"/>
      <c r="F11" s="738"/>
      <c r="G11" s="511"/>
      <c r="H11" s="511"/>
      <c r="I11" s="512"/>
      <c r="J11" s="512"/>
      <c r="K11" s="512"/>
      <c r="L11" s="512"/>
      <c r="M11" s="738"/>
      <c r="N11" s="512"/>
      <c r="O11" s="512"/>
      <c r="P11" s="512"/>
      <c r="Q11" s="512"/>
      <c r="R11" s="512"/>
      <c r="S11" s="512"/>
      <c r="T11" s="738"/>
      <c r="U11" s="512"/>
      <c r="V11" s="512"/>
      <c r="W11" s="512"/>
      <c r="X11" s="512"/>
      <c r="Y11" s="512"/>
      <c r="Z11" s="512"/>
      <c r="AA11" s="738"/>
      <c r="AB11" s="809"/>
      <c r="AC11" s="513"/>
      <c r="AD11" s="513"/>
      <c r="AE11" s="513"/>
      <c r="AF11" s="514"/>
      <c r="AG11" s="514"/>
      <c r="AH11" s="514"/>
      <c r="AI11" s="515">
        <f>SUM(D11:AH11)</f>
        <v>0</v>
      </c>
      <c r="AJ11" s="516">
        <v>0</v>
      </c>
      <c r="AK11" s="517">
        <f>AI11-AJ11</f>
        <v>0</v>
      </c>
      <c r="AN11" s="516">
        <v>0</v>
      </c>
      <c r="AO11" s="517">
        <f>AM11-AN11</f>
        <v>0</v>
      </c>
    </row>
    <row r="12" spans="1:43" s="500" customFormat="1">
      <c r="A12" s="539" t="s">
        <v>515</v>
      </c>
      <c r="B12" s="279" t="s">
        <v>34</v>
      </c>
      <c r="C12" s="529"/>
      <c r="D12" s="519"/>
      <c r="E12" s="520"/>
      <c r="F12" s="726"/>
      <c r="G12" s="520"/>
      <c r="H12" s="520"/>
      <c r="I12" s="521"/>
      <c r="J12" s="521"/>
      <c r="K12" s="521"/>
      <c r="L12" s="521"/>
      <c r="M12" s="726"/>
      <c r="N12" s="521"/>
      <c r="O12" s="521"/>
      <c r="P12" s="521"/>
      <c r="Q12" s="521"/>
      <c r="R12" s="521"/>
      <c r="S12" s="521"/>
      <c r="T12" s="726"/>
      <c r="U12" s="521"/>
      <c r="V12" s="521"/>
      <c r="W12" s="521"/>
      <c r="X12" s="521"/>
      <c r="Y12" s="521"/>
      <c r="Z12" s="521"/>
      <c r="AA12" s="726"/>
      <c r="AB12" s="884"/>
      <c r="AC12" s="522"/>
      <c r="AD12" s="514"/>
      <c r="AE12" s="514"/>
      <c r="AF12" s="514"/>
      <c r="AG12" s="514"/>
      <c r="AH12" s="514"/>
      <c r="AI12" s="515">
        <f t="shared" ref="AI12:AI77" si="1">SUM(D12:AH12)</f>
        <v>0</v>
      </c>
      <c r="AJ12" s="523">
        <v>0</v>
      </c>
      <c r="AK12" s="517">
        <f>AI12-AJ12</f>
        <v>0</v>
      </c>
      <c r="AN12" s="523">
        <v>0</v>
      </c>
      <c r="AO12" s="517">
        <f>AM12-AN12</f>
        <v>0</v>
      </c>
    </row>
    <row r="13" spans="1:43" s="500" customFormat="1">
      <c r="A13" s="539" t="s">
        <v>1805</v>
      </c>
      <c r="B13" s="279" t="s">
        <v>1820</v>
      </c>
      <c r="C13" s="524" t="s">
        <v>40</v>
      </c>
      <c r="D13" s="519"/>
      <c r="E13" s="946"/>
      <c r="F13" s="726"/>
      <c r="G13" s="520"/>
      <c r="H13" s="944"/>
      <c r="I13" s="519"/>
      <c r="J13" s="519"/>
      <c r="K13" s="519"/>
      <c r="L13" s="519"/>
      <c r="M13" s="726"/>
      <c r="N13" s="519"/>
      <c r="O13" s="519"/>
      <c r="P13" s="519"/>
      <c r="Q13" s="519"/>
      <c r="R13" s="519"/>
      <c r="S13" s="519"/>
      <c r="T13" s="726"/>
      <c r="U13" s="519"/>
      <c r="V13" s="519"/>
      <c r="W13" s="519"/>
      <c r="X13" s="519"/>
      <c r="Y13" s="519"/>
      <c r="Z13" s="519"/>
      <c r="AA13" s="726"/>
      <c r="AB13" s="884"/>
      <c r="AC13" s="522"/>
      <c r="AD13" s="522"/>
      <c r="AE13" s="522"/>
      <c r="AF13" s="519"/>
      <c r="AG13" s="522"/>
      <c r="AH13" s="522"/>
      <c r="AI13" s="515">
        <f t="shared" si="1"/>
        <v>0</v>
      </c>
      <c r="AJ13" s="523">
        <v>1088.27</v>
      </c>
      <c r="AK13" s="517">
        <f>AI13+AJ13</f>
        <v>1088.27</v>
      </c>
      <c r="AL13" s="500">
        <f>1.3*1204</f>
        <v>1565.2</v>
      </c>
      <c r="AM13" s="517">
        <f>AL13-AK13</f>
        <v>476.93000000000006</v>
      </c>
      <c r="AN13" s="523">
        <v>1088.27</v>
      </c>
      <c r="AO13" s="517">
        <f>AM13+AN13</f>
        <v>1565.2</v>
      </c>
      <c r="AP13" s="500">
        <f>1.3*1204</f>
        <v>1565.2</v>
      </c>
      <c r="AQ13" s="517">
        <f>AP13-AO13</f>
        <v>0</v>
      </c>
    </row>
    <row r="14" spans="1:43" s="500" customFormat="1">
      <c r="A14" s="539" t="s">
        <v>1929</v>
      </c>
      <c r="B14" s="752" t="s">
        <v>1935</v>
      </c>
      <c r="C14" s="746" t="s">
        <v>40</v>
      </c>
      <c r="D14" s="520"/>
      <c r="E14" s="757"/>
      <c r="F14" s="797"/>
      <c r="G14" s="757"/>
      <c r="H14" s="944"/>
      <c r="I14" s="521"/>
      <c r="J14" s="520"/>
      <c r="K14" s="520"/>
      <c r="L14" s="521"/>
      <c r="M14" s="797"/>
      <c r="N14" s="757"/>
      <c r="O14" s="521"/>
      <c r="P14" s="521"/>
      <c r="Q14" s="521"/>
      <c r="R14" s="521"/>
      <c r="S14" s="521"/>
      <c r="T14" s="775"/>
      <c r="U14" s="521"/>
      <c r="V14" s="521"/>
      <c r="W14" s="521"/>
      <c r="X14" s="521"/>
      <c r="Y14" s="1022">
        <f>3+15</f>
        <v>18</v>
      </c>
      <c r="Z14" s="1022">
        <v>7</v>
      </c>
      <c r="AA14" s="775"/>
      <c r="AB14" s="864"/>
      <c r="AC14" s="521"/>
      <c r="AD14" s="1022">
        <v>15</v>
      </c>
      <c r="AE14" s="521"/>
      <c r="AF14" s="521"/>
      <c r="AG14" s="521"/>
      <c r="AH14" s="734"/>
      <c r="AI14" s="992">
        <f t="shared" si="1"/>
        <v>40</v>
      </c>
      <c r="AJ14" s="523">
        <v>339.27</v>
      </c>
      <c r="AK14" s="517">
        <f>AI14+AJ14</f>
        <v>379.27</v>
      </c>
      <c r="AL14" s="500">
        <v>1204.5</v>
      </c>
      <c r="AM14" s="517">
        <f t="shared" ref="AM14:AM17" si="2">AL14-AK14</f>
        <v>825.23</v>
      </c>
      <c r="AN14" s="523">
        <v>339.27</v>
      </c>
      <c r="AO14" s="517">
        <f>AM14+AN14</f>
        <v>1164.5</v>
      </c>
      <c r="AP14" s="500">
        <v>1204.5</v>
      </c>
      <c r="AQ14" s="517">
        <f t="shared" ref="AQ14:AQ17" si="3">AP14-AO14</f>
        <v>40</v>
      </c>
    </row>
    <row r="15" spans="1:43">
      <c r="A15" s="539" t="s">
        <v>1931</v>
      </c>
      <c r="B15" s="752" t="s">
        <v>1936</v>
      </c>
      <c r="C15" s="746" t="s">
        <v>40</v>
      </c>
      <c r="D15" s="520"/>
      <c r="E15" s="757"/>
      <c r="F15" s="807"/>
      <c r="G15" s="505"/>
      <c r="H15" s="944"/>
      <c r="I15" s="521"/>
      <c r="J15" s="520"/>
      <c r="K15" s="520"/>
      <c r="L15" s="521"/>
      <c r="M15" s="807"/>
      <c r="N15" s="521"/>
      <c r="O15" s="521"/>
      <c r="P15" s="521"/>
      <c r="Q15" s="521"/>
      <c r="R15" s="521"/>
      <c r="S15" s="521"/>
      <c r="T15" s="807"/>
      <c r="U15" s="521"/>
      <c r="V15" s="521"/>
      <c r="W15" s="521"/>
      <c r="X15" s="521"/>
      <c r="Y15" s="505"/>
      <c r="Z15" s="521"/>
      <c r="AA15" s="807"/>
      <c r="AC15" s="521"/>
      <c r="AD15" s="521"/>
      <c r="AE15" s="521"/>
      <c r="AF15" s="521"/>
      <c r="AG15" s="521"/>
      <c r="AH15" s="734"/>
      <c r="AI15" s="515">
        <f t="shared" si="1"/>
        <v>0</v>
      </c>
      <c r="AJ15" s="523">
        <v>340.27</v>
      </c>
      <c r="AK15" s="517">
        <f t="shared" ref="AK15:AK18" si="4">AI15+AJ15</f>
        <v>340.27</v>
      </c>
      <c r="AL15" s="500">
        <v>1205.5</v>
      </c>
      <c r="AM15" s="517">
        <f t="shared" si="2"/>
        <v>865.23</v>
      </c>
      <c r="AN15" s="523">
        <v>340.27</v>
      </c>
      <c r="AO15" s="517">
        <f t="shared" ref="AO15:AO18" si="5">AM15+AN15</f>
        <v>1205.5</v>
      </c>
      <c r="AP15" s="500">
        <v>1205.5</v>
      </c>
      <c r="AQ15" s="517">
        <f t="shared" si="3"/>
        <v>0</v>
      </c>
    </row>
    <row r="16" spans="1:43" s="500" customFormat="1">
      <c r="A16" s="539" t="s">
        <v>1932</v>
      </c>
      <c r="B16" s="752" t="s">
        <v>1937</v>
      </c>
      <c r="C16" s="746" t="s">
        <v>40</v>
      </c>
      <c r="D16" s="524"/>
      <c r="E16" s="757"/>
      <c r="F16" s="775"/>
      <c r="G16" s="667"/>
      <c r="H16" s="944"/>
      <c r="I16" s="521"/>
      <c r="J16" s="520"/>
      <c r="K16" s="520"/>
      <c r="L16" s="521"/>
      <c r="M16" s="775"/>
      <c r="N16" s="521"/>
      <c r="O16" s="521"/>
      <c r="P16" s="521"/>
      <c r="Q16" s="521"/>
      <c r="R16" s="521"/>
      <c r="S16" s="521"/>
      <c r="T16" s="775"/>
      <c r="U16" s="521"/>
      <c r="V16" s="521"/>
      <c r="W16" s="521"/>
      <c r="X16" s="521"/>
      <c r="Y16" s="521"/>
      <c r="Z16" s="521"/>
      <c r="AA16" s="775"/>
      <c r="AB16" s="772"/>
      <c r="AC16" s="521"/>
      <c r="AD16" s="521"/>
      <c r="AE16" s="521"/>
      <c r="AF16" s="521"/>
      <c r="AG16" s="521"/>
      <c r="AH16" s="734"/>
      <c r="AI16" s="515">
        <f t="shared" si="1"/>
        <v>0</v>
      </c>
      <c r="AJ16" s="523">
        <v>341.27</v>
      </c>
      <c r="AK16" s="517">
        <f t="shared" si="4"/>
        <v>341.27</v>
      </c>
      <c r="AL16" s="500">
        <v>1206.5</v>
      </c>
      <c r="AM16" s="517">
        <f t="shared" si="2"/>
        <v>865.23</v>
      </c>
      <c r="AN16" s="523">
        <v>341.27</v>
      </c>
      <c r="AO16" s="517">
        <f t="shared" si="5"/>
        <v>1206.5</v>
      </c>
      <c r="AP16" s="500">
        <v>1206.5</v>
      </c>
      <c r="AQ16" s="517">
        <f t="shared" si="3"/>
        <v>0</v>
      </c>
    </row>
    <row r="17" spans="1:43" s="500" customFormat="1">
      <c r="A17" s="539" t="s">
        <v>1933</v>
      </c>
      <c r="B17" s="752" t="s">
        <v>1939</v>
      </c>
      <c r="C17" s="746" t="s">
        <v>1938</v>
      </c>
      <c r="E17" s="757"/>
      <c r="F17" s="775"/>
      <c r="G17" s="667"/>
      <c r="H17" s="944"/>
      <c r="I17" s="521"/>
      <c r="J17" s="520"/>
      <c r="K17" s="520"/>
      <c r="L17" s="521"/>
      <c r="M17" s="775"/>
      <c r="N17" s="521"/>
      <c r="O17" s="521"/>
      <c r="P17" s="521"/>
      <c r="Q17" s="521"/>
      <c r="R17" s="521"/>
      <c r="S17" s="521"/>
      <c r="T17" s="775"/>
      <c r="U17" s="521"/>
      <c r="V17" s="521"/>
      <c r="W17" s="521"/>
      <c r="X17" s="521"/>
      <c r="Y17" s="521"/>
      <c r="Z17" s="521"/>
      <c r="AA17" s="775"/>
      <c r="AB17" s="772"/>
      <c r="AC17" s="521"/>
      <c r="AD17" s="521"/>
      <c r="AF17" s="521"/>
      <c r="AG17" s="521"/>
      <c r="AH17" s="734"/>
      <c r="AI17" s="515">
        <f t="shared" si="1"/>
        <v>0</v>
      </c>
      <c r="AJ17" s="523">
        <v>342.27</v>
      </c>
      <c r="AK17" s="517">
        <f t="shared" si="4"/>
        <v>342.27</v>
      </c>
      <c r="AL17" s="500">
        <v>1207.5</v>
      </c>
      <c r="AM17" s="517">
        <f t="shared" si="2"/>
        <v>865.23</v>
      </c>
      <c r="AN17" s="523">
        <v>342.27</v>
      </c>
      <c r="AO17" s="517">
        <f t="shared" si="5"/>
        <v>1207.5</v>
      </c>
      <c r="AP17" s="500">
        <v>1207.5</v>
      </c>
      <c r="AQ17" s="517">
        <f t="shared" si="3"/>
        <v>0</v>
      </c>
    </row>
    <row r="18" spans="1:43" s="500" customFormat="1">
      <c r="A18" s="539" t="s">
        <v>1934</v>
      </c>
      <c r="B18" s="752" t="s">
        <v>1930</v>
      </c>
      <c r="C18" s="747" t="s">
        <v>40</v>
      </c>
      <c r="D18" s="748"/>
      <c r="E18" s="947"/>
      <c r="F18" s="775"/>
      <c r="G18" s="667"/>
      <c r="H18" s="945"/>
      <c r="I18" s="750"/>
      <c r="J18" s="748"/>
      <c r="K18" s="748"/>
      <c r="L18" s="750"/>
      <c r="M18" s="775"/>
      <c r="N18" s="750"/>
      <c r="O18" s="750"/>
      <c r="P18" s="750"/>
      <c r="Q18" s="750"/>
      <c r="R18" s="750"/>
      <c r="S18" s="750"/>
      <c r="T18" s="775"/>
      <c r="U18" s="750"/>
      <c r="V18" s="750"/>
      <c r="W18" s="750"/>
      <c r="X18" s="750"/>
      <c r="Y18" s="1018">
        <v>18</v>
      </c>
      <c r="Z18" s="1018">
        <v>7</v>
      </c>
      <c r="AA18" s="775"/>
      <c r="AB18" s="773"/>
      <c r="AC18" s="750"/>
      <c r="AD18" s="1018">
        <v>15</v>
      </c>
      <c r="AE18" s="750"/>
      <c r="AF18" s="750"/>
      <c r="AG18" s="750"/>
      <c r="AH18" s="734"/>
      <c r="AI18" s="992">
        <f t="shared" si="1"/>
        <v>40</v>
      </c>
      <c r="AJ18" s="523">
        <v>340.27</v>
      </c>
      <c r="AK18" s="517">
        <f t="shared" si="4"/>
        <v>380.27</v>
      </c>
      <c r="AL18" s="500">
        <v>1204.5</v>
      </c>
      <c r="AM18" s="517">
        <f>AL18-AK18</f>
        <v>824.23</v>
      </c>
      <c r="AN18" s="523">
        <v>340.27</v>
      </c>
      <c r="AO18" s="517">
        <f t="shared" si="5"/>
        <v>1164.5</v>
      </c>
      <c r="AP18" s="500">
        <v>1204.5</v>
      </c>
      <c r="AQ18" s="517">
        <f>AP18-AO18</f>
        <v>40</v>
      </c>
    </row>
    <row r="19" spans="1:43" s="500" customFormat="1">
      <c r="A19" s="539" t="s">
        <v>1940</v>
      </c>
      <c r="B19" s="752" t="s">
        <v>1944</v>
      </c>
      <c r="C19" s="747" t="s">
        <v>1943</v>
      </c>
      <c r="D19" s="748"/>
      <c r="E19" s="947"/>
      <c r="F19" s="775"/>
      <c r="G19" s="667"/>
      <c r="H19" s="945"/>
      <c r="I19" s="750"/>
      <c r="J19" s="748"/>
      <c r="K19" s="748"/>
      <c r="L19" s="750"/>
      <c r="M19" s="775"/>
      <c r="N19" s="750"/>
      <c r="O19" s="750"/>
      <c r="P19" s="750"/>
      <c r="Q19" s="521"/>
      <c r="R19" s="521"/>
      <c r="S19" s="750"/>
      <c r="T19" s="775"/>
      <c r="U19" s="750"/>
      <c r="V19" s="750"/>
      <c r="W19" s="750"/>
      <c r="X19" s="750"/>
      <c r="Y19" s="750"/>
      <c r="Z19" s="750"/>
      <c r="AA19" s="775"/>
      <c r="AB19" s="773"/>
      <c r="AC19" s="750"/>
      <c r="AD19" s="750"/>
      <c r="AE19" s="750"/>
      <c r="AF19" s="750"/>
      <c r="AG19" s="750"/>
      <c r="AH19" s="734"/>
      <c r="AI19" s="515">
        <f t="shared" si="1"/>
        <v>0</v>
      </c>
      <c r="AJ19" s="758"/>
      <c r="AK19" s="517"/>
      <c r="AM19" s="517"/>
    </row>
    <row r="20" spans="1:43" s="500" customFormat="1">
      <c r="A20" s="539" t="s">
        <v>1941</v>
      </c>
      <c r="B20" s="752" t="s">
        <v>1945</v>
      </c>
      <c r="C20" s="747" t="s">
        <v>1943</v>
      </c>
      <c r="D20" s="748"/>
      <c r="E20" s="947"/>
      <c r="F20" s="775"/>
      <c r="G20" s="667"/>
      <c r="H20" s="945"/>
      <c r="I20" s="750"/>
      <c r="J20" s="748"/>
      <c r="K20" s="748"/>
      <c r="L20" s="750"/>
      <c r="M20" s="775"/>
      <c r="N20" s="750"/>
      <c r="O20" s="750"/>
      <c r="P20" s="750"/>
      <c r="Q20" s="667"/>
      <c r="R20" s="521"/>
      <c r="S20" s="750"/>
      <c r="T20" s="775"/>
      <c r="U20" s="750"/>
      <c r="V20" s="750"/>
      <c r="W20" s="750"/>
      <c r="X20" s="750"/>
      <c r="Y20" s="750"/>
      <c r="Z20" s="750"/>
      <c r="AA20" s="775"/>
      <c r="AB20" s="773"/>
      <c r="AC20" s="750"/>
      <c r="AD20" s="750"/>
      <c r="AE20" s="750"/>
      <c r="AF20" s="750"/>
      <c r="AG20" s="750"/>
      <c r="AH20" s="734"/>
      <c r="AI20" s="515">
        <f t="shared" si="1"/>
        <v>0</v>
      </c>
      <c r="AJ20" s="758"/>
      <c r="AK20" s="517"/>
      <c r="AM20" s="517"/>
    </row>
    <row r="21" spans="1:43" s="500" customFormat="1">
      <c r="A21" s="539" t="s">
        <v>1942</v>
      </c>
      <c r="B21" s="752" t="s">
        <v>1946</v>
      </c>
      <c r="C21" s="747" t="s">
        <v>37</v>
      </c>
      <c r="D21" s="748"/>
      <c r="E21" s="748"/>
      <c r="F21" s="749"/>
      <c r="G21" s="748"/>
      <c r="H21" s="748"/>
      <c r="I21" s="750"/>
      <c r="J21" s="750"/>
      <c r="L21" s="750"/>
      <c r="M21" s="749"/>
      <c r="N21" s="750"/>
      <c r="O21" s="750"/>
      <c r="P21" s="750"/>
      <c r="Q21" s="667"/>
      <c r="R21" s="521"/>
      <c r="S21" s="750"/>
      <c r="T21" s="749"/>
      <c r="U21" s="750"/>
      <c r="V21" s="750"/>
      <c r="W21" s="750"/>
      <c r="X21" s="750"/>
      <c r="Y21" s="750"/>
      <c r="Z21" s="750"/>
      <c r="AA21" s="749"/>
      <c r="AB21" s="773"/>
      <c r="AC21" s="750"/>
      <c r="AD21" s="750"/>
      <c r="AE21" s="750"/>
      <c r="AF21" s="750"/>
      <c r="AG21" s="750"/>
      <c r="AH21" s="734"/>
      <c r="AI21" s="515">
        <f t="shared" si="1"/>
        <v>0</v>
      </c>
      <c r="AJ21" s="758"/>
      <c r="AK21" s="517"/>
      <c r="AM21" s="517"/>
    </row>
    <row r="22" spans="1:43" s="500" customFormat="1">
      <c r="A22" s="539" t="s">
        <v>1993</v>
      </c>
      <c r="B22" s="752" t="s">
        <v>2006</v>
      </c>
      <c r="C22" s="747" t="s">
        <v>73</v>
      </c>
      <c r="D22" s="748"/>
      <c r="E22" s="748"/>
      <c r="F22" s="749"/>
      <c r="G22" s="748"/>
      <c r="H22" s="748"/>
      <c r="I22" s="750"/>
      <c r="J22" s="750"/>
      <c r="L22" s="750"/>
      <c r="M22" s="749"/>
      <c r="N22" s="750"/>
      <c r="O22" s="750"/>
      <c r="P22" s="750"/>
      <c r="Q22" s="670"/>
      <c r="R22" s="527"/>
      <c r="S22" s="750"/>
      <c r="T22" s="749"/>
      <c r="U22" s="750"/>
      <c r="V22" s="750"/>
      <c r="W22" s="750"/>
      <c r="X22" s="750"/>
      <c r="Y22" s="750"/>
      <c r="Z22" s="750"/>
      <c r="AA22" s="749"/>
      <c r="AB22" s="773"/>
      <c r="AC22" s="750"/>
      <c r="AD22" s="750"/>
      <c r="AE22" s="750"/>
      <c r="AF22" s="750"/>
      <c r="AG22" s="750"/>
      <c r="AH22" s="734"/>
      <c r="AI22" s="515">
        <f t="shared" si="1"/>
        <v>0</v>
      </c>
      <c r="AJ22" s="758"/>
      <c r="AK22" s="517"/>
      <c r="AM22" s="517"/>
    </row>
    <row r="23" spans="1:43" s="500" customFormat="1">
      <c r="A23" s="539" t="s">
        <v>2004</v>
      </c>
      <c r="B23" s="752" t="s">
        <v>2005</v>
      </c>
      <c r="C23" s="747" t="s">
        <v>73</v>
      </c>
      <c r="D23" s="748"/>
      <c r="E23" s="748"/>
      <c r="F23" s="749"/>
      <c r="G23" s="748"/>
      <c r="H23" s="748"/>
      <c r="I23" s="750"/>
      <c r="J23" s="750"/>
      <c r="K23" s="750"/>
      <c r="L23" s="750"/>
      <c r="M23" s="749"/>
      <c r="N23" s="750"/>
      <c r="O23" s="750"/>
      <c r="P23" s="750"/>
      <c r="Q23" s="670"/>
      <c r="R23" s="527"/>
      <c r="S23" s="750"/>
      <c r="T23" s="749"/>
      <c r="U23" s="750"/>
      <c r="V23" s="750"/>
      <c r="W23" s="750"/>
      <c r="X23" s="750"/>
      <c r="Y23" s="750"/>
      <c r="Z23" s="750"/>
      <c r="AA23" s="749"/>
      <c r="AB23" s="772"/>
      <c r="AC23" s="750"/>
      <c r="AD23" s="750"/>
      <c r="AE23" s="750"/>
      <c r="AF23" s="750"/>
      <c r="AG23" s="750"/>
      <c r="AH23" s="734"/>
      <c r="AI23" s="515">
        <f t="shared" si="1"/>
        <v>0</v>
      </c>
      <c r="AJ23" s="758"/>
      <c r="AK23" s="517"/>
      <c r="AM23" s="517"/>
    </row>
    <row r="24" spans="1:43" s="500" customFormat="1">
      <c r="A24" s="539" t="s">
        <v>2008</v>
      </c>
      <c r="B24" s="752" t="s">
        <v>2009</v>
      </c>
      <c r="C24" s="747" t="s">
        <v>73</v>
      </c>
      <c r="D24" s="748"/>
      <c r="E24" s="748"/>
      <c r="F24" s="749"/>
      <c r="G24" s="748"/>
      <c r="H24" s="748"/>
      <c r="I24" s="750"/>
      <c r="J24" s="750"/>
      <c r="K24" s="750"/>
      <c r="L24" s="750"/>
      <c r="M24" s="749"/>
      <c r="N24" s="750"/>
      <c r="O24" s="750"/>
      <c r="P24" s="750"/>
      <c r="Q24" s="670"/>
      <c r="R24" s="527"/>
      <c r="S24" s="750"/>
      <c r="T24" s="749"/>
      <c r="U24" s="750"/>
      <c r="V24" s="750"/>
      <c r="W24" s="750"/>
      <c r="X24" s="750"/>
      <c r="Y24" s="750"/>
      <c r="Z24" s="750"/>
      <c r="AA24" s="749"/>
      <c r="AB24" s="772"/>
      <c r="AC24" s="750"/>
      <c r="AD24" s="750"/>
      <c r="AE24" s="750"/>
      <c r="AF24" s="750"/>
      <c r="AG24" s="750"/>
      <c r="AH24" s="734"/>
      <c r="AI24" s="515">
        <f t="shared" si="1"/>
        <v>0</v>
      </c>
      <c r="AJ24" s="758"/>
      <c r="AK24" s="517"/>
      <c r="AM24" s="517"/>
    </row>
    <row r="25" spans="1:43" s="500" customFormat="1">
      <c r="A25" s="539" t="s">
        <v>2010</v>
      </c>
      <c r="B25" s="752" t="s">
        <v>2098</v>
      </c>
      <c r="C25" s="747" t="s">
        <v>2063</v>
      </c>
      <c r="D25" s="748"/>
      <c r="E25" s="748"/>
      <c r="F25" s="749"/>
      <c r="H25" s="757"/>
      <c r="I25" s="750"/>
      <c r="J25" s="750"/>
      <c r="K25" s="750"/>
      <c r="L25" s="750"/>
      <c r="M25" s="749"/>
      <c r="N25" s="750"/>
      <c r="O25" s="667"/>
      <c r="P25" s="750"/>
      <c r="Q25" s="750"/>
      <c r="R25" s="521"/>
      <c r="S25" s="750"/>
      <c r="T25" s="749"/>
      <c r="U25" s="750"/>
      <c r="V25" s="750"/>
      <c r="W25" s="750"/>
      <c r="X25" s="750"/>
      <c r="Y25" s="750"/>
      <c r="Z25" s="750"/>
      <c r="AA25" s="749"/>
      <c r="AB25" s="876"/>
      <c r="AC25" s="750"/>
      <c r="AD25" s="750"/>
      <c r="AE25" s="750"/>
      <c r="AF25" s="750"/>
      <c r="AG25" s="750"/>
      <c r="AH25" s="734"/>
      <c r="AI25" s="515">
        <f t="shared" si="1"/>
        <v>0</v>
      </c>
      <c r="AJ25" s="758"/>
      <c r="AK25" s="517"/>
      <c r="AM25" s="517"/>
    </row>
    <row r="26" spans="1:43" s="500" customFormat="1">
      <c r="A26" s="718" t="s">
        <v>2012</v>
      </c>
      <c r="B26" s="752" t="s">
        <v>2132</v>
      </c>
      <c r="C26" s="747" t="s">
        <v>2133</v>
      </c>
      <c r="D26" s="748"/>
      <c r="E26" s="748"/>
      <c r="F26" s="749"/>
      <c r="G26" s="748"/>
      <c r="H26" s="748"/>
      <c r="I26" s="750"/>
      <c r="J26" s="750"/>
      <c r="K26" s="750"/>
      <c r="L26" s="750"/>
      <c r="M26" s="749"/>
      <c r="N26" s="750"/>
      <c r="O26" s="985"/>
      <c r="P26" s="750"/>
      <c r="Q26" s="667"/>
      <c r="R26" s="521"/>
      <c r="S26" s="750"/>
      <c r="T26" s="749"/>
      <c r="U26" s="750"/>
      <c r="V26" s="750"/>
      <c r="W26" s="750"/>
      <c r="X26" s="750"/>
      <c r="Y26" s="750"/>
      <c r="Z26" s="750"/>
      <c r="AA26" s="749"/>
      <c r="AB26" s="876"/>
      <c r="AC26" s="750"/>
      <c r="AD26" s="750"/>
      <c r="AE26" s="750"/>
      <c r="AF26" s="750"/>
      <c r="AG26" s="750"/>
      <c r="AH26" s="734"/>
      <c r="AI26" s="515">
        <f t="shared" si="1"/>
        <v>0</v>
      </c>
      <c r="AJ26" s="758"/>
      <c r="AK26" s="517"/>
      <c r="AM26" s="517"/>
    </row>
    <row r="27" spans="1:43" s="500" customFormat="1">
      <c r="A27" s="718" t="s">
        <v>2014</v>
      </c>
      <c r="B27" s="752" t="s">
        <v>2175</v>
      </c>
      <c r="C27" s="747" t="s">
        <v>2133</v>
      </c>
      <c r="D27" s="748"/>
      <c r="E27" s="748"/>
      <c r="F27" s="749"/>
      <c r="G27" s="748"/>
      <c r="H27" s="748"/>
      <c r="I27" s="750"/>
      <c r="J27" s="750"/>
      <c r="K27" s="750"/>
      <c r="L27" s="750"/>
      <c r="M27" s="749"/>
      <c r="N27" s="750"/>
      <c r="O27" s="985"/>
      <c r="P27" s="750"/>
      <c r="Q27" s="667"/>
      <c r="R27" s="521"/>
      <c r="S27" s="750"/>
      <c r="T27" s="749"/>
      <c r="U27" s="750"/>
      <c r="V27" s="750"/>
      <c r="W27" s="750"/>
      <c r="X27" s="750"/>
      <c r="Y27" s="750"/>
      <c r="Z27" s="750"/>
      <c r="AA27" s="749"/>
      <c r="AB27" s="876"/>
      <c r="AC27" s="750"/>
      <c r="AD27" s="750"/>
      <c r="AE27" s="750"/>
      <c r="AF27" s="750"/>
      <c r="AG27" s="750"/>
      <c r="AH27" s="734"/>
      <c r="AI27" s="515">
        <f t="shared" si="1"/>
        <v>0</v>
      </c>
      <c r="AJ27" s="758"/>
      <c r="AK27" s="517"/>
      <c r="AM27" s="517"/>
    </row>
    <row r="28" spans="1:43" s="500" customFormat="1">
      <c r="A28" s="718" t="s">
        <v>2016</v>
      </c>
      <c r="B28" s="752" t="s">
        <v>2176</v>
      </c>
      <c r="C28" s="747" t="s">
        <v>2174</v>
      </c>
      <c r="D28" s="748"/>
      <c r="E28" s="748"/>
      <c r="F28" s="749"/>
      <c r="G28" s="748"/>
      <c r="H28" s="748"/>
      <c r="I28" s="750"/>
      <c r="J28" s="750"/>
      <c r="K28" s="750"/>
      <c r="L28" s="750"/>
      <c r="M28" s="749"/>
      <c r="N28" s="750"/>
      <c r="O28" s="985"/>
      <c r="P28" s="750"/>
      <c r="Q28" s="667"/>
      <c r="R28" s="521"/>
      <c r="S28" s="750"/>
      <c r="T28" s="749"/>
      <c r="U28" s="750"/>
      <c r="V28" s="750"/>
      <c r="W28" s="750"/>
      <c r="X28" s="750"/>
      <c r="Y28" s="750"/>
      <c r="Z28" s="750"/>
      <c r="AA28" s="749"/>
      <c r="AB28" s="876"/>
      <c r="AC28" s="750"/>
      <c r="AD28" s="750"/>
      <c r="AE28" s="750"/>
      <c r="AF28" s="750"/>
      <c r="AG28" s="750"/>
      <c r="AH28" s="734"/>
      <c r="AI28" s="515">
        <f t="shared" si="1"/>
        <v>0</v>
      </c>
      <c r="AJ28" s="758"/>
      <c r="AK28" s="517"/>
      <c r="AM28" s="517"/>
    </row>
    <row r="29" spans="1:43" s="500" customFormat="1" ht="13.35" customHeight="1">
      <c r="A29" s="1069" t="s">
        <v>2018</v>
      </c>
      <c r="B29" s="752" t="s">
        <v>2210</v>
      </c>
      <c r="C29" s="747" t="s">
        <v>2211</v>
      </c>
      <c r="D29" s="1060">
        <v>50</v>
      </c>
      <c r="E29" s="748"/>
      <c r="F29" s="749"/>
      <c r="G29" s="748"/>
      <c r="H29" s="748"/>
      <c r="I29" s="750"/>
      <c r="J29" s="750"/>
      <c r="K29" s="750"/>
      <c r="L29" s="750"/>
      <c r="M29" s="749"/>
      <c r="N29" s="750"/>
      <c r="O29" s="985"/>
      <c r="P29" s="750"/>
      <c r="Q29" s="667"/>
      <c r="R29" s="521"/>
      <c r="S29" s="750"/>
      <c r="T29" s="749"/>
      <c r="U29" s="1018">
        <v>50</v>
      </c>
      <c r="V29" s="750"/>
      <c r="W29" s="750"/>
      <c r="X29" s="750"/>
      <c r="Y29" s="750"/>
      <c r="Z29" s="750"/>
      <c r="AA29" s="749"/>
      <c r="AB29" s="1070"/>
      <c r="AC29" s="750"/>
      <c r="AD29" s="750"/>
      <c r="AE29" s="750"/>
      <c r="AF29" s="750"/>
      <c r="AG29" s="750"/>
      <c r="AH29" s="734"/>
      <c r="AI29" s="992">
        <f t="shared" si="1"/>
        <v>100</v>
      </c>
      <c r="AJ29" s="758"/>
      <c r="AK29" s="517"/>
      <c r="AM29" s="517"/>
    </row>
    <row r="30" spans="1:43" s="500" customFormat="1" ht="13.35" customHeight="1">
      <c r="A30" s="1069" t="s">
        <v>2020</v>
      </c>
      <c r="B30" s="752" t="s">
        <v>2212</v>
      </c>
      <c r="C30" s="747" t="s">
        <v>37</v>
      </c>
      <c r="D30" s="748"/>
      <c r="E30" s="748"/>
      <c r="F30" s="749"/>
      <c r="G30" s="748"/>
      <c r="H30" s="748"/>
      <c r="I30" s="750"/>
      <c r="J30" s="750"/>
      <c r="K30" s="750"/>
      <c r="L30" s="750"/>
      <c r="M30" s="749"/>
      <c r="N30" s="750"/>
      <c r="O30" s="985"/>
      <c r="P30" s="750"/>
      <c r="Q30" s="667"/>
      <c r="R30" s="521"/>
      <c r="S30" s="750"/>
      <c r="T30" s="749"/>
      <c r="U30" s="1018">
        <v>107</v>
      </c>
      <c r="V30" s="750"/>
      <c r="W30" s="750"/>
      <c r="X30" s="750"/>
      <c r="Y30" s="750"/>
      <c r="Z30" s="750"/>
      <c r="AA30" s="749"/>
      <c r="AB30" s="1070"/>
      <c r="AC30" s="750"/>
      <c r="AD30" s="750"/>
      <c r="AE30" s="750"/>
      <c r="AF30" s="750"/>
      <c r="AG30" s="750"/>
      <c r="AH30" s="734"/>
      <c r="AI30" s="992">
        <f t="shared" si="1"/>
        <v>107</v>
      </c>
      <c r="AJ30" s="758"/>
      <c r="AK30" s="517"/>
      <c r="AM30" s="517"/>
    </row>
    <row r="31" spans="1:43" s="500" customFormat="1" ht="13.35" customHeight="1">
      <c r="A31" s="1069" t="s">
        <v>2022</v>
      </c>
      <c r="B31" s="752" t="s">
        <v>2213</v>
      </c>
      <c r="C31" s="747" t="s">
        <v>37</v>
      </c>
      <c r="D31" s="1060">
        <f>31*2</f>
        <v>62</v>
      </c>
      <c r="E31" s="748"/>
      <c r="F31" s="749"/>
      <c r="G31" s="748"/>
      <c r="H31" s="748"/>
      <c r="I31" s="750"/>
      <c r="J31" s="750"/>
      <c r="K31" s="750"/>
      <c r="L31" s="750"/>
      <c r="M31" s="749"/>
      <c r="N31" s="750"/>
      <c r="O31" s="985"/>
      <c r="P31" s="750"/>
      <c r="Q31" s="667"/>
      <c r="R31" s="521"/>
      <c r="S31" s="750"/>
      <c r="T31" s="749"/>
      <c r="U31" s="1018">
        <v>58</v>
      </c>
      <c r="V31" s="750"/>
      <c r="W31" s="750"/>
      <c r="X31" s="750"/>
      <c r="Y31" s="750"/>
      <c r="Z31" s="750"/>
      <c r="AA31" s="749"/>
      <c r="AB31" s="1070"/>
      <c r="AC31" s="750"/>
      <c r="AD31" s="750"/>
      <c r="AE31" s="750"/>
      <c r="AF31" s="750"/>
      <c r="AG31" s="750"/>
      <c r="AH31" s="734"/>
      <c r="AI31" s="992">
        <f t="shared" si="1"/>
        <v>120</v>
      </c>
      <c r="AJ31" s="758"/>
      <c r="AK31" s="517"/>
      <c r="AM31" s="517"/>
    </row>
    <row r="32" spans="1:43" s="500" customFormat="1">
      <c r="A32" s="987" t="s">
        <v>2065</v>
      </c>
      <c r="B32" s="988" t="s">
        <v>1202</v>
      </c>
      <c r="C32" s="747"/>
      <c r="D32" s="748"/>
      <c r="E32" s="748"/>
      <c r="F32" s="749"/>
      <c r="G32" s="748"/>
      <c r="H32" s="748"/>
      <c r="I32" s="750"/>
      <c r="J32" s="750"/>
      <c r="K32" s="750"/>
      <c r="L32" s="750"/>
      <c r="M32" s="749"/>
      <c r="N32" s="750"/>
      <c r="O32" s="750"/>
      <c r="P32" s="750"/>
      <c r="Q32" s="667"/>
      <c r="R32" s="521"/>
      <c r="S32" s="750"/>
      <c r="T32" s="749"/>
      <c r="U32" s="750"/>
      <c r="V32" s="750"/>
      <c r="W32" s="750"/>
      <c r="X32" s="750"/>
      <c r="Y32" s="750"/>
      <c r="Z32" s="750"/>
      <c r="AA32" s="749"/>
      <c r="AB32" s="773"/>
      <c r="AC32" s="750"/>
      <c r="AD32" s="750"/>
      <c r="AE32" s="750"/>
      <c r="AF32" s="750"/>
      <c r="AG32" s="750"/>
      <c r="AH32" s="734"/>
      <c r="AI32" s="515">
        <f t="shared" si="1"/>
        <v>0</v>
      </c>
      <c r="AJ32" s="758"/>
      <c r="AK32" s="517"/>
      <c r="AM32" s="517"/>
    </row>
    <row r="33" spans="1:39" s="500" customFormat="1">
      <c r="A33" s="987" t="s">
        <v>2066</v>
      </c>
      <c r="B33" s="988" t="s">
        <v>1949</v>
      </c>
      <c r="C33" s="747"/>
      <c r="D33" s="748"/>
      <c r="E33" s="748"/>
      <c r="F33" s="749"/>
      <c r="G33" s="748"/>
      <c r="H33" s="748"/>
      <c r="I33" s="750"/>
      <c r="J33" s="750"/>
      <c r="K33" s="750"/>
      <c r="L33" s="750"/>
      <c r="M33" s="749"/>
      <c r="N33" s="750"/>
      <c r="O33" s="750"/>
      <c r="P33" s="750"/>
      <c r="Q33" s="667"/>
      <c r="R33" s="521"/>
      <c r="S33" s="750"/>
      <c r="T33" s="749"/>
      <c r="U33" s="750"/>
      <c r="V33" s="750"/>
      <c r="W33" s="750"/>
      <c r="X33" s="750"/>
      <c r="Y33" s="750"/>
      <c r="Z33" s="750"/>
      <c r="AA33" s="749"/>
      <c r="AB33" s="773"/>
      <c r="AC33" s="750"/>
      <c r="AD33" s="750"/>
      <c r="AE33" s="750"/>
      <c r="AF33" s="750"/>
      <c r="AG33" s="750"/>
      <c r="AH33" s="734"/>
      <c r="AI33" s="515">
        <f t="shared" si="1"/>
        <v>0</v>
      </c>
      <c r="AJ33" s="758"/>
      <c r="AK33" s="517"/>
      <c r="AM33" s="517"/>
    </row>
    <row r="34" spans="1:39" s="500" customFormat="1">
      <c r="A34" s="879" t="s">
        <v>2067</v>
      </c>
      <c r="B34" s="752" t="s">
        <v>1950</v>
      </c>
      <c r="C34" s="747" t="s">
        <v>40</v>
      </c>
      <c r="D34" s="748"/>
      <c r="E34" s="748"/>
      <c r="F34" s="749"/>
      <c r="G34" s="748"/>
      <c r="H34" s="748"/>
      <c r="I34" s="750"/>
      <c r="J34" s="750"/>
      <c r="K34" s="750"/>
      <c r="L34" s="750"/>
      <c r="M34" s="749"/>
      <c r="N34" s="750"/>
      <c r="O34" s="750"/>
      <c r="Q34" s="768"/>
      <c r="R34" s="521"/>
      <c r="S34" s="750"/>
      <c r="T34" s="749"/>
      <c r="U34" s="750"/>
      <c r="V34" s="750"/>
      <c r="W34" s="750"/>
      <c r="X34" s="750"/>
      <c r="Y34" s="750"/>
      <c r="Z34" s="750"/>
      <c r="AA34" s="749"/>
      <c r="AB34" s="773"/>
      <c r="AC34" s="750"/>
      <c r="AD34" s="750"/>
      <c r="AE34" s="750"/>
      <c r="AF34" s="750"/>
      <c r="AG34" s="750"/>
      <c r="AH34" s="734"/>
      <c r="AI34" s="515">
        <f t="shared" si="1"/>
        <v>0</v>
      </c>
      <c r="AJ34" s="758"/>
      <c r="AK34" s="517"/>
      <c r="AM34" s="517"/>
    </row>
    <row r="35" spans="1:39" s="500" customFormat="1">
      <c r="A35" s="879" t="s">
        <v>2068</v>
      </c>
      <c r="B35" s="752" t="s">
        <v>1994</v>
      </c>
      <c r="C35" s="747"/>
      <c r="D35" s="748"/>
      <c r="E35" s="748"/>
      <c r="F35" s="749"/>
      <c r="G35" s="748"/>
      <c r="H35" s="748"/>
      <c r="I35" s="750"/>
      <c r="J35" s="750"/>
      <c r="K35" s="750"/>
      <c r="L35" s="750"/>
      <c r="M35" s="749"/>
      <c r="N35" s="750"/>
      <c r="O35" s="750"/>
      <c r="Q35" s="768"/>
      <c r="R35" s="521"/>
      <c r="S35" s="750"/>
      <c r="T35" s="749"/>
      <c r="U35" s="750"/>
      <c r="V35" s="750"/>
      <c r="W35" s="750"/>
      <c r="X35" s="750"/>
      <c r="Y35" s="750"/>
      <c r="Z35" s="750"/>
      <c r="AA35" s="749"/>
      <c r="AB35" s="773"/>
      <c r="AC35" s="750"/>
      <c r="AD35" s="750"/>
      <c r="AE35" s="750"/>
      <c r="AF35" s="750"/>
      <c r="AG35" s="750"/>
      <c r="AH35" s="734"/>
      <c r="AI35" s="515">
        <f t="shared" si="1"/>
        <v>0</v>
      </c>
      <c r="AJ35" s="758"/>
      <c r="AK35" s="517"/>
      <c r="AM35" s="517"/>
    </row>
    <row r="36" spans="1:39" s="500" customFormat="1">
      <c r="A36" s="879" t="s">
        <v>2069</v>
      </c>
      <c r="B36" s="752" t="s">
        <v>1995</v>
      </c>
      <c r="C36" s="747"/>
      <c r="D36" s="748"/>
      <c r="E36" s="748"/>
      <c r="F36" s="749"/>
      <c r="G36" s="748"/>
      <c r="H36" s="748"/>
      <c r="I36" s="750"/>
      <c r="J36" s="750"/>
      <c r="K36" s="750"/>
      <c r="L36" s="750"/>
      <c r="M36" s="749"/>
      <c r="N36" s="750"/>
      <c r="O36" s="750"/>
      <c r="Q36" s="768"/>
      <c r="R36" s="521"/>
      <c r="S36" s="750"/>
      <c r="T36" s="749"/>
      <c r="U36" s="750"/>
      <c r="V36" s="750"/>
      <c r="W36" s="750"/>
      <c r="X36" s="750"/>
      <c r="Y36" s="750"/>
      <c r="Z36" s="750"/>
      <c r="AA36" s="749"/>
      <c r="AB36" s="773"/>
      <c r="AC36" s="750"/>
      <c r="AD36" s="750"/>
      <c r="AE36" s="750"/>
      <c r="AF36" s="750"/>
      <c r="AG36" s="750"/>
      <c r="AH36" s="734"/>
      <c r="AI36" s="515">
        <f t="shared" si="1"/>
        <v>0</v>
      </c>
      <c r="AJ36" s="758"/>
      <c r="AK36" s="517"/>
      <c r="AM36" s="517"/>
    </row>
    <row r="37" spans="1:39" s="500" customFormat="1">
      <c r="A37" s="879" t="s">
        <v>2070</v>
      </c>
      <c r="B37" s="752" t="s">
        <v>1996</v>
      </c>
      <c r="C37" s="747" t="s">
        <v>40</v>
      </c>
      <c r="D37" s="748"/>
      <c r="E37" s="748"/>
      <c r="F37" s="749"/>
      <c r="G37" s="748"/>
      <c r="H37" s="748"/>
      <c r="I37" s="750"/>
      <c r="J37" s="521"/>
      <c r="K37" s="750"/>
      <c r="L37" s="750"/>
      <c r="M37" s="749"/>
      <c r="N37" s="750"/>
      <c r="O37" s="750"/>
      <c r="Q37" s="768"/>
      <c r="R37" s="521"/>
      <c r="S37" s="750"/>
      <c r="T37" s="749"/>
      <c r="U37" s="750"/>
      <c r="V37" s="750"/>
      <c r="W37" s="750"/>
      <c r="X37" s="750"/>
      <c r="Y37" s="750"/>
      <c r="Z37" s="750"/>
      <c r="AA37" s="749"/>
      <c r="AB37" s="773"/>
      <c r="AC37" s="750"/>
      <c r="AD37" s="750"/>
      <c r="AE37" s="750"/>
      <c r="AF37" s="750"/>
      <c r="AG37" s="750"/>
      <c r="AH37" s="734"/>
      <c r="AI37" s="515">
        <f t="shared" si="1"/>
        <v>0</v>
      </c>
      <c r="AJ37" s="758"/>
      <c r="AK37" s="517"/>
      <c r="AM37" s="517"/>
    </row>
    <row r="38" spans="1:39" s="500" customFormat="1" ht="13.5">
      <c r="A38" s="879" t="s">
        <v>2071</v>
      </c>
      <c r="B38" s="752" t="s">
        <v>1997</v>
      </c>
      <c r="C38" s="747" t="s">
        <v>37</v>
      </c>
      <c r="D38" s="748"/>
      <c r="E38" s="748"/>
      <c r="F38" s="749"/>
      <c r="G38" s="748"/>
      <c r="H38" s="748"/>
      <c r="I38" s="750"/>
      <c r="J38" s="880"/>
      <c r="K38" s="750"/>
      <c r="L38" s="750"/>
      <c r="M38" s="749"/>
      <c r="N38" s="750"/>
      <c r="O38" s="750"/>
      <c r="Q38" s="768"/>
      <c r="R38" s="521"/>
      <c r="S38" s="750"/>
      <c r="T38" s="749"/>
      <c r="U38" s="750"/>
      <c r="V38" s="750"/>
      <c r="W38" s="750"/>
      <c r="X38" s="750"/>
      <c r="Y38" s="750"/>
      <c r="Z38" s="750"/>
      <c r="AA38" s="749"/>
      <c r="AB38" s="773"/>
      <c r="AC38" s="750"/>
      <c r="AD38" s="750"/>
      <c r="AE38" s="750"/>
      <c r="AF38" s="750"/>
      <c r="AG38" s="750"/>
      <c r="AH38" s="734"/>
      <c r="AI38" s="515">
        <f t="shared" si="1"/>
        <v>0</v>
      </c>
      <c r="AJ38" s="758"/>
      <c r="AK38" s="517"/>
      <c r="AM38" s="517"/>
    </row>
    <row r="39" spans="1:39" s="500" customFormat="1">
      <c r="A39" s="879" t="s">
        <v>2072</v>
      </c>
      <c r="B39" s="752" t="s">
        <v>1998</v>
      </c>
      <c r="C39" s="747" t="s">
        <v>1938</v>
      </c>
      <c r="D39" s="748"/>
      <c r="E39" s="748"/>
      <c r="F39" s="749"/>
      <c r="G39" s="748"/>
      <c r="H39" s="748"/>
      <c r="I39" s="750"/>
      <c r="J39" s="750"/>
      <c r="K39" s="750"/>
      <c r="L39" s="750"/>
      <c r="M39" s="749"/>
      <c r="N39" s="750"/>
      <c r="O39" s="750"/>
      <c r="Q39" s="768"/>
      <c r="R39" s="521"/>
      <c r="S39" s="750"/>
      <c r="T39" s="749"/>
      <c r="U39" s="750"/>
      <c r="V39" s="750"/>
      <c r="W39" s="750"/>
      <c r="X39" s="750"/>
      <c r="Y39" s="750"/>
      <c r="Z39" s="750"/>
      <c r="AA39" s="749"/>
      <c r="AB39" s="773"/>
      <c r="AC39" s="750"/>
      <c r="AD39" s="750"/>
      <c r="AE39" s="750"/>
      <c r="AF39" s="750"/>
      <c r="AG39" s="750"/>
      <c r="AH39" s="734"/>
      <c r="AI39" s="515">
        <f t="shared" si="1"/>
        <v>0</v>
      </c>
      <c r="AJ39" s="758"/>
      <c r="AK39" s="517"/>
      <c r="AM39" s="517"/>
    </row>
    <row r="40" spans="1:39" s="500" customFormat="1">
      <c r="A40" s="879" t="s">
        <v>2073</v>
      </c>
      <c r="B40" s="752" t="s">
        <v>1999</v>
      </c>
      <c r="C40" s="747"/>
      <c r="D40" s="748"/>
      <c r="E40" s="748"/>
      <c r="F40" s="749"/>
      <c r="G40" s="748"/>
      <c r="H40" s="748"/>
      <c r="I40" s="750"/>
      <c r="J40" s="750"/>
      <c r="K40" s="750"/>
      <c r="L40" s="750"/>
      <c r="M40" s="749"/>
      <c r="N40" s="750"/>
      <c r="O40" s="750"/>
      <c r="Q40" s="768"/>
      <c r="R40" s="521"/>
      <c r="S40" s="750"/>
      <c r="T40" s="749"/>
      <c r="U40" s="750"/>
      <c r="V40" s="750"/>
      <c r="W40" s="750"/>
      <c r="X40" s="750"/>
      <c r="Y40" s="750"/>
      <c r="Z40" s="750"/>
      <c r="AA40" s="749"/>
      <c r="AB40" s="773"/>
      <c r="AC40" s="750"/>
      <c r="AD40" s="750"/>
      <c r="AE40" s="750"/>
      <c r="AF40" s="750"/>
      <c r="AG40" s="750"/>
      <c r="AH40" s="734"/>
      <c r="AI40" s="515">
        <f t="shared" si="1"/>
        <v>0</v>
      </c>
      <c r="AJ40" s="758"/>
      <c r="AK40" s="517"/>
      <c r="AM40" s="517"/>
    </row>
    <row r="41" spans="1:39" s="500" customFormat="1">
      <c r="A41" s="879" t="s">
        <v>2074</v>
      </c>
      <c r="B41" s="752" t="s">
        <v>2000</v>
      </c>
      <c r="C41" s="747" t="s">
        <v>40</v>
      </c>
      <c r="D41" s="748"/>
      <c r="E41" s="748"/>
      <c r="F41" s="749"/>
      <c r="G41" s="748"/>
      <c r="H41" s="748"/>
      <c r="I41" s="750"/>
      <c r="J41" s="750"/>
      <c r="K41" s="750"/>
      <c r="L41" s="750"/>
      <c r="M41" s="749"/>
      <c r="N41" s="750"/>
      <c r="O41" s="750"/>
      <c r="Q41" s="768"/>
      <c r="R41" s="521"/>
      <c r="S41" s="750"/>
      <c r="T41" s="749"/>
      <c r="U41" s="750"/>
      <c r="V41" s="750"/>
      <c r="W41" s="750"/>
      <c r="X41" s="750"/>
      <c r="Y41" s="750"/>
      <c r="Z41" s="750"/>
      <c r="AA41" s="749"/>
      <c r="AB41" s="773"/>
      <c r="AC41" s="750"/>
      <c r="AD41" s="750"/>
      <c r="AE41" s="750"/>
      <c r="AF41" s="750"/>
      <c r="AG41" s="750"/>
      <c r="AH41" s="734"/>
      <c r="AI41" s="515">
        <f t="shared" si="1"/>
        <v>0</v>
      </c>
      <c r="AJ41" s="758"/>
      <c r="AK41" s="517"/>
      <c r="AM41" s="517"/>
    </row>
    <row r="42" spans="1:39" s="500" customFormat="1" ht="13.5">
      <c r="A42" s="879" t="s">
        <v>2075</v>
      </c>
      <c r="B42" s="752" t="s">
        <v>2001</v>
      </c>
      <c r="C42" s="747" t="s">
        <v>37</v>
      </c>
      <c r="D42" s="748"/>
      <c r="E42" s="748"/>
      <c r="F42" s="749"/>
      <c r="G42" s="748"/>
      <c r="H42" s="748"/>
      <c r="I42" s="750"/>
      <c r="J42" s="880"/>
      <c r="K42" s="750"/>
      <c r="L42" s="750"/>
      <c r="M42" s="749"/>
      <c r="N42" s="750"/>
      <c r="O42" s="750"/>
      <c r="Q42" s="768"/>
      <c r="R42" s="521"/>
      <c r="S42" s="750"/>
      <c r="T42" s="749"/>
      <c r="U42" s="750"/>
      <c r="V42" s="750"/>
      <c r="W42" s="750"/>
      <c r="X42" s="750"/>
      <c r="Y42" s="750"/>
      <c r="Z42" s="750"/>
      <c r="AA42" s="749"/>
      <c r="AB42" s="773"/>
      <c r="AC42" s="750"/>
      <c r="AD42" s="750"/>
      <c r="AE42" s="750"/>
      <c r="AF42" s="750"/>
      <c r="AG42" s="750"/>
      <c r="AH42" s="734"/>
      <c r="AI42" s="515">
        <f t="shared" si="1"/>
        <v>0</v>
      </c>
      <c r="AJ42" s="758"/>
      <c r="AK42" s="517"/>
      <c r="AM42" s="517"/>
    </row>
    <row r="43" spans="1:39" s="500" customFormat="1">
      <c r="A43" s="879" t="s">
        <v>2076</v>
      </c>
      <c r="B43" s="752" t="s">
        <v>2002</v>
      </c>
      <c r="C43" s="747" t="s">
        <v>1938</v>
      </c>
      <c r="D43" s="748"/>
      <c r="E43" s="748"/>
      <c r="F43" s="749"/>
      <c r="G43" s="748"/>
      <c r="H43" s="748"/>
      <c r="I43" s="750"/>
      <c r="J43" s="750"/>
      <c r="K43" s="750"/>
      <c r="L43" s="750"/>
      <c r="M43" s="749"/>
      <c r="N43" s="750"/>
      <c r="O43" s="750"/>
      <c r="Q43" s="768"/>
      <c r="R43" s="521"/>
      <c r="S43" s="750"/>
      <c r="T43" s="749"/>
      <c r="U43" s="750"/>
      <c r="V43" s="750"/>
      <c r="W43" s="750"/>
      <c r="X43" s="750"/>
      <c r="Y43" s="750"/>
      <c r="Z43" s="750"/>
      <c r="AA43" s="749"/>
      <c r="AB43" s="773"/>
      <c r="AC43" s="750"/>
      <c r="AD43" s="750"/>
      <c r="AE43" s="750"/>
      <c r="AF43" s="750"/>
      <c r="AG43" s="750"/>
      <c r="AH43" s="734"/>
      <c r="AI43" s="515">
        <f t="shared" si="1"/>
        <v>0</v>
      </c>
      <c r="AJ43" s="758"/>
      <c r="AK43" s="517"/>
      <c r="AM43" s="517"/>
    </row>
    <row r="44" spans="1:39" s="500" customFormat="1">
      <c r="A44" s="987" t="s">
        <v>2077</v>
      </c>
      <c r="B44" s="988" t="s">
        <v>1209</v>
      </c>
      <c r="C44" s="747"/>
      <c r="D44" s="748"/>
      <c r="E44" s="748"/>
      <c r="F44" s="749"/>
      <c r="G44" s="748"/>
      <c r="H44" s="748"/>
      <c r="I44" s="750"/>
      <c r="J44" s="750"/>
      <c r="K44" s="750"/>
      <c r="L44" s="750"/>
      <c r="M44" s="749"/>
      <c r="N44" s="750"/>
      <c r="O44" s="750"/>
      <c r="P44" s="750"/>
      <c r="Q44" s="667"/>
      <c r="R44" s="521"/>
      <c r="S44" s="750"/>
      <c r="T44" s="749"/>
      <c r="U44" s="750"/>
      <c r="V44" s="750"/>
      <c r="W44" s="750"/>
      <c r="X44" s="750"/>
      <c r="Y44" s="750"/>
      <c r="Z44" s="750"/>
      <c r="AA44" s="749"/>
      <c r="AB44" s="773"/>
      <c r="AC44" s="750"/>
      <c r="AD44" s="750"/>
      <c r="AE44" s="750"/>
      <c r="AF44" s="750"/>
      <c r="AG44" s="750"/>
      <c r="AH44" s="734"/>
      <c r="AI44" s="515">
        <f t="shared" si="1"/>
        <v>0</v>
      </c>
      <c r="AJ44" s="758"/>
      <c r="AK44" s="517"/>
      <c r="AM44" s="517"/>
    </row>
    <row r="45" spans="1:39" s="500" customFormat="1">
      <c r="A45" s="879" t="s">
        <v>2078</v>
      </c>
      <c r="B45" s="752" t="s">
        <v>1949</v>
      </c>
      <c r="C45" s="747"/>
      <c r="D45" s="748"/>
      <c r="E45" s="748"/>
      <c r="F45" s="749"/>
      <c r="G45" s="748"/>
      <c r="H45" s="748"/>
      <c r="I45" s="750"/>
      <c r="J45" s="750"/>
      <c r="K45" s="750"/>
      <c r="L45" s="750"/>
      <c r="M45" s="749"/>
      <c r="N45" s="750"/>
      <c r="O45" s="750"/>
      <c r="P45" s="750"/>
      <c r="Q45" s="667"/>
      <c r="R45" s="521"/>
      <c r="S45" s="750"/>
      <c r="T45" s="749"/>
      <c r="U45" s="750"/>
      <c r="V45" s="750"/>
      <c r="W45" s="750"/>
      <c r="X45" s="750"/>
      <c r="Y45" s="750"/>
      <c r="Z45" s="750"/>
      <c r="AA45" s="749"/>
      <c r="AB45" s="773"/>
      <c r="AC45" s="750"/>
      <c r="AD45" s="750"/>
      <c r="AE45" s="750"/>
      <c r="AF45" s="750"/>
      <c r="AG45" s="750"/>
      <c r="AH45" s="734"/>
      <c r="AI45" s="515">
        <f t="shared" si="1"/>
        <v>0</v>
      </c>
      <c r="AJ45" s="758"/>
      <c r="AK45" s="517"/>
      <c r="AM45" s="517"/>
    </row>
    <row r="46" spans="1:39" s="500" customFormat="1">
      <c r="A46" s="879" t="s">
        <v>2079</v>
      </c>
      <c r="B46" s="752" t="s">
        <v>1950</v>
      </c>
      <c r="C46" s="747" t="s">
        <v>40</v>
      </c>
      <c r="D46" s="748"/>
      <c r="E46" s="748"/>
      <c r="F46" s="749"/>
      <c r="G46" s="520"/>
      <c r="H46" s="520"/>
      <c r="I46" s="750"/>
      <c r="J46" s="750"/>
      <c r="K46" s="750"/>
      <c r="L46" s="750"/>
      <c r="M46" s="749"/>
      <c r="N46" s="750"/>
      <c r="O46" s="750"/>
      <c r="P46" s="750"/>
      <c r="Q46" s="667"/>
      <c r="R46" s="521"/>
      <c r="S46" s="750"/>
      <c r="T46" s="749"/>
      <c r="U46" s="750"/>
      <c r="V46" s="750"/>
      <c r="W46" s="750"/>
      <c r="X46" s="750"/>
      <c r="Y46" s="750"/>
      <c r="Z46" s="750"/>
      <c r="AA46" s="749"/>
      <c r="AB46" s="773"/>
      <c r="AC46" s="750"/>
      <c r="AD46" s="750"/>
      <c r="AE46" s="750"/>
      <c r="AF46" s="750"/>
      <c r="AG46" s="750"/>
      <c r="AH46" s="734"/>
      <c r="AI46" s="515">
        <f t="shared" si="1"/>
        <v>0</v>
      </c>
      <c r="AJ46" s="758"/>
      <c r="AK46" s="517"/>
      <c r="AM46" s="517"/>
    </row>
    <row r="47" spans="1:39" s="500" customFormat="1">
      <c r="A47" s="879" t="s">
        <v>2080</v>
      </c>
      <c r="B47" s="752" t="s">
        <v>1994</v>
      </c>
      <c r="C47" s="747"/>
      <c r="D47" s="748"/>
      <c r="E47" s="748"/>
      <c r="F47" s="749"/>
      <c r="G47" s="748"/>
      <c r="H47" s="748"/>
      <c r="I47" s="750"/>
      <c r="J47" s="750"/>
      <c r="K47" s="750"/>
      <c r="L47" s="750"/>
      <c r="M47" s="749"/>
      <c r="N47" s="750"/>
      <c r="O47" s="750"/>
      <c r="P47" s="750"/>
      <c r="Q47" s="667"/>
      <c r="R47" s="734"/>
      <c r="S47" s="750"/>
      <c r="T47" s="749"/>
      <c r="U47" s="750"/>
      <c r="V47" s="750"/>
      <c r="W47" s="750"/>
      <c r="X47" s="750"/>
      <c r="Y47" s="750"/>
      <c r="Z47" s="750"/>
      <c r="AA47" s="749"/>
      <c r="AB47" s="773"/>
      <c r="AC47" s="750"/>
      <c r="AD47" s="750"/>
      <c r="AE47" s="750"/>
      <c r="AF47" s="750"/>
      <c r="AG47" s="750"/>
      <c r="AH47" s="734"/>
      <c r="AI47" s="515">
        <f t="shared" si="1"/>
        <v>0</v>
      </c>
      <c r="AJ47" s="758"/>
      <c r="AK47" s="517"/>
      <c r="AM47" s="517"/>
    </row>
    <row r="48" spans="1:39" s="500" customFormat="1">
      <c r="A48" s="879" t="s">
        <v>2081</v>
      </c>
      <c r="B48" s="752" t="s">
        <v>1995</v>
      </c>
      <c r="C48" s="747"/>
      <c r="D48" s="748"/>
      <c r="E48" s="748"/>
      <c r="F48" s="749"/>
      <c r="G48" s="748"/>
      <c r="H48" s="748"/>
      <c r="I48" s="521"/>
      <c r="J48" s="521"/>
      <c r="K48" s="750"/>
      <c r="L48" s="750"/>
      <c r="M48" s="749"/>
      <c r="N48" s="750"/>
      <c r="O48" s="750"/>
      <c r="P48" s="750"/>
      <c r="Q48" s="667"/>
      <c r="R48" s="734"/>
      <c r="S48" s="750"/>
      <c r="T48" s="749"/>
      <c r="U48" s="750"/>
      <c r="V48" s="750"/>
      <c r="W48" s="750"/>
      <c r="X48" s="750"/>
      <c r="Y48" s="750"/>
      <c r="Z48" s="750"/>
      <c r="AA48" s="749"/>
      <c r="AB48" s="773"/>
      <c r="AC48" s="750"/>
      <c r="AD48" s="750"/>
      <c r="AE48" s="750"/>
      <c r="AF48" s="750"/>
      <c r="AG48" s="750"/>
      <c r="AH48" s="734"/>
      <c r="AI48" s="515">
        <f t="shared" si="1"/>
        <v>0</v>
      </c>
      <c r="AJ48" s="758"/>
      <c r="AK48" s="517"/>
      <c r="AM48" s="517"/>
    </row>
    <row r="49" spans="1:39" s="500" customFormat="1">
      <c r="A49" s="879" t="s">
        <v>2082</v>
      </c>
      <c r="B49" s="752" t="s">
        <v>1996</v>
      </c>
      <c r="C49" s="747" t="s">
        <v>40</v>
      </c>
      <c r="D49" s="748"/>
      <c r="E49" s="748"/>
      <c r="F49" s="749"/>
      <c r="G49" s="748"/>
      <c r="H49" s="520"/>
      <c r="I49" s="667"/>
      <c r="J49" s="750"/>
      <c r="K49" s="750"/>
      <c r="L49" s="750"/>
      <c r="M49" s="749"/>
      <c r="N49" s="750"/>
      <c r="O49" s="750"/>
      <c r="P49" s="750"/>
      <c r="Q49" s="667"/>
      <c r="R49" s="734"/>
      <c r="S49" s="750"/>
      <c r="T49" s="749"/>
      <c r="U49" s="750"/>
      <c r="V49" s="750"/>
      <c r="W49" s="750"/>
      <c r="X49" s="750"/>
      <c r="Y49" s="750"/>
      <c r="Z49" s="750"/>
      <c r="AA49" s="749"/>
      <c r="AB49" s="773"/>
      <c r="AC49" s="750"/>
      <c r="AD49" s="750"/>
      <c r="AE49" s="750"/>
      <c r="AF49" s="750"/>
      <c r="AG49" s="750"/>
      <c r="AH49" s="734"/>
      <c r="AI49" s="515">
        <f t="shared" si="1"/>
        <v>0</v>
      </c>
      <c r="AJ49" s="758"/>
      <c r="AK49" s="517"/>
      <c r="AM49" s="517"/>
    </row>
    <row r="50" spans="1:39" s="500" customFormat="1">
      <c r="A50" s="879" t="s">
        <v>2083</v>
      </c>
      <c r="B50" s="752" t="s">
        <v>1997</v>
      </c>
      <c r="C50" s="747" t="s">
        <v>37</v>
      </c>
      <c r="D50" s="748"/>
      <c r="E50" s="748"/>
      <c r="F50" s="749"/>
      <c r="G50" s="748"/>
      <c r="H50" s="667"/>
      <c r="I50" s="748"/>
      <c r="J50" s="750"/>
      <c r="K50" s="750"/>
      <c r="L50" s="750"/>
      <c r="M50" s="749"/>
      <c r="N50" s="750"/>
      <c r="O50" s="750"/>
      <c r="P50" s="750"/>
      <c r="Q50" s="667"/>
      <c r="R50" s="734"/>
      <c r="S50" s="750"/>
      <c r="T50" s="749"/>
      <c r="U50" s="750"/>
      <c r="V50" s="750"/>
      <c r="W50" s="750"/>
      <c r="X50" s="750"/>
      <c r="Y50" s="750"/>
      <c r="Z50" s="750"/>
      <c r="AA50" s="749"/>
      <c r="AB50" s="773"/>
      <c r="AC50" s="750"/>
      <c r="AD50" s="750"/>
      <c r="AE50" s="750"/>
      <c r="AF50" s="750"/>
      <c r="AG50" s="750"/>
      <c r="AH50" s="734"/>
      <c r="AI50" s="515">
        <f t="shared" si="1"/>
        <v>0</v>
      </c>
      <c r="AJ50" s="758"/>
      <c r="AK50" s="517"/>
      <c r="AM50" s="517"/>
    </row>
    <row r="51" spans="1:39" s="500" customFormat="1">
      <c r="A51" s="879" t="s">
        <v>2084</v>
      </c>
      <c r="B51" s="752" t="s">
        <v>1998</v>
      </c>
      <c r="C51" s="747" t="s">
        <v>1938</v>
      </c>
      <c r="D51" s="748"/>
      <c r="E51" s="748"/>
      <c r="F51" s="749"/>
      <c r="G51" s="748"/>
      <c r="H51" s="748"/>
      <c r="I51" s="750"/>
      <c r="J51" s="750"/>
      <c r="K51" s="750"/>
      <c r="L51" s="750"/>
      <c r="M51" s="749"/>
      <c r="N51" s="750"/>
      <c r="O51" s="750"/>
      <c r="P51" s="750"/>
      <c r="Q51" s="667"/>
      <c r="R51" s="734"/>
      <c r="S51" s="750"/>
      <c r="T51" s="749"/>
      <c r="U51" s="750"/>
      <c r="V51" s="750"/>
      <c r="W51" s="750"/>
      <c r="X51" s="750"/>
      <c r="Y51" s="750"/>
      <c r="Z51" s="750"/>
      <c r="AA51" s="749"/>
      <c r="AB51" s="773"/>
      <c r="AC51" s="750"/>
      <c r="AD51" s="750"/>
      <c r="AE51" s="750"/>
      <c r="AF51" s="750"/>
      <c r="AG51" s="750"/>
      <c r="AH51" s="734"/>
      <c r="AI51" s="515">
        <f t="shared" si="1"/>
        <v>0</v>
      </c>
      <c r="AJ51" s="758"/>
      <c r="AK51" s="517"/>
      <c r="AM51" s="517"/>
    </row>
    <row r="52" spans="1:39" s="500" customFormat="1">
      <c r="A52" s="879" t="s">
        <v>2085</v>
      </c>
      <c r="B52" s="752" t="s">
        <v>1999</v>
      </c>
      <c r="C52" s="747"/>
      <c r="D52" s="748"/>
      <c r="E52" s="748"/>
      <c r="F52" s="749"/>
      <c r="G52" s="748"/>
      <c r="H52" s="748"/>
      <c r="I52" s="750"/>
      <c r="J52" s="750"/>
      <c r="K52" s="750"/>
      <c r="L52" s="750"/>
      <c r="M52" s="749"/>
      <c r="N52" s="750"/>
      <c r="O52" s="750"/>
      <c r="P52" s="750"/>
      <c r="Q52" s="667"/>
      <c r="R52" s="734"/>
      <c r="S52" s="750"/>
      <c r="T52" s="749"/>
      <c r="U52" s="750"/>
      <c r="V52" s="750"/>
      <c r="W52" s="750"/>
      <c r="X52" s="750"/>
      <c r="Y52" s="750"/>
      <c r="Z52" s="750"/>
      <c r="AA52" s="749"/>
      <c r="AB52" s="773"/>
      <c r="AC52" s="750"/>
      <c r="AD52" s="750"/>
      <c r="AE52" s="750"/>
      <c r="AF52" s="750"/>
      <c r="AG52" s="750"/>
      <c r="AH52" s="734"/>
      <c r="AI52" s="515">
        <f t="shared" si="1"/>
        <v>0</v>
      </c>
      <c r="AJ52" s="758"/>
      <c r="AK52" s="517"/>
      <c r="AM52" s="517"/>
    </row>
    <row r="53" spans="1:39" s="500" customFormat="1">
      <c r="A53" s="879" t="s">
        <v>2086</v>
      </c>
      <c r="B53" s="752" t="s">
        <v>2000</v>
      </c>
      <c r="C53" s="747" t="s">
        <v>40</v>
      </c>
      <c r="D53" s="748"/>
      <c r="E53" s="748"/>
      <c r="F53" s="749"/>
      <c r="G53" s="748"/>
      <c r="H53" s="748"/>
      <c r="I53" s="750"/>
      <c r="J53" s="521"/>
      <c r="K53" s="750"/>
      <c r="L53" s="750"/>
      <c r="M53" s="749"/>
      <c r="N53" s="750"/>
      <c r="O53" s="750"/>
      <c r="P53" s="750"/>
      <c r="Q53" s="667"/>
      <c r="R53" s="734"/>
      <c r="S53" s="750"/>
      <c r="T53" s="749"/>
      <c r="U53" s="750"/>
      <c r="V53" s="750"/>
      <c r="W53" s="750"/>
      <c r="X53" s="750"/>
      <c r="Y53" s="750"/>
      <c r="Z53" s="750"/>
      <c r="AA53" s="749"/>
      <c r="AB53" s="773"/>
      <c r="AC53" s="750"/>
      <c r="AD53" s="750"/>
      <c r="AE53" s="750"/>
      <c r="AF53" s="750"/>
      <c r="AG53" s="750"/>
      <c r="AH53" s="734"/>
      <c r="AI53" s="515">
        <f t="shared" si="1"/>
        <v>0</v>
      </c>
      <c r="AJ53" s="758"/>
      <c r="AK53" s="517"/>
      <c r="AM53" s="517"/>
    </row>
    <row r="54" spans="1:39" s="500" customFormat="1">
      <c r="A54" s="879" t="s">
        <v>2087</v>
      </c>
      <c r="B54" s="752" t="s">
        <v>2001</v>
      </c>
      <c r="C54" s="747" t="s">
        <v>37</v>
      </c>
      <c r="D54" s="748"/>
      <c r="E54" s="748"/>
      <c r="F54" s="749"/>
      <c r="G54" s="748"/>
      <c r="H54" s="748"/>
      <c r="J54" s="750"/>
      <c r="K54" s="750"/>
      <c r="L54" s="750"/>
      <c r="M54" s="749"/>
      <c r="N54" s="750"/>
      <c r="O54" s="750"/>
      <c r="P54" s="750"/>
      <c r="Q54" s="667"/>
      <c r="R54" s="734"/>
      <c r="S54" s="750"/>
      <c r="T54" s="749"/>
      <c r="U54" s="750"/>
      <c r="V54" s="750"/>
      <c r="W54" s="750"/>
      <c r="X54" s="750"/>
      <c r="Y54" s="750"/>
      <c r="Z54" s="750"/>
      <c r="AA54" s="749"/>
      <c r="AB54" s="773"/>
      <c r="AC54" s="750"/>
      <c r="AD54" s="750"/>
      <c r="AE54" s="750"/>
      <c r="AF54" s="750"/>
      <c r="AG54" s="750"/>
      <c r="AH54" s="734"/>
      <c r="AI54" s="515">
        <f t="shared" si="1"/>
        <v>0</v>
      </c>
      <c r="AJ54" s="758"/>
      <c r="AK54" s="517"/>
      <c r="AM54" s="517"/>
    </row>
    <row r="55" spans="1:39" s="500" customFormat="1">
      <c r="A55" s="879" t="s">
        <v>2088</v>
      </c>
      <c r="B55" s="752" t="s">
        <v>2002</v>
      </c>
      <c r="C55" s="747" t="s">
        <v>1938</v>
      </c>
      <c r="D55" s="748"/>
      <c r="E55" s="748"/>
      <c r="F55" s="749"/>
      <c r="G55" s="748"/>
      <c r="H55" s="748"/>
      <c r="I55" s="750"/>
      <c r="J55" s="750"/>
      <c r="K55" s="750"/>
      <c r="L55" s="750"/>
      <c r="M55" s="749"/>
      <c r="N55" s="750"/>
      <c r="O55" s="750"/>
      <c r="P55" s="750"/>
      <c r="Q55" s="667"/>
      <c r="R55" s="734"/>
      <c r="S55" s="750"/>
      <c r="T55" s="749"/>
      <c r="U55" s="750"/>
      <c r="V55" s="750"/>
      <c r="W55" s="750"/>
      <c r="X55" s="750"/>
      <c r="Y55" s="750"/>
      <c r="Z55" s="750"/>
      <c r="AA55" s="749"/>
      <c r="AB55" s="773"/>
      <c r="AC55" s="750"/>
      <c r="AD55" s="750"/>
      <c r="AE55" s="750"/>
      <c r="AF55" s="750"/>
      <c r="AG55" s="750"/>
      <c r="AH55" s="734"/>
      <c r="AI55" s="515">
        <f t="shared" si="1"/>
        <v>0</v>
      </c>
      <c r="AJ55" s="758"/>
      <c r="AK55" s="517"/>
      <c r="AM55" s="517"/>
    </row>
    <row r="56" spans="1:39" s="500" customFormat="1">
      <c r="A56" s="879" t="s">
        <v>2184</v>
      </c>
      <c r="B56" s="539" t="s">
        <v>1181</v>
      </c>
      <c r="C56" s="792"/>
      <c r="D56" s="748"/>
      <c r="E56" s="748"/>
      <c r="F56" s="749"/>
      <c r="G56" s="748"/>
      <c r="H56" s="748"/>
      <c r="I56" s="750"/>
      <c r="J56" s="750"/>
      <c r="K56" s="750"/>
      <c r="L56" s="750"/>
      <c r="M56" s="749"/>
      <c r="N56" s="750"/>
      <c r="O56" s="750"/>
      <c r="P56" s="750"/>
      <c r="Q56" s="667"/>
      <c r="R56" s="734"/>
      <c r="S56" s="750"/>
      <c r="T56" s="749"/>
      <c r="U56" s="750"/>
      <c r="V56" s="750"/>
      <c r="W56" s="750"/>
      <c r="X56" s="750"/>
      <c r="Y56" s="750"/>
      <c r="Z56" s="750"/>
      <c r="AA56" s="749"/>
      <c r="AB56" s="773"/>
      <c r="AC56" s="750"/>
      <c r="AD56" s="750"/>
      <c r="AE56" s="750"/>
      <c r="AF56" s="750"/>
      <c r="AG56" s="750"/>
      <c r="AH56" s="734"/>
      <c r="AI56" s="515">
        <f t="shared" si="1"/>
        <v>0</v>
      </c>
      <c r="AJ56" s="758"/>
      <c r="AK56" s="517"/>
      <c r="AM56" s="517"/>
    </row>
    <row r="57" spans="1:39" s="500" customFormat="1">
      <c r="A57" s="879" t="s">
        <v>2185</v>
      </c>
      <c r="B57" s="539" t="s">
        <v>1182</v>
      </c>
      <c r="C57" s="974" t="s">
        <v>40</v>
      </c>
      <c r="D57" s="748"/>
      <c r="E57" s="748"/>
      <c r="F57" s="749"/>
      <c r="G57" s="748"/>
      <c r="H57" s="748"/>
      <c r="I57" s="750"/>
      <c r="J57" s="750"/>
      <c r="K57" s="750"/>
      <c r="L57" s="750"/>
      <c r="M57" s="749"/>
      <c r="N57" s="750"/>
      <c r="O57" s="750"/>
      <c r="P57" s="750"/>
      <c r="Q57" s="667"/>
      <c r="R57" s="734"/>
      <c r="S57" s="750"/>
      <c r="T57" s="749"/>
      <c r="U57" s="750"/>
      <c r="V57" s="750"/>
      <c r="W57" s="750"/>
      <c r="X57" s="750"/>
      <c r="Y57" s="750"/>
      <c r="Z57" s="750"/>
      <c r="AA57" s="749"/>
      <c r="AB57" s="773"/>
      <c r="AC57" s="750"/>
      <c r="AD57" s="750"/>
      <c r="AE57" s="750"/>
      <c r="AF57" s="750"/>
      <c r="AG57" s="750"/>
      <c r="AH57" s="734"/>
      <c r="AI57" s="515">
        <f t="shared" si="1"/>
        <v>0</v>
      </c>
      <c r="AJ57" s="758"/>
      <c r="AK57" s="517"/>
      <c r="AM57" s="517"/>
    </row>
    <row r="58" spans="1:39" s="500" customFormat="1">
      <c r="A58" s="879" t="s">
        <v>2186</v>
      </c>
      <c r="B58" s="539" t="s">
        <v>1183</v>
      </c>
      <c r="C58" s="974" t="s">
        <v>37</v>
      </c>
      <c r="D58" s="748"/>
      <c r="E58" s="748"/>
      <c r="F58" s="749"/>
      <c r="G58" s="748"/>
      <c r="H58" s="748"/>
      <c r="I58" s="750"/>
      <c r="J58" s="750"/>
      <c r="K58" s="750"/>
      <c r="L58" s="750"/>
      <c r="M58" s="749"/>
      <c r="N58" s="750"/>
      <c r="O58" s="750"/>
      <c r="P58" s="750"/>
      <c r="Q58" s="667"/>
      <c r="R58" s="734"/>
      <c r="S58" s="750"/>
      <c r="T58" s="749"/>
      <c r="U58" s="750"/>
      <c r="V58" s="750"/>
      <c r="W58" s="750"/>
      <c r="X58" s="750"/>
      <c r="Y58" s="750"/>
      <c r="Z58" s="750"/>
      <c r="AA58" s="749"/>
      <c r="AB58" s="773"/>
      <c r="AC58" s="750"/>
      <c r="AD58" s="750"/>
      <c r="AE58" s="750"/>
      <c r="AF58" s="750"/>
      <c r="AG58" s="750"/>
      <c r="AH58" s="734"/>
      <c r="AI58" s="515">
        <f t="shared" si="1"/>
        <v>0</v>
      </c>
      <c r="AJ58" s="758"/>
      <c r="AK58" s="517"/>
      <c r="AM58" s="517"/>
    </row>
    <row r="59" spans="1:39" s="500" customFormat="1">
      <c r="A59" s="879" t="s">
        <v>2187</v>
      </c>
      <c r="B59" s="539" t="s">
        <v>1184</v>
      </c>
      <c r="C59" s="974" t="s">
        <v>48</v>
      </c>
      <c r="D59" s="748"/>
      <c r="E59" s="748"/>
      <c r="F59" s="749"/>
      <c r="G59" s="748"/>
      <c r="H59" s="748"/>
      <c r="I59" s="750"/>
      <c r="J59" s="750"/>
      <c r="K59" s="750"/>
      <c r="L59" s="750"/>
      <c r="M59" s="749"/>
      <c r="N59" s="750"/>
      <c r="O59" s="750"/>
      <c r="P59" s="750"/>
      <c r="Q59" s="667"/>
      <c r="R59" s="734"/>
      <c r="S59" s="750"/>
      <c r="T59" s="749"/>
      <c r="U59" s="750"/>
      <c r="V59" s="750"/>
      <c r="W59" s="750"/>
      <c r="X59" s="750"/>
      <c r="Y59" s="750"/>
      <c r="Z59" s="750"/>
      <c r="AA59" s="749"/>
      <c r="AB59" s="773"/>
      <c r="AC59" s="750"/>
      <c r="AD59" s="750"/>
      <c r="AE59" s="750"/>
      <c r="AF59" s="750"/>
      <c r="AG59" s="750"/>
      <c r="AH59" s="734"/>
      <c r="AI59" s="515">
        <f t="shared" si="1"/>
        <v>0</v>
      </c>
      <c r="AJ59" s="758"/>
      <c r="AK59" s="517"/>
      <c r="AM59" s="517"/>
    </row>
    <row r="60" spans="1:39" s="500" customFormat="1">
      <c r="A60" s="987" t="s">
        <v>2089</v>
      </c>
      <c r="B60" s="542" t="s">
        <v>1211</v>
      </c>
      <c r="C60" s="747"/>
      <c r="D60" s="748"/>
      <c r="E60" s="748"/>
      <c r="F60" s="749"/>
      <c r="G60" s="748"/>
      <c r="H60" s="748"/>
      <c r="I60" s="750"/>
      <c r="J60" s="750"/>
      <c r="K60" s="750"/>
      <c r="L60" s="750"/>
      <c r="M60" s="749"/>
      <c r="N60" s="750"/>
      <c r="O60" s="750"/>
      <c r="P60" s="750"/>
      <c r="Q60" s="667"/>
      <c r="S60" s="750"/>
      <c r="T60" s="749"/>
      <c r="U60" s="750"/>
      <c r="V60" s="750"/>
      <c r="W60" s="750"/>
      <c r="X60" s="750"/>
      <c r="Y60" s="750"/>
      <c r="Z60" s="750"/>
      <c r="AA60" s="749"/>
      <c r="AB60" s="773"/>
      <c r="AC60" s="750"/>
      <c r="AD60" s="750"/>
      <c r="AE60" s="750"/>
      <c r="AF60" s="750"/>
      <c r="AG60" s="750"/>
      <c r="AH60" s="734"/>
      <c r="AI60" s="515">
        <f t="shared" si="1"/>
        <v>0</v>
      </c>
      <c r="AJ60" s="758"/>
      <c r="AK60" s="517"/>
      <c r="AM60" s="517"/>
    </row>
    <row r="61" spans="1:39" s="500" customFormat="1">
      <c r="A61" s="879" t="s">
        <v>2090</v>
      </c>
      <c r="B61" s="752" t="s">
        <v>1949</v>
      </c>
      <c r="C61" s="747"/>
      <c r="D61" s="748"/>
      <c r="E61" s="748"/>
      <c r="F61" s="749"/>
      <c r="G61" s="748"/>
      <c r="H61" s="748"/>
      <c r="I61" s="750"/>
      <c r="J61" s="750"/>
      <c r="K61" s="750"/>
      <c r="L61" s="750"/>
      <c r="M61" s="749"/>
      <c r="N61" s="750"/>
      <c r="O61" s="750"/>
      <c r="P61" s="750"/>
      <c r="Q61" s="667"/>
      <c r="R61" s="521"/>
      <c r="S61" s="750"/>
      <c r="T61" s="749"/>
      <c r="U61" s="750"/>
      <c r="V61" s="750"/>
      <c r="W61" s="750"/>
      <c r="X61" s="750"/>
      <c r="Y61" s="750"/>
      <c r="Z61" s="750"/>
      <c r="AA61" s="749"/>
      <c r="AB61" s="773"/>
      <c r="AC61" s="750"/>
      <c r="AD61" s="750"/>
      <c r="AE61" s="750"/>
      <c r="AF61" s="750"/>
      <c r="AG61" s="750"/>
      <c r="AH61" s="734"/>
      <c r="AI61" s="515">
        <f t="shared" si="1"/>
        <v>0</v>
      </c>
      <c r="AJ61" s="758"/>
      <c r="AK61" s="517"/>
      <c r="AM61" s="517"/>
    </row>
    <row r="62" spans="1:39" s="500" customFormat="1">
      <c r="A62" s="879" t="s">
        <v>2091</v>
      </c>
      <c r="B62" s="752" t="s">
        <v>1950</v>
      </c>
      <c r="C62" s="747" t="s">
        <v>40</v>
      </c>
      <c r="D62" s="750"/>
      <c r="E62" s="748"/>
      <c r="F62" s="749"/>
      <c r="G62" s="748"/>
      <c r="H62" s="748"/>
      <c r="I62" s="750"/>
      <c r="J62" s="750"/>
      <c r="K62" s="750"/>
      <c r="L62" s="750"/>
      <c r="M62" s="749"/>
      <c r="N62" s="750"/>
      <c r="O62" s="750"/>
      <c r="P62" s="750"/>
      <c r="Q62" s="667"/>
      <c r="R62" s="750"/>
      <c r="S62" s="750"/>
      <c r="T62" s="749"/>
      <c r="U62" s="750"/>
      <c r="V62" s="750"/>
      <c r="W62" s="750"/>
      <c r="X62" s="750"/>
      <c r="Y62" s="750"/>
      <c r="Z62" s="750"/>
      <c r="AA62" s="749"/>
      <c r="AB62" s="773"/>
      <c r="AC62" s="750"/>
      <c r="AD62" s="750"/>
      <c r="AE62" s="750"/>
      <c r="AF62" s="750"/>
      <c r="AG62" s="750"/>
      <c r="AH62" s="734"/>
      <c r="AI62" s="515">
        <f t="shared" si="1"/>
        <v>0</v>
      </c>
      <c r="AJ62" s="758"/>
      <c r="AK62" s="517"/>
      <c r="AM62" s="517"/>
    </row>
    <row r="63" spans="1:39" s="500" customFormat="1">
      <c r="A63" s="879" t="s">
        <v>2092</v>
      </c>
      <c r="B63" s="752" t="s">
        <v>2003</v>
      </c>
      <c r="C63" s="747"/>
      <c r="D63" s="748"/>
      <c r="E63" s="748"/>
      <c r="F63" s="749"/>
      <c r="G63" s="748"/>
      <c r="H63" s="748"/>
      <c r="I63" s="750"/>
      <c r="J63" s="750"/>
      <c r="K63" s="750"/>
      <c r="L63" s="750"/>
      <c r="M63" s="749"/>
      <c r="N63" s="750"/>
      <c r="O63" s="667"/>
      <c r="P63" s="750"/>
      <c r="Q63" s="667"/>
      <c r="R63" s="521"/>
      <c r="S63" s="750"/>
      <c r="T63" s="749"/>
      <c r="U63" s="750"/>
      <c r="V63" s="750"/>
      <c r="W63" s="750"/>
      <c r="X63" s="750"/>
      <c r="Y63" s="750"/>
      <c r="Z63" s="750"/>
      <c r="AA63" s="749"/>
      <c r="AB63" s="773"/>
      <c r="AC63" s="750"/>
      <c r="AD63" s="750"/>
      <c r="AE63" s="750"/>
      <c r="AF63" s="750"/>
      <c r="AG63" s="750"/>
      <c r="AH63" s="734"/>
      <c r="AI63" s="515">
        <f t="shared" si="1"/>
        <v>0</v>
      </c>
      <c r="AJ63" s="758"/>
      <c r="AK63" s="517"/>
      <c r="AM63" s="517"/>
    </row>
    <row r="64" spans="1:39" s="500" customFormat="1">
      <c r="A64" s="879" t="s">
        <v>2102</v>
      </c>
      <c r="B64" s="542" t="s">
        <v>1239</v>
      </c>
      <c r="C64" s="747"/>
      <c r="D64" s="748"/>
      <c r="E64" s="748"/>
      <c r="F64" s="749"/>
      <c r="G64" s="748"/>
      <c r="H64" s="748"/>
      <c r="I64" s="750"/>
      <c r="J64" s="750"/>
      <c r="K64" s="750"/>
      <c r="L64" s="750"/>
      <c r="M64" s="749"/>
      <c r="N64" s="750"/>
      <c r="O64" s="667"/>
      <c r="P64" s="750"/>
      <c r="Q64" s="667"/>
      <c r="R64" s="521"/>
      <c r="S64" s="750"/>
      <c r="T64" s="749"/>
      <c r="U64" s="750"/>
      <c r="V64" s="750"/>
      <c r="W64" s="750"/>
      <c r="X64" s="750"/>
      <c r="Y64" s="750"/>
      <c r="Z64" s="750"/>
      <c r="AA64" s="749"/>
      <c r="AB64" s="773"/>
      <c r="AC64" s="750"/>
      <c r="AD64" s="750"/>
      <c r="AE64" s="750"/>
      <c r="AF64" s="750"/>
      <c r="AG64" s="750"/>
      <c r="AH64" s="734"/>
      <c r="AI64" s="515">
        <f t="shared" si="1"/>
        <v>0</v>
      </c>
      <c r="AJ64" s="758"/>
      <c r="AK64" s="517"/>
      <c r="AM64" s="517"/>
    </row>
    <row r="65" spans="1:39" s="500" customFormat="1">
      <c r="A65" s="542" t="s">
        <v>2103</v>
      </c>
      <c r="B65" s="988" t="s">
        <v>2099</v>
      </c>
      <c r="C65" s="747" t="s">
        <v>2100</v>
      </c>
      <c r="D65" s="748"/>
      <c r="E65" s="748"/>
      <c r="F65" s="749"/>
      <c r="G65" s="748"/>
      <c r="H65" s="748"/>
      <c r="I65" s="750"/>
      <c r="J65" s="750"/>
      <c r="K65" s="750"/>
      <c r="L65" s="750"/>
      <c r="M65" s="749"/>
      <c r="N65" s="750"/>
      <c r="O65" s="667"/>
      <c r="P65" s="750"/>
      <c r="Q65" s="1065">
        <v>7.1</v>
      </c>
      <c r="R65" s="521"/>
      <c r="S65" s="750"/>
      <c r="T65" s="749"/>
      <c r="U65" s="750"/>
      <c r="V65" s="750"/>
      <c r="W65" s="750"/>
      <c r="X65" s="750"/>
      <c r="Y65" s="750"/>
      <c r="Z65" s="750"/>
      <c r="AA65" s="749"/>
      <c r="AB65" s="773"/>
      <c r="AC65" s="1018">
        <f>7.7</f>
        <v>7.7</v>
      </c>
      <c r="AD65" s="750"/>
      <c r="AE65" s="750"/>
      <c r="AF65" s="750"/>
      <c r="AG65" s="750"/>
      <c r="AH65" s="734"/>
      <c r="AI65" s="992">
        <f t="shared" si="1"/>
        <v>14.8</v>
      </c>
      <c r="AJ65" s="758"/>
      <c r="AK65" s="517"/>
      <c r="AM65" s="517"/>
    </row>
    <row r="66" spans="1:39" s="500" customFormat="1">
      <c r="A66" s="542" t="s">
        <v>2214</v>
      </c>
      <c r="B66" s="542" t="s">
        <v>2215</v>
      </c>
      <c r="C66" s="548"/>
      <c r="D66" s="748"/>
      <c r="E66" s="748"/>
      <c r="F66" s="749"/>
      <c r="G66" s="748"/>
      <c r="H66" s="748"/>
      <c r="I66" s="750"/>
      <c r="J66" s="750"/>
      <c r="K66" s="750"/>
      <c r="L66" s="750"/>
      <c r="M66" s="749"/>
      <c r="N66" s="750"/>
      <c r="O66" s="667"/>
      <c r="P66" s="750"/>
      <c r="Q66" s="667"/>
      <c r="R66" s="521"/>
      <c r="S66" s="750"/>
      <c r="T66" s="749"/>
      <c r="U66" s="750"/>
      <c r="V66" s="750"/>
      <c r="W66" s="750"/>
      <c r="X66" s="750"/>
      <c r="Y66" s="750"/>
      <c r="Z66" s="750"/>
      <c r="AA66" s="749"/>
      <c r="AB66" s="773"/>
      <c r="AC66" s="750"/>
      <c r="AD66" s="750"/>
      <c r="AE66" s="750"/>
      <c r="AF66" s="750"/>
      <c r="AG66" s="750"/>
      <c r="AH66" s="734"/>
      <c r="AI66" s="515">
        <f t="shared" si="1"/>
        <v>0</v>
      </c>
      <c r="AJ66" s="758"/>
      <c r="AK66" s="517"/>
      <c r="AM66" s="517"/>
    </row>
    <row r="67" spans="1:39" s="500" customFormat="1">
      <c r="A67" s="542" t="s">
        <v>2216</v>
      </c>
      <c r="B67" s="539" t="s">
        <v>2215</v>
      </c>
      <c r="C67" s="548" t="s">
        <v>2100</v>
      </c>
      <c r="D67" s="748"/>
      <c r="E67" s="748"/>
      <c r="F67" s="749"/>
      <c r="G67" s="748"/>
      <c r="H67" s="748"/>
      <c r="I67" s="750"/>
      <c r="J67" s="750"/>
      <c r="K67" s="750"/>
      <c r="L67" s="750"/>
      <c r="M67" s="749"/>
      <c r="N67" s="750"/>
      <c r="O67" s="667"/>
      <c r="P67" s="750"/>
      <c r="Q67" s="667"/>
      <c r="R67" s="521"/>
      <c r="S67" s="750"/>
      <c r="T67" s="749"/>
      <c r="U67" s="750"/>
      <c r="V67" s="750"/>
      <c r="W67" s="1018">
        <f>3.4*0.35+3.35*0.5+3.3*0.35+3.3*0.4</f>
        <v>5.34</v>
      </c>
      <c r="X67" s="750"/>
      <c r="Y67" s="750"/>
      <c r="Z67" s="750"/>
      <c r="AA67" s="749"/>
      <c r="AB67" s="773"/>
      <c r="AC67" s="750"/>
      <c r="AD67" s="750"/>
      <c r="AE67" s="750"/>
      <c r="AF67" s="750"/>
      <c r="AG67" s="750"/>
      <c r="AH67" s="734"/>
      <c r="AI67" s="992">
        <f t="shared" si="1"/>
        <v>5.34</v>
      </c>
      <c r="AJ67" s="758"/>
      <c r="AK67" s="517"/>
      <c r="AM67" s="517"/>
    </row>
    <row r="68" spans="1:39" s="500" customFormat="1">
      <c r="A68" s="987" t="s">
        <v>2116</v>
      </c>
      <c r="B68" s="988" t="s">
        <v>1994</v>
      </c>
      <c r="C68" s="747"/>
      <c r="D68" s="748"/>
      <c r="E68" s="748"/>
      <c r="F68" s="749"/>
      <c r="G68" s="748"/>
      <c r="H68" s="748"/>
      <c r="I68" s="750"/>
      <c r="J68" s="750"/>
      <c r="K68" s="750"/>
      <c r="L68" s="750"/>
      <c r="M68" s="749"/>
      <c r="N68" s="750"/>
      <c r="O68" s="667"/>
      <c r="P68" s="750"/>
      <c r="Q68" s="667"/>
      <c r="R68" s="521"/>
      <c r="S68" s="750"/>
      <c r="T68" s="749"/>
      <c r="U68" s="750"/>
      <c r="V68" s="750"/>
      <c r="W68" s="750"/>
      <c r="X68" s="750"/>
      <c r="Y68" s="750"/>
      <c r="Z68" s="750"/>
      <c r="AA68" s="749"/>
      <c r="AB68" s="773"/>
      <c r="AC68" s="750"/>
      <c r="AD68" s="750"/>
      <c r="AE68" s="750"/>
      <c r="AF68" s="750"/>
      <c r="AG68" s="750"/>
      <c r="AH68" s="734"/>
      <c r="AI68" s="515">
        <f t="shared" si="1"/>
        <v>0</v>
      </c>
      <c r="AJ68" s="758"/>
      <c r="AK68" s="517"/>
      <c r="AM68" s="517"/>
    </row>
    <row r="69" spans="1:39" s="500" customFormat="1">
      <c r="A69" s="879" t="s">
        <v>2117</v>
      </c>
      <c r="B69" s="539" t="s">
        <v>2119</v>
      </c>
      <c r="D69" s="748"/>
      <c r="E69" s="748"/>
      <c r="F69" s="749"/>
      <c r="G69" s="748"/>
      <c r="H69" s="748"/>
      <c r="I69" s="750"/>
      <c r="J69" s="750"/>
      <c r="K69" s="750"/>
      <c r="L69" s="750"/>
      <c r="M69" s="749"/>
      <c r="N69" s="750"/>
      <c r="O69" s="667"/>
      <c r="P69" s="750"/>
      <c r="Q69" s="667"/>
      <c r="R69" s="521"/>
      <c r="S69" s="750"/>
      <c r="T69" s="749"/>
      <c r="U69" s="750"/>
      <c r="V69" s="750"/>
      <c r="W69" s="750"/>
      <c r="X69" s="750"/>
      <c r="Y69" s="750"/>
      <c r="Z69" s="750"/>
      <c r="AA69" s="749"/>
      <c r="AB69" s="773"/>
      <c r="AC69" s="750"/>
      <c r="AD69" s="750"/>
      <c r="AE69" s="750"/>
      <c r="AF69" s="750"/>
      <c r="AG69" s="750"/>
      <c r="AH69" s="734"/>
      <c r="AI69" s="515">
        <f t="shared" si="1"/>
        <v>0</v>
      </c>
      <c r="AJ69" s="758"/>
      <c r="AK69" s="517"/>
      <c r="AM69" s="517"/>
    </row>
    <row r="70" spans="1:39" s="500" customFormat="1">
      <c r="A70" s="879" t="s">
        <v>2118</v>
      </c>
      <c r="B70" s="539" t="s">
        <v>2121</v>
      </c>
      <c r="C70" s="747" t="s">
        <v>40</v>
      </c>
      <c r="D70" s="748"/>
      <c r="E70" s="748"/>
      <c r="F70" s="749"/>
      <c r="G70" s="748"/>
      <c r="H70" s="748"/>
      <c r="I70" s="750"/>
      <c r="J70" s="750"/>
      <c r="K70" s="750"/>
      <c r="L70" s="750"/>
      <c r="M70" s="749"/>
      <c r="N70" s="750"/>
      <c r="O70" s="667"/>
      <c r="P70" s="750"/>
      <c r="Q70" s="667"/>
      <c r="R70" s="521"/>
      <c r="S70" s="750"/>
      <c r="T70" s="749"/>
      <c r="U70" s="750"/>
      <c r="V70" s="750"/>
      <c r="W70" s="750"/>
      <c r="X70" s="750"/>
      <c r="Y70" s="750"/>
      <c r="Z70" s="750"/>
      <c r="AA70" s="749"/>
      <c r="AB70" s="773"/>
      <c r="AC70" s="750"/>
      <c r="AD70" s="750"/>
      <c r="AE70" s="750"/>
      <c r="AF70" s="750"/>
      <c r="AG70" s="750"/>
      <c r="AH70" s="750"/>
      <c r="AI70" s="515">
        <f t="shared" si="1"/>
        <v>0</v>
      </c>
      <c r="AJ70" s="758"/>
      <c r="AK70" s="517"/>
      <c r="AM70" s="517"/>
    </row>
    <row r="71" spans="1:39" s="500" customFormat="1">
      <c r="A71" s="879" t="s">
        <v>2120</v>
      </c>
      <c r="B71" s="539" t="s">
        <v>2122</v>
      </c>
      <c r="C71" s="548" t="s">
        <v>48</v>
      </c>
      <c r="D71" s="748"/>
      <c r="E71" s="748"/>
      <c r="F71" s="749"/>
      <c r="G71" s="748"/>
      <c r="H71" s="748"/>
      <c r="I71" s="750"/>
      <c r="J71" s="750"/>
      <c r="K71" s="750"/>
      <c r="L71" s="750"/>
      <c r="M71" s="749"/>
      <c r="N71" s="750"/>
      <c r="O71" s="667"/>
      <c r="P71" s="750"/>
      <c r="Q71" s="667"/>
      <c r="R71" s="521"/>
      <c r="S71" s="750"/>
      <c r="T71" s="749"/>
      <c r="U71" s="750"/>
      <c r="V71" s="750"/>
      <c r="W71" s="750"/>
      <c r="X71" s="750"/>
      <c r="Y71" s="750"/>
      <c r="Z71" s="750"/>
      <c r="AA71" s="749"/>
      <c r="AB71" s="773"/>
      <c r="AC71" s="750"/>
      <c r="AD71" s="750"/>
      <c r="AE71" s="750"/>
      <c r="AF71" s="750"/>
      <c r="AG71" s="750"/>
      <c r="AH71" s="734"/>
      <c r="AI71" s="515">
        <f t="shared" si="1"/>
        <v>0</v>
      </c>
      <c r="AJ71" s="758"/>
      <c r="AK71" s="517"/>
      <c r="AM71" s="517"/>
    </row>
    <row r="72" spans="1:39" s="500" customFormat="1">
      <c r="A72" s="879" t="s">
        <v>2135</v>
      </c>
      <c r="B72" s="752" t="s">
        <v>225</v>
      </c>
      <c r="C72" s="548" t="s">
        <v>2134</v>
      </c>
      <c r="D72" s="748"/>
      <c r="E72" s="748"/>
      <c r="F72" s="749"/>
      <c r="G72" s="748"/>
      <c r="H72" s="748"/>
      <c r="I72" s="750"/>
      <c r="K72" s="750"/>
      <c r="L72" s="750"/>
      <c r="M72" s="749"/>
      <c r="N72" s="750"/>
      <c r="O72" s="667"/>
      <c r="P72" s="750"/>
      <c r="Q72" s="667"/>
      <c r="R72" s="521"/>
      <c r="S72" s="750"/>
      <c r="T72" s="749"/>
      <c r="U72" s="750"/>
      <c r="V72" s="750"/>
      <c r="W72" s="750"/>
      <c r="X72" s="750"/>
      <c r="Y72" s="750"/>
      <c r="Z72" s="750"/>
      <c r="AA72" s="749"/>
      <c r="AB72" s="773"/>
      <c r="AC72" s="750"/>
      <c r="AD72" s="750"/>
      <c r="AE72" s="750"/>
      <c r="AF72" s="750"/>
      <c r="AG72" s="750"/>
      <c r="AH72" s="734"/>
      <c r="AI72" s="515">
        <f t="shared" si="1"/>
        <v>0</v>
      </c>
      <c r="AJ72" s="758"/>
      <c r="AK72" s="517"/>
      <c r="AM72" s="517"/>
    </row>
    <row r="73" spans="1:39" s="500" customFormat="1">
      <c r="A73" s="987" t="s">
        <v>2230</v>
      </c>
      <c r="B73" s="752" t="s">
        <v>1949</v>
      </c>
      <c r="C73" s="548"/>
      <c r="D73" s="748"/>
      <c r="E73" s="748"/>
      <c r="F73" s="749"/>
      <c r="G73" s="748"/>
      <c r="H73" s="748"/>
      <c r="I73" s="750"/>
      <c r="K73" s="750"/>
      <c r="L73" s="750"/>
      <c r="M73" s="749"/>
      <c r="N73" s="750"/>
      <c r="O73" s="667"/>
      <c r="P73" s="750"/>
      <c r="Q73" s="667"/>
      <c r="R73" s="521"/>
      <c r="S73" s="750"/>
      <c r="T73" s="749"/>
      <c r="U73" s="750"/>
      <c r="V73" s="750"/>
      <c r="W73" s="750"/>
      <c r="X73" s="750"/>
      <c r="Y73" s="750"/>
      <c r="Z73" s="750"/>
      <c r="AA73" s="749"/>
      <c r="AB73" s="773"/>
      <c r="AC73" s="750"/>
      <c r="AD73" s="750"/>
      <c r="AE73" s="750"/>
      <c r="AF73" s="1018"/>
      <c r="AG73" s="750"/>
      <c r="AH73" s="734"/>
      <c r="AI73" s="992">
        <f t="shared" si="1"/>
        <v>0</v>
      </c>
      <c r="AJ73" s="758"/>
      <c r="AK73" s="517"/>
      <c r="AM73" s="517"/>
    </row>
    <row r="74" spans="1:39" s="500" customFormat="1">
      <c r="A74" s="879" t="s">
        <v>2231</v>
      </c>
      <c r="B74" s="752" t="s">
        <v>225</v>
      </c>
      <c r="C74" s="548" t="s">
        <v>2134</v>
      </c>
      <c r="D74" s="748"/>
      <c r="E74" s="748"/>
      <c r="F74" s="749"/>
      <c r="G74" s="748"/>
      <c r="H74" s="748"/>
      <c r="I74" s="750"/>
      <c r="K74" s="750"/>
      <c r="L74" s="750"/>
      <c r="M74" s="749"/>
      <c r="N74" s="750"/>
      <c r="O74" s="667"/>
      <c r="P74" s="750"/>
      <c r="Q74" s="667"/>
      <c r="R74" s="521"/>
      <c r="S74" s="750"/>
      <c r="T74" s="749"/>
      <c r="U74" s="750"/>
      <c r="V74" s="750"/>
      <c r="W74" s="750"/>
      <c r="X74" s="750"/>
      <c r="Y74" s="750"/>
      <c r="Z74" s="750"/>
      <c r="AA74" s="749"/>
      <c r="AB74" s="773"/>
      <c r="AC74" s="750"/>
      <c r="AD74" s="750"/>
      <c r="AE74" s="750"/>
      <c r="AF74" s="1018">
        <v>7</v>
      </c>
      <c r="AG74" s="750"/>
      <c r="AH74" s="734"/>
      <c r="AI74" s="992">
        <f t="shared" si="1"/>
        <v>7</v>
      </c>
      <c r="AJ74" s="758"/>
      <c r="AK74" s="517"/>
      <c r="AM74" s="517"/>
    </row>
    <row r="75" spans="1:39" s="500" customFormat="1">
      <c r="A75" s="987" t="s">
        <v>2104</v>
      </c>
      <c r="B75" s="988" t="s">
        <v>1217</v>
      </c>
      <c r="C75" s="548"/>
      <c r="D75" s="748"/>
      <c r="E75" s="958"/>
      <c r="F75" s="749"/>
      <c r="G75" s="748"/>
      <c r="H75" s="748"/>
      <c r="I75" s="750"/>
      <c r="J75" s="750"/>
      <c r="K75" s="750"/>
      <c r="L75" s="750"/>
      <c r="M75" s="749"/>
      <c r="N75" s="750"/>
      <c r="O75" s="667"/>
      <c r="P75" s="750"/>
      <c r="Q75" s="672"/>
      <c r="R75" s="521"/>
      <c r="S75" s="959"/>
      <c r="T75" s="749"/>
      <c r="U75" s="750"/>
      <c r="V75" s="750"/>
      <c r="W75" s="750"/>
      <c r="X75" s="750"/>
      <c r="Y75" s="750"/>
      <c r="Z75" s="750"/>
      <c r="AA75" s="749"/>
      <c r="AB75" s="773"/>
      <c r="AC75" s="750"/>
      <c r="AD75" s="750"/>
      <c r="AE75" s="750"/>
      <c r="AF75" s="750"/>
      <c r="AG75" s="750"/>
      <c r="AH75" s="734"/>
      <c r="AI75" s="515">
        <f t="shared" si="1"/>
        <v>0</v>
      </c>
      <c r="AJ75" s="758"/>
      <c r="AK75" s="517"/>
      <c r="AM75" s="517"/>
    </row>
    <row r="76" spans="1:39" s="500" customFormat="1">
      <c r="A76" s="879" t="s">
        <v>2106</v>
      </c>
      <c r="B76" s="752" t="s">
        <v>1949</v>
      </c>
      <c r="C76" s="548"/>
      <c r="D76" s="748"/>
      <c r="E76" s="958"/>
      <c r="F76" s="749"/>
      <c r="G76" s="748"/>
      <c r="H76" s="748"/>
      <c r="I76" s="750"/>
      <c r="J76" s="750"/>
      <c r="K76" s="750"/>
      <c r="L76" s="750"/>
      <c r="M76" s="749"/>
      <c r="N76" s="750"/>
      <c r="O76" s="667"/>
      <c r="P76" s="750"/>
      <c r="Q76" s="667"/>
      <c r="R76" s="521"/>
      <c r="S76" s="959"/>
      <c r="T76" s="749"/>
      <c r="U76" s="750"/>
      <c r="V76" s="750"/>
      <c r="W76" s="750"/>
      <c r="X76" s="750"/>
      <c r="Y76" s="750"/>
      <c r="Z76" s="750"/>
      <c r="AA76" s="749"/>
      <c r="AB76" s="773"/>
      <c r="AC76" s="750"/>
      <c r="AD76" s="750"/>
      <c r="AE76" s="750"/>
      <c r="AF76" s="750"/>
      <c r="AG76" s="750"/>
      <c r="AH76" s="734"/>
      <c r="AI76" s="515">
        <f t="shared" si="1"/>
        <v>0</v>
      </c>
      <c r="AJ76" s="758"/>
      <c r="AK76" s="517"/>
      <c r="AM76" s="517"/>
    </row>
    <row r="77" spans="1:39" s="500" customFormat="1">
      <c r="A77" s="879" t="s">
        <v>2107</v>
      </c>
      <c r="B77" s="539" t="s">
        <v>1203</v>
      </c>
      <c r="C77" s="548" t="s">
        <v>37</v>
      </c>
      <c r="D77" s="748"/>
      <c r="E77" s="958"/>
      <c r="F77" s="749"/>
      <c r="G77" s="748"/>
      <c r="H77" s="748"/>
      <c r="I77" s="750"/>
      <c r="J77" s="750"/>
      <c r="K77" s="750"/>
      <c r="L77" s="750"/>
      <c r="M77" s="749"/>
      <c r="N77" s="750"/>
      <c r="O77" s="667"/>
      <c r="P77" s="750"/>
      <c r="Q77" s="667"/>
      <c r="R77" s="521"/>
      <c r="S77" s="959"/>
      <c r="T77" s="749"/>
      <c r="U77" s="750"/>
      <c r="V77" s="750"/>
      <c r="W77" s="750"/>
      <c r="X77" s="750"/>
      <c r="Y77" s="750"/>
      <c r="Z77" s="750"/>
      <c r="AA77" s="749"/>
      <c r="AB77" s="773"/>
      <c r="AC77" s="750"/>
      <c r="AD77" s="750"/>
      <c r="AE77" s="750"/>
      <c r="AF77" s="750"/>
      <c r="AG77" s="750"/>
      <c r="AH77" s="734"/>
      <c r="AI77" s="515">
        <f t="shared" si="1"/>
        <v>0</v>
      </c>
      <c r="AJ77" s="758"/>
      <c r="AK77" s="517"/>
      <c r="AM77" s="517"/>
    </row>
    <row r="78" spans="1:39" s="500" customFormat="1">
      <c r="A78" s="879" t="s">
        <v>2167</v>
      </c>
      <c r="B78" s="752" t="s">
        <v>1950</v>
      </c>
      <c r="C78" s="548" t="s">
        <v>40</v>
      </c>
      <c r="D78" s="748"/>
      <c r="E78" s="958"/>
      <c r="F78" s="749"/>
      <c r="G78" s="748"/>
      <c r="H78" s="748"/>
      <c r="I78" s="750"/>
      <c r="J78" s="750"/>
      <c r="K78" s="750"/>
      <c r="L78" s="750"/>
      <c r="M78" s="749"/>
      <c r="N78" s="750"/>
      <c r="O78" s="667"/>
      <c r="P78" s="750"/>
      <c r="Q78" s="667"/>
      <c r="R78" s="521"/>
      <c r="S78" s="959"/>
      <c r="T78" s="749"/>
      <c r="V78" s="750"/>
      <c r="W78" s="667"/>
      <c r="X78" s="750"/>
      <c r="Y78" s="750"/>
      <c r="Z78" s="750"/>
      <c r="AA78" s="749"/>
      <c r="AB78" s="773"/>
      <c r="AC78" s="750"/>
      <c r="AD78" s="750"/>
      <c r="AE78" s="521"/>
      <c r="AF78" s="521"/>
      <c r="AG78" s="521"/>
      <c r="AH78" s="734"/>
      <c r="AI78" s="515">
        <f t="shared" ref="AI78:AI141" si="6">SUM(D78:AH78)</f>
        <v>0</v>
      </c>
      <c r="AJ78" s="758"/>
      <c r="AK78" s="517"/>
      <c r="AM78" s="517"/>
    </row>
    <row r="79" spans="1:39" s="500" customFormat="1">
      <c r="A79" s="879" t="s">
        <v>2136</v>
      </c>
      <c r="B79" s="752" t="s">
        <v>1994</v>
      </c>
      <c r="C79" s="548"/>
      <c r="D79" s="748"/>
      <c r="E79" s="958"/>
      <c r="F79" s="749"/>
      <c r="G79" s="748"/>
      <c r="H79" s="748"/>
      <c r="I79" s="750"/>
      <c r="J79" s="750"/>
      <c r="K79" s="750"/>
      <c r="L79" s="750"/>
      <c r="M79" s="749"/>
      <c r="N79" s="750"/>
      <c r="O79" s="667"/>
      <c r="P79" s="750"/>
      <c r="Q79" s="667"/>
      <c r="R79" s="521"/>
      <c r="S79" s="959"/>
      <c r="T79" s="749"/>
      <c r="U79" s="750"/>
      <c r="V79" s="750"/>
      <c r="W79" s="667"/>
      <c r="X79" s="750"/>
      <c r="Y79" s="750"/>
      <c r="Z79" s="750"/>
      <c r="AA79" s="749"/>
      <c r="AB79" s="773"/>
      <c r="AC79" s="750"/>
      <c r="AD79" s="750"/>
      <c r="AE79" s="667"/>
      <c r="AF79" s="521"/>
      <c r="AG79" s="750"/>
      <c r="AH79" s="734"/>
      <c r="AI79" s="515">
        <f t="shared" si="6"/>
        <v>0</v>
      </c>
      <c r="AJ79" s="758"/>
      <c r="AK79" s="517"/>
      <c r="AM79" s="517"/>
    </row>
    <row r="80" spans="1:39" s="500" customFormat="1">
      <c r="A80" s="879" t="s">
        <v>2149</v>
      </c>
      <c r="B80" s="539" t="s">
        <v>2137</v>
      </c>
      <c r="C80" s="548" t="s">
        <v>40</v>
      </c>
      <c r="D80" s="748"/>
      <c r="E80" s="958"/>
      <c r="F80" s="749"/>
      <c r="G80" s="748"/>
      <c r="H80" s="748"/>
      <c r="I80" s="750"/>
      <c r="J80" s="750"/>
      <c r="K80" s="750"/>
      <c r="L80" s="750"/>
      <c r="M80" s="749"/>
      <c r="N80" s="750"/>
      <c r="O80" s="667"/>
      <c r="P80" s="750"/>
      <c r="Q80" s="667"/>
      <c r="R80" s="521"/>
      <c r="S80" s="959"/>
      <c r="T80" s="749"/>
      <c r="U80" s="750"/>
      <c r="V80" s="750"/>
      <c r="W80" s="750"/>
      <c r="X80" s="750"/>
      <c r="Y80" s="750"/>
      <c r="Z80" s="750"/>
      <c r="AA80" s="749"/>
      <c r="AB80" s="773"/>
      <c r="AC80" s="750"/>
      <c r="AD80" s="750"/>
      <c r="AE80" s="521"/>
      <c r="AF80" s="521"/>
      <c r="AG80" s="521"/>
      <c r="AH80" s="734"/>
      <c r="AI80" s="515">
        <f t="shared" si="6"/>
        <v>0</v>
      </c>
      <c r="AJ80" s="758"/>
      <c r="AK80" s="517"/>
      <c r="AM80" s="517"/>
    </row>
    <row r="81" spans="1:39" s="500" customFormat="1">
      <c r="A81" s="879" t="s">
        <v>2150</v>
      </c>
      <c r="B81" s="539" t="s">
        <v>2138</v>
      </c>
      <c r="C81" s="548" t="s">
        <v>37</v>
      </c>
      <c r="D81" s="748"/>
      <c r="E81" s="958"/>
      <c r="F81" s="749"/>
      <c r="G81" s="748"/>
      <c r="H81" s="748"/>
      <c r="I81" s="750"/>
      <c r="J81" s="750"/>
      <c r="K81" s="750"/>
      <c r="L81" s="750"/>
      <c r="M81" s="749"/>
      <c r="N81" s="750"/>
      <c r="O81" s="667"/>
      <c r="P81" s="750"/>
      <c r="Q81" s="667"/>
      <c r="R81" s="521"/>
      <c r="S81" s="959"/>
      <c r="T81" s="749"/>
      <c r="U81" s="750"/>
      <c r="V81" s="750"/>
      <c r="W81" s="750"/>
      <c r="X81" s="750"/>
      <c r="Y81" s="750"/>
      <c r="Z81" s="750"/>
      <c r="AA81" s="749"/>
      <c r="AB81" s="773"/>
      <c r="AC81" s="750"/>
      <c r="AD81" s="750"/>
      <c r="AE81" s="750"/>
      <c r="AF81" s="750"/>
      <c r="AG81" s="750"/>
      <c r="AH81" s="734"/>
      <c r="AI81" s="515">
        <f t="shared" si="6"/>
        <v>0</v>
      </c>
      <c r="AJ81" s="758"/>
      <c r="AK81" s="517"/>
      <c r="AM81" s="517"/>
    </row>
    <row r="82" spans="1:39" s="500" customFormat="1">
      <c r="A82" s="879" t="s">
        <v>2151</v>
      </c>
      <c r="B82" s="539" t="s">
        <v>2139</v>
      </c>
      <c r="C82" s="548" t="s">
        <v>1938</v>
      </c>
      <c r="D82" s="748"/>
      <c r="E82" s="958"/>
      <c r="F82" s="748"/>
      <c r="G82" s="748"/>
      <c r="H82" s="748"/>
      <c r="I82" s="750"/>
      <c r="J82" s="750"/>
      <c r="K82" s="750"/>
      <c r="L82" s="750"/>
      <c r="M82" s="748"/>
      <c r="N82" s="750"/>
      <c r="O82" s="667"/>
      <c r="P82" s="750"/>
      <c r="Q82" s="667"/>
      <c r="R82" s="521"/>
      <c r="S82" s="959"/>
      <c r="T82" s="748"/>
      <c r="U82" s="750"/>
      <c r="V82" s="750"/>
      <c r="W82" s="750"/>
      <c r="X82" s="750"/>
      <c r="Y82" s="750"/>
      <c r="Z82" s="750"/>
      <c r="AA82" s="748"/>
      <c r="AB82" s="750"/>
      <c r="AC82" s="750"/>
      <c r="AD82" s="750"/>
      <c r="AE82" s="750"/>
      <c r="AF82" s="750"/>
      <c r="AG82" s="750"/>
      <c r="AH82" s="734"/>
      <c r="AI82" s="515">
        <f t="shared" si="6"/>
        <v>0</v>
      </c>
      <c r="AJ82" s="758"/>
      <c r="AK82" s="517"/>
      <c r="AM82" s="517"/>
    </row>
    <row r="83" spans="1:39" s="500" customFormat="1">
      <c r="A83" s="879" t="s">
        <v>2196</v>
      </c>
      <c r="B83" s="542" t="s">
        <v>1239</v>
      </c>
      <c r="C83" s="548"/>
      <c r="D83" s="748"/>
      <c r="E83" s="958"/>
      <c r="F83" s="749"/>
      <c r="G83" s="748"/>
      <c r="H83" s="748"/>
      <c r="I83" s="750"/>
      <c r="J83" s="750"/>
      <c r="K83" s="750"/>
      <c r="L83" s="750"/>
      <c r="M83" s="749"/>
      <c r="N83" s="750"/>
      <c r="O83" s="667"/>
      <c r="P83" s="750"/>
      <c r="Q83" s="667"/>
      <c r="R83" s="521"/>
      <c r="S83" s="959"/>
      <c r="T83" s="749"/>
      <c r="U83" s="750"/>
      <c r="V83" s="750"/>
      <c r="W83" s="750"/>
      <c r="X83" s="750"/>
      <c r="Y83" s="750"/>
      <c r="Z83" s="750"/>
      <c r="AA83" s="749"/>
      <c r="AB83" s="773"/>
      <c r="AC83" s="750"/>
      <c r="AD83" s="750"/>
      <c r="AE83" s="750"/>
      <c r="AF83" s="750"/>
      <c r="AG83" s="750"/>
      <c r="AH83" s="734"/>
      <c r="AI83" s="515">
        <f t="shared" si="6"/>
        <v>0</v>
      </c>
      <c r="AJ83" s="758"/>
      <c r="AK83" s="517"/>
      <c r="AM83" s="517"/>
    </row>
    <row r="84" spans="1:39" s="500" customFormat="1">
      <c r="A84" s="879" t="s">
        <v>2197</v>
      </c>
      <c r="B84" s="539" t="s">
        <v>2195</v>
      </c>
      <c r="C84" s="548" t="s">
        <v>2100</v>
      </c>
      <c r="D84" s="748"/>
      <c r="E84" s="748"/>
      <c r="F84" s="749"/>
      <c r="G84" s="748"/>
      <c r="H84" s="748"/>
      <c r="I84" s="750"/>
      <c r="J84" s="750"/>
      <c r="K84" s="750"/>
      <c r="L84" s="750"/>
      <c r="M84" s="749"/>
      <c r="N84" s="750"/>
      <c r="O84" s="667"/>
      <c r="P84" s="750"/>
      <c r="Q84" s="667"/>
      <c r="R84" s="521"/>
      <c r="S84" s="750"/>
      <c r="T84" s="749"/>
      <c r="U84" s="750"/>
      <c r="V84" s="750"/>
      <c r="W84" s="750"/>
      <c r="X84" s="750"/>
      <c r="Y84" s="750"/>
      <c r="Z84" s="750"/>
      <c r="AA84" s="749"/>
      <c r="AB84" s="773"/>
      <c r="AC84" s="750"/>
      <c r="AD84" s="750"/>
      <c r="AE84" s="750"/>
      <c r="AF84" s="750"/>
      <c r="AG84" s="750"/>
      <c r="AH84" s="734"/>
      <c r="AI84" s="515">
        <f t="shared" si="6"/>
        <v>0</v>
      </c>
      <c r="AJ84" s="758"/>
      <c r="AK84" s="517"/>
      <c r="AM84" s="517"/>
    </row>
    <row r="85" spans="1:39" s="500" customFormat="1">
      <c r="A85" s="542" t="s">
        <v>527</v>
      </c>
      <c r="B85" s="542" t="s">
        <v>1236</v>
      </c>
      <c r="C85" s="548"/>
      <c r="D85" s="748"/>
      <c r="E85" s="748"/>
      <c r="F85" s="749"/>
      <c r="G85" s="748"/>
      <c r="H85" s="748"/>
      <c r="I85" s="750"/>
      <c r="J85" s="750"/>
      <c r="K85" s="750"/>
      <c r="L85" s="750"/>
      <c r="M85" s="749"/>
      <c r="N85" s="750"/>
      <c r="O85" s="667"/>
      <c r="P85" s="750"/>
      <c r="Q85" s="667"/>
      <c r="R85" s="521"/>
      <c r="S85" s="750"/>
      <c r="T85" s="749"/>
      <c r="U85" s="750"/>
      <c r="V85" s="750"/>
      <c r="W85" s="750"/>
      <c r="X85" s="750"/>
      <c r="Y85" s="750"/>
      <c r="Z85" s="750"/>
      <c r="AA85" s="749"/>
      <c r="AB85" s="773"/>
      <c r="AC85" s="750"/>
      <c r="AD85" s="750"/>
      <c r="AE85" s="750"/>
      <c r="AF85" s="750"/>
      <c r="AG85" s="750"/>
      <c r="AH85" s="750"/>
      <c r="AI85" s="515">
        <f t="shared" si="6"/>
        <v>0</v>
      </c>
      <c r="AJ85" s="758"/>
      <c r="AK85" s="517"/>
      <c r="AM85" s="517"/>
    </row>
    <row r="86" spans="1:39" s="500" customFormat="1">
      <c r="A86" s="539" t="s">
        <v>528</v>
      </c>
      <c r="B86" s="539" t="s">
        <v>2192</v>
      </c>
      <c r="C86" s="548" t="s">
        <v>37</v>
      </c>
      <c r="D86" s="748"/>
      <c r="E86" s="748"/>
      <c r="F86" s="749"/>
      <c r="G86" s="1034"/>
      <c r="H86" s="748"/>
      <c r="I86" s="750"/>
      <c r="J86" s="750"/>
      <c r="K86" s="750"/>
      <c r="L86" s="750"/>
      <c r="M86" s="749"/>
      <c r="N86" s="750"/>
      <c r="O86" s="667"/>
      <c r="P86" s="750"/>
      <c r="Q86" s="667"/>
      <c r="R86" s="521"/>
      <c r="S86" s="750"/>
      <c r="T86" s="749"/>
      <c r="U86" s="750"/>
      <c r="V86" s="750"/>
      <c r="W86" s="750"/>
      <c r="X86" s="750"/>
      <c r="Y86" s="750"/>
      <c r="Z86" s="750"/>
      <c r="AA86" s="749"/>
      <c r="AB86" s="773"/>
      <c r="AC86" s="750"/>
      <c r="AD86" s="750"/>
      <c r="AE86" s="750"/>
      <c r="AF86" s="750"/>
      <c r="AG86" s="750"/>
      <c r="AH86" s="750"/>
      <c r="AI86" s="515">
        <f t="shared" si="6"/>
        <v>0</v>
      </c>
      <c r="AJ86" s="758"/>
      <c r="AK86" s="517"/>
      <c r="AM86" s="517"/>
    </row>
    <row r="87" spans="1:39" s="500" customFormat="1">
      <c r="A87" s="987" t="s">
        <v>2105</v>
      </c>
      <c r="B87" s="988" t="s">
        <v>2097</v>
      </c>
      <c r="C87" s="548"/>
      <c r="D87" s="748"/>
      <c r="E87" s="748"/>
      <c r="F87" s="749"/>
      <c r="G87" s="1034"/>
      <c r="H87" s="748"/>
      <c r="I87" s="750"/>
      <c r="J87" s="750"/>
      <c r="K87" s="750"/>
      <c r="L87" s="750"/>
      <c r="M87" s="749"/>
      <c r="N87" s="750"/>
      <c r="O87" s="667"/>
      <c r="P87" s="750"/>
      <c r="Q87" s="667"/>
      <c r="R87" s="521"/>
      <c r="S87" s="750"/>
      <c r="T87" s="749"/>
      <c r="U87" s="750"/>
      <c r="V87" s="750"/>
      <c r="W87" s="750"/>
      <c r="X87" s="750"/>
      <c r="Y87" s="750"/>
      <c r="Z87" s="750"/>
      <c r="AA87" s="749"/>
      <c r="AB87" s="773"/>
      <c r="AC87" s="750"/>
      <c r="AD87" s="750"/>
      <c r="AE87" s="750"/>
      <c r="AF87" s="750"/>
      <c r="AG87" s="750"/>
      <c r="AH87" s="750"/>
      <c r="AI87" s="515">
        <f t="shared" si="6"/>
        <v>0</v>
      </c>
      <c r="AJ87" s="758"/>
      <c r="AK87" s="517"/>
      <c r="AM87" s="517"/>
    </row>
    <row r="88" spans="1:39" s="500" customFormat="1">
      <c r="A88" s="879" t="s">
        <v>2108</v>
      </c>
      <c r="B88" s="752" t="s">
        <v>2101</v>
      </c>
      <c r="C88" s="548" t="s">
        <v>58</v>
      </c>
      <c r="D88" s="748"/>
      <c r="E88" s="748"/>
      <c r="F88" s="749"/>
      <c r="G88" s="1034"/>
      <c r="H88" s="748"/>
      <c r="I88" s="750"/>
      <c r="J88" s="750"/>
      <c r="K88" s="750"/>
      <c r="L88" s="750"/>
      <c r="M88" s="749"/>
      <c r="N88" s="750"/>
      <c r="O88" s="667"/>
      <c r="P88" s="750"/>
      <c r="Q88" s="667"/>
      <c r="R88" s="521"/>
      <c r="S88" s="750"/>
      <c r="T88" s="749"/>
      <c r="U88" s="750"/>
      <c r="V88" s="750"/>
      <c r="W88" s="750"/>
      <c r="X88" s="750"/>
      <c r="Y88" s="750"/>
      <c r="Z88" s="750"/>
      <c r="AA88" s="749"/>
      <c r="AB88" s="773"/>
      <c r="AC88" s="750"/>
      <c r="AD88" s="750"/>
      <c r="AE88" s="750"/>
      <c r="AF88" s="750"/>
      <c r="AG88" s="750"/>
      <c r="AH88" s="750"/>
      <c r="AI88" s="515">
        <f t="shared" si="6"/>
        <v>0</v>
      </c>
      <c r="AJ88" s="758"/>
      <c r="AK88" s="517"/>
      <c r="AM88" s="517"/>
    </row>
    <row r="89" spans="1:39" s="500" customFormat="1">
      <c r="A89" s="1029" t="s">
        <v>2164</v>
      </c>
      <c r="B89" s="752" t="s">
        <v>2165</v>
      </c>
      <c r="C89" s="548" t="s">
        <v>58</v>
      </c>
      <c r="D89" s="748"/>
      <c r="E89" s="748"/>
      <c r="F89" s="749"/>
      <c r="G89" s="1034"/>
      <c r="H89" s="748"/>
      <c r="I89" s="750"/>
      <c r="J89" s="750"/>
      <c r="K89" s="750"/>
      <c r="L89" s="750"/>
      <c r="M89" s="749"/>
      <c r="N89" s="750"/>
      <c r="O89" s="667"/>
      <c r="P89" s="750"/>
      <c r="Q89" s="667"/>
      <c r="R89" s="521"/>
      <c r="S89" s="750"/>
      <c r="T89" s="749"/>
      <c r="U89" s="750"/>
      <c r="V89" s="750"/>
      <c r="W89" s="750"/>
      <c r="X89" s="750"/>
      <c r="Y89" s="750"/>
      <c r="Z89" s="750"/>
      <c r="AA89" s="749"/>
      <c r="AB89" s="773"/>
      <c r="AC89" s="750"/>
      <c r="AD89" s="750"/>
      <c r="AE89" s="750"/>
      <c r="AF89" s="750"/>
      <c r="AG89" s="750"/>
      <c r="AH89" s="750"/>
      <c r="AI89" s="515">
        <f t="shared" si="6"/>
        <v>0</v>
      </c>
      <c r="AJ89" s="758"/>
      <c r="AK89" s="517"/>
      <c r="AM89" s="517"/>
    </row>
    <row r="90" spans="1:39" s="500" customFormat="1">
      <c r="A90" s="1029" t="s">
        <v>2166</v>
      </c>
      <c r="B90" s="752" t="s">
        <v>2168</v>
      </c>
      <c r="C90" s="548" t="s">
        <v>58</v>
      </c>
      <c r="D90" s="748"/>
      <c r="E90" s="748"/>
      <c r="F90" s="749"/>
      <c r="G90" s="748"/>
      <c r="I90" s="750"/>
      <c r="J90" s="750"/>
      <c r="K90" s="750"/>
      <c r="L90" s="750"/>
      <c r="M90" s="749"/>
      <c r="N90" s="750"/>
      <c r="O90" s="667"/>
      <c r="P90" s="750"/>
      <c r="Q90" s="667"/>
      <c r="R90" s="521"/>
      <c r="S90" s="750"/>
      <c r="T90" s="749"/>
      <c r="U90" s="750"/>
      <c r="V90" s="750"/>
      <c r="W90" s="750"/>
      <c r="X90" s="750"/>
      <c r="Y90" s="750"/>
      <c r="Z90" s="750"/>
      <c r="AA90" s="749"/>
      <c r="AB90" s="773"/>
      <c r="AC90" s="750"/>
      <c r="AD90" s="750"/>
      <c r="AE90" s="750"/>
      <c r="AF90" s="750"/>
      <c r="AG90" s="750"/>
      <c r="AH90" s="734"/>
      <c r="AI90" s="515">
        <f t="shared" si="6"/>
        <v>0</v>
      </c>
      <c r="AJ90" s="758"/>
      <c r="AK90" s="517"/>
      <c r="AM90" s="517"/>
    </row>
    <row r="91" spans="1:39" s="500" customFormat="1">
      <c r="A91" s="1029" t="s">
        <v>2177</v>
      </c>
      <c r="B91" s="752" t="s">
        <v>2178</v>
      </c>
      <c r="C91" s="548" t="s">
        <v>58</v>
      </c>
      <c r="D91" s="748"/>
      <c r="E91" s="748"/>
      <c r="F91" s="749"/>
      <c r="G91" s="748"/>
      <c r="H91" s="748"/>
      <c r="I91" s="750"/>
      <c r="J91" s="750"/>
      <c r="K91" s="750"/>
      <c r="L91" s="750"/>
      <c r="M91" s="749"/>
      <c r="N91" s="750"/>
      <c r="O91" s="667"/>
      <c r="P91" s="750"/>
      <c r="Q91" s="667"/>
      <c r="R91" s="521"/>
      <c r="S91" s="750"/>
      <c r="T91" s="749"/>
      <c r="U91" s="750"/>
      <c r="V91" s="750"/>
      <c r="W91" s="750"/>
      <c r="X91" s="750"/>
      <c r="Y91" s="750"/>
      <c r="Z91" s="750"/>
      <c r="AA91" s="749"/>
      <c r="AB91" s="773"/>
      <c r="AC91" s="750"/>
      <c r="AD91" s="750"/>
      <c r="AE91" s="750"/>
      <c r="AF91" s="750"/>
      <c r="AG91" s="750"/>
      <c r="AH91" s="734"/>
      <c r="AI91" s="515">
        <f t="shared" si="6"/>
        <v>0</v>
      </c>
      <c r="AJ91" s="758"/>
      <c r="AK91" s="517"/>
      <c r="AM91" s="517"/>
    </row>
    <row r="92" spans="1:39" s="500" customFormat="1">
      <c r="A92" s="1029" t="s">
        <v>2190</v>
      </c>
      <c r="B92" s="752" t="s">
        <v>2191</v>
      </c>
      <c r="C92" s="548" t="s">
        <v>58</v>
      </c>
      <c r="D92" s="748"/>
      <c r="E92" s="748"/>
      <c r="F92" s="749"/>
      <c r="G92" s="748"/>
      <c r="H92" s="748"/>
      <c r="I92" s="750"/>
      <c r="J92" s="750"/>
      <c r="K92" s="750"/>
      <c r="L92" s="750"/>
      <c r="M92" s="749"/>
      <c r="N92" s="750"/>
      <c r="O92" s="667"/>
      <c r="P92" s="750"/>
      <c r="Q92" s="667"/>
      <c r="R92" s="521"/>
      <c r="S92" s="750"/>
      <c r="T92" s="749"/>
      <c r="U92" s="750"/>
      <c r="V92" s="750"/>
      <c r="W92" s="750"/>
      <c r="X92" s="750"/>
      <c r="Y92" s="750"/>
      <c r="Z92" s="750"/>
      <c r="AA92" s="749"/>
      <c r="AB92" s="773"/>
      <c r="AC92" s="750"/>
      <c r="AD92" s="750"/>
      <c r="AE92" s="750"/>
      <c r="AF92" s="750"/>
      <c r="AG92" s="750"/>
      <c r="AH92" s="734"/>
      <c r="AI92" s="515">
        <f t="shared" si="6"/>
        <v>0</v>
      </c>
      <c r="AJ92" s="758"/>
      <c r="AK92" s="517"/>
      <c r="AM92" s="517"/>
    </row>
    <row r="93" spans="1:39" s="500" customFormat="1">
      <c r="A93" s="987" t="s">
        <v>2110</v>
      </c>
      <c r="B93" s="988" t="s">
        <v>1155</v>
      </c>
      <c r="C93" s="548"/>
      <c r="D93" s="748"/>
      <c r="E93" s="748"/>
      <c r="F93" s="749"/>
      <c r="G93" s="748"/>
      <c r="H93" s="748"/>
      <c r="I93" s="750"/>
      <c r="J93" s="750"/>
      <c r="K93" s="750"/>
      <c r="L93" s="750"/>
      <c r="M93" s="749"/>
      <c r="N93" s="750"/>
      <c r="O93" s="667"/>
      <c r="P93" s="750"/>
      <c r="Q93" s="667"/>
      <c r="R93" s="521"/>
      <c r="S93" s="750"/>
      <c r="T93" s="749"/>
      <c r="U93" s="750"/>
      <c r="V93" s="750"/>
      <c r="W93" s="750"/>
      <c r="X93" s="750"/>
      <c r="Y93" s="750"/>
      <c r="Z93" s="750"/>
      <c r="AA93" s="749"/>
      <c r="AB93" s="773"/>
      <c r="AC93" s="750"/>
      <c r="AD93" s="750"/>
      <c r="AE93" s="750"/>
      <c r="AF93" s="750"/>
      <c r="AG93" s="750"/>
      <c r="AH93" s="734"/>
      <c r="AI93" s="515">
        <f t="shared" si="6"/>
        <v>0</v>
      </c>
      <c r="AJ93" s="758"/>
      <c r="AK93" s="517"/>
      <c r="AM93" s="517"/>
    </row>
    <row r="94" spans="1:39" s="500" customFormat="1">
      <c r="A94" s="879" t="s">
        <v>2140</v>
      </c>
      <c r="B94" s="752" t="s">
        <v>1994</v>
      </c>
      <c r="C94" s="548"/>
      <c r="D94" s="748"/>
      <c r="E94" s="748"/>
      <c r="F94" s="749"/>
      <c r="G94" s="748"/>
      <c r="H94" s="748"/>
      <c r="I94" s="750"/>
      <c r="J94" s="750"/>
      <c r="K94" s="750"/>
      <c r="L94" s="750"/>
      <c r="M94" s="749"/>
      <c r="N94" s="750"/>
      <c r="O94" s="667"/>
      <c r="P94" s="750"/>
      <c r="Q94" s="667"/>
      <c r="R94" s="521"/>
      <c r="S94" s="750"/>
      <c r="T94" s="749"/>
      <c r="U94" s="750"/>
      <c r="V94" s="750"/>
      <c r="W94" s="750"/>
      <c r="X94" s="750"/>
      <c r="Y94" s="750"/>
      <c r="Z94" s="750"/>
      <c r="AA94" s="749"/>
      <c r="AB94" s="773"/>
      <c r="AC94" s="750"/>
      <c r="AD94" s="750"/>
      <c r="AE94" s="750"/>
      <c r="AF94" s="750"/>
      <c r="AG94" s="750"/>
      <c r="AH94" s="734"/>
      <c r="AI94" s="515">
        <f t="shared" si="6"/>
        <v>0</v>
      </c>
      <c r="AJ94" s="758"/>
      <c r="AK94" s="517"/>
      <c r="AM94" s="517"/>
    </row>
    <row r="95" spans="1:39" s="500" customFormat="1">
      <c r="A95" s="879" t="s">
        <v>2141</v>
      </c>
      <c r="B95" s="752" t="s">
        <v>1995</v>
      </c>
      <c r="C95" s="548"/>
      <c r="D95" s="748"/>
      <c r="E95" s="748"/>
      <c r="F95" s="749"/>
      <c r="G95" s="748"/>
      <c r="H95" s="748"/>
      <c r="I95" s="750"/>
      <c r="J95" s="750"/>
      <c r="K95" s="750"/>
      <c r="L95" s="750"/>
      <c r="M95" s="749"/>
      <c r="N95" s="750"/>
      <c r="O95" s="667"/>
      <c r="P95" s="750"/>
      <c r="Q95" s="667"/>
      <c r="R95" s="521"/>
      <c r="S95" s="750"/>
      <c r="T95" s="749"/>
      <c r="U95" s="750"/>
      <c r="V95" s="750"/>
      <c r="W95" s="750"/>
      <c r="X95" s="750"/>
      <c r="Y95" s="750"/>
      <c r="Z95" s="750"/>
      <c r="AA95" s="749"/>
      <c r="AB95" s="773"/>
      <c r="AC95" s="750"/>
      <c r="AD95" s="750"/>
      <c r="AE95" s="750"/>
      <c r="AF95" s="750"/>
      <c r="AG95" s="750"/>
      <c r="AH95" s="734"/>
      <c r="AI95" s="515">
        <f t="shared" si="6"/>
        <v>0</v>
      </c>
      <c r="AJ95" s="758"/>
      <c r="AK95" s="517"/>
      <c r="AM95" s="517"/>
    </row>
    <row r="96" spans="1:39" s="500" customFormat="1">
      <c r="A96" s="879" t="s">
        <v>2142</v>
      </c>
      <c r="B96" s="752" t="s">
        <v>1996</v>
      </c>
      <c r="C96" s="548" t="s">
        <v>40</v>
      </c>
      <c r="D96" s="748"/>
      <c r="E96" s="748"/>
      <c r="F96" s="749"/>
      <c r="G96" s="748"/>
      <c r="H96" s="748"/>
      <c r="I96" s="750"/>
      <c r="J96" s="750"/>
      <c r="K96" s="750"/>
      <c r="L96" s="750"/>
      <c r="M96" s="749"/>
      <c r="N96" s="750"/>
      <c r="O96" s="667"/>
      <c r="P96" s="750"/>
      <c r="Q96" s="667"/>
      <c r="R96" s="521"/>
      <c r="S96" s="750"/>
      <c r="T96" s="749"/>
      <c r="U96" s="750"/>
      <c r="V96" s="750"/>
      <c r="W96" s="750"/>
      <c r="X96" s="750"/>
      <c r="Y96" s="750"/>
      <c r="Z96" s="750"/>
      <c r="AA96" s="749"/>
      <c r="AB96" s="773"/>
      <c r="AC96" s="750"/>
      <c r="AD96" s="750"/>
      <c r="AE96" s="750"/>
      <c r="AF96" s="750"/>
      <c r="AG96" s="750"/>
      <c r="AH96" s="734"/>
      <c r="AI96" s="515">
        <f t="shared" si="6"/>
        <v>0</v>
      </c>
      <c r="AJ96" s="758"/>
      <c r="AK96" s="517"/>
      <c r="AM96" s="517"/>
    </row>
    <row r="97" spans="1:39" s="500" customFormat="1">
      <c r="A97" s="879" t="s">
        <v>2143</v>
      </c>
      <c r="B97" s="752" t="s">
        <v>1997</v>
      </c>
      <c r="C97" s="548" t="s">
        <v>37</v>
      </c>
      <c r="D97" s="748"/>
      <c r="E97" s="748"/>
      <c r="F97" s="749"/>
      <c r="G97" s="748"/>
      <c r="H97" s="748"/>
      <c r="I97" s="750"/>
      <c r="J97" s="750"/>
      <c r="K97" s="750"/>
      <c r="L97" s="750"/>
      <c r="M97" s="749"/>
      <c r="N97" s="750"/>
      <c r="O97" s="667"/>
      <c r="P97" s="750"/>
      <c r="Q97" s="667"/>
      <c r="R97" s="521"/>
      <c r="S97" s="750"/>
      <c r="T97" s="749"/>
      <c r="U97" s="750"/>
      <c r="V97" s="750"/>
      <c r="W97" s="750"/>
      <c r="X97" s="750"/>
      <c r="Y97" s="750"/>
      <c r="Z97" s="750"/>
      <c r="AA97" s="749"/>
      <c r="AB97" s="773"/>
      <c r="AC97" s="750"/>
      <c r="AD97" s="750"/>
      <c r="AE97" s="750"/>
      <c r="AF97" s="750"/>
      <c r="AG97" s="750"/>
      <c r="AH97" s="734"/>
      <c r="AI97" s="515">
        <f t="shared" si="6"/>
        <v>0</v>
      </c>
      <c r="AJ97" s="758"/>
      <c r="AK97" s="517"/>
      <c r="AM97" s="517"/>
    </row>
    <row r="98" spans="1:39" s="500" customFormat="1">
      <c r="A98" s="879" t="s">
        <v>2144</v>
      </c>
      <c r="B98" s="752" t="s">
        <v>1998</v>
      </c>
      <c r="C98" s="548" t="s">
        <v>1938</v>
      </c>
      <c r="D98" s="748"/>
      <c r="E98" s="748"/>
      <c r="F98" s="749"/>
      <c r="G98" s="748"/>
      <c r="H98" s="748"/>
      <c r="I98" s="750"/>
      <c r="J98" s="750"/>
      <c r="K98" s="750"/>
      <c r="L98" s="750"/>
      <c r="M98" s="749"/>
      <c r="N98" s="750"/>
      <c r="O98" s="667"/>
      <c r="P98" s="750"/>
      <c r="Q98" s="667"/>
      <c r="R98" s="521"/>
      <c r="S98" s="750"/>
      <c r="T98" s="749"/>
      <c r="U98" s="750"/>
      <c r="V98" s="750"/>
      <c r="W98" s="750"/>
      <c r="X98" s="750"/>
      <c r="Y98" s="750"/>
      <c r="Z98" s="750"/>
      <c r="AA98" s="749"/>
      <c r="AB98" s="773"/>
      <c r="AC98" s="750"/>
      <c r="AD98" s="750"/>
      <c r="AE98" s="750"/>
      <c r="AF98" s="750"/>
      <c r="AG98" s="750"/>
      <c r="AH98" s="734"/>
      <c r="AI98" s="515">
        <f t="shared" si="6"/>
        <v>0</v>
      </c>
      <c r="AJ98" s="758"/>
      <c r="AK98" s="517"/>
      <c r="AM98" s="517"/>
    </row>
    <row r="99" spans="1:39" s="500" customFormat="1">
      <c r="A99" s="879" t="s">
        <v>2111</v>
      </c>
      <c r="B99" s="752" t="s">
        <v>1999</v>
      </c>
      <c r="C99" s="548"/>
      <c r="D99" s="748"/>
      <c r="E99" s="748"/>
      <c r="F99" s="749"/>
      <c r="G99" s="748"/>
      <c r="H99" s="748"/>
      <c r="I99" s="750"/>
      <c r="J99" s="750"/>
      <c r="K99" s="750"/>
      <c r="L99" s="750"/>
      <c r="M99" s="749"/>
      <c r="N99" s="750"/>
      <c r="O99" s="667"/>
      <c r="P99" s="750"/>
      <c r="Q99" s="667"/>
      <c r="R99" s="521"/>
      <c r="S99" s="750"/>
      <c r="T99" s="749"/>
      <c r="U99" s="750"/>
      <c r="V99" s="750"/>
      <c r="W99" s="750"/>
      <c r="X99" s="750"/>
      <c r="Y99" s="750"/>
      <c r="Z99" s="750"/>
      <c r="AA99" s="749"/>
      <c r="AB99" s="773"/>
      <c r="AC99" s="750"/>
      <c r="AD99" s="750"/>
      <c r="AE99" s="750"/>
      <c r="AF99" s="750"/>
      <c r="AG99" s="750"/>
      <c r="AH99" s="734"/>
      <c r="AI99" s="515">
        <f t="shared" si="6"/>
        <v>0</v>
      </c>
      <c r="AJ99" s="758"/>
      <c r="AK99" s="517"/>
      <c r="AM99" s="517"/>
    </row>
    <row r="100" spans="1:39" s="500" customFormat="1">
      <c r="A100" s="879" t="s">
        <v>2112</v>
      </c>
      <c r="B100" s="752" t="s">
        <v>2000</v>
      </c>
      <c r="C100" s="548" t="s">
        <v>40</v>
      </c>
      <c r="D100" s="748"/>
      <c r="E100" s="748"/>
      <c r="F100" s="749"/>
      <c r="G100" s="748"/>
      <c r="H100" s="748"/>
      <c r="I100" s="750"/>
      <c r="J100" s="750"/>
      <c r="K100" s="750"/>
      <c r="L100" s="750"/>
      <c r="M100" s="749"/>
      <c r="N100" s="750"/>
      <c r="O100" s="667"/>
      <c r="P100" s="750"/>
      <c r="Q100" s="667"/>
      <c r="R100" s="521"/>
      <c r="S100" s="750"/>
      <c r="T100" s="749"/>
      <c r="U100" s="750"/>
      <c r="V100" s="750"/>
      <c r="W100" s="750"/>
      <c r="X100" s="750"/>
      <c r="Y100" s="750"/>
      <c r="Z100" s="750"/>
      <c r="AA100" s="749"/>
      <c r="AB100" s="773"/>
      <c r="AC100" s="750"/>
      <c r="AD100" s="750"/>
      <c r="AE100" s="750"/>
      <c r="AF100" s="750"/>
      <c r="AG100" s="750"/>
      <c r="AH100" s="734"/>
      <c r="AI100" s="515">
        <f t="shared" si="6"/>
        <v>0</v>
      </c>
      <c r="AJ100" s="758"/>
      <c r="AK100" s="517"/>
      <c r="AM100" s="517"/>
    </row>
    <row r="101" spans="1:39" s="500" customFormat="1">
      <c r="A101" s="879" t="s">
        <v>2113</v>
      </c>
      <c r="B101" s="752" t="s">
        <v>2001</v>
      </c>
      <c r="C101" s="548" t="s">
        <v>37</v>
      </c>
      <c r="D101" s="748"/>
      <c r="E101" s="748"/>
      <c r="F101" s="749"/>
      <c r="G101" s="748"/>
      <c r="H101" s="748"/>
      <c r="I101" s="750"/>
      <c r="K101" s="750"/>
      <c r="L101" s="750"/>
      <c r="M101" s="749"/>
      <c r="N101" s="750"/>
      <c r="O101" s="667"/>
      <c r="P101" s="750"/>
      <c r="Q101" s="667"/>
      <c r="R101" s="521"/>
      <c r="S101" s="750"/>
      <c r="T101" s="749"/>
      <c r="V101" s="750"/>
      <c r="W101" s="750"/>
      <c r="X101" s="750"/>
      <c r="Y101" s="750"/>
      <c r="Z101" s="750"/>
      <c r="AA101" s="749"/>
      <c r="AB101" s="773"/>
      <c r="AC101" s="750"/>
      <c r="AD101" s="750"/>
      <c r="AE101" s="750"/>
      <c r="AF101" s="750"/>
      <c r="AG101" s="750"/>
      <c r="AH101" s="734"/>
      <c r="AI101" s="515">
        <f t="shared" si="6"/>
        <v>0</v>
      </c>
      <c r="AJ101" s="758"/>
      <c r="AK101" s="517"/>
      <c r="AM101" s="517"/>
    </row>
    <row r="102" spans="1:39" s="500" customFormat="1">
      <c r="A102" s="879" t="s">
        <v>2114</v>
      </c>
      <c r="B102" s="752" t="s">
        <v>2002</v>
      </c>
      <c r="C102" s="548" t="s">
        <v>1938</v>
      </c>
      <c r="D102" s="748"/>
      <c r="E102" s="958"/>
      <c r="F102" s="749"/>
      <c r="G102" s="748"/>
      <c r="H102" s="748"/>
      <c r="J102" s="750"/>
      <c r="K102" s="750"/>
      <c r="L102" s="750"/>
      <c r="M102" s="749"/>
      <c r="N102" s="750"/>
      <c r="O102" s="667"/>
      <c r="P102" s="750"/>
      <c r="R102" s="521"/>
      <c r="S102" s="959"/>
      <c r="T102" s="749"/>
      <c r="V102" s="750"/>
      <c r="W102" s="750"/>
      <c r="X102" s="750"/>
      <c r="Y102" s="750"/>
      <c r="AA102" s="749"/>
      <c r="AB102" s="773"/>
      <c r="AC102" s="750"/>
      <c r="AD102" s="750"/>
      <c r="AE102" s="750"/>
      <c r="AF102" s="750"/>
      <c r="AG102" s="750"/>
      <c r="AH102" s="734"/>
      <c r="AI102" s="515">
        <f t="shared" si="6"/>
        <v>0</v>
      </c>
      <c r="AJ102" s="758"/>
      <c r="AK102" s="517"/>
      <c r="AM102" s="517"/>
    </row>
    <row r="103" spans="1:39" s="500" customFormat="1">
      <c r="A103" s="987" t="s">
        <v>2145</v>
      </c>
      <c r="B103" s="542" t="s">
        <v>1218</v>
      </c>
      <c r="C103" s="548"/>
      <c r="D103" s="748"/>
      <c r="E103" s="958"/>
      <c r="F103" s="749"/>
      <c r="G103" s="748"/>
      <c r="H103" s="748"/>
      <c r="I103" s="750"/>
      <c r="J103" s="750"/>
      <c r="K103" s="750"/>
      <c r="L103" s="750"/>
      <c r="M103" s="749"/>
      <c r="N103" s="750"/>
      <c r="O103" s="667"/>
      <c r="P103" s="750"/>
      <c r="Q103" s="667"/>
      <c r="R103" s="521"/>
      <c r="S103" s="959"/>
      <c r="T103" s="749"/>
      <c r="U103" s="750"/>
      <c r="V103" s="750"/>
      <c r="W103" s="750"/>
      <c r="X103" s="750"/>
      <c r="Y103" s="750"/>
      <c r="Z103" s="750"/>
      <c r="AA103" s="749"/>
      <c r="AB103" s="773"/>
      <c r="AC103" s="750"/>
      <c r="AD103" s="750"/>
      <c r="AE103" s="750"/>
      <c r="AF103" s="750"/>
      <c r="AG103" s="750"/>
      <c r="AH103" s="734"/>
      <c r="AI103" s="515">
        <f t="shared" si="6"/>
        <v>0</v>
      </c>
      <c r="AJ103" s="758"/>
      <c r="AK103" s="517"/>
      <c r="AM103" s="517"/>
    </row>
    <row r="104" spans="1:39" s="500" customFormat="1">
      <c r="A104" s="987" t="s">
        <v>2156</v>
      </c>
      <c r="B104" s="988" t="s">
        <v>1949</v>
      </c>
      <c r="C104" s="548"/>
      <c r="D104" s="748"/>
      <c r="F104" s="749"/>
      <c r="G104" s="748"/>
      <c r="H104" s="748"/>
      <c r="I104" s="750"/>
      <c r="J104" s="750"/>
      <c r="K104" s="750"/>
      <c r="L104" s="750"/>
      <c r="M104" s="749"/>
      <c r="N104" s="750"/>
      <c r="O104" s="667"/>
      <c r="P104" s="750"/>
      <c r="Q104" s="667"/>
      <c r="R104" s="521"/>
      <c r="S104" s="959"/>
      <c r="T104" s="749"/>
      <c r="U104" s="750"/>
      <c r="V104" s="750"/>
      <c r="W104" s="750"/>
      <c r="X104" s="750"/>
      <c r="Y104" s="750"/>
      <c r="Z104" s="750"/>
      <c r="AA104" s="749"/>
      <c r="AB104" s="773"/>
      <c r="AC104" s="750"/>
      <c r="AD104" s="750"/>
      <c r="AE104" s="521"/>
      <c r="AF104" s="521"/>
      <c r="AH104" s="734"/>
      <c r="AI104" s="515">
        <f t="shared" si="6"/>
        <v>0</v>
      </c>
      <c r="AJ104" s="758"/>
      <c r="AK104" s="517"/>
      <c r="AM104" s="517"/>
    </row>
    <row r="105" spans="1:39" s="500" customFormat="1">
      <c r="A105" s="987" t="s">
        <v>2169</v>
      </c>
      <c r="B105" s="752" t="s">
        <v>1950</v>
      </c>
      <c r="C105" s="747" t="s">
        <v>40</v>
      </c>
      <c r="D105" s="748"/>
      <c r="E105" s="958"/>
      <c r="F105" s="749"/>
      <c r="G105" s="748"/>
      <c r="H105" s="748"/>
      <c r="I105" s="750"/>
      <c r="J105" s="750"/>
      <c r="K105" s="750"/>
      <c r="L105" s="750"/>
      <c r="M105" s="749"/>
      <c r="N105" s="750"/>
      <c r="O105" s="667"/>
      <c r="P105" s="750"/>
      <c r="Q105" s="667"/>
      <c r="R105" s="521"/>
      <c r="S105" s="959"/>
      <c r="T105" s="749"/>
      <c r="U105" s="750"/>
      <c r="V105" s="750"/>
      <c r="W105" s="750"/>
      <c r="X105" s="750"/>
      <c r="Y105" s="750"/>
      <c r="Z105" s="750"/>
      <c r="AA105" s="749"/>
      <c r="AB105" s="773"/>
      <c r="AC105" s="750"/>
      <c r="AE105" s="667"/>
      <c r="AF105" s="521"/>
      <c r="AH105" s="734"/>
      <c r="AI105" s="515">
        <f t="shared" si="6"/>
        <v>0</v>
      </c>
      <c r="AJ105" s="758"/>
      <c r="AK105" s="517"/>
      <c r="AM105" s="517"/>
    </row>
    <row r="106" spans="1:39" s="500" customFormat="1">
      <c r="A106" s="987" t="s">
        <v>2170</v>
      </c>
      <c r="B106" s="539" t="s">
        <v>1203</v>
      </c>
      <c r="C106" s="548" t="s">
        <v>37</v>
      </c>
      <c r="D106" s="748"/>
      <c r="E106" s="958"/>
      <c r="F106" s="749"/>
      <c r="G106" s="748"/>
      <c r="H106" s="748"/>
      <c r="I106" s="750"/>
      <c r="J106" s="750"/>
      <c r="K106" s="750"/>
      <c r="L106" s="750"/>
      <c r="M106" s="749"/>
      <c r="N106" s="750"/>
      <c r="O106" s="667"/>
      <c r="P106" s="750"/>
      <c r="Q106" s="667"/>
      <c r="R106" s="521"/>
      <c r="S106" s="959"/>
      <c r="T106" s="749"/>
      <c r="V106" s="750"/>
      <c r="W106" s="750"/>
      <c r="X106" s="750"/>
      <c r="Y106" s="750"/>
      <c r="Z106" s="750"/>
      <c r="AA106" s="730"/>
      <c r="AB106" s="773"/>
      <c r="AC106" s="750"/>
      <c r="AD106" s="750"/>
      <c r="AE106" s="521"/>
      <c r="AF106" s="521"/>
      <c r="AG106" s="521"/>
      <c r="AH106" s="734"/>
      <c r="AI106" s="515">
        <f t="shared" si="6"/>
        <v>0</v>
      </c>
      <c r="AJ106" s="758"/>
      <c r="AK106" s="517"/>
      <c r="AM106" s="517"/>
    </row>
    <row r="107" spans="1:39" s="500" customFormat="1">
      <c r="A107" s="987" t="s">
        <v>2146</v>
      </c>
      <c r="B107" s="988" t="s">
        <v>1994</v>
      </c>
      <c r="C107" s="548"/>
      <c r="D107" s="748"/>
      <c r="E107" s="748"/>
      <c r="F107" s="749"/>
      <c r="G107" s="748"/>
      <c r="H107" s="748"/>
      <c r="I107" s="750"/>
      <c r="J107" s="750"/>
      <c r="K107" s="750"/>
      <c r="L107" s="750"/>
      <c r="M107" s="749"/>
      <c r="N107" s="750"/>
      <c r="O107" s="667"/>
      <c r="P107" s="750"/>
      <c r="Q107" s="667"/>
      <c r="R107" s="521"/>
      <c r="S107" s="750"/>
      <c r="T107" s="749"/>
      <c r="U107" s="750"/>
      <c r="V107" s="750"/>
      <c r="W107" s="750"/>
      <c r="X107" s="750"/>
      <c r="Y107" s="750"/>
      <c r="Z107" s="750"/>
      <c r="AA107" s="749"/>
      <c r="AB107" s="773"/>
      <c r="AC107" s="750"/>
      <c r="AD107" s="750"/>
      <c r="AE107" s="750"/>
      <c r="AF107" s="750"/>
      <c r="AG107" s="750"/>
      <c r="AH107" s="734"/>
      <c r="AI107" s="515">
        <f t="shared" si="6"/>
        <v>0</v>
      </c>
      <c r="AJ107" s="758"/>
      <c r="AK107" s="517"/>
      <c r="AM107" s="517"/>
    </row>
    <row r="108" spans="1:39" s="500" customFormat="1">
      <c r="A108" s="987" t="s">
        <v>2171</v>
      </c>
      <c r="B108" s="539" t="s">
        <v>2137</v>
      </c>
      <c r="C108" s="548" t="s">
        <v>40</v>
      </c>
      <c r="D108" s="748"/>
      <c r="E108" s="748"/>
      <c r="F108" s="749"/>
      <c r="G108" s="748"/>
      <c r="H108" s="748"/>
      <c r="I108" s="750"/>
      <c r="J108" s="750"/>
      <c r="K108" s="750"/>
      <c r="L108" s="750"/>
      <c r="M108" s="749"/>
      <c r="N108" s="750"/>
      <c r="O108" s="667"/>
      <c r="P108" s="750"/>
      <c r="Q108" s="667"/>
      <c r="R108" s="521"/>
      <c r="S108" s="750"/>
      <c r="T108" s="749"/>
      <c r="U108" s="750"/>
      <c r="V108" s="750"/>
      <c r="W108" s="750"/>
      <c r="X108" s="750"/>
      <c r="Y108" s="750"/>
      <c r="Z108" s="750"/>
      <c r="AA108" s="749"/>
      <c r="AB108" s="773"/>
      <c r="AC108" s="750"/>
      <c r="AD108" s="750"/>
      <c r="AE108" s="750"/>
      <c r="AF108" s="750"/>
      <c r="AG108" s="750"/>
      <c r="AH108" s="734"/>
      <c r="AI108" s="515">
        <f t="shared" si="6"/>
        <v>0</v>
      </c>
      <c r="AJ108" s="758"/>
      <c r="AK108" s="517"/>
      <c r="AM108" s="517"/>
    </row>
    <row r="109" spans="1:39" s="500" customFormat="1">
      <c r="A109" s="987" t="s">
        <v>2172</v>
      </c>
      <c r="B109" s="539" t="s">
        <v>2138</v>
      </c>
      <c r="C109" s="548" t="s">
        <v>37</v>
      </c>
      <c r="D109" s="748"/>
      <c r="E109" s="748"/>
      <c r="F109" s="749"/>
      <c r="G109" s="748"/>
      <c r="H109" s="748"/>
      <c r="I109" s="750"/>
      <c r="J109" s="750"/>
      <c r="K109" s="750"/>
      <c r="L109" s="750"/>
      <c r="M109" s="749"/>
      <c r="N109" s="750"/>
      <c r="O109" s="667"/>
      <c r="P109" s="750"/>
      <c r="Q109" s="667"/>
      <c r="R109" s="521"/>
      <c r="S109" s="750"/>
      <c r="T109" s="749"/>
      <c r="U109" s="750"/>
      <c r="V109" s="750"/>
      <c r="W109" s="750"/>
      <c r="X109" s="750"/>
      <c r="Y109" s="750"/>
      <c r="Z109" s="750"/>
      <c r="AA109" s="749"/>
      <c r="AB109" s="773"/>
      <c r="AC109" s="750"/>
      <c r="AD109" s="750"/>
      <c r="AE109" s="750"/>
      <c r="AF109" s="750"/>
      <c r="AG109" s="750"/>
      <c r="AH109" s="734"/>
      <c r="AI109" s="515">
        <f t="shared" si="6"/>
        <v>0</v>
      </c>
      <c r="AJ109" s="758"/>
      <c r="AK109" s="517"/>
      <c r="AM109" s="517"/>
    </row>
    <row r="110" spans="1:39" s="500" customFormat="1">
      <c r="A110" s="987" t="s">
        <v>2173</v>
      </c>
      <c r="B110" s="539" t="s">
        <v>2139</v>
      </c>
      <c r="C110" s="548" t="s">
        <v>1938</v>
      </c>
      <c r="D110" s="748"/>
      <c r="E110" s="748"/>
      <c r="F110" s="748"/>
      <c r="G110" s="748"/>
      <c r="H110" s="748"/>
      <c r="I110" s="750"/>
      <c r="J110" s="750"/>
      <c r="K110" s="750"/>
      <c r="L110" s="750"/>
      <c r="M110" s="748"/>
      <c r="N110" s="750"/>
      <c r="O110" s="667"/>
      <c r="P110" s="750"/>
      <c r="Q110" s="667"/>
      <c r="R110" s="521"/>
      <c r="S110" s="750"/>
      <c r="T110" s="748"/>
      <c r="U110" s="750"/>
      <c r="V110" s="750"/>
      <c r="W110" s="750"/>
      <c r="X110" s="750"/>
      <c r="Y110" s="750"/>
      <c r="Z110" s="750"/>
      <c r="AA110" s="748"/>
      <c r="AB110" s="750"/>
      <c r="AC110" s="750"/>
      <c r="AD110" s="750"/>
      <c r="AE110" s="750"/>
      <c r="AF110" s="750"/>
      <c r="AG110" s="750"/>
      <c r="AH110" s="734"/>
      <c r="AI110" s="515">
        <f t="shared" si="6"/>
        <v>0</v>
      </c>
      <c r="AJ110" s="758"/>
      <c r="AK110" s="517"/>
      <c r="AM110" s="517"/>
    </row>
    <row r="111" spans="1:39" s="500" customFormat="1">
      <c r="A111" s="987" t="s">
        <v>2147</v>
      </c>
      <c r="B111" s="542" t="s">
        <v>1239</v>
      </c>
      <c r="C111" s="548"/>
      <c r="D111" s="748"/>
      <c r="E111" s="748"/>
      <c r="F111" s="749"/>
      <c r="G111" s="1060"/>
      <c r="H111" s="1060"/>
      <c r="I111" s="1018"/>
      <c r="J111" s="750"/>
      <c r="K111" s="750"/>
      <c r="L111" s="750"/>
      <c r="M111" s="749"/>
      <c r="N111" s="750"/>
      <c r="O111" s="667"/>
      <c r="P111" s="750"/>
      <c r="Q111" s="667"/>
      <c r="R111" s="521"/>
      <c r="S111" s="750"/>
      <c r="T111" s="749"/>
      <c r="U111" s="750"/>
      <c r="V111" s="750"/>
      <c r="W111" s="750"/>
      <c r="X111" s="750"/>
      <c r="Y111" s="750"/>
      <c r="Z111" s="750"/>
      <c r="AA111" s="749"/>
      <c r="AB111" s="773"/>
      <c r="AC111" s="750"/>
      <c r="AD111" s="750"/>
      <c r="AE111" s="750"/>
      <c r="AF111" s="750"/>
      <c r="AG111" s="750"/>
      <c r="AH111" s="734"/>
      <c r="AI111" s="515">
        <f t="shared" si="6"/>
        <v>0</v>
      </c>
      <c r="AJ111" s="758"/>
      <c r="AK111" s="517"/>
      <c r="AM111" s="517"/>
    </row>
    <row r="112" spans="1:39" s="500" customFormat="1">
      <c r="A112" s="987" t="s">
        <v>2198</v>
      </c>
      <c r="B112" s="539" t="s">
        <v>2209</v>
      </c>
      <c r="C112" s="548" t="s">
        <v>2100</v>
      </c>
      <c r="D112" s="748"/>
      <c r="E112" s="748"/>
      <c r="F112" s="749"/>
      <c r="G112" s="1060"/>
      <c r="H112" s="1060"/>
      <c r="I112" s="1018"/>
      <c r="J112" s="750"/>
      <c r="K112" s="750"/>
      <c r="L112" s="750"/>
      <c r="M112" s="749"/>
      <c r="N112" s="1026">
        <f>8.7*2.9195</f>
        <v>25.399650000000001</v>
      </c>
      <c r="O112" s="1026">
        <f>4*2.85</f>
        <v>11.4</v>
      </c>
      <c r="P112" s="1018">
        <f>5*0.28+3.2*2.15+5.5*0.2+1.8*5+5*0.3+3.25*2.2+4.25*0.28+2.2*0.28+5.6*0.2</f>
        <v>29.956000000000003</v>
      </c>
      <c r="Q112" s="1071">
        <f>2.67*2.9</f>
        <v>7.7429999999999994</v>
      </c>
      <c r="R112" s="1072">
        <f>5*4.1+1.7*2.7+1.7*1.55+3.2*0.28+3.8*0.3+1.6*0.7+5.2*0.28</f>
        <v>32.337000000000003</v>
      </c>
      <c r="S112" s="750"/>
      <c r="T112" s="749"/>
      <c r="U112" s="750"/>
      <c r="V112" s="750"/>
      <c r="W112" s="750"/>
      <c r="X112" s="750"/>
      <c r="Y112" s="750"/>
      <c r="Z112" s="750"/>
      <c r="AA112" s="749"/>
      <c r="AB112" s="773"/>
      <c r="AC112" s="750"/>
      <c r="AD112" s="750"/>
      <c r="AE112" s="750"/>
      <c r="AF112" s="750"/>
      <c r="AG112" s="750"/>
      <c r="AH112" s="734"/>
      <c r="AI112" s="992">
        <f t="shared" si="6"/>
        <v>106.83565</v>
      </c>
      <c r="AJ112" s="758"/>
      <c r="AK112" s="517"/>
      <c r="AM112" s="517"/>
    </row>
    <row r="113" spans="1:39" s="500" customFormat="1">
      <c r="A113" s="987" t="s">
        <v>2148</v>
      </c>
      <c r="B113" s="542" t="s">
        <v>1306</v>
      </c>
      <c r="C113" s="548"/>
      <c r="D113" s="748"/>
      <c r="E113" s="748"/>
      <c r="F113" s="749"/>
      <c r="G113" s="748"/>
      <c r="H113" s="748"/>
      <c r="I113" s="750"/>
      <c r="J113" s="750"/>
      <c r="K113" s="750"/>
      <c r="L113" s="750"/>
      <c r="M113" s="749"/>
      <c r="N113" s="750"/>
      <c r="O113" s="667"/>
      <c r="P113" s="750"/>
      <c r="Q113" s="667"/>
      <c r="R113" s="521"/>
      <c r="S113" s="750"/>
      <c r="T113" s="749"/>
      <c r="U113" s="750"/>
      <c r="V113" s="750"/>
      <c r="W113" s="750"/>
      <c r="X113" s="750"/>
      <c r="Y113" s="750"/>
      <c r="Z113" s="750"/>
      <c r="AA113" s="749"/>
      <c r="AB113" s="773"/>
      <c r="AC113" s="750"/>
      <c r="AD113" s="750"/>
      <c r="AE113" s="750"/>
      <c r="AF113" s="750"/>
      <c r="AG113" s="750"/>
      <c r="AH113" s="734"/>
      <c r="AI113" s="515">
        <f t="shared" si="6"/>
        <v>0</v>
      </c>
      <c r="AJ113" s="758"/>
      <c r="AK113" s="517"/>
      <c r="AM113" s="517"/>
    </row>
    <row r="114" spans="1:39" s="500" customFormat="1">
      <c r="A114" s="987" t="s">
        <v>2217</v>
      </c>
      <c r="B114" s="539" t="s">
        <v>1306</v>
      </c>
      <c r="C114" s="548" t="s">
        <v>2100</v>
      </c>
      <c r="D114" s="748"/>
      <c r="E114" s="748"/>
      <c r="F114" s="749"/>
      <c r="G114" s="748"/>
      <c r="H114" s="748"/>
      <c r="I114" s="750"/>
      <c r="J114" s="750"/>
      <c r="K114" s="750"/>
      <c r="L114" s="750"/>
      <c r="M114" s="749"/>
      <c r="N114" s="750"/>
      <c r="O114" s="667"/>
      <c r="P114" s="750"/>
      <c r="Q114" s="667"/>
      <c r="R114" s="521"/>
      <c r="S114" s="750"/>
      <c r="T114" s="749"/>
      <c r="U114" s="750"/>
      <c r="V114" s="750"/>
      <c r="W114" s="750"/>
      <c r="X114" s="750"/>
      <c r="Y114" s="750"/>
      <c r="Z114" s="750"/>
      <c r="AA114" s="749"/>
      <c r="AB114" s="773"/>
      <c r="AC114" s="750"/>
      <c r="AD114" s="750"/>
      <c r="AE114" s="750"/>
      <c r="AF114" s="750"/>
      <c r="AG114" s="750"/>
      <c r="AH114" s="734"/>
      <c r="AI114" s="515">
        <f t="shared" si="6"/>
        <v>0</v>
      </c>
      <c r="AJ114" s="758"/>
      <c r="AK114" s="517"/>
      <c r="AM114" s="517"/>
    </row>
    <row r="115" spans="1:39" s="500" customFormat="1">
      <c r="A115" s="987" t="s">
        <v>2115</v>
      </c>
      <c r="B115" s="988" t="s">
        <v>1210</v>
      </c>
      <c r="C115" s="548"/>
      <c r="D115" s="748"/>
      <c r="E115" s="748"/>
      <c r="F115" s="749"/>
      <c r="G115" s="748"/>
      <c r="H115" s="748"/>
      <c r="I115" s="750"/>
      <c r="J115" s="750"/>
      <c r="K115" s="750"/>
      <c r="L115" s="750"/>
      <c r="M115" s="749"/>
      <c r="N115" s="750"/>
      <c r="O115" s="667"/>
      <c r="P115" s="750"/>
      <c r="Q115" s="667"/>
      <c r="R115" s="521"/>
      <c r="S115" s="750"/>
      <c r="T115" s="749"/>
      <c r="U115" s="750"/>
      <c r="V115" s="750"/>
      <c r="W115" s="750"/>
      <c r="X115" s="750"/>
      <c r="Y115" s="750"/>
      <c r="Z115" s="750"/>
      <c r="AA115" s="749"/>
      <c r="AB115" s="773"/>
      <c r="AC115" s="750"/>
      <c r="AD115" s="750"/>
      <c r="AE115" s="750"/>
      <c r="AF115" s="750"/>
      <c r="AG115" s="750"/>
      <c r="AH115" s="734"/>
      <c r="AI115" s="515">
        <f t="shared" si="6"/>
        <v>0</v>
      </c>
      <c r="AJ115" s="758"/>
      <c r="AK115" s="517"/>
      <c r="AM115" s="517"/>
    </row>
    <row r="116" spans="1:39" s="500" customFormat="1">
      <c r="A116" s="879" t="s">
        <v>2123</v>
      </c>
      <c r="B116" s="752" t="s">
        <v>1994</v>
      </c>
      <c r="C116" s="548"/>
      <c r="D116" s="748"/>
      <c r="E116" s="748"/>
      <c r="F116" s="749"/>
      <c r="G116" s="748"/>
      <c r="H116" s="748"/>
      <c r="I116" s="750"/>
      <c r="J116" s="750"/>
      <c r="K116" s="750"/>
      <c r="L116" s="750"/>
      <c r="M116" s="749"/>
      <c r="N116" s="750"/>
      <c r="O116" s="667"/>
      <c r="P116" s="750"/>
      <c r="Q116" s="667"/>
      <c r="R116" s="521"/>
      <c r="S116" s="750"/>
      <c r="T116" s="749"/>
      <c r="U116" s="750"/>
      <c r="V116" s="750"/>
      <c r="W116" s="750"/>
      <c r="X116" s="750"/>
      <c r="Y116" s="750"/>
      <c r="Z116" s="750"/>
      <c r="AA116" s="749"/>
      <c r="AB116" s="773"/>
      <c r="AC116" s="750"/>
      <c r="AD116" s="750"/>
      <c r="AE116" s="750"/>
      <c r="AF116" s="750"/>
      <c r="AG116" s="750"/>
      <c r="AH116" s="734"/>
      <c r="AI116" s="515">
        <f t="shared" si="6"/>
        <v>0</v>
      </c>
      <c r="AJ116" s="758"/>
      <c r="AK116" s="517"/>
      <c r="AM116" s="517"/>
    </row>
    <row r="117" spans="1:39" s="500" customFormat="1">
      <c r="A117" s="879" t="s">
        <v>2124</v>
      </c>
      <c r="B117" s="752" t="s">
        <v>1995</v>
      </c>
      <c r="C117" s="548"/>
      <c r="D117" s="748"/>
      <c r="E117" s="748"/>
      <c r="F117" s="749"/>
      <c r="G117" s="748"/>
      <c r="H117" s="748"/>
      <c r="I117" s="750"/>
      <c r="J117" s="750"/>
      <c r="K117" s="750"/>
      <c r="L117" s="750"/>
      <c r="M117" s="749"/>
      <c r="N117" s="750"/>
      <c r="O117" s="667"/>
      <c r="P117" s="750"/>
      <c r="Q117" s="667"/>
      <c r="R117" s="521"/>
      <c r="S117" s="750"/>
      <c r="T117" s="749"/>
      <c r="U117" s="750"/>
      <c r="V117" s="750"/>
      <c r="W117" s="750"/>
      <c r="X117" s="750"/>
      <c r="Y117" s="750"/>
      <c r="Z117" s="750"/>
      <c r="AA117" s="749"/>
      <c r="AB117" s="773"/>
      <c r="AC117" s="750"/>
      <c r="AD117" s="750"/>
      <c r="AE117" s="750"/>
      <c r="AF117" s="750"/>
      <c r="AG117" s="750"/>
      <c r="AH117" s="734"/>
      <c r="AI117" s="515">
        <f t="shared" si="6"/>
        <v>0</v>
      </c>
      <c r="AJ117" s="758"/>
      <c r="AK117" s="517"/>
      <c r="AM117" s="517"/>
    </row>
    <row r="118" spans="1:39" s="500" customFormat="1">
      <c r="A118" s="879" t="s">
        <v>2125</v>
      </c>
      <c r="B118" s="752" t="s">
        <v>1996</v>
      </c>
      <c r="C118" s="548" t="s">
        <v>40</v>
      </c>
      <c r="D118" s="748"/>
      <c r="E118" s="748"/>
      <c r="F118" s="749"/>
      <c r="G118" s="748"/>
      <c r="H118" s="748"/>
      <c r="I118" s="750"/>
      <c r="J118" s="750"/>
      <c r="K118" s="750"/>
      <c r="L118" s="750"/>
      <c r="M118" s="749"/>
      <c r="N118" s="750"/>
      <c r="O118" s="667"/>
      <c r="P118" s="750"/>
      <c r="Q118" s="667"/>
      <c r="R118" s="521"/>
      <c r="S118" s="750"/>
      <c r="T118" s="749"/>
      <c r="U118" s="750"/>
      <c r="V118" s="750"/>
      <c r="W118" s="750"/>
      <c r="X118" s="750"/>
      <c r="Y118" s="750"/>
      <c r="Z118" s="750"/>
      <c r="AA118" s="749"/>
      <c r="AB118" s="773"/>
      <c r="AC118" s="750"/>
      <c r="AD118" s="750"/>
      <c r="AE118" s="750"/>
      <c r="AF118" s="750"/>
      <c r="AG118" s="750"/>
      <c r="AH118" s="734"/>
      <c r="AI118" s="515">
        <f t="shared" si="6"/>
        <v>0</v>
      </c>
      <c r="AJ118" s="758"/>
      <c r="AK118" s="517"/>
      <c r="AM118" s="517"/>
    </row>
    <row r="119" spans="1:39" s="500" customFormat="1">
      <c r="A119" s="879" t="s">
        <v>2126</v>
      </c>
      <c r="B119" s="752" t="s">
        <v>1997</v>
      </c>
      <c r="C119" s="548" t="s">
        <v>37</v>
      </c>
      <c r="D119" s="748"/>
      <c r="E119" s="748"/>
      <c r="F119" s="749"/>
      <c r="G119" s="748"/>
      <c r="H119" s="748"/>
      <c r="I119" s="750"/>
      <c r="J119" s="750"/>
      <c r="K119" s="750"/>
      <c r="L119" s="750"/>
      <c r="M119" s="749"/>
      <c r="N119" s="750"/>
      <c r="O119" s="667"/>
      <c r="P119" s="750"/>
      <c r="Q119" s="667"/>
      <c r="R119" s="521"/>
      <c r="S119" s="750"/>
      <c r="T119" s="749"/>
      <c r="U119" s="750"/>
      <c r="V119" s="750"/>
      <c r="W119" s="750"/>
      <c r="X119" s="750"/>
      <c r="Y119" s="750"/>
      <c r="Z119" s="750"/>
      <c r="AA119" s="749"/>
      <c r="AB119" s="773"/>
      <c r="AC119" s="750"/>
      <c r="AD119" s="750"/>
      <c r="AE119" s="750"/>
      <c r="AF119" s="750"/>
      <c r="AG119" s="750"/>
      <c r="AH119" s="734"/>
      <c r="AI119" s="515">
        <f t="shared" si="6"/>
        <v>0</v>
      </c>
      <c r="AJ119" s="758"/>
      <c r="AK119" s="517"/>
      <c r="AM119" s="517"/>
    </row>
    <row r="120" spans="1:39" s="500" customFormat="1">
      <c r="A120" s="879" t="s">
        <v>2127</v>
      </c>
      <c r="B120" s="752" t="s">
        <v>1998</v>
      </c>
      <c r="C120" s="548" t="s">
        <v>1938</v>
      </c>
      <c r="D120" s="748"/>
      <c r="E120" s="748"/>
      <c r="F120" s="749"/>
      <c r="G120" s="748"/>
      <c r="H120" s="748"/>
      <c r="I120" s="750"/>
      <c r="J120" s="750"/>
      <c r="K120" s="750"/>
      <c r="L120" s="750"/>
      <c r="M120" s="749"/>
      <c r="N120" s="750"/>
      <c r="O120" s="667"/>
      <c r="P120" s="750"/>
      <c r="Q120" s="667"/>
      <c r="R120" s="521"/>
      <c r="S120" s="750"/>
      <c r="T120" s="749"/>
      <c r="U120" s="750"/>
      <c r="V120" s="750"/>
      <c r="W120" s="750"/>
      <c r="X120" s="750"/>
      <c r="Y120" s="750"/>
      <c r="Z120" s="750"/>
      <c r="AA120" s="749"/>
      <c r="AB120" s="773"/>
      <c r="AC120" s="750"/>
      <c r="AD120" s="750"/>
      <c r="AE120" s="750"/>
      <c r="AF120" s="750"/>
      <c r="AG120" s="750"/>
      <c r="AH120" s="734"/>
      <c r="AI120" s="515">
        <f t="shared" si="6"/>
        <v>0</v>
      </c>
      <c r="AJ120" s="758"/>
      <c r="AK120" s="517"/>
      <c r="AM120" s="517"/>
    </row>
    <row r="121" spans="1:39" s="500" customFormat="1">
      <c r="A121" s="879" t="s">
        <v>2128</v>
      </c>
      <c r="B121" s="752" t="s">
        <v>1999</v>
      </c>
      <c r="C121" s="548"/>
      <c r="D121" s="748"/>
      <c r="E121" s="748"/>
      <c r="F121" s="749"/>
      <c r="G121" s="748"/>
      <c r="H121" s="748"/>
      <c r="I121" s="750"/>
      <c r="J121" s="750"/>
      <c r="K121" s="750"/>
      <c r="L121" s="750"/>
      <c r="M121" s="749"/>
      <c r="N121" s="750"/>
      <c r="O121" s="667"/>
      <c r="P121" s="750"/>
      <c r="Q121" s="667"/>
      <c r="R121" s="521"/>
      <c r="S121" s="750"/>
      <c r="T121" s="749"/>
      <c r="U121" s="750"/>
      <c r="V121" s="750"/>
      <c r="W121" s="750"/>
      <c r="X121" s="750"/>
      <c r="Y121" s="750"/>
      <c r="Z121" s="750"/>
      <c r="AA121" s="749"/>
      <c r="AB121" s="773"/>
      <c r="AC121" s="750"/>
      <c r="AD121" s="750"/>
      <c r="AE121" s="750"/>
      <c r="AF121" s="750"/>
      <c r="AG121" s="750"/>
      <c r="AH121" s="734"/>
      <c r="AI121" s="515">
        <f t="shared" si="6"/>
        <v>0</v>
      </c>
      <c r="AJ121" s="758"/>
      <c r="AK121" s="517"/>
      <c r="AM121" s="517"/>
    </row>
    <row r="122" spans="1:39" s="500" customFormat="1">
      <c r="A122" s="879" t="s">
        <v>2129</v>
      </c>
      <c r="B122" s="752" t="s">
        <v>2000</v>
      </c>
      <c r="C122" s="548" t="s">
        <v>40</v>
      </c>
      <c r="D122" s="748"/>
      <c r="E122" s="748"/>
      <c r="F122" s="749"/>
      <c r="G122" s="748"/>
      <c r="H122" s="748"/>
      <c r="I122" s="750"/>
      <c r="J122" s="750"/>
      <c r="K122" s="750"/>
      <c r="L122" s="750"/>
      <c r="M122" s="749"/>
      <c r="N122" s="750"/>
      <c r="O122" s="667"/>
      <c r="P122" s="750"/>
      <c r="Q122" s="667"/>
      <c r="R122" s="521"/>
      <c r="S122" s="750"/>
      <c r="T122" s="749"/>
      <c r="U122" s="750"/>
      <c r="V122" s="750"/>
      <c r="W122" s="750"/>
      <c r="X122" s="750"/>
      <c r="Y122" s="750"/>
      <c r="Z122" s="750"/>
      <c r="AA122" s="749"/>
      <c r="AB122" s="773"/>
      <c r="AC122" s="750"/>
      <c r="AD122" s="750"/>
      <c r="AE122" s="750"/>
      <c r="AF122" s="750"/>
      <c r="AG122" s="750"/>
      <c r="AH122" s="734"/>
      <c r="AI122" s="515">
        <f t="shared" si="6"/>
        <v>0</v>
      </c>
      <c r="AJ122" s="758"/>
      <c r="AK122" s="517"/>
      <c r="AM122" s="517"/>
    </row>
    <row r="123" spans="1:39" s="500" customFormat="1">
      <c r="A123" s="879" t="s">
        <v>2130</v>
      </c>
      <c r="B123" s="752" t="s">
        <v>2001</v>
      </c>
      <c r="C123" s="548" t="s">
        <v>37</v>
      </c>
      <c r="D123" s="748"/>
      <c r="E123" s="748"/>
      <c r="F123" s="749"/>
      <c r="G123" s="748"/>
      <c r="H123" s="748"/>
      <c r="I123" s="750"/>
      <c r="J123" s="750"/>
      <c r="K123" s="750"/>
      <c r="L123" s="750"/>
      <c r="M123" s="749"/>
      <c r="N123" s="750"/>
      <c r="O123" s="667"/>
      <c r="P123" s="750"/>
      <c r="Q123" s="667"/>
      <c r="R123" s="521"/>
      <c r="S123" s="750"/>
      <c r="T123" s="749"/>
      <c r="U123" s="750"/>
      <c r="V123" s="750"/>
      <c r="W123" s="750"/>
      <c r="X123" s="750"/>
      <c r="Y123" s="750"/>
      <c r="Z123" s="750"/>
      <c r="AA123" s="749"/>
      <c r="AB123" s="773"/>
      <c r="AC123" s="750"/>
      <c r="AD123" s="750"/>
      <c r="AE123" s="750"/>
      <c r="AF123" s="750"/>
      <c r="AG123" s="750"/>
      <c r="AH123" s="734"/>
      <c r="AI123" s="515">
        <f t="shared" si="6"/>
        <v>0</v>
      </c>
      <c r="AJ123" s="758"/>
      <c r="AK123" s="517"/>
      <c r="AM123" s="517"/>
    </row>
    <row r="124" spans="1:39" s="500" customFormat="1">
      <c r="A124" s="879" t="s">
        <v>2131</v>
      </c>
      <c r="B124" s="752" t="s">
        <v>2002</v>
      </c>
      <c r="C124" s="548" t="s">
        <v>1938</v>
      </c>
      <c r="D124" s="748"/>
      <c r="E124" s="748"/>
      <c r="F124" s="749"/>
      <c r="G124" s="748"/>
      <c r="H124" s="748"/>
      <c r="I124" s="750"/>
      <c r="J124" s="750"/>
      <c r="K124" s="750"/>
      <c r="L124" s="750"/>
      <c r="M124" s="749"/>
      <c r="N124" s="750"/>
      <c r="O124" s="667"/>
      <c r="P124" s="750"/>
      <c r="Q124" s="667"/>
      <c r="R124" s="521"/>
      <c r="S124" s="750"/>
      <c r="T124" s="749"/>
      <c r="U124" s="750"/>
      <c r="V124" s="750"/>
      <c r="W124" s="750"/>
      <c r="X124" s="750"/>
      <c r="Y124" s="750"/>
      <c r="Z124" s="750"/>
      <c r="AA124" s="749"/>
      <c r="AB124" s="773"/>
      <c r="AC124" s="750"/>
      <c r="AD124" s="750"/>
      <c r="AE124" s="750"/>
      <c r="AF124" s="750"/>
      <c r="AG124" s="750"/>
      <c r="AH124" s="734"/>
      <c r="AI124" s="515">
        <f t="shared" si="6"/>
        <v>0</v>
      </c>
      <c r="AJ124" s="758"/>
      <c r="AK124" s="517"/>
      <c r="AM124" s="517"/>
    </row>
    <row r="125" spans="1:39" s="500" customFormat="1">
      <c r="A125" s="543" t="s">
        <v>2188</v>
      </c>
      <c r="B125" s="543" t="s">
        <v>1351</v>
      </c>
      <c r="C125" s="548"/>
      <c r="D125" s="748"/>
      <c r="E125" s="748"/>
      <c r="F125" s="749"/>
      <c r="G125" s="748"/>
      <c r="H125" s="748"/>
      <c r="I125" s="750"/>
      <c r="J125" s="750"/>
      <c r="K125" s="750"/>
      <c r="L125" s="750"/>
      <c r="M125" s="749"/>
      <c r="N125" s="750"/>
      <c r="O125" s="667"/>
      <c r="P125" s="750"/>
      <c r="Q125" s="667"/>
      <c r="R125" s="521"/>
      <c r="S125" s="750"/>
      <c r="T125" s="749"/>
      <c r="U125" s="750"/>
      <c r="V125" s="750"/>
      <c r="W125" s="750"/>
      <c r="X125" s="750"/>
      <c r="Y125" s="750"/>
      <c r="Z125" s="750"/>
      <c r="AA125" s="749"/>
      <c r="AB125" s="773"/>
      <c r="AC125" s="750"/>
      <c r="AD125" s="750"/>
      <c r="AE125" s="750"/>
      <c r="AF125" s="750"/>
      <c r="AG125" s="750"/>
      <c r="AH125" s="734"/>
      <c r="AI125" s="515">
        <f t="shared" si="6"/>
        <v>0</v>
      </c>
      <c r="AJ125" s="758"/>
      <c r="AK125" s="517"/>
      <c r="AM125" s="517"/>
    </row>
    <row r="126" spans="1:39" s="500" customFormat="1">
      <c r="A126" s="543" t="s">
        <v>2189</v>
      </c>
      <c r="B126" s="542" t="s">
        <v>2193</v>
      </c>
      <c r="C126" s="974" t="s">
        <v>36</v>
      </c>
      <c r="D126" s="748"/>
      <c r="E126" s="748"/>
      <c r="F126" s="749"/>
      <c r="G126" s="1060">
        <v>1</v>
      </c>
      <c r="H126" s="748"/>
      <c r="I126" s="750"/>
      <c r="J126" s="750"/>
      <c r="K126" s="750"/>
      <c r="L126" s="750"/>
      <c r="M126" s="749"/>
      <c r="N126" s="750"/>
      <c r="O126" s="667"/>
      <c r="P126" s="750"/>
      <c r="Q126" s="667"/>
      <c r="R126" s="521"/>
      <c r="S126" s="750"/>
      <c r="T126" s="749"/>
      <c r="U126" s="750"/>
      <c r="V126" s="750"/>
      <c r="W126" s="750"/>
      <c r="X126" s="750"/>
      <c r="Y126" s="750"/>
      <c r="Z126" s="750"/>
      <c r="AA126" s="749"/>
      <c r="AB126" s="773"/>
      <c r="AC126" s="750"/>
      <c r="AD126" s="750"/>
      <c r="AE126" s="750"/>
      <c r="AF126" s="750"/>
      <c r="AG126" s="750"/>
      <c r="AH126" s="734"/>
      <c r="AI126" s="992">
        <f t="shared" si="6"/>
        <v>1</v>
      </c>
      <c r="AJ126" s="758"/>
      <c r="AK126" s="517"/>
      <c r="AM126" s="517"/>
    </row>
    <row r="127" spans="1:39" s="500" customFormat="1">
      <c r="A127" s="1062" t="s">
        <v>2201</v>
      </c>
      <c r="B127" s="1062" t="s">
        <v>1356</v>
      </c>
      <c r="C127" s="974"/>
      <c r="D127" s="748"/>
      <c r="E127" s="748"/>
      <c r="F127" s="749"/>
      <c r="G127" s="748"/>
      <c r="H127" s="748"/>
      <c r="I127" s="750"/>
      <c r="J127" s="750"/>
      <c r="K127" s="750"/>
      <c r="L127" s="750"/>
      <c r="M127" s="749"/>
      <c r="N127" s="750"/>
      <c r="O127" s="667"/>
      <c r="P127" s="750"/>
      <c r="Q127" s="667"/>
      <c r="R127" s="521"/>
      <c r="S127" s="750"/>
      <c r="T127" s="749"/>
      <c r="U127" s="750"/>
      <c r="V127" s="750"/>
      <c r="W127" s="750"/>
      <c r="X127" s="750"/>
      <c r="Y127" s="750"/>
      <c r="Z127" s="750"/>
      <c r="AA127" s="749"/>
      <c r="AB127" s="773"/>
      <c r="AC127" s="750"/>
      <c r="AD127" s="750"/>
      <c r="AE127" s="750"/>
      <c r="AF127" s="750"/>
      <c r="AG127" s="750"/>
      <c r="AH127" s="734"/>
      <c r="AI127" s="515">
        <f t="shared" si="6"/>
        <v>0</v>
      </c>
      <c r="AJ127" s="758"/>
      <c r="AK127" s="517"/>
      <c r="AM127" s="517"/>
    </row>
    <row r="128" spans="1:39" s="500" customFormat="1">
      <c r="A128" s="1063" t="s">
        <v>2202</v>
      </c>
      <c r="B128" s="1063" t="s">
        <v>1352</v>
      </c>
      <c r="C128" s="974" t="s">
        <v>40</v>
      </c>
      <c r="D128" s="748"/>
      <c r="E128" s="748"/>
      <c r="F128" s="749"/>
      <c r="G128" s="1060">
        <f>1*1*1.2</f>
        <v>1.2</v>
      </c>
      <c r="H128" s="748"/>
      <c r="I128" s="750"/>
      <c r="J128" s="750"/>
      <c r="K128" s="750"/>
      <c r="L128" s="750"/>
      <c r="M128" s="749"/>
      <c r="N128" s="750"/>
      <c r="O128" s="667"/>
      <c r="P128" s="750"/>
      <c r="Q128" s="667"/>
      <c r="R128" s="521"/>
      <c r="S128" s="750"/>
      <c r="T128" s="749"/>
      <c r="U128" s="750"/>
      <c r="V128" s="750"/>
      <c r="W128" s="750"/>
      <c r="X128" s="750"/>
      <c r="Y128" s="750"/>
      <c r="Z128" s="750"/>
      <c r="AA128" s="749"/>
      <c r="AB128" s="773"/>
      <c r="AC128" s="750"/>
      <c r="AD128" s="750"/>
      <c r="AE128" s="750"/>
      <c r="AF128" s="750"/>
      <c r="AG128" s="750"/>
      <c r="AH128" s="734"/>
      <c r="AI128" s="992">
        <f t="shared" si="6"/>
        <v>1.2</v>
      </c>
      <c r="AJ128" s="758"/>
      <c r="AK128" s="517"/>
      <c r="AM128" s="517"/>
    </row>
    <row r="129" spans="1:39" s="500" customFormat="1">
      <c r="A129" s="1063" t="s">
        <v>2203</v>
      </c>
      <c r="B129" s="1063" t="s">
        <v>1353</v>
      </c>
      <c r="C129" s="974" t="s">
        <v>40</v>
      </c>
      <c r="D129" s="748"/>
      <c r="E129" s="748"/>
      <c r="F129" s="749"/>
      <c r="G129" s="1060">
        <f>1.5*1.8*2</f>
        <v>5.4</v>
      </c>
      <c r="H129" s="1060">
        <f>1*1.8*2</f>
        <v>3.6</v>
      </c>
      <c r="I129" s="750"/>
      <c r="J129" s="750"/>
      <c r="K129" s="750"/>
      <c r="L129" s="750"/>
      <c r="M129" s="749"/>
      <c r="N129" s="750"/>
      <c r="O129" s="667"/>
      <c r="P129" s="750"/>
      <c r="Q129" s="667"/>
      <c r="R129" s="521"/>
      <c r="S129" s="750"/>
      <c r="T129" s="749"/>
      <c r="U129" s="750"/>
      <c r="V129" s="750"/>
      <c r="W129" s="750"/>
      <c r="X129" s="750"/>
      <c r="Y129" s="750"/>
      <c r="Z129" s="750"/>
      <c r="AA129" s="749"/>
      <c r="AB129" s="773"/>
      <c r="AC129" s="750"/>
      <c r="AD129" s="750"/>
      <c r="AE129" s="750"/>
      <c r="AF129" s="750"/>
      <c r="AG129" s="750"/>
      <c r="AH129" s="734"/>
      <c r="AI129" s="992">
        <f t="shared" si="6"/>
        <v>9</v>
      </c>
      <c r="AJ129" s="758"/>
      <c r="AK129" s="517"/>
      <c r="AM129" s="517"/>
    </row>
    <row r="130" spans="1:39" s="500" customFormat="1">
      <c r="A130" s="1063" t="s">
        <v>2204</v>
      </c>
      <c r="B130" s="1063" t="s">
        <v>1357</v>
      </c>
      <c r="C130" s="974" t="s">
        <v>40</v>
      </c>
      <c r="D130" s="748"/>
      <c r="E130" s="748"/>
      <c r="F130" s="749"/>
      <c r="G130" s="748"/>
      <c r="H130" s="748"/>
      <c r="I130" s="750"/>
      <c r="J130" s="1018">
        <f>1.6*1.4*0.15</f>
        <v>0.33599999999999997</v>
      </c>
      <c r="K130" s="750"/>
      <c r="L130" s="750"/>
      <c r="M130" s="749"/>
      <c r="N130" s="750"/>
      <c r="O130" s="667"/>
      <c r="P130" s="750"/>
      <c r="Q130" s="667"/>
      <c r="R130" s="521"/>
      <c r="S130" s="750"/>
      <c r="T130" s="749"/>
      <c r="U130" s="1018">
        <f>1*1.2*0.5</f>
        <v>0.6</v>
      </c>
      <c r="V130" s="750"/>
      <c r="W130" s="750"/>
      <c r="X130" s="750"/>
      <c r="Y130" s="750"/>
      <c r="Z130" s="750"/>
      <c r="AA130" s="749"/>
      <c r="AB130" s="773"/>
      <c r="AC130" s="750"/>
      <c r="AD130" s="750"/>
      <c r="AE130" s="750"/>
      <c r="AF130" s="750"/>
      <c r="AG130" s="750"/>
      <c r="AH130" s="734"/>
      <c r="AI130" s="992">
        <f t="shared" si="6"/>
        <v>0.93599999999999994</v>
      </c>
      <c r="AJ130" s="758"/>
      <c r="AK130" s="517"/>
      <c r="AM130" s="517"/>
    </row>
    <row r="131" spans="1:39" s="500" customFormat="1">
      <c r="A131" s="1063" t="s">
        <v>2205</v>
      </c>
      <c r="B131" s="1063" t="s">
        <v>2199</v>
      </c>
      <c r="C131" s="974" t="s">
        <v>37</v>
      </c>
      <c r="D131" s="748"/>
      <c r="E131" s="748"/>
      <c r="F131" s="749"/>
      <c r="G131" s="748"/>
      <c r="H131" s="748"/>
      <c r="I131" s="750"/>
      <c r="J131" s="750"/>
      <c r="K131" s="750"/>
      <c r="L131" s="750"/>
      <c r="M131" s="749"/>
      <c r="N131" s="750"/>
      <c r="O131" s="667"/>
      <c r="P131" s="750"/>
      <c r="Q131" s="667"/>
      <c r="R131" s="1022">
        <f>1*1.8*2</f>
        <v>3.6</v>
      </c>
      <c r="S131" s="750"/>
      <c r="T131" s="749"/>
      <c r="U131" s="1018">
        <f>1.5*1.8*2</f>
        <v>5.4</v>
      </c>
      <c r="V131" s="750"/>
      <c r="W131" s="750"/>
      <c r="X131" s="750"/>
      <c r="Y131" s="750"/>
      <c r="Z131" s="750"/>
      <c r="AA131" s="749"/>
      <c r="AB131" s="773"/>
      <c r="AC131" s="750"/>
      <c r="AD131" s="750"/>
      <c r="AE131" s="750"/>
      <c r="AF131" s="750"/>
      <c r="AG131" s="750"/>
      <c r="AH131" s="734"/>
      <c r="AI131" s="992">
        <f t="shared" si="6"/>
        <v>9</v>
      </c>
      <c r="AJ131" s="758"/>
      <c r="AK131" s="517"/>
      <c r="AM131" s="517"/>
    </row>
    <row r="132" spans="1:39" s="500" customFormat="1" ht="13.5" thickBot="1">
      <c r="A132" s="1063" t="s">
        <v>2206</v>
      </c>
      <c r="B132" s="1063" t="s">
        <v>2200</v>
      </c>
      <c r="C132" s="974" t="s">
        <v>40</v>
      </c>
      <c r="D132" s="748"/>
      <c r="E132" s="748"/>
      <c r="F132" s="749"/>
      <c r="G132" s="1060">
        <f>0.66*3.8</f>
        <v>2.508</v>
      </c>
      <c r="H132" s="748"/>
      <c r="I132" s="750"/>
      <c r="J132" s="750"/>
      <c r="K132" s="750"/>
      <c r="L132" s="750"/>
      <c r="M132" s="749"/>
      <c r="N132" s="750"/>
      <c r="O132" s="667"/>
      <c r="P132" s="750"/>
      <c r="Q132" s="667"/>
      <c r="R132" s="521"/>
      <c r="S132" s="750"/>
      <c r="T132" s="749"/>
      <c r="U132" s="750"/>
      <c r="V132" s="750"/>
      <c r="W132" s="750"/>
      <c r="X132" s="750"/>
      <c r="Y132" s="750"/>
      <c r="Z132" s="750"/>
      <c r="AA132" s="749"/>
      <c r="AB132" s="773"/>
      <c r="AC132" s="750"/>
      <c r="AD132" s="750"/>
      <c r="AE132" s="750"/>
      <c r="AF132" s="750"/>
      <c r="AG132" s="750"/>
      <c r="AH132" s="734"/>
      <c r="AI132" s="992">
        <f t="shared" si="6"/>
        <v>2.508</v>
      </c>
      <c r="AJ132" s="758"/>
      <c r="AK132" s="517"/>
      <c r="AM132" s="517"/>
    </row>
    <row r="133" spans="1:39" ht="13.5" thickBot="1">
      <c r="A133" s="1062" t="s">
        <v>2207</v>
      </c>
      <c r="B133" s="1062" t="s">
        <v>1370</v>
      </c>
      <c r="C133" s="974"/>
      <c r="D133" s="671"/>
      <c r="E133" s="671"/>
      <c r="F133" s="806"/>
      <c r="G133" s="671"/>
      <c r="H133" s="671"/>
      <c r="I133" s="671"/>
      <c r="J133" s="671"/>
      <c r="K133" s="671"/>
      <c r="L133" s="671"/>
      <c r="M133" s="806"/>
      <c r="N133" s="671"/>
      <c r="O133" s="671"/>
      <c r="P133" s="1073">
        <f>4*0.5</f>
        <v>2</v>
      </c>
      <c r="Q133" s="671"/>
      <c r="R133" s="671"/>
      <c r="S133" s="671"/>
      <c r="T133" s="806"/>
      <c r="U133" s="671"/>
      <c r="V133" s="671"/>
      <c r="W133" s="671"/>
      <c r="X133" s="671"/>
      <c r="Y133" s="671"/>
      <c r="Z133" s="671"/>
      <c r="AA133" s="806"/>
      <c r="AB133" s="1050"/>
      <c r="AC133" s="671"/>
      <c r="AD133" s="699"/>
      <c r="AE133" s="699"/>
      <c r="AF133" s="699"/>
      <c r="AG133" s="960"/>
      <c r="AH133" s="532"/>
      <c r="AI133" s="992">
        <f t="shared" si="6"/>
        <v>2</v>
      </c>
      <c r="AJ133" s="534"/>
      <c r="AL133" s="498">
        <f>AK133/10</f>
        <v>0</v>
      </c>
    </row>
    <row r="134" spans="1:39">
      <c r="A134" s="1063" t="s">
        <v>2208</v>
      </c>
      <c r="B134" s="1063" t="s">
        <v>1380</v>
      </c>
      <c r="C134" s="974" t="s">
        <v>37</v>
      </c>
      <c r="D134" s="671"/>
      <c r="E134" s="671"/>
      <c r="F134" s="806"/>
      <c r="G134" s="671"/>
      <c r="H134" s="671"/>
      <c r="I134" s="671"/>
      <c r="J134" s="671"/>
      <c r="K134" s="671"/>
      <c r="L134" s="671"/>
      <c r="M134" s="806"/>
      <c r="N134" s="671"/>
      <c r="O134" s="671"/>
      <c r="P134" s="671"/>
      <c r="Q134" s="671"/>
      <c r="R134" s="671"/>
      <c r="S134" s="671"/>
      <c r="T134" s="806"/>
      <c r="U134" s="671"/>
      <c r="V134" s="671"/>
      <c r="W134" s="671"/>
      <c r="X134" s="671"/>
      <c r="Y134" s="671"/>
      <c r="Z134" s="671"/>
      <c r="AA134" s="806"/>
      <c r="AB134" s="1050"/>
      <c r="AC134" s="671"/>
      <c r="AD134" s="699"/>
      <c r="AE134" s="699"/>
      <c r="AF134" s="699"/>
      <c r="AH134" s="1074"/>
      <c r="AI134" s="515">
        <f t="shared" si="6"/>
        <v>0</v>
      </c>
      <c r="AJ134" s="1075"/>
    </row>
    <row r="135" spans="1:39">
      <c r="A135" s="1063" t="s">
        <v>2218</v>
      </c>
      <c r="B135" s="752" t="s">
        <v>2219</v>
      </c>
      <c r="C135" s="974" t="s">
        <v>37</v>
      </c>
      <c r="D135" s="671"/>
      <c r="E135" s="671"/>
      <c r="F135" s="806"/>
      <c r="G135" s="671"/>
      <c r="H135" s="671"/>
      <c r="I135" s="671"/>
      <c r="J135" s="671"/>
      <c r="K135" s="671"/>
      <c r="L135" s="671"/>
      <c r="M135" s="806"/>
      <c r="N135" s="671"/>
      <c r="O135" s="671"/>
      <c r="P135" s="671"/>
      <c r="Q135" s="671"/>
      <c r="R135" s="1073">
        <v>1</v>
      </c>
      <c r="S135" s="671"/>
      <c r="T135" s="806"/>
      <c r="U135" s="671"/>
      <c r="V135" s="671"/>
      <c r="W135" s="671"/>
      <c r="X135" s="671"/>
      <c r="Y135" s="671"/>
      <c r="Z135" s="671"/>
      <c r="AA135" s="806"/>
      <c r="AB135" s="1050"/>
      <c r="AC135" s="671"/>
      <c r="AD135" s="699"/>
      <c r="AE135" s="699"/>
      <c r="AF135" s="699"/>
      <c r="AH135" s="1074"/>
      <c r="AI135" s="992">
        <f t="shared" si="6"/>
        <v>1</v>
      </c>
      <c r="AJ135" s="1075"/>
    </row>
    <row r="136" spans="1:39">
      <c r="A136" s="1062"/>
      <c r="B136" s="752" t="s">
        <v>2220</v>
      </c>
      <c r="C136" s="974"/>
      <c r="D136" s="671"/>
      <c r="E136" s="671"/>
      <c r="F136" s="806"/>
      <c r="G136" s="671"/>
      <c r="H136" s="671"/>
      <c r="I136" s="671"/>
      <c r="J136" s="671"/>
      <c r="K136" s="671"/>
      <c r="L136" s="671"/>
      <c r="M136" s="806"/>
      <c r="N136" s="671"/>
      <c r="O136" s="671"/>
      <c r="P136" s="671"/>
      <c r="Q136" s="671"/>
      <c r="R136" s="671"/>
      <c r="S136" s="671"/>
      <c r="T136" s="806"/>
      <c r="U136" s="671"/>
      <c r="V136" s="671"/>
      <c r="W136" s="671"/>
      <c r="X136" s="671"/>
      <c r="Y136" s="671"/>
      <c r="Z136" s="671"/>
      <c r="AA136" s="806"/>
      <c r="AB136" s="1050"/>
      <c r="AC136" s="671"/>
      <c r="AD136" s="699"/>
      <c r="AE136" s="699"/>
      <c r="AF136" s="699"/>
      <c r="AH136" s="1074"/>
      <c r="AI136" s="515">
        <f t="shared" si="6"/>
        <v>0</v>
      </c>
      <c r="AJ136" s="1075"/>
    </row>
    <row r="137" spans="1:39">
      <c r="A137" s="1063"/>
      <c r="B137" s="752" t="s">
        <v>2221</v>
      </c>
      <c r="C137" s="974" t="s">
        <v>73</v>
      </c>
      <c r="D137" s="671"/>
      <c r="E137" s="671"/>
      <c r="F137" s="806"/>
      <c r="G137" s="671"/>
      <c r="H137" s="671"/>
      <c r="I137" s="671"/>
      <c r="J137" s="671"/>
      <c r="K137" s="671"/>
      <c r="L137" s="671"/>
      <c r="M137" s="806"/>
      <c r="N137" s="671"/>
      <c r="O137" s="671"/>
      <c r="P137" s="671"/>
      <c r="Q137" s="505"/>
      <c r="R137" s="505"/>
      <c r="S137" s="505"/>
      <c r="T137" s="807"/>
      <c r="U137" s="505"/>
      <c r="V137" s="671"/>
      <c r="W137" s="671"/>
      <c r="X137" s="671"/>
      <c r="Y137" s="671"/>
      <c r="Z137" s="671"/>
      <c r="AA137" s="806"/>
      <c r="AB137" s="1050"/>
      <c r="AC137" s="671"/>
      <c r="AD137" s="699"/>
      <c r="AE137" s="699"/>
      <c r="AF137" s="699"/>
      <c r="AH137" s="1074"/>
      <c r="AI137" s="515">
        <f t="shared" si="6"/>
        <v>0</v>
      </c>
      <c r="AJ137" s="1075"/>
    </row>
    <row r="138" spans="1:39">
      <c r="A138" s="1063"/>
      <c r="B138" s="752" t="s">
        <v>2222</v>
      </c>
      <c r="C138" s="974"/>
      <c r="D138" s="671"/>
      <c r="E138" s="671"/>
      <c r="F138" s="806"/>
      <c r="G138" s="671"/>
      <c r="H138" s="671"/>
      <c r="I138" s="671"/>
      <c r="J138" s="671"/>
      <c r="K138" s="671"/>
      <c r="L138" s="671"/>
      <c r="M138" s="806"/>
      <c r="N138" s="671"/>
      <c r="O138" s="671"/>
      <c r="P138" s="671"/>
      <c r="Q138" s="671"/>
      <c r="R138" s="671"/>
      <c r="S138" s="671"/>
      <c r="T138" s="806"/>
      <c r="U138" s="671"/>
      <c r="V138" s="671"/>
      <c r="W138" s="671"/>
      <c r="X138" s="671"/>
      <c r="Y138" s="671"/>
      <c r="Z138" s="671"/>
      <c r="AA138" s="806"/>
      <c r="AB138" s="1050"/>
      <c r="AC138" s="671"/>
      <c r="AD138" s="699"/>
      <c r="AE138" s="699"/>
      <c r="AF138" s="699"/>
      <c r="AH138" s="1074"/>
      <c r="AI138" s="515">
        <f t="shared" si="6"/>
        <v>0</v>
      </c>
      <c r="AJ138" s="1075"/>
    </row>
    <row r="139" spans="1:39">
      <c r="A139" s="1063"/>
      <c r="B139" s="752" t="s">
        <v>2223</v>
      </c>
      <c r="C139" s="974" t="s">
        <v>40</v>
      </c>
      <c r="D139" s="671"/>
      <c r="E139" s="671"/>
      <c r="F139" s="806"/>
      <c r="G139" s="671"/>
      <c r="H139" s="671"/>
      <c r="I139" s="671"/>
      <c r="J139" s="671"/>
      <c r="K139" s="671"/>
      <c r="L139" s="671"/>
      <c r="M139" s="806"/>
      <c r="N139" s="671"/>
      <c r="O139" s="671"/>
      <c r="P139" s="671"/>
      <c r="Q139" s="1073">
        <v>4</v>
      </c>
      <c r="R139" s="1073">
        <v>4</v>
      </c>
      <c r="S139" s="671"/>
      <c r="T139" s="806"/>
      <c r="U139" s="1073">
        <v>4</v>
      </c>
      <c r="V139" s="671"/>
      <c r="W139" s="671"/>
      <c r="X139" s="671"/>
      <c r="Y139" s="671"/>
      <c r="Z139" s="671"/>
      <c r="AA139" s="806"/>
      <c r="AB139" s="1050"/>
      <c r="AC139" s="671"/>
      <c r="AD139" s="699"/>
      <c r="AE139" s="699"/>
      <c r="AF139" s="699"/>
      <c r="AH139" s="1074"/>
      <c r="AI139" s="992">
        <f t="shared" si="6"/>
        <v>12</v>
      </c>
      <c r="AJ139" s="1075"/>
    </row>
    <row r="140" spans="1:39">
      <c r="A140" s="1063"/>
      <c r="B140" s="752" t="s">
        <v>2224</v>
      </c>
      <c r="C140" s="974" t="s">
        <v>73</v>
      </c>
      <c r="D140" s="671"/>
      <c r="E140" s="671"/>
      <c r="F140" s="806"/>
      <c r="G140" s="671"/>
      <c r="H140" s="671"/>
      <c r="I140" s="671"/>
      <c r="J140" s="671"/>
      <c r="K140" s="671"/>
      <c r="L140" s="671"/>
      <c r="M140" s="806"/>
      <c r="N140" s="671"/>
      <c r="O140" s="671"/>
      <c r="P140" s="671"/>
      <c r="Q140" s="671"/>
      <c r="R140" s="671"/>
      <c r="S140" s="671"/>
      <c r="T140" s="806"/>
      <c r="U140" s="671"/>
      <c r="V140" s="671"/>
      <c r="W140" s="671"/>
      <c r="X140" s="671"/>
      <c r="Y140" s="671"/>
      <c r="Z140" s="671"/>
      <c r="AA140" s="806"/>
      <c r="AB140" s="1050"/>
      <c r="AC140" s="1073">
        <v>1</v>
      </c>
      <c r="AD140" s="699"/>
      <c r="AE140" s="699"/>
      <c r="AF140" s="699"/>
      <c r="AH140" s="1074"/>
      <c r="AI140" s="992">
        <f t="shared" si="6"/>
        <v>1</v>
      </c>
      <c r="AJ140" s="1075"/>
    </row>
    <row r="141" spans="1:39">
      <c r="A141" s="1063"/>
      <c r="B141" s="752" t="s">
        <v>2225</v>
      </c>
      <c r="C141" s="974"/>
      <c r="D141" s="505"/>
      <c r="E141" s="505"/>
      <c r="F141" s="807"/>
      <c r="G141" s="505"/>
      <c r="H141" s="505"/>
      <c r="I141" s="505"/>
      <c r="J141" s="505"/>
      <c r="K141" s="505"/>
      <c r="L141" s="505"/>
      <c r="M141" s="807"/>
      <c r="N141" s="505"/>
      <c r="O141" s="505"/>
      <c r="P141" s="505"/>
      <c r="Q141" s="505"/>
      <c r="R141" s="505"/>
      <c r="S141" s="505"/>
      <c r="T141" s="807"/>
      <c r="U141" s="505"/>
      <c r="V141" s="505"/>
      <c r="W141" s="505"/>
      <c r="X141" s="505"/>
      <c r="Y141" s="505"/>
      <c r="Z141" s="505"/>
      <c r="AA141" s="807"/>
      <c r="AB141" s="1050"/>
      <c r="AC141" s="671"/>
      <c r="AD141" s="699"/>
      <c r="AE141" s="699"/>
      <c r="AF141" s="699"/>
      <c r="AI141" s="515">
        <f t="shared" si="6"/>
        <v>0</v>
      </c>
    </row>
    <row r="142" spans="1:39">
      <c r="A142" s="1063"/>
      <c r="B142" s="752" t="s">
        <v>2225</v>
      </c>
      <c r="C142" s="974" t="s">
        <v>276</v>
      </c>
      <c r="D142" s="505"/>
      <c r="E142" s="505"/>
      <c r="F142" s="807"/>
      <c r="G142" s="505"/>
      <c r="H142" s="505"/>
      <c r="I142" s="505"/>
      <c r="J142" s="505"/>
      <c r="K142" s="505"/>
      <c r="L142" s="505"/>
      <c r="M142" s="807"/>
      <c r="N142" s="505"/>
      <c r="O142" s="505"/>
      <c r="P142" s="505"/>
      <c r="Q142" s="1077">
        <v>143.6</v>
      </c>
      <c r="R142" s="505"/>
      <c r="S142" s="505"/>
      <c r="T142" s="807"/>
      <c r="U142" s="1077">
        <v>217.9</v>
      </c>
      <c r="V142" s="505"/>
      <c r="W142" s="505"/>
      <c r="X142" s="1077">
        <v>278.60000000000002</v>
      </c>
      <c r="Y142" s="505"/>
      <c r="Z142" s="505"/>
      <c r="AA142" s="807"/>
      <c r="AB142" s="1050"/>
      <c r="AC142" s="1073">
        <v>159.6</v>
      </c>
      <c r="AD142" s="699"/>
      <c r="AE142" s="699"/>
      <c r="AF142" s="699"/>
      <c r="AI142" s="992">
        <f t="shared" ref="AI142" si="7">SUM(D142:AH142)</f>
        <v>799.7</v>
      </c>
    </row>
    <row r="143" spans="1:39">
      <c r="A143" s="879"/>
      <c r="B143" s="752"/>
      <c r="C143" s="548"/>
    </row>
    <row r="144" spans="1:39">
      <c r="A144" s="696"/>
      <c r="B144" s="753" t="s">
        <v>2</v>
      </c>
      <c r="C144" s="548"/>
      <c r="AL144" s="500">
        <v>1204.5</v>
      </c>
    </row>
    <row r="145" spans="1:18">
      <c r="A145" s="552" t="s">
        <v>288</v>
      </c>
    </row>
    <row r="146" spans="1:18">
      <c r="Q146" s="498" t="s">
        <v>2226</v>
      </c>
      <c r="R146" s="498">
        <v>143.6</v>
      </c>
    </row>
    <row r="147" spans="1:18">
      <c r="B147" s="550" t="s">
        <v>1801</v>
      </c>
      <c r="Q147" s="498" t="s">
        <v>2227</v>
      </c>
      <c r="R147" s="498">
        <v>217.93</v>
      </c>
    </row>
    <row r="148" spans="1:18">
      <c r="B148" s="550" t="s">
        <v>289</v>
      </c>
      <c r="Q148" s="498" t="s">
        <v>2228</v>
      </c>
      <c r="R148" s="498">
        <v>278.55</v>
      </c>
    </row>
    <row r="149" spans="1:18">
      <c r="Q149" s="498" t="s">
        <v>2229</v>
      </c>
      <c r="R149" s="498">
        <v>159.63999999999999</v>
      </c>
    </row>
    <row r="165" spans="2:2">
      <c r="B165" s="552"/>
    </row>
  </sheetData>
  <mergeCells count="10">
    <mergeCell ref="AJ8:AM8"/>
    <mergeCell ref="AN8:AQ8"/>
    <mergeCell ref="A9:A10"/>
    <mergeCell ref="B9:B10"/>
    <mergeCell ref="A1:X1"/>
    <mergeCell ref="A2:X2"/>
    <mergeCell ref="B4:L4"/>
    <mergeCell ref="B5:AA5"/>
    <mergeCell ref="Q7:V7"/>
    <mergeCell ref="W7:Z7"/>
  </mergeCells>
  <pageMargins left="0.7" right="0.7" top="0.75" bottom="0.75" header="0.3" footer="0.3"/>
  <pageSetup scale="30" orientation="portrait" r:id="rId1"/>
  <colBreaks count="1" manualBreakCount="1">
    <brk id="35" max="1048575" man="1"/>
  </colBreaks>
  <legacy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002060"/>
    <pageSetUpPr fitToPage="1"/>
  </sheetPr>
  <dimension ref="A1:AA73"/>
  <sheetViews>
    <sheetView view="pageBreakPreview" topLeftCell="B1" zoomScale="80" zoomScaleNormal="90" zoomScaleSheetLayoutView="80" workbookViewId="0">
      <selection activeCell="K37" sqref="K37"/>
    </sheetView>
  </sheetViews>
  <sheetFormatPr baseColWidth="10" defaultRowHeight="13.5"/>
  <cols>
    <col min="1" max="1" width="10.85546875" style="1083"/>
    <col min="2" max="2" width="12" style="1083" customWidth="1"/>
    <col min="3" max="3" width="64.42578125" style="1092" customWidth="1"/>
    <col min="4" max="4" width="10.5703125" style="1085" customWidth="1"/>
    <col min="5" max="5" width="12.85546875" style="1093" customWidth="1"/>
    <col min="6" max="7" width="13.28515625" style="1093" customWidth="1"/>
    <col min="8" max="8" width="15" style="1093" hidden="1" customWidth="1"/>
    <col min="9" max="9" width="15" style="1093" customWidth="1"/>
    <col min="10" max="10" width="12.7109375" style="1085" customWidth="1"/>
    <col min="11" max="11" width="16.28515625" style="1085" customWidth="1"/>
    <col min="12" max="12" width="12.28515625" style="1199" customWidth="1"/>
    <col min="13" max="13" width="17.85546875" style="1085" customWidth="1"/>
    <col min="14" max="14" width="12" style="1085" customWidth="1"/>
    <col min="15" max="15" width="16.42578125" style="1085" customWidth="1"/>
    <col min="16" max="16" width="13.42578125" style="1085" customWidth="1"/>
    <col min="17" max="17" width="9.140625" style="1083" customWidth="1"/>
    <col min="18" max="18" width="16.5703125" style="1083" customWidth="1"/>
    <col min="19" max="19" width="12.5703125" style="1083" customWidth="1"/>
    <col min="20" max="20" width="13" style="1083" bestFit="1" customWidth="1"/>
    <col min="21" max="22" width="13" style="1083" customWidth="1"/>
    <col min="23" max="24" width="10.85546875" style="1083"/>
    <col min="25" max="25" width="14.140625" style="1083" customWidth="1"/>
    <col min="26" max="261" width="10.85546875" style="1083"/>
    <col min="262" max="262" width="8.85546875" style="1083" customWidth="1"/>
    <col min="263" max="263" width="50" style="1083" customWidth="1"/>
    <col min="264" max="264" width="6.28515625" style="1083" bestFit="1" customWidth="1"/>
    <col min="265" max="265" width="8.85546875" style="1083" customWidth="1"/>
    <col min="266" max="266" width="8.5703125" style="1083" customWidth="1"/>
    <col min="267" max="267" width="11.28515625" style="1083" bestFit="1" customWidth="1"/>
    <col min="268" max="268" width="7.85546875" style="1083" bestFit="1" customWidth="1"/>
    <col min="269" max="269" width="11.5703125" style="1083" bestFit="1" customWidth="1"/>
    <col min="270" max="270" width="8" style="1083" bestFit="1" customWidth="1"/>
    <col min="271" max="271" width="11.5703125" style="1083" bestFit="1" customWidth="1"/>
    <col min="272" max="272" width="8.140625" style="1083" bestFit="1" customWidth="1"/>
    <col min="273" max="273" width="11.5703125" style="1083" bestFit="1" customWidth="1"/>
    <col min="274" max="274" width="8.42578125" style="1083" customWidth="1"/>
    <col min="275" max="275" width="7.28515625" style="1083" bestFit="1" customWidth="1"/>
    <col min="276" max="276" width="11.5703125" style="1083" bestFit="1" customWidth="1"/>
    <col min="277" max="277" width="8.140625" style="1083" customWidth="1"/>
    <col min="278" max="278" width="13" style="1083" bestFit="1" customWidth="1"/>
    <col min="279" max="517" width="10.85546875" style="1083"/>
    <col min="518" max="518" width="8.85546875" style="1083" customWidth="1"/>
    <col min="519" max="519" width="50" style="1083" customWidth="1"/>
    <col min="520" max="520" width="6.28515625" style="1083" bestFit="1" customWidth="1"/>
    <col min="521" max="521" width="8.85546875" style="1083" customWidth="1"/>
    <col min="522" max="522" width="8.5703125" style="1083" customWidth="1"/>
    <col min="523" max="523" width="11.28515625" style="1083" bestFit="1" customWidth="1"/>
    <col min="524" max="524" width="7.85546875" style="1083" bestFit="1" customWidth="1"/>
    <col min="525" max="525" width="11.5703125" style="1083" bestFit="1" customWidth="1"/>
    <col min="526" max="526" width="8" style="1083" bestFit="1" customWidth="1"/>
    <col min="527" max="527" width="11.5703125" style="1083" bestFit="1" customWidth="1"/>
    <col min="528" max="528" width="8.140625" style="1083" bestFit="1" customWidth="1"/>
    <col min="529" max="529" width="11.5703125" style="1083" bestFit="1" customWidth="1"/>
    <col min="530" max="530" width="8.42578125" style="1083" customWidth="1"/>
    <col min="531" max="531" width="7.28515625" style="1083" bestFit="1" customWidth="1"/>
    <col min="532" max="532" width="11.5703125" style="1083" bestFit="1" customWidth="1"/>
    <col min="533" max="533" width="8.140625" style="1083" customWidth="1"/>
    <col min="534" max="534" width="13" style="1083" bestFit="1" customWidth="1"/>
    <col min="535" max="773" width="10.85546875" style="1083"/>
    <col min="774" max="774" width="8.85546875" style="1083" customWidth="1"/>
    <col min="775" max="775" width="50" style="1083" customWidth="1"/>
    <col min="776" max="776" width="6.28515625" style="1083" bestFit="1" customWidth="1"/>
    <col min="777" max="777" width="8.85546875" style="1083" customWidth="1"/>
    <col min="778" max="778" width="8.5703125" style="1083" customWidth="1"/>
    <col min="779" max="779" width="11.28515625" style="1083" bestFit="1" customWidth="1"/>
    <col min="780" max="780" width="7.85546875" style="1083" bestFit="1" customWidth="1"/>
    <col min="781" max="781" width="11.5703125" style="1083" bestFit="1" customWidth="1"/>
    <col min="782" max="782" width="8" style="1083" bestFit="1" customWidth="1"/>
    <col min="783" max="783" width="11.5703125" style="1083" bestFit="1" customWidth="1"/>
    <col min="784" max="784" width="8.140625" style="1083" bestFit="1" customWidth="1"/>
    <col min="785" max="785" width="11.5703125" style="1083" bestFit="1" customWidth="1"/>
    <col min="786" max="786" width="8.42578125" style="1083" customWidth="1"/>
    <col min="787" max="787" width="7.28515625" style="1083" bestFit="1" customWidth="1"/>
    <col min="788" max="788" width="11.5703125" style="1083" bestFit="1" customWidth="1"/>
    <col min="789" max="789" width="8.140625" style="1083" customWidth="1"/>
    <col min="790" max="790" width="13" style="1083" bestFit="1" customWidth="1"/>
    <col min="791" max="1029" width="10.85546875" style="1083"/>
    <col min="1030" max="1030" width="8.85546875" style="1083" customWidth="1"/>
    <col min="1031" max="1031" width="50" style="1083" customWidth="1"/>
    <col min="1032" max="1032" width="6.28515625" style="1083" bestFit="1" customWidth="1"/>
    <col min="1033" max="1033" width="8.85546875" style="1083" customWidth="1"/>
    <col min="1034" max="1034" width="8.5703125" style="1083" customWidth="1"/>
    <col min="1035" max="1035" width="11.28515625" style="1083" bestFit="1" customWidth="1"/>
    <col min="1036" max="1036" width="7.85546875" style="1083" bestFit="1" customWidth="1"/>
    <col min="1037" max="1037" width="11.5703125" style="1083" bestFit="1" customWidth="1"/>
    <col min="1038" max="1038" width="8" style="1083" bestFit="1" customWidth="1"/>
    <col min="1039" max="1039" width="11.5703125" style="1083" bestFit="1" customWidth="1"/>
    <col min="1040" max="1040" width="8.140625" style="1083" bestFit="1" customWidth="1"/>
    <col min="1041" max="1041" width="11.5703125" style="1083" bestFit="1" customWidth="1"/>
    <col min="1042" max="1042" width="8.42578125" style="1083" customWidth="1"/>
    <col min="1043" max="1043" width="7.28515625" style="1083" bestFit="1" customWidth="1"/>
    <col min="1044" max="1044" width="11.5703125" style="1083" bestFit="1" customWidth="1"/>
    <col min="1045" max="1045" width="8.140625" style="1083" customWidth="1"/>
    <col min="1046" max="1046" width="13" style="1083" bestFit="1" customWidth="1"/>
    <col min="1047" max="1285" width="10.85546875" style="1083"/>
    <col min="1286" max="1286" width="8.85546875" style="1083" customWidth="1"/>
    <col min="1287" max="1287" width="50" style="1083" customWidth="1"/>
    <col min="1288" max="1288" width="6.28515625" style="1083" bestFit="1" customWidth="1"/>
    <col min="1289" max="1289" width="8.85546875" style="1083" customWidth="1"/>
    <col min="1290" max="1290" width="8.5703125" style="1083" customWidth="1"/>
    <col min="1291" max="1291" width="11.28515625" style="1083" bestFit="1" customWidth="1"/>
    <col min="1292" max="1292" width="7.85546875" style="1083" bestFit="1" customWidth="1"/>
    <col min="1293" max="1293" width="11.5703125" style="1083" bestFit="1" customWidth="1"/>
    <col min="1294" max="1294" width="8" style="1083" bestFit="1" customWidth="1"/>
    <col min="1295" max="1295" width="11.5703125" style="1083" bestFit="1" customWidth="1"/>
    <col min="1296" max="1296" width="8.140625" style="1083" bestFit="1" customWidth="1"/>
    <col min="1297" max="1297" width="11.5703125" style="1083" bestFit="1" customWidth="1"/>
    <col min="1298" max="1298" width="8.42578125" style="1083" customWidth="1"/>
    <col min="1299" max="1299" width="7.28515625" style="1083" bestFit="1" customWidth="1"/>
    <col min="1300" max="1300" width="11.5703125" style="1083" bestFit="1" customWidth="1"/>
    <col min="1301" max="1301" width="8.140625" style="1083" customWidth="1"/>
    <col min="1302" max="1302" width="13" style="1083" bestFit="1" customWidth="1"/>
    <col min="1303" max="1541" width="10.85546875" style="1083"/>
    <col min="1542" max="1542" width="8.85546875" style="1083" customWidth="1"/>
    <col min="1543" max="1543" width="50" style="1083" customWidth="1"/>
    <col min="1544" max="1544" width="6.28515625" style="1083" bestFit="1" customWidth="1"/>
    <col min="1545" max="1545" width="8.85546875" style="1083" customWidth="1"/>
    <col min="1546" max="1546" width="8.5703125" style="1083" customWidth="1"/>
    <col min="1547" max="1547" width="11.28515625" style="1083" bestFit="1" customWidth="1"/>
    <col min="1548" max="1548" width="7.85546875" style="1083" bestFit="1" customWidth="1"/>
    <col min="1549" max="1549" width="11.5703125" style="1083" bestFit="1" customWidth="1"/>
    <col min="1550" max="1550" width="8" style="1083" bestFit="1" customWidth="1"/>
    <col min="1551" max="1551" width="11.5703125" style="1083" bestFit="1" customWidth="1"/>
    <col min="1552" max="1552" width="8.140625" style="1083" bestFit="1" customWidth="1"/>
    <col min="1553" max="1553" width="11.5703125" style="1083" bestFit="1" customWidth="1"/>
    <col min="1554" max="1554" width="8.42578125" style="1083" customWidth="1"/>
    <col min="1555" max="1555" width="7.28515625" style="1083" bestFit="1" customWidth="1"/>
    <col min="1556" max="1556" width="11.5703125" style="1083" bestFit="1" customWidth="1"/>
    <col min="1557" max="1557" width="8.140625" style="1083" customWidth="1"/>
    <col min="1558" max="1558" width="13" style="1083" bestFit="1" customWidth="1"/>
    <col min="1559" max="1797" width="10.85546875" style="1083"/>
    <col min="1798" max="1798" width="8.85546875" style="1083" customWidth="1"/>
    <col min="1799" max="1799" width="50" style="1083" customWidth="1"/>
    <col min="1800" max="1800" width="6.28515625" style="1083" bestFit="1" customWidth="1"/>
    <col min="1801" max="1801" width="8.85546875" style="1083" customWidth="1"/>
    <col min="1802" max="1802" width="8.5703125" style="1083" customWidth="1"/>
    <col min="1803" max="1803" width="11.28515625" style="1083" bestFit="1" customWidth="1"/>
    <col min="1804" max="1804" width="7.85546875" style="1083" bestFit="1" customWidth="1"/>
    <col min="1805" max="1805" width="11.5703125" style="1083" bestFit="1" customWidth="1"/>
    <col min="1806" max="1806" width="8" style="1083" bestFit="1" customWidth="1"/>
    <col min="1807" max="1807" width="11.5703125" style="1083" bestFit="1" customWidth="1"/>
    <col min="1808" max="1808" width="8.140625" style="1083" bestFit="1" customWidth="1"/>
    <col min="1809" max="1809" width="11.5703125" style="1083" bestFit="1" customWidth="1"/>
    <col min="1810" max="1810" width="8.42578125" style="1083" customWidth="1"/>
    <col min="1811" max="1811" width="7.28515625" style="1083" bestFit="1" customWidth="1"/>
    <col min="1812" max="1812" width="11.5703125" style="1083" bestFit="1" customWidth="1"/>
    <col min="1813" max="1813" width="8.140625" style="1083" customWidth="1"/>
    <col min="1814" max="1814" width="13" style="1083" bestFit="1" customWidth="1"/>
    <col min="1815" max="2053" width="10.85546875" style="1083"/>
    <col min="2054" max="2054" width="8.85546875" style="1083" customWidth="1"/>
    <col min="2055" max="2055" width="50" style="1083" customWidth="1"/>
    <col min="2056" max="2056" width="6.28515625" style="1083" bestFit="1" customWidth="1"/>
    <col min="2057" max="2057" width="8.85546875" style="1083" customWidth="1"/>
    <col min="2058" max="2058" width="8.5703125" style="1083" customWidth="1"/>
    <col min="2059" max="2059" width="11.28515625" style="1083" bestFit="1" customWidth="1"/>
    <col min="2060" max="2060" width="7.85546875" style="1083" bestFit="1" customWidth="1"/>
    <col min="2061" max="2061" width="11.5703125" style="1083" bestFit="1" customWidth="1"/>
    <col min="2062" max="2062" width="8" style="1083" bestFit="1" customWidth="1"/>
    <col min="2063" max="2063" width="11.5703125" style="1083" bestFit="1" customWidth="1"/>
    <col min="2064" max="2064" width="8.140625" style="1083" bestFit="1" customWidth="1"/>
    <col min="2065" max="2065" width="11.5703125" style="1083" bestFit="1" customWidth="1"/>
    <col min="2066" max="2066" width="8.42578125" style="1083" customWidth="1"/>
    <col min="2067" max="2067" width="7.28515625" style="1083" bestFit="1" customWidth="1"/>
    <col min="2068" max="2068" width="11.5703125" style="1083" bestFit="1" customWidth="1"/>
    <col min="2069" max="2069" width="8.140625" style="1083" customWidth="1"/>
    <col min="2070" max="2070" width="13" style="1083" bestFit="1" customWidth="1"/>
    <col min="2071" max="2309" width="10.85546875" style="1083"/>
    <col min="2310" max="2310" width="8.85546875" style="1083" customWidth="1"/>
    <col min="2311" max="2311" width="50" style="1083" customWidth="1"/>
    <col min="2312" max="2312" width="6.28515625" style="1083" bestFit="1" customWidth="1"/>
    <col min="2313" max="2313" width="8.85546875" style="1083" customWidth="1"/>
    <col min="2314" max="2314" width="8.5703125" style="1083" customWidth="1"/>
    <col min="2315" max="2315" width="11.28515625" style="1083" bestFit="1" customWidth="1"/>
    <col min="2316" max="2316" width="7.85546875" style="1083" bestFit="1" customWidth="1"/>
    <col min="2317" max="2317" width="11.5703125" style="1083" bestFit="1" customWidth="1"/>
    <col min="2318" max="2318" width="8" style="1083" bestFit="1" customWidth="1"/>
    <col min="2319" max="2319" width="11.5703125" style="1083" bestFit="1" customWidth="1"/>
    <col min="2320" max="2320" width="8.140625" style="1083" bestFit="1" customWidth="1"/>
    <col min="2321" max="2321" width="11.5703125" style="1083" bestFit="1" customWidth="1"/>
    <col min="2322" max="2322" width="8.42578125" style="1083" customWidth="1"/>
    <col min="2323" max="2323" width="7.28515625" style="1083" bestFit="1" customWidth="1"/>
    <col min="2324" max="2324" width="11.5703125" style="1083" bestFit="1" customWidth="1"/>
    <col min="2325" max="2325" width="8.140625" style="1083" customWidth="1"/>
    <col min="2326" max="2326" width="13" style="1083" bestFit="1" customWidth="1"/>
    <col min="2327" max="2565" width="10.85546875" style="1083"/>
    <col min="2566" max="2566" width="8.85546875" style="1083" customWidth="1"/>
    <col min="2567" max="2567" width="50" style="1083" customWidth="1"/>
    <col min="2568" max="2568" width="6.28515625" style="1083" bestFit="1" customWidth="1"/>
    <col min="2569" max="2569" width="8.85546875" style="1083" customWidth="1"/>
    <col min="2570" max="2570" width="8.5703125" style="1083" customWidth="1"/>
    <col min="2571" max="2571" width="11.28515625" style="1083" bestFit="1" customWidth="1"/>
    <col min="2572" max="2572" width="7.85546875" style="1083" bestFit="1" customWidth="1"/>
    <col min="2573" max="2573" width="11.5703125" style="1083" bestFit="1" customWidth="1"/>
    <col min="2574" max="2574" width="8" style="1083" bestFit="1" customWidth="1"/>
    <col min="2575" max="2575" width="11.5703125" style="1083" bestFit="1" customWidth="1"/>
    <col min="2576" max="2576" width="8.140625" style="1083" bestFit="1" customWidth="1"/>
    <col min="2577" max="2577" width="11.5703125" style="1083" bestFit="1" customWidth="1"/>
    <col min="2578" max="2578" width="8.42578125" style="1083" customWidth="1"/>
    <col min="2579" max="2579" width="7.28515625" style="1083" bestFit="1" customWidth="1"/>
    <col min="2580" max="2580" width="11.5703125" style="1083" bestFit="1" customWidth="1"/>
    <col min="2581" max="2581" width="8.140625" style="1083" customWidth="1"/>
    <col min="2582" max="2582" width="13" style="1083" bestFit="1" customWidth="1"/>
    <col min="2583" max="2821" width="10.85546875" style="1083"/>
    <col min="2822" max="2822" width="8.85546875" style="1083" customWidth="1"/>
    <col min="2823" max="2823" width="50" style="1083" customWidth="1"/>
    <col min="2824" max="2824" width="6.28515625" style="1083" bestFit="1" customWidth="1"/>
    <col min="2825" max="2825" width="8.85546875" style="1083" customWidth="1"/>
    <col min="2826" max="2826" width="8.5703125" style="1083" customWidth="1"/>
    <col min="2827" max="2827" width="11.28515625" style="1083" bestFit="1" customWidth="1"/>
    <col min="2828" max="2828" width="7.85546875" style="1083" bestFit="1" customWidth="1"/>
    <col min="2829" max="2829" width="11.5703125" style="1083" bestFit="1" customWidth="1"/>
    <col min="2830" max="2830" width="8" style="1083" bestFit="1" customWidth="1"/>
    <col min="2831" max="2831" width="11.5703125" style="1083" bestFit="1" customWidth="1"/>
    <col min="2832" max="2832" width="8.140625" style="1083" bestFit="1" customWidth="1"/>
    <col min="2833" max="2833" width="11.5703125" style="1083" bestFit="1" customWidth="1"/>
    <col min="2834" max="2834" width="8.42578125" style="1083" customWidth="1"/>
    <col min="2835" max="2835" width="7.28515625" style="1083" bestFit="1" customWidth="1"/>
    <col min="2836" max="2836" width="11.5703125" style="1083" bestFit="1" customWidth="1"/>
    <col min="2837" max="2837" width="8.140625" style="1083" customWidth="1"/>
    <col min="2838" max="2838" width="13" style="1083" bestFit="1" customWidth="1"/>
    <col min="2839" max="3077" width="10.85546875" style="1083"/>
    <col min="3078" max="3078" width="8.85546875" style="1083" customWidth="1"/>
    <col min="3079" max="3079" width="50" style="1083" customWidth="1"/>
    <col min="3080" max="3080" width="6.28515625" style="1083" bestFit="1" customWidth="1"/>
    <col min="3081" max="3081" width="8.85546875" style="1083" customWidth="1"/>
    <col min="3082" max="3082" width="8.5703125" style="1083" customWidth="1"/>
    <col min="3083" max="3083" width="11.28515625" style="1083" bestFit="1" customWidth="1"/>
    <col min="3084" max="3084" width="7.85546875" style="1083" bestFit="1" customWidth="1"/>
    <col min="3085" max="3085" width="11.5703125" style="1083" bestFit="1" customWidth="1"/>
    <col min="3086" max="3086" width="8" style="1083" bestFit="1" customWidth="1"/>
    <col min="3087" max="3087" width="11.5703125" style="1083" bestFit="1" customWidth="1"/>
    <col min="3088" max="3088" width="8.140625" style="1083" bestFit="1" customWidth="1"/>
    <col min="3089" max="3089" width="11.5703125" style="1083" bestFit="1" customWidth="1"/>
    <col min="3090" max="3090" width="8.42578125" style="1083" customWidth="1"/>
    <col min="3091" max="3091" width="7.28515625" style="1083" bestFit="1" customWidth="1"/>
    <col min="3092" max="3092" width="11.5703125" style="1083" bestFit="1" customWidth="1"/>
    <col min="3093" max="3093" width="8.140625" style="1083" customWidth="1"/>
    <col min="3094" max="3094" width="13" style="1083" bestFit="1" customWidth="1"/>
    <col min="3095" max="3333" width="10.85546875" style="1083"/>
    <col min="3334" max="3334" width="8.85546875" style="1083" customWidth="1"/>
    <col min="3335" max="3335" width="50" style="1083" customWidth="1"/>
    <col min="3336" max="3336" width="6.28515625" style="1083" bestFit="1" customWidth="1"/>
    <col min="3337" max="3337" width="8.85546875" style="1083" customWidth="1"/>
    <col min="3338" max="3338" width="8.5703125" style="1083" customWidth="1"/>
    <col min="3339" max="3339" width="11.28515625" style="1083" bestFit="1" customWidth="1"/>
    <col min="3340" max="3340" width="7.85546875" style="1083" bestFit="1" customWidth="1"/>
    <col min="3341" max="3341" width="11.5703125" style="1083" bestFit="1" customWidth="1"/>
    <col min="3342" max="3342" width="8" style="1083" bestFit="1" customWidth="1"/>
    <col min="3343" max="3343" width="11.5703125" style="1083" bestFit="1" customWidth="1"/>
    <col min="3344" max="3344" width="8.140625" style="1083" bestFit="1" customWidth="1"/>
    <col min="3345" max="3345" width="11.5703125" style="1083" bestFit="1" customWidth="1"/>
    <col min="3346" max="3346" width="8.42578125" style="1083" customWidth="1"/>
    <col min="3347" max="3347" width="7.28515625" style="1083" bestFit="1" customWidth="1"/>
    <col min="3348" max="3348" width="11.5703125" style="1083" bestFit="1" customWidth="1"/>
    <col min="3349" max="3349" width="8.140625" style="1083" customWidth="1"/>
    <col min="3350" max="3350" width="13" style="1083" bestFit="1" customWidth="1"/>
    <col min="3351" max="3589" width="10.85546875" style="1083"/>
    <col min="3590" max="3590" width="8.85546875" style="1083" customWidth="1"/>
    <col min="3591" max="3591" width="50" style="1083" customWidth="1"/>
    <col min="3592" max="3592" width="6.28515625" style="1083" bestFit="1" customWidth="1"/>
    <col min="3593" max="3593" width="8.85546875" style="1083" customWidth="1"/>
    <col min="3594" max="3594" width="8.5703125" style="1083" customWidth="1"/>
    <col min="3595" max="3595" width="11.28515625" style="1083" bestFit="1" customWidth="1"/>
    <col min="3596" max="3596" width="7.85546875" style="1083" bestFit="1" customWidth="1"/>
    <col min="3597" max="3597" width="11.5703125" style="1083" bestFit="1" customWidth="1"/>
    <col min="3598" max="3598" width="8" style="1083" bestFit="1" customWidth="1"/>
    <col min="3599" max="3599" width="11.5703125" style="1083" bestFit="1" customWidth="1"/>
    <col min="3600" max="3600" width="8.140625" style="1083" bestFit="1" customWidth="1"/>
    <col min="3601" max="3601" width="11.5703125" style="1083" bestFit="1" customWidth="1"/>
    <col min="3602" max="3602" width="8.42578125" style="1083" customWidth="1"/>
    <col min="3603" max="3603" width="7.28515625" style="1083" bestFit="1" customWidth="1"/>
    <col min="3604" max="3604" width="11.5703125" style="1083" bestFit="1" customWidth="1"/>
    <col min="3605" max="3605" width="8.140625" style="1083" customWidth="1"/>
    <col min="3606" max="3606" width="13" style="1083" bestFit="1" customWidth="1"/>
    <col min="3607" max="3845" width="10.85546875" style="1083"/>
    <col min="3846" max="3846" width="8.85546875" style="1083" customWidth="1"/>
    <col min="3847" max="3847" width="50" style="1083" customWidth="1"/>
    <col min="3848" max="3848" width="6.28515625" style="1083" bestFit="1" customWidth="1"/>
    <col min="3849" max="3849" width="8.85546875" style="1083" customWidth="1"/>
    <col min="3850" max="3850" width="8.5703125" style="1083" customWidth="1"/>
    <col min="3851" max="3851" width="11.28515625" style="1083" bestFit="1" customWidth="1"/>
    <col min="3852" max="3852" width="7.85546875" style="1083" bestFit="1" customWidth="1"/>
    <col min="3853" max="3853" width="11.5703125" style="1083" bestFit="1" customWidth="1"/>
    <col min="3854" max="3854" width="8" style="1083" bestFit="1" customWidth="1"/>
    <col min="3855" max="3855" width="11.5703125" style="1083" bestFit="1" customWidth="1"/>
    <col min="3856" max="3856" width="8.140625" style="1083" bestFit="1" customWidth="1"/>
    <col min="3857" max="3857" width="11.5703125" style="1083" bestFit="1" customWidth="1"/>
    <col min="3858" max="3858" width="8.42578125" style="1083" customWidth="1"/>
    <col min="3859" max="3859" width="7.28515625" style="1083" bestFit="1" customWidth="1"/>
    <col min="3860" max="3860" width="11.5703125" style="1083" bestFit="1" customWidth="1"/>
    <col min="3861" max="3861" width="8.140625" style="1083" customWidth="1"/>
    <col min="3862" max="3862" width="13" style="1083" bestFit="1" customWidth="1"/>
    <col min="3863" max="4101" width="10.85546875" style="1083"/>
    <col min="4102" max="4102" width="8.85546875" style="1083" customWidth="1"/>
    <col min="4103" max="4103" width="50" style="1083" customWidth="1"/>
    <col min="4104" max="4104" width="6.28515625" style="1083" bestFit="1" customWidth="1"/>
    <col min="4105" max="4105" width="8.85546875" style="1083" customWidth="1"/>
    <col min="4106" max="4106" width="8.5703125" style="1083" customWidth="1"/>
    <col min="4107" max="4107" width="11.28515625" style="1083" bestFit="1" customWidth="1"/>
    <col min="4108" max="4108" width="7.85546875" style="1083" bestFit="1" customWidth="1"/>
    <col min="4109" max="4109" width="11.5703125" style="1083" bestFit="1" customWidth="1"/>
    <col min="4110" max="4110" width="8" style="1083" bestFit="1" customWidth="1"/>
    <col min="4111" max="4111" width="11.5703125" style="1083" bestFit="1" customWidth="1"/>
    <col min="4112" max="4112" width="8.140625" style="1083" bestFit="1" customWidth="1"/>
    <col min="4113" max="4113" width="11.5703125" style="1083" bestFit="1" customWidth="1"/>
    <col min="4114" max="4114" width="8.42578125" style="1083" customWidth="1"/>
    <col min="4115" max="4115" width="7.28515625" style="1083" bestFit="1" customWidth="1"/>
    <col min="4116" max="4116" width="11.5703125" style="1083" bestFit="1" customWidth="1"/>
    <col min="4117" max="4117" width="8.140625" style="1083" customWidth="1"/>
    <col min="4118" max="4118" width="13" style="1083" bestFit="1" customWidth="1"/>
    <col min="4119" max="4357" width="10.85546875" style="1083"/>
    <col min="4358" max="4358" width="8.85546875" style="1083" customWidth="1"/>
    <col min="4359" max="4359" width="50" style="1083" customWidth="1"/>
    <col min="4360" max="4360" width="6.28515625" style="1083" bestFit="1" customWidth="1"/>
    <col min="4361" max="4361" width="8.85546875" style="1083" customWidth="1"/>
    <col min="4362" max="4362" width="8.5703125" style="1083" customWidth="1"/>
    <col min="4363" max="4363" width="11.28515625" style="1083" bestFit="1" customWidth="1"/>
    <col min="4364" max="4364" width="7.85546875" style="1083" bestFit="1" customWidth="1"/>
    <col min="4365" max="4365" width="11.5703125" style="1083" bestFit="1" customWidth="1"/>
    <col min="4366" max="4366" width="8" style="1083" bestFit="1" customWidth="1"/>
    <col min="4367" max="4367" width="11.5703125" style="1083" bestFit="1" customWidth="1"/>
    <col min="4368" max="4368" width="8.140625" style="1083" bestFit="1" customWidth="1"/>
    <col min="4369" max="4369" width="11.5703125" style="1083" bestFit="1" customWidth="1"/>
    <col min="4370" max="4370" width="8.42578125" style="1083" customWidth="1"/>
    <col min="4371" max="4371" width="7.28515625" style="1083" bestFit="1" customWidth="1"/>
    <col min="4372" max="4372" width="11.5703125" style="1083" bestFit="1" customWidth="1"/>
    <col min="4373" max="4373" width="8.140625" style="1083" customWidth="1"/>
    <col min="4374" max="4374" width="13" style="1083" bestFit="1" customWidth="1"/>
    <col min="4375" max="4613" width="10.85546875" style="1083"/>
    <col min="4614" max="4614" width="8.85546875" style="1083" customWidth="1"/>
    <col min="4615" max="4615" width="50" style="1083" customWidth="1"/>
    <col min="4616" max="4616" width="6.28515625" style="1083" bestFit="1" customWidth="1"/>
    <col min="4617" max="4617" width="8.85546875" style="1083" customWidth="1"/>
    <col min="4618" max="4618" width="8.5703125" style="1083" customWidth="1"/>
    <col min="4619" max="4619" width="11.28515625" style="1083" bestFit="1" customWidth="1"/>
    <col min="4620" max="4620" width="7.85546875" style="1083" bestFit="1" customWidth="1"/>
    <col min="4621" max="4621" width="11.5703125" style="1083" bestFit="1" customWidth="1"/>
    <col min="4622" max="4622" width="8" style="1083" bestFit="1" customWidth="1"/>
    <col min="4623" max="4623" width="11.5703125" style="1083" bestFit="1" customWidth="1"/>
    <col min="4624" max="4624" width="8.140625" style="1083" bestFit="1" customWidth="1"/>
    <col min="4625" max="4625" width="11.5703125" style="1083" bestFit="1" customWidth="1"/>
    <col min="4626" max="4626" width="8.42578125" style="1083" customWidth="1"/>
    <col min="4627" max="4627" width="7.28515625" style="1083" bestFit="1" customWidth="1"/>
    <col min="4628" max="4628" width="11.5703125" style="1083" bestFit="1" customWidth="1"/>
    <col min="4629" max="4629" width="8.140625" style="1083" customWidth="1"/>
    <col min="4630" max="4630" width="13" style="1083" bestFit="1" customWidth="1"/>
    <col min="4631" max="4869" width="10.85546875" style="1083"/>
    <col min="4870" max="4870" width="8.85546875" style="1083" customWidth="1"/>
    <col min="4871" max="4871" width="50" style="1083" customWidth="1"/>
    <col min="4872" max="4872" width="6.28515625" style="1083" bestFit="1" customWidth="1"/>
    <col min="4873" max="4873" width="8.85546875" style="1083" customWidth="1"/>
    <col min="4874" max="4874" width="8.5703125" style="1083" customWidth="1"/>
    <col min="4875" max="4875" width="11.28515625" style="1083" bestFit="1" customWidth="1"/>
    <col min="4876" max="4876" width="7.85546875" style="1083" bestFit="1" customWidth="1"/>
    <col min="4877" max="4877" width="11.5703125" style="1083" bestFit="1" customWidth="1"/>
    <col min="4878" max="4878" width="8" style="1083" bestFit="1" customWidth="1"/>
    <col min="4879" max="4879" width="11.5703125" style="1083" bestFit="1" customWidth="1"/>
    <col min="4880" max="4880" width="8.140625" style="1083" bestFit="1" customWidth="1"/>
    <col min="4881" max="4881" width="11.5703125" style="1083" bestFit="1" customWidth="1"/>
    <col min="4882" max="4882" width="8.42578125" style="1083" customWidth="1"/>
    <col min="4883" max="4883" width="7.28515625" style="1083" bestFit="1" customWidth="1"/>
    <col min="4884" max="4884" width="11.5703125" style="1083" bestFit="1" customWidth="1"/>
    <col min="4885" max="4885" width="8.140625" style="1083" customWidth="1"/>
    <col min="4886" max="4886" width="13" style="1083" bestFit="1" customWidth="1"/>
    <col min="4887" max="5125" width="10.85546875" style="1083"/>
    <col min="5126" max="5126" width="8.85546875" style="1083" customWidth="1"/>
    <col min="5127" max="5127" width="50" style="1083" customWidth="1"/>
    <col min="5128" max="5128" width="6.28515625" style="1083" bestFit="1" customWidth="1"/>
    <col min="5129" max="5129" width="8.85546875" style="1083" customWidth="1"/>
    <col min="5130" max="5130" width="8.5703125" style="1083" customWidth="1"/>
    <col min="5131" max="5131" width="11.28515625" style="1083" bestFit="1" customWidth="1"/>
    <col min="5132" max="5132" width="7.85546875" style="1083" bestFit="1" customWidth="1"/>
    <col min="5133" max="5133" width="11.5703125" style="1083" bestFit="1" customWidth="1"/>
    <col min="5134" max="5134" width="8" style="1083" bestFit="1" customWidth="1"/>
    <col min="5135" max="5135" width="11.5703125" style="1083" bestFit="1" customWidth="1"/>
    <col min="5136" max="5136" width="8.140625" style="1083" bestFit="1" customWidth="1"/>
    <col min="5137" max="5137" width="11.5703125" style="1083" bestFit="1" customWidth="1"/>
    <col min="5138" max="5138" width="8.42578125" style="1083" customWidth="1"/>
    <col min="5139" max="5139" width="7.28515625" style="1083" bestFit="1" customWidth="1"/>
    <col min="5140" max="5140" width="11.5703125" style="1083" bestFit="1" customWidth="1"/>
    <col min="5141" max="5141" width="8.140625" style="1083" customWidth="1"/>
    <col min="5142" max="5142" width="13" style="1083" bestFit="1" customWidth="1"/>
    <col min="5143" max="5381" width="10.85546875" style="1083"/>
    <col min="5382" max="5382" width="8.85546875" style="1083" customWidth="1"/>
    <col min="5383" max="5383" width="50" style="1083" customWidth="1"/>
    <col min="5384" max="5384" width="6.28515625" style="1083" bestFit="1" customWidth="1"/>
    <col min="5385" max="5385" width="8.85546875" style="1083" customWidth="1"/>
    <col min="5386" max="5386" width="8.5703125" style="1083" customWidth="1"/>
    <col min="5387" max="5387" width="11.28515625" style="1083" bestFit="1" customWidth="1"/>
    <col min="5388" max="5388" width="7.85546875" style="1083" bestFit="1" customWidth="1"/>
    <col min="5389" max="5389" width="11.5703125" style="1083" bestFit="1" customWidth="1"/>
    <col min="5390" max="5390" width="8" style="1083" bestFit="1" customWidth="1"/>
    <col min="5391" max="5391" width="11.5703125" style="1083" bestFit="1" customWidth="1"/>
    <col min="5392" max="5392" width="8.140625" style="1083" bestFit="1" customWidth="1"/>
    <col min="5393" max="5393" width="11.5703125" style="1083" bestFit="1" customWidth="1"/>
    <col min="5394" max="5394" width="8.42578125" style="1083" customWidth="1"/>
    <col min="5395" max="5395" width="7.28515625" style="1083" bestFit="1" customWidth="1"/>
    <col min="5396" max="5396" width="11.5703125" style="1083" bestFit="1" customWidth="1"/>
    <col min="5397" max="5397" width="8.140625" style="1083" customWidth="1"/>
    <col min="5398" max="5398" width="13" style="1083" bestFit="1" customWidth="1"/>
    <col min="5399" max="5637" width="10.85546875" style="1083"/>
    <col min="5638" max="5638" width="8.85546875" style="1083" customWidth="1"/>
    <col min="5639" max="5639" width="50" style="1083" customWidth="1"/>
    <col min="5640" max="5640" width="6.28515625" style="1083" bestFit="1" customWidth="1"/>
    <col min="5641" max="5641" width="8.85546875" style="1083" customWidth="1"/>
    <col min="5642" max="5642" width="8.5703125" style="1083" customWidth="1"/>
    <col min="5643" max="5643" width="11.28515625" style="1083" bestFit="1" customWidth="1"/>
    <col min="5644" max="5644" width="7.85546875" style="1083" bestFit="1" customWidth="1"/>
    <col min="5645" max="5645" width="11.5703125" style="1083" bestFit="1" customWidth="1"/>
    <col min="5646" max="5646" width="8" style="1083" bestFit="1" customWidth="1"/>
    <col min="5647" max="5647" width="11.5703125" style="1083" bestFit="1" customWidth="1"/>
    <col min="5648" max="5648" width="8.140625" style="1083" bestFit="1" customWidth="1"/>
    <col min="5649" max="5649" width="11.5703125" style="1083" bestFit="1" customWidth="1"/>
    <col min="5650" max="5650" width="8.42578125" style="1083" customWidth="1"/>
    <col min="5651" max="5651" width="7.28515625" style="1083" bestFit="1" customWidth="1"/>
    <col min="5652" max="5652" width="11.5703125" style="1083" bestFit="1" customWidth="1"/>
    <col min="5653" max="5653" width="8.140625" style="1083" customWidth="1"/>
    <col min="5654" max="5654" width="13" style="1083" bestFit="1" customWidth="1"/>
    <col min="5655" max="5893" width="10.85546875" style="1083"/>
    <col min="5894" max="5894" width="8.85546875" style="1083" customWidth="1"/>
    <col min="5895" max="5895" width="50" style="1083" customWidth="1"/>
    <col min="5896" max="5896" width="6.28515625" style="1083" bestFit="1" customWidth="1"/>
    <col min="5897" max="5897" width="8.85546875" style="1083" customWidth="1"/>
    <col min="5898" max="5898" width="8.5703125" style="1083" customWidth="1"/>
    <col min="5899" max="5899" width="11.28515625" style="1083" bestFit="1" customWidth="1"/>
    <col min="5900" max="5900" width="7.85546875" style="1083" bestFit="1" customWidth="1"/>
    <col min="5901" max="5901" width="11.5703125" style="1083" bestFit="1" customWidth="1"/>
    <col min="5902" max="5902" width="8" style="1083" bestFit="1" customWidth="1"/>
    <col min="5903" max="5903" width="11.5703125" style="1083" bestFit="1" customWidth="1"/>
    <col min="5904" max="5904" width="8.140625" style="1083" bestFit="1" customWidth="1"/>
    <col min="5905" max="5905" width="11.5703125" style="1083" bestFit="1" customWidth="1"/>
    <col min="5906" max="5906" width="8.42578125" style="1083" customWidth="1"/>
    <col min="5907" max="5907" width="7.28515625" style="1083" bestFit="1" customWidth="1"/>
    <col min="5908" max="5908" width="11.5703125" style="1083" bestFit="1" customWidth="1"/>
    <col min="5909" max="5909" width="8.140625" style="1083" customWidth="1"/>
    <col min="5910" max="5910" width="13" style="1083" bestFit="1" customWidth="1"/>
    <col min="5911" max="6149" width="10.85546875" style="1083"/>
    <col min="6150" max="6150" width="8.85546875" style="1083" customWidth="1"/>
    <col min="6151" max="6151" width="50" style="1083" customWidth="1"/>
    <col min="6152" max="6152" width="6.28515625" style="1083" bestFit="1" customWidth="1"/>
    <col min="6153" max="6153" width="8.85546875" style="1083" customWidth="1"/>
    <col min="6154" max="6154" width="8.5703125" style="1083" customWidth="1"/>
    <col min="6155" max="6155" width="11.28515625" style="1083" bestFit="1" customWidth="1"/>
    <col min="6156" max="6156" width="7.85546875" style="1083" bestFit="1" customWidth="1"/>
    <col min="6157" max="6157" width="11.5703125" style="1083" bestFit="1" customWidth="1"/>
    <col min="6158" max="6158" width="8" style="1083" bestFit="1" customWidth="1"/>
    <col min="6159" max="6159" width="11.5703125" style="1083" bestFit="1" customWidth="1"/>
    <col min="6160" max="6160" width="8.140625" style="1083" bestFit="1" customWidth="1"/>
    <col min="6161" max="6161" width="11.5703125" style="1083" bestFit="1" customWidth="1"/>
    <col min="6162" max="6162" width="8.42578125" style="1083" customWidth="1"/>
    <col min="6163" max="6163" width="7.28515625" style="1083" bestFit="1" customWidth="1"/>
    <col min="6164" max="6164" width="11.5703125" style="1083" bestFit="1" customWidth="1"/>
    <col min="6165" max="6165" width="8.140625" style="1083" customWidth="1"/>
    <col min="6166" max="6166" width="13" style="1083" bestFit="1" customWidth="1"/>
    <col min="6167" max="6405" width="10.85546875" style="1083"/>
    <col min="6406" max="6406" width="8.85546875" style="1083" customWidth="1"/>
    <col min="6407" max="6407" width="50" style="1083" customWidth="1"/>
    <col min="6408" max="6408" width="6.28515625" style="1083" bestFit="1" customWidth="1"/>
    <col min="6409" max="6409" width="8.85546875" style="1083" customWidth="1"/>
    <col min="6410" max="6410" width="8.5703125" style="1083" customWidth="1"/>
    <col min="6411" max="6411" width="11.28515625" style="1083" bestFit="1" customWidth="1"/>
    <col min="6412" max="6412" width="7.85546875" style="1083" bestFit="1" customWidth="1"/>
    <col min="6413" max="6413" width="11.5703125" style="1083" bestFit="1" customWidth="1"/>
    <col min="6414" max="6414" width="8" style="1083" bestFit="1" customWidth="1"/>
    <col min="6415" max="6415" width="11.5703125" style="1083" bestFit="1" customWidth="1"/>
    <col min="6416" max="6416" width="8.140625" style="1083" bestFit="1" customWidth="1"/>
    <col min="6417" max="6417" width="11.5703125" style="1083" bestFit="1" customWidth="1"/>
    <col min="6418" max="6418" width="8.42578125" style="1083" customWidth="1"/>
    <col min="6419" max="6419" width="7.28515625" style="1083" bestFit="1" customWidth="1"/>
    <col min="6420" max="6420" width="11.5703125" style="1083" bestFit="1" customWidth="1"/>
    <col min="6421" max="6421" width="8.140625" style="1083" customWidth="1"/>
    <col min="6422" max="6422" width="13" style="1083" bestFit="1" customWidth="1"/>
    <col min="6423" max="6661" width="10.85546875" style="1083"/>
    <col min="6662" max="6662" width="8.85546875" style="1083" customWidth="1"/>
    <col min="6663" max="6663" width="50" style="1083" customWidth="1"/>
    <col min="6664" max="6664" width="6.28515625" style="1083" bestFit="1" customWidth="1"/>
    <col min="6665" max="6665" width="8.85546875" style="1083" customWidth="1"/>
    <col min="6666" max="6666" width="8.5703125" style="1083" customWidth="1"/>
    <col min="6667" max="6667" width="11.28515625" style="1083" bestFit="1" customWidth="1"/>
    <col min="6668" max="6668" width="7.85546875" style="1083" bestFit="1" customWidth="1"/>
    <col min="6669" max="6669" width="11.5703125" style="1083" bestFit="1" customWidth="1"/>
    <col min="6670" max="6670" width="8" style="1083" bestFit="1" customWidth="1"/>
    <col min="6671" max="6671" width="11.5703125" style="1083" bestFit="1" customWidth="1"/>
    <col min="6672" max="6672" width="8.140625" style="1083" bestFit="1" customWidth="1"/>
    <col min="6673" max="6673" width="11.5703125" style="1083" bestFit="1" customWidth="1"/>
    <col min="6674" max="6674" width="8.42578125" style="1083" customWidth="1"/>
    <col min="6675" max="6675" width="7.28515625" style="1083" bestFit="1" customWidth="1"/>
    <col min="6676" max="6676" width="11.5703125" style="1083" bestFit="1" customWidth="1"/>
    <col min="6677" max="6677" width="8.140625" style="1083" customWidth="1"/>
    <col min="6678" max="6678" width="13" style="1083" bestFit="1" customWidth="1"/>
    <col min="6679" max="6917" width="10.85546875" style="1083"/>
    <col min="6918" max="6918" width="8.85546875" style="1083" customWidth="1"/>
    <col min="6919" max="6919" width="50" style="1083" customWidth="1"/>
    <col min="6920" max="6920" width="6.28515625" style="1083" bestFit="1" customWidth="1"/>
    <col min="6921" max="6921" width="8.85546875" style="1083" customWidth="1"/>
    <col min="6922" max="6922" width="8.5703125" style="1083" customWidth="1"/>
    <col min="6923" max="6923" width="11.28515625" style="1083" bestFit="1" customWidth="1"/>
    <col min="6924" max="6924" width="7.85546875" style="1083" bestFit="1" customWidth="1"/>
    <col min="6925" max="6925" width="11.5703125" style="1083" bestFit="1" customWidth="1"/>
    <col min="6926" max="6926" width="8" style="1083" bestFit="1" customWidth="1"/>
    <col min="6927" max="6927" width="11.5703125" style="1083" bestFit="1" customWidth="1"/>
    <col min="6928" max="6928" width="8.140625" style="1083" bestFit="1" customWidth="1"/>
    <col min="6929" max="6929" width="11.5703125" style="1083" bestFit="1" customWidth="1"/>
    <col min="6930" max="6930" width="8.42578125" style="1083" customWidth="1"/>
    <col min="6931" max="6931" width="7.28515625" style="1083" bestFit="1" customWidth="1"/>
    <col min="6932" max="6932" width="11.5703125" style="1083" bestFit="1" customWidth="1"/>
    <col min="6933" max="6933" width="8.140625" style="1083" customWidth="1"/>
    <col min="6934" max="6934" width="13" style="1083" bestFit="1" customWidth="1"/>
    <col min="6935" max="7173" width="10.85546875" style="1083"/>
    <col min="7174" max="7174" width="8.85546875" style="1083" customWidth="1"/>
    <col min="7175" max="7175" width="50" style="1083" customWidth="1"/>
    <col min="7176" max="7176" width="6.28515625" style="1083" bestFit="1" customWidth="1"/>
    <col min="7177" max="7177" width="8.85546875" style="1083" customWidth="1"/>
    <col min="7178" max="7178" width="8.5703125" style="1083" customWidth="1"/>
    <col min="7179" max="7179" width="11.28515625" style="1083" bestFit="1" customWidth="1"/>
    <col min="7180" max="7180" width="7.85546875" style="1083" bestFit="1" customWidth="1"/>
    <col min="7181" max="7181" width="11.5703125" style="1083" bestFit="1" customWidth="1"/>
    <col min="7182" max="7182" width="8" style="1083" bestFit="1" customWidth="1"/>
    <col min="7183" max="7183" width="11.5703125" style="1083" bestFit="1" customWidth="1"/>
    <col min="7184" max="7184" width="8.140625" style="1083" bestFit="1" customWidth="1"/>
    <col min="7185" max="7185" width="11.5703125" style="1083" bestFit="1" customWidth="1"/>
    <col min="7186" max="7186" width="8.42578125" style="1083" customWidth="1"/>
    <col min="7187" max="7187" width="7.28515625" style="1083" bestFit="1" customWidth="1"/>
    <col min="7188" max="7188" width="11.5703125" style="1083" bestFit="1" customWidth="1"/>
    <col min="7189" max="7189" width="8.140625" style="1083" customWidth="1"/>
    <col min="7190" max="7190" width="13" style="1083" bestFit="1" customWidth="1"/>
    <col min="7191" max="7429" width="10.85546875" style="1083"/>
    <col min="7430" max="7430" width="8.85546875" style="1083" customWidth="1"/>
    <col min="7431" max="7431" width="50" style="1083" customWidth="1"/>
    <col min="7432" max="7432" width="6.28515625" style="1083" bestFit="1" customWidth="1"/>
    <col min="7433" max="7433" width="8.85546875" style="1083" customWidth="1"/>
    <col min="7434" max="7434" width="8.5703125" style="1083" customWidth="1"/>
    <col min="7435" max="7435" width="11.28515625" style="1083" bestFit="1" customWidth="1"/>
    <col min="7436" max="7436" width="7.85546875" style="1083" bestFit="1" customWidth="1"/>
    <col min="7437" max="7437" width="11.5703125" style="1083" bestFit="1" customWidth="1"/>
    <col min="7438" max="7438" width="8" style="1083" bestFit="1" customWidth="1"/>
    <col min="7439" max="7439" width="11.5703125" style="1083" bestFit="1" customWidth="1"/>
    <col min="7440" max="7440" width="8.140625" style="1083" bestFit="1" customWidth="1"/>
    <col min="7441" max="7441" width="11.5703125" style="1083" bestFit="1" customWidth="1"/>
    <col min="7442" max="7442" width="8.42578125" style="1083" customWidth="1"/>
    <col min="7443" max="7443" width="7.28515625" style="1083" bestFit="1" customWidth="1"/>
    <col min="7444" max="7444" width="11.5703125" style="1083" bestFit="1" customWidth="1"/>
    <col min="7445" max="7445" width="8.140625" style="1083" customWidth="1"/>
    <col min="7446" max="7446" width="13" style="1083" bestFit="1" customWidth="1"/>
    <col min="7447" max="7685" width="10.85546875" style="1083"/>
    <col min="7686" max="7686" width="8.85546875" style="1083" customWidth="1"/>
    <col min="7687" max="7687" width="50" style="1083" customWidth="1"/>
    <col min="7688" max="7688" width="6.28515625" style="1083" bestFit="1" customWidth="1"/>
    <col min="7689" max="7689" width="8.85546875" style="1083" customWidth="1"/>
    <col min="7690" max="7690" width="8.5703125" style="1083" customWidth="1"/>
    <col min="7691" max="7691" width="11.28515625" style="1083" bestFit="1" customWidth="1"/>
    <col min="7692" max="7692" width="7.85546875" style="1083" bestFit="1" customWidth="1"/>
    <col min="7693" max="7693" width="11.5703125" style="1083" bestFit="1" customWidth="1"/>
    <col min="7694" max="7694" width="8" style="1083" bestFit="1" customWidth="1"/>
    <col min="7695" max="7695" width="11.5703125" style="1083" bestFit="1" customWidth="1"/>
    <col min="7696" max="7696" width="8.140625" style="1083" bestFit="1" customWidth="1"/>
    <col min="7697" max="7697" width="11.5703125" style="1083" bestFit="1" customWidth="1"/>
    <col min="7698" max="7698" width="8.42578125" style="1083" customWidth="1"/>
    <col min="7699" max="7699" width="7.28515625" style="1083" bestFit="1" customWidth="1"/>
    <col min="7700" max="7700" width="11.5703125" style="1083" bestFit="1" customWidth="1"/>
    <col min="7701" max="7701" width="8.140625" style="1083" customWidth="1"/>
    <col min="7702" max="7702" width="13" style="1083" bestFit="1" customWidth="1"/>
    <col min="7703" max="7941" width="10.85546875" style="1083"/>
    <col min="7942" max="7942" width="8.85546875" style="1083" customWidth="1"/>
    <col min="7943" max="7943" width="50" style="1083" customWidth="1"/>
    <col min="7944" max="7944" width="6.28515625" style="1083" bestFit="1" customWidth="1"/>
    <col min="7945" max="7945" width="8.85546875" style="1083" customWidth="1"/>
    <col min="7946" max="7946" width="8.5703125" style="1083" customWidth="1"/>
    <col min="7947" max="7947" width="11.28515625" style="1083" bestFit="1" customWidth="1"/>
    <col min="7948" max="7948" width="7.85546875" style="1083" bestFit="1" customWidth="1"/>
    <col min="7949" max="7949" width="11.5703125" style="1083" bestFit="1" customWidth="1"/>
    <col min="7950" max="7950" width="8" style="1083" bestFit="1" customWidth="1"/>
    <col min="7951" max="7951" width="11.5703125" style="1083" bestFit="1" customWidth="1"/>
    <col min="7952" max="7952" width="8.140625" style="1083" bestFit="1" customWidth="1"/>
    <col min="7953" max="7953" width="11.5703125" style="1083" bestFit="1" customWidth="1"/>
    <col min="7954" max="7954" width="8.42578125" style="1083" customWidth="1"/>
    <col min="7955" max="7955" width="7.28515625" style="1083" bestFit="1" customWidth="1"/>
    <col min="7956" max="7956" width="11.5703125" style="1083" bestFit="1" customWidth="1"/>
    <col min="7957" max="7957" width="8.140625" style="1083" customWidth="1"/>
    <col min="7958" max="7958" width="13" style="1083" bestFit="1" customWidth="1"/>
    <col min="7959" max="8197" width="10.85546875" style="1083"/>
    <col min="8198" max="8198" width="8.85546875" style="1083" customWidth="1"/>
    <col min="8199" max="8199" width="50" style="1083" customWidth="1"/>
    <col min="8200" max="8200" width="6.28515625" style="1083" bestFit="1" customWidth="1"/>
    <col min="8201" max="8201" width="8.85546875" style="1083" customWidth="1"/>
    <col min="8202" max="8202" width="8.5703125" style="1083" customWidth="1"/>
    <col min="8203" max="8203" width="11.28515625" style="1083" bestFit="1" customWidth="1"/>
    <col min="8204" max="8204" width="7.85546875" style="1083" bestFit="1" customWidth="1"/>
    <col min="8205" max="8205" width="11.5703125" style="1083" bestFit="1" customWidth="1"/>
    <col min="8206" max="8206" width="8" style="1083" bestFit="1" customWidth="1"/>
    <col min="8207" max="8207" width="11.5703125" style="1083" bestFit="1" customWidth="1"/>
    <col min="8208" max="8208" width="8.140625" style="1083" bestFit="1" customWidth="1"/>
    <col min="8209" max="8209" width="11.5703125" style="1083" bestFit="1" customWidth="1"/>
    <col min="8210" max="8210" width="8.42578125" style="1083" customWidth="1"/>
    <col min="8211" max="8211" width="7.28515625" style="1083" bestFit="1" customWidth="1"/>
    <col min="8212" max="8212" width="11.5703125" style="1083" bestFit="1" customWidth="1"/>
    <col min="8213" max="8213" width="8.140625" style="1083" customWidth="1"/>
    <col min="8214" max="8214" width="13" style="1083" bestFit="1" customWidth="1"/>
    <col min="8215" max="8453" width="10.85546875" style="1083"/>
    <col min="8454" max="8454" width="8.85546875" style="1083" customWidth="1"/>
    <col min="8455" max="8455" width="50" style="1083" customWidth="1"/>
    <col min="8456" max="8456" width="6.28515625" style="1083" bestFit="1" customWidth="1"/>
    <col min="8457" max="8457" width="8.85546875" style="1083" customWidth="1"/>
    <col min="8458" max="8458" width="8.5703125" style="1083" customWidth="1"/>
    <col min="8459" max="8459" width="11.28515625" style="1083" bestFit="1" customWidth="1"/>
    <col min="8460" max="8460" width="7.85546875" style="1083" bestFit="1" customWidth="1"/>
    <col min="8461" max="8461" width="11.5703125" style="1083" bestFit="1" customWidth="1"/>
    <col min="8462" max="8462" width="8" style="1083" bestFit="1" customWidth="1"/>
    <col min="8463" max="8463" width="11.5703125" style="1083" bestFit="1" customWidth="1"/>
    <col min="8464" max="8464" width="8.140625" style="1083" bestFit="1" customWidth="1"/>
    <col min="8465" max="8465" width="11.5703125" style="1083" bestFit="1" customWidth="1"/>
    <col min="8466" max="8466" width="8.42578125" style="1083" customWidth="1"/>
    <col min="8467" max="8467" width="7.28515625" style="1083" bestFit="1" customWidth="1"/>
    <col min="8468" max="8468" width="11.5703125" style="1083" bestFit="1" customWidth="1"/>
    <col min="8469" max="8469" width="8.140625" style="1083" customWidth="1"/>
    <col min="8470" max="8470" width="13" style="1083" bestFit="1" customWidth="1"/>
    <col min="8471" max="8709" width="10.85546875" style="1083"/>
    <col min="8710" max="8710" width="8.85546875" style="1083" customWidth="1"/>
    <col min="8711" max="8711" width="50" style="1083" customWidth="1"/>
    <col min="8712" max="8712" width="6.28515625" style="1083" bestFit="1" customWidth="1"/>
    <col min="8713" max="8713" width="8.85546875" style="1083" customWidth="1"/>
    <col min="8714" max="8714" width="8.5703125" style="1083" customWidth="1"/>
    <col min="8715" max="8715" width="11.28515625" style="1083" bestFit="1" customWidth="1"/>
    <col min="8716" max="8716" width="7.85546875" style="1083" bestFit="1" customWidth="1"/>
    <col min="8717" max="8717" width="11.5703125" style="1083" bestFit="1" customWidth="1"/>
    <col min="8718" max="8718" width="8" style="1083" bestFit="1" customWidth="1"/>
    <col min="8719" max="8719" width="11.5703125" style="1083" bestFit="1" customWidth="1"/>
    <col min="8720" max="8720" width="8.140625" style="1083" bestFit="1" customWidth="1"/>
    <col min="8721" max="8721" width="11.5703125" style="1083" bestFit="1" customWidth="1"/>
    <col min="8722" max="8722" width="8.42578125" style="1083" customWidth="1"/>
    <col min="8723" max="8723" width="7.28515625" style="1083" bestFit="1" customWidth="1"/>
    <col min="8724" max="8724" width="11.5703125" style="1083" bestFit="1" customWidth="1"/>
    <col min="8725" max="8725" width="8.140625" style="1083" customWidth="1"/>
    <col min="8726" max="8726" width="13" style="1083" bestFit="1" customWidth="1"/>
    <col min="8727" max="8965" width="10.85546875" style="1083"/>
    <col min="8966" max="8966" width="8.85546875" style="1083" customWidth="1"/>
    <col min="8967" max="8967" width="50" style="1083" customWidth="1"/>
    <col min="8968" max="8968" width="6.28515625" style="1083" bestFit="1" customWidth="1"/>
    <col min="8969" max="8969" width="8.85546875" style="1083" customWidth="1"/>
    <col min="8970" max="8970" width="8.5703125" style="1083" customWidth="1"/>
    <col min="8971" max="8971" width="11.28515625" style="1083" bestFit="1" customWidth="1"/>
    <col min="8972" max="8972" width="7.85546875" style="1083" bestFit="1" customWidth="1"/>
    <col min="8973" max="8973" width="11.5703125" style="1083" bestFit="1" customWidth="1"/>
    <col min="8974" max="8974" width="8" style="1083" bestFit="1" customWidth="1"/>
    <col min="8975" max="8975" width="11.5703125" style="1083" bestFit="1" customWidth="1"/>
    <col min="8976" max="8976" width="8.140625" style="1083" bestFit="1" customWidth="1"/>
    <col min="8977" max="8977" width="11.5703125" style="1083" bestFit="1" customWidth="1"/>
    <col min="8978" max="8978" width="8.42578125" style="1083" customWidth="1"/>
    <col min="8979" max="8979" width="7.28515625" style="1083" bestFit="1" customWidth="1"/>
    <col min="8980" max="8980" width="11.5703125" style="1083" bestFit="1" customWidth="1"/>
    <col min="8981" max="8981" width="8.140625" style="1083" customWidth="1"/>
    <col min="8982" max="8982" width="13" style="1083" bestFit="1" customWidth="1"/>
    <col min="8983" max="9221" width="10.85546875" style="1083"/>
    <col min="9222" max="9222" width="8.85546875" style="1083" customWidth="1"/>
    <col min="9223" max="9223" width="50" style="1083" customWidth="1"/>
    <col min="9224" max="9224" width="6.28515625" style="1083" bestFit="1" customWidth="1"/>
    <col min="9225" max="9225" width="8.85546875" style="1083" customWidth="1"/>
    <col min="9226" max="9226" width="8.5703125" style="1083" customWidth="1"/>
    <col min="9227" max="9227" width="11.28515625" style="1083" bestFit="1" customWidth="1"/>
    <col min="9228" max="9228" width="7.85546875" style="1083" bestFit="1" customWidth="1"/>
    <col min="9229" max="9229" width="11.5703125" style="1083" bestFit="1" customWidth="1"/>
    <col min="9230" max="9230" width="8" style="1083" bestFit="1" customWidth="1"/>
    <col min="9231" max="9231" width="11.5703125" style="1083" bestFit="1" customWidth="1"/>
    <col min="9232" max="9232" width="8.140625" style="1083" bestFit="1" customWidth="1"/>
    <col min="9233" max="9233" width="11.5703125" style="1083" bestFit="1" customWidth="1"/>
    <col min="9234" max="9234" width="8.42578125" style="1083" customWidth="1"/>
    <col min="9235" max="9235" width="7.28515625" style="1083" bestFit="1" customWidth="1"/>
    <col min="9236" max="9236" width="11.5703125" style="1083" bestFit="1" customWidth="1"/>
    <col min="9237" max="9237" width="8.140625" style="1083" customWidth="1"/>
    <col min="9238" max="9238" width="13" style="1083" bestFit="1" customWidth="1"/>
    <col min="9239" max="9477" width="10.85546875" style="1083"/>
    <col min="9478" max="9478" width="8.85546875" style="1083" customWidth="1"/>
    <col min="9479" max="9479" width="50" style="1083" customWidth="1"/>
    <col min="9480" max="9480" width="6.28515625" style="1083" bestFit="1" customWidth="1"/>
    <col min="9481" max="9481" width="8.85546875" style="1083" customWidth="1"/>
    <col min="9482" max="9482" width="8.5703125" style="1083" customWidth="1"/>
    <col min="9483" max="9483" width="11.28515625" style="1083" bestFit="1" customWidth="1"/>
    <col min="9484" max="9484" width="7.85546875" style="1083" bestFit="1" customWidth="1"/>
    <col min="9485" max="9485" width="11.5703125" style="1083" bestFit="1" customWidth="1"/>
    <col min="9486" max="9486" width="8" style="1083" bestFit="1" customWidth="1"/>
    <col min="9487" max="9487" width="11.5703125" style="1083" bestFit="1" customWidth="1"/>
    <col min="9488" max="9488" width="8.140625" style="1083" bestFit="1" customWidth="1"/>
    <col min="9489" max="9489" width="11.5703125" style="1083" bestFit="1" customWidth="1"/>
    <col min="9490" max="9490" width="8.42578125" style="1083" customWidth="1"/>
    <col min="9491" max="9491" width="7.28515625" style="1083" bestFit="1" customWidth="1"/>
    <col min="9492" max="9492" width="11.5703125" style="1083" bestFit="1" customWidth="1"/>
    <col min="9493" max="9493" width="8.140625" style="1083" customWidth="1"/>
    <col min="9494" max="9494" width="13" style="1083" bestFit="1" customWidth="1"/>
    <col min="9495" max="9733" width="10.85546875" style="1083"/>
    <col min="9734" max="9734" width="8.85546875" style="1083" customWidth="1"/>
    <col min="9735" max="9735" width="50" style="1083" customWidth="1"/>
    <col min="9736" max="9736" width="6.28515625" style="1083" bestFit="1" customWidth="1"/>
    <col min="9737" max="9737" width="8.85546875" style="1083" customWidth="1"/>
    <col min="9738" max="9738" width="8.5703125" style="1083" customWidth="1"/>
    <col min="9739" max="9739" width="11.28515625" style="1083" bestFit="1" customWidth="1"/>
    <col min="9740" max="9740" width="7.85546875" style="1083" bestFit="1" customWidth="1"/>
    <col min="9741" max="9741" width="11.5703125" style="1083" bestFit="1" customWidth="1"/>
    <col min="9742" max="9742" width="8" style="1083" bestFit="1" customWidth="1"/>
    <col min="9743" max="9743" width="11.5703125" style="1083" bestFit="1" customWidth="1"/>
    <col min="9744" max="9744" width="8.140625" style="1083" bestFit="1" customWidth="1"/>
    <col min="9745" max="9745" width="11.5703125" style="1083" bestFit="1" customWidth="1"/>
    <col min="9746" max="9746" width="8.42578125" style="1083" customWidth="1"/>
    <col min="9747" max="9747" width="7.28515625" style="1083" bestFit="1" customWidth="1"/>
    <col min="9748" max="9748" width="11.5703125" style="1083" bestFit="1" customWidth="1"/>
    <col min="9749" max="9749" width="8.140625" style="1083" customWidth="1"/>
    <col min="9750" max="9750" width="13" style="1083" bestFit="1" customWidth="1"/>
    <col min="9751" max="9989" width="10.85546875" style="1083"/>
    <col min="9990" max="9990" width="8.85546875" style="1083" customWidth="1"/>
    <col min="9991" max="9991" width="50" style="1083" customWidth="1"/>
    <col min="9992" max="9992" width="6.28515625" style="1083" bestFit="1" customWidth="1"/>
    <col min="9993" max="9993" width="8.85546875" style="1083" customWidth="1"/>
    <col min="9994" max="9994" width="8.5703125" style="1083" customWidth="1"/>
    <col min="9995" max="9995" width="11.28515625" style="1083" bestFit="1" customWidth="1"/>
    <col min="9996" max="9996" width="7.85546875" style="1083" bestFit="1" customWidth="1"/>
    <col min="9997" max="9997" width="11.5703125" style="1083" bestFit="1" customWidth="1"/>
    <col min="9998" max="9998" width="8" style="1083" bestFit="1" customWidth="1"/>
    <col min="9999" max="9999" width="11.5703125" style="1083" bestFit="1" customWidth="1"/>
    <col min="10000" max="10000" width="8.140625" style="1083" bestFit="1" customWidth="1"/>
    <col min="10001" max="10001" width="11.5703125" style="1083" bestFit="1" customWidth="1"/>
    <col min="10002" max="10002" width="8.42578125" style="1083" customWidth="1"/>
    <col min="10003" max="10003" width="7.28515625" style="1083" bestFit="1" customWidth="1"/>
    <col min="10004" max="10004" width="11.5703125" style="1083" bestFit="1" customWidth="1"/>
    <col min="10005" max="10005" width="8.140625" style="1083" customWidth="1"/>
    <col min="10006" max="10006" width="13" style="1083" bestFit="1" customWidth="1"/>
    <col min="10007" max="10245" width="10.85546875" style="1083"/>
    <col min="10246" max="10246" width="8.85546875" style="1083" customWidth="1"/>
    <col min="10247" max="10247" width="50" style="1083" customWidth="1"/>
    <col min="10248" max="10248" width="6.28515625" style="1083" bestFit="1" customWidth="1"/>
    <col min="10249" max="10249" width="8.85546875" style="1083" customWidth="1"/>
    <col min="10250" max="10250" width="8.5703125" style="1083" customWidth="1"/>
    <col min="10251" max="10251" width="11.28515625" style="1083" bestFit="1" customWidth="1"/>
    <col min="10252" max="10252" width="7.85546875" style="1083" bestFit="1" customWidth="1"/>
    <col min="10253" max="10253" width="11.5703125" style="1083" bestFit="1" customWidth="1"/>
    <col min="10254" max="10254" width="8" style="1083" bestFit="1" customWidth="1"/>
    <col min="10255" max="10255" width="11.5703125" style="1083" bestFit="1" customWidth="1"/>
    <col min="10256" max="10256" width="8.140625" style="1083" bestFit="1" customWidth="1"/>
    <col min="10257" max="10257" width="11.5703125" style="1083" bestFit="1" customWidth="1"/>
    <col min="10258" max="10258" width="8.42578125" style="1083" customWidth="1"/>
    <col min="10259" max="10259" width="7.28515625" style="1083" bestFit="1" customWidth="1"/>
    <col min="10260" max="10260" width="11.5703125" style="1083" bestFit="1" customWidth="1"/>
    <col min="10261" max="10261" width="8.140625" style="1083" customWidth="1"/>
    <col min="10262" max="10262" width="13" style="1083" bestFit="1" customWidth="1"/>
    <col min="10263" max="10501" width="10.85546875" style="1083"/>
    <col min="10502" max="10502" width="8.85546875" style="1083" customWidth="1"/>
    <col min="10503" max="10503" width="50" style="1083" customWidth="1"/>
    <col min="10504" max="10504" width="6.28515625" style="1083" bestFit="1" customWidth="1"/>
    <col min="10505" max="10505" width="8.85546875" style="1083" customWidth="1"/>
    <col min="10506" max="10506" width="8.5703125" style="1083" customWidth="1"/>
    <col min="10507" max="10507" width="11.28515625" style="1083" bestFit="1" customWidth="1"/>
    <col min="10508" max="10508" width="7.85546875" style="1083" bestFit="1" customWidth="1"/>
    <col min="10509" max="10509" width="11.5703125" style="1083" bestFit="1" customWidth="1"/>
    <col min="10510" max="10510" width="8" style="1083" bestFit="1" customWidth="1"/>
    <col min="10511" max="10511" width="11.5703125" style="1083" bestFit="1" customWidth="1"/>
    <col min="10512" max="10512" width="8.140625" style="1083" bestFit="1" customWidth="1"/>
    <col min="10513" max="10513" width="11.5703125" style="1083" bestFit="1" customWidth="1"/>
    <col min="10514" max="10514" width="8.42578125" style="1083" customWidth="1"/>
    <col min="10515" max="10515" width="7.28515625" style="1083" bestFit="1" customWidth="1"/>
    <col min="10516" max="10516" width="11.5703125" style="1083" bestFit="1" customWidth="1"/>
    <col min="10517" max="10517" width="8.140625" style="1083" customWidth="1"/>
    <col min="10518" max="10518" width="13" style="1083" bestFit="1" customWidth="1"/>
    <col min="10519" max="10757" width="10.85546875" style="1083"/>
    <col min="10758" max="10758" width="8.85546875" style="1083" customWidth="1"/>
    <col min="10759" max="10759" width="50" style="1083" customWidth="1"/>
    <col min="10760" max="10760" width="6.28515625" style="1083" bestFit="1" customWidth="1"/>
    <col min="10761" max="10761" width="8.85546875" style="1083" customWidth="1"/>
    <col min="10762" max="10762" width="8.5703125" style="1083" customWidth="1"/>
    <col min="10763" max="10763" width="11.28515625" style="1083" bestFit="1" customWidth="1"/>
    <col min="10764" max="10764" width="7.85546875" style="1083" bestFit="1" customWidth="1"/>
    <col min="10765" max="10765" width="11.5703125" style="1083" bestFit="1" customWidth="1"/>
    <col min="10766" max="10766" width="8" style="1083" bestFit="1" customWidth="1"/>
    <col min="10767" max="10767" width="11.5703125" style="1083" bestFit="1" customWidth="1"/>
    <col min="10768" max="10768" width="8.140625" style="1083" bestFit="1" customWidth="1"/>
    <col min="10769" max="10769" width="11.5703125" style="1083" bestFit="1" customWidth="1"/>
    <col min="10770" max="10770" width="8.42578125" style="1083" customWidth="1"/>
    <col min="10771" max="10771" width="7.28515625" style="1083" bestFit="1" customWidth="1"/>
    <col min="10772" max="10772" width="11.5703125" style="1083" bestFit="1" customWidth="1"/>
    <col min="10773" max="10773" width="8.140625" style="1083" customWidth="1"/>
    <col min="10774" max="10774" width="13" style="1083" bestFit="1" customWidth="1"/>
    <col min="10775" max="11013" width="10.85546875" style="1083"/>
    <col min="11014" max="11014" width="8.85546875" style="1083" customWidth="1"/>
    <col min="11015" max="11015" width="50" style="1083" customWidth="1"/>
    <col min="11016" max="11016" width="6.28515625" style="1083" bestFit="1" customWidth="1"/>
    <col min="11017" max="11017" width="8.85546875" style="1083" customWidth="1"/>
    <col min="11018" max="11018" width="8.5703125" style="1083" customWidth="1"/>
    <col min="11019" max="11019" width="11.28515625" style="1083" bestFit="1" customWidth="1"/>
    <col min="11020" max="11020" width="7.85546875" style="1083" bestFit="1" customWidth="1"/>
    <col min="11021" max="11021" width="11.5703125" style="1083" bestFit="1" customWidth="1"/>
    <col min="11022" max="11022" width="8" style="1083" bestFit="1" customWidth="1"/>
    <col min="11023" max="11023" width="11.5703125" style="1083" bestFit="1" customWidth="1"/>
    <col min="11024" max="11024" width="8.140625" style="1083" bestFit="1" customWidth="1"/>
    <col min="11025" max="11025" width="11.5703125" style="1083" bestFit="1" customWidth="1"/>
    <col min="11026" max="11026" width="8.42578125" style="1083" customWidth="1"/>
    <col min="11027" max="11027" width="7.28515625" style="1083" bestFit="1" customWidth="1"/>
    <col min="11028" max="11028" width="11.5703125" style="1083" bestFit="1" customWidth="1"/>
    <col min="11029" max="11029" width="8.140625" style="1083" customWidth="1"/>
    <col min="11030" max="11030" width="13" style="1083" bestFit="1" customWidth="1"/>
    <col min="11031" max="11269" width="10.85546875" style="1083"/>
    <col min="11270" max="11270" width="8.85546875" style="1083" customWidth="1"/>
    <col min="11271" max="11271" width="50" style="1083" customWidth="1"/>
    <col min="11272" max="11272" width="6.28515625" style="1083" bestFit="1" customWidth="1"/>
    <col min="11273" max="11273" width="8.85546875" style="1083" customWidth="1"/>
    <col min="11274" max="11274" width="8.5703125" style="1083" customWidth="1"/>
    <col min="11275" max="11275" width="11.28515625" style="1083" bestFit="1" customWidth="1"/>
    <col min="11276" max="11276" width="7.85546875" style="1083" bestFit="1" customWidth="1"/>
    <col min="11277" max="11277" width="11.5703125" style="1083" bestFit="1" customWidth="1"/>
    <col min="11278" max="11278" width="8" style="1083" bestFit="1" customWidth="1"/>
    <col min="11279" max="11279" width="11.5703125" style="1083" bestFit="1" customWidth="1"/>
    <col min="11280" max="11280" width="8.140625" style="1083" bestFit="1" customWidth="1"/>
    <col min="11281" max="11281" width="11.5703125" style="1083" bestFit="1" customWidth="1"/>
    <col min="11282" max="11282" width="8.42578125" style="1083" customWidth="1"/>
    <col min="11283" max="11283" width="7.28515625" style="1083" bestFit="1" customWidth="1"/>
    <col min="11284" max="11284" width="11.5703125" style="1083" bestFit="1" customWidth="1"/>
    <col min="11285" max="11285" width="8.140625" style="1083" customWidth="1"/>
    <col min="11286" max="11286" width="13" style="1083" bestFit="1" customWidth="1"/>
    <col min="11287" max="11525" width="10.85546875" style="1083"/>
    <col min="11526" max="11526" width="8.85546875" style="1083" customWidth="1"/>
    <col min="11527" max="11527" width="50" style="1083" customWidth="1"/>
    <col min="11528" max="11528" width="6.28515625" style="1083" bestFit="1" customWidth="1"/>
    <col min="11529" max="11529" width="8.85546875" style="1083" customWidth="1"/>
    <col min="11530" max="11530" width="8.5703125" style="1083" customWidth="1"/>
    <col min="11531" max="11531" width="11.28515625" style="1083" bestFit="1" customWidth="1"/>
    <col min="11532" max="11532" width="7.85546875" style="1083" bestFit="1" customWidth="1"/>
    <col min="11533" max="11533" width="11.5703125" style="1083" bestFit="1" customWidth="1"/>
    <col min="11534" max="11534" width="8" style="1083" bestFit="1" customWidth="1"/>
    <col min="11535" max="11535" width="11.5703125" style="1083" bestFit="1" customWidth="1"/>
    <col min="11536" max="11536" width="8.140625" style="1083" bestFit="1" customWidth="1"/>
    <col min="11537" max="11537" width="11.5703125" style="1083" bestFit="1" customWidth="1"/>
    <col min="11538" max="11538" width="8.42578125" style="1083" customWidth="1"/>
    <col min="11539" max="11539" width="7.28515625" style="1083" bestFit="1" customWidth="1"/>
    <col min="11540" max="11540" width="11.5703125" style="1083" bestFit="1" customWidth="1"/>
    <col min="11541" max="11541" width="8.140625" style="1083" customWidth="1"/>
    <col min="11542" max="11542" width="13" style="1083" bestFit="1" customWidth="1"/>
    <col min="11543" max="11781" width="10.85546875" style="1083"/>
    <col min="11782" max="11782" width="8.85546875" style="1083" customWidth="1"/>
    <col min="11783" max="11783" width="50" style="1083" customWidth="1"/>
    <col min="11784" max="11784" width="6.28515625" style="1083" bestFit="1" customWidth="1"/>
    <col min="11785" max="11785" width="8.85546875" style="1083" customWidth="1"/>
    <col min="11786" max="11786" width="8.5703125" style="1083" customWidth="1"/>
    <col min="11787" max="11787" width="11.28515625" style="1083" bestFit="1" customWidth="1"/>
    <col min="11788" max="11788" width="7.85546875" style="1083" bestFit="1" customWidth="1"/>
    <col min="11789" max="11789" width="11.5703125" style="1083" bestFit="1" customWidth="1"/>
    <col min="11790" max="11790" width="8" style="1083" bestFit="1" customWidth="1"/>
    <col min="11791" max="11791" width="11.5703125" style="1083" bestFit="1" customWidth="1"/>
    <col min="11792" max="11792" width="8.140625" style="1083" bestFit="1" customWidth="1"/>
    <col min="11793" max="11793" width="11.5703125" style="1083" bestFit="1" customWidth="1"/>
    <col min="11794" max="11794" width="8.42578125" style="1083" customWidth="1"/>
    <col min="11795" max="11795" width="7.28515625" style="1083" bestFit="1" customWidth="1"/>
    <col min="11796" max="11796" width="11.5703125" style="1083" bestFit="1" customWidth="1"/>
    <col min="11797" max="11797" width="8.140625" style="1083" customWidth="1"/>
    <col min="11798" max="11798" width="13" style="1083" bestFit="1" customWidth="1"/>
    <col min="11799" max="12037" width="10.85546875" style="1083"/>
    <col min="12038" max="12038" width="8.85546875" style="1083" customWidth="1"/>
    <col min="12039" max="12039" width="50" style="1083" customWidth="1"/>
    <col min="12040" max="12040" width="6.28515625" style="1083" bestFit="1" customWidth="1"/>
    <col min="12041" max="12041" width="8.85546875" style="1083" customWidth="1"/>
    <col min="12042" max="12042" width="8.5703125" style="1083" customWidth="1"/>
    <col min="12043" max="12043" width="11.28515625" style="1083" bestFit="1" customWidth="1"/>
    <col min="12044" max="12044" width="7.85546875" style="1083" bestFit="1" customWidth="1"/>
    <col min="12045" max="12045" width="11.5703125" style="1083" bestFit="1" customWidth="1"/>
    <col min="12046" max="12046" width="8" style="1083" bestFit="1" customWidth="1"/>
    <col min="12047" max="12047" width="11.5703125" style="1083" bestFit="1" customWidth="1"/>
    <col min="12048" max="12048" width="8.140625" style="1083" bestFit="1" customWidth="1"/>
    <col min="12049" max="12049" width="11.5703125" style="1083" bestFit="1" customWidth="1"/>
    <col min="12050" max="12050" width="8.42578125" style="1083" customWidth="1"/>
    <col min="12051" max="12051" width="7.28515625" style="1083" bestFit="1" customWidth="1"/>
    <col min="12052" max="12052" width="11.5703125" style="1083" bestFit="1" customWidth="1"/>
    <col min="12053" max="12053" width="8.140625" style="1083" customWidth="1"/>
    <col min="12054" max="12054" width="13" style="1083" bestFit="1" customWidth="1"/>
    <col min="12055" max="12293" width="10.85546875" style="1083"/>
    <col min="12294" max="12294" width="8.85546875" style="1083" customWidth="1"/>
    <col min="12295" max="12295" width="50" style="1083" customWidth="1"/>
    <col min="12296" max="12296" width="6.28515625" style="1083" bestFit="1" customWidth="1"/>
    <col min="12297" max="12297" width="8.85546875" style="1083" customWidth="1"/>
    <col min="12298" max="12298" width="8.5703125" style="1083" customWidth="1"/>
    <col min="12299" max="12299" width="11.28515625" style="1083" bestFit="1" customWidth="1"/>
    <col min="12300" max="12300" width="7.85546875" style="1083" bestFit="1" customWidth="1"/>
    <col min="12301" max="12301" width="11.5703125" style="1083" bestFit="1" customWidth="1"/>
    <col min="12302" max="12302" width="8" style="1083" bestFit="1" customWidth="1"/>
    <col min="12303" max="12303" width="11.5703125" style="1083" bestFit="1" customWidth="1"/>
    <col min="12304" max="12304" width="8.140625" style="1083" bestFit="1" customWidth="1"/>
    <col min="12305" max="12305" width="11.5703125" style="1083" bestFit="1" customWidth="1"/>
    <col min="12306" max="12306" width="8.42578125" style="1083" customWidth="1"/>
    <col min="12307" max="12307" width="7.28515625" style="1083" bestFit="1" customWidth="1"/>
    <col min="12308" max="12308" width="11.5703125" style="1083" bestFit="1" customWidth="1"/>
    <col min="12309" max="12309" width="8.140625" style="1083" customWidth="1"/>
    <col min="12310" max="12310" width="13" style="1083" bestFit="1" customWidth="1"/>
    <col min="12311" max="12549" width="10.85546875" style="1083"/>
    <col min="12550" max="12550" width="8.85546875" style="1083" customWidth="1"/>
    <col min="12551" max="12551" width="50" style="1083" customWidth="1"/>
    <col min="12552" max="12552" width="6.28515625" style="1083" bestFit="1" customWidth="1"/>
    <col min="12553" max="12553" width="8.85546875" style="1083" customWidth="1"/>
    <col min="12554" max="12554" width="8.5703125" style="1083" customWidth="1"/>
    <col min="12555" max="12555" width="11.28515625" style="1083" bestFit="1" customWidth="1"/>
    <col min="12556" max="12556" width="7.85546875" style="1083" bestFit="1" customWidth="1"/>
    <col min="12557" max="12557" width="11.5703125" style="1083" bestFit="1" customWidth="1"/>
    <col min="12558" max="12558" width="8" style="1083" bestFit="1" customWidth="1"/>
    <col min="12559" max="12559" width="11.5703125" style="1083" bestFit="1" customWidth="1"/>
    <col min="12560" max="12560" width="8.140625" style="1083" bestFit="1" customWidth="1"/>
    <col min="12561" max="12561" width="11.5703125" style="1083" bestFit="1" customWidth="1"/>
    <col min="12562" max="12562" width="8.42578125" style="1083" customWidth="1"/>
    <col min="12563" max="12563" width="7.28515625" style="1083" bestFit="1" customWidth="1"/>
    <col min="12564" max="12564" width="11.5703125" style="1083" bestFit="1" customWidth="1"/>
    <col min="12565" max="12565" width="8.140625" style="1083" customWidth="1"/>
    <col min="12566" max="12566" width="13" style="1083" bestFit="1" customWidth="1"/>
    <col min="12567" max="12805" width="10.85546875" style="1083"/>
    <col min="12806" max="12806" width="8.85546875" style="1083" customWidth="1"/>
    <col min="12807" max="12807" width="50" style="1083" customWidth="1"/>
    <col min="12808" max="12808" width="6.28515625" style="1083" bestFit="1" customWidth="1"/>
    <col min="12809" max="12809" width="8.85546875" style="1083" customWidth="1"/>
    <col min="12810" max="12810" width="8.5703125" style="1083" customWidth="1"/>
    <col min="12811" max="12811" width="11.28515625" style="1083" bestFit="1" customWidth="1"/>
    <col min="12812" max="12812" width="7.85546875" style="1083" bestFit="1" customWidth="1"/>
    <col min="12813" max="12813" width="11.5703125" style="1083" bestFit="1" customWidth="1"/>
    <col min="12814" max="12814" width="8" style="1083" bestFit="1" customWidth="1"/>
    <col min="12815" max="12815" width="11.5703125" style="1083" bestFit="1" customWidth="1"/>
    <col min="12816" max="12816" width="8.140625" style="1083" bestFit="1" customWidth="1"/>
    <col min="12817" max="12817" width="11.5703125" style="1083" bestFit="1" customWidth="1"/>
    <col min="12818" max="12818" width="8.42578125" style="1083" customWidth="1"/>
    <col min="12819" max="12819" width="7.28515625" style="1083" bestFit="1" customWidth="1"/>
    <col min="12820" max="12820" width="11.5703125" style="1083" bestFit="1" customWidth="1"/>
    <col min="12821" max="12821" width="8.140625" style="1083" customWidth="1"/>
    <col min="12822" max="12822" width="13" style="1083" bestFit="1" customWidth="1"/>
    <col min="12823" max="13061" width="10.85546875" style="1083"/>
    <col min="13062" max="13062" width="8.85546875" style="1083" customWidth="1"/>
    <col min="13063" max="13063" width="50" style="1083" customWidth="1"/>
    <col min="13064" max="13064" width="6.28515625" style="1083" bestFit="1" customWidth="1"/>
    <col min="13065" max="13065" width="8.85546875" style="1083" customWidth="1"/>
    <col min="13066" max="13066" width="8.5703125" style="1083" customWidth="1"/>
    <col min="13067" max="13067" width="11.28515625" style="1083" bestFit="1" customWidth="1"/>
    <col min="13068" max="13068" width="7.85546875" style="1083" bestFit="1" customWidth="1"/>
    <col min="13069" max="13069" width="11.5703125" style="1083" bestFit="1" customWidth="1"/>
    <col min="13070" max="13070" width="8" style="1083" bestFit="1" customWidth="1"/>
    <col min="13071" max="13071" width="11.5703125" style="1083" bestFit="1" customWidth="1"/>
    <col min="13072" max="13072" width="8.140625" style="1083" bestFit="1" customWidth="1"/>
    <col min="13073" max="13073" width="11.5703125" style="1083" bestFit="1" customWidth="1"/>
    <col min="13074" max="13074" width="8.42578125" style="1083" customWidth="1"/>
    <col min="13075" max="13075" width="7.28515625" style="1083" bestFit="1" customWidth="1"/>
    <col min="13076" max="13076" width="11.5703125" style="1083" bestFit="1" customWidth="1"/>
    <col min="13077" max="13077" width="8.140625" style="1083" customWidth="1"/>
    <col min="13078" max="13078" width="13" style="1083" bestFit="1" customWidth="1"/>
    <col min="13079" max="13317" width="10.85546875" style="1083"/>
    <col min="13318" max="13318" width="8.85546875" style="1083" customWidth="1"/>
    <col min="13319" max="13319" width="50" style="1083" customWidth="1"/>
    <col min="13320" max="13320" width="6.28515625" style="1083" bestFit="1" customWidth="1"/>
    <col min="13321" max="13321" width="8.85546875" style="1083" customWidth="1"/>
    <col min="13322" max="13322" width="8.5703125" style="1083" customWidth="1"/>
    <col min="13323" max="13323" width="11.28515625" style="1083" bestFit="1" customWidth="1"/>
    <col min="13324" max="13324" width="7.85546875" style="1083" bestFit="1" customWidth="1"/>
    <col min="13325" max="13325" width="11.5703125" style="1083" bestFit="1" customWidth="1"/>
    <col min="13326" max="13326" width="8" style="1083" bestFit="1" customWidth="1"/>
    <col min="13327" max="13327" width="11.5703125" style="1083" bestFit="1" customWidth="1"/>
    <col min="13328" max="13328" width="8.140625" style="1083" bestFit="1" customWidth="1"/>
    <col min="13329" max="13329" width="11.5703125" style="1083" bestFit="1" customWidth="1"/>
    <col min="13330" max="13330" width="8.42578125" style="1083" customWidth="1"/>
    <col min="13331" max="13331" width="7.28515625" style="1083" bestFit="1" customWidth="1"/>
    <col min="13332" max="13332" width="11.5703125" style="1083" bestFit="1" customWidth="1"/>
    <col min="13333" max="13333" width="8.140625" style="1083" customWidth="1"/>
    <col min="13334" max="13334" width="13" style="1083" bestFit="1" customWidth="1"/>
    <col min="13335" max="13573" width="10.85546875" style="1083"/>
    <col min="13574" max="13574" width="8.85546875" style="1083" customWidth="1"/>
    <col min="13575" max="13575" width="50" style="1083" customWidth="1"/>
    <col min="13576" max="13576" width="6.28515625" style="1083" bestFit="1" customWidth="1"/>
    <col min="13577" max="13577" width="8.85546875" style="1083" customWidth="1"/>
    <col min="13578" max="13578" width="8.5703125" style="1083" customWidth="1"/>
    <col min="13579" max="13579" width="11.28515625" style="1083" bestFit="1" customWidth="1"/>
    <col min="13580" max="13580" width="7.85546875" style="1083" bestFit="1" customWidth="1"/>
    <col min="13581" max="13581" width="11.5703125" style="1083" bestFit="1" customWidth="1"/>
    <col min="13582" max="13582" width="8" style="1083" bestFit="1" customWidth="1"/>
    <col min="13583" max="13583" width="11.5703125" style="1083" bestFit="1" customWidth="1"/>
    <col min="13584" max="13584" width="8.140625" style="1083" bestFit="1" customWidth="1"/>
    <col min="13585" max="13585" width="11.5703125" style="1083" bestFit="1" customWidth="1"/>
    <col min="13586" max="13586" width="8.42578125" style="1083" customWidth="1"/>
    <col min="13587" max="13587" width="7.28515625" style="1083" bestFit="1" customWidth="1"/>
    <col min="13588" max="13588" width="11.5703125" style="1083" bestFit="1" customWidth="1"/>
    <col min="13589" max="13589" width="8.140625" style="1083" customWidth="1"/>
    <col min="13590" max="13590" width="13" style="1083" bestFit="1" customWidth="1"/>
    <col min="13591" max="13829" width="10.85546875" style="1083"/>
    <col min="13830" max="13830" width="8.85546875" style="1083" customWidth="1"/>
    <col min="13831" max="13831" width="50" style="1083" customWidth="1"/>
    <col min="13832" max="13832" width="6.28515625" style="1083" bestFit="1" customWidth="1"/>
    <col min="13833" max="13833" width="8.85546875" style="1083" customWidth="1"/>
    <col min="13834" max="13834" width="8.5703125" style="1083" customWidth="1"/>
    <col min="13835" max="13835" width="11.28515625" style="1083" bestFit="1" customWidth="1"/>
    <col min="13836" max="13836" width="7.85546875" style="1083" bestFit="1" customWidth="1"/>
    <col min="13837" max="13837" width="11.5703125" style="1083" bestFit="1" customWidth="1"/>
    <col min="13838" max="13838" width="8" style="1083" bestFit="1" customWidth="1"/>
    <col min="13839" max="13839" width="11.5703125" style="1083" bestFit="1" customWidth="1"/>
    <col min="13840" max="13840" width="8.140625" style="1083" bestFit="1" customWidth="1"/>
    <col min="13841" max="13841" width="11.5703125" style="1083" bestFit="1" customWidth="1"/>
    <col min="13842" max="13842" width="8.42578125" style="1083" customWidth="1"/>
    <col min="13843" max="13843" width="7.28515625" style="1083" bestFit="1" customWidth="1"/>
    <col min="13844" max="13844" width="11.5703125" style="1083" bestFit="1" customWidth="1"/>
    <col min="13845" max="13845" width="8.140625" style="1083" customWidth="1"/>
    <col min="13846" max="13846" width="13" style="1083" bestFit="1" customWidth="1"/>
    <col min="13847" max="14085" width="10.85546875" style="1083"/>
    <col min="14086" max="14086" width="8.85546875" style="1083" customWidth="1"/>
    <col min="14087" max="14087" width="50" style="1083" customWidth="1"/>
    <col min="14088" max="14088" width="6.28515625" style="1083" bestFit="1" customWidth="1"/>
    <col min="14089" max="14089" width="8.85546875" style="1083" customWidth="1"/>
    <col min="14090" max="14090" width="8.5703125" style="1083" customWidth="1"/>
    <col min="14091" max="14091" width="11.28515625" style="1083" bestFit="1" customWidth="1"/>
    <col min="14092" max="14092" width="7.85546875" style="1083" bestFit="1" customWidth="1"/>
    <col min="14093" max="14093" width="11.5703125" style="1083" bestFit="1" customWidth="1"/>
    <col min="14094" max="14094" width="8" style="1083" bestFit="1" customWidth="1"/>
    <col min="14095" max="14095" width="11.5703125" style="1083" bestFit="1" customWidth="1"/>
    <col min="14096" max="14096" width="8.140625" style="1083" bestFit="1" customWidth="1"/>
    <col min="14097" max="14097" width="11.5703125" style="1083" bestFit="1" customWidth="1"/>
    <col min="14098" max="14098" width="8.42578125" style="1083" customWidth="1"/>
    <col min="14099" max="14099" width="7.28515625" style="1083" bestFit="1" customWidth="1"/>
    <col min="14100" max="14100" width="11.5703125" style="1083" bestFit="1" customWidth="1"/>
    <col min="14101" max="14101" width="8.140625" style="1083" customWidth="1"/>
    <col min="14102" max="14102" width="13" style="1083" bestFit="1" customWidth="1"/>
    <col min="14103" max="14341" width="10.85546875" style="1083"/>
    <col min="14342" max="14342" width="8.85546875" style="1083" customWidth="1"/>
    <col min="14343" max="14343" width="50" style="1083" customWidth="1"/>
    <col min="14344" max="14344" width="6.28515625" style="1083" bestFit="1" customWidth="1"/>
    <col min="14345" max="14345" width="8.85546875" style="1083" customWidth="1"/>
    <col min="14346" max="14346" width="8.5703125" style="1083" customWidth="1"/>
    <col min="14347" max="14347" width="11.28515625" style="1083" bestFit="1" customWidth="1"/>
    <col min="14348" max="14348" width="7.85546875" style="1083" bestFit="1" customWidth="1"/>
    <col min="14349" max="14349" width="11.5703125" style="1083" bestFit="1" customWidth="1"/>
    <col min="14350" max="14350" width="8" style="1083" bestFit="1" customWidth="1"/>
    <col min="14351" max="14351" width="11.5703125" style="1083" bestFit="1" customWidth="1"/>
    <col min="14352" max="14352" width="8.140625" style="1083" bestFit="1" customWidth="1"/>
    <col min="14353" max="14353" width="11.5703125" style="1083" bestFit="1" customWidth="1"/>
    <col min="14354" max="14354" width="8.42578125" style="1083" customWidth="1"/>
    <col min="14355" max="14355" width="7.28515625" style="1083" bestFit="1" customWidth="1"/>
    <col min="14356" max="14356" width="11.5703125" style="1083" bestFit="1" customWidth="1"/>
    <col min="14357" max="14357" width="8.140625" style="1083" customWidth="1"/>
    <col min="14358" max="14358" width="13" style="1083" bestFit="1" customWidth="1"/>
    <col min="14359" max="14597" width="10.85546875" style="1083"/>
    <col min="14598" max="14598" width="8.85546875" style="1083" customWidth="1"/>
    <col min="14599" max="14599" width="50" style="1083" customWidth="1"/>
    <col min="14600" max="14600" width="6.28515625" style="1083" bestFit="1" customWidth="1"/>
    <col min="14601" max="14601" width="8.85546875" style="1083" customWidth="1"/>
    <col min="14602" max="14602" width="8.5703125" style="1083" customWidth="1"/>
    <col min="14603" max="14603" width="11.28515625" style="1083" bestFit="1" customWidth="1"/>
    <col min="14604" max="14604" width="7.85546875" style="1083" bestFit="1" customWidth="1"/>
    <col min="14605" max="14605" width="11.5703125" style="1083" bestFit="1" customWidth="1"/>
    <col min="14606" max="14606" width="8" style="1083" bestFit="1" customWidth="1"/>
    <col min="14607" max="14607" width="11.5703125" style="1083" bestFit="1" customWidth="1"/>
    <col min="14608" max="14608" width="8.140625" style="1083" bestFit="1" customWidth="1"/>
    <col min="14609" max="14609" width="11.5703125" style="1083" bestFit="1" customWidth="1"/>
    <col min="14610" max="14610" width="8.42578125" style="1083" customWidth="1"/>
    <col min="14611" max="14611" width="7.28515625" style="1083" bestFit="1" customWidth="1"/>
    <col min="14612" max="14612" width="11.5703125" style="1083" bestFit="1" customWidth="1"/>
    <col min="14613" max="14613" width="8.140625" style="1083" customWidth="1"/>
    <col min="14614" max="14614" width="13" style="1083" bestFit="1" customWidth="1"/>
    <col min="14615" max="14853" width="10.85546875" style="1083"/>
    <col min="14854" max="14854" width="8.85546875" style="1083" customWidth="1"/>
    <col min="14855" max="14855" width="50" style="1083" customWidth="1"/>
    <col min="14856" max="14856" width="6.28515625" style="1083" bestFit="1" customWidth="1"/>
    <col min="14857" max="14857" width="8.85546875" style="1083" customWidth="1"/>
    <col min="14858" max="14858" width="8.5703125" style="1083" customWidth="1"/>
    <col min="14859" max="14859" width="11.28515625" style="1083" bestFit="1" customWidth="1"/>
    <col min="14860" max="14860" width="7.85546875" style="1083" bestFit="1" customWidth="1"/>
    <col min="14861" max="14861" width="11.5703125" style="1083" bestFit="1" customWidth="1"/>
    <col min="14862" max="14862" width="8" style="1083" bestFit="1" customWidth="1"/>
    <col min="14863" max="14863" width="11.5703125" style="1083" bestFit="1" customWidth="1"/>
    <col min="14864" max="14864" width="8.140625" style="1083" bestFit="1" customWidth="1"/>
    <col min="14865" max="14865" width="11.5703125" style="1083" bestFit="1" customWidth="1"/>
    <col min="14866" max="14866" width="8.42578125" style="1083" customWidth="1"/>
    <col min="14867" max="14867" width="7.28515625" style="1083" bestFit="1" customWidth="1"/>
    <col min="14868" max="14868" width="11.5703125" style="1083" bestFit="1" customWidth="1"/>
    <col min="14869" max="14869" width="8.140625" style="1083" customWidth="1"/>
    <col min="14870" max="14870" width="13" style="1083" bestFit="1" customWidth="1"/>
    <col min="14871" max="15109" width="10.85546875" style="1083"/>
    <col min="15110" max="15110" width="8.85546875" style="1083" customWidth="1"/>
    <col min="15111" max="15111" width="50" style="1083" customWidth="1"/>
    <col min="15112" max="15112" width="6.28515625" style="1083" bestFit="1" customWidth="1"/>
    <col min="15113" max="15113" width="8.85546875" style="1083" customWidth="1"/>
    <col min="15114" max="15114" width="8.5703125" style="1083" customWidth="1"/>
    <col min="15115" max="15115" width="11.28515625" style="1083" bestFit="1" customWidth="1"/>
    <col min="15116" max="15116" width="7.85546875" style="1083" bestFit="1" customWidth="1"/>
    <col min="15117" max="15117" width="11.5703125" style="1083" bestFit="1" customWidth="1"/>
    <col min="15118" max="15118" width="8" style="1083" bestFit="1" customWidth="1"/>
    <col min="15119" max="15119" width="11.5703125" style="1083" bestFit="1" customWidth="1"/>
    <col min="15120" max="15120" width="8.140625" style="1083" bestFit="1" customWidth="1"/>
    <col min="15121" max="15121" width="11.5703125" style="1083" bestFit="1" customWidth="1"/>
    <col min="15122" max="15122" width="8.42578125" style="1083" customWidth="1"/>
    <col min="15123" max="15123" width="7.28515625" style="1083" bestFit="1" customWidth="1"/>
    <col min="15124" max="15124" width="11.5703125" style="1083" bestFit="1" customWidth="1"/>
    <col min="15125" max="15125" width="8.140625" style="1083" customWidth="1"/>
    <col min="15126" max="15126" width="13" style="1083" bestFit="1" customWidth="1"/>
    <col min="15127" max="15365" width="10.85546875" style="1083"/>
    <col min="15366" max="15366" width="8.85546875" style="1083" customWidth="1"/>
    <col min="15367" max="15367" width="50" style="1083" customWidth="1"/>
    <col min="15368" max="15368" width="6.28515625" style="1083" bestFit="1" customWidth="1"/>
    <col min="15369" max="15369" width="8.85546875" style="1083" customWidth="1"/>
    <col min="15370" max="15370" width="8.5703125" style="1083" customWidth="1"/>
    <col min="15371" max="15371" width="11.28515625" style="1083" bestFit="1" customWidth="1"/>
    <col min="15372" max="15372" width="7.85546875" style="1083" bestFit="1" customWidth="1"/>
    <col min="15373" max="15373" width="11.5703125" style="1083" bestFit="1" customWidth="1"/>
    <col min="15374" max="15374" width="8" style="1083" bestFit="1" customWidth="1"/>
    <col min="15375" max="15375" width="11.5703125" style="1083" bestFit="1" customWidth="1"/>
    <col min="15376" max="15376" width="8.140625" style="1083" bestFit="1" customWidth="1"/>
    <col min="15377" max="15377" width="11.5703125" style="1083" bestFit="1" customWidth="1"/>
    <col min="15378" max="15378" width="8.42578125" style="1083" customWidth="1"/>
    <col min="15379" max="15379" width="7.28515625" style="1083" bestFit="1" customWidth="1"/>
    <col min="15380" max="15380" width="11.5703125" style="1083" bestFit="1" customWidth="1"/>
    <col min="15381" max="15381" width="8.140625" style="1083" customWidth="1"/>
    <col min="15382" max="15382" width="13" style="1083" bestFit="1" customWidth="1"/>
    <col min="15383" max="15621" width="10.85546875" style="1083"/>
    <col min="15622" max="15622" width="8.85546875" style="1083" customWidth="1"/>
    <col min="15623" max="15623" width="50" style="1083" customWidth="1"/>
    <col min="15624" max="15624" width="6.28515625" style="1083" bestFit="1" customWidth="1"/>
    <col min="15625" max="15625" width="8.85546875" style="1083" customWidth="1"/>
    <col min="15626" max="15626" width="8.5703125" style="1083" customWidth="1"/>
    <col min="15627" max="15627" width="11.28515625" style="1083" bestFit="1" customWidth="1"/>
    <col min="15628" max="15628" width="7.85546875" style="1083" bestFit="1" customWidth="1"/>
    <col min="15629" max="15629" width="11.5703125" style="1083" bestFit="1" customWidth="1"/>
    <col min="15630" max="15630" width="8" style="1083" bestFit="1" customWidth="1"/>
    <col min="15631" max="15631" width="11.5703125" style="1083" bestFit="1" customWidth="1"/>
    <col min="15632" max="15632" width="8.140625" style="1083" bestFit="1" customWidth="1"/>
    <col min="15633" max="15633" width="11.5703125" style="1083" bestFit="1" customWidth="1"/>
    <col min="15634" max="15634" width="8.42578125" style="1083" customWidth="1"/>
    <col min="15635" max="15635" width="7.28515625" style="1083" bestFit="1" customWidth="1"/>
    <col min="15636" max="15636" width="11.5703125" style="1083" bestFit="1" customWidth="1"/>
    <col min="15637" max="15637" width="8.140625" style="1083" customWidth="1"/>
    <col min="15638" max="15638" width="13" style="1083" bestFit="1" customWidth="1"/>
    <col min="15639" max="15877" width="10.85546875" style="1083"/>
    <col min="15878" max="15878" width="8.85546875" style="1083" customWidth="1"/>
    <col min="15879" max="15879" width="50" style="1083" customWidth="1"/>
    <col min="15880" max="15880" width="6.28515625" style="1083" bestFit="1" customWidth="1"/>
    <col min="15881" max="15881" width="8.85546875" style="1083" customWidth="1"/>
    <col min="15882" max="15882" width="8.5703125" style="1083" customWidth="1"/>
    <col min="15883" max="15883" width="11.28515625" style="1083" bestFit="1" customWidth="1"/>
    <col min="15884" max="15884" width="7.85546875" style="1083" bestFit="1" customWidth="1"/>
    <col min="15885" max="15885" width="11.5703125" style="1083" bestFit="1" customWidth="1"/>
    <col min="15886" max="15886" width="8" style="1083" bestFit="1" customWidth="1"/>
    <col min="15887" max="15887" width="11.5703125" style="1083" bestFit="1" customWidth="1"/>
    <col min="15888" max="15888" width="8.140625" style="1083" bestFit="1" customWidth="1"/>
    <col min="15889" max="15889" width="11.5703125" style="1083" bestFit="1" customWidth="1"/>
    <col min="15890" max="15890" width="8.42578125" style="1083" customWidth="1"/>
    <col min="15891" max="15891" width="7.28515625" style="1083" bestFit="1" customWidth="1"/>
    <col min="15892" max="15892" width="11.5703125" style="1083" bestFit="1" customWidth="1"/>
    <col min="15893" max="15893" width="8.140625" style="1083" customWidth="1"/>
    <col min="15894" max="15894" width="13" style="1083" bestFit="1" customWidth="1"/>
    <col min="15895" max="16133" width="10.85546875" style="1083"/>
    <col min="16134" max="16134" width="8.85546875" style="1083" customWidth="1"/>
    <col min="16135" max="16135" width="50" style="1083" customWidth="1"/>
    <col min="16136" max="16136" width="6.28515625" style="1083" bestFit="1" customWidth="1"/>
    <col min="16137" max="16137" width="8.85546875" style="1083" customWidth="1"/>
    <col min="16138" max="16138" width="8.5703125" style="1083" customWidth="1"/>
    <col min="16139" max="16139" width="11.28515625" style="1083" bestFit="1" customWidth="1"/>
    <col min="16140" max="16140" width="7.85546875" style="1083" bestFit="1" customWidth="1"/>
    <col min="16141" max="16141" width="11.5703125" style="1083" bestFit="1" customWidth="1"/>
    <col min="16142" max="16142" width="8" style="1083" bestFit="1" customWidth="1"/>
    <col min="16143" max="16143" width="11.5703125" style="1083" bestFit="1" customWidth="1"/>
    <col min="16144" max="16144" width="8.140625" style="1083" bestFit="1" customWidth="1"/>
    <col min="16145" max="16145" width="11.5703125" style="1083" bestFit="1" customWidth="1"/>
    <col min="16146" max="16146" width="8.42578125" style="1083" customWidth="1"/>
    <col min="16147" max="16147" width="7.28515625" style="1083" bestFit="1" customWidth="1"/>
    <col min="16148" max="16148" width="11.5703125" style="1083" bestFit="1" customWidth="1"/>
    <col min="16149" max="16149" width="8.140625" style="1083" customWidth="1"/>
    <col min="16150" max="16150" width="13" style="1083" bestFit="1" customWidth="1"/>
    <col min="16151" max="16383" width="10.85546875" style="1083"/>
    <col min="16384" max="16384" width="11.5703125" style="1083" customWidth="1"/>
  </cols>
  <sheetData>
    <row r="1" spans="1:25" ht="13.9" customHeight="1">
      <c r="B1" s="2811" t="s">
        <v>12</v>
      </c>
      <c r="C1" s="2811"/>
      <c r="D1" s="2811"/>
      <c r="E1" s="2811"/>
      <c r="F1" s="2811"/>
      <c r="G1" s="2811"/>
      <c r="H1" s="2811"/>
      <c r="I1" s="2811"/>
      <c r="J1" s="2811"/>
      <c r="K1" s="2811"/>
      <c r="L1" s="2811"/>
      <c r="M1" s="2811"/>
      <c r="N1" s="2811"/>
      <c r="O1" s="2811"/>
      <c r="P1" s="2811"/>
      <c r="Q1" s="2811"/>
      <c r="R1" s="2811"/>
      <c r="S1" s="2811"/>
    </row>
    <row r="2" spans="1:25">
      <c r="B2" s="2811" t="s">
        <v>4216</v>
      </c>
      <c r="C2" s="2811"/>
      <c r="D2" s="2811"/>
      <c r="E2" s="2811"/>
      <c r="F2" s="2811"/>
      <c r="G2" s="2811"/>
      <c r="H2" s="2811"/>
      <c r="I2" s="2811"/>
      <c r="J2" s="2811"/>
      <c r="K2" s="2811"/>
      <c r="L2" s="2811"/>
      <c r="M2" s="2811"/>
      <c r="N2" s="2811"/>
      <c r="O2" s="2811"/>
      <c r="P2" s="2811"/>
      <c r="Q2" s="2811"/>
      <c r="R2" s="2811"/>
      <c r="S2" s="2811"/>
    </row>
    <row r="3" spans="1:25">
      <c r="B3" s="2811" t="s">
        <v>4296</v>
      </c>
      <c r="C3" s="2811"/>
      <c r="D3" s="2811"/>
      <c r="E3" s="2811"/>
      <c r="F3" s="2811"/>
      <c r="G3" s="2811"/>
      <c r="H3" s="2811"/>
      <c r="I3" s="2811"/>
      <c r="J3" s="2811"/>
      <c r="K3" s="2811"/>
      <c r="L3" s="2811"/>
      <c r="M3" s="2811"/>
      <c r="N3" s="2811"/>
      <c r="O3" s="2811"/>
      <c r="P3" s="2811"/>
      <c r="Q3" s="2811"/>
      <c r="R3" s="2811"/>
      <c r="S3" s="2811"/>
    </row>
    <row r="4" spans="1:25">
      <c r="B4" s="1085"/>
      <c r="C4" s="1087" t="s">
        <v>6</v>
      </c>
      <c r="D4" s="1106" t="s">
        <v>4</v>
      </c>
      <c r="E4" s="2812" t="s">
        <v>2832</v>
      </c>
      <c r="F4" s="2812"/>
      <c r="G4" s="2812"/>
      <c r="H4" s="2812"/>
      <c r="I4" s="2812"/>
      <c r="J4" s="2812"/>
      <c r="K4" s="2812"/>
      <c r="L4" s="2812"/>
      <c r="M4" s="2812"/>
      <c r="N4" s="2812"/>
      <c r="O4" s="2812"/>
      <c r="P4" s="1104" t="s">
        <v>13</v>
      </c>
      <c r="Q4" s="1084"/>
      <c r="R4" s="2813">
        <v>44355</v>
      </c>
      <c r="S4" s="2813"/>
    </row>
    <row r="5" spans="1:25">
      <c r="B5" s="1086"/>
      <c r="C5" s="1087" t="s">
        <v>5</v>
      </c>
      <c r="D5" s="1088" t="s">
        <v>4</v>
      </c>
      <c r="E5" s="1089" t="s">
        <v>533</v>
      </c>
      <c r="F5" s="1086"/>
      <c r="G5" s="1086"/>
      <c r="H5" s="1086"/>
      <c r="I5" s="1086"/>
      <c r="J5" s="1086"/>
      <c r="L5" s="1200"/>
      <c r="P5" s="1086" t="s">
        <v>14</v>
      </c>
      <c r="R5" s="1158"/>
      <c r="S5" s="1105" t="s">
        <v>536</v>
      </c>
    </row>
    <row r="6" spans="1:25">
      <c r="C6" s="1087" t="s">
        <v>15</v>
      </c>
      <c r="D6" s="1088" t="s">
        <v>4</v>
      </c>
      <c r="E6" s="1089" t="s">
        <v>4301</v>
      </c>
      <c r="F6" s="1083"/>
      <c r="G6" s="1083"/>
      <c r="H6" s="1083"/>
      <c r="I6" s="1083"/>
      <c r="P6" s="1086" t="s">
        <v>16</v>
      </c>
      <c r="S6" s="1105" t="s">
        <v>536</v>
      </c>
    </row>
    <row r="7" spans="1:25">
      <c r="C7" s="1087" t="s">
        <v>17</v>
      </c>
      <c r="D7" s="1088" t="s">
        <v>4</v>
      </c>
      <c r="E7" s="1089" t="s">
        <v>11</v>
      </c>
      <c r="F7" s="1083"/>
      <c r="G7" s="1083"/>
      <c r="H7" s="1083"/>
      <c r="I7" s="1083"/>
      <c r="M7" s="1088"/>
      <c r="N7" s="1088"/>
      <c r="P7" s="1086" t="s">
        <v>18</v>
      </c>
      <c r="R7" s="1090"/>
      <c r="S7" s="1105" t="s">
        <v>10</v>
      </c>
    </row>
    <row r="8" spans="1:25">
      <c r="C8" s="1087" t="s">
        <v>19</v>
      </c>
      <c r="D8" s="1088" t="s">
        <v>4</v>
      </c>
      <c r="E8" s="1091">
        <v>2020</v>
      </c>
      <c r="F8" s="1083"/>
      <c r="G8" s="1083"/>
      <c r="H8" s="1083"/>
      <c r="I8" s="1083"/>
      <c r="N8" s="1088"/>
      <c r="O8" s="1158"/>
    </row>
    <row r="9" spans="1:25" ht="14.25" thickBot="1"/>
    <row r="10" spans="1:25" ht="14.25" thickBot="1">
      <c r="B10" s="2676" t="s">
        <v>20</v>
      </c>
      <c r="C10" s="2676" t="s">
        <v>21</v>
      </c>
      <c r="D10" s="2792" t="s">
        <v>22</v>
      </c>
      <c r="E10" s="2796" t="s">
        <v>23</v>
      </c>
      <c r="F10" s="2797"/>
      <c r="G10" s="2797"/>
      <c r="H10" s="2798"/>
      <c r="I10" s="1396"/>
      <c r="J10" s="2802" t="s">
        <v>24</v>
      </c>
      <c r="K10" s="2804"/>
      <c r="L10" s="2804"/>
      <c r="M10" s="2804"/>
      <c r="N10" s="2804"/>
      <c r="O10" s="2804"/>
      <c r="P10" s="2803"/>
      <c r="Q10" s="2796" t="s">
        <v>25</v>
      </c>
      <c r="R10" s="2797"/>
      <c r="S10" s="2798"/>
    </row>
    <row r="11" spans="1:25" ht="15" customHeight="1" thickBot="1">
      <c r="B11" s="2677"/>
      <c r="C11" s="2677"/>
      <c r="D11" s="2814"/>
      <c r="E11" s="2799"/>
      <c r="F11" s="2800"/>
      <c r="G11" s="2800"/>
      <c r="H11" s="2801"/>
      <c r="I11" s="1397"/>
      <c r="J11" s="2802" t="s">
        <v>26</v>
      </c>
      <c r="K11" s="2803"/>
      <c r="L11" s="2802" t="s">
        <v>27</v>
      </c>
      <c r="M11" s="2803"/>
      <c r="N11" s="2802" t="s">
        <v>28</v>
      </c>
      <c r="O11" s="2804"/>
      <c r="P11" s="2803"/>
      <c r="Q11" s="2799"/>
      <c r="R11" s="2800"/>
      <c r="S11" s="2801"/>
    </row>
    <row r="12" spans="1:25" ht="11.25" customHeight="1" thickBot="1">
      <c r="B12" s="2677"/>
      <c r="C12" s="2677"/>
      <c r="D12" s="2814"/>
      <c r="E12" s="2676" t="s">
        <v>29</v>
      </c>
      <c r="F12" s="2676" t="s">
        <v>30</v>
      </c>
      <c r="G12" s="2805" t="s">
        <v>4238</v>
      </c>
      <c r="H12" s="2676" t="s">
        <v>4240</v>
      </c>
      <c r="I12" s="2807" t="s">
        <v>4239</v>
      </c>
      <c r="J12" s="2676" t="s">
        <v>3</v>
      </c>
      <c r="K12" s="2792" t="s">
        <v>32</v>
      </c>
      <c r="L12" s="2794" t="s">
        <v>3</v>
      </c>
      <c r="M12" s="2676" t="s">
        <v>32</v>
      </c>
      <c r="N12" s="2676" t="s">
        <v>3</v>
      </c>
      <c r="O12" s="2676" t="s">
        <v>32</v>
      </c>
      <c r="P12" s="2676" t="s">
        <v>0</v>
      </c>
      <c r="Q12" s="2676" t="s">
        <v>3</v>
      </c>
      <c r="R12" s="2809" t="s">
        <v>32</v>
      </c>
      <c r="S12" s="2676" t="s">
        <v>0</v>
      </c>
      <c r="W12" s="2786" t="s">
        <v>3623</v>
      </c>
      <c r="X12" s="2787"/>
      <c r="Y12" s="2788"/>
    </row>
    <row r="13" spans="1:25" ht="11.25" customHeight="1" thickBot="1">
      <c r="B13" s="2678"/>
      <c r="C13" s="2678"/>
      <c r="D13" s="2793"/>
      <c r="E13" s="2678"/>
      <c r="F13" s="2678"/>
      <c r="G13" s="2806"/>
      <c r="H13" s="2678"/>
      <c r="I13" s="2808"/>
      <c r="J13" s="2678"/>
      <c r="K13" s="2793"/>
      <c r="L13" s="2795"/>
      <c r="M13" s="2678"/>
      <c r="N13" s="2678"/>
      <c r="O13" s="2678"/>
      <c r="P13" s="2678"/>
      <c r="Q13" s="2678"/>
      <c r="R13" s="2810"/>
      <c r="S13" s="2678"/>
    </row>
    <row r="14" spans="1:25" ht="11.25" customHeight="1" thickBot="1">
      <c r="B14" s="1206"/>
      <c r="C14" s="1207"/>
      <c r="D14" s="1208"/>
      <c r="E14" s="1206"/>
      <c r="F14" s="1207"/>
      <c r="G14" s="1207"/>
      <c r="H14" s="1395"/>
      <c r="I14" s="1207"/>
      <c r="J14" s="1206"/>
      <c r="K14" s="1208"/>
      <c r="L14" s="1709"/>
      <c r="M14" s="1207"/>
      <c r="N14" s="1206"/>
      <c r="O14" s="1207"/>
      <c r="P14" s="1395"/>
      <c r="Q14" s="1206"/>
      <c r="R14" s="1549"/>
      <c r="S14" s="1395"/>
    </row>
    <row r="15" spans="1:25" s="1096" customFormat="1" ht="11.25" customHeight="1">
      <c r="A15" s="1096" t="s">
        <v>3629</v>
      </c>
      <c r="B15" s="1710" t="s">
        <v>33</v>
      </c>
      <c r="C15" s="1711" t="s">
        <v>4217</v>
      </c>
      <c r="D15" s="1712"/>
      <c r="E15" s="1713"/>
      <c r="F15" s="1714"/>
      <c r="G15" s="1715"/>
      <c r="H15" s="1716"/>
      <c r="I15" s="1717"/>
      <c r="J15" s="1718"/>
      <c r="K15" s="1719"/>
      <c r="L15" s="1720"/>
      <c r="M15" s="1721"/>
      <c r="N15" s="1094"/>
      <c r="O15" s="1722"/>
      <c r="P15" s="1095"/>
      <c r="Q15" s="1094"/>
      <c r="R15" s="1723"/>
      <c r="S15" s="1095"/>
      <c r="T15" s="1724"/>
      <c r="U15" s="1724"/>
      <c r="V15" s="1724"/>
      <c r="W15" s="1098" t="s">
        <v>3624</v>
      </c>
      <c r="X15" s="1098"/>
      <c r="Y15" s="1097">
        <f>SUM(M16:M36)</f>
        <v>0</v>
      </c>
    </row>
    <row r="16" spans="1:25" s="1098" customFormat="1" ht="11.25" customHeight="1">
      <c r="B16" s="1725" t="s">
        <v>35</v>
      </c>
      <c r="C16" s="1726" t="s">
        <v>4218</v>
      </c>
      <c r="D16" s="1727" t="s">
        <v>36</v>
      </c>
      <c r="E16" s="1728">
        <v>200</v>
      </c>
      <c r="F16" s="1729">
        <v>205.8</v>
      </c>
      <c r="G16" s="1730">
        <v>205.8</v>
      </c>
      <c r="H16" s="1731">
        <f>+E16*F16</f>
        <v>41160</v>
      </c>
      <c r="I16" s="1731">
        <f>+E16*G16</f>
        <v>41160</v>
      </c>
      <c r="J16" s="1732">
        <v>200</v>
      </c>
      <c r="K16" s="1099">
        <f>J16*G16</f>
        <v>41160</v>
      </c>
      <c r="L16" s="1733">
        <v>0</v>
      </c>
      <c r="M16" s="1734">
        <f>L16*F16</f>
        <v>0</v>
      </c>
      <c r="N16" s="1100">
        <f>J16+L16</f>
        <v>200</v>
      </c>
      <c r="O16" s="1213">
        <f>N16*G16</f>
        <v>41160</v>
      </c>
      <c r="P16" s="1735">
        <f>+IF(D16=0,"",O16/I16)</f>
        <v>1</v>
      </c>
      <c r="Q16" s="1736">
        <f>E16-N16</f>
        <v>0</v>
      </c>
      <c r="R16" s="1101">
        <f>ROUND((Q16*F16),2)</f>
        <v>0</v>
      </c>
      <c r="S16" s="1737">
        <f>+IF(H16=0,"",R16/H16)</f>
        <v>0</v>
      </c>
      <c r="T16" s="1097">
        <f>+R16+O16</f>
        <v>41160</v>
      </c>
      <c r="U16" s="1097">
        <f>+H16</f>
        <v>41160</v>
      </c>
      <c r="V16" s="1097">
        <f>+U16-T16</f>
        <v>0</v>
      </c>
      <c r="W16" s="1098" t="s">
        <v>1234</v>
      </c>
      <c r="Y16" s="1738" t="e">
        <f>SUM(#REF!)</f>
        <v>#REF!</v>
      </c>
    </row>
    <row r="17" spans="1:27" s="1098" customFormat="1" ht="11.25" customHeight="1" thickBot="1">
      <c r="B17" s="1725" t="s">
        <v>39</v>
      </c>
      <c r="C17" s="1726" t="s">
        <v>4219</v>
      </c>
      <c r="D17" s="1727" t="s">
        <v>36</v>
      </c>
      <c r="E17" s="1728">
        <v>6</v>
      </c>
      <c r="F17" s="1729">
        <v>74</v>
      </c>
      <c r="G17" s="1730">
        <v>74</v>
      </c>
      <c r="H17" s="1731">
        <f>+E17*F17</f>
        <v>444</v>
      </c>
      <c r="I17" s="1731">
        <f t="shared" ref="I17:I36" si="0">+E17*G17</f>
        <v>444</v>
      </c>
      <c r="J17" s="1732">
        <v>6</v>
      </c>
      <c r="K17" s="1099">
        <f>J17*G17</f>
        <v>444</v>
      </c>
      <c r="L17" s="1733">
        <v>0</v>
      </c>
      <c r="M17" s="1734">
        <f>L17*F17</f>
        <v>0</v>
      </c>
      <c r="N17" s="1100">
        <f>J17+L17</f>
        <v>6</v>
      </c>
      <c r="O17" s="1213">
        <f>N17*G17</f>
        <v>444</v>
      </c>
      <c r="P17" s="1735">
        <f>+IF(D17=0,"",O17/I17)</f>
        <v>1</v>
      </c>
      <c r="Q17" s="1736"/>
      <c r="R17" s="1101"/>
      <c r="S17" s="1737"/>
      <c r="T17" s="1097"/>
      <c r="U17" s="1097"/>
      <c r="V17" s="1097"/>
      <c r="Y17" s="1738"/>
    </row>
    <row r="18" spans="1:27" s="1096" customFormat="1" ht="10.9" customHeight="1">
      <c r="B18" s="1739" t="s">
        <v>42</v>
      </c>
      <c r="C18" s="1711" t="s">
        <v>4217</v>
      </c>
      <c r="D18" s="1740"/>
      <c r="E18" s="1741"/>
      <c r="F18" s="1742"/>
      <c r="G18" s="1743"/>
      <c r="H18" s="1744"/>
      <c r="I18" s="1731"/>
      <c r="J18" s="1732"/>
      <c r="K18" s="1099"/>
      <c r="L18" s="1733"/>
      <c r="M18" s="1734"/>
      <c r="N18" s="1100"/>
      <c r="O18" s="1213"/>
      <c r="P18" s="1735"/>
      <c r="Q18" s="1736"/>
      <c r="R18" s="1101"/>
      <c r="S18" s="1737"/>
      <c r="T18" s="1097">
        <f t="shared" ref="T18:T36" si="1">+R18+O18</f>
        <v>0</v>
      </c>
      <c r="U18" s="1097">
        <f>+H18</f>
        <v>0</v>
      </c>
      <c r="V18" s="1097">
        <f t="shared" ref="V18:V36" si="2">+U18-T18</f>
        <v>0</v>
      </c>
      <c r="W18" s="1098" t="s">
        <v>3626</v>
      </c>
      <c r="X18" s="1098"/>
      <c r="Y18" s="1738" t="e">
        <f>SUM(#REF!)</f>
        <v>#REF!</v>
      </c>
    </row>
    <row r="19" spans="1:27" s="1096" customFormat="1" ht="11.25" customHeight="1">
      <c r="B19" s="1725" t="s">
        <v>43</v>
      </c>
      <c r="C19" s="1726" t="s">
        <v>4220</v>
      </c>
      <c r="D19" s="1727" t="s">
        <v>36</v>
      </c>
      <c r="E19" s="1728">
        <v>200</v>
      </c>
      <c r="F19" s="1729">
        <v>182.5</v>
      </c>
      <c r="G19" s="1730">
        <v>182.5</v>
      </c>
      <c r="H19" s="1731">
        <f>+E19*F19</f>
        <v>36500</v>
      </c>
      <c r="I19" s="1731">
        <f t="shared" si="0"/>
        <v>36500</v>
      </c>
      <c r="J19" s="1732">
        <v>200</v>
      </c>
      <c r="K19" s="1099">
        <f t="shared" ref="K19:K20" si="3">J19*G19</f>
        <v>36500</v>
      </c>
      <c r="L19" s="1733">
        <v>0</v>
      </c>
      <c r="M19" s="1734">
        <f>L19*F19</f>
        <v>0</v>
      </c>
      <c r="N19" s="1100">
        <f>J19+L19</f>
        <v>200</v>
      </c>
      <c r="O19" s="1213">
        <f t="shared" ref="O19:O20" si="4">N19*G19</f>
        <v>36500</v>
      </c>
      <c r="P19" s="1735">
        <f t="shared" ref="P19:P20" si="5">+IF(D19=0,"",O19/I19)</f>
        <v>1</v>
      </c>
      <c r="Q19" s="1736">
        <f>E19-N19</f>
        <v>0</v>
      </c>
      <c r="R19" s="1101">
        <f>ROUND((Q19*F19),2)</f>
        <v>0</v>
      </c>
      <c r="S19" s="1737">
        <f>+IF(H19=0,"",R19/H19)</f>
        <v>0</v>
      </c>
      <c r="T19" s="1097">
        <f t="shared" si="1"/>
        <v>36500</v>
      </c>
      <c r="U19" s="1097">
        <f>+H19</f>
        <v>36500</v>
      </c>
      <c r="V19" s="1097">
        <f t="shared" si="2"/>
        <v>0</v>
      </c>
      <c r="W19" s="1098" t="s">
        <v>3627</v>
      </c>
      <c r="X19" s="1098"/>
      <c r="Y19" s="1738" t="e">
        <f>SUM(#REF!)</f>
        <v>#REF!</v>
      </c>
    </row>
    <row r="20" spans="1:27" s="1098" customFormat="1" ht="11.25" customHeight="1" thickBot="1">
      <c r="B20" s="1725" t="s">
        <v>44</v>
      </c>
      <c r="C20" s="1726" t="s">
        <v>4221</v>
      </c>
      <c r="D20" s="1727" t="s">
        <v>36</v>
      </c>
      <c r="E20" s="1728">
        <v>6</v>
      </c>
      <c r="F20" s="1729">
        <v>780</v>
      </c>
      <c r="G20" s="1730">
        <v>780</v>
      </c>
      <c r="H20" s="1731">
        <f>+E20*F20</f>
        <v>4680</v>
      </c>
      <c r="I20" s="1731">
        <f t="shared" si="0"/>
        <v>4680</v>
      </c>
      <c r="J20" s="1732">
        <v>6</v>
      </c>
      <c r="K20" s="1099">
        <f t="shared" si="3"/>
        <v>4680</v>
      </c>
      <c r="L20" s="1733">
        <v>0</v>
      </c>
      <c r="M20" s="1734">
        <f>L20*F20</f>
        <v>0</v>
      </c>
      <c r="N20" s="1100">
        <f>J20+L20</f>
        <v>6</v>
      </c>
      <c r="O20" s="1213">
        <f t="shared" si="4"/>
        <v>4680</v>
      </c>
      <c r="P20" s="1735">
        <f t="shared" si="5"/>
        <v>1</v>
      </c>
      <c r="Q20" s="1736">
        <f>E20-N20</f>
        <v>0</v>
      </c>
      <c r="R20" s="1101">
        <f>ROUND((Q20*F20),2)</f>
        <v>0</v>
      </c>
      <c r="S20" s="1737">
        <f>+IF(H20=0,"",R20/H20)</f>
        <v>0</v>
      </c>
      <c r="T20" s="1097">
        <f t="shared" si="1"/>
        <v>4680</v>
      </c>
      <c r="U20" s="1097">
        <f>+H20</f>
        <v>4680</v>
      </c>
      <c r="V20" s="1097">
        <f t="shared" si="2"/>
        <v>0</v>
      </c>
      <c r="W20" s="1098" t="s">
        <v>3628</v>
      </c>
      <c r="Y20" s="1738" t="e">
        <f>SUM(#REF!)</f>
        <v>#REF!</v>
      </c>
    </row>
    <row r="21" spans="1:27" s="1098" customFormat="1" ht="11.25" customHeight="1">
      <c r="B21" s="1739" t="s">
        <v>45</v>
      </c>
      <c r="C21" s="1711" t="s">
        <v>4222</v>
      </c>
      <c r="D21" s="1727"/>
      <c r="E21" s="1728"/>
      <c r="F21" s="1729"/>
      <c r="G21" s="1730"/>
      <c r="H21" s="1731"/>
      <c r="I21" s="1731"/>
      <c r="J21" s="1732"/>
      <c r="K21" s="1099"/>
      <c r="L21" s="1733"/>
      <c r="M21" s="1734"/>
      <c r="N21" s="1100"/>
      <c r="O21" s="1213"/>
      <c r="P21" s="1735"/>
      <c r="Q21" s="1736"/>
      <c r="R21" s="1101"/>
      <c r="S21" s="1737"/>
      <c r="T21" s="1097"/>
      <c r="U21" s="1097"/>
      <c r="V21" s="1097"/>
      <c r="Y21" s="1738"/>
    </row>
    <row r="22" spans="1:27" s="1096" customFormat="1" ht="11.25" customHeight="1" thickBot="1">
      <c r="B22" s="1725" t="s">
        <v>47</v>
      </c>
      <c r="C22" s="1726" t="s">
        <v>4223</v>
      </c>
      <c r="D22" s="1727" t="s">
        <v>41</v>
      </c>
      <c r="E22" s="1728">
        <v>1</v>
      </c>
      <c r="F22" s="1729">
        <v>4300</v>
      </c>
      <c r="G22" s="1730">
        <v>4300</v>
      </c>
      <c r="H22" s="1731">
        <f>+E22*F22</f>
        <v>4300</v>
      </c>
      <c r="I22" s="1731">
        <f t="shared" si="0"/>
        <v>4300</v>
      </c>
      <c r="J22" s="1732">
        <v>1</v>
      </c>
      <c r="K22" s="1099">
        <f>J22*G22</f>
        <v>4300</v>
      </c>
      <c r="L22" s="1733">
        <v>0</v>
      </c>
      <c r="M22" s="1734">
        <f>L22*F22</f>
        <v>0</v>
      </c>
      <c r="N22" s="1100">
        <f>J22+L22</f>
        <v>1</v>
      </c>
      <c r="O22" s="1213">
        <f>N22*G22</f>
        <v>4300</v>
      </c>
      <c r="P22" s="1735">
        <f>+IF(D22=0,"",O22/I22)</f>
        <v>1</v>
      </c>
      <c r="Q22" s="1736">
        <f>E22-N22</f>
        <v>0</v>
      </c>
      <c r="R22" s="1101">
        <f>ROUND((Q22*F22),2)</f>
        <v>0</v>
      </c>
      <c r="S22" s="1737">
        <f>+IF(H22=0,"",R22/H22)</f>
        <v>0</v>
      </c>
      <c r="T22" s="1097">
        <f t="shared" si="1"/>
        <v>4300</v>
      </c>
      <c r="U22" s="1097">
        <f>+H22</f>
        <v>4300</v>
      </c>
      <c r="V22" s="1097">
        <f t="shared" si="2"/>
        <v>0</v>
      </c>
    </row>
    <row r="23" spans="1:27" s="1096" customFormat="1" ht="11.25" customHeight="1">
      <c r="B23" s="1739" t="s">
        <v>488</v>
      </c>
      <c r="C23" s="1711" t="s">
        <v>4224</v>
      </c>
      <c r="D23" s="1727"/>
      <c r="E23" s="1728"/>
      <c r="F23" s="1729"/>
      <c r="G23" s="1730"/>
      <c r="H23" s="1731"/>
      <c r="I23" s="1731"/>
      <c r="J23" s="1732"/>
      <c r="K23" s="1099"/>
      <c r="L23" s="1733"/>
      <c r="M23" s="1734"/>
      <c r="N23" s="1100"/>
      <c r="O23" s="1213"/>
      <c r="P23" s="1735"/>
      <c r="Q23" s="1736"/>
      <c r="R23" s="1101"/>
      <c r="S23" s="1737"/>
      <c r="T23" s="1097"/>
      <c r="U23" s="1097"/>
      <c r="V23" s="1097"/>
    </row>
    <row r="24" spans="1:27" s="1098" customFormat="1" ht="11.25" customHeight="1" thickBot="1">
      <c r="B24" s="1725" t="s">
        <v>489</v>
      </c>
      <c r="C24" s="1726" t="s">
        <v>4224</v>
      </c>
      <c r="D24" s="1727" t="s">
        <v>41</v>
      </c>
      <c r="E24" s="1728">
        <v>1</v>
      </c>
      <c r="F24" s="1729">
        <v>4880</v>
      </c>
      <c r="G24" s="1730">
        <v>4880</v>
      </c>
      <c r="H24" s="1731">
        <f>+E24*F24</f>
        <v>4880</v>
      </c>
      <c r="I24" s="1731">
        <f t="shared" si="0"/>
        <v>4880</v>
      </c>
      <c r="J24" s="1732">
        <v>1</v>
      </c>
      <c r="K24" s="1099">
        <f>J24*G24</f>
        <v>4880</v>
      </c>
      <c r="L24" s="1733">
        <v>0</v>
      </c>
      <c r="M24" s="1734">
        <f>L24*F24</f>
        <v>0</v>
      </c>
      <c r="N24" s="1100">
        <f>J24+L24</f>
        <v>1</v>
      </c>
      <c r="O24" s="1213">
        <f>N24*G24</f>
        <v>4880</v>
      </c>
      <c r="P24" s="1735">
        <f>+IF(D24=0,"",O24/I24)</f>
        <v>1</v>
      </c>
      <c r="Q24" s="1736">
        <f>E24-N24</f>
        <v>0</v>
      </c>
      <c r="R24" s="1101">
        <f>ROUND((Q24*F24),2)</f>
        <v>0</v>
      </c>
      <c r="S24" s="1737">
        <f>+IF(H24=0,"",R24/H24)</f>
        <v>0</v>
      </c>
      <c r="T24" s="1097">
        <f t="shared" si="1"/>
        <v>4880</v>
      </c>
      <c r="U24" s="1097">
        <f>+H24</f>
        <v>4880</v>
      </c>
      <c r="V24" s="1097">
        <f t="shared" si="2"/>
        <v>0</v>
      </c>
      <c r="X24" s="1096" t="s">
        <v>2</v>
      </c>
      <c r="Y24" s="1724" t="e">
        <f>SUM(Y15:Y22)</f>
        <v>#REF!</v>
      </c>
      <c r="Z24" s="1097">
        <f>+M37</f>
        <v>0</v>
      </c>
      <c r="AA24" s="1097" t="e">
        <f>+Y24-Z24</f>
        <v>#REF!</v>
      </c>
    </row>
    <row r="25" spans="1:27" s="1098" customFormat="1" ht="11.25" customHeight="1">
      <c r="B25" s="1739" t="s">
        <v>511</v>
      </c>
      <c r="C25" s="1711" t="s">
        <v>4225</v>
      </c>
      <c r="D25" s="1727"/>
      <c r="E25" s="1728"/>
      <c r="F25" s="1729"/>
      <c r="G25" s="1730"/>
      <c r="H25" s="1731"/>
      <c r="I25" s="1731"/>
      <c r="J25" s="1732"/>
      <c r="K25" s="1099"/>
      <c r="L25" s="1733"/>
      <c r="M25" s="1734"/>
      <c r="N25" s="1100"/>
      <c r="O25" s="1213"/>
      <c r="P25" s="1735"/>
      <c r="Q25" s="1736"/>
      <c r="R25" s="1101"/>
      <c r="S25" s="1737"/>
      <c r="T25" s="1097"/>
      <c r="U25" s="1097"/>
      <c r="V25" s="1097"/>
      <c r="X25" s="1096"/>
      <c r="Y25" s="1724"/>
      <c r="Z25" s="1097"/>
      <c r="AA25" s="1097"/>
    </row>
    <row r="26" spans="1:27" s="1098" customFormat="1" ht="11.25" customHeight="1" thickBot="1">
      <c r="B26" s="1725" t="s">
        <v>512</v>
      </c>
      <c r="C26" s="1726" t="s">
        <v>4226</v>
      </c>
      <c r="D26" s="1727" t="s">
        <v>41</v>
      </c>
      <c r="E26" s="1728">
        <v>1</v>
      </c>
      <c r="F26" s="1729">
        <v>5520</v>
      </c>
      <c r="G26" s="1730">
        <v>5520</v>
      </c>
      <c r="H26" s="1731">
        <f>+E26*F26</f>
        <v>5520</v>
      </c>
      <c r="I26" s="1731">
        <f t="shared" si="0"/>
        <v>5520</v>
      </c>
      <c r="J26" s="1732">
        <v>1</v>
      </c>
      <c r="K26" s="1099">
        <f>J26*G26</f>
        <v>5520</v>
      </c>
      <c r="L26" s="1733">
        <v>0</v>
      </c>
      <c r="M26" s="1734">
        <f>L26*F26</f>
        <v>0</v>
      </c>
      <c r="N26" s="1100">
        <f>J26+L26</f>
        <v>1</v>
      </c>
      <c r="O26" s="1213">
        <f>N26*G26</f>
        <v>5520</v>
      </c>
      <c r="P26" s="1735">
        <f>+IF(D26=0,"",O26/I26)</f>
        <v>1</v>
      </c>
      <c r="Q26" s="1736">
        <f>E26-N26</f>
        <v>0</v>
      </c>
      <c r="R26" s="1101">
        <f>ROUND((Q26*F26),2)</f>
        <v>0</v>
      </c>
      <c r="S26" s="1737">
        <f>+IF(H26=0,"",R26/H26)</f>
        <v>0</v>
      </c>
      <c r="T26" s="1097">
        <f t="shared" si="1"/>
        <v>5520</v>
      </c>
      <c r="U26" s="1097">
        <f>+H26</f>
        <v>5520</v>
      </c>
      <c r="V26" s="1097">
        <f t="shared" si="2"/>
        <v>0</v>
      </c>
    </row>
    <row r="27" spans="1:27" s="1098" customFormat="1" ht="11.25" customHeight="1">
      <c r="B27" s="1739" t="s">
        <v>514</v>
      </c>
      <c r="C27" s="1711" t="s">
        <v>4227</v>
      </c>
      <c r="D27" s="1727"/>
      <c r="E27" s="1728"/>
      <c r="F27" s="1729"/>
      <c r="G27" s="1730"/>
      <c r="H27" s="1731"/>
      <c r="I27" s="1731"/>
      <c r="J27" s="1732"/>
      <c r="K27" s="1099"/>
      <c r="L27" s="1733"/>
      <c r="M27" s="1734"/>
      <c r="N27" s="1100"/>
      <c r="O27" s="1213"/>
      <c r="P27" s="1735"/>
      <c r="Q27" s="1736"/>
      <c r="R27" s="1101"/>
      <c r="S27" s="1737"/>
      <c r="T27" s="1097"/>
      <c r="U27" s="1097"/>
      <c r="V27" s="1097"/>
    </row>
    <row r="28" spans="1:27" s="1098" customFormat="1" ht="11.25" customHeight="1" thickBot="1">
      <c r="A28" s="1098" t="s">
        <v>3629</v>
      </c>
      <c r="B28" s="1725" t="s">
        <v>515</v>
      </c>
      <c r="C28" s="1726" t="s">
        <v>4227</v>
      </c>
      <c r="D28" s="1727" t="s">
        <v>41</v>
      </c>
      <c r="E28" s="1728">
        <v>1</v>
      </c>
      <c r="F28" s="1729">
        <v>5530</v>
      </c>
      <c r="G28" s="1730">
        <v>5530</v>
      </c>
      <c r="H28" s="1731">
        <f>+E28*F28</f>
        <v>5530</v>
      </c>
      <c r="I28" s="1731">
        <f t="shared" si="0"/>
        <v>5530</v>
      </c>
      <c r="J28" s="1732">
        <v>1</v>
      </c>
      <c r="K28" s="1099">
        <f>J28*G28</f>
        <v>5530</v>
      </c>
      <c r="L28" s="1733">
        <v>0</v>
      </c>
      <c r="M28" s="1734">
        <f>L28*F28</f>
        <v>0</v>
      </c>
      <c r="N28" s="1100">
        <f>J28+L28</f>
        <v>1</v>
      </c>
      <c r="O28" s="1213">
        <f>N28*G28</f>
        <v>5530</v>
      </c>
      <c r="P28" s="1735">
        <f>+IF(D28=0,"",O28/I28)</f>
        <v>1</v>
      </c>
      <c r="Q28" s="1736">
        <f>E28-N28</f>
        <v>0</v>
      </c>
      <c r="R28" s="1101">
        <f>ROUND((Q28*F28),2)</f>
        <v>0</v>
      </c>
      <c r="S28" s="1737">
        <f>+IF(H28=0,"",R28/H28)</f>
        <v>0</v>
      </c>
      <c r="T28" s="1097">
        <f t="shared" si="1"/>
        <v>5530</v>
      </c>
      <c r="U28" s="1097">
        <f>+H28</f>
        <v>5530</v>
      </c>
      <c r="V28" s="1097">
        <f t="shared" si="2"/>
        <v>0</v>
      </c>
    </row>
    <row r="29" spans="1:27" s="1098" customFormat="1" ht="11.25" customHeight="1">
      <c r="B29" s="1739" t="s">
        <v>1878</v>
      </c>
      <c r="C29" s="1711" t="s">
        <v>4228</v>
      </c>
      <c r="D29" s="1727"/>
      <c r="E29" s="1728"/>
      <c r="F29" s="1729"/>
      <c r="G29" s="1730"/>
      <c r="H29" s="1731"/>
      <c r="I29" s="1731"/>
      <c r="J29" s="1732"/>
      <c r="K29" s="1099"/>
      <c r="L29" s="1733"/>
      <c r="M29" s="1734"/>
      <c r="N29" s="1100"/>
      <c r="O29" s="1213"/>
      <c r="P29" s="1735"/>
      <c r="Q29" s="1736"/>
      <c r="R29" s="1101"/>
      <c r="S29" s="1737"/>
      <c r="T29" s="1097"/>
      <c r="U29" s="1097"/>
      <c r="V29" s="1097"/>
    </row>
    <row r="30" spans="1:27" s="1098" customFormat="1" ht="11.25" customHeight="1" thickBot="1">
      <c r="B30" s="1725" t="s">
        <v>3635</v>
      </c>
      <c r="C30" s="1726" t="s">
        <v>4229</v>
      </c>
      <c r="D30" s="1727" t="s">
        <v>41</v>
      </c>
      <c r="E30" s="1728">
        <v>1</v>
      </c>
      <c r="F30" s="1729">
        <v>2125</v>
      </c>
      <c r="G30" s="1730">
        <v>2125</v>
      </c>
      <c r="H30" s="1731">
        <f>+E30*F30</f>
        <v>2125</v>
      </c>
      <c r="I30" s="1731">
        <f t="shared" si="0"/>
        <v>2125</v>
      </c>
      <c r="J30" s="1732">
        <v>1</v>
      </c>
      <c r="K30" s="1099">
        <f>J30*G30</f>
        <v>2125</v>
      </c>
      <c r="L30" s="1733">
        <v>0</v>
      </c>
      <c r="M30" s="1734">
        <f>L30*F30</f>
        <v>0</v>
      </c>
      <c r="N30" s="1100">
        <f>J30+L30</f>
        <v>1</v>
      </c>
      <c r="O30" s="1213">
        <f>N30*G30</f>
        <v>2125</v>
      </c>
      <c r="P30" s="1735">
        <f>+IF(D30=0,"",O30/I30)</f>
        <v>1</v>
      </c>
      <c r="Q30" s="1736">
        <f>E30-N30</f>
        <v>0</v>
      </c>
      <c r="R30" s="1101">
        <f>ROUND((Q30*F30),2)</f>
        <v>0</v>
      </c>
      <c r="S30" s="1737">
        <f>+IF(H30=0,"",R30/H30)</f>
        <v>0</v>
      </c>
      <c r="T30" s="1097">
        <f t="shared" si="1"/>
        <v>2125</v>
      </c>
      <c r="U30" s="1097">
        <f>+H30</f>
        <v>2125</v>
      </c>
      <c r="V30" s="1097">
        <f t="shared" si="2"/>
        <v>0</v>
      </c>
    </row>
    <row r="31" spans="1:27" s="1098" customFormat="1" ht="11.25" customHeight="1">
      <c r="B31" s="1739" t="s">
        <v>3636</v>
      </c>
      <c r="C31" s="1711" t="s">
        <v>4228</v>
      </c>
      <c r="D31" s="1727"/>
      <c r="E31" s="1728"/>
      <c r="F31" s="1729"/>
      <c r="G31" s="1730"/>
      <c r="H31" s="1731"/>
      <c r="I31" s="1731"/>
      <c r="J31" s="1732"/>
      <c r="K31" s="1099"/>
      <c r="L31" s="1733"/>
      <c r="M31" s="1734"/>
      <c r="N31" s="1100"/>
      <c r="O31" s="1213"/>
      <c r="P31" s="1735"/>
      <c r="Q31" s="1736"/>
      <c r="R31" s="1101"/>
      <c r="S31" s="1737"/>
      <c r="T31" s="1097"/>
      <c r="U31" s="1097"/>
      <c r="V31" s="1097"/>
    </row>
    <row r="32" spans="1:27" s="1096" customFormat="1" ht="11.25" customHeight="1">
      <c r="A32" s="1096" t="s">
        <v>3629</v>
      </c>
      <c r="B32" s="1725" t="s">
        <v>3638</v>
      </c>
      <c r="C32" s="1726" t="s">
        <v>4230</v>
      </c>
      <c r="D32" s="1727" t="s">
        <v>36</v>
      </c>
      <c r="E32" s="1728">
        <v>12</v>
      </c>
      <c r="F32" s="1729">
        <v>391.48</v>
      </c>
      <c r="G32" s="1730">
        <v>395.14</v>
      </c>
      <c r="H32" s="1731">
        <f>+E32*F32</f>
        <v>4697.76</v>
      </c>
      <c r="I32" s="1731">
        <f t="shared" si="0"/>
        <v>4741.68</v>
      </c>
      <c r="J32" s="1732">
        <v>12</v>
      </c>
      <c r="K32" s="1099">
        <f t="shared" ref="K32:K34" si="6">J32*G32</f>
        <v>4741.68</v>
      </c>
      <c r="L32" s="1733">
        <v>0</v>
      </c>
      <c r="M32" s="1734">
        <f>L32*F32</f>
        <v>0</v>
      </c>
      <c r="N32" s="1100">
        <f>J32+L32</f>
        <v>12</v>
      </c>
      <c r="O32" s="1213">
        <f t="shared" ref="O32:O34" si="7">N32*G32</f>
        <v>4741.68</v>
      </c>
      <c r="P32" s="1735">
        <f t="shared" ref="P32:P34" si="8">+IF(D32=0,"",O32/I32)</f>
        <v>1</v>
      </c>
      <c r="Q32" s="1736">
        <f>E32-N32</f>
        <v>0</v>
      </c>
      <c r="R32" s="1101">
        <f>ROUND((Q32*F32),2)</f>
        <v>0</v>
      </c>
      <c r="S32" s="1737">
        <f>+IF(H32=0,"",R32/H32)</f>
        <v>0</v>
      </c>
      <c r="T32" s="1097">
        <f t="shared" si="1"/>
        <v>4741.68</v>
      </c>
      <c r="U32" s="1097">
        <f>+H32</f>
        <v>4697.76</v>
      </c>
      <c r="V32" s="1097">
        <f t="shared" si="2"/>
        <v>-43.920000000000073</v>
      </c>
    </row>
    <row r="33" spans="1:24" s="1098" customFormat="1" ht="11.25" customHeight="1">
      <c r="A33" s="1098" t="s">
        <v>3629</v>
      </c>
      <c r="B33" s="1725" t="s">
        <v>4231</v>
      </c>
      <c r="C33" s="1726" t="s">
        <v>4232</v>
      </c>
      <c r="D33" s="1727" t="s">
        <v>36</v>
      </c>
      <c r="E33" s="1728">
        <v>24</v>
      </c>
      <c r="F33" s="1729">
        <v>135.31</v>
      </c>
      <c r="G33" s="1730">
        <v>137.22999999999999</v>
      </c>
      <c r="H33" s="1731">
        <f>+E33*F33</f>
        <v>3247.44</v>
      </c>
      <c r="I33" s="1731">
        <f t="shared" si="0"/>
        <v>3293.5199999999995</v>
      </c>
      <c r="J33" s="1732">
        <v>24</v>
      </c>
      <c r="K33" s="1099">
        <f t="shared" si="6"/>
        <v>3293.5199999999995</v>
      </c>
      <c r="L33" s="1733">
        <v>0</v>
      </c>
      <c r="M33" s="1734">
        <f>L33*F33</f>
        <v>0</v>
      </c>
      <c r="N33" s="1100">
        <f>J33+L33</f>
        <v>24</v>
      </c>
      <c r="O33" s="1213">
        <f t="shared" si="7"/>
        <v>3293.5199999999995</v>
      </c>
      <c r="P33" s="1735">
        <f t="shared" si="8"/>
        <v>1</v>
      </c>
      <c r="Q33" s="1736">
        <f>E33-N33</f>
        <v>0</v>
      </c>
      <c r="R33" s="1101">
        <f>ROUND((Q33*F33),2)</f>
        <v>0</v>
      </c>
      <c r="S33" s="1737">
        <f>+IF(H33=0,"",R33/H33)</f>
        <v>0</v>
      </c>
      <c r="T33" s="1097">
        <f t="shared" si="1"/>
        <v>3293.5199999999995</v>
      </c>
      <c r="U33" s="1097">
        <f>+H33</f>
        <v>3247.44</v>
      </c>
      <c r="V33" s="1097">
        <f t="shared" si="2"/>
        <v>-46.079999999999472</v>
      </c>
    </row>
    <row r="34" spans="1:24" s="1096" customFormat="1" ht="11.25" customHeight="1" thickBot="1">
      <c r="A34" s="1096" t="s">
        <v>3629</v>
      </c>
      <c r="B34" s="1745" t="s">
        <v>549</v>
      </c>
      <c r="C34" s="1726" t="s">
        <v>4233</v>
      </c>
      <c r="D34" s="1727" t="s">
        <v>36</v>
      </c>
      <c r="E34" s="1728">
        <v>10</v>
      </c>
      <c r="F34" s="1729">
        <v>81.31</v>
      </c>
      <c r="G34" s="1730">
        <v>83.23</v>
      </c>
      <c r="H34" s="1731">
        <f>+E34*F34</f>
        <v>813.1</v>
      </c>
      <c r="I34" s="1731">
        <f t="shared" si="0"/>
        <v>832.30000000000007</v>
      </c>
      <c r="J34" s="1732">
        <v>10</v>
      </c>
      <c r="K34" s="1099">
        <f t="shared" si="6"/>
        <v>832.30000000000007</v>
      </c>
      <c r="L34" s="1733">
        <v>0</v>
      </c>
      <c r="M34" s="1734">
        <f>L34*F34</f>
        <v>0</v>
      </c>
      <c r="N34" s="1100">
        <f>J34+L34</f>
        <v>10</v>
      </c>
      <c r="O34" s="1213">
        <f t="shared" si="7"/>
        <v>832.30000000000007</v>
      </c>
      <c r="P34" s="1735">
        <f t="shared" si="8"/>
        <v>1</v>
      </c>
      <c r="Q34" s="1736">
        <f>E34-N34</f>
        <v>0</v>
      </c>
      <c r="R34" s="1101">
        <f>ROUND((Q34*F34),2)</f>
        <v>0</v>
      </c>
      <c r="S34" s="1737">
        <f>+IF(H34=0,"",R34/H34)</f>
        <v>0</v>
      </c>
      <c r="T34" s="1097">
        <f t="shared" si="1"/>
        <v>832.30000000000007</v>
      </c>
      <c r="U34" s="1097">
        <f>+H34</f>
        <v>813.1</v>
      </c>
      <c r="V34" s="1097">
        <f t="shared" si="2"/>
        <v>-19.200000000000045</v>
      </c>
    </row>
    <row r="35" spans="1:24" s="1096" customFormat="1" ht="11.25" customHeight="1">
      <c r="B35" s="1739" t="s">
        <v>4234</v>
      </c>
      <c r="C35" s="1711" t="s">
        <v>4235</v>
      </c>
      <c r="D35" s="1727"/>
      <c r="E35" s="1728"/>
      <c r="F35" s="1729"/>
      <c r="G35" s="1730"/>
      <c r="H35" s="1731"/>
      <c r="I35" s="1731"/>
      <c r="J35" s="1732"/>
      <c r="K35" s="1099"/>
      <c r="L35" s="1733"/>
      <c r="M35" s="1734"/>
      <c r="N35" s="1100"/>
      <c r="O35" s="1213"/>
      <c r="P35" s="1735"/>
      <c r="Q35" s="1736"/>
      <c r="R35" s="1101"/>
      <c r="S35" s="1737"/>
      <c r="T35" s="1097"/>
      <c r="U35" s="1097"/>
      <c r="V35" s="1097"/>
    </row>
    <row r="36" spans="1:24" s="1096" customFormat="1" ht="15" customHeight="1" thickBot="1">
      <c r="B36" s="1725" t="s">
        <v>4236</v>
      </c>
      <c r="C36" s="1726" t="s">
        <v>4237</v>
      </c>
      <c r="D36" s="1727" t="s">
        <v>36</v>
      </c>
      <c r="E36" s="1728">
        <v>300</v>
      </c>
      <c r="F36" s="1729">
        <v>170</v>
      </c>
      <c r="G36" s="1730">
        <v>170</v>
      </c>
      <c r="H36" s="1731">
        <f>+E36*F36</f>
        <v>51000</v>
      </c>
      <c r="I36" s="1731">
        <f t="shared" si="0"/>
        <v>51000</v>
      </c>
      <c r="J36" s="1732">
        <v>300</v>
      </c>
      <c r="K36" s="1099">
        <f>J36*G36</f>
        <v>51000</v>
      </c>
      <c r="L36" s="1733">
        <v>0</v>
      </c>
      <c r="M36" s="1734">
        <f>L36*F36</f>
        <v>0</v>
      </c>
      <c r="N36" s="1100">
        <f>J36+L36</f>
        <v>300</v>
      </c>
      <c r="O36" s="1213">
        <f>N36*G36</f>
        <v>51000</v>
      </c>
      <c r="P36" s="1735">
        <f>+IF(D36=0,"",O36/I36)</f>
        <v>1</v>
      </c>
      <c r="Q36" s="1736">
        <f>E36-N36</f>
        <v>0</v>
      </c>
      <c r="R36" s="1101">
        <f>ROUND((Q36*F36),2)</f>
        <v>0</v>
      </c>
      <c r="S36" s="1737">
        <f>+IF(H36=0,"",R36/H36)</f>
        <v>0</v>
      </c>
      <c r="T36" s="1097">
        <f t="shared" si="1"/>
        <v>51000</v>
      </c>
      <c r="U36" s="1097">
        <f>+H36</f>
        <v>51000</v>
      </c>
      <c r="V36" s="1097">
        <f t="shared" si="2"/>
        <v>0</v>
      </c>
    </row>
    <row r="37" spans="1:24" s="496" customFormat="1" ht="15.6" customHeight="1">
      <c r="B37" s="1116"/>
      <c r="C37" s="1180" t="s">
        <v>59</v>
      </c>
      <c r="D37" s="1181"/>
      <c r="E37" s="1181"/>
      <c r="F37" s="1181"/>
      <c r="G37" s="1181"/>
      <c r="H37" s="1182">
        <f>(SUM(H16:H36))</f>
        <v>164897.29999999999</v>
      </c>
      <c r="I37" s="1182">
        <f>(SUM(I16:I36))</f>
        <v>165006.5</v>
      </c>
      <c r="J37" s="1699">
        <f>K37/I37</f>
        <v>1</v>
      </c>
      <c r="K37" s="1183">
        <f>SUM(K16:K36)</f>
        <v>165006.5</v>
      </c>
      <c r="L37" s="1184">
        <f>M37/H37</f>
        <v>0</v>
      </c>
      <c r="M37" s="1183">
        <f>SUM(M16:M36)</f>
        <v>0</v>
      </c>
      <c r="N37" s="1184">
        <f>O37/I37</f>
        <v>1</v>
      </c>
      <c r="O37" s="1183">
        <f>SUM(O16:O36)</f>
        <v>165006.5</v>
      </c>
      <c r="P37" s="1184"/>
      <c r="Q37" s="1117"/>
      <c r="R37" s="1182">
        <f>SUM(R16:R36)</f>
        <v>0</v>
      </c>
      <c r="S37" s="1221">
        <f>R37/I37</f>
        <v>0</v>
      </c>
      <c r="T37" s="497">
        <f>+R37+O37</f>
        <v>165006.5</v>
      </c>
      <c r="U37" s="497"/>
      <c r="V37" s="497"/>
      <c r="W37" s="497">
        <f>+H37</f>
        <v>164897.29999999999</v>
      </c>
      <c r="X37" s="497">
        <f>+T37-W37</f>
        <v>109.20000000001164</v>
      </c>
    </row>
    <row r="38" spans="1:24" s="496" customFormat="1" ht="14.45" customHeight="1">
      <c r="B38" s="1118"/>
      <c r="C38" s="1190" t="s">
        <v>256</v>
      </c>
      <c r="D38" s="1277"/>
      <c r="E38" s="1185"/>
      <c r="F38" s="1185"/>
      <c r="G38" s="1185"/>
      <c r="H38" s="1186">
        <v>100529.56</v>
      </c>
      <c r="I38" s="1186">
        <v>100529.56</v>
      </c>
      <c r="J38" s="1746"/>
      <c r="K38" s="1187">
        <f>+I38</f>
        <v>100529.56</v>
      </c>
      <c r="L38" s="1188"/>
      <c r="M38" s="1187">
        <v>0</v>
      </c>
      <c r="N38" s="1188"/>
      <c r="O38" s="1187">
        <f>K38+M38</f>
        <v>100529.56</v>
      </c>
      <c r="P38" s="1188"/>
      <c r="Q38" s="1136"/>
      <c r="R38" s="1186">
        <f>H38-O38</f>
        <v>0</v>
      </c>
      <c r="S38" s="1189"/>
      <c r="T38" s="497"/>
      <c r="U38" s="497"/>
      <c r="V38" s="497"/>
      <c r="W38" s="497"/>
    </row>
    <row r="39" spans="1:24" s="1096" customFormat="1" ht="15.75" customHeight="1" thickBot="1">
      <c r="B39" s="1119"/>
      <c r="C39" s="1609" t="s">
        <v>61</v>
      </c>
      <c r="D39" s="1120"/>
      <c r="E39" s="1120"/>
      <c r="F39" s="1120"/>
      <c r="G39" s="1120"/>
      <c r="H39" s="1121">
        <f>+H38+H37</f>
        <v>265426.86</v>
      </c>
      <c r="I39" s="1121">
        <f>+I38+I37</f>
        <v>265536.06</v>
      </c>
      <c r="J39" s="1124">
        <f>K39/I39</f>
        <v>1</v>
      </c>
      <c r="K39" s="1122">
        <f>+K38+K37</f>
        <v>265536.06</v>
      </c>
      <c r="L39" s="1124">
        <f>M39/H39</f>
        <v>0</v>
      </c>
      <c r="M39" s="1122">
        <f>+M38+M37</f>
        <v>0</v>
      </c>
      <c r="N39" s="1124">
        <f>O39/I39</f>
        <v>1</v>
      </c>
      <c r="O39" s="1122">
        <f>+O38+O37</f>
        <v>265536.06</v>
      </c>
      <c r="P39" s="1124"/>
      <c r="Q39" s="1123"/>
      <c r="R39" s="1121">
        <f>+R38+R37</f>
        <v>0</v>
      </c>
      <c r="S39" s="1747">
        <f>R39/H39</f>
        <v>0</v>
      </c>
      <c r="T39" s="497">
        <f>+H39</f>
        <v>265426.86</v>
      </c>
      <c r="U39" s="497"/>
      <c r="V39" s="497"/>
      <c r="W39" s="497">
        <f>+O39+R39</f>
        <v>265536.06</v>
      </c>
      <c r="X39" s="497">
        <f>+T39-W39</f>
        <v>-109.20000000001164</v>
      </c>
    </row>
    <row r="40" spans="1:24" s="496" customFormat="1" ht="12.75" hidden="1">
      <c r="B40" s="1108"/>
      <c r="C40" s="1110"/>
      <c r="D40" s="1111"/>
      <c r="E40" s="563"/>
      <c r="F40" s="1112"/>
      <c r="G40" s="1112"/>
      <c r="H40" s="1113"/>
      <c r="I40" s="1113"/>
      <c r="J40" s="1114"/>
      <c r="K40" s="1115"/>
      <c r="L40" s="1114"/>
      <c r="M40" s="1114"/>
      <c r="N40" s="1111"/>
      <c r="O40" s="1114"/>
      <c r="P40" s="1114"/>
      <c r="Q40" s="1112"/>
      <c r="R40" s="1110"/>
      <c r="S40" s="1110"/>
      <c r="T40" s="497"/>
      <c r="U40" s="497"/>
      <c r="V40" s="497"/>
    </row>
    <row r="41" spans="1:24" s="496" customFormat="1" ht="12.75" hidden="1">
      <c r="B41" s="1492"/>
      <c r="C41" s="1493"/>
      <c r="D41" s="565"/>
      <c r="E41" s="548"/>
      <c r="F41" s="1610"/>
      <c r="G41" s="1610"/>
      <c r="H41" s="1494"/>
      <c r="I41" s="1494"/>
      <c r="J41" s="1495"/>
      <c r="K41" s="565"/>
      <c r="L41" s="1495"/>
      <c r="M41" s="1495"/>
      <c r="N41" s="565"/>
      <c r="O41" s="1495"/>
      <c r="P41" s="1495"/>
      <c r="Q41" s="1610"/>
      <c r="R41" s="1493"/>
      <c r="S41" s="1493"/>
    </row>
    <row r="42" spans="1:24" s="496" customFormat="1" ht="13.15" hidden="1" customHeight="1">
      <c r="B42" s="1498"/>
      <c r="C42" s="1499"/>
      <c r="D42" s="2789" t="s">
        <v>62</v>
      </c>
      <c r="E42" s="2790"/>
      <c r="F42" s="2790"/>
      <c r="G42" s="2790"/>
      <c r="H42" s="2790"/>
      <c r="I42" s="2790"/>
      <c r="J42" s="2791"/>
      <c r="K42" s="1500">
        <f>+K37/H37</f>
        <v>1.0006622303700548</v>
      </c>
      <c r="L42" s="1502"/>
      <c r="M42" s="1503">
        <f>+M37/H37</f>
        <v>0</v>
      </c>
      <c r="N42" s="603"/>
      <c r="O42" s="1502"/>
      <c r="P42" s="1503">
        <f>+O37/H37</f>
        <v>1.0006622303700548</v>
      </c>
      <c r="Q42" s="1611"/>
      <c r="R42" s="1504"/>
      <c r="S42" s="1505">
        <f>+R37/H37</f>
        <v>0</v>
      </c>
      <c r="T42" s="1506"/>
      <c r="U42" s="1506"/>
      <c r="V42" s="1506"/>
    </row>
    <row r="43" spans="1:24" s="496" customFormat="1" hidden="1">
      <c r="B43" s="1492"/>
      <c r="C43" s="1493"/>
      <c r="D43" s="603"/>
      <c r="E43" s="1507"/>
      <c r="F43" s="620"/>
      <c r="G43" s="620"/>
      <c r="H43" s="1508"/>
      <c r="I43" s="1508"/>
      <c r="J43" s="603"/>
      <c r="K43" s="603"/>
      <c r="L43" s="1502"/>
      <c r="M43" s="1502"/>
      <c r="N43" s="603"/>
      <c r="O43" s="1502"/>
      <c r="P43" s="603"/>
      <c r="Q43" s="1611"/>
      <c r="R43" s="1504"/>
      <c r="S43" s="1509"/>
    </row>
    <row r="44" spans="1:24" s="496" customFormat="1" hidden="1">
      <c r="B44" s="1492"/>
      <c r="C44" s="1612" t="s">
        <v>1806</v>
      </c>
      <c r="D44" s="603">
        <v>0.13514169600000001</v>
      </c>
      <c r="E44" s="1507"/>
      <c r="F44" s="620"/>
      <c r="G44" s="620"/>
      <c r="H44" s="1508">
        <f>H37*D44</f>
        <v>22284.500787820798</v>
      </c>
      <c r="I44" s="1508"/>
      <c r="J44" s="603"/>
      <c r="K44" s="603"/>
      <c r="L44" s="1502"/>
      <c r="M44" s="1502"/>
      <c r="N44" s="603"/>
      <c r="O44" s="1502"/>
      <c r="P44" s="603"/>
      <c r="Q44" s="1611"/>
      <c r="R44" s="1504"/>
      <c r="S44" s="1509"/>
    </row>
    <row r="45" spans="1:24" s="496" customFormat="1" hidden="1">
      <c r="B45" s="1492"/>
      <c r="C45" s="1612" t="s">
        <v>1807</v>
      </c>
      <c r="D45" s="603">
        <v>2.5765203E-2</v>
      </c>
      <c r="E45" s="1507"/>
      <c r="F45" s="620"/>
      <c r="G45" s="620"/>
      <c r="H45" s="1508" t="e">
        <f>#REF!*D45</f>
        <v>#REF!</v>
      </c>
      <c r="I45" s="1508"/>
      <c r="J45" s="603"/>
      <c r="K45" s="603"/>
      <c r="L45" s="1502"/>
      <c r="M45" s="1502"/>
      <c r="N45" s="603"/>
      <c r="O45" s="1502"/>
      <c r="P45" s="603"/>
      <c r="Q45" s="1611"/>
      <c r="R45" s="1504"/>
      <c r="S45" s="1509"/>
    </row>
    <row r="46" spans="1:24" s="496" customFormat="1" hidden="1">
      <c r="B46" s="1492"/>
      <c r="C46" s="1612" t="s">
        <v>1808</v>
      </c>
      <c r="D46" s="603">
        <v>5.4089901000000003E-2</v>
      </c>
      <c r="E46" s="1507"/>
      <c r="F46" s="620"/>
      <c r="G46" s="620"/>
      <c r="H46" s="1508" t="e">
        <f>#REF!*D46</f>
        <v>#REF!</v>
      </c>
      <c r="I46" s="1508"/>
      <c r="J46" s="603"/>
      <c r="K46" s="603"/>
      <c r="L46" s="1502"/>
      <c r="M46" s="1502"/>
      <c r="N46" s="603"/>
      <c r="O46" s="1502"/>
      <c r="P46" s="603"/>
      <c r="Q46" s="1611"/>
      <c r="R46" s="1504"/>
      <c r="S46" s="1509"/>
    </row>
    <row r="47" spans="1:24" s="496" customFormat="1" hidden="1">
      <c r="B47" s="1492"/>
      <c r="C47" s="1612" t="s">
        <v>1809</v>
      </c>
      <c r="D47" s="603">
        <v>1.4803359E-2</v>
      </c>
      <c r="E47" s="1507"/>
      <c r="F47" s="620"/>
      <c r="G47" s="620"/>
      <c r="H47" s="1508" t="e">
        <f>#REF!*D47</f>
        <v>#REF!</v>
      </c>
      <c r="I47" s="1508"/>
      <c r="J47" s="603"/>
      <c r="K47" s="603"/>
      <c r="L47" s="1502"/>
      <c r="M47" s="1502"/>
      <c r="N47" s="603"/>
      <c r="O47" s="1502"/>
      <c r="P47" s="603"/>
      <c r="Q47" s="1611"/>
      <c r="R47" s="1504"/>
      <c r="S47" s="1509"/>
    </row>
    <row r="48" spans="1:24" s="496" customFormat="1" hidden="1">
      <c r="B48" s="1492"/>
      <c r="C48" s="1612" t="s">
        <v>1810</v>
      </c>
      <c r="D48" s="603">
        <v>3.2312274000000002E-2</v>
      </c>
      <c r="E48" s="1507"/>
      <c r="F48" s="620"/>
      <c r="G48" s="620"/>
      <c r="H48" s="1508" t="e">
        <f>#REF!*D48</f>
        <v>#REF!</v>
      </c>
      <c r="I48" s="1508"/>
      <c r="J48" s="603"/>
      <c r="K48" s="603"/>
      <c r="L48" s="1502"/>
      <c r="M48" s="1502"/>
      <c r="N48" s="603"/>
      <c r="O48" s="1502"/>
      <c r="P48" s="603"/>
      <c r="Q48" s="1611"/>
      <c r="R48" s="1504"/>
      <c r="S48" s="1509"/>
    </row>
    <row r="49" spans="2:19" s="496" customFormat="1" hidden="1">
      <c r="B49" s="1492"/>
      <c r="C49" s="1612" t="s">
        <v>1811</v>
      </c>
      <c r="D49" s="603"/>
      <c r="E49" s="1507"/>
      <c r="F49" s="620"/>
      <c r="G49" s="620"/>
      <c r="H49" s="1508"/>
      <c r="I49" s="1508"/>
      <c r="J49" s="603"/>
      <c r="K49" s="603"/>
      <c r="L49" s="1502"/>
      <c r="M49" s="1502"/>
      <c r="N49" s="603"/>
      <c r="O49" s="1502"/>
      <c r="P49" s="603"/>
      <c r="Q49" s="1611"/>
      <c r="R49" s="1504"/>
      <c r="S49" s="1509"/>
    </row>
    <row r="50" spans="2:19" s="496" customFormat="1" hidden="1">
      <c r="B50" s="1492"/>
      <c r="C50" s="1612" t="s">
        <v>1812</v>
      </c>
      <c r="D50" s="603"/>
      <c r="E50" s="1507"/>
      <c r="F50" s="620"/>
      <c r="G50" s="620"/>
      <c r="H50" s="1508"/>
      <c r="I50" s="1508"/>
      <c r="J50" s="603"/>
      <c r="K50" s="603"/>
      <c r="L50" s="1502"/>
      <c r="M50" s="1502"/>
      <c r="N50" s="603"/>
      <c r="O50" s="1502"/>
      <c r="P50" s="603"/>
      <c r="Q50" s="1611"/>
      <c r="R50" s="1504"/>
      <c r="S50" s="1509"/>
    </row>
    <row r="51" spans="2:19" s="496" customFormat="1" hidden="1">
      <c r="B51" s="1492"/>
      <c r="C51" s="1612" t="s">
        <v>1813</v>
      </c>
      <c r="D51" s="603"/>
      <c r="E51" s="1507"/>
      <c r="F51" s="620"/>
      <c r="G51" s="620"/>
      <c r="H51" s="1508"/>
      <c r="I51" s="1508"/>
      <c r="J51" s="603"/>
      <c r="K51" s="603"/>
      <c r="L51" s="1502"/>
      <c r="M51" s="1502"/>
      <c r="N51" s="603"/>
      <c r="O51" s="1502"/>
      <c r="P51" s="603"/>
      <c r="Q51" s="1611"/>
      <c r="R51" s="1504"/>
      <c r="S51" s="1509"/>
    </row>
    <row r="52" spans="2:19" s="496" customFormat="1" hidden="1">
      <c r="B52" s="1492"/>
      <c r="C52" s="1612" t="s">
        <v>1814</v>
      </c>
      <c r="D52" s="603"/>
      <c r="E52" s="1507"/>
      <c r="F52" s="620"/>
      <c r="G52" s="620"/>
      <c r="H52" s="1508"/>
      <c r="I52" s="1508"/>
      <c r="J52" s="603"/>
      <c r="K52" s="603"/>
      <c r="L52" s="1502"/>
      <c r="M52" s="1502"/>
      <c r="N52" s="603"/>
      <c r="O52" s="1502"/>
      <c r="P52" s="603"/>
      <c r="Q52" s="1611"/>
      <c r="R52" s="1504"/>
      <c r="S52" s="1509"/>
    </row>
    <row r="53" spans="2:19" s="496" customFormat="1" hidden="1">
      <c r="B53" s="1492"/>
      <c r="C53" s="1612" t="s">
        <v>1815</v>
      </c>
      <c r="D53" s="603"/>
      <c r="E53" s="1507"/>
      <c r="F53" s="620"/>
      <c r="G53" s="620"/>
      <c r="H53" s="1508"/>
      <c r="I53" s="1508"/>
      <c r="J53" s="603"/>
      <c r="K53" s="603"/>
      <c r="L53" s="1502"/>
      <c r="M53" s="1502"/>
      <c r="N53" s="603"/>
      <c r="O53" s="1502"/>
      <c r="P53" s="603"/>
      <c r="Q53" s="1611"/>
      <c r="R53" s="1504"/>
      <c r="S53" s="1509"/>
    </row>
    <row r="54" spans="2:19" s="496" customFormat="1" hidden="1">
      <c r="B54" s="1492"/>
      <c r="C54" s="1612" t="s">
        <v>1816</v>
      </c>
      <c r="D54" s="603"/>
      <c r="E54" s="1507"/>
      <c r="F54" s="620"/>
      <c r="G54" s="620"/>
      <c r="H54" s="1508"/>
      <c r="I54" s="1508"/>
      <c r="J54" s="603"/>
      <c r="K54" s="603"/>
      <c r="L54" s="1502"/>
      <c r="M54" s="1502"/>
      <c r="N54" s="603"/>
      <c r="O54" s="1502"/>
      <c r="P54" s="603"/>
      <c r="Q54" s="1611"/>
      <c r="R54" s="1504"/>
      <c r="S54" s="1509"/>
    </row>
    <row r="55" spans="2:19" s="496" customFormat="1" ht="12.75" hidden="1">
      <c r="B55" s="1613"/>
      <c r="C55" s="1613"/>
      <c r="D55" s="1614"/>
      <c r="E55" s="1615"/>
      <c r="F55" s="1615"/>
      <c r="G55" s="1615"/>
      <c r="H55" s="1615"/>
      <c r="I55" s="1615"/>
      <c r="J55" s="1616"/>
      <c r="K55" s="1617"/>
      <c r="L55" s="1616"/>
      <c r="M55" s="1617"/>
      <c r="N55" s="1616"/>
      <c r="O55" s="1617"/>
      <c r="P55" s="1619"/>
      <c r="Q55" s="1620"/>
      <c r="R55" s="1620"/>
      <c r="S55" s="1621"/>
    </row>
    <row r="56" spans="2:19" s="496" customFormat="1" ht="12.75">
      <c r="D56" s="1054"/>
      <c r="E56" s="497"/>
      <c r="F56" s="497"/>
      <c r="G56" s="497"/>
      <c r="H56" s="497"/>
      <c r="I56" s="497"/>
      <c r="J56" s="1054"/>
      <c r="K56" s="1054"/>
      <c r="L56" s="1054"/>
      <c r="M56" s="1054"/>
      <c r="N56" s="1054"/>
      <c r="O56" s="1054"/>
      <c r="P56" s="1054"/>
      <c r="R56" s="497"/>
    </row>
    <row r="57" spans="2:19" s="16" customFormat="1">
      <c r="D57" s="74"/>
      <c r="E57" s="23"/>
      <c r="F57" s="23"/>
      <c r="G57" s="23"/>
      <c r="I57" s="1748">
        <f>I37-H37</f>
        <v>109.20000000001164</v>
      </c>
      <c r="J57" s="1079"/>
      <c r="K57" s="74"/>
      <c r="L57" s="1201"/>
      <c r="M57" s="462"/>
      <c r="N57" s="462"/>
      <c r="O57" s="462"/>
      <c r="P57" s="462"/>
      <c r="R57" s="23"/>
    </row>
    <row r="58" spans="2:19" s="16" customFormat="1">
      <c r="D58" s="74"/>
      <c r="E58" s="23"/>
      <c r="F58" s="23"/>
      <c r="G58" s="23"/>
      <c r="H58" s="23"/>
      <c r="I58" s="23"/>
      <c r="J58" s="1079"/>
      <c r="K58" s="1624"/>
      <c r="L58" s="1201"/>
      <c r="M58" s="1512"/>
      <c r="N58" s="462"/>
      <c r="O58" s="462"/>
      <c r="P58" s="462"/>
      <c r="R58" s="23"/>
    </row>
    <row r="59" spans="2:19" s="16" customFormat="1">
      <c r="D59" s="1514"/>
      <c r="E59" s="23"/>
      <c r="F59" s="23"/>
      <c r="G59" s="23"/>
      <c r="H59" s="23">
        <v>15398736.550000001</v>
      </c>
      <c r="I59" s="23"/>
      <c r="J59" s="1080"/>
      <c r="K59" s="1749"/>
      <c r="L59" s="1201"/>
      <c r="M59" s="462"/>
      <c r="N59" s="1750">
        <v>50558.33</v>
      </c>
      <c r="O59" s="462"/>
      <c r="P59" s="462"/>
      <c r="S59" s="167"/>
    </row>
    <row r="60" spans="2:19" s="16" customFormat="1">
      <c r="D60" s="74"/>
      <c r="E60" s="23"/>
      <c r="F60" s="23"/>
      <c r="G60" s="23"/>
      <c r="H60" s="23"/>
      <c r="I60" s="23"/>
      <c r="J60" s="1080"/>
      <c r="K60" s="1624"/>
      <c r="L60" s="1201"/>
      <c r="M60" s="462"/>
      <c r="N60" s="462">
        <v>50558.33</v>
      </c>
      <c r="O60" s="462"/>
      <c r="P60" s="462"/>
      <c r="R60" s="23"/>
    </row>
    <row r="61" spans="2:19" s="16" customFormat="1">
      <c r="H61" s="23">
        <f>+H59-H37</f>
        <v>15233839.25</v>
      </c>
      <c r="I61" s="23"/>
      <c r="J61" s="1080"/>
      <c r="K61" s="1178"/>
      <c r="L61" s="1201"/>
      <c r="M61" s="462"/>
      <c r="N61" s="462"/>
      <c r="O61" s="462"/>
      <c r="P61" s="462"/>
    </row>
    <row r="62" spans="2:19">
      <c r="H62" s="1518"/>
      <c r="I62" s="1518"/>
      <c r="J62" s="1518"/>
      <c r="K62" s="1178"/>
      <c r="M62" s="1519"/>
      <c r="N62" s="1519"/>
      <c r="O62" s="1519"/>
      <c r="P62" s="1519"/>
      <c r="Q62" s="1519"/>
    </row>
    <row r="63" spans="2:19">
      <c r="H63" s="1518"/>
      <c r="I63" s="1518"/>
      <c r="J63" s="1518"/>
      <c r="K63" s="1178"/>
      <c r="L63" s="1098"/>
      <c r="M63" s="1519"/>
      <c r="N63" s="1519"/>
      <c r="O63" s="1519"/>
      <c r="P63" s="1519"/>
      <c r="Q63" s="1519"/>
    </row>
    <row r="64" spans="2:19">
      <c r="H64" s="1518"/>
      <c r="I64" s="1518"/>
      <c r="J64" s="1518"/>
      <c r="K64" s="1179"/>
      <c r="L64" s="1098"/>
      <c r="M64" s="1519"/>
      <c r="N64" s="1519"/>
      <c r="O64" s="1519"/>
      <c r="P64" s="1519"/>
      <c r="Q64" s="1519"/>
    </row>
    <row r="65" spans="4:17" ht="15.75">
      <c r="D65" s="1088"/>
      <c r="H65" s="1518"/>
      <c r="I65" s="1518"/>
      <c r="J65" s="1518"/>
      <c r="K65" s="1161"/>
      <c r="L65" s="1098"/>
      <c r="M65" s="1519"/>
      <c r="N65" s="1519"/>
      <c r="O65" s="1519"/>
      <c r="P65" s="1519"/>
      <c r="Q65" s="1519"/>
    </row>
    <row r="66" spans="4:17">
      <c r="H66" s="1518"/>
      <c r="I66" s="1518"/>
      <c r="J66" s="1518"/>
      <c r="K66" s="16"/>
      <c r="L66" s="1098"/>
      <c r="M66" s="1519"/>
      <c r="N66" s="1519"/>
      <c r="O66" s="1519"/>
      <c r="P66" s="1519"/>
      <c r="Q66" s="1519"/>
    </row>
    <row r="67" spans="4:17">
      <c r="H67" s="1518"/>
      <c r="I67" s="1518"/>
      <c r="J67" s="1518"/>
      <c r="K67" s="1518"/>
      <c r="L67" s="1098"/>
      <c r="M67" s="1519"/>
      <c r="N67" s="1519"/>
      <c r="O67" s="1519"/>
      <c r="P67" s="1519"/>
      <c r="Q67" s="1519"/>
    </row>
    <row r="68" spans="4:17">
      <c r="H68" s="1518"/>
      <c r="I68" s="1518"/>
      <c r="J68" s="1518"/>
      <c r="K68" s="1518"/>
      <c r="L68" s="1098"/>
      <c r="M68" s="1519"/>
      <c r="N68" s="1519"/>
      <c r="O68" s="1519"/>
      <c r="P68" s="1519"/>
      <c r="Q68" s="1519"/>
    </row>
    <row r="69" spans="4:17">
      <c r="H69" s="1518"/>
      <c r="I69" s="1518"/>
      <c r="J69" s="1518"/>
      <c r="K69" s="1518"/>
      <c r="L69" s="1098"/>
      <c r="M69" s="1519"/>
      <c r="N69" s="1519"/>
      <c r="O69" s="1519"/>
      <c r="P69" s="1519"/>
      <c r="Q69" s="1519"/>
    </row>
    <row r="70" spans="4:17">
      <c r="H70" s="1518"/>
      <c r="I70" s="1518"/>
      <c r="J70" s="1518"/>
      <c r="K70" s="1518"/>
      <c r="L70" s="1098"/>
      <c r="M70" s="1519"/>
      <c r="N70" s="1519"/>
      <c r="O70" s="1519"/>
      <c r="P70" s="1519"/>
      <c r="Q70" s="1519"/>
    </row>
    <row r="71" spans="4:17">
      <c r="H71" s="1518"/>
      <c r="I71" s="1518"/>
      <c r="J71" s="1518"/>
      <c r="K71" s="1518"/>
      <c r="L71" s="1098"/>
      <c r="M71" s="1519"/>
      <c r="N71" s="1519"/>
      <c r="O71" s="1519"/>
      <c r="P71" s="1519"/>
      <c r="Q71" s="1519"/>
    </row>
    <row r="72" spans="4:17">
      <c r="H72" s="1518"/>
      <c r="I72" s="1518"/>
      <c r="J72" s="1518"/>
      <c r="K72" s="1520"/>
      <c r="L72" s="1098"/>
      <c r="M72" s="1519"/>
      <c r="N72" s="1519"/>
      <c r="O72" s="1519"/>
      <c r="P72" s="1519"/>
      <c r="Q72" s="1519"/>
    </row>
    <row r="73" spans="4:17">
      <c r="H73" s="1518"/>
      <c r="I73" s="1518"/>
      <c r="J73" s="1518"/>
      <c r="K73" s="1518"/>
      <c r="L73" s="1098"/>
      <c r="M73" s="1519"/>
      <c r="N73" s="1519"/>
      <c r="O73" s="1519"/>
      <c r="P73" s="1519"/>
      <c r="Q73" s="1519"/>
    </row>
  </sheetData>
  <autoFilter ref="A14:S39" xr:uid="{00000000-0009-0000-0000-00001B000000}"/>
  <mergeCells count="31">
    <mergeCell ref="B10:B13"/>
    <mergeCell ref="C10:C13"/>
    <mergeCell ref="D10:D13"/>
    <mergeCell ref="E10:H11"/>
    <mergeCell ref="J10:P10"/>
    <mergeCell ref="B1:S1"/>
    <mergeCell ref="B2:S2"/>
    <mergeCell ref="B3:S3"/>
    <mergeCell ref="E4:O4"/>
    <mergeCell ref="R4:S4"/>
    <mergeCell ref="Q10:S11"/>
    <mergeCell ref="J11:K11"/>
    <mergeCell ref="L11:M11"/>
    <mergeCell ref="N11:P11"/>
    <mergeCell ref="E12:E13"/>
    <mergeCell ref="F12:F13"/>
    <mergeCell ref="G12:G13"/>
    <mergeCell ref="H12:H13"/>
    <mergeCell ref="I12:I13"/>
    <mergeCell ref="J12:J13"/>
    <mergeCell ref="Q12:Q13"/>
    <mergeCell ref="R12:R13"/>
    <mergeCell ref="S12:S13"/>
    <mergeCell ref="W12:Y12"/>
    <mergeCell ref="D42:J42"/>
    <mergeCell ref="K12:K13"/>
    <mergeCell ref="L12:L13"/>
    <mergeCell ref="M12:M13"/>
    <mergeCell ref="N12:N13"/>
    <mergeCell ref="O12:O13"/>
    <mergeCell ref="P12:P13"/>
  </mergeCells>
  <conditionalFormatting sqref="S2 S4:S1048576">
    <cfRule type="cellIs" dxfId="23" priority="3" operator="lessThan">
      <formula>0</formula>
    </cfRule>
  </conditionalFormatting>
  <conditionalFormatting sqref="Q2 Q4:Q1048576">
    <cfRule type="cellIs" dxfId="22" priority="1" operator="lessThan">
      <formula>0</formula>
    </cfRule>
    <cfRule type="cellIs" dxfId="21" priority="2" operator="lessThan">
      <formula>0</formula>
    </cfRule>
  </conditionalFormatting>
  <pageMargins left="3.937007874015748E-2" right="3.937007874015748E-2" top="0.59055118110236227" bottom="1.0236220472440944" header="0.31496062992125984" footer="0.31496062992125984"/>
  <pageSetup paperSize="9" scale="52" fitToHeight="0" orientation="landscape" r:id="rId1"/>
  <rowBreaks count="1" manualBreakCount="1">
    <brk id="57" min="1" max="17" man="1"/>
  </rowBreak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002060"/>
  </sheetPr>
  <dimension ref="A1:AA98"/>
  <sheetViews>
    <sheetView view="pageBreakPreview" topLeftCell="D10" zoomScale="85" zoomScaleNormal="70" zoomScaleSheetLayoutView="85" workbookViewId="0">
      <pane ySplit="1335" topLeftCell="A13" activePane="bottomLeft"/>
      <selection activeCell="C10" sqref="C10"/>
      <selection pane="bottomLeft" activeCell="M56" sqref="M56"/>
    </sheetView>
  </sheetViews>
  <sheetFormatPr baseColWidth="10" defaultRowHeight="13.5"/>
  <cols>
    <col min="1" max="1" width="2.5703125" style="1083" customWidth="1"/>
    <col min="2" max="2" width="10.140625" style="1083" customWidth="1"/>
    <col min="3" max="3" width="64.42578125" style="1092" customWidth="1"/>
    <col min="4" max="4" width="10.5703125" style="1085" customWidth="1"/>
    <col min="5" max="5" width="12.85546875" style="1093" customWidth="1"/>
    <col min="6" max="7" width="13.42578125" style="1093" customWidth="1"/>
    <col min="8" max="8" width="15" style="1093" hidden="1" customWidth="1"/>
    <col min="9" max="9" width="15" style="1093" customWidth="1"/>
    <col min="10" max="10" width="12.5703125" style="1085" customWidth="1"/>
    <col min="11" max="11" width="16.42578125" style="1085" customWidth="1"/>
    <col min="12" max="12" width="12.42578125" style="1274" customWidth="1"/>
    <col min="13" max="13" width="14.85546875" style="1085" customWidth="1"/>
    <col min="14" max="14" width="12" style="1085" customWidth="1"/>
    <col min="15" max="15" width="16.42578125" style="1085" customWidth="1"/>
    <col min="16" max="16" width="13.42578125" style="1085" customWidth="1"/>
    <col min="17" max="17" width="12.42578125" style="1083" customWidth="1"/>
    <col min="18" max="18" width="13.5703125" style="1083" customWidth="1"/>
    <col min="19" max="19" width="12.5703125" style="1083" customWidth="1"/>
    <col min="20" max="20" width="13" style="1083" bestFit="1" customWidth="1"/>
    <col min="21" max="22" width="13" style="1083" customWidth="1"/>
    <col min="23" max="23" width="10.85546875" style="1085"/>
    <col min="24" max="24" width="10.85546875" style="1083"/>
    <col min="25" max="25" width="14.140625" style="1083" customWidth="1"/>
    <col min="26" max="261" width="10.85546875" style="1083"/>
    <col min="262" max="262" width="8.85546875" style="1083" customWidth="1"/>
    <col min="263" max="263" width="50" style="1083" customWidth="1"/>
    <col min="264" max="264" width="6.42578125" style="1083" bestFit="1" customWidth="1"/>
    <col min="265" max="265" width="8.85546875" style="1083" customWidth="1"/>
    <col min="266" max="266" width="8.5703125" style="1083" customWidth="1"/>
    <col min="267" max="267" width="11.42578125" style="1083" bestFit="1" customWidth="1"/>
    <col min="268" max="268" width="7.85546875" style="1083" bestFit="1" customWidth="1"/>
    <col min="269" max="269" width="11.5703125" style="1083" bestFit="1" customWidth="1"/>
    <col min="270" max="270" width="8" style="1083" bestFit="1" customWidth="1"/>
    <col min="271" max="271" width="11.5703125" style="1083" bestFit="1" customWidth="1"/>
    <col min="272" max="272" width="8.140625" style="1083" bestFit="1" customWidth="1"/>
    <col min="273" max="273" width="11.5703125" style="1083" bestFit="1" customWidth="1"/>
    <col min="274" max="274" width="8.42578125" style="1083" customWidth="1"/>
    <col min="275" max="275" width="7.42578125" style="1083" bestFit="1" customWidth="1"/>
    <col min="276" max="276" width="11.5703125" style="1083" bestFit="1" customWidth="1"/>
    <col min="277" max="277" width="8.140625" style="1083" customWidth="1"/>
    <col min="278" max="278" width="13" style="1083" bestFit="1" customWidth="1"/>
    <col min="279" max="517" width="10.85546875" style="1083"/>
    <col min="518" max="518" width="8.85546875" style="1083" customWidth="1"/>
    <col min="519" max="519" width="50" style="1083" customWidth="1"/>
    <col min="520" max="520" width="6.42578125" style="1083" bestFit="1" customWidth="1"/>
    <col min="521" max="521" width="8.85546875" style="1083" customWidth="1"/>
    <col min="522" max="522" width="8.5703125" style="1083" customWidth="1"/>
    <col min="523" max="523" width="11.42578125" style="1083" bestFit="1" customWidth="1"/>
    <col min="524" max="524" width="7.85546875" style="1083" bestFit="1" customWidth="1"/>
    <col min="525" max="525" width="11.5703125" style="1083" bestFit="1" customWidth="1"/>
    <col min="526" max="526" width="8" style="1083" bestFit="1" customWidth="1"/>
    <col min="527" max="527" width="11.5703125" style="1083" bestFit="1" customWidth="1"/>
    <col min="528" max="528" width="8.140625" style="1083" bestFit="1" customWidth="1"/>
    <col min="529" max="529" width="11.5703125" style="1083" bestFit="1" customWidth="1"/>
    <col min="530" max="530" width="8.42578125" style="1083" customWidth="1"/>
    <col min="531" max="531" width="7.42578125" style="1083" bestFit="1" customWidth="1"/>
    <col min="532" max="532" width="11.5703125" style="1083" bestFit="1" customWidth="1"/>
    <col min="533" max="533" width="8.140625" style="1083" customWidth="1"/>
    <col min="534" max="534" width="13" style="1083" bestFit="1" customWidth="1"/>
    <col min="535" max="773" width="10.85546875" style="1083"/>
    <col min="774" max="774" width="8.85546875" style="1083" customWidth="1"/>
    <col min="775" max="775" width="50" style="1083" customWidth="1"/>
    <col min="776" max="776" width="6.42578125" style="1083" bestFit="1" customWidth="1"/>
    <col min="777" max="777" width="8.85546875" style="1083" customWidth="1"/>
    <col min="778" max="778" width="8.5703125" style="1083" customWidth="1"/>
    <col min="779" max="779" width="11.42578125" style="1083" bestFit="1" customWidth="1"/>
    <col min="780" max="780" width="7.85546875" style="1083" bestFit="1" customWidth="1"/>
    <col min="781" max="781" width="11.5703125" style="1083" bestFit="1" customWidth="1"/>
    <col min="782" max="782" width="8" style="1083" bestFit="1" customWidth="1"/>
    <col min="783" max="783" width="11.5703125" style="1083" bestFit="1" customWidth="1"/>
    <col min="784" max="784" width="8.140625" style="1083" bestFit="1" customWidth="1"/>
    <col min="785" max="785" width="11.5703125" style="1083" bestFit="1" customWidth="1"/>
    <col min="786" max="786" width="8.42578125" style="1083" customWidth="1"/>
    <col min="787" max="787" width="7.42578125" style="1083" bestFit="1" customWidth="1"/>
    <col min="788" max="788" width="11.5703125" style="1083" bestFit="1" customWidth="1"/>
    <col min="789" max="789" width="8.140625" style="1083" customWidth="1"/>
    <col min="790" max="790" width="13" style="1083" bestFit="1" customWidth="1"/>
    <col min="791" max="1029" width="10.85546875" style="1083"/>
    <col min="1030" max="1030" width="8.85546875" style="1083" customWidth="1"/>
    <col min="1031" max="1031" width="50" style="1083" customWidth="1"/>
    <col min="1032" max="1032" width="6.42578125" style="1083" bestFit="1" customWidth="1"/>
    <col min="1033" max="1033" width="8.85546875" style="1083" customWidth="1"/>
    <col min="1034" max="1034" width="8.5703125" style="1083" customWidth="1"/>
    <col min="1035" max="1035" width="11.42578125" style="1083" bestFit="1" customWidth="1"/>
    <col min="1036" max="1036" width="7.85546875" style="1083" bestFit="1" customWidth="1"/>
    <col min="1037" max="1037" width="11.5703125" style="1083" bestFit="1" customWidth="1"/>
    <col min="1038" max="1038" width="8" style="1083" bestFit="1" customWidth="1"/>
    <col min="1039" max="1039" width="11.5703125" style="1083" bestFit="1" customWidth="1"/>
    <col min="1040" max="1040" width="8.140625" style="1083" bestFit="1" customWidth="1"/>
    <col min="1041" max="1041" width="11.5703125" style="1083" bestFit="1" customWidth="1"/>
    <col min="1042" max="1042" width="8.42578125" style="1083" customWidth="1"/>
    <col min="1043" max="1043" width="7.42578125" style="1083" bestFit="1" customWidth="1"/>
    <col min="1044" max="1044" width="11.5703125" style="1083" bestFit="1" customWidth="1"/>
    <col min="1045" max="1045" width="8.140625" style="1083" customWidth="1"/>
    <col min="1046" max="1046" width="13" style="1083" bestFit="1" customWidth="1"/>
    <col min="1047" max="1285" width="10.85546875" style="1083"/>
    <col min="1286" max="1286" width="8.85546875" style="1083" customWidth="1"/>
    <col min="1287" max="1287" width="50" style="1083" customWidth="1"/>
    <col min="1288" max="1288" width="6.42578125" style="1083" bestFit="1" customWidth="1"/>
    <col min="1289" max="1289" width="8.85546875" style="1083" customWidth="1"/>
    <col min="1290" max="1290" width="8.5703125" style="1083" customWidth="1"/>
    <col min="1291" max="1291" width="11.42578125" style="1083" bestFit="1" customWidth="1"/>
    <col min="1292" max="1292" width="7.85546875" style="1083" bestFit="1" customWidth="1"/>
    <col min="1293" max="1293" width="11.5703125" style="1083" bestFit="1" customWidth="1"/>
    <col min="1294" max="1294" width="8" style="1083" bestFit="1" customWidth="1"/>
    <col min="1295" max="1295" width="11.5703125" style="1083" bestFit="1" customWidth="1"/>
    <col min="1296" max="1296" width="8.140625" style="1083" bestFit="1" customWidth="1"/>
    <col min="1297" max="1297" width="11.5703125" style="1083" bestFit="1" customWidth="1"/>
    <col min="1298" max="1298" width="8.42578125" style="1083" customWidth="1"/>
    <col min="1299" max="1299" width="7.42578125" style="1083" bestFit="1" customWidth="1"/>
    <col min="1300" max="1300" width="11.5703125" style="1083" bestFit="1" customWidth="1"/>
    <col min="1301" max="1301" width="8.140625" style="1083" customWidth="1"/>
    <col min="1302" max="1302" width="13" style="1083" bestFit="1" customWidth="1"/>
    <col min="1303" max="1541" width="10.85546875" style="1083"/>
    <col min="1542" max="1542" width="8.85546875" style="1083" customWidth="1"/>
    <col min="1543" max="1543" width="50" style="1083" customWidth="1"/>
    <col min="1544" max="1544" width="6.42578125" style="1083" bestFit="1" customWidth="1"/>
    <col min="1545" max="1545" width="8.85546875" style="1083" customWidth="1"/>
    <col min="1546" max="1546" width="8.5703125" style="1083" customWidth="1"/>
    <col min="1547" max="1547" width="11.42578125" style="1083" bestFit="1" customWidth="1"/>
    <col min="1548" max="1548" width="7.85546875" style="1083" bestFit="1" customWidth="1"/>
    <col min="1549" max="1549" width="11.5703125" style="1083" bestFit="1" customWidth="1"/>
    <col min="1550" max="1550" width="8" style="1083" bestFit="1" customWidth="1"/>
    <col min="1551" max="1551" width="11.5703125" style="1083" bestFit="1" customWidth="1"/>
    <col min="1552" max="1552" width="8.140625" style="1083" bestFit="1" customWidth="1"/>
    <col min="1553" max="1553" width="11.5703125" style="1083" bestFit="1" customWidth="1"/>
    <col min="1554" max="1554" width="8.42578125" style="1083" customWidth="1"/>
    <col min="1555" max="1555" width="7.42578125" style="1083" bestFit="1" customWidth="1"/>
    <col min="1556" max="1556" width="11.5703125" style="1083" bestFit="1" customWidth="1"/>
    <col min="1557" max="1557" width="8.140625" style="1083" customWidth="1"/>
    <col min="1558" max="1558" width="13" style="1083" bestFit="1" customWidth="1"/>
    <col min="1559" max="1797" width="10.85546875" style="1083"/>
    <col min="1798" max="1798" width="8.85546875" style="1083" customWidth="1"/>
    <col min="1799" max="1799" width="50" style="1083" customWidth="1"/>
    <col min="1800" max="1800" width="6.42578125" style="1083" bestFit="1" customWidth="1"/>
    <col min="1801" max="1801" width="8.85546875" style="1083" customWidth="1"/>
    <col min="1802" max="1802" width="8.5703125" style="1083" customWidth="1"/>
    <col min="1803" max="1803" width="11.42578125" style="1083" bestFit="1" customWidth="1"/>
    <col min="1804" max="1804" width="7.85546875" style="1083" bestFit="1" customWidth="1"/>
    <col min="1805" max="1805" width="11.5703125" style="1083" bestFit="1" customWidth="1"/>
    <col min="1806" max="1806" width="8" style="1083" bestFit="1" customWidth="1"/>
    <col min="1807" max="1807" width="11.5703125" style="1083" bestFit="1" customWidth="1"/>
    <col min="1808" max="1808" width="8.140625" style="1083" bestFit="1" customWidth="1"/>
    <col min="1809" max="1809" width="11.5703125" style="1083" bestFit="1" customWidth="1"/>
    <col min="1810" max="1810" width="8.42578125" style="1083" customWidth="1"/>
    <col min="1811" max="1811" width="7.42578125" style="1083" bestFit="1" customWidth="1"/>
    <col min="1812" max="1812" width="11.5703125" style="1083" bestFit="1" customWidth="1"/>
    <col min="1813" max="1813" width="8.140625" style="1083" customWidth="1"/>
    <col min="1814" max="1814" width="13" style="1083" bestFit="1" customWidth="1"/>
    <col min="1815" max="2053" width="10.85546875" style="1083"/>
    <col min="2054" max="2054" width="8.85546875" style="1083" customWidth="1"/>
    <col min="2055" max="2055" width="50" style="1083" customWidth="1"/>
    <col min="2056" max="2056" width="6.42578125" style="1083" bestFit="1" customWidth="1"/>
    <col min="2057" max="2057" width="8.85546875" style="1083" customWidth="1"/>
    <col min="2058" max="2058" width="8.5703125" style="1083" customWidth="1"/>
    <col min="2059" max="2059" width="11.42578125" style="1083" bestFit="1" customWidth="1"/>
    <col min="2060" max="2060" width="7.85546875" style="1083" bestFit="1" customWidth="1"/>
    <col min="2061" max="2061" width="11.5703125" style="1083" bestFit="1" customWidth="1"/>
    <col min="2062" max="2062" width="8" style="1083" bestFit="1" customWidth="1"/>
    <col min="2063" max="2063" width="11.5703125" style="1083" bestFit="1" customWidth="1"/>
    <col min="2064" max="2064" width="8.140625" style="1083" bestFit="1" customWidth="1"/>
    <col min="2065" max="2065" width="11.5703125" style="1083" bestFit="1" customWidth="1"/>
    <col min="2066" max="2066" width="8.42578125" style="1083" customWidth="1"/>
    <col min="2067" max="2067" width="7.42578125" style="1083" bestFit="1" customWidth="1"/>
    <col min="2068" max="2068" width="11.5703125" style="1083" bestFit="1" customWidth="1"/>
    <col min="2069" max="2069" width="8.140625" style="1083" customWidth="1"/>
    <col min="2070" max="2070" width="13" style="1083" bestFit="1" customWidth="1"/>
    <col min="2071" max="2309" width="10.85546875" style="1083"/>
    <col min="2310" max="2310" width="8.85546875" style="1083" customWidth="1"/>
    <col min="2311" max="2311" width="50" style="1083" customWidth="1"/>
    <col min="2312" max="2312" width="6.42578125" style="1083" bestFit="1" customWidth="1"/>
    <col min="2313" max="2313" width="8.85546875" style="1083" customWidth="1"/>
    <col min="2314" max="2314" width="8.5703125" style="1083" customWidth="1"/>
    <col min="2315" max="2315" width="11.42578125" style="1083" bestFit="1" customWidth="1"/>
    <col min="2316" max="2316" width="7.85546875" style="1083" bestFit="1" customWidth="1"/>
    <col min="2317" max="2317" width="11.5703125" style="1083" bestFit="1" customWidth="1"/>
    <col min="2318" max="2318" width="8" style="1083" bestFit="1" customWidth="1"/>
    <col min="2319" max="2319" width="11.5703125" style="1083" bestFit="1" customWidth="1"/>
    <col min="2320" max="2320" width="8.140625" style="1083" bestFit="1" customWidth="1"/>
    <col min="2321" max="2321" width="11.5703125" style="1083" bestFit="1" customWidth="1"/>
    <col min="2322" max="2322" width="8.42578125" style="1083" customWidth="1"/>
    <col min="2323" max="2323" width="7.42578125" style="1083" bestFit="1" customWidth="1"/>
    <col min="2324" max="2324" width="11.5703125" style="1083" bestFit="1" customWidth="1"/>
    <col min="2325" max="2325" width="8.140625" style="1083" customWidth="1"/>
    <col min="2326" max="2326" width="13" style="1083" bestFit="1" customWidth="1"/>
    <col min="2327" max="2565" width="10.85546875" style="1083"/>
    <col min="2566" max="2566" width="8.85546875" style="1083" customWidth="1"/>
    <col min="2567" max="2567" width="50" style="1083" customWidth="1"/>
    <col min="2568" max="2568" width="6.42578125" style="1083" bestFit="1" customWidth="1"/>
    <col min="2569" max="2569" width="8.85546875" style="1083" customWidth="1"/>
    <col min="2570" max="2570" width="8.5703125" style="1083" customWidth="1"/>
    <col min="2571" max="2571" width="11.42578125" style="1083" bestFit="1" customWidth="1"/>
    <col min="2572" max="2572" width="7.85546875" style="1083" bestFit="1" customWidth="1"/>
    <col min="2573" max="2573" width="11.5703125" style="1083" bestFit="1" customWidth="1"/>
    <col min="2574" max="2574" width="8" style="1083" bestFit="1" customWidth="1"/>
    <col min="2575" max="2575" width="11.5703125" style="1083" bestFit="1" customWidth="1"/>
    <col min="2576" max="2576" width="8.140625" style="1083" bestFit="1" customWidth="1"/>
    <col min="2577" max="2577" width="11.5703125" style="1083" bestFit="1" customWidth="1"/>
    <col min="2578" max="2578" width="8.42578125" style="1083" customWidth="1"/>
    <col min="2579" max="2579" width="7.42578125" style="1083" bestFit="1" customWidth="1"/>
    <col min="2580" max="2580" width="11.5703125" style="1083" bestFit="1" customWidth="1"/>
    <col min="2581" max="2581" width="8.140625" style="1083" customWidth="1"/>
    <col min="2582" max="2582" width="13" style="1083" bestFit="1" customWidth="1"/>
    <col min="2583" max="2821" width="10.85546875" style="1083"/>
    <col min="2822" max="2822" width="8.85546875" style="1083" customWidth="1"/>
    <col min="2823" max="2823" width="50" style="1083" customWidth="1"/>
    <col min="2824" max="2824" width="6.42578125" style="1083" bestFit="1" customWidth="1"/>
    <col min="2825" max="2825" width="8.85546875" style="1083" customWidth="1"/>
    <col min="2826" max="2826" width="8.5703125" style="1083" customWidth="1"/>
    <col min="2827" max="2827" width="11.42578125" style="1083" bestFit="1" customWidth="1"/>
    <col min="2828" max="2828" width="7.85546875" style="1083" bestFit="1" customWidth="1"/>
    <col min="2829" max="2829" width="11.5703125" style="1083" bestFit="1" customWidth="1"/>
    <col min="2830" max="2830" width="8" style="1083" bestFit="1" customWidth="1"/>
    <col min="2831" max="2831" width="11.5703125" style="1083" bestFit="1" customWidth="1"/>
    <col min="2832" max="2832" width="8.140625" style="1083" bestFit="1" customWidth="1"/>
    <col min="2833" max="2833" width="11.5703125" style="1083" bestFit="1" customWidth="1"/>
    <col min="2834" max="2834" width="8.42578125" style="1083" customWidth="1"/>
    <col min="2835" max="2835" width="7.42578125" style="1083" bestFit="1" customWidth="1"/>
    <col min="2836" max="2836" width="11.5703125" style="1083" bestFit="1" customWidth="1"/>
    <col min="2837" max="2837" width="8.140625" style="1083" customWidth="1"/>
    <col min="2838" max="2838" width="13" style="1083" bestFit="1" customWidth="1"/>
    <col min="2839" max="3077" width="10.85546875" style="1083"/>
    <col min="3078" max="3078" width="8.85546875" style="1083" customWidth="1"/>
    <col min="3079" max="3079" width="50" style="1083" customWidth="1"/>
    <col min="3080" max="3080" width="6.42578125" style="1083" bestFit="1" customWidth="1"/>
    <col min="3081" max="3081" width="8.85546875" style="1083" customWidth="1"/>
    <col min="3082" max="3082" width="8.5703125" style="1083" customWidth="1"/>
    <col min="3083" max="3083" width="11.42578125" style="1083" bestFit="1" customWidth="1"/>
    <col min="3084" max="3084" width="7.85546875" style="1083" bestFit="1" customWidth="1"/>
    <col min="3085" max="3085" width="11.5703125" style="1083" bestFit="1" customWidth="1"/>
    <col min="3086" max="3086" width="8" style="1083" bestFit="1" customWidth="1"/>
    <col min="3087" max="3087" width="11.5703125" style="1083" bestFit="1" customWidth="1"/>
    <col min="3088" max="3088" width="8.140625" style="1083" bestFit="1" customWidth="1"/>
    <col min="3089" max="3089" width="11.5703125" style="1083" bestFit="1" customWidth="1"/>
    <col min="3090" max="3090" width="8.42578125" style="1083" customWidth="1"/>
    <col min="3091" max="3091" width="7.42578125" style="1083" bestFit="1" customWidth="1"/>
    <col min="3092" max="3092" width="11.5703125" style="1083" bestFit="1" customWidth="1"/>
    <col min="3093" max="3093" width="8.140625" style="1083" customWidth="1"/>
    <col min="3094" max="3094" width="13" style="1083" bestFit="1" customWidth="1"/>
    <col min="3095" max="3333" width="10.85546875" style="1083"/>
    <col min="3334" max="3334" width="8.85546875" style="1083" customWidth="1"/>
    <col min="3335" max="3335" width="50" style="1083" customWidth="1"/>
    <col min="3336" max="3336" width="6.42578125" style="1083" bestFit="1" customWidth="1"/>
    <col min="3337" max="3337" width="8.85546875" style="1083" customWidth="1"/>
    <col min="3338" max="3338" width="8.5703125" style="1083" customWidth="1"/>
    <col min="3339" max="3339" width="11.42578125" style="1083" bestFit="1" customWidth="1"/>
    <col min="3340" max="3340" width="7.85546875" style="1083" bestFit="1" customWidth="1"/>
    <col min="3341" max="3341" width="11.5703125" style="1083" bestFit="1" customWidth="1"/>
    <col min="3342" max="3342" width="8" style="1083" bestFit="1" customWidth="1"/>
    <col min="3343" max="3343" width="11.5703125" style="1083" bestFit="1" customWidth="1"/>
    <col min="3344" max="3344" width="8.140625" style="1083" bestFit="1" customWidth="1"/>
    <col min="3345" max="3345" width="11.5703125" style="1083" bestFit="1" customWidth="1"/>
    <col min="3346" max="3346" width="8.42578125" style="1083" customWidth="1"/>
    <col min="3347" max="3347" width="7.42578125" style="1083" bestFit="1" customWidth="1"/>
    <col min="3348" max="3348" width="11.5703125" style="1083" bestFit="1" customWidth="1"/>
    <col min="3349" max="3349" width="8.140625" style="1083" customWidth="1"/>
    <col min="3350" max="3350" width="13" style="1083" bestFit="1" customWidth="1"/>
    <col min="3351" max="3589" width="10.85546875" style="1083"/>
    <col min="3590" max="3590" width="8.85546875" style="1083" customWidth="1"/>
    <col min="3591" max="3591" width="50" style="1083" customWidth="1"/>
    <col min="3592" max="3592" width="6.42578125" style="1083" bestFit="1" customWidth="1"/>
    <col min="3593" max="3593" width="8.85546875" style="1083" customWidth="1"/>
    <col min="3594" max="3594" width="8.5703125" style="1083" customWidth="1"/>
    <col min="3595" max="3595" width="11.42578125" style="1083" bestFit="1" customWidth="1"/>
    <col min="3596" max="3596" width="7.85546875" style="1083" bestFit="1" customWidth="1"/>
    <col min="3597" max="3597" width="11.5703125" style="1083" bestFit="1" customWidth="1"/>
    <col min="3598" max="3598" width="8" style="1083" bestFit="1" customWidth="1"/>
    <col min="3599" max="3599" width="11.5703125" style="1083" bestFit="1" customWidth="1"/>
    <col min="3600" max="3600" width="8.140625" style="1083" bestFit="1" customWidth="1"/>
    <col min="3601" max="3601" width="11.5703125" style="1083" bestFit="1" customWidth="1"/>
    <col min="3602" max="3602" width="8.42578125" style="1083" customWidth="1"/>
    <col min="3603" max="3603" width="7.42578125" style="1083" bestFit="1" customWidth="1"/>
    <col min="3604" max="3604" width="11.5703125" style="1083" bestFit="1" customWidth="1"/>
    <col min="3605" max="3605" width="8.140625" style="1083" customWidth="1"/>
    <col min="3606" max="3606" width="13" style="1083" bestFit="1" customWidth="1"/>
    <col min="3607" max="3845" width="10.85546875" style="1083"/>
    <col min="3846" max="3846" width="8.85546875" style="1083" customWidth="1"/>
    <col min="3847" max="3847" width="50" style="1083" customWidth="1"/>
    <col min="3848" max="3848" width="6.42578125" style="1083" bestFit="1" customWidth="1"/>
    <col min="3849" max="3849" width="8.85546875" style="1083" customWidth="1"/>
    <col min="3850" max="3850" width="8.5703125" style="1083" customWidth="1"/>
    <col min="3851" max="3851" width="11.42578125" style="1083" bestFit="1" customWidth="1"/>
    <col min="3852" max="3852" width="7.85546875" style="1083" bestFit="1" customWidth="1"/>
    <col min="3853" max="3853" width="11.5703125" style="1083" bestFit="1" customWidth="1"/>
    <col min="3854" max="3854" width="8" style="1083" bestFit="1" customWidth="1"/>
    <col min="3855" max="3855" width="11.5703125" style="1083" bestFit="1" customWidth="1"/>
    <col min="3856" max="3856" width="8.140625" style="1083" bestFit="1" customWidth="1"/>
    <col min="3857" max="3857" width="11.5703125" style="1083" bestFit="1" customWidth="1"/>
    <col min="3858" max="3858" width="8.42578125" style="1083" customWidth="1"/>
    <col min="3859" max="3859" width="7.42578125" style="1083" bestFit="1" customWidth="1"/>
    <col min="3860" max="3860" width="11.5703125" style="1083" bestFit="1" customWidth="1"/>
    <col min="3861" max="3861" width="8.140625" style="1083" customWidth="1"/>
    <col min="3862" max="3862" width="13" style="1083" bestFit="1" customWidth="1"/>
    <col min="3863" max="4101" width="10.85546875" style="1083"/>
    <col min="4102" max="4102" width="8.85546875" style="1083" customWidth="1"/>
    <col min="4103" max="4103" width="50" style="1083" customWidth="1"/>
    <col min="4104" max="4104" width="6.42578125" style="1083" bestFit="1" customWidth="1"/>
    <col min="4105" max="4105" width="8.85546875" style="1083" customWidth="1"/>
    <col min="4106" max="4106" width="8.5703125" style="1083" customWidth="1"/>
    <col min="4107" max="4107" width="11.42578125" style="1083" bestFit="1" customWidth="1"/>
    <col min="4108" max="4108" width="7.85546875" style="1083" bestFit="1" customWidth="1"/>
    <col min="4109" max="4109" width="11.5703125" style="1083" bestFit="1" customWidth="1"/>
    <col min="4110" max="4110" width="8" style="1083" bestFit="1" customWidth="1"/>
    <col min="4111" max="4111" width="11.5703125" style="1083" bestFit="1" customWidth="1"/>
    <col min="4112" max="4112" width="8.140625" style="1083" bestFit="1" customWidth="1"/>
    <col min="4113" max="4113" width="11.5703125" style="1083" bestFit="1" customWidth="1"/>
    <col min="4114" max="4114" width="8.42578125" style="1083" customWidth="1"/>
    <col min="4115" max="4115" width="7.42578125" style="1083" bestFit="1" customWidth="1"/>
    <col min="4116" max="4116" width="11.5703125" style="1083" bestFit="1" customWidth="1"/>
    <col min="4117" max="4117" width="8.140625" style="1083" customWidth="1"/>
    <col min="4118" max="4118" width="13" style="1083" bestFit="1" customWidth="1"/>
    <col min="4119" max="4357" width="10.85546875" style="1083"/>
    <col min="4358" max="4358" width="8.85546875" style="1083" customWidth="1"/>
    <col min="4359" max="4359" width="50" style="1083" customWidth="1"/>
    <col min="4360" max="4360" width="6.42578125" style="1083" bestFit="1" customWidth="1"/>
    <col min="4361" max="4361" width="8.85546875" style="1083" customWidth="1"/>
    <col min="4362" max="4362" width="8.5703125" style="1083" customWidth="1"/>
    <col min="4363" max="4363" width="11.42578125" style="1083" bestFit="1" customWidth="1"/>
    <col min="4364" max="4364" width="7.85546875" style="1083" bestFit="1" customWidth="1"/>
    <col min="4365" max="4365" width="11.5703125" style="1083" bestFit="1" customWidth="1"/>
    <col min="4366" max="4366" width="8" style="1083" bestFit="1" customWidth="1"/>
    <col min="4367" max="4367" width="11.5703125" style="1083" bestFit="1" customWidth="1"/>
    <col min="4368" max="4368" width="8.140625" style="1083" bestFit="1" customWidth="1"/>
    <col min="4369" max="4369" width="11.5703125" style="1083" bestFit="1" customWidth="1"/>
    <col min="4370" max="4370" width="8.42578125" style="1083" customWidth="1"/>
    <col min="4371" max="4371" width="7.42578125" style="1083" bestFit="1" customWidth="1"/>
    <col min="4372" max="4372" width="11.5703125" style="1083" bestFit="1" customWidth="1"/>
    <col min="4373" max="4373" width="8.140625" style="1083" customWidth="1"/>
    <col min="4374" max="4374" width="13" style="1083" bestFit="1" customWidth="1"/>
    <col min="4375" max="4613" width="10.85546875" style="1083"/>
    <col min="4614" max="4614" width="8.85546875" style="1083" customWidth="1"/>
    <col min="4615" max="4615" width="50" style="1083" customWidth="1"/>
    <col min="4616" max="4616" width="6.42578125" style="1083" bestFit="1" customWidth="1"/>
    <col min="4617" max="4617" width="8.85546875" style="1083" customWidth="1"/>
    <col min="4618" max="4618" width="8.5703125" style="1083" customWidth="1"/>
    <col min="4619" max="4619" width="11.42578125" style="1083" bestFit="1" customWidth="1"/>
    <col min="4620" max="4620" width="7.85546875" style="1083" bestFit="1" customWidth="1"/>
    <col min="4621" max="4621" width="11.5703125" style="1083" bestFit="1" customWidth="1"/>
    <col min="4622" max="4622" width="8" style="1083" bestFit="1" customWidth="1"/>
    <col min="4623" max="4623" width="11.5703125" style="1083" bestFit="1" customWidth="1"/>
    <col min="4624" max="4624" width="8.140625" style="1083" bestFit="1" customWidth="1"/>
    <col min="4625" max="4625" width="11.5703125" style="1083" bestFit="1" customWidth="1"/>
    <col min="4626" max="4626" width="8.42578125" style="1083" customWidth="1"/>
    <col min="4627" max="4627" width="7.42578125" style="1083" bestFit="1" customWidth="1"/>
    <col min="4628" max="4628" width="11.5703125" style="1083" bestFit="1" customWidth="1"/>
    <col min="4629" max="4629" width="8.140625" style="1083" customWidth="1"/>
    <col min="4630" max="4630" width="13" style="1083" bestFit="1" customWidth="1"/>
    <col min="4631" max="4869" width="10.85546875" style="1083"/>
    <col min="4870" max="4870" width="8.85546875" style="1083" customWidth="1"/>
    <col min="4871" max="4871" width="50" style="1083" customWidth="1"/>
    <col min="4872" max="4872" width="6.42578125" style="1083" bestFit="1" customWidth="1"/>
    <col min="4873" max="4873" width="8.85546875" style="1083" customWidth="1"/>
    <col min="4874" max="4874" width="8.5703125" style="1083" customWidth="1"/>
    <col min="4875" max="4875" width="11.42578125" style="1083" bestFit="1" customWidth="1"/>
    <col min="4876" max="4876" width="7.85546875" style="1083" bestFit="1" customWidth="1"/>
    <col min="4877" max="4877" width="11.5703125" style="1083" bestFit="1" customWidth="1"/>
    <col min="4878" max="4878" width="8" style="1083" bestFit="1" customWidth="1"/>
    <col min="4879" max="4879" width="11.5703125" style="1083" bestFit="1" customWidth="1"/>
    <col min="4880" max="4880" width="8.140625" style="1083" bestFit="1" customWidth="1"/>
    <col min="4881" max="4881" width="11.5703125" style="1083" bestFit="1" customWidth="1"/>
    <col min="4882" max="4882" width="8.42578125" style="1083" customWidth="1"/>
    <col min="4883" max="4883" width="7.42578125" style="1083" bestFit="1" customWidth="1"/>
    <col min="4884" max="4884" width="11.5703125" style="1083" bestFit="1" customWidth="1"/>
    <col min="4885" max="4885" width="8.140625" style="1083" customWidth="1"/>
    <col min="4886" max="4886" width="13" style="1083" bestFit="1" customWidth="1"/>
    <col min="4887" max="5125" width="10.85546875" style="1083"/>
    <col min="5126" max="5126" width="8.85546875" style="1083" customWidth="1"/>
    <col min="5127" max="5127" width="50" style="1083" customWidth="1"/>
    <col min="5128" max="5128" width="6.42578125" style="1083" bestFit="1" customWidth="1"/>
    <col min="5129" max="5129" width="8.85546875" style="1083" customWidth="1"/>
    <col min="5130" max="5130" width="8.5703125" style="1083" customWidth="1"/>
    <col min="5131" max="5131" width="11.42578125" style="1083" bestFit="1" customWidth="1"/>
    <col min="5132" max="5132" width="7.85546875" style="1083" bestFit="1" customWidth="1"/>
    <col min="5133" max="5133" width="11.5703125" style="1083" bestFit="1" customWidth="1"/>
    <col min="5134" max="5134" width="8" style="1083" bestFit="1" customWidth="1"/>
    <col min="5135" max="5135" width="11.5703125" style="1083" bestFit="1" customWidth="1"/>
    <col min="5136" max="5136" width="8.140625" style="1083" bestFit="1" customWidth="1"/>
    <col min="5137" max="5137" width="11.5703125" style="1083" bestFit="1" customWidth="1"/>
    <col min="5138" max="5138" width="8.42578125" style="1083" customWidth="1"/>
    <col min="5139" max="5139" width="7.42578125" style="1083" bestFit="1" customWidth="1"/>
    <col min="5140" max="5140" width="11.5703125" style="1083" bestFit="1" customWidth="1"/>
    <col min="5141" max="5141" width="8.140625" style="1083" customWidth="1"/>
    <col min="5142" max="5142" width="13" style="1083" bestFit="1" customWidth="1"/>
    <col min="5143" max="5381" width="10.85546875" style="1083"/>
    <col min="5382" max="5382" width="8.85546875" style="1083" customWidth="1"/>
    <col min="5383" max="5383" width="50" style="1083" customWidth="1"/>
    <col min="5384" max="5384" width="6.42578125" style="1083" bestFit="1" customWidth="1"/>
    <col min="5385" max="5385" width="8.85546875" style="1083" customWidth="1"/>
    <col min="5386" max="5386" width="8.5703125" style="1083" customWidth="1"/>
    <col min="5387" max="5387" width="11.42578125" style="1083" bestFit="1" customWidth="1"/>
    <col min="5388" max="5388" width="7.85546875" style="1083" bestFit="1" customWidth="1"/>
    <col min="5389" max="5389" width="11.5703125" style="1083" bestFit="1" customWidth="1"/>
    <col min="5390" max="5390" width="8" style="1083" bestFit="1" customWidth="1"/>
    <col min="5391" max="5391" width="11.5703125" style="1083" bestFit="1" customWidth="1"/>
    <col min="5392" max="5392" width="8.140625" style="1083" bestFit="1" customWidth="1"/>
    <col min="5393" max="5393" width="11.5703125" style="1083" bestFit="1" customWidth="1"/>
    <col min="5394" max="5394" width="8.42578125" style="1083" customWidth="1"/>
    <col min="5395" max="5395" width="7.42578125" style="1083" bestFit="1" customWidth="1"/>
    <col min="5396" max="5396" width="11.5703125" style="1083" bestFit="1" customWidth="1"/>
    <col min="5397" max="5397" width="8.140625" style="1083" customWidth="1"/>
    <col min="5398" max="5398" width="13" style="1083" bestFit="1" customWidth="1"/>
    <col min="5399" max="5637" width="10.85546875" style="1083"/>
    <col min="5638" max="5638" width="8.85546875" style="1083" customWidth="1"/>
    <col min="5639" max="5639" width="50" style="1083" customWidth="1"/>
    <col min="5640" max="5640" width="6.42578125" style="1083" bestFit="1" customWidth="1"/>
    <col min="5641" max="5641" width="8.85546875" style="1083" customWidth="1"/>
    <col min="5642" max="5642" width="8.5703125" style="1083" customWidth="1"/>
    <col min="5643" max="5643" width="11.42578125" style="1083" bestFit="1" customWidth="1"/>
    <col min="5644" max="5644" width="7.85546875" style="1083" bestFit="1" customWidth="1"/>
    <col min="5645" max="5645" width="11.5703125" style="1083" bestFit="1" customWidth="1"/>
    <col min="5646" max="5646" width="8" style="1083" bestFit="1" customWidth="1"/>
    <col min="5647" max="5647" width="11.5703125" style="1083" bestFit="1" customWidth="1"/>
    <col min="5648" max="5648" width="8.140625" style="1083" bestFit="1" customWidth="1"/>
    <col min="5649" max="5649" width="11.5703125" style="1083" bestFit="1" customWidth="1"/>
    <col min="5650" max="5650" width="8.42578125" style="1083" customWidth="1"/>
    <col min="5651" max="5651" width="7.42578125" style="1083" bestFit="1" customWidth="1"/>
    <col min="5652" max="5652" width="11.5703125" style="1083" bestFit="1" customWidth="1"/>
    <col min="5653" max="5653" width="8.140625" style="1083" customWidth="1"/>
    <col min="5654" max="5654" width="13" style="1083" bestFit="1" customWidth="1"/>
    <col min="5655" max="5893" width="10.85546875" style="1083"/>
    <col min="5894" max="5894" width="8.85546875" style="1083" customWidth="1"/>
    <col min="5895" max="5895" width="50" style="1083" customWidth="1"/>
    <col min="5896" max="5896" width="6.42578125" style="1083" bestFit="1" customWidth="1"/>
    <col min="5897" max="5897" width="8.85546875" style="1083" customWidth="1"/>
    <col min="5898" max="5898" width="8.5703125" style="1083" customWidth="1"/>
    <col min="5899" max="5899" width="11.42578125" style="1083" bestFit="1" customWidth="1"/>
    <col min="5900" max="5900" width="7.85546875" style="1083" bestFit="1" customWidth="1"/>
    <col min="5901" max="5901" width="11.5703125" style="1083" bestFit="1" customWidth="1"/>
    <col min="5902" max="5902" width="8" style="1083" bestFit="1" customWidth="1"/>
    <col min="5903" max="5903" width="11.5703125" style="1083" bestFit="1" customWidth="1"/>
    <col min="5904" max="5904" width="8.140625" style="1083" bestFit="1" customWidth="1"/>
    <col min="5905" max="5905" width="11.5703125" style="1083" bestFit="1" customWidth="1"/>
    <col min="5906" max="5906" width="8.42578125" style="1083" customWidth="1"/>
    <col min="5907" max="5907" width="7.42578125" style="1083" bestFit="1" customWidth="1"/>
    <col min="5908" max="5908" width="11.5703125" style="1083" bestFit="1" customWidth="1"/>
    <col min="5909" max="5909" width="8.140625" style="1083" customWidth="1"/>
    <col min="5910" max="5910" width="13" style="1083" bestFit="1" customWidth="1"/>
    <col min="5911" max="6149" width="10.85546875" style="1083"/>
    <col min="6150" max="6150" width="8.85546875" style="1083" customWidth="1"/>
    <col min="6151" max="6151" width="50" style="1083" customWidth="1"/>
    <col min="6152" max="6152" width="6.42578125" style="1083" bestFit="1" customWidth="1"/>
    <col min="6153" max="6153" width="8.85546875" style="1083" customWidth="1"/>
    <col min="6154" max="6154" width="8.5703125" style="1083" customWidth="1"/>
    <col min="6155" max="6155" width="11.42578125" style="1083" bestFit="1" customWidth="1"/>
    <col min="6156" max="6156" width="7.85546875" style="1083" bestFit="1" customWidth="1"/>
    <col min="6157" max="6157" width="11.5703125" style="1083" bestFit="1" customWidth="1"/>
    <col min="6158" max="6158" width="8" style="1083" bestFit="1" customWidth="1"/>
    <col min="6159" max="6159" width="11.5703125" style="1083" bestFit="1" customWidth="1"/>
    <col min="6160" max="6160" width="8.140625" style="1083" bestFit="1" customWidth="1"/>
    <col min="6161" max="6161" width="11.5703125" style="1083" bestFit="1" customWidth="1"/>
    <col min="6162" max="6162" width="8.42578125" style="1083" customWidth="1"/>
    <col min="6163" max="6163" width="7.42578125" style="1083" bestFit="1" customWidth="1"/>
    <col min="6164" max="6164" width="11.5703125" style="1083" bestFit="1" customWidth="1"/>
    <col min="6165" max="6165" width="8.140625" style="1083" customWidth="1"/>
    <col min="6166" max="6166" width="13" style="1083" bestFit="1" customWidth="1"/>
    <col min="6167" max="6405" width="10.85546875" style="1083"/>
    <col min="6406" max="6406" width="8.85546875" style="1083" customWidth="1"/>
    <col min="6407" max="6407" width="50" style="1083" customWidth="1"/>
    <col min="6408" max="6408" width="6.42578125" style="1083" bestFit="1" customWidth="1"/>
    <col min="6409" max="6409" width="8.85546875" style="1083" customWidth="1"/>
    <col min="6410" max="6410" width="8.5703125" style="1083" customWidth="1"/>
    <col min="6411" max="6411" width="11.42578125" style="1083" bestFit="1" customWidth="1"/>
    <col min="6412" max="6412" width="7.85546875" style="1083" bestFit="1" customWidth="1"/>
    <col min="6413" max="6413" width="11.5703125" style="1083" bestFit="1" customWidth="1"/>
    <col min="6414" max="6414" width="8" style="1083" bestFit="1" customWidth="1"/>
    <col min="6415" max="6415" width="11.5703125" style="1083" bestFit="1" customWidth="1"/>
    <col min="6416" max="6416" width="8.140625" style="1083" bestFit="1" customWidth="1"/>
    <col min="6417" max="6417" width="11.5703125" style="1083" bestFit="1" customWidth="1"/>
    <col min="6418" max="6418" width="8.42578125" style="1083" customWidth="1"/>
    <col min="6419" max="6419" width="7.42578125" style="1083" bestFit="1" customWidth="1"/>
    <col min="6420" max="6420" width="11.5703125" style="1083" bestFit="1" customWidth="1"/>
    <col min="6421" max="6421" width="8.140625" style="1083" customWidth="1"/>
    <col min="6422" max="6422" width="13" style="1083" bestFit="1" customWidth="1"/>
    <col min="6423" max="6661" width="10.85546875" style="1083"/>
    <col min="6662" max="6662" width="8.85546875" style="1083" customWidth="1"/>
    <col min="6663" max="6663" width="50" style="1083" customWidth="1"/>
    <col min="6664" max="6664" width="6.42578125" style="1083" bestFit="1" customWidth="1"/>
    <col min="6665" max="6665" width="8.85546875" style="1083" customWidth="1"/>
    <col min="6666" max="6666" width="8.5703125" style="1083" customWidth="1"/>
    <col min="6667" max="6667" width="11.42578125" style="1083" bestFit="1" customWidth="1"/>
    <col min="6668" max="6668" width="7.85546875" style="1083" bestFit="1" customWidth="1"/>
    <col min="6669" max="6669" width="11.5703125" style="1083" bestFit="1" customWidth="1"/>
    <col min="6670" max="6670" width="8" style="1083" bestFit="1" customWidth="1"/>
    <col min="6671" max="6671" width="11.5703125" style="1083" bestFit="1" customWidth="1"/>
    <col min="6672" max="6672" width="8.140625" style="1083" bestFit="1" customWidth="1"/>
    <col min="6673" max="6673" width="11.5703125" style="1083" bestFit="1" customWidth="1"/>
    <col min="6674" max="6674" width="8.42578125" style="1083" customWidth="1"/>
    <col min="6675" max="6675" width="7.42578125" style="1083" bestFit="1" customWidth="1"/>
    <col min="6676" max="6676" width="11.5703125" style="1083" bestFit="1" customWidth="1"/>
    <col min="6677" max="6677" width="8.140625" style="1083" customWidth="1"/>
    <col min="6678" max="6678" width="13" style="1083" bestFit="1" customWidth="1"/>
    <col min="6679" max="6917" width="10.85546875" style="1083"/>
    <col min="6918" max="6918" width="8.85546875" style="1083" customWidth="1"/>
    <col min="6919" max="6919" width="50" style="1083" customWidth="1"/>
    <col min="6920" max="6920" width="6.42578125" style="1083" bestFit="1" customWidth="1"/>
    <col min="6921" max="6921" width="8.85546875" style="1083" customWidth="1"/>
    <col min="6922" max="6922" width="8.5703125" style="1083" customWidth="1"/>
    <col min="6923" max="6923" width="11.42578125" style="1083" bestFit="1" customWidth="1"/>
    <col min="6924" max="6924" width="7.85546875" style="1083" bestFit="1" customWidth="1"/>
    <col min="6925" max="6925" width="11.5703125" style="1083" bestFit="1" customWidth="1"/>
    <col min="6926" max="6926" width="8" style="1083" bestFit="1" customWidth="1"/>
    <col min="6927" max="6927" width="11.5703125" style="1083" bestFit="1" customWidth="1"/>
    <col min="6928" max="6928" width="8.140625" style="1083" bestFit="1" customWidth="1"/>
    <col min="6929" max="6929" width="11.5703125" style="1083" bestFit="1" customWidth="1"/>
    <col min="6930" max="6930" width="8.42578125" style="1083" customWidth="1"/>
    <col min="6931" max="6931" width="7.42578125" style="1083" bestFit="1" customWidth="1"/>
    <col min="6932" max="6932" width="11.5703125" style="1083" bestFit="1" customWidth="1"/>
    <col min="6933" max="6933" width="8.140625" style="1083" customWidth="1"/>
    <col min="6934" max="6934" width="13" style="1083" bestFit="1" customWidth="1"/>
    <col min="6935" max="7173" width="10.85546875" style="1083"/>
    <col min="7174" max="7174" width="8.85546875" style="1083" customWidth="1"/>
    <col min="7175" max="7175" width="50" style="1083" customWidth="1"/>
    <col min="7176" max="7176" width="6.42578125" style="1083" bestFit="1" customWidth="1"/>
    <col min="7177" max="7177" width="8.85546875" style="1083" customWidth="1"/>
    <col min="7178" max="7178" width="8.5703125" style="1083" customWidth="1"/>
    <col min="7179" max="7179" width="11.42578125" style="1083" bestFit="1" customWidth="1"/>
    <col min="7180" max="7180" width="7.85546875" style="1083" bestFit="1" customWidth="1"/>
    <col min="7181" max="7181" width="11.5703125" style="1083" bestFit="1" customWidth="1"/>
    <col min="7182" max="7182" width="8" style="1083" bestFit="1" customWidth="1"/>
    <col min="7183" max="7183" width="11.5703125" style="1083" bestFit="1" customWidth="1"/>
    <col min="7184" max="7184" width="8.140625" style="1083" bestFit="1" customWidth="1"/>
    <col min="7185" max="7185" width="11.5703125" style="1083" bestFit="1" customWidth="1"/>
    <col min="7186" max="7186" width="8.42578125" style="1083" customWidth="1"/>
    <col min="7187" max="7187" width="7.42578125" style="1083" bestFit="1" customWidth="1"/>
    <col min="7188" max="7188" width="11.5703125" style="1083" bestFit="1" customWidth="1"/>
    <col min="7189" max="7189" width="8.140625" style="1083" customWidth="1"/>
    <col min="7190" max="7190" width="13" style="1083" bestFit="1" customWidth="1"/>
    <col min="7191" max="7429" width="10.85546875" style="1083"/>
    <col min="7430" max="7430" width="8.85546875" style="1083" customWidth="1"/>
    <col min="7431" max="7431" width="50" style="1083" customWidth="1"/>
    <col min="7432" max="7432" width="6.42578125" style="1083" bestFit="1" customWidth="1"/>
    <col min="7433" max="7433" width="8.85546875" style="1083" customWidth="1"/>
    <col min="7434" max="7434" width="8.5703125" style="1083" customWidth="1"/>
    <col min="7435" max="7435" width="11.42578125" style="1083" bestFit="1" customWidth="1"/>
    <col min="7436" max="7436" width="7.85546875" style="1083" bestFit="1" customWidth="1"/>
    <col min="7437" max="7437" width="11.5703125" style="1083" bestFit="1" customWidth="1"/>
    <col min="7438" max="7438" width="8" style="1083" bestFit="1" customWidth="1"/>
    <col min="7439" max="7439" width="11.5703125" style="1083" bestFit="1" customWidth="1"/>
    <col min="7440" max="7440" width="8.140625" style="1083" bestFit="1" customWidth="1"/>
    <col min="7441" max="7441" width="11.5703125" style="1083" bestFit="1" customWidth="1"/>
    <col min="7442" max="7442" width="8.42578125" style="1083" customWidth="1"/>
    <col min="7443" max="7443" width="7.42578125" style="1083" bestFit="1" customWidth="1"/>
    <col min="7444" max="7444" width="11.5703125" style="1083" bestFit="1" customWidth="1"/>
    <col min="7445" max="7445" width="8.140625" style="1083" customWidth="1"/>
    <col min="7446" max="7446" width="13" style="1083" bestFit="1" customWidth="1"/>
    <col min="7447" max="7685" width="10.85546875" style="1083"/>
    <col min="7686" max="7686" width="8.85546875" style="1083" customWidth="1"/>
    <col min="7687" max="7687" width="50" style="1083" customWidth="1"/>
    <col min="7688" max="7688" width="6.42578125" style="1083" bestFit="1" customWidth="1"/>
    <col min="7689" max="7689" width="8.85546875" style="1083" customWidth="1"/>
    <col min="7690" max="7690" width="8.5703125" style="1083" customWidth="1"/>
    <col min="7691" max="7691" width="11.42578125" style="1083" bestFit="1" customWidth="1"/>
    <col min="7692" max="7692" width="7.85546875" style="1083" bestFit="1" customWidth="1"/>
    <col min="7693" max="7693" width="11.5703125" style="1083" bestFit="1" customWidth="1"/>
    <col min="7694" max="7694" width="8" style="1083" bestFit="1" customWidth="1"/>
    <col min="7695" max="7695" width="11.5703125" style="1083" bestFit="1" customWidth="1"/>
    <col min="7696" max="7696" width="8.140625" style="1083" bestFit="1" customWidth="1"/>
    <col min="7697" max="7697" width="11.5703125" style="1083" bestFit="1" customWidth="1"/>
    <col min="7698" max="7698" width="8.42578125" style="1083" customWidth="1"/>
    <col min="7699" max="7699" width="7.42578125" style="1083" bestFit="1" customWidth="1"/>
    <col min="7700" max="7700" width="11.5703125" style="1083" bestFit="1" customWidth="1"/>
    <col min="7701" max="7701" width="8.140625" style="1083" customWidth="1"/>
    <col min="7702" max="7702" width="13" style="1083" bestFit="1" customWidth="1"/>
    <col min="7703" max="7941" width="10.85546875" style="1083"/>
    <col min="7942" max="7942" width="8.85546875" style="1083" customWidth="1"/>
    <col min="7943" max="7943" width="50" style="1083" customWidth="1"/>
    <col min="7944" max="7944" width="6.42578125" style="1083" bestFit="1" customWidth="1"/>
    <col min="7945" max="7945" width="8.85546875" style="1083" customWidth="1"/>
    <col min="7946" max="7946" width="8.5703125" style="1083" customWidth="1"/>
    <col min="7947" max="7947" width="11.42578125" style="1083" bestFit="1" customWidth="1"/>
    <col min="7948" max="7948" width="7.85546875" style="1083" bestFit="1" customWidth="1"/>
    <col min="7949" max="7949" width="11.5703125" style="1083" bestFit="1" customWidth="1"/>
    <col min="7950" max="7950" width="8" style="1083" bestFit="1" customWidth="1"/>
    <col min="7951" max="7951" width="11.5703125" style="1083" bestFit="1" customWidth="1"/>
    <col min="7952" max="7952" width="8.140625" style="1083" bestFit="1" customWidth="1"/>
    <col min="7953" max="7953" width="11.5703125" style="1083" bestFit="1" customWidth="1"/>
    <col min="7954" max="7954" width="8.42578125" style="1083" customWidth="1"/>
    <col min="7955" max="7955" width="7.42578125" style="1083" bestFit="1" customWidth="1"/>
    <col min="7956" max="7956" width="11.5703125" style="1083" bestFit="1" customWidth="1"/>
    <col min="7957" max="7957" width="8.140625" style="1083" customWidth="1"/>
    <col min="7958" max="7958" width="13" style="1083" bestFit="1" customWidth="1"/>
    <col min="7959" max="8197" width="10.85546875" style="1083"/>
    <col min="8198" max="8198" width="8.85546875" style="1083" customWidth="1"/>
    <col min="8199" max="8199" width="50" style="1083" customWidth="1"/>
    <col min="8200" max="8200" width="6.42578125" style="1083" bestFit="1" customWidth="1"/>
    <col min="8201" max="8201" width="8.85546875" style="1083" customWidth="1"/>
    <col min="8202" max="8202" width="8.5703125" style="1083" customWidth="1"/>
    <col min="8203" max="8203" width="11.42578125" style="1083" bestFit="1" customWidth="1"/>
    <col min="8204" max="8204" width="7.85546875" style="1083" bestFit="1" customWidth="1"/>
    <col min="8205" max="8205" width="11.5703125" style="1083" bestFit="1" customWidth="1"/>
    <col min="8206" max="8206" width="8" style="1083" bestFit="1" customWidth="1"/>
    <col min="8207" max="8207" width="11.5703125" style="1083" bestFit="1" customWidth="1"/>
    <col min="8208" max="8208" width="8.140625" style="1083" bestFit="1" customWidth="1"/>
    <col min="8209" max="8209" width="11.5703125" style="1083" bestFit="1" customWidth="1"/>
    <col min="8210" max="8210" width="8.42578125" style="1083" customWidth="1"/>
    <col min="8211" max="8211" width="7.42578125" style="1083" bestFit="1" customWidth="1"/>
    <col min="8212" max="8212" width="11.5703125" style="1083" bestFit="1" customWidth="1"/>
    <col min="8213" max="8213" width="8.140625" style="1083" customWidth="1"/>
    <col min="8214" max="8214" width="13" style="1083" bestFit="1" customWidth="1"/>
    <col min="8215" max="8453" width="10.85546875" style="1083"/>
    <col min="8454" max="8454" width="8.85546875" style="1083" customWidth="1"/>
    <col min="8455" max="8455" width="50" style="1083" customWidth="1"/>
    <col min="8456" max="8456" width="6.42578125" style="1083" bestFit="1" customWidth="1"/>
    <col min="8457" max="8457" width="8.85546875" style="1083" customWidth="1"/>
    <col min="8458" max="8458" width="8.5703125" style="1083" customWidth="1"/>
    <col min="8459" max="8459" width="11.42578125" style="1083" bestFit="1" customWidth="1"/>
    <col min="8460" max="8460" width="7.85546875" style="1083" bestFit="1" customWidth="1"/>
    <col min="8461" max="8461" width="11.5703125" style="1083" bestFit="1" customWidth="1"/>
    <col min="8462" max="8462" width="8" style="1083" bestFit="1" customWidth="1"/>
    <col min="8463" max="8463" width="11.5703125" style="1083" bestFit="1" customWidth="1"/>
    <col min="8464" max="8464" width="8.140625" style="1083" bestFit="1" customWidth="1"/>
    <col min="8465" max="8465" width="11.5703125" style="1083" bestFit="1" customWidth="1"/>
    <col min="8466" max="8466" width="8.42578125" style="1083" customWidth="1"/>
    <col min="8467" max="8467" width="7.42578125" style="1083" bestFit="1" customWidth="1"/>
    <col min="8468" max="8468" width="11.5703125" style="1083" bestFit="1" customWidth="1"/>
    <col min="8469" max="8469" width="8.140625" style="1083" customWidth="1"/>
    <col min="8470" max="8470" width="13" style="1083" bestFit="1" customWidth="1"/>
    <col min="8471" max="8709" width="10.85546875" style="1083"/>
    <col min="8710" max="8710" width="8.85546875" style="1083" customWidth="1"/>
    <col min="8711" max="8711" width="50" style="1083" customWidth="1"/>
    <col min="8712" max="8712" width="6.42578125" style="1083" bestFit="1" customWidth="1"/>
    <col min="8713" max="8713" width="8.85546875" style="1083" customWidth="1"/>
    <col min="8714" max="8714" width="8.5703125" style="1083" customWidth="1"/>
    <col min="8715" max="8715" width="11.42578125" style="1083" bestFit="1" customWidth="1"/>
    <col min="8716" max="8716" width="7.85546875" style="1083" bestFit="1" customWidth="1"/>
    <col min="8717" max="8717" width="11.5703125" style="1083" bestFit="1" customWidth="1"/>
    <col min="8718" max="8718" width="8" style="1083" bestFit="1" customWidth="1"/>
    <col min="8719" max="8719" width="11.5703125" style="1083" bestFit="1" customWidth="1"/>
    <col min="8720" max="8720" width="8.140625" style="1083" bestFit="1" customWidth="1"/>
    <col min="8721" max="8721" width="11.5703125" style="1083" bestFit="1" customWidth="1"/>
    <col min="8722" max="8722" width="8.42578125" style="1083" customWidth="1"/>
    <col min="8723" max="8723" width="7.42578125" style="1083" bestFit="1" customWidth="1"/>
    <col min="8724" max="8724" width="11.5703125" style="1083" bestFit="1" customWidth="1"/>
    <col min="8725" max="8725" width="8.140625" style="1083" customWidth="1"/>
    <col min="8726" max="8726" width="13" style="1083" bestFit="1" customWidth="1"/>
    <col min="8727" max="8965" width="10.85546875" style="1083"/>
    <col min="8966" max="8966" width="8.85546875" style="1083" customWidth="1"/>
    <col min="8967" max="8967" width="50" style="1083" customWidth="1"/>
    <col min="8968" max="8968" width="6.42578125" style="1083" bestFit="1" customWidth="1"/>
    <col min="8969" max="8969" width="8.85546875" style="1083" customWidth="1"/>
    <col min="8970" max="8970" width="8.5703125" style="1083" customWidth="1"/>
    <col min="8971" max="8971" width="11.42578125" style="1083" bestFit="1" customWidth="1"/>
    <col min="8972" max="8972" width="7.85546875" style="1083" bestFit="1" customWidth="1"/>
    <col min="8973" max="8973" width="11.5703125" style="1083" bestFit="1" customWidth="1"/>
    <col min="8974" max="8974" width="8" style="1083" bestFit="1" customWidth="1"/>
    <col min="8975" max="8975" width="11.5703125" style="1083" bestFit="1" customWidth="1"/>
    <col min="8976" max="8976" width="8.140625" style="1083" bestFit="1" customWidth="1"/>
    <col min="8977" max="8977" width="11.5703125" style="1083" bestFit="1" customWidth="1"/>
    <col min="8978" max="8978" width="8.42578125" style="1083" customWidth="1"/>
    <col min="8979" max="8979" width="7.42578125" style="1083" bestFit="1" customWidth="1"/>
    <col min="8980" max="8980" width="11.5703125" style="1083" bestFit="1" customWidth="1"/>
    <col min="8981" max="8981" width="8.140625" style="1083" customWidth="1"/>
    <col min="8982" max="8982" width="13" style="1083" bestFit="1" customWidth="1"/>
    <col min="8983" max="9221" width="10.85546875" style="1083"/>
    <col min="9222" max="9222" width="8.85546875" style="1083" customWidth="1"/>
    <col min="9223" max="9223" width="50" style="1083" customWidth="1"/>
    <col min="9224" max="9224" width="6.42578125" style="1083" bestFit="1" customWidth="1"/>
    <col min="9225" max="9225" width="8.85546875" style="1083" customWidth="1"/>
    <col min="9226" max="9226" width="8.5703125" style="1083" customWidth="1"/>
    <col min="9227" max="9227" width="11.42578125" style="1083" bestFit="1" customWidth="1"/>
    <col min="9228" max="9228" width="7.85546875" style="1083" bestFit="1" customWidth="1"/>
    <col min="9229" max="9229" width="11.5703125" style="1083" bestFit="1" customWidth="1"/>
    <col min="9230" max="9230" width="8" style="1083" bestFit="1" customWidth="1"/>
    <col min="9231" max="9231" width="11.5703125" style="1083" bestFit="1" customWidth="1"/>
    <col min="9232" max="9232" width="8.140625" style="1083" bestFit="1" customWidth="1"/>
    <col min="9233" max="9233" width="11.5703125" style="1083" bestFit="1" customWidth="1"/>
    <col min="9234" max="9234" width="8.42578125" style="1083" customWidth="1"/>
    <col min="9235" max="9235" width="7.42578125" style="1083" bestFit="1" customWidth="1"/>
    <col min="9236" max="9236" width="11.5703125" style="1083" bestFit="1" customWidth="1"/>
    <col min="9237" max="9237" width="8.140625" style="1083" customWidth="1"/>
    <col min="9238" max="9238" width="13" style="1083" bestFit="1" customWidth="1"/>
    <col min="9239" max="9477" width="10.85546875" style="1083"/>
    <col min="9478" max="9478" width="8.85546875" style="1083" customWidth="1"/>
    <col min="9479" max="9479" width="50" style="1083" customWidth="1"/>
    <col min="9480" max="9480" width="6.42578125" style="1083" bestFit="1" customWidth="1"/>
    <col min="9481" max="9481" width="8.85546875" style="1083" customWidth="1"/>
    <col min="9482" max="9482" width="8.5703125" style="1083" customWidth="1"/>
    <col min="9483" max="9483" width="11.42578125" style="1083" bestFit="1" customWidth="1"/>
    <col min="9484" max="9484" width="7.85546875" style="1083" bestFit="1" customWidth="1"/>
    <col min="9485" max="9485" width="11.5703125" style="1083" bestFit="1" customWidth="1"/>
    <col min="9486" max="9486" width="8" style="1083" bestFit="1" customWidth="1"/>
    <col min="9487" max="9487" width="11.5703125" style="1083" bestFit="1" customWidth="1"/>
    <col min="9488" max="9488" width="8.140625" style="1083" bestFit="1" customWidth="1"/>
    <col min="9489" max="9489" width="11.5703125" style="1083" bestFit="1" customWidth="1"/>
    <col min="9490" max="9490" width="8.42578125" style="1083" customWidth="1"/>
    <col min="9491" max="9491" width="7.42578125" style="1083" bestFit="1" customWidth="1"/>
    <col min="9492" max="9492" width="11.5703125" style="1083" bestFit="1" customWidth="1"/>
    <col min="9493" max="9493" width="8.140625" style="1083" customWidth="1"/>
    <col min="9494" max="9494" width="13" style="1083" bestFit="1" customWidth="1"/>
    <col min="9495" max="9733" width="10.85546875" style="1083"/>
    <col min="9734" max="9734" width="8.85546875" style="1083" customWidth="1"/>
    <col min="9735" max="9735" width="50" style="1083" customWidth="1"/>
    <col min="9736" max="9736" width="6.42578125" style="1083" bestFit="1" customWidth="1"/>
    <col min="9737" max="9737" width="8.85546875" style="1083" customWidth="1"/>
    <col min="9738" max="9738" width="8.5703125" style="1083" customWidth="1"/>
    <col min="9739" max="9739" width="11.42578125" style="1083" bestFit="1" customWidth="1"/>
    <col min="9740" max="9740" width="7.85546875" style="1083" bestFit="1" customWidth="1"/>
    <col min="9741" max="9741" width="11.5703125" style="1083" bestFit="1" customWidth="1"/>
    <col min="9742" max="9742" width="8" style="1083" bestFit="1" customWidth="1"/>
    <col min="9743" max="9743" width="11.5703125" style="1083" bestFit="1" customWidth="1"/>
    <col min="9744" max="9744" width="8.140625" style="1083" bestFit="1" customWidth="1"/>
    <col min="9745" max="9745" width="11.5703125" style="1083" bestFit="1" customWidth="1"/>
    <col min="9746" max="9746" width="8.42578125" style="1083" customWidth="1"/>
    <col min="9747" max="9747" width="7.42578125" style="1083" bestFit="1" customWidth="1"/>
    <col min="9748" max="9748" width="11.5703125" style="1083" bestFit="1" customWidth="1"/>
    <col min="9749" max="9749" width="8.140625" style="1083" customWidth="1"/>
    <col min="9750" max="9750" width="13" style="1083" bestFit="1" customWidth="1"/>
    <col min="9751" max="9989" width="10.85546875" style="1083"/>
    <col min="9990" max="9990" width="8.85546875" style="1083" customWidth="1"/>
    <col min="9991" max="9991" width="50" style="1083" customWidth="1"/>
    <col min="9992" max="9992" width="6.42578125" style="1083" bestFit="1" customWidth="1"/>
    <col min="9993" max="9993" width="8.85546875" style="1083" customWidth="1"/>
    <col min="9994" max="9994" width="8.5703125" style="1083" customWidth="1"/>
    <col min="9995" max="9995" width="11.42578125" style="1083" bestFit="1" customWidth="1"/>
    <col min="9996" max="9996" width="7.85546875" style="1083" bestFit="1" customWidth="1"/>
    <col min="9997" max="9997" width="11.5703125" style="1083" bestFit="1" customWidth="1"/>
    <col min="9998" max="9998" width="8" style="1083" bestFit="1" customWidth="1"/>
    <col min="9999" max="9999" width="11.5703125" style="1083" bestFit="1" customWidth="1"/>
    <col min="10000" max="10000" width="8.140625" style="1083" bestFit="1" customWidth="1"/>
    <col min="10001" max="10001" width="11.5703125" style="1083" bestFit="1" customWidth="1"/>
    <col min="10002" max="10002" width="8.42578125" style="1083" customWidth="1"/>
    <col min="10003" max="10003" width="7.42578125" style="1083" bestFit="1" customWidth="1"/>
    <col min="10004" max="10004" width="11.5703125" style="1083" bestFit="1" customWidth="1"/>
    <col min="10005" max="10005" width="8.140625" style="1083" customWidth="1"/>
    <col min="10006" max="10006" width="13" style="1083" bestFit="1" customWidth="1"/>
    <col min="10007" max="10245" width="10.85546875" style="1083"/>
    <col min="10246" max="10246" width="8.85546875" style="1083" customWidth="1"/>
    <col min="10247" max="10247" width="50" style="1083" customWidth="1"/>
    <col min="10248" max="10248" width="6.42578125" style="1083" bestFit="1" customWidth="1"/>
    <col min="10249" max="10249" width="8.85546875" style="1083" customWidth="1"/>
    <col min="10250" max="10250" width="8.5703125" style="1083" customWidth="1"/>
    <col min="10251" max="10251" width="11.42578125" style="1083" bestFit="1" customWidth="1"/>
    <col min="10252" max="10252" width="7.85546875" style="1083" bestFit="1" customWidth="1"/>
    <col min="10253" max="10253" width="11.5703125" style="1083" bestFit="1" customWidth="1"/>
    <col min="10254" max="10254" width="8" style="1083" bestFit="1" customWidth="1"/>
    <col min="10255" max="10255" width="11.5703125" style="1083" bestFit="1" customWidth="1"/>
    <col min="10256" max="10256" width="8.140625" style="1083" bestFit="1" customWidth="1"/>
    <col min="10257" max="10257" width="11.5703125" style="1083" bestFit="1" customWidth="1"/>
    <col min="10258" max="10258" width="8.42578125" style="1083" customWidth="1"/>
    <col min="10259" max="10259" width="7.42578125" style="1083" bestFit="1" customWidth="1"/>
    <col min="10260" max="10260" width="11.5703125" style="1083" bestFit="1" customWidth="1"/>
    <col min="10261" max="10261" width="8.140625" style="1083" customWidth="1"/>
    <col min="10262" max="10262" width="13" style="1083" bestFit="1" customWidth="1"/>
    <col min="10263" max="10501" width="10.85546875" style="1083"/>
    <col min="10502" max="10502" width="8.85546875" style="1083" customWidth="1"/>
    <col min="10503" max="10503" width="50" style="1083" customWidth="1"/>
    <col min="10504" max="10504" width="6.42578125" style="1083" bestFit="1" customWidth="1"/>
    <col min="10505" max="10505" width="8.85546875" style="1083" customWidth="1"/>
    <col min="10506" max="10506" width="8.5703125" style="1083" customWidth="1"/>
    <col min="10507" max="10507" width="11.42578125" style="1083" bestFit="1" customWidth="1"/>
    <col min="10508" max="10508" width="7.85546875" style="1083" bestFit="1" customWidth="1"/>
    <col min="10509" max="10509" width="11.5703125" style="1083" bestFit="1" customWidth="1"/>
    <col min="10510" max="10510" width="8" style="1083" bestFit="1" customWidth="1"/>
    <col min="10511" max="10511" width="11.5703125" style="1083" bestFit="1" customWidth="1"/>
    <col min="10512" max="10512" width="8.140625" style="1083" bestFit="1" customWidth="1"/>
    <col min="10513" max="10513" width="11.5703125" style="1083" bestFit="1" customWidth="1"/>
    <col min="10514" max="10514" width="8.42578125" style="1083" customWidth="1"/>
    <col min="10515" max="10515" width="7.42578125" style="1083" bestFit="1" customWidth="1"/>
    <col min="10516" max="10516" width="11.5703125" style="1083" bestFit="1" customWidth="1"/>
    <col min="10517" max="10517" width="8.140625" style="1083" customWidth="1"/>
    <col min="10518" max="10518" width="13" style="1083" bestFit="1" customWidth="1"/>
    <col min="10519" max="10757" width="10.85546875" style="1083"/>
    <col min="10758" max="10758" width="8.85546875" style="1083" customWidth="1"/>
    <col min="10759" max="10759" width="50" style="1083" customWidth="1"/>
    <col min="10760" max="10760" width="6.42578125" style="1083" bestFit="1" customWidth="1"/>
    <col min="10761" max="10761" width="8.85546875" style="1083" customWidth="1"/>
    <col min="10762" max="10762" width="8.5703125" style="1083" customWidth="1"/>
    <col min="10763" max="10763" width="11.42578125" style="1083" bestFit="1" customWidth="1"/>
    <col min="10764" max="10764" width="7.85546875" style="1083" bestFit="1" customWidth="1"/>
    <col min="10765" max="10765" width="11.5703125" style="1083" bestFit="1" customWidth="1"/>
    <col min="10766" max="10766" width="8" style="1083" bestFit="1" customWidth="1"/>
    <col min="10767" max="10767" width="11.5703125" style="1083" bestFit="1" customWidth="1"/>
    <col min="10768" max="10768" width="8.140625" style="1083" bestFit="1" customWidth="1"/>
    <col min="10769" max="10769" width="11.5703125" style="1083" bestFit="1" customWidth="1"/>
    <col min="10770" max="10770" width="8.42578125" style="1083" customWidth="1"/>
    <col min="10771" max="10771" width="7.42578125" style="1083" bestFit="1" customWidth="1"/>
    <col min="10772" max="10772" width="11.5703125" style="1083" bestFit="1" customWidth="1"/>
    <col min="10773" max="10773" width="8.140625" style="1083" customWidth="1"/>
    <col min="10774" max="10774" width="13" style="1083" bestFit="1" customWidth="1"/>
    <col min="10775" max="11013" width="10.85546875" style="1083"/>
    <col min="11014" max="11014" width="8.85546875" style="1083" customWidth="1"/>
    <col min="11015" max="11015" width="50" style="1083" customWidth="1"/>
    <col min="11016" max="11016" width="6.42578125" style="1083" bestFit="1" customWidth="1"/>
    <col min="11017" max="11017" width="8.85546875" style="1083" customWidth="1"/>
    <col min="11018" max="11018" width="8.5703125" style="1083" customWidth="1"/>
    <col min="11019" max="11019" width="11.42578125" style="1083" bestFit="1" customWidth="1"/>
    <col min="11020" max="11020" width="7.85546875" style="1083" bestFit="1" customWidth="1"/>
    <col min="11021" max="11021" width="11.5703125" style="1083" bestFit="1" customWidth="1"/>
    <col min="11022" max="11022" width="8" style="1083" bestFit="1" customWidth="1"/>
    <col min="11023" max="11023" width="11.5703125" style="1083" bestFit="1" customWidth="1"/>
    <col min="11024" max="11024" width="8.140625" style="1083" bestFit="1" customWidth="1"/>
    <col min="11025" max="11025" width="11.5703125" style="1083" bestFit="1" customWidth="1"/>
    <col min="11026" max="11026" width="8.42578125" style="1083" customWidth="1"/>
    <col min="11027" max="11027" width="7.42578125" style="1083" bestFit="1" customWidth="1"/>
    <col min="11028" max="11028" width="11.5703125" style="1083" bestFit="1" customWidth="1"/>
    <col min="11029" max="11029" width="8.140625" style="1083" customWidth="1"/>
    <col min="11030" max="11030" width="13" style="1083" bestFit="1" customWidth="1"/>
    <col min="11031" max="11269" width="10.85546875" style="1083"/>
    <col min="11270" max="11270" width="8.85546875" style="1083" customWidth="1"/>
    <col min="11271" max="11271" width="50" style="1083" customWidth="1"/>
    <col min="11272" max="11272" width="6.42578125" style="1083" bestFit="1" customWidth="1"/>
    <col min="11273" max="11273" width="8.85546875" style="1083" customWidth="1"/>
    <col min="11274" max="11274" width="8.5703125" style="1083" customWidth="1"/>
    <col min="11275" max="11275" width="11.42578125" style="1083" bestFit="1" customWidth="1"/>
    <col min="11276" max="11276" width="7.85546875" style="1083" bestFit="1" customWidth="1"/>
    <col min="11277" max="11277" width="11.5703125" style="1083" bestFit="1" customWidth="1"/>
    <col min="11278" max="11278" width="8" style="1083" bestFit="1" customWidth="1"/>
    <col min="11279" max="11279" width="11.5703125" style="1083" bestFit="1" customWidth="1"/>
    <col min="11280" max="11280" width="8.140625" style="1083" bestFit="1" customWidth="1"/>
    <col min="11281" max="11281" width="11.5703125" style="1083" bestFit="1" customWidth="1"/>
    <col min="11282" max="11282" width="8.42578125" style="1083" customWidth="1"/>
    <col min="11283" max="11283" width="7.42578125" style="1083" bestFit="1" customWidth="1"/>
    <col min="11284" max="11284" width="11.5703125" style="1083" bestFit="1" customWidth="1"/>
    <col min="11285" max="11285" width="8.140625" style="1083" customWidth="1"/>
    <col min="11286" max="11286" width="13" style="1083" bestFit="1" customWidth="1"/>
    <col min="11287" max="11525" width="10.85546875" style="1083"/>
    <col min="11526" max="11526" width="8.85546875" style="1083" customWidth="1"/>
    <col min="11527" max="11527" width="50" style="1083" customWidth="1"/>
    <col min="11528" max="11528" width="6.42578125" style="1083" bestFit="1" customWidth="1"/>
    <col min="11529" max="11529" width="8.85546875" style="1083" customWidth="1"/>
    <col min="11530" max="11530" width="8.5703125" style="1083" customWidth="1"/>
    <col min="11531" max="11531" width="11.42578125" style="1083" bestFit="1" customWidth="1"/>
    <col min="11532" max="11532" width="7.85546875" style="1083" bestFit="1" customWidth="1"/>
    <col min="11533" max="11533" width="11.5703125" style="1083" bestFit="1" customWidth="1"/>
    <col min="11534" max="11534" width="8" style="1083" bestFit="1" customWidth="1"/>
    <col min="11535" max="11535" width="11.5703125" style="1083" bestFit="1" customWidth="1"/>
    <col min="11536" max="11536" width="8.140625" style="1083" bestFit="1" customWidth="1"/>
    <col min="11537" max="11537" width="11.5703125" style="1083" bestFit="1" customWidth="1"/>
    <col min="11538" max="11538" width="8.42578125" style="1083" customWidth="1"/>
    <col min="11539" max="11539" width="7.42578125" style="1083" bestFit="1" customWidth="1"/>
    <col min="11540" max="11540" width="11.5703125" style="1083" bestFit="1" customWidth="1"/>
    <col min="11541" max="11541" width="8.140625" style="1083" customWidth="1"/>
    <col min="11542" max="11542" width="13" style="1083" bestFit="1" customWidth="1"/>
    <col min="11543" max="11781" width="10.85546875" style="1083"/>
    <col min="11782" max="11782" width="8.85546875" style="1083" customWidth="1"/>
    <col min="11783" max="11783" width="50" style="1083" customWidth="1"/>
    <col min="11784" max="11784" width="6.42578125" style="1083" bestFit="1" customWidth="1"/>
    <col min="11785" max="11785" width="8.85546875" style="1083" customWidth="1"/>
    <col min="11786" max="11786" width="8.5703125" style="1083" customWidth="1"/>
    <col min="11787" max="11787" width="11.42578125" style="1083" bestFit="1" customWidth="1"/>
    <col min="11788" max="11788" width="7.85546875" style="1083" bestFit="1" customWidth="1"/>
    <col min="11789" max="11789" width="11.5703125" style="1083" bestFit="1" customWidth="1"/>
    <col min="11790" max="11790" width="8" style="1083" bestFit="1" customWidth="1"/>
    <col min="11791" max="11791" width="11.5703125" style="1083" bestFit="1" customWidth="1"/>
    <col min="11792" max="11792" width="8.140625" style="1083" bestFit="1" customWidth="1"/>
    <col min="11793" max="11793" width="11.5703125" style="1083" bestFit="1" customWidth="1"/>
    <col min="11794" max="11794" width="8.42578125" style="1083" customWidth="1"/>
    <col min="11795" max="11795" width="7.42578125" style="1083" bestFit="1" customWidth="1"/>
    <col min="11796" max="11796" width="11.5703125" style="1083" bestFit="1" customWidth="1"/>
    <col min="11797" max="11797" width="8.140625" style="1083" customWidth="1"/>
    <col min="11798" max="11798" width="13" style="1083" bestFit="1" customWidth="1"/>
    <col min="11799" max="12037" width="10.85546875" style="1083"/>
    <col min="12038" max="12038" width="8.85546875" style="1083" customWidth="1"/>
    <col min="12039" max="12039" width="50" style="1083" customWidth="1"/>
    <col min="12040" max="12040" width="6.42578125" style="1083" bestFit="1" customWidth="1"/>
    <col min="12041" max="12041" width="8.85546875" style="1083" customWidth="1"/>
    <col min="12042" max="12042" width="8.5703125" style="1083" customWidth="1"/>
    <col min="12043" max="12043" width="11.42578125" style="1083" bestFit="1" customWidth="1"/>
    <col min="12044" max="12044" width="7.85546875" style="1083" bestFit="1" customWidth="1"/>
    <col min="12045" max="12045" width="11.5703125" style="1083" bestFit="1" customWidth="1"/>
    <col min="12046" max="12046" width="8" style="1083" bestFit="1" customWidth="1"/>
    <col min="12047" max="12047" width="11.5703125" style="1083" bestFit="1" customWidth="1"/>
    <col min="12048" max="12048" width="8.140625" style="1083" bestFit="1" customWidth="1"/>
    <col min="12049" max="12049" width="11.5703125" style="1083" bestFit="1" customWidth="1"/>
    <col min="12050" max="12050" width="8.42578125" style="1083" customWidth="1"/>
    <col min="12051" max="12051" width="7.42578125" style="1083" bestFit="1" customWidth="1"/>
    <col min="12052" max="12052" width="11.5703125" style="1083" bestFit="1" customWidth="1"/>
    <col min="12053" max="12053" width="8.140625" style="1083" customWidth="1"/>
    <col min="12054" max="12054" width="13" style="1083" bestFit="1" customWidth="1"/>
    <col min="12055" max="12293" width="10.85546875" style="1083"/>
    <col min="12294" max="12294" width="8.85546875" style="1083" customWidth="1"/>
    <col min="12295" max="12295" width="50" style="1083" customWidth="1"/>
    <col min="12296" max="12296" width="6.42578125" style="1083" bestFit="1" customWidth="1"/>
    <col min="12297" max="12297" width="8.85546875" style="1083" customWidth="1"/>
    <col min="12298" max="12298" width="8.5703125" style="1083" customWidth="1"/>
    <col min="12299" max="12299" width="11.42578125" style="1083" bestFit="1" customWidth="1"/>
    <col min="12300" max="12300" width="7.85546875" style="1083" bestFit="1" customWidth="1"/>
    <col min="12301" max="12301" width="11.5703125" style="1083" bestFit="1" customWidth="1"/>
    <col min="12302" max="12302" width="8" style="1083" bestFit="1" customWidth="1"/>
    <col min="12303" max="12303" width="11.5703125" style="1083" bestFit="1" customWidth="1"/>
    <col min="12304" max="12304" width="8.140625" style="1083" bestFit="1" customWidth="1"/>
    <col min="12305" max="12305" width="11.5703125" style="1083" bestFit="1" customWidth="1"/>
    <col min="12306" max="12306" width="8.42578125" style="1083" customWidth="1"/>
    <col min="12307" max="12307" width="7.42578125" style="1083" bestFit="1" customWidth="1"/>
    <col min="12308" max="12308" width="11.5703125" style="1083" bestFit="1" customWidth="1"/>
    <col min="12309" max="12309" width="8.140625" style="1083" customWidth="1"/>
    <col min="12310" max="12310" width="13" style="1083" bestFit="1" customWidth="1"/>
    <col min="12311" max="12549" width="10.85546875" style="1083"/>
    <col min="12550" max="12550" width="8.85546875" style="1083" customWidth="1"/>
    <col min="12551" max="12551" width="50" style="1083" customWidth="1"/>
    <col min="12552" max="12552" width="6.42578125" style="1083" bestFit="1" customWidth="1"/>
    <col min="12553" max="12553" width="8.85546875" style="1083" customWidth="1"/>
    <col min="12554" max="12554" width="8.5703125" style="1083" customWidth="1"/>
    <col min="12555" max="12555" width="11.42578125" style="1083" bestFit="1" customWidth="1"/>
    <col min="12556" max="12556" width="7.85546875" style="1083" bestFit="1" customWidth="1"/>
    <col min="12557" max="12557" width="11.5703125" style="1083" bestFit="1" customWidth="1"/>
    <col min="12558" max="12558" width="8" style="1083" bestFit="1" customWidth="1"/>
    <col min="12559" max="12559" width="11.5703125" style="1083" bestFit="1" customWidth="1"/>
    <col min="12560" max="12560" width="8.140625" style="1083" bestFit="1" customWidth="1"/>
    <col min="12561" max="12561" width="11.5703125" style="1083" bestFit="1" customWidth="1"/>
    <col min="12562" max="12562" width="8.42578125" style="1083" customWidth="1"/>
    <col min="12563" max="12563" width="7.42578125" style="1083" bestFit="1" customWidth="1"/>
    <col min="12564" max="12564" width="11.5703125" style="1083" bestFit="1" customWidth="1"/>
    <col min="12565" max="12565" width="8.140625" style="1083" customWidth="1"/>
    <col min="12566" max="12566" width="13" style="1083" bestFit="1" customWidth="1"/>
    <col min="12567" max="12805" width="10.85546875" style="1083"/>
    <col min="12806" max="12806" width="8.85546875" style="1083" customWidth="1"/>
    <col min="12807" max="12807" width="50" style="1083" customWidth="1"/>
    <col min="12808" max="12808" width="6.42578125" style="1083" bestFit="1" customWidth="1"/>
    <col min="12809" max="12809" width="8.85546875" style="1083" customWidth="1"/>
    <col min="12810" max="12810" width="8.5703125" style="1083" customWidth="1"/>
    <col min="12811" max="12811" width="11.42578125" style="1083" bestFit="1" customWidth="1"/>
    <col min="12812" max="12812" width="7.85546875" style="1083" bestFit="1" customWidth="1"/>
    <col min="12813" max="12813" width="11.5703125" style="1083" bestFit="1" customWidth="1"/>
    <col min="12814" max="12814" width="8" style="1083" bestFit="1" customWidth="1"/>
    <col min="12815" max="12815" width="11.5703125" style="1083" bestFit="1" customWidth="1"/>
    <col min="12816" max="12816" width="8.140625" style="1083" bestFit="1" customWidth="1"/>
    <col min="12817" max="12817" width="11.5703125" style="1083" bestFit="1" customWidth="1"/>
    <col min="12818" max="12818" width="8.42578125" style="1083" customWidth="1"/>
    <col min="12819" max="12819" width="7.42578125" style="1083" bestFit="1" customWidth="1"/>
    <col min="12820" max="12820" width="11.5703125" style="1083" bestFit="1" customWidth="1"/>
    <col min="12821" max="12821" width="8.140625" style="1083" customWidth="1"/>
    <col min="12822" max="12822" width="13" style="1083" bestFit="1" customWidth="1"/>
    <col min="12823" max="13061" width="10.85546875" style="1083"/>
    <col min="13062" max="13062" width="8.85546875" style="1083" customWidth="1"/>
    <col min="13063" max="13063" width="50" style="1083" customWidth="1"/>
    <col min="13064" max="13064" width="6.42578125" style="1083" bestFit="1" customWidth="1"/>
    <col min="13065" max="13065" width="8.85546875" style="1083" customWidth="1"/>
    <col min="13066" max="13066" width="8.5703125" style="1083" customWidth="1"/>
    <col min="13067" max="13067" width="11.42578125" style="1083" bestFit="1" customWidth="1"/>
    <col min="13068" max="13068" width="7.85546875" style="1083" bestFit="1" customWidth="1"/>
    <col min="13069" max="13069" width="11.5703125" style="1083" bestFit="1" customWidth="1"/>
    <col min="13070" max="13070" width="8" style="1083" bestFit="1" customWidth="1"/>
    <col min="13071" max="13071" width="11.5703125" style="1083" bestFit="1" customWidth="1"/>
    <col min="13072" max="13072" width="8.140625" style="1083" bestFit="1" customWidth="1"/>
    <col min="13073" max="13073" width="11.5703125" style="1083" bestFit="1" customWidth="1"/>
    <col min="13074" max="13074" width="8.42578125" style="1083" customWidth="1"/>
    <col min="13075" max="13075" width="7.42578125" style="1083" bestFit="1" customWidth="1"/>
    <col min="13076" max="13076" width="11.5703125" style="1083" bestFit="1" customWidth="1"/>
    <col min="13077" max="13077" width="8.140625" style="1083" customWidth="1"/>
    <col min="13078" max="13078" width="13" style="1083" bestFit="1" customWidth="1"/>
    <col min="13079" max="13317" width="10.85546875" style="1083"/>
    <col min="13318" max="13318" width="8.85546875" style="1083" customWidth="1"/>
    <col min="13319" max="13319" width="50" style="1083" customWidth="1"/>
    <col min="13320" max="13320" width="6.42578125" style="1083" bestFit="1" customWidth="1"/>
    <col min="13321" max="13321" width="8.85546875" style="1083" customWidth="1"/>
    <col min="13322" max="13322" width="8.5703125" style="1083" customWidth="1"/>
    <col min="13323" max="13323" width="11.42578125" style="1083" bestFit="1" customWidth="1"/>
    <col min="13324" max="13324" width="7.85546875" style="1083" bestFit="1" customWidth="1"/>
    <col min="13325" max="13325" width="11.5703125" style="1083" bestFit="1" customWidth="1"/>
    <col min="13326" max="13326" width="8" style="1083" bestFit="1" customWidth="1"/>
    <col min="13327" max="13327" width="11.5703125" style="1083" bestFit="1" customWidth="1"/>
    <col min="13328" max="13328" width="8.140625" style="1083" bestFit="1" customWidth="1"/>
    <col min="13329" max="13329" width="11.5703125" style="1083" bestFit="1" customWidth="1"/>
    <col min="13330" max="13330" width="8.42578125" style="1083" customWidth="1"/>
    <col min="13331" max="13331" width="7.42578125" style="1083" bestFit="1" customWidth="1"/>
    <col min="13332" max="13332" width="11.5703125" style="1083" bestFit="1" customWidth="1"/>
    <col min="13333" max="13333" width="8.140625" style="1083" customWidth="1"/>
    <col min="13334" max="13334" width="13" style="1083" bestFit="1" customWidth="1"/>
    <col min="13335" max="13573" width="10.85546875" style="1083"/>
    <col min="13574" max="13574" width="8.85546875" style="1083" customWidth="1"/>
    <col min="13575" max="13575" width="50" style="1083" customWidth="1"/>
    <col min="13576" max="13576" width="6.42578125" style="1083" bestFit="1" customWidth="1"/>
    <col min="13577" max="13577" width="8.85546875" style="1083" customWidth="1"/>
    <col min="13578" max="13578" width="8.5703125" style="1083" customWidth="1"/>
    <col min="13579" max="13579" width="11.42578125" style="1083" bestFit="1" customWidth="1"/>
    <col min="13580" max="13580" width="7.85546875" style="1083" bestFit="1" customWidth="1"/>
    <col min="13581" max="13581" width="11.5703125" style="1083" bestFit="1" customWidth="1"/>
    <col min="13582" max="13582" width="8" style="1083" bestFit="1" customWidth="1"/>
    <col min="13583" max="13583" width="11.5703125" style="1083" bestFit="1" customWidth="1"/>
    <col min="13584" max="13584" width="8.140625" style="1083" bestFit="1" customWidth="1"/>
    <col min="13585" max="13585" width="11.5703125" style="1083" bestFit="1" customWidth="1"/>
    <col min="13586" max="13586" width="8.42578125" style="1083" customWidth="1"/>
    <col min="13587" max="13587" width="7.42578125" style="1083" bestFit="1" customWidth="1"/>
    <col min="13588" max="13588" width="11.5703125" style="1083" bestFit="1" customWidth="1"/>
    <col min="13589" max="13589" width="8.140625" style="1083" customWidth="1"/>
    <col min="13590" max="13590" width="13" style="1083" bestFit="1" customWidth="1"/>
    <col min="13591" max="13829" width="10.85546875" style="1083"/>
    <col min="13830" max="13830" width="8.85546875" style="1083" customWidth="1"/>
    <col min="13831" max="13831" width="50" style="1083" customWidth="1"/>
    <col min="13832" max="13832" width="6.42578125" style="1083" bestFit="1" customWidth="1"/>
    <col min="13833" max="13833" width="8.85546875" style="1083" customWidth="1"/>
    <col min="13834" max="13834" width="8.5703125" style="1083" customWidth="1"/>
    <col min="13835" max="13835" width="11.42578125" style="1083" bestFit="1" customWidth="1"/>
    <col min="13836" max="13836" width="7.85546875" style="1083" bestFit="1" customWidth="1"/>
    <col min="13837" max="13837" width="11.5703125" style="1083" bestFit="1" customWidth="1"/>
    <col min="13838" max="13838" width="8" style="1083" bestFit="1" customWidth="1"/>
    <col min="13839" max="13839" width="11.5703125" style="1083" bestFit="1" customWidth="1"/>
    <col min="13840" max="13840" width="8.140625" style="1083" bestFit="1" customWidth="1"/>
    <col min="13841" max="13841" width="11.5703125" style="1083" bestFit="1" customWidth="1"/>
    <col min="13842" max="13842" width="8.42578125" style="1083" customWidth="1"/>
    <col min="13843" max="13843" width="7.42578125" style="1083" bestFit="1" customWidth="1"/>
    <col min="13844" max="13844" width="11.5703125" style="1083" bestFit="1" customWidth="1"/>
    <col min="13845" max="13845" width="8.140625" style="1083" customWidth="1"/>
    <col min="13846" max="13846" width="13" style="1083" bestFit="1" customWidth="1"/>
    <col min="13847" max="14085" width="10.85546875" style="1083"/>
    <col min="14086" max="14086" width="8.85546875" style="1083" customWidth="1"/>
    <col min="14087" max="14087" width="50" style="1083" customWidth="1"/>
    <col min="14088" max="14088" width="6.42578125" style="1083" bestFit="1" customWidth="1"/>
    <col min="14089" max="14089" width="8.85546875" style="1083" customWidth="1"/>
    <col min="14090" max="14090" width="8.5703125" style="1083" customWidth="1"/>
    <col min="14091" max="14091" width="11.42578125" style="1083" bestFit="1" customWidth="1"/>
    <col min="14092" max="14092" width="7.85546875" style="1083" bestFit="1" customWidth="1"/>
    <col min="14093" max="14093" width="11.5703125" style="1083" bestFit="1" customWidth="1"/>
    <col min="14094" max="14094" width="8" style="1083" bestFit="1" customWidth="1"/>
    <col min="14095" max="14095" width="11.5703125" style="1083" bestFit="1" customWidth="1"/>
    <col min="14096" max="14096" width="8.140625" style="1083" bestFit="1" customWidth="1"/>
    <col min="14097" max="14097" width="11.5703125" style="1083" bestFit="1" customWidth="1"/>
    <col min="14098" max="14098" width="8.42578125" style="1083" customWidth="1"/>
    <col min="14099" max="14099" width="7.42578125" style="1083" bestFit="1" customWidth="1"/>
    <col min="14100" max="14100" width="11.5703125" style="1083" bestFit="1" customWidth="1"/>
    <col min="14101" max="14101" width="8.140625" style="1083" customWidth="1"/>
    <col min="14102" max="14102" width="13" style="1083" bestFit="1" customWidth="1"/>
    <col min="14103" max="14341" width="10.85546875" style="1083"/>
    <col min="14342" max="14342" width="8.85546875" style="1083" customWidth="1"/>
    <col min="14343" max="14343" width="50" style="1083" customWidth="1"/>
    <col min="14344" max="14344" width="6.42578125" style="1083" bestFit="1" customWidth="1"/>
    <col min="14345" max="14345" width="8.85546875" style="1083" customWidth="1"/>
    <col min="14346" max="14346" width="8.5703125" style="1083" customWidth="1"/>
    <col min="14347" max="14347" width="11.42578125" style="1083" bestFit="1" customWidth="1"/>
    <col min="14348" max="14348" width="7.85546875" style="1083" bestFit="1" customWidth="1"/>
    <col min="14349" max="14349" width="11.5703125" style="1083" bestFit="1" customWidth="1"/>
    <col min="14350" max="14350" width="8" style="1083" bestFit="1" customWidth="1"/>
    <col min="14351" max="14351" width="11.5703125" style="1083" bestFit="1" customWidth="1"/>
    <col min="14352" max="14352" width="8.140625" style="1083" bestFit="1" customWidth="1"/>
    <col min="14353" max="14353" width="11.5703125" style="1083" bestFit="1" customWidth="1"/>
    <col min="14354" max="14354" width="8.42578125" style="1083" customWidth="1"/>
    <col min="14355" max="14355" width="7.42578125" style="1083" bestFit="1" customWidth="1"/>
    <col min="14356" max="14356" width="11.5703125" style="1083" bestFit="1" customWidth="1"/>
    <col min="14357" max="14357" width="8.140625" style="1083" customWidth="1"/>
    <col min="14358" max="14358" width="13" style="1083" bestFit="1" customWidth="1"/>
    <col min="14359" max="14597" width="10.85546875" style="1083"/>
    <col min="14598" max="14598" width="8.85546875" style="1083" customWidth="1"/>
    <col min="14599" max="14599" width="50" style="1083" customWidth="1"/>
    <col min="14600" max="14600" width="6.42578125" style="1083" bestFit="1" customWidth="1"/>
    <col min="14601" max="14601" width="8.85546875" style="1083" customWidth="1"/>
    <col min="14602" max="14602" width="8.5703125" style="1083" customWidth="1"/>
    <col min="14603" max="14603" width="11.42578125" style="1083" bestFit="1" customWidth="1"/>
    <col min="14604" max="14604" width="7.85546875" style="1083" bestFit="1" customWidth="1"/>
    <col min="14605" max="14605" width="11.5703125" style="1083" bestFit="1" customWidth="1"/>
    <col min="14606" max="14606" width="8" style="1083" bestFit="1" customWidth="1"/>
    <col min="14607" max="14607" width="11.5703125" style="1083" bestFit="1" customWidth="1"/>
    <col min="14608" max="14608" width="8.140625" style="1083" bestFit="1" customWidth="1"/>
    <col min="14609" max="14609" width="11.5703125" style="1083" bestFit="1" customWidth="1"/>
    <col min="14610" max="14610" width="8.42578125" style="1083" customWidth="1"/>
    <col min="14611" max="14611" width="7.42578125" style="1083" bestFit="1" customWidth="1"/>
    <col min="14612" max="14612" width="11.5703125" style="1083" bestFit="1" customWidth="1"/>
    <col min="14613" max="14613" width="8.140625" style="1083" customWidth="1"/>
    <col min="14614" max="14614" width="13" style="1083" bestFit="1" customWidth="1"/>
    <col min="14615" max="14853" width="10.85546875" style="1083"/>
    <col min="14854" max="14854" width="8.85546875" style="1083" customWidth="1"/>
    <col min="14855" max="14855" width="50" style="1083" customWidth="1"/>
    <col min="14856" max="14856" width="6.42578125" style="1083" bestFit="1" customWidth="1"/>
    <col min="14857" max="14857" width="8.85546875" style="1083" customWidth="1"/>
    <col min="14858" max="14858" width="8.5703125" style="1083" customWidth="1"/>
    <col min="14859" max="14859" width="11.42578125" style="1083" bestFit="1" customWidth="1"/>
    <col min="14860" max="14860" width="7.85546875" style="1083" bestFit="1" customWidth="1"/>
    <col min="14861" max="14861" width="11.5703125" style="1083" bestFit="1" customWidth="1"/>
    <col min="14862" max="14862" width="8" style="1083" bestFit="1" customWidth="1"/>
    <col min="14863" max="14863" width="11.5703125" style="1083" bestFit="1" customWidth="1"/>
    <col min="14864" max="14864" width="8.140625" style="1083" bestFit="1" customWidth="1"/>
    <col min="14865" max="14865" width="11.5703125" style="1083" bestFit="1" customWidth="1"/>
    <col min="14866" max="14866" width="8.42578125" style="1083" customWidth="1"/>
    <col min="14867" max="14867" width="7.42578125" style="1083" bestFit="1" customWidth="1"/>
    <col min="14868" max="14868" width="11.5703125" style="1083" bestFit="1" customWidth="1"/>
    <col min="14869" max="14869" width="8.140625" style="1083" customWidth="1"/>
    <col min="14870" max="14870" width="13" style="1083" bestFit="1" customWidth="1"/>
    <col min="14871" max="15109" width="10.85546875" style="1083"/>
    <col min="15110" max="15110" width="8.85546875" style="1083" customWidth="1"/>
    <col min="15111" max="15111" width="50" style="1083" customWidth="1"/>
    <col min="15112" max="15112" width="6.42578125" style="1083" bestFit="1" customWidth="1"/>
    <col min="15113" max="15113" width="8.85546875" style="1083" customWidth="1"/>
    <col min="15114" max="15114" width="8.5703125" style="1083" customWidth="1"/>
    <col min="15115" max="15115" width="11.42578125" style="1083" bestFit="1" customWidth="1"/>
    <col min="15116" max="15116" width="7.85546875" style="1083" bestFit="1" customWidth="1"/>
    <col min="15117" max="15117" width="11.5703125" style="1083" bestFit="1" customWidth="1"/>
    <col min="15118" max="15118" width="8" style="1083" bestFit="1" customWidth="1"/>
    <col min="15119" max="15119" width="11.5703125" style="1083" bestFit="1" customWidth="1"/>
    <col min="15120" max="15120" width="8.140625" style="1083" bestFit="1" customWidth="1"/>
    <col min="15121" max="15121" width="11.5703125" style="1083" bestFit="1" customWidth="1"/>
    <col min="15122" max="15122" width="8.42578125" style="1083" customWidth="1"/>
    <col min="15123" max="15123" width="7.42578125" style="1083" bestFit="1" customWidth="1"/>
    <col min="15124" max="15124" width="11.5703125" style="1083" bestFit="1" customWidth="1"/>
    <col min="15125" max="15125" width="8.140625" style="1083" customWidth="1"/>
    <col min="15126" max="15126" width="13" style="1083" bestFit="1" customWidth="1"/>
    <col min="15127" max="15365" width="10.85546875" style="1083"/>
    <col min="15366" max="15366" width="8.85546875" style="1083" customWidth="1"/>
    <col min="15367" max="15367" width="50" style="1083" customWidth="1"/>
    <col min="15368" max="15368" width="6.42578125" style="1083" bestFit="1" customWidth="1"/>
    <col min="15369" max="15369" width="8.85546875" style="1083" customWidth="1"/>
    <col min="15370" max="15370" width="8.5703125" style="1083" customWidth="1"/>
    <col min="15371" max="15371" width="11.42578125" style="1083" bestFit="1" customWidth="1"/>
    <col min="15372" max="15372" width="7.85546875" style="1083" bestFit="1" customWidth="1"/>
    <col min="15373" max="15373" width="11.5703125" style="1083" bestFit="1" customWidth="1"/>
    <col min="15374" max="15374" width="8" style="1083" bestFit="1" customWidth="1"/>
    <col min="15375" max="15375" width="11.5703125" style="1083" bestFit="1" customWidth="1"/>
    <col min="15376" max="15376" width="8.140625" style="1083" bestFit="1" customWidth="1"/>
    <col min="15377" max="15377" width="11.5703125" style="1083" bestFit="1" customWidth="1"/>
    <col min="15378" max="15378" width="8.42578125" style="1083" customWidth="1"/>
    <col min="15379" max="15379" width="7.42578125" style="1083" bestFit="1" customWidth="1"/>
    <col min="15380" max="15380" width="11.5703125" style="1083" bestFit="1" customWidth="1"/>
    <col min="15381" max="15381" width="8.140625" style="1083" customWidth="1"/>
    <col min="15382" max="15382" width="13" style="1083" bestFit="1" customWidth="1"/>
    <col min="15383" max="15621" width="10.85546875" style="1083"/>
    <col min="15622" max="15622" width="8.85546875" style="1083" customWidth="1"/>
    <col min="15623" max="15623" width="50" style="1083" customWidth="1"/>
    <col min="15624" max="15624" width="6.42578125" style="1083" bestFit="1" customWidth="1"/>
    <col min="15625" max="15625" width="8.85546875" style="1083" customWidth="1"/>
    <col min="15626" max="15626" width="8.5703125" style="1083" customWidth="1"/>
    <col min="15627" max="15627" width="11.42578125" style="1083" bestFit="1" customWidth="1"/>
    <col min="15628" max="15628" width="7.85546875" style="1083" bestFit="1" customWidth="1"/>
    <col min="15629" max="15629" width="11.5703125" style="1083" bestFit="1" customWidth="1"/>
    <col min="15630" max="15630" width="8" style="1083" bestFit="1" customWidth="1"/>
    <col min="15631" max="15631" width="11.5703125" style="1083" bestFit="1" customWidth="1"/>
    <col min="15632" max="15632" width="8.140625" style="1083" bestFit="1" customWidth="1"/>
    <col min="15633" max="15633" width="11.5703125" style="1083" bestFit="1" customWidth="1"/>
    <col min="15634" max="15634" width="8.42578125" style="1083" customWidth="1"/>
    <col min="15635" max="15635" width="7.42578125" style="1083" bestFit="1" customWidth="1"/>
    <col min="15636" max="15636" width="11.5703125" style="1083" bestFit="1" customWidth="1"/>
    <col min="15637" max="15637" width="8.140625" style="1083" customWidth="1"/>
    <col min="15638" max="15638" width="13" style="1083" bestFit="1" customWidth="1"/>
    <col min="15639" max="15877" width="10.85546875" style="1083"/>
    <col min="15878" max="15878" width="8.85546875" style="1083" customWidth="1"/>
    <col min="15879" max="15879" width="50" style="1083" customWidth="1"/>
    <col min="15880" max="15880" width="6.42578125" style="1083" bestFit="1" customWidth="1"/>
    <col min="15881" max="15881" width="8.85546875" style="1083" customWidth="1"/>
    <col min="15882" max="15882" width="8.5703125" style="1083" customWidth="1"/>
    <col min="15883" max="15883" width="11.42578125" style="1083" bestFit="1" customWidth="1"/>
    <col min="15884" max="15884" width="7.85546875" style="1083" bestFit="1" customWidth="1"/>
    <col min="15885" max="15885" width="11.5703125" style="1083" bestFit="1" customWidth="1"/>
    <col min="15886" max="15886" width="8" style="1083" bestFit="1" customWidth="1"/>
    <col min="15887" max="15887" width="11.5703125" style="1083" bestFit="1" customWidth="1"/>
    <col min="15888" max="15888" width="8.140625" style="1083" bestFit="1" customWidth="1"/>
    <col min="15889" max="15889" width="11.5703125" style="1083" bestFit="1" customWidth="1"/>
    <col min="15890" max="15890" width="8.42578125" style="1083" customWidth="1"/>
    <col min="15891" max="15891" width="7.42578125" style="1083" bestFit="1" customWidth="1"/>
    <col min="15892" max="15892" width="11.5703125" style="1083" bestFit="1" customWidth="1"/>
    <col min="15893" max="15893" width="8.140625" style="1083" customWidth="1"/>
    <col min="15894" max="15894" width="13" style="1083" bestFit="1" customWidth="1"/>
    <col min="15895" max="16133" width="10.85546875" style="1083"/>
    <col min="16134" max="16134" width="8.85546875" style="1083" customWidth="1"/>
    <col min="16135" max="16135" width="50" style="1083" customWidth="1"/>
    <col min="16136" max="16136" width="6.42578125" style="1083" bestFit="1" customWidth="1"/>
    <col min="16137" max="16137" width="8.85546875" style="1083" customWidth="1"/>
    <col min="16138" max="16138" width="8.5703125" style="1083" customWidth="1"/>
    <col min="16139" max="16139" width="11.42578125" style="1083" bestFit="1" customWidth="1"/>
    <col min="16140" max="16140" width="7.85546875" style="1083" bestFit="1" customWidth="1"/>
    <col min="16141" max="16141" width="11.5703125" style="1083" bestFit="1" customWidth="1"/>
    <col min="16142" max="16142" width="8" style="1083" bestFit="1" customWidth="1"/>
    <col min="16143" max="16143" width="11.5703125" style="1083" bestFit="1" customWidth="1"/>
    <col min="16144" max="16144" width="8.140625" style="1083" bestFit="1" customWidth="1"/>
    <col min="16145" max="16145" width="11.5703125" style="1083" bestFit="1" customWidth="1"/>
    <col min="16146" max="16146" width="8.42578125" style="1083" customWidth="1"/>
    <col min="16147" max="16147" width="7.42578125" style="1083" bestFit="1" customWidth="1"/>
    <col min="16148" max="16148" width="11.5703125" style="1083" bestFit="1" customWidth="1"/>
    <col min="16149" max="16149" width="8.140625" style="1083" customWidth="1"/>
    <col min="16150" max="16150" width="13" style="1083" bestFit="1" customWidth="1"/>
    <col min="16151" max="16384" width="10.85546875" style="1083"/>
  </cols>
  <sheetData>
    <row r="1" spans="1:25" s="1538" customFormat="1" ht="15.75">
      <c r="B1" s="2817" t="s">
        <v>12</v>
      </c>
      <c r="C1" s="2817"/>
      <c r="D1" s="2817"/>
      <c r="E1" s="2817"/>
      <c r="F1" s="2817"/>
      <c r="G1" s="2817"/>
      <c r="H1" s="2817"/>
      <c r="I1" s="2817"/>
      <c r="J1" s="2817"/>
      <c r="K1" s="2817"/>
      <c r="L1" s="2817"/>
      <c r="M1" s="2817"/>
      <c r="N1" s="2817"/>
      <c r="O1" s="2817"/>
      <c r="P1" s="2817"/>
      <c r="Q1" s="2817"/>
      <c r="R1" s="2817"/>
      <c r="S1" s="2817"/>
      <c r="W1" s="1539"/>
    </row>
    <row r="2" spans="1:25" s="1538" customFormat="1" ht="15.75">
      <c r="B2" s="2817" t="s">
        <v>4302</v>
      </c>
      <c r="C2" s="2817"/>
      <c r="D2" s="2817"/>
      <c r="E2" s="2817"/>
      <c r="F2" s="2817"/>
      <c r="G2" s="2817"/>
      <c r="H2" s="2817"/>
      <c r="I2" s="2817"/>
      <c r="J2" s="2817"/>
      <c r="K2" s="2817"/>
      <c r="L2" s="2817"/>
      <c r="M2" s="2817"/>
      <c r="N2" s="2817"/>
      <c r="O2" s="2817"/>
      <c r="P2" s="2817"/>
      <c r="Q2" s="2817"/>
      <c r="R2" s="2817"/>
      <c r="S2" s="2817"/>
      <c r="W2" s="1539"/>
    </row>
    <row r="3" spans="1:25" s="1538" customFormat="1" ht="15.75">
      <c r="B3" s="2817" t="s">
        <v>4337</v>
      </c>
      <c r="C3" s="2817"/>
      <c r="D3" s="2817"/>
      <c r="E3" s="2817"/>
      <c r="F3" s="2817"/>
      <c r="G3" s="2817"/>
      <c r="H3" s="2817"/>
      <c r="I3" s="2817"/>
      <c r="J3" s="2817"/>
      <c r="K3" s="2817"/>
      <c r="L3" s="2817"/>
      <c r="M3" s="2817"/>
      <c r="N3" s="2817"/>
      <c r="O3" s="2817"/>
      <c r="P3" s="2817"/>
      <c r="Q3" s="2817"/>
      <c r="R3" s="2817"/>
      <c r="S3" s="2817"/>
      <c r="W3" s="1539"/>
    </row>
    <row r="4" spans="1:25" s="1098" customFormat="1" ht="28.35" customHeight="1">
      <c r="B4" s="1199"/>
      <c r="C4" s="1540" t="s">
        <v>6</v>
      </c>
      <c r="D4" s="1272" t="s">
        <v>4</v>
      </c>
      <c r="E4" s="2818" t="s">
        <v>2832</v>
      </c>
      <c r="F4" s="2818"/>
      <c r="G4" s="2818"/>
      <c r="H4" s="2818"/>
      <c r="I4" s="2818"/>
      <c r="J4" s="2818"/>
      <c r="K4" s="2818"/>
      <c r="L4" s="2818"/>
      <c r="M4" s="2818"/>
      <c r="N4" s="2818"/>
      <c r="O4" s="2818"/>
      <c r="P4" s="1271" t="s">
        <v>13</v>
      </c>
      <c r="Q4" s="1541"/>
      <c r="R4" s="2819">
        <f ca="1">TODAY()</f>
        <v>44841</v>
      </c>
      <c r="S4" s="2819"/>
    </row>
    <row r="5" spans="1:25" s="1098" customFormat="1">
      <c r="B5" s="1200"/>
      <c r="C5" s="1542" t="s">
        <v>5</v>
      </c>
      <c r="D5" s="1273" t="s">
        <v>4</v>
      </c>
      <c r="E5" s="1543" t="s">
        <v>533</v>
      </c>
      <c r="F5" s="1200"/>
      <c r="G5" s="1200"/>
      <c r="H5" s="1200"/>
      <c r="I5" s="1200"/>
      <c r="J5" s="1200"/>
      <c r="K5" s="1199"/>
      <c r="L5" s="1200"/>
      <c r="M5" s="1199"/>
      <c r="N5" s="1199"/>
      <c r="O5" s="1199"/>
      <c r="P5" s="1200" t="s">
        <v>14</v>
      </c>
      <c r="R5" s="1200"/>
      <c r="S5" s="1544" t="s">
        <v>536</v>
      </c>
    </row>
    <row r="6" spans="1:25" s="1098" customFormat="1">
      <c r="C6" s="1542" t="s">
        <v>15</v>
      </c>
      <c r="D6" s="1273" t="s">
        <v>4</v>
      </c>
      <c r="E6" s="1543" t="s">
        <v>3677</v>
      </c>
      <c r="J6" s="1199"/>
      <c r="K6" s="1199"/>
      <c r="L6" s="1199"/>
      <c r="M6" s="1199"/>
      <c r="N6" s="1199"/>
      <c r="O6" s="1199"/>
      <c r="P6" s="1200" t="s">
        <v>16</v>
      </c>
      <c r="S6" s="1544" t="s">
        <v>536</v>
      </c>
    </row>
    <row r="7" spans="1:25" s="1098" customFormat="1">
      <c r="C7" s="1542" t="s">
        <v>17</v>
      </c>
      <c r="D7" s="1273" t="s">
        <v>4</v>
      </c>
      <c r="E7" s="1543" t="s">
        <v>11</v>
      </c>
      <c r="J7" s="1199"/>
      <c r="K7" s="1199"/>
      <c r="L7" s="1199"/>
      <c r="M7" s="1273"/>
      <c r="N7" s="1273"/>
      <c r="O7" s="1199"/>
      <c r="P7" s="1200" t="s">
        <v>18</v>
      </c>
      <c r="R7" s="1545"/>
      <c r="S7" s="1544" t="s">
        <v>10</v>
      </c>
    </row>
    <row r="8" spans="1:25" s="1098" customFormat="1">
      <c r="C8" s="1542" t="s">
        <v>19</v>
      </c>
      <c r="D8" s="1273" t="s">
        <v>4</v>
      </c>
      <c r="E8" s="1546">
        <v>2021</v>
      </c>
      <c r="J8" s="1199"/>
      <c r="K8" s="1199"/>
      <c r="L8" s="1199"/>
      <c r="M8" s="1199"/>
      <c r="N8" s="1273"/>
      <c r="O8" s="1547"/>
      <c r="P8" s="1199"/>
    </row>
    <row r="9" spans="1:25" s="1098" customFormat="1" ht="14.25" thickBot="1">
      <c r="C9" s="1548"/>
      <c r="D9" s="1199"/>
      <c r="E9" s="1097"/>
      <c r="F9" s="1097"/>
      <c r="G9" s="1097"/>
      <c r="H9" s="1097"/>
      <c r="I9" s="1097"/>
      <c r="J9" s="1199"/>
      <c r="K9" s="1199"/>
      <c r="L9" s="1199"/>
      <c r="M9" s="1199"/>
      <c r="N9" s="1199"/>
      <c r="O9" s="1199"/>
      <c r="P9" s="1199"/>
      <c r="W9" s="1199"/>
    </row>
    <row r="10" spans="1:25" ht="14.25" thickBot="1">
      <c r="B10" s="2676" t="s">
        <v>20</v>
      </c>
      <c r="C10" s="2676" t="s">
        <v>21</v>
      </c>
      <c r="D10" s="2792" t="s">
        <v>22</v>
      </c>
      <c r="E10" s="2796" t="s">
        <v>23</v>
      </c>
      <c r="F10" s="2797"/>
      <c r="G10" s="2797"/>
      <c r="H10" s="2798"/>
      <c r="I10" s="1396"/>
      <c r="J10" s="2802" t="s">
        <v>24</v>
      </c>
      <c r="K10" s="2804"/>
      <c r="L10" s="2820"/>
      <c r="M10" s="2787"/>
      <c r="N10" s="2804"/>
      <c r="O10" s="2804"/>
      <c r="P10" s="2803"/>
      <c r="Q10" s="2796" t="s">
        <v>25</v>
      </c>
      <c r="R10" s="2797"/>
      <c r="S10" s="2798"/>
    </row>
    <row r="11" spans="1:25" ht="14.25" thickBot="1">
      <c r="B11" s="2677"/>
      <c r="C11" s="2677"/>
      <c r="D11" s="2814"/>
      <c r="E11" s="2799"/>
      <c r="F11" s="2800"/>
      <c r="G11" s="2800"/>
      <c r="H11" s="2801"/>
      <c r="I11" s="1397"/>
      <c r="J11" s="2802" t="s">
        <v>26</v>
      </c>
      <c r="K11" s="2803"/>
      <c r="L11" s="2802" t="s">
        <v>27</v>
      </c>
      <c r="M11" s="2803"/>
      <c r="N11" s="2802" t="s">
        <v>28</v>
      </c>
      <c r="O11" s="2804"/>
      <c r="P11" s="2803"/>
      <c r="Q11" s="2799"/>
      <c r="R11" s="2800"/>
      <c r="S11" s="2801"/>
    </row>
    <row r="12" spans="1:25" ht="14.25" thickBot="1">
      <c r="B12" s="2677"/>
      <c r="C12" s="2677"/>
      <c r="D12" s="2814"/>
      <c r="E12" s="2676" t="s">
        <v>29</v>
      </c>
      <c r="F12" s="2676" t="s">
        <v>30</v>
      </c>
      <c r="G12" s="2807" t="s">
        <v>3922</v>
      </c>
      <c r="H12" s="2815" t="s">
        <v>3921</v>
      </c>
      <c r="I12" s="2807" t="s">
        <v>3923</v>
      </c>
      <c r="J12" s="2676" t="s">
        <v>3</v>
      </c>
      <c r="K12" s="2676" t="s">
        <v>32</v>
      </c>
      <c r="L12" s="2676" t="s">
        <v>3</v>
      </c>
      <c r="M12" s="2676" t="s">
        <v>32</v>
      </c>
      <c r="N12" s="2676" t="s">
        <v>3</v>
      </c>
      <c r="O12" s="2676" t="s">
        <v>32</v>
      </c>
      <c r="P12" s="2676" t="s">
        <v>0</v>
      </c>
      <c r="Q12" s="2676" t="s">
        <v>3</v>
      </c>
      <c r="R12" s="2809" t="s">
        <v>32</v>
      </c>
      <c r="S12" s="2676" t="s">
        <v>0</v>
      </c>
      <c r="W12" s="2786" t="s">
        <v>3623</v>
      </c>
      <c r="X12" s="2787"/>
      <c r="Y12" s="2788"/>
    </row>
    <row r="13" spans="1:25" ht="14.25" thickBot="1">
      <c r="B13" s="2678"/>
      <c r="C13" s="2678"/>
      <c r="D13" s="2793"/>
      <c r="E13" s="2678"/>
      <c r="F13" s="2678"/>
      <c r="G13" s="2808"/>
      <c r="H13" s="2816"/>
      <c r="I13" s="2808"/>
      <c r="J13" s="2678"/>
      <c r="K13" s="2678"/>
      <c r="L13" s="2678"/>
      <c r="M13" s="2678"/>
      <c r="N13" s="2678"/>
      <c r="O13" s="2678"/>
      <c r="P13" s="2678"/>
      <c r="Q13" s="2678"/>
      <c r="R13" s="2810"/>
      <c r="S13" s="2678"/>
    </row>
    <row r="14" spans="1:25" ht="9" customHeight="1" thickBot="1">
      <c r="B14" s="1206"/>
      <c r="C14" s="1207"/>
      <c r="D14" s="1208"/>
      <c r="E14" s="1206"/>
      <c r="F14" s="1207"/>
      <c r="G14" s="1207"/>
      <c r="H14" s="1395"/>
      <c r="I14" s="1207"/>
      <c r="J14" s="1206"/>
      <c r="K14" s="1208"/>
      <c r="L14" s="1208"/>
      <c r="M14" s="1208"/>
      <c r="N14" s="1206"/>
      <c r="O14" s="1207"/>
      <c r="P14" s="1395"/>
      <c r="Q14" s="1206"/>
      <c r="R14" s="1549"/>
      <c r="S14" s="1395"/>
    </row>
    <row r="15" spans="1:25" s="1436" customFormat="1" ht="28.5" customHeight="1">
      <c r="A15" s="1436" t="s">
        <v>3629</v>
      </c>
      <c r="B15" s="1550" t="s">
        <v>33</v>
      </c>
      <c r="C15" s="1551" t="s">
        <v>1132</v>
      </c>
      <c r="D15" s="1552"/>
      <c r="E15" s="1553"/>
      <c r="F15" s="1553"/>
      <c r="G15" s="1554"/>
      <c r="H15" s="1555"/>
      <c r="I15" s="1556"/>
      <c r="J15" s="1557"/>
      <c r="K15" s="1558"/>
      <c r="L15" s="1559"/>
      <c r="M15" s="1560"/>
      <c r="N15" s="1561"/>
      <c r="O15" s="1562"/>
      <c r="P15" s="1563"/>
      <c r="Q15" s="1561"/>
      <c r="R15" s="1564"/>
      <c r="S15" s="1565"/>
      <c r="T15" s="1433"/>
      <c r="U15" s="1433"/>
      <c r="V15" s="1433"/>
      <c r="W15" s="1434" t="s">
        <v>3624</v>
      </c>
      <c r="X15" s="1266"/>
      <c r="Y15" s="1435">
        <f>SUM(M17:M59)</f>
        <v>11114.7</v>
      </c>
    </row>
    <row r="16" spans="1:25" s="1266" customFormat="1">
      <c r="B16" s="1566" t="s">
        <v>35</v>
      </c>
      <c r="C16" s="1566" t="s">
        <v>2850</v>
      </c>
      <c r="D16" s="1567"/>
      <c r="E16" s="1568"/>
      <c r="F16" s="1568"/>
      <c r="G16" s="1569"/>
      <c r="H16" s="1570"/>
      <c r="I16" s="1571"/>
      <c r="J16" s="1572"/>
      <c r="K16" s="1573"/>
      <c r="L16" s="1574"/>
      <c r="M16" s="1575"/>
      <c r="N16" s="1576"/>
      <c r="O16" s="1577"/>
      <c r="P16" s="1575" t="str">
        <f t="shared" ref="P16:P26" si="0">+IF(D16=0,"",O16/H16)</f>
        <v/>
      </c>
      <c r="Q16" s="1576"/>
      <c r="R16" s="1577"/>
      <c r="S16" s="1578"/>
      <c r="T16" s="1435"/>
      <c r="U16" s="1435"/>
      <c r="V16" s="1435"/>
      <c r="W16" s="1434" t="s">
        <v>3625</v>
      </c>
      <c r="Y16" s="1448" t="e">
        <f>SUM(#REF!)</f>
        <v>#REF!</v>
      </c>
    </row>
    <row r="17" spans="1:27" s="1255" customFormat="1">
      <c r="B17" s="1579" t="s">
        <v>537</v>
      </c>
      <c r="C17" s="1580" t="s">
        <v>3924</v>
      </c>
      <c r="D17" s="1262" t="s">
        <v>37</v>
      </c>
      <c r="E17" s="1581">
        <v>738.23</v>
      </c>
      <c r="F17" s="1581">
        <v>13.58</v>
      </c>
      <c r="G17" s="1582">
        <v>13.68</v>
      </c>
      <c r="H17" s="1583">
        <f>ROUND(E17*F17,2)</f>
        <v>10025.16</v>
      </c>
      <c r="I17" s="1583">
        <f>ROUND(E17*G17,2)</f>
        <v>10098.99</v>
      </c>
      <c r="J17" s="1568">
        <v>738.23</v>
      </c>
      <c r="K17" s="1099">
        <f>J17*G17</f>
        <v>10098.9864</v>
      </c>
      <c r="L17" s="1584">
        <v>0</v>
      </c>
      <c r="M17" s="1585">
        <f>L17*G17</f>
        <v>0</v>
      </c>
      <c r="N17" s="1262">
        <f>J17+L17</f>
        <v>738.23</v>
      </c>
      <c r="O17" s="1213">
        <f>N17*G17</f>
        <v>10098.9864</v>
      </c>
      <c r="P17" s="1586">
        <f>+IF(D17=0,"",O17/I17)</f>
        <v>0.99999964352870929</v>
      </c>
      <c r="Q17" s="1264">
        <f t="shared" ref="Q17:Q25" si="1">E17-N17</f>
        <v>0</v>
      </c>
      <c r="R17" s="1101">
        <f>ROUND((Q17*G17),2)</f>
        <v>0</v>
      </c>
      <c r="S17" s="1265">
        <f>+IF(I17=0,"",R17/I17)</f>
        <v>0</v>
      </c>
      <c r="T17" s="1260">
        <f>+R17+O17</f>
        <v>10098.9864</v>
      </c>
      <c r="U17" s="1260">
        <f t="shared" ref="U17:U59" si="2">+H17</f>
        <v>10025.16</v>
      </c>
      <c r="V17" s="1260">
        <f>+U17-T17</f>
        <v>-73.826399999999921</v>
      </c>
      <c r="W17" s="1270" t="s">
        <v>1234</v>
      </c>
      <c r="Y17" s="1261" t="e">
        <f>SUM(#REF!)</f>
        <v>#REF!</v>
      </c>
    </row>
    <row r="18" spans="1:27" s="1254" customFormat="1">
      <c r="B18" s="1579" t="s">
        <v>538</v>
      </c>
      <c r="C18" s="1580" t="s">
        <v>3925</v>
      </c>
      <c r="D18" s="1262" t="s">
        <v>40</v>
      </c>
      <c r="E18" s="1581">
        <v>32.840000000000003</v>
      </c>
      <c r="F18" s="1581">
        <v>33.950000000000003</v>
      </c>
      <c r="G18" s="1582">
        <v>34.200000000000003</v>
      </c>
      <c r="H18" s="1583">
        <f t="shared" ref="H18:H59" si="3">ROUND(E18*F18,2)</f>
        <v>1114.92</v>
      </c>
      <c r="I18" s="1583">
        <f t="shared" ref="I18:I59" si="4">ROUND(E18*G18,2)</f>
        <v>1123.1300000000001</v>
      </c>
      <c r="J18" s="1568">
        <v>32.840000000000003</v>
      </c>
      <c r="K18" s="1099">
        <f t="shared" ref="K18:K25" si="5">J18*G18</f>
        <v>1123.1280000000002</v>
      </c>
      <c r="L18" s="1584">
        <v>0</v>
      </c>
      <c r="M18" s="1585">
        <f t="shared" ref="M18:M25" si="6">L18*G18</f>
        <v>0</v>
      </c>
      <c r="N18" s="1262">
        <f t="shared" ref="N18:N25" si="7">J18+L18</f>
        <v>32.840000000000003</v>
      </c>
      <c r="O18" s="1213">
        <f t="shared" ref="O18:O25" si="8">N18*G18</f>
        <v>1123.1280000000002</v>
      </c>
      <c r="P18" s="1586">
        <f t="shared" ref="P18:P25" si="9">+IF(D18=0,"",O18/I18)</f>
        <v>0.99999821926224042</v>
      </c>
      <c r="Q18" s="1264">
        <f t="shared" si="1"/>
        <v>0</v>
      </c>
      <c r="R18" s="1101">
        <f t="shared" ref="R18:R25" si="10">ROUND((Q18*G18),2)</f>
        <v>0</v>
      </c>
      <c r="S18" s="1265">
        <f t="shared" ref="S18:S25" si="11">+IF(I18=0,"",R18/I18)</f>
        <v>0</v>
      </c>
      <c r="T18" s="1260">
        <f t="shared" ref="T18:T59" si="12">+R18+O18</f>
        <v>1123.1280000000002</v>
      </c>
      <c r="U18" s="1260">
        <f t="shared" si="2"/>
        <v>1114.92</v>
      </c>
      <c r="V18" s="1260">
        <f t="shared" ref="V18:V59" si="13">+U18-T18</f>
        <v>-8.2080000000000837</v>
      </c>
      <c r="W18" s="1270" t="s">
        <v>3626</v>
      </c>
      <c r="X18" s="1255"/>
      <c r="Y18" s="1261" t="e">
        <f>SUM(#REF!)</f>
        <v>#REF!</v>
      </c>
    </row>
    <row r="19" spans="1:27" s="1254" customFormat="1">
      <c r="B19" s="1579" t="s">
        <v>539</v>
      </c>
      <c r="C19" s="1580" t="s">
        <v>3926</v>
      </c>
      <c r="D19" s="1262" t="s">
        <v>40</v>
      </c>
      <c r="E19" s="1581">
        <v>26.84</v>
      </c>
      <c r="F19" s="1581">
        <v>33.950000000000003</v>
      </c>
      <c r="G19" s="1582">
        <v>34.200000000000003</v>
      </c>
      <c r="H19" s="1583">
        <f t="shared" si="3"/>
        <v>911.22</v>
      </c>
      <c r="I19" s="1583">
        <f t="shared" si="4"/>
        <v>917.93</v>
      </c>
      <c r="J19" s="1568">
        <v>26.84</v>
      </c>
      <c r="K19" s="1099">
        <f t="shared" si="5"/>
        <v>917.92800000000011</v>
      </c>
      <c r="L19" s="1584">
        <v>0</v>
      </c>
      <c r="M19" s="1585">
        <f t="shared" si="6"/>
        <v>0</v>
      </c>
      <c r="N19" s="1262">
        <f t="shared" si="7"/>
        <v>26.84</v>
      </c>
      <c r="O19" s="1213">
        <f t="shared" si="8"/>
        <v>917.92800000000011</v>
      </c>
      <c r="P19" s="1586">
        <f t="shared" si="9"/>
        <v>0.9999978211846221</v>
      </c>
      <c r="Q19" s="1264">
        <f t="shared" si="1"/>
        <v>0</v>
      </c>
      <c r="R19" s="1101">
        <f t="shared" si="10"/>
        <v>0</v>
      </c>
      <c r="S19" s="1265">
        <f t="shared" si="11"/>
        <v>0</v>
      </c>
      <c r="T19" s="1260">
        <f t="shared" si="12"/>
        <v>917.92800000000011</v>
      </c>
      <c r="U19" s="1260">
        <f t="shared" si="2"/>
        <v>911.22</v>
      </c>
      <c r="V19" s="1260">
        <f t="shared" si="13"/>
        <v>-6.7080000000000837</v>
      </c>
      <c r="W19" s="1270" t="s">
        <v>3627</v>
      </c>
      <c r="X19" s="1255"/>
      <c r="Y19" s="1261" t="e">
        <f>SUM(#REF!)</f>
        <v>#REF!</v>
      </c>
    </row>
    <row r="20" spans="1:27" s="1255" customFormat="1">
      <c r="B20" s="1579" t="s">
        <v>540</v>
      </c>
      <c r="C20" s="1580" t="s">
        <v>3927</v>
      </c>
      <c r="D20" s="1262" t="s">
        <v>40</v>
      </c>
      <c r="E20" s="1581">
        <v>88.28</v>
      </c>
      <c r="F20" s="1581">
        <v>33.950000000000003</v>
      </c>
      <c r="G20" s="1582">
        <v>34.200000000000003</v>
      </c>
      <c r="H20" s="1583">
        <f t="shared" si="3"/>
        <v>2997.11</v>
      </c>
      <c r="I20" s="1583">
        <f t="shared" si="4"/>
        <v>3019.18</v>
      </c>
      <c r="J20" s="1568">
        <v>88.28</v>
      </c>
      <c r="K20" s="1099">
        <f t="shared" si="5"/>
        <v>3019.1760000000004</v>
      </c>
      <c r="L20" s="1584">
        <v>0</v>
      </c>
      <c r="M20" s="1585">
        <f t="shared" si="6"/>
        <v>0</v>
      </c>
      <c r="N20" s="1262">
        <f t="shared" si="7"/>
        <v>88.28</v>
      </c>
      <c r="O20" s="1213">
        <f t="shared" si="8"/>
        <v>3019.1760000000004</v>
      </c>
      <c r="P20" s="1586">
        <f t="shared" si="9"/>
        <v>0.99999867513695795</v>
      </c>
      <c r="Q20" s="1264">
        <f t="shared" si="1"/>
        <v>0</v>
      </c>
      <c r="R20" s="1101">
        <f t="shared" si="10"/>
        <v>0</v>
      </c>
      <c r="S20" s="1265">
        <f t="shared" si="11"/>
        <v>0</v>
      </c>
      <c r="T20" s="1260">
        <f t="shared" si="12"/>
        <v>3019.1760000000004</v>
      </c>
      <c r="U20" s="1260">
        <f t="shared" si="2"/>
        <v>2997.11</v>
      </c>
      <c r="V20" s="1260">
        <f t="shared" si="13"/>
        <v>-22.066000000000258</v>
      </c>
      <c r="W20" s="1270" t="s">
        <v>3628</v>
      </c>
      <c r="Y20" s="1261" t="e">
        <f>SUM(#REF!)</f>
        <v>#REF!</v>
      </c>
    </row>
    <row r="21" spans="1:27" s="1254" customFormat="1">
      <c r="B21" s="1579" t="s">
        <v>541</v>
      </c>
      <c r="C21" s="1580" t="s">
        <v>3928</v>
      </c>
      <c r="D21" s="1262" t="s">
        <v>40</v>
      </c>
      <c r="E21" s="1581">
        <v>2.96</v>
      </c>
      <c r="F21" s="1581">
        <v>33.950000000000003</v>
      </c>
      <c r="G21" s="1582">
        <v>34.200000000000003</v>
      </c>
      <c r="H21" s="1583">
        <f t="shared" si="3"/>
        <v>100.49</v>
      </c>
      <c r="I21" s="1583">
        <f t="shared" si="4"/>
        <v>101.23</v>
      </c>
      <c r="J21" s="1568">
        <v>2.96</v>
      </c>
      <c r="K21" s="1099">
        <f t="shared" si="5"/>
        <v>101.23200000000001</v>
      </c>
      <c r="L21" s="1584">
        <v>0</v>
      </c>
      <c r="M21" s="1585">
        <f t="shared" si="6"/>
        <v>0</v>
      </c>
      <c r="N21" s="1262">
        <f t="shared" si="7"/>
        <v>2.96</v>
      </c>
      <c r="O21" s="1213">
        <f t="shared" si="8"/>
        <v>101.23200000000001</v>
      </c>
      <c r="P21" s="1586">
        <f t="shared" si="9"/>
        <v>1.000019756989035</v>
      </c>
      <c r="Q21" s="1264">
        <f t="shared" si="1"/>
        <v>0</v>
      </c>
      <c r="R21" s="1101">
        <f t="shared" si="10"/>
        <v>0</v>
      </c>
      <c r="S21" s="1265">
        <f t="shared" si="11"/>
        <v>0</v>
      </c>
      <c r="T21" s="1260">
        <f t="shared" si="12"/>
        <v>101.23200000000001</v>
      </c>
      <c r="U21" s="1260">
        <f t="shared" si="2"/>
        <v>100.49</v>
      </c>
      <c r="V21" s="1260">
        <f t="shared" si="13"/>
        <v>-0.74200000000001864</v>
      </c>
      <c r="W21" s="1271"/>
    </row>
    <row r="22" spans="1:27" s="1255" customFormat="1">
      <c r="B22" s="1579" t="s">
        <v>3722</v>
      </c>
      <c r="C22" s="1580" t="s">
        <v>3929</v>
      </c>
      <c r="D22" s="1262" t="s">
        <v>40</v>
      </c>
      <c r="E22" s="1581">
        <v>30.86</v>
      </c>
      <c r="F22" s="1581">
        <v>33.950000000000003</v>
      </c>
      <c r="G22" s="1582">
        <v>34.200000000000003</v>
      </c>
      <c r="H22" s="1583">
        <f t="shared" si="3"/>
        <v>1047.7</v>
      </c>
      <c r="I22" s="1583">
        <f t="shared" si="4"/>
        <v>1055.4100000000001</v>
      </c>
      <c r="J22" s="1568">
        <v>30.86</v>
      </c>
      <c r="K22" s="1099">
        <f t="shared" si="5"/>
        <v>1055.412</v>
      </c>
      <c r="L22" s="1584">
        <v>0</v>
      </c>
      <c r="M22" s="1585">
        <f t="shared" si="6"/>
        <v>0</v>
      </c>
      <c r="N22" s="1262">
        <f t="shared" si="7"/>
        <v>30.86</v>
      </c>
      <c r="O22" s="1213">
        <f t="shared" si="8"/>
        <v>1055.412</v>
      </c>
      <c r="P22" s="1586">
        <f t="shared" si="9"/>
        <v>1.0000018949981524</v>
      </c>
      <c r="Q22" s="1264">
        <f t="shared" si="1"/>
        <v>0</v>
      </c>
      <c r="R22" s="1101">
        <f t="shared" si="10"/>
        <v>0</v>
      </c>
      <c r="S22" s="1265">
        <f t="shared" si="11"/>
        <v>0</v>
      </c>
      <c r="T22" s="1260">
        <f t="shared" si="12"/>
        <v>1055.412</v>
      </c>
      <c r="U22" s="1260">
        <f t="shared" si="2"/>
        <v>1047.7</v>
      </c>
      <c r="V22" s="1260">
        <f t="shared" si="13"/>
        <v>-7.7119999999999891</v>
      </c>
      <c r="W22" s="1270"/>
      <c r="X22" s="1254" t="s">
        <v>2</v>
      </c>
      <c r="Y22" s="1259" t="e">
        <f>SUM(Y15:Y21)</f>
        <v>#REF!</v>
      </c>
      <c r="Z22" s="1260">
        <f>+M60</f>
        <v>11114.7</v>
      </c>
      <c r="AA22" s="1260" t="e">
        <f>+Y22-Z22</f>
        <v>#REF!</v>
      </c>
    </row>
    <row r="23" spans="1:27" s="1255" customFormat="1">
      <c r="B23" s="1579" t="s">
        <v>3930</v>
      </c>
      <c r="C23" s="1580" t="s">
        <v>3931</v>
      </c>
      <c r="D23" s="1262" t="s">
        <v>40</v>
      </c>
      <c r="E23" s="1581">
        <v>32.130000000000003</v>
      </c>
      <c r="F23" s="1581">
        <v>33.950000000000003</v>
      </c>
      <c r="G23" s="1582">
        <v>34.200000000000003</v>
      </c>
      <c r="H23" s="1583">
        <f t="shared" si="3"/>
        <v>1090.81</v>
      </c>
      <c r="I23" s="1583">
        <f t="shared" si="4"/>
        <v>1098.8499999999999</v>
      </c>
      <c r="J23" s="1568">
        <v>32.130000000000003</v>
      </c>
      <c r="K23" s="1099">
        <f t="shared" si="5"/>
        <v>1098.8460000000002</v>
      </c>
      <c r="L23" s="1584">
        <v>0</v>
      </c>
      <c r="M23" s="1585">
        <f t="shared" si="6"/>
        <v>0</v>
      </c>
      <c r="N23" s="1262">
        <f t="shared" si="7"/>
        <v>32.130000000000003</v>
      </c>
      <c r="O23" s="1213">
        <f t="shared" si="8"/>
        <v>1098.8460000000002</v>
      </c>
      <c r="P23" s="1586">
        <f t="shared" si="9"/>
        <v>0.99999635983073243</v>
      </c>
      <c r="Q23" s="1264">
        <f t="shared" si="1"/>
        <v>0</v>
      </c>
      <c r="R23" s="1101">
        <f t="shared" si="10"/>
        <v>0</v>
      </c>
      <c r="S23" s="1265">
        <f t="shared" si="11"/>
        <v>0</v>
      </c>
      <c r="T23" s="1260">
        <f t="shared" si="12"/>
        <v>1098.8460000000002</v>
      </c>
      <c r="U23" s="1260">
        <f t="shared" si="2"/>
        <v>1090.81</v>
      </c>
      <c r="V23" s="1260">
        <f t="shared" si="13"/>
        <v>-8.0360000000002856</v>
      </c>
      <c r="W23" s="1270"/>
    </row>
    <row r="24" spans="1:27" s="1255" customFormat="1">
      <c r="A24" s="1255" t="s">
        <v>3629</v>
      </c>
      <c r="B24" s="1579" t="s">
        <v>3932</v>
      </c>
      <c r="C24" s="1580" t="s">
        <v>3933</v>
      </c>
      <c r="D24" s="1262" t="s">
        <v>37</v>
      </c>
      <c r="E24" s="1581">
        <v>3444.69</v>
      </c>
      <c r="F24" s="1581">
        <v>13.58</v>
      </c>
      <c r="G24" s="1582">
        <v>13.68</v>
      </c>
      <c r="H24" s="1583">
        <f t="shared" si="3"/>
        <v>46778.89</v>
      </c>
      <c r="I24" s="1583">
        <f t="shared" si="4"/>
        <v>47123.360000000001</v>
      </c>
      <c r="J24" s="1568">
        <v>3444.69</v>
      </c>
      <c r="K24" s="1099">
        <f t="shared" si="5"/>
        <v>47123.359199999999</v>
      </c>
      <c r="L24" s="1584">
        <v>0</v>
      </c>
      <c r="M24" s="1585">
        <f t="shared" si="6"/>
        <v>0</v>
      </c>
      <c r="N24" s="1262">
        <f t="shared" si="7"/>
        <v>3444.69</v>
      </c>
      <c r="O24" s="1213">
        <f t="shared" si="8"/>
        <v>47123.359199999999</v>
      </c>
      <c r="P24" s="1586">
        <f t="shared" si="9"/>
        <v>0.99999998302328186</v>
      </c>
      <c r="Q24" s="1264">
        <f t="shared" si="1"/>
        <v>0</v>
      </c>
      <c r="R24" s="1101">
        <f t="shared" si="10"/>
        <v>0</v>
      </c>
      <c r="S24" s="1265">
        <f t="shared" si="11"/>
        <v>0</v>
      </c>
      <c r="T24" s="1260">
        <f t="shared" si="12"/>
        <v>47123.359199999999</v>
      </c>
      <c r="U24" s="1260">
        <f t="shared" si="2"/>
        <v>46778.89</v>
      </c>
      <c r="V24" s="1260">
        <f t="shared" si="13"/>
        <v>-344.46919999999955</v>
      </c>
      <c r="W24" s="1270"/>
    </row>
    <row r="25" spans="1:27" s="1255" customFormat="1">
      <c r="A25" s="1255" t="s">
        <v>3629</v>
      </c>
      <c r="B25" s="1579" t="s">
        <v>3934</v>
      </c>
      <c r="C25" s="1580" t="s">
        <v>3935</v>
      </c>
      <c r="D25" s="1262" t="s">
        <v>40</v>
      </c>
      <c r="E25" s="1581">
        <v>105.22</v>
      </c>
      <c r="F25" s="1581">
        <v>33.950000000000003</v>
      </c>
      <c r="G25" s="1582">
        <v>34.200000000000003</v>
      </c>
      <c r="H25" s="1583">
        <f t="shared" si="3"/>
        <v>3572.22</v>
      </c>
      <c r="I25" s="1583">
        <f t="shared" si="4"/>
        <v>3598.52</v>
      </c>
      <c r="J25" s="1568">
        <v>105.22</v>
      </c>
      <c r="K25" s="1099">
        <f t="shared" si="5"/>
        <v>3598.5240000000003</v>
      </c>
      <c r="L25" s="1584">
        <v>0</v>
      </c>
      <c r="M25" s="1585">
        <f t="shared" si="6"/>
        <v>0</v>
      </c>
      <c r="N25" s="1262">
        <f t="shared" si="7"/>
        <v>105.22</v>
      </c>
      <c r="O25" s="1213">
        <f t="shared" si="8"/>
        <v>3598.5240000000003</v>
      </c>
      <c r="P25" s="1586">
        <f t="shared" si="9"/>
        <v>1.0000011115680891</v>
      </c>
      <c r="Q25" s="1264">
        <f t="shared" si="1"/>
        <v>0</v>
      </c>
      <c r="R25" s="1101">
        <f t="shared" si="10"/>
        <v>0</v>
      </c>
      <c r="S25" s="1265">
        <f t="shared" si="11"/>
        <v>0</v>
      </c>
      <c r="T25" s="1260">
        <f t="shared" si="12"/>
        <v>3598.5240000000003</v>
      </c>
      <c r="U25" s="1260">
        <f t="shared" si="2"/>
        <v>3572.22</v>
      </c>
      <c r="V25" s="1260">
        <f t="shared" si="13"/>
        <v>-26.304000000000542</v>
      </c>
      <c r="W25" s="1270"/>
    </row>
    <row r="26" spans="1:27" s="1266" customFormat="1">
      <c r="B26" s="1566" t="s">
        <v>39</v>
      </c>
      <c r="C26" s="1566" t="s">
        <v>3936</v>
      </c>
      <c r="D26" s="1567"/>
      <c r="E26" s="1568"/>
      <c r="F26" s="1568"/>
      <c r="G26" s="1569"/>
      <c r="H26" s="1583">
        <f t="shared" si="3"/>
        <v>0</v>
      </c>
      <c r="I26" s="1583">
        <f t="shared" si="4"/>
        <v>0</v>
      </c>
      <c r="J26" s="1571"/>
      <c r="K26" s="1587"/>
      <c r="L26" s="1588"/>
      <c r="M26" s="1585"/>
      <c r="N26" s="1567"/>
      <c r="O26" s="1589"/>
      <c r="P26" s="1590" t="str">
        <f t="shared" si="0"/>
        <v/>
      </c>
      <c r="Q26" s="1591"/>
      <c r="R26" s="1592"/>
      <c r="S26" s="1593" t="str">
        <f t="shared" ref="S26" si="14">+IF(H26=0,"",R26/H26)</f>
        <v/>
      </c>
      <c r="T26" s="1435">
        <f t="shared" si="12"/>
        <v>0</v>
      </c>
      <c r="U26" s="1435">
        <f t="shared" si="2"/>
        <v>0</v>
      </c>
      <c r="V26" s="1435">
        <f t="shared" si="13"/>
        <v>0</v>
      </c>
      <c r="W26" s="1434"/>
    </row>
    <row r="27" spans="1:27" s="1254" customFormat="1">
      <c r="A27" s="1254" t="s">
        <v>3629</v>
      </c>
      <c r="B27" s="1594" t="s">
        <v>537</v>
      </c>
      <c r="C27" s="1580" t="s">
        <v>3937</v>
      </c>
      <c r="D27" s="1262" t="s">
        <v>36</v>
      </c>
      <c r="E27" s="1581">
        <v>62400</v>
      </c>
      <c r="F27" s="1581">
        <v>0.56000000000000005</v>
      </c>
      <c r="G27" s="1582">
        <v>0.59</v>
      </c>
      <c r="H27" s="1583">
        <f t="shared" si="3"/>
        <v>34944</v>
      </c>
      <c r="I27" s="1583">
        <f t="shared" si="4"/>
        <v>36816</v>
      </c>
      <c r="J27" s="1571">
        <v>62400</v>
      </c>
      <c r="K27" s="1099">
        <f t="shared" ref="K27:K32" si="15">J27*G27</f>
        <v>36816</v>
      </c>
      <c r="L27" s="1588">
        <v>0</v>
      </c>
      <c r="M27" s="1585">
        <f t="shared" ref="M27:M32" si="16">L27*G27</f>
        <v>0</v>
      </c>
      <c r="N27" s="1262">
        <f>J27+L27</f>
        <v>62400</v>
      </c>
      <c r="O27" s="1213">
        <f t="shared" ref="O27:O32" si="17">N27*G27</f>
        <v>36816</v>
      </c>
      <c r="P27" s="1586">
        <f t="shared" ref="P27:P32" si="18">+IF(D27=0,"",O27/I27)</f>
        <v>1</v>
      </c>
      <c r="Q27" s="1264">
        <f t="shared" ref="Q27:Q32" si="19">E27-N27</f>
        <v>0</v>
      </c>
      <c r="R27" s="1101">
        <f t="shared" ref="R27:R32" si="20">ROUND((Q27*G27),2)</f>
        <v>0</v>
      </c>
      <c r="S27" s="1265">
        <f t="shared" ref="S27:S32" si="21">+IF(I27=0,"",R27/I27)</f>
        <v>0</v>
      </c>
      <c r="T27" s="1260">
        <f t="shared" si="12"/>
        <v>36816</v>
      </c>
      <c r="U27" s="1260">
        <f t="shared" si="2"/>
        <v>34944</v>
      </c>
      <c r="V27" s="1260">
        <f t="shared" si="13"/>
        <v>-1872</v>
      </c>
      <c r="W27" s="1271"/>
    </row>
    <row r="28" spans="1:27" s="1255" customFormat="1">
      <c r="A28" s="1255" t="s">
        <v>3629</v>
      </c>
      <c r="B28" s="1594" t="s">
        <v>538</v>
      </c>
      <c r="C28" s="1580" t="s">
        <v>3938</v>
      </c>
      <c r="D28" s="1262" t="s">
        <v>40</v>
      </c>
      <c r="E28" s="1581">
        <v>970</v>
      </c>
      <c r="F28" s="1581">
        <v>35.04</v>
      </c>
      <c r="G28" s="1582">
        <v>36.479999999999997</v>
      </c>
      <c r="H28" s="1583">
        <f t="shared" si="3"/>
        <v>33988.800000000003</v>
      </c>
      <c r="I28" s="1583">
        <f t="shared" si="4"/>
        <v>35385.599999999999</v>
      </c>
      <c r="J28" s="1571">
        <v>970</v>
      </c>
      <c r="K28" s="1099">
        <f t="shared" si="15"/>
        <v>35385.599999999999</v>
      </c>
      <c r="L28" s="1588">
        <v>0</v>
      </c>
      <c r="M28" s="1585">
        <f t="shared" si="16"/>
        <v>0</v>
      </c>
      <c r="N28" s="1262">
        <f t="shared" ref="N28:N32" si="22">J28+L28</f>
        <v>970</v>
      </c>
      <c r="O28" s="1213">
        <f t="shared" si="17"/>
        <v>35385.599999999999</v>
      </c>
      <c r="P28" s="1586">
        <f t="shared" si="18"/>
        <v>1</v>
      </c>
      <c r="Q28" s="1264">
        <f t="shared" si="19"/>
        <v>0</v>
      </c>
      <c r="R28" s="1101">
        <f t="shared" si="20"/>
        <v>0</v>
      </c>
      <c r="S28" s="1265">
        <f t="shared" si="21"/>
        <v>0</v>
      </c>
      <c r="T28" s="1260">
        <f t="shared" si="12"/>
        <v>35385.599999999999</v>
      </c>
      <c r="U28" s="1260">
        <f t="shared" si="2"/>
        <v>33988.800000000003</v>
      </c>
      <c r="V28" s="1260">
        <f t="shared" si="13"/>
        <v>-1396.7999999999956</v>
      </c>
      <c r="W28" s="1270"/>
    </row>
    <row r="29" spans="1:27" s="1255" customFormat="1">
      <c r="A29" s="1255" t="s">
        <v>3629</v>
      </c>
      <c r="B29" s="1594" t="s">
        <v>539</v>
      </c>
      <c r="C29" s="1580" t="s">
        <v>3939</v>
      </c>
      <c r="D29" s="1262" t="s">
        <v>40</v>
      </c>
      <c r="E29" s="1581">
        <v>970</v>
      </c>
      <c r="F29" s="1581">
        <v>55.04</v>
      </c>
      <c r="G29" s="1582">
        <v>56.48</v>
      </c>
      <c r="H29" s="1583">
        <f t="shared" si="3"/>
        <v>53388.800000000003</v>
      </c>
      <c r="I29" s="1583">
        <f t="shared" si="4"/>
        <v>54785.599999999999</v>
      </c>
      <c r="J29" s="1571">
        <v>970</v>
      </c>
      <c r="K29" s="1099">
        <f t="shared" si="15"/>
        <v>54785.599999999999</v>
      </c>
      <c r="L29" s="1588">
        <v>0</v>
      </c>
      <c r="M29" s="1585">
        <f t="shared" si="16"/>
        <v>0</v>
      </c>
      <c r="N29" s="1262">
        <f t="shared" si="22"/>
        <v>970</v>
      </c>
      <c r="O29" s="1213">
        <f t="shared" si="17"/>
        <v>54785.599999999999</v>
      </c>
      <c r="P29" s="1586">
        <f t="shared" si="18"/>
        <v>1</v>
      </c>
      <c r="Q29" s="1264">
        <f t="shared" si="19"/>
        <v>0</v>
      </c>
      <c r="R29" s="1101">
        <f t="shared" si="20"/>
        <v>0</v>
      </c>
      <c r="S29" s="1265">
        <f t="shared" si="21"/>
        <v>0</v>
      </c>
      <c r="T29" s="1260">
        <f t="shared" si="12"/>
        <v>54785.599999999999</v>
      </c>
      <c r="U29" s="1260">
        <f t="shared" si="2"/>
        <v>53388.800000000003</v>
      </c>
      <c r="V29" s="1260">
        <f t="shared" si="13"/>
        <v>-1396.7999999999956</v>
      </c>
      <c r="W29" s="1270"/>
    </row>
    <row r="30" spans="1:27" s="1254" customFormat="1">
      <c r="A30" s="1254" t="s">
        <v>3629</v>
      </c>
      <c r="B30" s="1594" t="s">
        <v>540</v>
      </c>
      <c r="C30" s="1580" t="s">
        <v>3940</v>
      </c>
      <c r="D30" s="1262" t="s">
        <v>36</v>
      </c>
      <c r="E30" s="1581">
        <v>11700</v>
      </c>
      <c r="F30" s="1581">
        <v>0.78</v>
      </c>
      <c r="G30" s="1582">
        <v>0.81</v>
      </c>
      <c r="H30" s="1583">
        <f t="shared" si="3"/>
        <v>9126</v>
      </c>
      <c r="I30" s="1583">
        <f t="shared" si="4"/>
        <v>9477</v>
      </c>
      <c r="J30" s="1568">
        <v>11700</v>
      </c>
      <c r="K30" s="1099">
        <f t="shared" si="15"/>
        <v>9477</v>
      </c>
      <c r="L30" s="1588">
        <v>0</v>
      </c>
      <c r="M30" s="1585">
        <f t="shared" si="16"/>
        <v>0</v>
      </c>
      <c r="N30" s="1262">
        <f t="shared" si="22"/>
        <v>11700</v>
      </c>
      <c r="O30" s="1213">
        <f t="shared" si="17"/>
        <v>9477</v>
      </c>
      <c r="P30" s="1586">
        <f t="shared" si="18"/>
        <v>1</v>
      </c>
      <c r="Q30" s="1264">
        <f t="shared" si="19"/>
        <v>0</v>
      </c>
      <c r="R30" s="1101">
        <f t="shared" si="20"/>
        <v>0</v>
      </c>
      <c r="S30" s="1265">
        <f t="shared" si="21"/>
        <v>0</v>
      </c>
      <c r="T30" s="1260">
        <f t="shared" si="12"/>
        <v>9477</v>
      </c>
      <c r="U30" s="1260">
        <f t="shared" si="2"/>
        <v>9126</v>
      </c>
      <c r="V30" s="1260">
        <f t="shared" si="13"/>
        <v>-351</v>
      </c>
      <c r="W30" s="1271"/>
    </row>
    <row r="31" spans="1:27" s="1254" customFormat="1">
      <c r="B31" s="1594" t="s">
        <v>541</v>
      </c>
      <c r="C31" s="1580" t="s">
        <v>3941</v>
      </c>
      <c r="D31" s="1262" t="s">
        <v>36</v>
      </c>
      <c r="E31" s="1581">
        <v>57000</v>
      </c>
      <c r="F31" s="1581">
        <v>0.2</v>
      </c>
      <c r="G31" s="1582">
        <v>0.21</v>
      </c>
      <c r="H31" s="1583">
        <f t="shared" si="3"/>
        <v>11400</v>
      </c>
      <c r="I31" s="1583">
        <f t="shared" si="4"/>
        <v>11970</v>
      </c>
      <c r="J31" s="1568">
        <v>57000</v>
      </c>
      <c r="K31" s="1099">
        <f t="shared" si="15"/>
        <v>11970</v>
      </c>
      <c r="L31" s="1588">
        <v>0</v>
      </c>
      <c r="M31" s="1585">
        <f t="shared" si="16"/>
        <v>0</v>
      </c>
      <c r="N31" s="1262">
        <f t="shared" si="22"/>
        <v>57000</v>
      </c>
      <c r="O31" s="1213">
        <f t="shared" si="17"/>
        <v>11970</v>
      </c>
      <c r="P31" s="1586">
        <f t="shared" si="18"/>
        <v>1</v>
      </c>
      <c r="Q31" s="1264">
        <f t="shared" si="19"/>
        <v>0</v>
      </c>
      <c r="R31" s="1101">
        <f t="shared" si="20"/>
        <v>0</v>
      </c>
      <c r="S31" s="1265">
        <f t="shared" si="21"/>
        <v>0</v>
      </c>
      <c r="T31" s="1260">
        <f t="shared" si="12"/>
        <v>11970</v>
      </c>
      <c r="U31" s="1260">
        <f t="shared" si="2"/>
        <v>11400</v>
      </c>
      <c r="V31" s="1260">
        <f t="shared" si="13"/>
        <v>-570</v>
      </c>
      <c r="W31" s="1271"/>
    </row>
    <row r="32" spans="1:27" s="1255" customFormat="1">
      <c r="A32" s="1255" t="s">
        <v>3629</v>
      </c>
      <c r="B32" s="1594" t="s">
        <v>3722</v>
      </c>
      <c r="C32" s="1580" t="s">
        <v>3942</v>
      </c>
      <c r="D32" s="1262" t="s">
        <v>36</v>
      </c>
      <c r="E32" s="1581">
        <v>15200</v>
      </c>
      <c r="F32" s="1581">
        <v>0.39</v>
      </c>
      <c r="G32" s="1582">
        <v>0.4</v>
      </c>
      <c r="H32" s="1583">
        <f t="shared" si="3"/>
        <v>5928</v>
      </c>
      <c r="I32" s="1583">
        <f t="shared" si="4"/>
        <v>6080</v>
      </c>
      <c r="J32" s="1571">
        <v>15200</v>
      </c>
      <c r="K32" s="1099">
        <f t="shared" si="15"/>
        <v>6080</v>
      </c>
      <c r="L32" s="1588">
        <v>0</v>
      </c>
      <c r="M32" s="1585">
        <f t="shared" si="16"/>
        <v>0</v>
      </c>
      <c r="N32" s="1262">
        <f t="shared" si="22"/>
        <v>15200</v>
      </c>
      <c r="O32" s="1213">
        <f t="shared" si="17"/>
        <v>6080</v>
      </c>
      <c r="P32" s="1586">
        <f t="shared" si="18"/>
        <v>1</v>
      </c>
      <c r="Q32" s="1264">
        <f t="shared" si="19"/>
        <v>0</v>
      </c>
      <c r="R32" s="1101">
        <f t="shared" si="20"/>
        <v>0</v>
      </c>
      <c r="S32" s="1265">
        <f t="shared" si="21"/>
        <v>0</v>
      </c>
      <c r="T32" s="1260">
        <f t="shared" si="12"/>
        <v>6080</v>
      </c>
      <c r="U32" s="1260">
        <f t="shared" si="2"/>
        <v>5928</v>
      </c>
      <c r="V32" s="1260">
        <f t="shared" si="13"/>
        <v>-152</v>
      </c>
      <c r="W32" s="1270"/>
    </row>
    <row r="33" spans="1:23" s="1266" customFormat="1">
      <c r="A33" s="1266" t="s">
        <v>3629</v>
      </c>
      <c r="B33" s="1595" t="s">
        <v>42</v>
      </c>
      <c r="C33" s="1596" t="s">
        <v>1154</v>
      </c>
      <c r="D33" s="1567"/>
      <c r="E33" s="1568"/>
      <c r="F33" s="1568"/>
      <c r="G33" s="1569"/>
      <c r="H33" s="1583">
        <f t="shared" si="3"/>
        <v>0</v>
      </c>
      <c r="I33" s="1583">
        <f t="shared" si="4"/>
        <v>0</v>
      </c>
      <c r="J33" s="1597"/>
      <c r="K33" s="1587"/>
      <c r="L33" s="1574"/>
      <c r="M33" s="1585"/>
      <c r="N33" s="1567"/>
      <c r="O33" s="1589"/>
      <c r="P33" s="1590"/>
      <c r="Q33" s="1591"/>
      <c r="R33" s="1592"/>
      <c r="S33" s="1593"/>
      <c r="T33" s="1435">
        <f t="shared" si="12"/>
        <v>0</v>
      </c>
      <c r="U33" s="1435">
        <f t="shared" si="2"/>
        <v>0</v>
      </c>
      <c r="V33" s="1435">
        <f t="shared" si="13"/>
        <v>0</v>
      </c>
      <c r="W33" s="1434"/>
    </row>
    <row r="34" spans="1:23" s="1266" customFormat="1">
      <c r="B34" s="1566" t="s">
        <v>43</v>
      </c>
      <c r="C34" s="1566" t="s">
        <v>3943</v>
      </c>
      <c r="D34" s="1567"/>
      <c r="E34" s="1568"/>
      <c r="F34" s="1568"/>
      <c r="G34" s="1569"/>
      <c r="H34" s="1583">
        <f t="shared" si="3"/>
        <v>0</v>
      </c>
      <c r="I34" s="1583">
        <f t="shared" si="4"/>
        <v>0</v>
      </c>
      <c r="J34" s="1571"/>
      <c r="K34" s="1587"/>
      <c r="L34" s="1588"/>
      <c r="M34" s="1585"/>
      <c r="N34" s="1567"/>
      <c r="O34" s="1589"/>
      <c r="P34" s="1590"/>
      <c r="Q34" s="1591"/>
      <c r="R34" s="1592"/>
      <c r="S34" s="1593"/>
      <c r="T34" s="1435">
        <f t="shared" si="12"/>
        <v>0</v>
      </c>
      <c r="U34" s="1435">
        <f t="shared" si="2"/>
        <v>0</v>
      </c>
      <c r="V34" s="1435">
        <f t="shared" si="13"/>
        <v>0</v>
      </c>
      <c r="W34" s="1434"/>
    </row>
    <row r="35" spans="1:23" s="1255" customFormat="1">
      <c r="B35" s="1598" t="s">
        <v>53</v>
      </c>
      <c r="C35" s="1580" t="s">
        <v>3944</v>
      </c>
      <c r="D35" s="1262" t="s">
        <v>40</v>
      </c>
      <c r="E35" s="1581">
        <v>3243.76</v>
      </c>
      <c r="F35" s="1581">
        <v>9.14</v>
      </c>
      <c r="G35" s="1582">
        <v>9.2100000000000009</v>
      </c>
      <c r="H35" s="1583">
        <f t="shared" si="3"/>
        <v>29647.97</v>
      </c>
      <c r="I35" s="1583">
        <f t="shared" si="4"/>
        <v>29875.03</v>
      </c>
      <c r="J35" s="1568">
        <v>3243.76</v>
      </c>
      <c r="K35" s="1099">
        <f t="shared" ref="K35:K36" si="23">J35*G35</f>
        <v>29875.029600000005</v>
      </c>
      <c r="L35" s="1584">
        <v>0</v>
      </c>
      <c r="M35" s="1585">
        <f t="shared" ref="M35:M36" si="24">L35*G35</f>
        <v>0</v>
      </c>
      <c r="N35" s="1262">
        <f t="shared" ref="N35:N59" si="25">J35+L35</f>
        <v>3243.76</v>
      </c>
      <c r="O35" s="1213">
        <f t="shared" ref="O35:O36" si="26">N35*G35</f>
        <v>29875.029600000005</v>
      </c>
      <c r="P35" s="1586">
        <f t="shared" ref="P35:P36" si="27">+IF(D35=0,"",O35/I35)</f>
        <v>0.99999998661089229</v>
      </c>
      <c r="Q35" s="1264">
        <f>E35-N35</f>
        <v>0</v>
      </c>
      <c r="R35" s="1101">
        <f t="shared" ref="R35:R36" si="28">ROUND((Q35*G35),2)</f>
        <v>0</v>
      </c>
      <c r="S35" s="1265">
        <f t="shared" ref="S35:S36" si="29">+IF(I35=0,"",R35/I35)</f>
        <v>0</v>
      </c>
      <c r="T35" s="1260">
        <f t="shared" si="12"/>
        <v>29875.029600000005</v>
      </c>
      <c r="U35" s="1260">
        <f t="shared" si="2"/>
        <v>29647.97</v>
      </c>
      <c r="V35" s="1260">
        <f t="shared" si="13"/>
        <v>-227.05960000000414</v>
      </c>
      <c r="W35" s="1270"/>
    </row>
    <row r="36" spans="1:23" s="1255" customFormat="1">
      <c r="B36" s="1598" t="s">
        <v>564</v>
      </c>
      <c r="C36" s="1580" t="s">
        <v>3945</v>
      </c>
      <c r="D36" s="1262" t="s">
        <v>40</v>
      </c>
      <c r="E36" s="1581">
        <v>3181.66</v>
      </c>
      <c r="F36" s="1581">
        <v>53.02</v>
      </c>
      <c r="G36" s="1582">
        <v>53.85</v>
      </c>
      <c r="H36" s="1583">
        <f t="shared" si="3"/>
        <v>168691.61</v>
      </c>
      <c r="I36" s="1583">
        <f t="shared" si="4"/>
        <v>171332.39</v>
      </c>
      <c r="J36" s="1568">
        <v>3181.66</v>
      </c>
      <c r="K36" s="1099">
        <f t="shared" si="23"/>
        <v>171332.391</v>
      </c>
      <c r="L36" s="1584">
        <v>0</v>
      </c>
      <c r="M36" s="1585">
        <f t="shared" si="24"/>
        <v>0</v>
      </c>
      <c r="N36" s="1262">
        <f t="shared" si="25"/>
        <v>3181.66</v>
      </c>
      <c r="O36" s="1213">
        <f t="shared" si="26"/>
        <v>171332.391</v>
      </c>
      <c r="P36" s="1586">
        <f t="shared" si="27"/>
        <v>1.0000000058366079</v>
      </c>
      <c r="Q36" s="1264">
        <f>E36-N36</f>
        <v>0</v>
      </c>
      <c r="R36" s="1101">
        <f t="shared" si="28"/>
        <v>0</v>
      </c>
      <c r="S36" s="1265">
        <f t="shared" si="29"/>
        <v>0</v>
      </c>
      <c r="T36" s="1260">
        <f t="shared" si="12"/>
        <v>171332.391</v>
      </c>
      <c r="U36" s="1260">
        <f t="shared" si="2"/>
        <v>168691.61</v>
      </c>
      <c r="V36" s="1260">
        <f t="shared" si="13"/>
        <v>-2640.7810000000172</v>
      </c>
      <c r="W36" s="1272"/>
    </row>
    <row r="37" spans="1:23" s="1266" customFormat="1">
      <c r="A37" s="1266" t="s">
        <v>3629</v>
      </c>
      <c r="B37" s="1566" t="s">
        <v>44</v>
      </c>
      <c r="C37" s="1566" t="s">
        <v>3723</v>
      </c>
      <c r="D37" s="1567"/>
      <c r="E37" s="1568"/>
      <c r="F37" s="1568"/>
      <c r="G37" s="1569"/>
      <c r="H37" s="1583">
        <f t="shared" si="3"/>
        <v>0</v>
      </c>
      <c r="I37" s="1583">
        <f t="shared" si="4"/>
        <v>0</v>
      </c>
      <c r="J37" s="1571"/>
      <c r="K37" s="1587"/>
      <c r="L37" s="1588"/>
      <c r="M37" s="1585"/>
      <c r="N37" s="1567"/>
      <c r="O37" s="1589"/>
      <c r="P37" s="1590"/>
      <c r="Q37" s="1591"/>
      <c r="R37" s="1592"/>
      <c r="S37" s="1593"/>
      <c r="T37" s="1435">
        <f t="shared" si="12"/>
        <v>0</v>
      </c>
      <c r="U37" s="1435">
        <f t="shared" si="2"/>
        <v>0</v>
      </c>
      <c r="V37" s="1435">
        <f t="shared" si="13"/>
        <v>0</v>
      </c>
      <c r="W37" s="1434"/>
    </row>
    <row r="38" spans="1:23" s="1266" customFormat="1">
      <c r="A38" s="1266" t="s">
        <v>3629</v>
      </c>
      <c r="B38" s="1599" t="s">
        <v>54</v>
      </c>
      <c r="C38" s="1599" t="s">
        <v>3946</v>
      </c>
      <c r="D38" s="1567"/>
      <c r="E38" s="1568"/>
      <c r="F38" s="1568"/>
      <c r="G38" s="1569"/>
      <c r="H38" s="1583">
        <f t="shared" si="3"/>
        <v>0</v>
      </c>
      <c r="I38" s="1583">
        <f t="shared" si="4"/>
        <v>0</v>
      </c>
      <c r="J38" s="1571"/>
      <c r="K38" s="1587"/>
      <c r="L38" s="1588"/>
      <c r="M38" s="1585"/>
      <c r="N38" s="1567"/>
      <c r="O38" s="1589"/>
      <c r="P38" s="1590"/>
      <c r="Q38" s="1591"/>
      <c r="R38" s="1592"/>
      <c r="S38" s="1593"/>
      <c r="T38" s="1435">
        <f t="shared" si="12"/>
        <v>0</v>
      </c>
      <c r="U38" s="1435">
        <f t="shared" si="2"/>
        <v>0</v>
      </c>
      <c r="V38" s="1435">
        <f t="shared" si="13"/>
        <v>0</v>
      </c>
      <c r="W38" s="1434"/>
    </row>
    <row r="39" spans="1:23" s="1255" customFormat="1">
      <c r="A39" s="1255" t="s">
        <v>3629</v>
      </c>
      <c r="B39" s="1598" t="s">
        <v>611</v>
      </c>
      <c r="C39" s="1580" t="s">
        <v>3947</v>
      </c>
      <c r="D39" s="1262" t="s">
        <v>37</v>
      </c>
      <c r="E39" s="1581">
        <v>90.79</v>
      </c>
      <c r="F39" s="1581">
        <v>34.660000000000004</v>
      </c>
      <c r="G39" s="1582">
        <v>35.479999999999997</v>
      </c>
      <c r="H39" s="1583">
        <f t="shared" si="3"/>
        <v>3146.78</v>
      </c>
      <c r="I39" s="1583">
        <f t="shared" si="4"/>
        <v>3221.23</v>
      </c>
      <c r="J39" s="1568">
        <v>90.79</v>
      </c>
      <c r="K39" s="1099">
        <f t="shared" ref="K39:K43" si="30">J39*G39</f>
        <v>3221.2291999999998</v>
      </c>
      <c r="L39" s="1584">
        <v>0</v>
      </c>
      <c r="M39" s="1585">
        <f t="shared" ref="M39:M41" si="31">L39*G39</f>
        <v>0</v>
      </c>
      <c r="N39" s="1262">
        <f t="shared" si="25"/>
        <v>90.79</v>
      </c>
      <c r="O39" s="1213">
        <f t="shared" ref="O39:O41" si="32">N39*G39</f>
        <v>3221.2291999999998</v>
      </c>
      <c r="P39" s="1586">
        <f t="shared" ref="P39:P41" si="33">+IF(D39=0,"",O39/I39)</f>
        <v>0.99999975164766242</v>
      </c>
      <c r="Q39" s="1264">
        <f>E39-N39</f>
        <v>0</v>
      </c>
      <c r="R39" s="1101">
        <f t="shared" ref="R39:R41" si="34">ROUND((Q39*G39),2)</f>
        <v>0</v>
      </c>
      <c r="S39" s="1265">
        <f t="shared" ref="S39:S41" si="35">+IF(I39=0,"",R39/I39)</f>
        <v>0</v>
      </c>
      <c r="T39" s="1260">
        <f t="shared" si="12"/>
        <v>3221.2291999999998</v>
      </c>
      <c r="U39" s="1260">
        <f t="shared" si="2"/>
        <v>3146.78</v>
      </c>
      <c r="V39" s="1260">
        <f t="shared" si="13"/>
        <v>-74.449199999999564</v>
      </c>
      <c r="W39" s="1270"/>
    </row>
    <row r="40" spans="1:23" s="1254" customFormat="1">
      <c r="A40" s="1254" t="s">
        <v>3629</v>
      </c>
      <c r="B40" s="1598" t="s">
        <v>612</v>
      </c>
      <c r="C40" s="1580" t="s">
        <v>3948</v>
      </c>
      <c r="D40" s="1262" t="s">
        <v>37</v>
      </c>
      <c r="E40" s="1581">
        <v>71.86</v>
      </c>
      <c r="F40" s="1581">
        <v>70.34</v>
      </c>
      <c r="G40" s="1582">
        <v>71.209999999999994</v>
      </c>
      <c r="H40" s="1583">
        <f t="shared" si="3"/>
        <v>5054.63</v>
      </c>
      <c r="I40" s="1583">
        <f t="shared" si="4"/>
        <v>5117.1499999999996</v>
      </c>
      <c r="J40" s="1568">
        <v>71.86</v>
      </c>
      <c r="K40" s="1099">
        <f t="shared" si="30"/>
        <v>5117.1505999999999</v>
      </c>
      <c r="L40" s="1584">
        <v>0</v>
      </c>
      <c r="M40" s="1585">
        <f t="shared" si="31"/>
        <v>0</v>
      </c>
      <c r="N40" s="1262">
        <f t="shared" si="25"/>
        <v>71.86</v>
      </c>
      <c r="O40" s="1213">
        <f t="shared" si="32"/>
        <v>5117.1505999999999</v>
      </c>
      <c r="P40" s="1586">
        <f t="shared" si="33"/>
        <v>1.0000001172527677</v>
      </c>
      <c r="Q40" s="1264">
        <f>E40-N40</f>
        <v>0</v>
      </c>
      <c r="R40" s="1101">
        <f t="shared" si="34"/>
        <v>0</v>
      </c>
      <c r="S40" s="1265">
        <f t="shared" si="35"/>
        <v>0</v>
      </c>
      <c r="T40" s="1260">
        <f t="shared" si="12"/>
        <v>5117.1505999999999</v>
      </c>
      <c r="U40" s="1260">
        <f t="shared" si="2"/>
        <v>5054.63</v>
      </c>
      <c r="V40" s="1260">
        <f t="shared" si="13"/>
        <v>-62.520599999999831</v>
      </c>
      <c r="W40" s="1271"/>
    </row>
    <row r="41" spans="1:23" s="1255" customFormat="1">
      <c r="B41" s="1598" t="s">
        <v>613</v>
      </c>
      <c r="C41" s="1580" t="s">
        <v>3949</v>
      </c>
      <c r="D41" s="1262" t="s">
        <v>37</v>
      </c>
      <c r="E41" s="1581">
        <v>130.69999999999999</v>
      </c>
      <c r="F41" s="1581">
        <v>70.34</v>
      </c>
      <c r="G41" s="1582">
        <v>71.209999999999994</v>
      </c>
      <c r="H41" s="1583">
        <f t="shared" si="3"/>
        <v>9193.44</v>
      </c>
      <c r="I41" s="1583">
        <f t="shared" si="4"/>
        <v>9307.15</v>
      </c>
      <c r="J41" s="1568">
        <v>130.69999999999999</v>
      </c>
      <c r="K41" s="1099">
        <f t="shared" si="30"/>
        <v>9307.146999999999</v>
      </c>
      <c r="L41" s="1584">
        <v>0</v>
      </c>
      <c r="M41" s="1585">
        <f t="shared" si="31"/>
        <v>0</v>
      </c>
      <c r="N41" s="1262">
        <f t="shared" si="25"/>
        <v>130.69999999999999</v>
      </c>
      <c r="O41" s="1213">
        <f t="shared" si="32"/>
        <v>9307.146999999999</v>
      </c>
      <c r="P41" s="1586">
        <f t="shared" si="33"/>
        <v>0.9999996776671698</v>
      </c>
      <c r="Q41" s="1264">
        <f>E41-N41</f>
        <v>0</v>
      </c>
      <c r="R41" s="1101">
        <f t="shared" si="34"/>
        <v>0</v>
      </c>
      <c r="S41" s="1265">
        <f t="shared" si="35"/>
        <v>0</v>
      </c>
      <c r="T41" s="1260">
        <f t="shared" si="12"/>
        <v>9307.146999999999</v>
      </c>
      <c r="U41" s="1260">
        <f t="shared" si="2"/>
        <v>9193.44</v>
      </c>
      <c r="V41" s="1260">
        <f t="shared" si="13"/>
        <v>-113.70699999999852</v>
      </c>
      <c r="W41" s="1270"/>
    </row>
    <row r="42" spans="1:23" s="1255" customFormat="1">
      <c r="A42" s="1255" t="s">
        <v>3629</v>
      </c>
      <c r="B42" s="1600" t="s">
        <v>55</v>
      </c>
      <c r="C42" s="1600" t="s">
        <v>2908</v>
      </c>
      <c r="D42" s="1262"/>
      <c r="E42" s="1581"/>
      <c r="F42" s="1581"/>
      <c r="G42" s="1582"/>
      <c r="H42" s="1583">
        <f t="shared" si="3"/>
        <v>0</v>
      </c>
      <c r="I42" s="1583">
        <f t="shared" si="4"/>
        <v>0</v>
      </c>
      <c r="J42" s="1568"/>
      <c r="K42" s="1099"/>
      <c r="L42" s="1584"/>
      <c r="M42" s="1585"/>
      <c r="N42" s="1262"/>
      <c r="O42" s="1213"/>
      <c r="P42" s="1586"/>
      <c r="Q42" s="1264"/>
      <c r="R42" s="1101"/>
      <c r="S42" s="1265"/>
      <c r="T42" s="1260">
        <f t="shared" si="12"/>
        <v>0</v>
      </c>
      <c r="U42" s="1260">
        <f t="shared" si="2"/>
        <v>0</v>
      </c>
      <c r="V42" s="1260">
        <f t="shared" si="13"/>
        <v>0</v>
      </c>
      <c r="W42" s="1270"/>
    </row>
    <row r="43" spans="1:23" s="1255" customFormat="1">
      <c r="A43" s="1255" t="s">
        <v>3629</v>
      </c>
      <c r="B43" s="1598" t="s">
        <v>611</v>
      </c>
      <c r="C43" s="1580" t="s">
        <v>3950</v>
      </c>
      <c r="D43" s="1262" t="s">
        <v>37</v>
      </c>
      <c r="E43" s="1581">
        <v>263.60000000000002</v>
      </c>
      <c r="F43" s="1581">
        <v>70.09</v>
      </c>
      <c r="G43" s="1582">
        <v>70.98</v>
      </c>
      <c r="H43" s="1583">
        <f t="shared" si="3"/>
        <v>18475.72</v>
      </c>
      <c r="I43" s="1583">
        <f t="shared" si="4"/>
        <v>18710.330000000002</v>
      </c>
      <c r="J43" s="1568">
        <v>263.60000000000002</v>
      </c>
      <c r="K43" s="1099">
        <f t="shared" si="30"/>
        <v>18710.328000000001</v>
      </c>
      <c r="L43" s="1584">
        <v>0</v>
      </c>
      <c r="M43" s="1585">
        <f>L43*G43</f>
        <v>0</v>
      </c>
      <c r="N43" s="1262">
        <f t="shared" si="25"/>
        <v>263.60000000000002</v>
      </c>
      <c r="O43" s="1213">
        <f t="shared" ref="O43" si="36">N43*G43</f>
        <v>18710.328000000001</v>
      </c>
      <c r="P43" s="1586">
        <f>+IF(D43=0,"",O43/I43)</f>
        <v>0.99999989310717663</v>
      </c>
      <c r="Q43" s="1264">
        <f>E43-N43</f>
        <v>0</v>
      </c>
      <c r="R43" s="1101">
        <f>ROUND((Q43*G43),2)</f>
        <v>0</v>
      </c>
      <c r="S43" s="1265">
        <f>+IF(I43=0,"",R43/I43)</f>
        <v>0</v>
      </c>
      <c r="T43" s="1260">
        <f t="shared" si="12"/>
        <v>18710.328000000001</v>
      </c>
      <c r="U43" s="1260">
        <f t="shared" si="2"/>
        <v>18475.72</v>
      </c>
      <c r="V43" s="1260">
        <f t="shared" si="13"/>
        <v>-234.60800000000017</v>
      </c>
      <c r="W43" s="1270"/>
    </row>
    <row r="44" spans="1:23" s="1266" customFormat="1">
      <c r="A44" s="1266" t="s">
        <v>3629</v>
      </c>
      <c r="B44" s="1601" t="s">
        <v>52</v>
      </c>
      <c r="C44" s="1566" t="s">
        <v>2934</v>
      </c>
      <c r="D44" s="1567"/>
      <c r="E44" s="1568"/>
      <c r="F44" s="1568"/>
      <c r="G44" s="1569"/>
      <c r="H44" s="1583">
        <f t="shared" si="3"/>
        <v>0</v>
      </c>
      <c r="I44" s="1583">
        <f t="shared" si="4"/>
        <v>0</v>
      </c>
      <c r="J44" s="1568"/>
      <c r="K44" s="1587"/>
      <c r="L44" s="1584"/>
      <c r="M44" s="1585"/>
      <c r="N44" s="1567"/>
      <c r="O44" s="1589"/>
      <c r="P44" s="1590"/>
      <c r="Q44" s="1591"/>
      <c r="R44" s="1592"/>
      <c r="S44" s="1593"/>
      <c r="T44" s="1435">
        <f t="shared" si="12"/>
        <v>0</v>
      </c>
      <c r="U44" s="1435">
        <f t="shared" si="2"/>
        <v>0</v>
      </c>
      <c r="V44" s="1435">
        <f t="shared" si="13"/>
        <v>0</v>
      </c>
      <c r="W44" s="1434"/>
    </row>
    <row r="45" spans="1:23" s="1266" customFormat="1">
      <c r="A45" s="1266" t="s">
        <v>3629</v>
      </c>
      <c r="B45" s="1602" t="s">
        <v>56</v>
      </c>
      <c r="C45" s="1599" t="s">
        <v>2935</v>
      </c>
      <c r="D45" s="1567"/>
      <c r="E45" s="1568"/>
      <c r="F45" s="1568"/>
      <c r="G45" s="1569"/>
      <c r="H45" s="1583">
        <f t="shared" si="3"/>
        <v>0</v>
      </c>
      <c r="I45" s="1583">
        <f t="shared" si="4"/>
        <v>0</v>
      </c>
      <c r="J45" s="1568"/>
      <c r="K45" s="1587"/>
      <c r="L45" s="1584"/>
      <c r="M45" s="1585"/>
      <c r="N45" s="1567"/>
      <c r="O45" s="1589"/>
      <c r="P45" s="1590"/>
      <c r="Q45" s="1591"/>
      <c r="R45" s="1592"/>
      <c r="S45" s="1593"/>
      <c r="T45" s="1435">
        <f t="shared" si="12"/>
        <v>0</v>
      </c>
      <c r="U45" s="1435">
        <f t="shared" si="2"/>
        <v>0</v>
      </c>
      <c r="V45" s="1435">
        <f t="shared" si="13"/>
        <v>0</v>
      </c>
      <c r="W45" s="1434"/>
    </row>
    <row r="46" spans="1:23" s="1255" customFormat="1">
      <c r="B46" s="1598" t="s">
        <v>650</v>
      </c>
      <c r="C46" s="1580" t="s">
        <v>3951</v>
      </c>
      <c r="D46" s="1262" t="s">
        <v>37</v>
      </c>
      <c r="E46" s="1581">
        <v>775.79</v>
      </c>
      <c r="F46" s="1581">
        <v>70.09</v>
      </c>
      <c r="G46" s="1582">
        <v>70.98</v>
      </c>
      <c r="H46" s="1583">
        <f t="shared" si="3"/>
        <v>54375.12</v>
      </c>
      <c r="I46" s="1583">
        <f t="shared" si="4"/>
        <v>55065.57</v>
      </c>
      <c r="J46" s="1568">
        <v>775.79</v>
      </c>
      <c r="K46" s="1099">
        <f t="shared" ref="K46" si="37">J46*G46</f>
        <v>55065.574200000003</v>
      </c>
      <c r="L46" s="1584">
        <v>0</v>
      </c>
      <c r="M46" s="1585">
        <f>L46*G46</f>
        <v>0</v>
      </c>
      <c r="N46" s="1262">
        <f t="shared" si="25"/>
        <v>775.79</v>
      </c>
      <c r="O46" s="1213">
        <f t="shared" ref="O46" si="38">N46*G46</f>
        <v>55065.574200000003</v>
      </c>
      <c r="P46" s="1586">
        <f>+IF(D46=0,"",O46/I46)</f>
        <v>1.0000000762727055</v>
      </c>
      <c r="Q46" s="1264">
        <f>E46-N46</f>
        <v>0</v>
      </c>
      <c r="R46" s="1101">
        <f>ROUND((Q46*G46),2)</f>
        <v>0</v>
      </c>
      <c r="S46" s="1265">
        <f>+IF(I46=0,"",R46/I46)</f>
        <v>0</v>
      </c>
      <c r="T46" s="1260">
        <f t="shared" si="12"/>
        <v>55065.574200000003</v>
      </c>
      <c r="U46" s="1260">
        <f t="shared" si="2"/>
        <v>54375.12</v>
      </c>
      <c r="V46" s="1260">
        <f t="shared" si="13"/>
        <v>-690.45420000000013</v>
      </c>
      <c r="W46" s="1270"/>
    </row>
    <row r="47" spans="1:23" s="1266" customFormat="1">
      <c r="B47" s="1602" t="s">
        <v>57</v>
      </c>
      <c r="C47" s="1599" t="s">
        <v>2981</v>
      </c>
      <c r="D47" s="1567"/>
      <c r="E47" s="1568"/>
      <c r="F47" s="1568"/>
      <c r="G47" s="1569"/>
      <c r="H47" s="1583">
        <f t="shared" si="3"/>
        <v>0</v>
      </c>
      <c r="I47" s="1583">
        <f t="shared" si="4"/>
        <v>0</v>
      </c>
      <c r="J47" s="1568"/>
      <c r="K47" s="1587"/>
      <c r="L47" s="1584"/>
      <c r="M47" s="1585"/>
      <c r="N47" s="1567"/>
      <c r="O47" s="1589"/>
      <c r="P47" s="1590"/>
      <c r="Q47" s="1591"/>
      <c r="R47" s="1592"/>
      <c r="S47" s="1593"/>
      <c r="T47" s="1435">
        <f t="shared" si="12"/>
        <v>0</v>
      </c>
      <c r="U47" s="1435">
        <f t="shared" si="2"/>
        <v>0</v>
      </c>
      <c r="V47" s="1435">
        <f t="shared" si="13"/>
        <v>0</v>
      </c>
      <c r="W47" s="1434"/>
    </row>
    <row r="48" spans="1:23" s="1255" customFormat="1">
      <c r="B48" s="1598" t="s">
        <v>656</v>
      </c>
      <c r="C48" s="1580" t="s">
        <v>3952</v>
      </c>
      <c r="D48" s="1262" t="s">
        <v>36</v>
      </c>
      <c r="E48" s="1581">
        <v>2115</v>
      </c>
      <c r="F48" s="1581">
        <v>8.870000000000001</v>
      </c>
      <c r="G48" s="1582">
        <v>8.91</v>
      </c>
      <c r="H48" s="1583">
        <f t="shared" si="3"/>
        <v>18760.05</v>
      </c>
      <c r="I48" s="1583">
        <f t="shared" si="4"/>
        <v>18844.650000000001</v>
      </c>
      <c r="J48" s="1568">
        <v>2115</v>
      </c>
      <c r="K48" s="1099">
        <f t="shared" ref="K48" si="39">J48*G48</f>
        <v>18844.650000000001</v>
      </c>
      <c r="L48" s="1584">
        <v>0</v>
      </c>
      <c r="M48" s="1585">
        <f>L48*G48</f>
        <v>0</v>
      </c>
      <c r="N48" s="1262">
        <f t="shared" si="25"/>
        <v>2115</v>
      </c>
      <c r="O48" s="1213">
        <f t="shared" ref="O48" si="40">N48*G48</f>
        <v>18844.650000000001</v>
      </c>
      <c r="P48" s="1586">
        <f>+IF(D48=0,"",O48/I48)</f>
        <v>1</v>
      </c>
      <c r="Q48" s="1264">
        <f>E48-N48</f>
        <v>0</v>
      </c>
      <c r="R48" s="1101">
        <f>ROUND((Q48*G48),2)</f>
        <v>0</v>
      </c>
      <c r="S48" s="1265">
        <f>+IF(I48=0,"",R48/I48)</f>
        <v>0</v>
      </c>
      <c r="T48" s="1260">
        <f t="shared" si="12"/>
        <v>18844.650000000001</v>
      </c>
      <c r="U48" s="1260">
        <f t="shared" si="2"/>
        <v>18760.05</v>
      </c>
      <c r="V48" s="1260">
        <f t="shared" si="13"/>
        <v>-84.600000000002183</v>
      </c>
      <c r="W48" s="1270"/>
    </row>
    <row r="49" spans="1:24" s="1436" customFormat="1">
      <c r="B49" s="1602" t="s">
        <v>661</v>
      </c>
      <c r="C49" s="1599" t="s">
        <v>3953</v>
      </c>
      <c r="D49" s="1567"/>
      <c r="E49" s="1568"/>
      <c r="F49" s="1568"/>
      <c r="G49" s="1569"/>
      <c r="H49" s="1583">
        <f t="shared" si="3"/>
        <v>0</v>
      </c>
      <c r="I49" s="1583">
        <f t="shared" si="4"/>
        <v>0</v>
      </c>
      <c r="J49" s="1571"/>
      <c r="K49" s="1587"/>
      <c r="L49" s="1588"/>
      <c r="M49" s="1585"/>
      <c r="N49" s="1567"/>
      <c r="O49" s="1589"/>
      <c r="P49" s="1590"/>
      <c r="Q49" s="1591"/>
      <c r="R49" s="1592"/>
      <c r="S49" s="1593"/>
      <c r="T49" s="1435">
        <f t="shared" si="12"/>
        <v>0</v>
      </c>
      <c r="U49" s="1435">
        <f t="shared" si="2"/>
        <v>0</v>
      </c>
      <c r="V49" s="1435">
        <f t="shared" si="13"/>
        <v>0</v>
      </c>
      <c r="W49" s="1104"/>
    </row>
    <row r="50" spans="1:24" s="1255" customFormat="1">
      <c r="B50" s="1598" t="s">
        <v>662</v>
      </c>
      <c r="C50" s="1580" t="s">
        <v>3954</v>
      </c>
      <c r="D50" s="1262" t="s">
        <v>37</v>
      </c>
      <c r="E50" s="1581">
        <v>1640</v>
      </c>
      <c r="F50" s="1581">
        <v>21.8</v>
      </c>
      <c r="G50" s="1582">
        <v>22.54</v>
      </c>
      <c r="H50" s="1583">
        <f t="shared" si="3"/>
        <v>35752</v>
      </c>
      <c r="I50" s="1583">
        <f t="shared" si="4"/>
        <v>36965.599999999999</v>
      </c>
      <c r="J50" s="1571">
        <v>671.92000000000007</v>
      </c>
      <c r="K50" s="1099">
        <f t="shared" ref="K50" si="41">J50*G50</f>
        <v>15145.076800000001</v>
      </c>
      <c r="L50" s="1588">
        <v>0</v>
      </c>
      <c r="M50" s="1585">
        <f>L50*G50</f>
        <v>0</v>
      </c>
      <c r="N50" s="1262">
        <f t="shared" si="25"/>
        <v>671.92000000000007</v>
      </c>
      <c r="O50" s="1213">
        <f t="shared" ref="O50" si="42">N50*G50</f>
        <v>15145.076800000001</v>
      </c>
      <c r="P50" s="1586">
        <f>+IF(D50=0,"",O50/I50)</f>
        <v>0.40970731707317076</v>
      </c>
      <c r="Q50" s="1264">
        <f>E50-N50</f>
        <v>968.07999999999993</v>
      </c>
      <c r="R50" s="1101">
        <f>ROUND((Q50*G50),2)</f>
        <v>21820.52</v>
      </c>
      <c r="S50" s="1998">
        <f>+IF(I50=0,"",R50/I50)</f>
        <v>0.59029259635985898</v>
      </c>
      <c r="T50" s="1260">
        <f t="shared" si="12"/>
        <v>36965.596799999999</v>
      </c>
      <c r="U50" s="1260">
        <f t="shared" si="2"/>
        <v>35752</v>
      </c>
      <c r="V50" s="1260">
        <f t="shared" si="13"/>
        <v>-1213.5967999999993</v>
      </c>
      <c r="W50" s="1270"/>
    </row>
    <row r="51" spans="1:24" s="1266" customFormat="1">
      <c r="B51" s="1595" t="s">
        <v>45</v>
      </c>
      <c r="C51" s="1596" t="s">
        <v>1383</v>
      </c>
      <c r="D51" s="1567"/>
      <c r="E51" s="1568"/>
      <c r="F51" s="1568"/>
      <c r="G51" s="1569"/>
      <c r="H51" s="1583">
        <f t="shared" si="3"/>
        <v>0</v>
      </c>
      <c r="I51" s="1583">
        <f t="shared" si="4"/>
        <v>0</v>
      </c>
      <c r="J51" s="1571"/>
      <c r="K51" s="1587"/>
      <c r="L51" s="1588"/>
      <c r="M51" s="1585"/>
      <c r="N51" s="1567"/>
      <c r="O51" s="1589"/>
      <c r="P51" s="1590"/>
      <c r="Q51" s="1591"/>
      <c r="R51" s="1592"/>
      <c r="S51" s="1593"/>
      <c r="T51" s="1435">
        <f t="shared" si="12"/>
        <v>0</v>
      </c>
      <c r="U51" s="1435">
        <f t="shared" si="2"/>
        <v>0</v>
      </c>
      <c r="V51" s="1435">
        <f t="shared" si="13"/>
        <v>0</v>
      </c>
      <c r="W51" s="1434"/>
    </row>
    <row r="52" spans="1:24" s="1266" customFormat="1">
      <c r="A52" s="1266" t="s">
        <v>3629</v>
      </c>
      <c r="B52" s="1602" t="s">
        <v>47</v>
      </c>
      <c r="C52" s="1599" t="s">
        <v>3955</v>
      </c>
      <c r="D52" s="1567"/>
      <c r="E52" s="1568"/>
      <c r="F52" s="1568"/>
      <c r="G52" s="1569"/>
      <c r="H52" s="1583">
        <f t="shared" si="3"/>
        <v>0</v>
      </c>
      <c r="I52" s="1583">
        <f t="shared" si="4"/>
        <v>0</v>
      </c>
      <c r="J52" s="1571"/>
      <c r="K52" s="1587"/>
      <c r="L52" s="1588"/>
      <c r="M52" s="1585"/>
      <c r="N52" s="1567"/>
      <c r="O52" s="1589"/>
      <c r="P52" s="1590"/>
      <c r="Q52" s="1591"/>
      <c r="R52" s="1592"/>
      <c r="S52" s="1593"/>
      <c r="T52" s="1435">
        <f t="shared" si="12"/>
        <v>0</v>
      </c>
      <c r="U52" s="1435">
        <f t="shared" si="2"/>
        <v>0</v>
      </c>
      <c r="V52" s="1435">
        <f t="shared" si="13"/>
        <v>0</v>
      </c>
      <c r="W52" s="1434"/>
    </row>
    <row r="53" spans="1:24" s="1254" customFormat="1">
      <c r="B53" s="1598" t="s">
        <v>49</v>
      </c>
      <c r="C53" s="1580" t="s">
        <v>3956</v>
      </c>
      <c r="D53" s="1262" t="s">
        <v>1454</v>
      </c>
      <c r="E53" s="1581">
        <v>1</v>
      </c>
      <c r="F53" s="1581">
        <v>10901.01</v>
      </c>
      <c r="G53" s="1582">
        <v>11114.7</v>
      </c>
      <c r="H53" s="1583">
        <f t="shared" si="3"/>
        <v>10901.01</v>
      </c>
      <c r="I53" s="1583">
        <f t="shared" si="4"/>
        <v>11114.7</v>
      </c>
      <c r="J53" s="1571">
        <v>0</v>
      </c>
      <c r="K53" s="1099">
        <f t="shared" ref="K53" si="43">J53*G53</f>
        <v>0</v>
      </c>
      <c r="L53" s="1588">
        <f>+'[44]VAL AMP 3'!$L$17</f>
        <v>1</v>
      </c>
      <c r="M53" s="1585">
        <f t="shared" ref="M53:M59" si="44">L53*G53</f>
        <v>11114.7</v>
      </c>
      <c r="N53" s="1262">
        <f t="shared" si="25"/>
        <v>1</v>
      </c>
      <c r="O53" s="1213">
        <f t="shared" ref="O53" si="45">N53*G53</f>
        <v>11114.7</v>
      </c>
      <c r="P53" s="1586">
        <f>+IF(D53=0,"",O53/I53)</f>
        <v>1</v>
      </c>
      <c r="Q53" s="1264">
        <f>E53-N53</f>
        <v>0</v>
      </c>
      <c r="R53" s="1101">
        <f>ROUND((Q53*G53),2)</f>
        <v>0</v>
      </c>
      <c r="S53" s="1265">
        <f>+IF(I53=0,"",R53/I53)</f>
        <v>0</v>
      </c>
      <c r="T53" s="1260">
        <f t="shared" si="12"/>
        <v>11114.7</v>
      </c>
      <c r="U53" s="1260">
        <f t="shared" si="2"/>
        <v>10901.01</v>
      </c>
      <c r="V53" s="1260">
        <f t="shared" si="13"/>
        <v>-213.69000000000051</v>
      </c>
      <c r="W53" s="1271"/>
    </row>
    <row r="54" spans="1:24" s="1266" customFormat="1">
      <c r="A54" s="1266" t="s">
        <v>3629</v>
      </c>
      <c r="B54" s="1602" t="s">
        <v>475</v>
      </c>
      <c r="C54" s="1599" t="s">
        <v>3957</v>
      </c>
      <c r="D54" s="1567"/>
      <c r="E54" s="1568"/>
      <c r="F54" s="1568"/>
      <c r="G54" s="1569"/>
      <c r="H54" s="1583">
        <f t="shared" si="3"/>
        <v>0</v>
      </c>
      <c r="I54" s="1583">
        <f t="shared" si="4"/>
        <v>0</v>
      </c>
      <c r="J54" s="1571">
        <v>0</v>
      </c>
      <c r="K54" s="1587"/>
      <c r="L54" s="1588"/>
      <c r="M54" s="1585">
        <f t="shared" si="44"/>
        <v>0</v>
      </c>
      <c r="N54" s="1262">
        <f t="shared" si="25"/>
        <v>0</v>
      </c>
      <c r="O54" s="1589"/>
      <c r="P54" s="1590"/>
      <c r="Q54" s="1591"/>
      <c r="R54" s="1592"/>
      <c r="S54" s="1593"/>
      <c r="T54" s="1435">
        <f t="shared" si="12"/>
        <v>0</v>
      </c>
      <c r="U54" s="1435">
        <f t="shared" si="2"/>
        <v>0</v>
      </c>
      <c r="V54" s="1435">
        <f t="shared" si="13"/>
        <v>0</v>
      </c>
      <c r="W54" s="1434"/>
    </row>
    <row r="55" spans="1:24" s="1255" customFormat="1">
      <c r="B55" s="1579" t="s">
        <v>476</v>
      </c>
      <c r="C55" s="1580" t="s">
        <v>3501</v>
      </c>
      <c r="D55" s="1262" t="s">
        <v>38</v>
      </c>
      <c r="E55" s="1581">
        <v>130</v>
      </c>
      <c r="F55" s="1581">
        <v>6.3100000000000005</v>
      </c>
      <c r="G55" s="1582">
        <v>6.49</v>
      </c>
      <c r="H55" s="1583">
        <f t="shared" si="3"/>
        <v>820.3</v>
      </c>
      <c r="I55" s="1583">
        <f t="shared" si="4"/>
        <v>843.7</v>
      </c>
      <c r="J55" s="1571">
        <v>130</v>
      </c>
      <c r="K55" s="1099">
        <f t="shared" ref="K55:K59" si="46">J55*G55</f>
        <v>843.7</v>
      </c>
      <c r="L55" s="1588">
        <v>0</v>
      </c>
      <c r="M55" s="1585">
        <f t="shared" si="44"/>
        <v>0</v>
      </c>
      <c r="N55" s="1262">
        <f t="shared" si="25"/>
        <v>130</v>
      </c>
      <c r="O55" s="1213">
        <f t="shared" ref="O55:O59" si="47">N55*G55</f>
        <v>843.7</v>
      </c>
      <c r="P55" s="1586">
        <f t="shared" ref="P55:P59" si="48">+IF(D55=0,"",O55/I55)</f>
        <v>1</v>
      </c>
      <c r="Q55" s="1264">
        <f>E55-N55</f>
        <v>0</v>
      </c>
      <c r="R55" s="1101">
        <f t="shared" ref="R55:R59" si="49">ROUND((Q55*G55),2)</f>
        <v>0</v>
      </c>
      <c r="S55" s="1265">
        <f t="shared" ref="S55:S59" si="50">+IF(I55=0,"",R55/I55)</f>
        <v>0</v>
      </c>
      <c r="T55" s="1260">
        <f t="shared" si="12"/>
        <v>843.7</v>
      </c>
      <c r="U55" s="1260">
        <f t="shared" si="2"/>
        <v>820.3</v>
      </c>
      <c r="V55" s="1260">
        <f t="shared" si="13"/>
        <v>-23.400000000000091</v>
      </c>
      <c r="W55" s="1270"/>
    </row>
    <row r="56" spans="1:24" s="1255" customFormat="1">
      <c r="B56" s="1579" t="s">
        <v>477</v>
      </c>
      <c r="C56" s="1580" t="s">
        <v>3958</v>
      </c>
      <c r="D56" s="1262" t="s">
        <v>1452</v>
      </c>
      <c r="E56" s="1581">
        <v>12</v>
      </c>
      <c r="F56" s="1581">
        <v>99.15</v>
      </c>
      <c r="G56" s="1582">
        <v>101.14</v>
      </c>
      <c r="H56" s="1583">
        <f t="shared" si="3"/>
        <v>1189.8</v>
      </c>
      <c r="I56" s="1583">
        <f t="shared" si="4"/>
        <v>1213.68</v>
      </c>
      <c r="J56" s="1571">
        <v>12</v>
      </c>
      <c r="K56" s="1099">
        <f t="shared" si="46"/>
        <v>1213.68</v>
      </c>
      <c r="L56" s="1588">
        <v>0</v>
      </c>
      <c r="M56" s="1585">
        <f t="shared" si="44"/>
        <v>0</v>
      </c>
      <c r="N56" s="1262">
        <f t="shared" si="25"/>
        <v>12</v>
      </c>
      <c r="O56" s="1213">
        <f t="shared" si="47"/>
        <v>1213.68</v>
      </c>
      <c r="P56" s="1586">
        <f t="shared" si="48"/>
        <v>1</v>
      </c>
      <c r="Q56" s="1264">
        <f>E56-N56</f>
        <v>0</v>
      </c>
      <c r="R56" s="1101">
        <f t="shared" si="49"/>
        <v>0</v>
      </c>
      <c r="S56" s="1265">
        <f t="shared" si="50"/>
        <v>0</v>
      </c>
      <c r="T56" s="1260">
        <f t="shared" si="12"/>
        <v>1213.68</v>
      </c>
      <c r="U56" s="1260">
        <f t="shared" si="2"/>
        <v>1189.8</v>
      </c>
      <c r="V56" s="1260">
        <f t="shared" si="13"/>
        <v>-23.880000000000109</v>
      </c>
      <c r="W56" s="1270"/>
    </row>
    <row r="57" spans="1:24" s="1255" customFormat="1">
      <c r="B57" s="1579" t="s">
        <v>478</v>
      </c>
      <c r="C57" s="1580" t="s">
        <v>3959</v>
      </c>
      <c r="D57" s="1262" t="s">
        <v>1451</v>
      </c>
      <c r="E57" s="1581">
        <v>4</v>
      </c>
      <c r="F57" s="1581">
        <v>90</v>
      </c>
      <c r="G57" s="1582">
        <v>92.37</v>
      </c>
      <c r="H57" s="1583">
        <f t="shared" si="3"/>
        <v>360</v>
      </c>
      <c r="I57" s="1583">
        <f t="shared" si="4"/>
        <v>369.48</v>
      </c>
      <c r="J57" s="1571">
        <v>4</v>
      </c>
      <c r="K57" s="1099">
        <f t="shared" si="46"/>
        <v>369.48</v>
      </c>
      <c r="L57" s="1588">
        <v>0</v>
      </c>
      <c r="M57" s="1585">
        <f t="shared" si="44"/>
        <v>0</v>
      </c>
      <c r="N57" s="1262">
        <f t="shared" si="25"/>
        <v>4</v>
      </c>
      <c r="O57" s="1213">
        <f t="shared" si="47"/>
        <v>369.48</v>
      </c>
      <c r="P57" s="1586">
        <f t="shared" si="48"/>
        <v>1</v>
      </c>
      <c r="Q57" s="1264">
        <f>E57-N57</f>
        <v>0</v>
      </c>
      <c r="R57" s="1101">
        <f t="shared" si="49"/>
        <v>0</v>
      </c>
      <c r="S57" s="1265">
        <f t="shared" si="50"/>
        <v>0</v>
      </c>
      <c r="T57" s="1260">
        <f t="shared" si="12"/>
        <v>369.48</v>
      </c>
      <c r="U57" s="1260">
        <f t="shared" si="2"/>
        <v>360</v>
      </c>
      <c r="V57" s="1260">
        <f t="shared" si="13"/>
        <v>-9.4800000000000182</v>
      </c>
      <c r="W57" s="1270"/>
    </row>
    <row r="58" spans="1:24" s="1254" customFormat="1">
      <c r="B58" s="1579" t="s">
        <v>479</v>
      </c>
      <c r="C58" s="1580" t="s">
        <v>3960</v>
      </c>
      <c r="D58" s="1262" t="s">
        <v>36</v>
      </c>
      <c r="E58" s="1581">
        <v>12</v>
      </c>
      <c r="F58" s="1581">
        <v>171.61</v>
      </c>
      <c r="G58" s="1582">
        <v>172.42</v>
      </c>
      <c r="H58" s="1583">
        <f t="shared" si="3"/>
        <v>2059.3200000000002</v>
      </c>
      <c r="I58" s="1583">
        <f t="shared" si="4"/>
        <v>2069.04</v>
      </c>
      <c r="J58" s="1571">
        <v>0</v>
      </c>
      <c r="K58" s="1099">
        <f t="shared" si="46"/>
        <v>0</v>
      </c>
      <c r="L58" s="1588">
        <v>0</v>
      </c>
      <c r="M58" s="1585">
        <f t="shared" si="44"/>
        <v>0</v>
      </c>
      <c r="N58" s="1262">
        <f t="shared" si="25"/>
        <v>0</v>
      </c>
      <c r="O58" s="1213">
        <f t="shared" si="47"/>
        <v>0</v>
      </c>
      <c r="P58" s="1586">
        <f t="shared" si="48"/>
        <v>0</v>
      </c>
      <c r="Q58" s="1264">
        <f>E58-N58</f>
        <v>12</v>
      </c>
      <c r="R58" s="1101">
        <f t="shared" si="49"/>
        <v>2069.04</v>
      </c>
      <c r="S58" s="1265">
        <f t="shared" si="50"/>
        <v>1</v>
      </c>
      <c r="T58" s="1260">
        <f t="shared" si="12"/>
        <v>2069.04</v>
      </c>
      <c r="U58" s="1260">
        <f t="shared" si="2"/>
        <v>2059.3200000000002</v>
      </c>
      <c r="V58" s="1260">
        <f t="shared" si="13"/>
        <v>-9.7199999999997999</v>
      </c>
      <c r="W58" s="1271"/>
    </row>
    <row r="59" spans="1:24" s="1254" customFormat="1" ht="14.25" thickBot="1">
      <c r="B59" s="1907" t="s">
        <v>480</v>
      </c>
      <c r="C59" s="1908" t="s">
        <v>3961</v>
      </c>
      <c r="D59" s="1909" t="s">
        <v>38</v>
      </c>
      <c r="E59" s="1910">
        <v>130.56</v>
      </c>
      <c r="F59" s="1910">
        <v>7.47</v>
      </c>
      <c r="G59" s="1911">
        <v>7.71</v>
      </c>
      <c r="H59" s="1912">
        <f t="shared" si="3"/>
        <v>975.28</v>
      </c>
      <c r="I59" s="1913">
        <f t="shared" si="4"/>
        <v>1006.62</v>
      </c>
      <c r="J59" s="1914">
        <v>130.56</v>
      </c>
      <c r="K59" s="1915">
        <f t="shared" si="46"/>
        <v>1006.6176</v>
      </c>
      <c r="L59" s="1916">
        <v>0</v>
      </c>
      <c r="M59" s="1917">
        <f t="shared" si="44"/>
        <v>0</v>
      </c>
      <c r="N59" s="1909">
        <f t="shared" si="25"/>
        <v>130.56</v>
      </c>
      <c r="O59" s="1918">
        <f t="shared" si="47"/>
        <v>1006.6176</v>
      </c>
      <c r="P59" s="1919">
        <f t="shared" si="48"/>
        <v>0.99999761578351321</v>
      </c>
      <c r="Q59" s="1920">
        <f>E59-N59</f>
        <v>0</v>
      </c>
      <c r="R59" s="1921">
        <f t="shared" si="49"/>
        <v>0</v>
      </c>
      <c r="S59" s="1922">
        <f t="shared" si="50"/>
        <v>0</v>
      </c>
      <c r="T59" s="1260">
        <f t="shared" si="12"/>
        <v>1006.6176</v>
      </c>
      <c r="U59" s="1260">
        <f t="shared" si="2"/>
        <v>975.28</v>
      </c>
      <c r="V59" s="1260">
        <f t="shared" si="13"/>
        <v>-31.337600000000066</v>
      </c>
      <c r="W59" s="1271"/>
    </row>
    <row r="60" spans="1:24" s="496" customFormat="1" ht="12.75">
      <c r="B60" s="1116"/>
      <c r="C60" s="1180" t="s">
        <v>59</v>
      </c>
      <c r="D60" s="1181"/>
      <c r="E60" s="1181"/>
      <c r="F60" s="1181"/>
      <c r="G60" s="1181"/>
      <c r="H60" s="1923">
        <f>(SUM(H17:H59))</f>
        <v>575817.15</v>
      </c>
      <c r="I60" s="1924">
        <f>(SUM(I17:I59))</f>
        <v>587707.12</v>
      </c>
      <c r="J60" s="1925">
        <f>+K60/I60</f>
        <v>0.94043925416455731</v>
      </c>
      <c r="K60" s="1183">
        <f>SUM(K17:K59)</f>
        <v>552702.8456</v>
      </c>
      <c r="L60" s="1603">
        <f>M60/I60</f>
        <v>1.8911970983097839E-2</v>
      </c>
      <c r="M60" s="1267">
        <f>SUM(M17:M59)</f>
        <v>11114.7</v>
      </c>
      <c r="N60" s="1184">
        <f>+O60/I60</f>
        <v>0.9593512421629331</v>
      </c>
      <c r="O60" s="1183">
        <f>SUM(O17:O59)+0.01</f>
        <v>563817.55559999996</v>
      </c>
      <c r="P60" s="1184"/>
      <c r="Q60" s="1117"/>
      <c r="R60" s="1182">
        <f>SUM(R17:R59)</f>
        <v>23889.56</v>
      </c>
      <c r="S60" s="1221">
        <f>+R60/I60</f>
        <v>4.0648750350344577E-2</v>
      </c>
      <c r="T60" s="497">
        <f>+R60+O60</f>
        <v>587707.11560000002</v>
      </c>
      <c r="U60" s="497"/>
      <c r="V60" s="497"/>
      <c r="W60" s="1201">
        <f>+H60</f>
        <v>575817.15</v>
      </c>
      <c r="X60" s="497">
        <f>+T60-W60</f>
        <v>11889.965599999996</v>
      </c>
    </row>
    <row r="61" spans="1:24" s="16" customFormat="1" ht="12.75">
      <c r="B61" s="1474"/>
      <c r="C61" s="1475" t="s">
        <v>256</v>
      </c>
      <c r="D61" s="1476"/>
      <c r="E61" s="1477"/>
      <c r="F61" s="1477"/>
      <c r="G61" s="1477"/>
      <c r="I61" s="1478">
        <v>45201.65</v>
      </c>
      <c r="J61" s="582"/>
      <c r="K61" s="582">
        <f>+J60*I61</f>
        <v>42509.406013007363</v>
      </c>
      <c r="L61" s="1605"/>
      <c r="M61" s="1187">
        <f>+L60*I61</f>
        <v>854.85229318814447</v>
      </c>
      <c r="N61" s="1479"/>
      <c r="O61" s="582">
        <f t="shared" ref="O61:O62" si="51">K61+M61</f>
        <v>43364.258306195508</v>
      </c>
      <c r="P61" s="1479"/>
      <c r="Q61" s="1606"/>
      <c r="R61" s="1478">
        <f>I61-O61</f>
        <v>1837.3916938044931</v>
      </c>
      <c r="S61" s="1482"/>
      <c r="T61" s="23"/>
      <c r="U61" s="23"/>
      <c r="V61" s="23"/>
      <c r="W61" s="462"/>
    </row>
    <row r="62" spans="1:24" s="496" customFormat="1" ht="12.75">
      <c r="B62" s="1118"/>
      <c r="C62" s="1190" t="s">
        <v>1817</v>
      </c>
      <c r="D62" s="1191"/>
      <c r="E62" s="1185"/>
      <c r="F62" s="1185"/>
      <c r="G62" s="1185"/>
      <c r="I62" s="1186">
        <v>14913.66</v>
      </c>
      <c r="J62" s="1187"/>
      <c r="K62" s="582">
        <f>+J60*I62</f>
        <v>14025.391287263792</v>
      </c>
      <c r="L62" s="1607"/>
      <c r="M62" s="1187">
        <f>+L60*I62</f>
        <v>282.04670517178693</v>
      </c>
      <c r="N62" s="1188"/>
      <c r="O62" s="1187">
        <f t="shared" si="51"/>
        <v>14307.437992435578</v>
      </c>
      <c r="P62" s="1188"/>
      <c r="Q62" s="1136"/>
      <c r="R62" s="1186">
        <f>I62-O62</f>
        <v>606.2220075644218</v>
      </c>
      <c r="S62" s="1189"/>
      <c r="T62" s="497"/>
      <c r="U62" s="497"/>
      <c r="V62" s="497"/>
      <c r="W62" s="1201"/>
    </row>
    <row r="63" spans="1:24" s="496" customFormat="1" ht="12.75">
      <c r="B63" s="1118"/>
      <c r="C63" s="1192" t="s">
        <v>3573</v>
      </c>
      <c r="D63" s="1193"/>
      <c r="E63" s="1193"/>
      <c r="F63" s="1193"/>
      <c r="G63" s="1193"/>
      <c r="I63" s="1194">
        <f>ROUND(SUM(I60:I62),2)</f>
        <v>647822.43000000005</v>
      </c>
      <c r="J63" s="1195"/>
      <c r="K63" s="1195">
        <f>SUM(K60:K62)</f>
        <v>609237.64290027122</v>
      </c>
      <c r="L63" s="1608"/>
      <c r="M63" s="1195">
        <f>SUM(M60:M62)</f>
        <v>12251.598998359932</v>
      </c>
      <c r="N63" s="1194"/>
      <c r="O63" s="1195">
        <f>SUM(O60:O62)</f>
        <v>621489.25189863099</v>
      </c>
      <c r="P63" s="604"/>
      <c r="Q63" s="1194"/>
      <c r="R63" s="1196">
        <f>SUM(R60:R62)</f>
        <v>26333.173701368916</v>
      </c>
      <c r="S63" s="1197"/>
      <c r="T63" s="497" t="e">
        <f>+#REF!-R60</f>
        <v>#REF!</v>
      </c>
      <c r="U63" s="497"/>
      <c r="V63" s="497"/>
      <c r="W63" s="1201"/>
    </row>
    <row r="64" spans="1:24" s="1096" customFormat="1" ht="14.25" thickBot="1">
      <c r="B64" s="1119"/>
      <c r="C64" s="1609" t="s">
        <v>61</v>
      </c>
      <c r="D64" s="1120"/>
      <c r="E64" s="1120"/>
      <c r="F64" s="1120"/>
      <c r="G64" s="1120"/>
      <c r="H64" s="1926"/>
      <c r="I64" s="1121">
        <f>SUM(I63:I63)</f>
        <v>647822.43000000005</v>
      </c>
      <c r="J64" s="1124">
        <f>+K64/I64</f>
        <v>0.94043925416455743</v>
      </c>
      <c r="K64" s="1122">
        <f>SUM(K63:K63)</f>
        <v>609237.64290027122</v>
      </c>
      <c r="L64" s="1485">
        <f>M64/I64</f>
        <v>1.8911970983097839E-2</v>
      </c>
      <c r="M64" s="1268">
        <f>SUM(M63:M63)</f>
        <v>12251.598998359932</v>
      </c>
      <c r="N64" s="1124">
        <f>O64/I64</f>
        <v>0.95935124058398369</v>
      </c>
      <c r="O64" s="1122">
        <f>SUM(O63:O63)</f>
        <v>621489.25189863099</v>
      </c>
      <c r="P64" s="1124"/>
      <c r="Q64" s="1123"/>
      <c r="R64" s="1121">
        <f>ROUND(SUM(R63:R63),2)</f>
        <v>26333.17</v>
      </c>
      <c r="S64" s="1488">
        <f>+R64/I64</f>
        <v>4.064874691047668E-2</v>
      </c>
      <c r="T64" s="497">
        <f>+I64</f>
        <v>647822.43000000005</v>
      </c>
      <c r="U64" s="497"/>
      <c r="V64" s="497"/>
      <c r="W64" s="1201">
        <f>+O64+R64</f>
        <v>647822.42189863103</v>
      </c>
      <c r="X64" s="497">
        <f>+T64-W64</f>
        <v>8.1013690214604139E-3</v>
      </c>
    </row>
    <row r="65" spans="2:23" s="496" customFormat="1" ht="12.75" hidden="1">
      <c r="B65" s="1108"/>
      <c r="C65" s="1110"/>
      <c r="D65" s="1111"/>
      <c r="E65" s="563"/>
      <c r="F65" s="1112"/>
      <c r="G65" s="1112"/>
      <c r="H65" s="1113"/>
      <c r="I65" s="1113"/>
      <c r="J65" s="1114"/>
      <c r="K65" s="1115"/>
      <c r="L65" s="1489"/>
      <c r="M65" s="1269"/>
      <c r="N65" s="1111"/>
      <c r="O65" s="1114"/>
      <c r="P65" s="1114"/>
      <c r="Q65" s="1112"/>
      <c r="R65" s="1110"/>
      <c r="S65" s="1110"/>
      <c r="T65" s="497"/>
      <c r="U65" s="497"/>
      <c r="V65" s="497"/>
      <c r="W65" s="1054"/>
    </row>
    <row r="66" spans="2:23" s="496" customFormat="1" ht="12.75" hidden="1">
      <c r="B66" s="1492"/>
      <c r="C66" s="1493"/>
      <c r="D66" s="565"/>
      <c r="E66" s="548"/>
      <c r="F66" s="1610"/>
      <c r="G66" s="1610"/>
      <c r="H66" s="1494"/>
      <c r="I66" s="1494"/>
      <c r="J66" s="1495"/>
      <c r="K66" s="565"/>
      <c r="L66" s="1496"/>
      <c r="M66" s="588"/>
      <c r="N66" s="565"/>
      <c r="O66" s="1495"/>
      <c r="P66" s="1495"/>
      <c r="Q66" s="1610"/>
      <c r="R66" s="1493"/>
      <c r="S66" s="1493"/>
      <c r="W66" s="1054"/>
    </row>
    <row r="67" spans="2:23" s="496" customFormat="1" hidden="1">
      <c r="B67" s="1498"/>
      <c r="C67" s="1499"/>
      <c r="D67" s="2789" t="s">
        <v>62</v>
      </c>
      <c r="E67" s="2790"/>
      <c r="F67" s="2790"/>
      <c r="G67" s="2790"/>
      <c r="H67" s="2790"/>
      <c r="I67" s="2790"/>
      <c r="J67" s="2791"/>
      <c r="K67" s="1500">
        <f>+K60/H60</f>
        <v>0.95985825639267597</v>
      </c>
      <c r="L67" s="1501"/>
      <c r="M67" s="76">
        <f>+M60/H60</f>
        <v>1.9302481699268598E-2</v>
      </c>
      <c r="N67" s="603"/>
      <c r="O67" s="1502"/>
      <c r="P67" s="1503">
        <f>+O60/H60</f>
        <v>0.97916075545856862</v>
      </c>
      <c r="Q67" s="1611"/>
      <c r="R67" s="1504"/>
      <c r="S67" s="1505">
        <f>+R60/H60</f>
        <v>4.1488100866742157E-2</v>
      </c>
      <c r="T67" s="1506"/>
      <c r="U67" s="1506"/>
      <c r="V67" s="1506"/>
      <c r="W67" s="1054"/>
    </row>
    <row r="68" spans="2:23" s="496" customFormat="1" hidden="1">
      <c r="B68" s="1492"/>
      <c r="C68" s="1493"/>
      <c r="D68" s="603"/>
      <c r="E68" s="1507"/>
      <c r="F68" s="620"/>
      <c r="G68" s="620"/>
      <c r="H68" s="1508"/>
      <c r="I68" s="1508"/>
      <c r="J68" s="603"/>
      <c r="K68" s="603"/>
      <c r="L68" s="1501"/>
      <c r="M68" s="907"/>
      <c r="N68" s="603"/>
      <c r="O68" s="1502"/>
      <c r="P68" s="603"/>
      <c r="Q68" s="1611"/>
      <c r="R68" s="1504"/>
      <c r="S68" s="1509"/>
      <c r="W68" s="1054"/>
    </row>
    <row r="69" spans="2:23" s="496" customFormat="1" hidden="1">
      <c r="B69" s="1492"/>
      <c r="C69" s="1612" t="s">
        <v>1806</v>
      </c>
      <c r="D69" s="603">
        <v>0.13514169600000001</v>
      </c>
      <c r="E69" s="1507"/>
      <c r="F69" s="620"/>
      <c r="G69" s="620"/>
      <c r="H69" s="1508">
        <f>H60*D69</f>
        <v>77816.906236886411</v>
      </c>
      <c r="I69" s="1508"/>
      <c r="J69" s="603"/>
      <c r="K69" s="603"/>
      <c r="L69" s="1501"/>
      <c r="M69" s="907"/>
      <c r="N69" s="603"/>
      <c r="O69" s="1502"/>
      <c r="P69" s="603"/>
      <c r="Q69" s="1611"/>
      <c r="R69" s="1504"/>
      <c r="S69" s="1509"/>
      <c r="W69" s="1054"/>
    </row>
    <row r="70" spans="2:23" s="496" customFormat="1" hidden="1">
      <c r="B70" s="1492"/>
      <c r="C70" s="1612" t="s">
        <v>1807</v>
      </c>
      <c r="D70" s="603">
        <v>2.5765203E-2</v>
      </c>
      <c r="E70" s="1507"/>
      <c r="F70" s="620"/>
      <c r="G70" s="620"/>
      <c r="H70" s="1508" t="e">
        <f>#REF!*D70</f>
        <v>#REF!</v>
      </c>
      <c r="I70" s="1508"/>
      <c r="J70" s="603"/>
      <c r="K70" s="603"/>
      <c r="L70" s="1501"/>
      <c r="M70" s="907"/>
      <c r="N70" s="603"/>
      <c r="O70" s="1502"/>
      <c r="P70" s="603"/>
      <c r="Q70" s="1611"/>
      <c r="R70" s="1504"/>
      <c r="S70" s="1509"/>
      <c r="W70" s="1054"/>
    </row>
    <row r="71" spans="2:23" s="496" customFormat="1" hidden="1">
      <c r="B71" s="1492"/>
      <c r="C71" s="1612" t="s">
        <v>1808</v>
      </c>
      <c r="D71" s="603">
        <v>5.4089901000000003E-2</v>
      </c>
      <c r="E71" s="1507"/>
      <c r="F71" s="620"/>
      <c r="G71" s="620"/>
      <c r="H71" s="1508" t="e">
        <f>#REF!*D71</f>
        <v>#REF!</v>
      </c>
      <c r="I71" s="1508"/>
      <c r="J71" s="603"/>
      <c r="K71" s="603"/>
      <c r="L71" s="1501"/>
      <c r="M71" s="907"/>
      <c r="N71" s="603"/>
      <c r="O71" s="1502"/>
      <c r="P71" s="603"/>
      <c r="Q71" s="1611"/>
      <c r="R71" s="1504"/>
      <c r="S71" s="1509"/>
      <c r="W71" s="1054"/>
    </row>
    <row r="72" spans="2:23" s="496" customFormat="1" hidden="1">
      <c r="B72" s="1492"/>
      <c r="C72" s="1612" t="s">
        <v>1809</v>
      </c>
      <c r="D72" s="603">
        <v>1.4803359E-2</v>
      </c>
      <c r="E72" s="1507"/>
      <c r="F72" s="620"/>
      <c r="G72" s="620"/>
      <c r="H72" s="1508" t="e">
        <f>#REF!*D72</f>
        <v>#REF!</v>
      </c>
      <c r="I72" s="1508"/>
      <c r="J72" s="603"/>
      <c r="K72" s="603"/>
      <c r="L72" s="1501"/>
      <c r="M72" s="907"/>
      <c r="N72" s="603"/>
      <c r="O72" s="1502"/>
      <c r="P72" s="603"/>
      <c r="Q72" s="1611"/>
      <c r="R72" s="1504"/>
      <c r="S72" s="1509"/>
      <c r="W72" s="1054"/>
    </row>
    <row r="73" spans="2:23" s="496" customFormat="1" hidden="1">
      <c r="B73" s="1492"/>
      <c r="C73" s="1612" t="s">
        <v>1810</v>
      </c>
      <c r="D73" s="603">
        <v>3.2312274000000002E-2</v>
      </c>
      <c r="E73" s="1507"/>
      <c r="F73" s="620"/>
      <c r="G73" s="620"/>
      <c r="H73" s="1508" t="e">
        <f>#REF!*D73</f>
        <v>#REF!</v>
      </c>
      <c r="I73" s="1508"/>
      <c r="J73" s="603"/>
      <c r="K73" s="603"/>
      <c r="L73" s="1501"/>
      <c r="M73" s="907"/>
      <c r="N73" s="603"/>
      <c r="O73" s="1502"/>
      <c r="P73" s="603"/>
      <c r="Q73" s="1611"/>
      <c r="R73" s="1504"/>
      <c r="S73" s="1509"/>
      <c r="W73" s="1054"/>
    </row>
    <row r="74" spans="2:23" s="496" customFormat="1" hidden="1">
      <c r="B74" s="1492"/>
      <c r="C74" s="1612" t="s">
        <v>1811</v>
      </c>
      <c r="D74" s="603"/>
      <c r="E74" s="1507"/>
      <c r="F74" s="620"/>
      <c r="G74" s="620"/>
      <c r="H74" s="1508"/>
      <c r="I74" s="1508"/>
      <c r="J74" s="603"/>
      <c r="K74" s="603"/>
      <c r="L74" s="1501"/>
      <c r="M74" s="907"/>
      <c r="N74" s="603"/>
      <c r="O74" s="1502"/>
      <c r="P74" s="603"/>
      <c r="Q74" s="1611"/>
      <c r="R74" s="1504"/>
      <c r="S74" s="1509"/>
      <c r="W74" s="1054"/>
    </row>
    <row r="75" spans="2:23" s="496" customFormat="1" hidden="1">
      <c r="B75" s="1492"/>
      <c r="C75" s="1612" t="s">
        <v>1812</v>
      </c>
      <c r="D75" s="603"/>
      <c r="E75" s="1507"/>
      <c r="F75" s="620"/>
      <c r="G75" s="620"/>
      <c r="H75" s="1508"/>
      <c r="I75" s="1508"/>
      <c r="J75" s="603"/>
      <c r="K75" s="603"/>
      <c r="L75" s="1501"/>
      <c r="M75" s="907"/>
      <c r="N75" s="603"/>
      <c r="O75" s="1502"/>
      <c r="P75" s="603"/>
      <c r="Q75" s="1611"/>
      <c r="R75" s="1504"/>
      <c r="S75" s="1509"/>
      <c r="W75" s="1054"/>
    </row>
    <row r="76" spans="2:23" s="496" customFormat="1" hidden="1">
      <c r="B76" s="1492"/>
      <c r="C76" s="1612" t="s">
        <v>1813</v>
      </c>
      <c r="D76" s="603"/>
      <c r="E76" s="1507"/>
      <c r="F76" s="620"/>
      <c r="G76" s="620"/>
      <c r="H76" s="1508"/>
      <c r="I76" s="1508"/>
      <c r="J76" s="603"/>
      <c r="K76" s="603"/>
      <c r="L76" s="1501"/>
      <c r="M76" s="907"/>
      <c r="N76" s="603"/>
      <c r="O76" s="1502"/>
      <c r="P76" s="603"/>
      <c r="Q76" s="1611"/>
      <c r="R76" s="1504"/>
      <c r="S76" s="1509"/>
      <c r="W76" s="1054"/>
    </row>
    <row r="77" spans="2:23" s="496" customFormat="1" hidden="1">
      <c r="B77" s="1492"/>
      <c r="C77" s="1612" t="s">
        <v>1814</v>
      </c>
      <c r="D77" s="603"/>
      <c r="E77" s="1507"/>
      <c r="F77" s="620"/>
      <c r="G77" s="620"/>
      <c r="H77" s="1508"/>
      <c r="I77" s="1508"/>
      <c r="J77" s="603"/>
      <c r="K77" s="603"/>
      <c r="L77" s="1501"/>
      <c r="M77" s="907"/>
      <c r="N77" s="603"/>
      <c r="O77" s="1502"/>
      <c r="P77" s="603"/>
      <c r="Q77" s="1611"/>
      <c r="R77" s="1504"/>
      <c r="S77" s="1509"/>
      <c r="W77" s="1054"/>
    </row>
    <row r="78" spans="2:23" s="496" customFormat="1" hidden="1">
      <c r="B78" s="1492"/>
      <c r="C78" s="1612" t="s">
        <v>1815</v>
      </c>
      <c r="D78" s="603"/>
      <c r="E78" s="1507"/>
      <c r="F78" s="620"/>
      <c r="G78" s="620"/>
      <c r="H78" s="1508"/>
      <c r="I78" s="1508"/>
      <c r="J78" s="603"/>
      <c r="K78" s="603"/>
      <c r="L78" s="1501"/>
      <c r="M78" s="907"/>
      <c r="N78" s="603"/>
      <c r="O78" s="1502"/>
      <c r="P78" s="603"/>
      <c r="Q78" s="1611"/>
      <c r="R78" s="1504"/>
      <c r="S78" s="1509"/>
      <c r="W78" s="1054"/>
    </row>
    <row r="79" spans="2:23" s="496" customFormat="1" hidden="1">
      <c r="B79" s="1492"/>
      <c r="C79" s="1612" t="s">
        <v>1816</v>
      </c>
      <c r="D79" s="603"/>
      <c r="E79" s="1507"/>
      <c r="F79" s="620"/>
      <c r="G79" s="620"/>
      <c r="H79" s="1508"/>
      <c r="I79" s="1508"/>
      <c r="J79" s="603"/>
      <c r="K79" s="603"/>
      <c r="L79" s="1501"/>
      <c r="M79" s="907"/>
      <c r="N79" s="603"/>
      <c r="O79" s="1502"/>
      <c r="P79" s="603"/>
      <c r="Q79" s="1611"/>
      <c r="R79" s="1504"/>
      <c r="S79" s="1509"/>
      <c r="W79" s="1054"/>
    </row>
    <row r="80" spans="2:23" s="496" customFormat="1" ht="12.75" hidden="1">
      <c r="B80" s="1613"/>
      <c r="C80" s="1613"/>
      <c r="D80" s="1614"/>
      <c r="E80" s="1615"/>
      <c r="F80" s="1615"/>
      <c r="G80" s="1615"/>
      <c r="H80" s="1615"/>
      <c r="I80" s="1615"/>
      <c r="J80" s="1616"/>
      <c r="K80" s="1617"/>
      <c r="L80" s="1618"/>
      <c r="M80" s="571"/>
      <c r="N80" s="1616"/>
      <c r="O80" s="1617"/>
      <c r="P80" s="1619"/>
      <c r="Q80" s="1620"/>
      <c r="R80" s="1620"/>
      <c r="S80" s="1621"/>
      <c r="W80" s="1054"/>
    </row>
    <row r="81" spans="4:23" s="496" customFormat="1" ht="15.75">
      <c r="D81" s="1054"/>
      <c r="E81" s="497"/>
      <c r="F81" s="497"/>
      <c r="G81" s="497"/>
      <c r="H81" s="497"/>
      <c r="I81" s="1622">
        <f>I60-H60</f>
        <v>11889.969999999972</v>
      </c>
      <c r="J81" s="1054"/>
      <c r="K81" s="1623"/>
      <c r="L81" s="1054"/>
      <c r="M81" s="1898">
        <f>+K60+M60</f>
        <v>563817.54559999995</v>
      </c>
      <c r="N81" s="1899"/>
      <c r="O81" s="1899"/>
      <c r="P81" s="1899"/>
      <c r="R81" s="497"/>
    </row>
    <row r="82" spans="4:23" s="16" customFormat="1" ht="12.75">
      <c r="D82" s="74"/>
      <c r="E82" s="23"/>
      <c r="F82" s="23"/>
      <c r="G82" s="23"/>
      <c r="J82" s="1079"/>
      <c r="K82" s="74"/>
      <c r="L82" s="1275"/>
      <c r="M82" s="1900"/>
      <c r="N82" s="1900"/>
      <c r="O82" s="1900"/>
      <c r="P82" s="1900">
        <f>+R60+O60</f>
        <v>587707.11560000002</v>
      </c>
      <c r="R82" s="23"/>
    </row>
    <row r="83" spans="4:23" s="16" customFormat="1">
      <c r="D83" s="74"/>
      <c r="E83" s="23"/>
      <c r="F83" s="23"/>
      <c r="G83" s="23"/>
      <c r="H83" s="23"/>
      <c r="I83" s="23"/>
      <c r="J83" s="1079"/>
      <c r="K83" s="1624"/>
      <c r="L83" s="1275"/>
      <c r="M83" s="1512"/>
      <c r="N83" s="462"/>
      <c r="O83" s="462"/>
      <c r="P83" s="462"/>
      <c r="R83" s="23"/>
    </row>
    <row r="84" spans="4:23" s="16" customFormat="1">
      <c r="D84" s="1514"/>
      <c r="E84" s="23"/>
      <c r="F84" s="23">
        <v>457948.8995</v>
      </c>
      <c r="G84" s="23"/>
      <c r="H84" s="23">
        <v>15398736.550000001</v>
      </c>
      <c r="I84" s="23"/>
      <c r="J84" s="1080"/>
      <c r="K84" s="1624">
        <v>616776.95999999996</v>
      </c>
      <c r="L84" s="1275"/>
      <c r="M84" s="462"/>
      <c r="N84" s="1512">
        <f>+M85-N60</f>
        <v>-0.65935124216293306</v>
      </c>
      <c r="O84" s="462">
        <f>+N84*H60</f>
        <v>-379665.75311121996</v>
      </c>
      <c r="P84" s="462"/>
      <c r="S84" s="167"/>
    </row>
    <row r="85" spans="4:23" s="16" customFormat="1">
      <c r="D85" s="74"/>
      <c r="E85" s="23"/>
      <c r="F85" s="23"/>
      <c r="G85" s="23"/>
      <c r="H85" s="23"/>
      <c r="I85" s="23"/>
      <c r="J85" s="1080"/>
      <c r="K85" s="1515"/>
      <c r="L85" s="1516"/>
      <c r="M85" s="462">
        <v>0.3</v>
      </c>
      <c r="N85" s="462"/>
      <c r="O85" s="462"/>
      <c r="P85" s="462">
        <f>+O60+R60</f>
        <v>587707.11560000002</v>
      </c>
      <c r="R85" s="23"/>
      <c r="S85" s="1604">
        <f>+R64+I64</f>
        <v>674155.60000000009</v>
      </c>
    </row>
    <row r="86" spans="4:23" s="16" customFormat="1">
      <c r="D86" s="74"/>
      <c r="E86" s="1625"/>
      <c r="H86" s="23">
        <f>+H84-H60</f>
        <v>14822919.4</v>
      </c>
      <c r="I86" s="23"/>
      <c r="J86" s="1080"/>
      <c r="K86" s="1253">
        <f>+K84-K61</f>
        <v>574267.55398699257</v>
      </c>
      <c r="L86" s="1275"/>
      <c r="M86" s="462"/>
      <c r="N86" s="462"/>
      <c r="O86" s="462"/>
      <c r="P86" s="462"/>
    </row>
    <row r="87" spans="4:23">
      <c r="E87" s="1093">
        <f>+F87*K60</f>
        <v>43387.176955072006</v>
      </c>
      <c r="F87" s="1093">
        <f>+I61/H60</f>
        <v>7.8500006469067476E-2</v>
      </c>
      <c r="H87" s="1518"/>
      <c r="I87" s="1518"/>
      <c r="J87" s="1518"/>
      <c r="K87" s="1178"/>
      <c r="M87" s="1519" t="e">
        <f>SUM(#REF!)</f>
        <v>#REF!</v>
      </c>
      <c r="N87" s="1519" t="e">
        <f>SUM(#REF!)</f>
        <v>#REF!</v>
      </c>
      <c r="O87" s="1519"/>
      <c r="P87" s="1519"/>
      <c r="Q87" s="1519"/>
      <c r="W87" s="1083"/>
    </row>
    <row r="88" spans="4:23">
      <c r="E88" s="1093">
        <f>+F88*K60</f>
        <v>14314.999684033197</v>
      </c>
      <c r="F88" s="1093">
        <f>+I62/H60</f>
        <v>2.5899992732067809E-2</v>
      </c>
      <c r="H88" s="1518"/>
      <c r="I88" s="1518"/>
      <c r="J88" s="1518"/>
      <c r="K88" s="1178">
        <v>5428.7406763147101</v>
      </c>
      <c r="L88" s="1276"/>
      <c r="M88" s="1519"/>
      <c r="N88" s="1519"/>
      <c r="O88" s="1519"/>
      <c r="P88" s="1519"/>
      <c r="Q88" s="1519"/>
      <c r="W88" s="1083"/>
    </row>
    <row r="89" spans="4:23">
      <c r="H89" s="1518"/>
      <c r="I89" s="1518"/>
      <c r="J89" s="1518"/>
      <c r="K89" s="1179"/>
      <c r="L89" s="1276"/>
      <c r="M89" s="1519"/>
      <c r="N89" s="1512" t="e">
        <f>+N87/H60</f>
        <v>#REF!</v>
      </c>
      <c r="O89" s="1519"/>
      <c r="P89" s="1519"/>
      <c r="Q89" s="1519"/>
      <c r="W89" s="1083"/>
    </row>
    <row r="90" spans="4:23" ht="15.75">
      <c r="D90" s="1088"/>
      <c r="H90" s="1518"/>
      <c r="I90" s="1518"/>
      <c r="J90" s="1518"/>
      <c r="K90" s="1161"/>
      <c r="L90" s="1276"/>
      <c r="M90" s="1519"/>
      <c r="N90" s="1519"/>
      <c r="O90" s="1519"/>
      <c r="P90" s="1519"/>
      <c r="Q90" s="1519"/>
      <c r="W90" s="1083"/>
    </row>
    <row r="91" spans="4:23">
      <c r="H91" s="1518"/>
      <c r="I91" s="1518"/>
      <c r="J91" s="1518"/>
      <c r="K91" s="16"/>
      <c r="L91" s="1276"/>
      <c r="M91" s="1519"/>
      <c r="N91" s="1519"/>
      <c r="O91" s="1519"/>
      <c r="P91" s="1519"/>
      <c r="Q91" s="1519"/>
      <c r="W91" s="1083"/>
    </row>
    <row r="92" spans="4:23">
      <c r="H92" s="1518"/>
      <c r="I92" s="1518"/>
      <c r="J92" s="1518"/>
      <c r="K92" s="1518"/>
      <c r="L92" s="1276"/>
      <c r="M92" s="1519"/>
      <c r="N92" s="1519"/>
      <c r="O92" s="1519"/>
      <c r="P92" s="1519"/>
      <c r="Q92" s="1519"/>
      <c r="W92" s="1083"/>
    </row>
    <row r="93" spans="4:23">
      <c r="H93" s="1518"/>
      <c r="I93" s="1518"/>
      <c r="J93" s="1518"/>
      <c r="K93" s="1518"/>
      <c r="L93" s="1276"/>
      <c r="M93" s="1519"/>
      <c r="N93" s="1519"/>
      <c r="O93" s="1519"/>
      <c r="P93" s="1519"/>
      <c r="Q93" s="1519"/>
      <c r="W93" s="1083"/>
    </row>
    <row r="94" spans="4:23">
      <c r="H94" s="1518"/>
      <c r="I94" s="1518"/>
      <c r="J94" s="1518"/>
      <c r="K94" s="1518"/>
      <c r="L94" s="1276"/>
      <c r="M94" s="1519"/>
      <c r="N94" s="1519"/>
      <c r="O94" s="1519"/>
      <c r="P94" s="1519"/>
      <c r="Q94" s="1519"/>
      <c r="W94" s="1083"/>
    </row>
    <row r="95" spans="4:23">
      <c r="H95" s="1518"/>
      <c r="I95" s="1518"/>
      <c r="J95" s="1518"/>
      <c r="K95" s="1518"/>
      <c r="L95" s="1276"/>
      <c r="M95" s="1519"/>
      <c r="N95" s="1519"/>
      <c r="O95" s="1519"/>
      <c r="P95" s="1519"/>
      <c r="Q95" s="1519"/>
      <c r="W95" s="1083"/>
    </row>
    <row r="96" spans="4:23">
      <c r="H96" s="1518"/>
      <c r="I96" s="1518"/>
      <c r="J96" s="1518"/>
      <c r="K96" s="1518"/>
      <c r="L96" s="1276"/>
      <c r="M96" s="1519"/>
      <c r="N96" s="1519"/>
      <c r="O96" s="1519"/>
      <c r="P96" s="1519"/>
      <c r="Q96" s="1519"/>
      <c r="W96" s="1083"/>
    </row>
    <row r="97" spans="8:23">
      <c r="H97" s="1518"/>
      <c r="I97" s="1518"/>
      <c r="J97" s="1518"/>
      <c r="K97" s="1520"/>
      <c r="L97" s="1276"/>
      <c r="M97" s="1519"/>
      <c r="N97" s="1519"/>
      <c r="O97" s="1519"/>
      <c r="P97" s="1519"/>
      <c r="Q97" s="1519"/>
      <c r="W97" s="1083"/>
    </row>
    <row r="98" spans="8:23">
      <c r="H98" s="1518"/>
      <c r="I98" s="1518"/>
      <c r="J98" s="1518"/>
      <c r="K98" s="1518"/>
      <c r="L98" s="1276"/>
      <c r="M98" s="1519"/>
      <c r="N98" s="1519"/>
      <c r="O98" s="1519"/>
      <c r="P98" s="1519"/>
      <c r="Q98" s="1519"/>
      <c r="W98" s="1083"/>
    </row>
  </sheetData>
  <autoFilter ref="L1:L98" xr:uid="{00000000-0009-0000-0000-00001C000000}"/>
  <mergeCells count="31">
    <mergeCell ref="B10:B13"/>
    <mergeCell ref="C10:C13"/>
    <mergeCell ref="D10:D13"/>
    <mergeCell ref="E10:H11"/>
    <mergeCell ref="J10:P10"/>
    <mergeCell ref="B1:S1"/>
    <mergeCell ref="B2:S2"/>
    <mergeCell ref="B3:S3"/>
    <mergeCell ref="E4:O4"/>
    <mergeCell ref="R4:S4"/>
    <mergeCell ref="Q10:S11"/>
    <mergeCell ref="J11:K11"/>
    <mergeCell ref="L11:M11"/>
    <mergeCell ref="N11:P11"/>
    <mergeCell ref="E12:E13"/>
    <mergeCell ref="F12:F13"/>
    <mergeCell ref="G12:G13"/>
    <mergeCell ref="H12:H13"/>
    <mergeCell ref="I12:I13"/>
    <mergeCell ref="J12:J13"/>
    <mergeCell ref="Q12:Q13"/>
    <mergeCell ref="R12:R13"/>
    <mergeCell ref="S12:S13"/>
    <mergeCell ref="W12:Y12"/>
    <mergeCell ref="D67:J67"/>
    <mergeCell ref="K12:K13"/>
    <mergeCell ref="L12:L13"/>
    <mergeCell ref="M12:M13"/>
    <mergeCell ref="N12:N13"/>
    <mergeCell ref="O12:O13"/>
    <mergeCell ref="P12:P13"/>
  </mergeCells>
  <conditionalFormatting sqref="S2 S4:S53 S55:S63 S65:S1048576">
    <cfRule type="cellIs" dxfId="20" priority="8" operator="lessThan">
      <formula>0</formula>
    </cfRule>
  </conditionalFormatting>
  <conditionalFormatting sqref="Q2 Q4:Q53 Q64:Q1048576 Q55:Q62">
    <cfRule type="cellIs" dxfId="19" priority="6" operator="lessThan">
      <formula>0</formula>
    </cfRule>
    <cfRule type="cellIs" dxfId="18" priority="7" operator="lessThan">
      <formula>0</formula>
    </cfRule>
  </conditionalFormatting>
  <conditionalFormatting sqref="P63">
    <cfRule type="cellIs" dxfId="17" priority="4" operator="lessThan">
      <formula>0</formula>
    </cfRule>
    <cfRule type="cellIs" dxfId="16" priority="5" operator="lessThan">
      <formula>0</formula>
    </cfRule>
  </conditionalFormatting>
  <conditionalFormatting sqref="S54">
    <cfRule type="cellIs" dxfId="15" priority="3" operator="lessThan">
      <formula>0</formula>
    </cfRule>
  </conditionalFormatting>
  <conditionalFormatting sqref="Q54">
    <cfRule type="cellIs" dxfId="14" priority="1" operator="lessThan">
      <formula>0</formula>
    </cfRule>
    <cfRule type="cellIs" dxfId="13" priority="2" operator="lessThan">
      <formula>0</formula>
    </cfRule>
  </conditionalFormatting>
  <printOptions horizontalCentered="1"/>
  <pageMargins left="3.937007874015748E-2" right="3.937007874015748E-2" top="0.59055118110236227" bottom="1.0236220472440944" header="0.31496062992125984" footer="0.31496062992125984"/>
  <pageSetup paperSize="9" scale="50" orientation="landscape" r:id="rId1"/>
  <rowBreaks count="1" manualBreakCount="1">
    <brk id="82" min="1" max="17" man="1"/>
  </rowBreak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002060"/>
    <pageSetUpPr fitToPage="1"/>
  </sheetPr>
  <dimension ref="A1:AE51"/>
  <sheetViews>
    <sheetView tabSelected="1" view="pageBreakPreview" zoomScale="85" zoomScaleNormal="85" zoomScaleSheetLayoutView="85" workbookViewId="0">
      <selection activeCell="AF10" sqref="AF10"/>
    </sheetView>
  </sheetViews>
  <sheetFormatPr baseColWidth="10" defaultRowHeight="13.5"/>
  <cols>
    <col min="1" max="1" width="2.5703125" style="1902" customWidth="1"/>
    <col min="2" max="2" width="12" style="1083" customWidth="1"/>
    <col min="3" max="3" width="45.28515625" style="1092" customWidth="1"/>
    <col min="4" max="4" width="10.5703125" style="1085" customWidth="1"/>
    <col min="5" max="5" width="9.7109375" style="1093" customWidth="1"/>
    <col min="6" max="7" width="12.140625" style="1394" customWidth="1"/>
    <col min="8" max="8" width="10.7109375" style="1085" customWidth="1"/>
    <col min="9" max="9" width="11.7109375" style="1178" customWidth="1"/>
    <col min="10" max="10" width="12.42578125" style="1274" customWidth="1"/>
    <col min="11" max="11" width="14.5703125" style="1085" customWidth="1"/>
    <col min="12" max="12" width="12" style="1085" customWidth="1"/>
    <col min="13" max="13" width="16.42578125" style="1085" customWidth="1"/>
    <col min="14" max="14" width="13.42578125" style="1085" customWidth="1"/>
    <col min="15" max="15" width="9.42578125" style="1083" customWidth="1"/>
    <col min="16" max="17" width="12.5703125" style="1083" customWidth="1"/>
    <col min="18" max="23" width="13" style="1083" hidden="1" customWidth="1"/>
    <col min="24" max="24" width="10.85546875" style="1085" hidden="1" customWidth="1"/>
    <col min="25" max="25" width="10.85546875" style="1083" hidden="1" customWidth="1"/>
    <col min="26" max="26" width="14.42578125" style="1083" hidden="1" customWidth="1"/>
    <col min="27" max="28" width="10.85546875" style="1083" hidden="1" customWidth="1"/>
    <col min="29" max="29" width="0" style="1083" hidden="1" customWidth="1"/>
    <col min="30" max="254" width="11.5703125" style="1083"/>
    <col min="255" max="255" width="8.5703125" style="1083" customWidth="1"/>
    <col min="256" max="256" width="50" style="1083" customWidth="1"/>
    <col min="257" max="257" width="6.42578125" style="1083" bestFit="1" customWidth="1"/>
    <col min="258" max="259" width="8.5703125" style="1083" customWidth="1"/>
    <col min="260" max="260" width="11.42578125" style="1083" bestFit="1" customWidth="1"/>
    <col min="261" max="261" width="7.5703125" style="1083" bestFit="1" customWidth="1"/>
    <col min="262" max="262" width="11.5703125" style="1083" bestFit="1" customWidth="1"/>
    <col min="263" max="263" width="8" style="1083" bestFit="1" customWidth="1"/>
    <col min="264" max="264" width="11.5703125" style="1083" bestFit="1" customWidth="1"/>
    <col min="265" max="265" width="8.42578125" style="1083" bestFit="1" customWidth="1"/>
    <col min="266" max="266" width="11.5703125" style="1083" bestFit="1" customWidth="1"/>
    <col min="267" max="267" width="8.42578125" style="1083" customWidth="1"/>
    <col min="268" max="268" width="7.42578125" style="1083" bestFit="1" customWidth="1"/>
    <col min="269" max="269" width="11.5703125" style="1083" bestFit="1" customWidth="1"/>
    <col min="270" max="270" width="8.42578125" style="1083" customWidth="1"/>
    <col min="271" max="271" width="13" style="1083" bestFit="1" customWidth="1"/>
    <col min="272" max="510" width="11.5703125" style="1083"/>
    <col min="511" max="511" width="8.5703125" style="1083" customWidth="1"/>
    <col min="512" max="512" width="50" style="1083" customWidth="1"/>
    <col min="513" max="513" width="6.42578125" style="1083" bestFit="1" customWidth="1"/>
    <col min="514" max="515" width="8.5703125" style="1083" customWidth="1"/>
    <col min="516" max="516" width="11.42578125" style="1083" bestFit="1" customWidth="1"/>
    <col min="517" max="517" width="7.5703125" style="1083" bestFit="1" customWidth="1"/>
    <col min="518" max="518" width="11.5703125" style="1083" bestFit="1" customWidth="1"/>
    <col min="519" max="519" width="8" style="1083" bestFit="1" customWidth="1"/>
    <col min="520" max="520" width="11.5703125" style="1083" bestFit="1" customWidth="1"/>
    <col min="521" max="521" width="8.42578125" style="1083" bestFit="1" customWidth="1"/>
    <col min="522" max="522" width="11.5703125" style="1083" bestFit="1" customWidth="1"/>
    <col min="523" max="523" width="8.42578125" style="1083" customWidth="1"/>
    <col min="524" max="524" width="7.42578125" style="1083" bestFit="1" customWidth="1"/>
    <col min="525" max="525" width="11.5703125" style="1083" bestFit="1" customWidth="1"/>
    <col min="526" max="526" width="8.42578125" style="1083" customWidth="1"/>
    <col min="527" max="527" width="13" style="1083" bestFit="1" customWidth="1"/>
    <col min="528" max="766" width="11.5703125" style="1083"/>
    <col min="767" max="767" width="8.5703125" style="1083" customWidth="1"/>
    <col min="768" max="768" width="50" style="1083" customWidth="1"/>
    <col min="769" max="769" width="6.42578125" style="1083" bestFit="1" customWidth="1"/>
    <col min="770" max="771" width="8.5703125" style="1083" customWidth="1"/>
    <col min="772" max="772" width="11.42578125" style="1083" bestFit="1" customWidth="1"/>
    <col min="773" max="773" width="7.5703125" style="1083" bestFit="1" customWidth="1"/>
    <col min="774" max="774" width="11.5703125" style="1083" bestFit="1" customWidth="1"/>
    <col min="775" max="775" width="8" style="1083" bestFit="1" customWidth="1"/>
    <col min="776" max="776" width="11.5703125" style="1083" bestFit="1" customWidth="1"/>
    <col min="777" max="777" width="8.42578125" style="1083" bestFit="1" customWidth="1"/>
    <col min="778" max="778" width="11.5703125" style="1083" bestFit="1" customWidth="1"/>
    <col min="779" max="779" width="8.42578125" style="1083" customWidth="1"/>
    <col min="780" max="780" width="7.42578125" style="1083" bestFit="1" customWidth="1"/>
    <col min="781" max="781" width="11.5703125" style="1083" bestFit="1" customWidth="1"/>
    <col min="782" max="782" width="8.42578125" style="1083" customWidth="1"/>
    <col min="783" max="783" width="13" style="1083" bestFit="1" customWidth="1"/>
    <col min="784" max="1022" width="11.5703125" style="1083"/>
    <col min="1023" max="1023" width="8.5703125" style="1083" customWidth="1"/>
    <col min="1024" max="1024" width="50" style="1083" customWidth="1"/>
    <col min="1025" max="1025" width="6.42578125" style="1083" bestFit="1" customWidth="1"/>
    <col min="1026" max="1027" width="8.5703125" style="1083" customWidth="1"/>
    <col min="1028" max="1028" width="11.42578125" style="1083" bestFit="1" customWidth="1"/>
    <col min="1029" max="1029" width="7.5703125" style="1083" bestFit="1" customWidth="1"/>
    <col min="1030" max="1030" width="11.5703125" style="1083" bestFit="1" customWidth="1"/>
    <col min="1031" max="1031" width="8" style="1083" bestFit="1" customWidth="1"/>
    <col min="1032" max="1032" width="11.5703125" style="1083" bestFit="1" customWidth="1"/>
    <col min="1033" max="1033" width="8.42578125" style="1083" bestFit="1" customWidth="1"/>
    <col min="1034" max="1034" width="11.5703125" style="1083" bestFit="1" customWidth="1"/>
    <col min="1035" max="1035" width="8.42578125" style="1083" customWidth="1"/>
    <col min="1036" max="1036" width="7.42578125" style="1083" bestFit="1" customWidth="1"/>
    <col min="1037" max="1037" width="11.5703125" style="1083" bestFit="1" customWidth="1"/>
    <col min="1038" max="1038" width="8.42578125" style="1083" customWidth="1"/>
    <col min="1039" max="1039" width="13" style="1083" bestFit="1" customWidth="1"/>
    <col min="1040" max="1278" width="11.5703125" style="1083"/>
    <col min="1279" max="1279" width="8.5703125" style="1083" customWidth="1"/>
    <col min="1280" max="1280" width="50" style="1083" customWidth="1"/>
    <col min="1281" max="1281" width="6.42578125" style="1083" bestFit="1" customWidth="1"/>
    <col min="1282" max="1283" width="8.5703125" style="1083" customWidth="1"/>
    <col min="1284" max="1284" width="11.42578125" style="1083" bestFit="1" customWidth="1"/>
    <col min="1285" max="1285" width="7.5703125" style="1083" bestFit="1" customWidth="1"/>
    <col min="1286" max="1286" width="11.5703125" style="1083" bestFit="1" customWidth="1"/>
    <col min="1287" max="1287" width="8" style="1083" bestFit="1" customWidth="1"/>
    <col min="1288" max="1288" width="11.5703125" style="1083" bestFit="1" customWidth="1"/>
    <col min="1289" max="1289" width="8.42578125" style="1083" bestFit="1" customWidth="1"/>
    <col min="1290" max="1290" width="11.5703125" style="1083" bestFit="1" customWidth="1"/>
    <col min="1291" max="1291" width="8.42578125" style="1083" customWidth="1"/>
    <col min="1292" max="1292" width="7.42578125" style="1083" bestFit="1" customWidth="1"/>
    <col min="1293" max="1293" width="11.5703125" style="1083" bestFit="1" customWidth="1"/>
    <col min="1294" max="1294" width="8.42578125" style="1083" customWidth="1"/>
    <col min="1295" max="1295" width="13" style="1083" bestFit="1" customWidth="1"/>
    <col min="1296" max="1534" width="11.5703125" style="1083"/>
    <col min="1535" max="1535" width="8.5703125" style="1083" customWidth="1"/>
    <col min="1536" max="1536" width="50" style="1083" customWidth="1"/>
    <col min="1537" max="1537" width="6.42578125" style="1083" bestFit="1" customWidth="1"/>
    <col min="1538" max="1539" width="8.5703125" style="1083" customWidth="1"/>
    <col min="1540" max="1540" width="11.42578125" style="1083" bestFit="1" customWidth="1"/>
    <col min="1541" max="1541" width="7.5703125" style="1083" bestFit="1" customWidth="1"/>
    <col min="1542" max="1542" width="11.5703125" style="1083" bestFit="1" customWidth="1"/>
    <col min="1543" max="1543" width="8" style="1083" bestFit="1" customWidth="1"/>
    <col min="1544" max="1544" width="11.5703125" style="1083" bestFit="1" customWidth="1"/>
    <col min="1545" max="1545" width="8.42578125" style="1083" bestFit="1" customWidth="1"/>
    <col min="1546" max="1546" width="11.5703125" style="1083" bestFit="1" customWidth="1"/>
    <col min="1547" max="1547" width="8.42578125" style="1083" customWidth="1"/>
    <col min="1548" max="1548" width="7.42578125" style="1083" bestFit="1" customWidth="1"/>
    <col min="1549" max="1549" width="11.5703125" style="1083" bestFit="1" customWidth="1"/>
    <col min="1550" max="1550" width="8.42578125" style="1083" customWidth="1"/>
    <col min="1551" max="1551" width="13" style="1083" bestFit="1" customWidth="1"/>
    <col min="1552" max="1790" width="11.5703125" style="1083"/>
    <col min="1791" max="1791" width="8.5703125" style="1083" customWidth="1"/>
    <col min="1792" max="1792" width="50" style="1083" customWidth="1"/>
    <col min="1793" max="1793" width="6.42578125" style="1083" bestFit="1" customWidth="1"/>
    <col min="1794" max="1795" width="8.5703125" style="1083" customWidth="1"/>
    <col min="1796" max="1796" width="11.42578125" style="1083" bestFit="1" customWidth="1"/>
    <col min="1797" max="1797" width="7.5703125" style="1083" bestFit="1" customWidth="1"/>
    <col min="1798" max="1798" width="11.5703125" style="1083" bestFit="1" customWidth="1"/>
    <col min="1799" max="1799" width="8" style="1083" bestFit="1" customWidth="1"/>
    <col min="1800" max="1800" width="11.5703125" style="1083" bestFit="1" customWidth="1"/>
    <col min="1801" max="1801" width="8.42578125" style="1083" bestFit="1" customWidth="1"/>
    <col min="1802" max="1802" width="11.5703125" style="1083" bestFit="1" customWidth="1"/>
    <col min="1803" max="1803" width="8.42578125" style="1083" customWidth="1"/>
    <col min="1804" max="1804" width="7.42578125" style="1083" bestFit="1" customWidth="1"/>
    <col min="1805" max="1805" width="11.5703125" style="1083" bestFit="1" customWidth="1"/>
    <col min="1806" max="1806" width="8.42578125" style="1083" customWidth="1"/>
    <col min="1807" max="1807" width="13" style="1083" bestFit="1" customWidth="1"/>
    <col min="1808" max="2046" width="11.5703125" style="1083"/>
    <col min="2047" max="2047" width="8.5703125" style="1083" customWidth="1"/>
    <col min="2048" max="2048" width="50" style="1083" customWidth="1"/>
    <col min="2049" max="2049" width="6.42578125" style="1083" bestFit="1" customWidth="1"/>
    <col min="2050" max="2051" width="8.5703125" style="1083" customWidth="1"/>
    <col min="2052" max="2052" width="11.42578125" style="1083" bestFit="1" customWidth="1"/>
    <col min="2053" max="2053" width="7.5703125" style="1083" bestFit="1" customWidth="1"/>
    <col min="2054" max="2054" width="11.5703125" style="1083" bestFit="1" customWidth="1"/>
    <col min="2055" max="2055" width="8" style="1083" bestFit="1" customWidth="1"/>
    <col min="2056" max="2056" width="11.5703125" style="1083" bestFit="1" customWidth="1"/>
    <col min="2057" max="2057" width="8.42578125" style="1083" bestFit="1" customWidth="1"/>
    <col min="2058" max="2058" width="11.5703125" style="1083" bestFit="1" customWidth="1"/>
    <col min="2059" max="2059" width="8.42578125" style="1083" customWidth="1"/>
    <col min="2060" max="2060" width="7.42578125" style="1083" bestFit="1" customWidth="1"/>
    <col min="2061" max="2061" width="11.5703125" style="1083" bestFit="1" customWidth="1"/>
    <col min="2062" max="2062" width="8.42578125" style="1083" customWidth="1"/>
    <col min="2063" max="2063" width="13" style="1083" bestFit="1" customWidth="1"/>
    <col min="2064" max="2302" width="11.5703125" style="1083"/>
    <col min="2303" max="2303" width="8.5703125" style="1083" customWidth="1"/>
    <col min="2304" max="2304" width="50" style="1083" customWidth="1"/>
    <col min="2305" max="2305" width="6.42578125" style="1083" bestFit="1" customWidth="1"/>
    <col min="2306" max="2307" width="8.5703125" style="1083" customWidth="1"/>
    <col min="2308" max="2308" width="11.42578125" style="1083" bestFit="1" customWidth="1"/>
    <col min="2309" max="2309" width="7.5703125" style="1083" bestFit="1" customWidth="1"/>
    <col min="2310" max="2310" width="11.5703125" style="1083" bestFit="1" customWidth="1"/>
    <col min="2311" max="2311" width="8" style="1083" bestFit="1" customWidth="1"/>
    <col min="2312" max="2312" width="11.5703125" style="1083" bestFit="1" customWidth="1"/>
    <col min="2313" max="2313" width="8.42578125" style="1083" bestFit="1" customWidth="1"/>
    <col min="2314" max="2314" width="11.5703125" style="1083" bestFit="1" customWidth="1"/>
    <col min="2315" max="2315" width="8.42578125" style="1083" customWidth="1"/>
    <col min="2316" max="2316" width="7.42578125" style="1083" bestFit="1" customWidth="1"/>
    <col min="2317" max="2317" width="11.5703125" style="1083" bestFit="1" customWidth="1"/>
    <col min="2318" max="2318" width="8.42578125" style="1083" customWidth="1"/>
    <col min="2319" max="2319" width="13" style="1083" bestFit="1" customWidth="1"/>
    <col min="2320" max="2558" width="11.5703125" style="1083"/>
    <col min="2559" max="2559" width="8.5703125" style="1083" customWidth="1"/>
    <col min="2560" max="2560" width="50" style="1083" customWidth="1"/>
    <col min="2561" max="2561" width="6.42578125" style="1083" bestFit="1" customWidth="1"/>
    <col min="2562" max="2563" width="8.5703125" style="1083" customWidth="1"/>
    <col min="2564" max="2564" width="11.42578125" style="1083" bestFit="1" customWidth="1"/>
    <col min="2565" max="2565" width="7.5703125" style="1083" bestFit="1" customWidth="1"/>
    <col min="2566" max="2566" width="11.5703125" style="1083" bestFit="1" customWidth="1"/>
    <col min="2567" max="2567" width="8" style="1083" bestFit="1" customWidth="1"/>
    <col min="2568" max="2568" width="11.5703125" style="1083" bestFit="1" customWidth="1"/>
    <col min="2569" max="2569" width="8.42578125" style="1083" bestFit="1" customWidth="1"/>
    <col min="2570" max="2570" width="11.5703125" style="1083" bestFit="1" customWidth="1"/>
    <col min="2571" max="2571" width="8.42578125" style="1083" customWidth="1"/>
    <col min="2572" max="2572" width="7.42578125" style="1083" bestFit="1" customWidth="1"/>
    <col min="2573" max="2573" width="11.5703125" style="1083" bestFit="1" customWidth="1"/>
    <col min="2574" max="2574" width="8.42578125" style="1083" customWidth="1"/>
    <col min="2575" max="2575" width="13" style="1083" bestFit="1" customWidth="1"/>
    <col min="2576" max="2814" width="11.5703125" style="1083"/>
    <col min="2815" max="2815" width="8.5703125" style="1083" customWidth="1"/>
    <col min="2816" max="2816" width="50" style="1083" customWidth="1"/>
    <col min="2817" max="2817" width="6.42578125" style="1083" bestFit="1" customWidth="1"/>
    <col min="2818" max="2819" width="8.5703125" style="1083" customWidth="1"/>
    <col min="2820" max="2820" width="11.42578125" style="1083" bestFit="1" customWidth="1"/>
    <col min="2821" max="2821" width="7.5703125" style="1083" bestFit="1" customWidth="1"/>
    <col min="2822" max="2822" width="11.5703125" style="1083" bestFit="1" customWidth="1"/>
    <col min="2823" max="2823" width="8" style="1083" bestFit="1" customWidth="1"/>
    <col min="2824" max="2824" width="11.5703125" style="1083" bestFit="1" customWidth="1"/>
    <col min="2825" max="2825" width="8.42578125" style="1083" bestFit="1" customWidth="1"/>
    <col min="2826" max="2826" width="11.5703125" style="1083" bestFit="1" customWidth="1"/>
    <col min="2827" max="2827" width="8.42578125" style="1083" customWidth="1"/>
    <col min="2828" max="2828" width="7.42578125" style="1083" bestFit="1" customWidth="1"/>
    <col min="2829" max="2829" width="11.5703125" style="1083" bestFit="1" customWidth="1"/>
    <col min="2830" max="2830" width="8.42578125" style="1083" customWidth="1"/>
    <col min="2831" max="2831" width="13" style="1083" bestFit="1" customWidth="1"/>
    <col min="2832" max="3070" width="11.5703125" style="1083"/>
    <col min="3071" max="3071" width="8.5703125" style="1083" customWidth="1"/>
    <col min="3072" max="3072" width="50" style="1083" customWidth="1"/>
    <col min="3073" max="3073" width="6.42578125" style="1083" bestFit="1" customWidth="1"/>
    <col min="3074" max="3075" width="8.5703125" style="1083" customWidth="1"/>
    <col min="3076" max="3076" width="11.42578125" style="1083" bestFit="1" customWidth="1"/>
    <col min="3077" max="3077" width="7.5703125" style="1083" bestFit="1" customWidth="1"/>
    <col min="3078" max="3078" width="11.5703125" style="1083" bestFit="1" customWidth="1"/>
    <col min="3079" max="3079" width="8" style="1083" bestFit="1" customWidth="1"/>
    <col min="3080" max="3080" width="11.5703125" style="1083" bestFit="1" customWidth="1"/>
    <col min="3081" max="3081" width="8.42578125" style="1083" bestFit="1" customWidth="1"/>
    <col min="3082" max="3082" width="11.5703125" style="1083" bestFit="1" customWidth="1"/>
    <col min="3083" max="3083" width="8.42578125" style="1083" customWidth="1"/>
    <col min="3084" max="3084" width="7.42578125" style="1083" bestFit="1" customWidth="1"/>
    <col min="3085" max="3085" width="11.5703125" style="1083" bestFit="1" customWidth="1"/>
    <col min="3086" max="3086" width="8.42578125" style="1083" customWidth="1"/>
    <col min="3087" max="3087" width="13" style="1083" bestFit="1" customWidth="1"/>
    <col min="3088" max="3326" width="11.5703125" style="1083"/>
    <col min="3327" max="3327" width="8.5703125" style="1083" customWidth="1"/>
    <col min="3328" max="3328" width="50" style="1083" customWidth="1"/>
    <col min="3329" max="3329" width="6.42578125" style="1083" bestFit="1" customWidth="1"/>
    <col min="3330" max="3331" width="8.5703125" style="1083" customWidth="1"/>
    <col min="3332" max="3332" width="11.42578125" style="1083" bestFit="1" customWidth="1"/>
    <col min="3333" max="3333" width="7.5703125" style="1083" bestFit="1" customWidth="1"/>
    <col min="3334" max="3334" width="11.5703125" style="1083" bestFit="1" customWidth="1"/>
    <col min="3335" max="3335" width="8" style="1083" bestFit="1" customWidth="1"/>
    <col min="3336" max="3336" width="11.5703125" style="1083" bestFit="1" customWidth="1"/>
    <col min="3337" max="3337" width="8.42578125" style="1083" bestFit="1" customWidth="1"/>
    <col min="3338" max="3338" width="11.5703125" style="1083" bestFit="1" customWidth="1"/>
    <col min="3339" max="3339" width="8.42578125" style="1083" customWidth="1"/>
    <col min="3340" max="3340" width="7.42578125" style="1083" bestFit="1" customWidth="1"/>
    <col min="3341" max="3341" width="11.5703125" style="1083" bestFit="1" customWidth="1"/>
    <col min="3342" max="3342" width="8.42578125" style="1083" customWidth="1"/>
    <col min="3343" max="3343" width="13" style="1083" bestFit="1" customWidth="1"/>
    <col min="3344" max="3582" width="11.5703125" style="1083"/>
    <col min="3583" max="3583" width="8.5703125" style="1083" customWidth="1"/>
    <col min="3584" max="3584" width="50" style="1083" customWidth="1"/>
    <col min="3585" max="3585" width="6.42578125" style="1083" bestFit="1" customWidth="1"/>
    <col min="3586" max="3587" width="8.5703125" style="1083" customWidth="1"/>
    <col min="3588" max="3588" width="11.42578125" style="1083" bestFit="1" customWidth="1"/>
    <col min="3589" max="3589" width="7.5703125" style="1083" bestFit="1" customWidth="1"/>
    <col min="3590" max="3590" width="11.5703125" style="1083" bestFit="1" customWidth="1"/>
    <col min="3591" max="3591" width="8" style="1083" bestFit="1" customWidth="1"/>
    <col min="3592" max="3592" width="11.5703125" style="1083" bestFit="1" customWidth="1"/>
    <col min="3593" max="3593" width="8.42578125" style="1083" bestFit="1" customWidth="1"/>
    <col min="3594" max="3594" width="11.5703125" style="1083" bestFit="1" customWidth="1"/>
    <col min="3595" max="3595" width="8.42578125" style="1083" customWidth="1"/>
    <col min="3596" max="3596" width="7.42578125" style="1083" bestFit="1" customWidth="1"/>
    <col min="3597" max="3597" width="11.5703125" style="1083" bestFit="1" customWidth="1"/>
    <col min="3598" max="3598" width="8.42578125" style="1083" customWidth="1"/>
    <col min="3599" max="3599" width="13" style="1083" bestFit="1" customWidth="1"/>
    <col min="3600" max="3838" width="11.5703125" style="1083"/>
    <col min="3839" max="3839" width="8.5703125" style="1083" customWidth="1"/>
    <col min="3840" max="3840" width="50" style="1083" customWidth="1"/>
    <col min="3841" max="3841" width="6.42578125" style="1083" bestFit="1" customWidth="1"/>
    <col min="3842" max="3843" width="8.5703125" style="1083" customWidth="1"/>
    <col min="3844" max="3844" width="11.42578125" style="1083" bestFit="1" customWidth="1"/>
    <col min="3845" max="3845" width="7.5703125" style="1083" bestFit="1" customWidth="1"/>
    <col min="3846" max="3846" width="11.5703125" style="1083" bestFit="1" customWidth="1"/>
    <col min="3847" max="3847" width="8" style="1083" bestFit="1" customWidth="1"/>
    <col min="3848" max="3848" width="11.5703125" style="1083" bestFit="1" customWidth="1"/>
    <col min="3849" max="3849" width="8.42578125" style="1083" bestFit="1" customWidth="1"/>
    <col min="3850" max="3850" width="11.5703125" style="1083" bestFit="1" customWidth="1"/>
    <col min="3851" max="3851" width="8.42578125" style="1083" customWidth="1"/>
    <col min="3852" max="3852" width="7.42578125" style="1083" bestFit="1" customWidth="1"/>
    <col min="3853" max="3853" width="11.5703125" style="1083" bestFit="1" customWidth="1"/>
    <col min="3854" max="3854" width="8.42578125" style="1083" customWidth="1"/>
    <col min="3855" max="3855" width="13" style="1083" bestFit="1" customWidth="1"/>
    <col min="3856" max="4094" width="11.5703125" style="1083"/>
    <col min="4095" max="4095" width="8.5703125" style="1083" customWidth="1"/>
    <col min="4096" max="4096" width="50" style="1083" customWidth="1"/>
    <col min="4097" max="4097" width="6.42578125" style="1083" bestFit="1" customWidth="1"/>
    <col min="4098" max="4099" width="8.5703125" style="1083" customWidth="1"/>
    <col min="4100" max="4100" width="11.42578125" style="1083" bestFit="1" customWidth="1"/>
    <col min="4101" max="4101" width="7.5703125" style="1083" bestFit="1" customWidth="1"/>
    <col min="4102" max="4102" width="11.5703125" style="1083" bestFit="1" customWidth="1"/>
    <col min="4103" max="4103" width="8" style="1083" bestFit="1" customWidth="1"/>
    <col min="4104" max="4104" width="11.5703125" style="1083" bestFit="1" customWidth="1"/>
    <col min="4105" max="4105" width="8.42578125" style="1083" bestFit="1" customWidth="1"/>
    <col min="4106" max="4106" width="11.5703125" style="1083" bestFit="1" customWidth="1"/>
    <col min="4107" max="4107" width="8.42578125" style="1083" customWidth="1"/>
    <col min="4108" max="4108" width="7.42578125" style="1083" bestFit="1" customWidth="1"/>
    <col min="4109" max="4109" width="11.5703125" style="1083" bestFit="1" customWidth="1"/>
    <col min="4110" max="4110" width="8.42578125" style="1083" customWidth="1"/>
    <col min="4111" max="4111" width="13" style="1083" bestFit="1" customWidth="1"/>
    <col min="4112" max="4350" width="11.5703125" style="1083"/>
    <col min="4351" max="4351" width="8.5703125" style="1083" customWidth="1"/>
    <col min="4352" max="4352" width="50" style="1083" customWidth="1"/>
    <col min="4353" max="4353" width="6.42578125" style="1083" bestFit="1" customWidth="1"/>
    <col min="4354" max="4355" width="8.5703125" style="1083" customWidth="1"/>
    <col min="4356" max="4356" width="11.42578125" style="1083" bestFit="1" customWidth="1"/>
    <col min="4357" max="4357" width="7.5703125" style="1083" bestFit="1" customWidth="1"/>
    <col min="4358" max="4358" width="11.5703125" style="1083" bestFit="1" customWidth="1"/>
    <col min="4359" max="4359" width="8" style="1083" bestFit="1" customWidth="1"/>
    <col min="4360" max="4360" width="11.5703125" style="1083" bestFit="1" customWidth="1"/>
    <col min="4361" max="4361" width="8.42578125" style="1083" bestFit="1" customWidth="1"/>
    <col min="4362" max="4362" width="11.5703125" style="1083" bestFit="1" customWidth="1"/>
    <col min="4363" max="4363" width="8.42578125" style="1083" customWidth="1"/>
    <col min="4364" max="4364" width="7.42578125" style="1083" bestFit="1" customWidth="1"/>
    <col min="4365" max="4365" width="11.5703125" style="1083" bestFit="1" customWidth="1"/>
    <col min="4366" max="4366" width="8.42578125" style="1083" customWidth="1"/>
    <col min="4367" max="4367" width="13" style="1083" bestFit="1" customWidth="1"/>
    <col min="4368" max="4606" width="11.5703125" style="1083"/>
    <col min="4607" max="4607" width="8.5703125" style="1083" customWidth="1"/>
    <col min="4608" max="4608" width="50" style="1083" customWidth="1"/>
    <col min="4609" max="4609" width="6.42578125" style="1083" bestFit="1" customWidth="1"/>
    <col min="4610" max="4611" width="8.5703125" style="1083" customWidth="1"/>
    <col min="4612" max="4612" width="11.42578125" style="1083" bestFit="1" customWidth="1"/>
    <col min="4613" max="4613" width="7.5703125" style="1083" bestFit="1" customWidth="1"/>
    <col min="4614" max="4614" width="11.5703125" style="1083" bestFit="1" customWidth="1"/>
    <col min="4615" max="4615" width="8" style="1083" bestFit="1" customWidth="1"/>
    <col min="4616" max="4616" width="11.5703125" style="1083" bestFit="1" customWidth="1"/>
    <col min="4617" max="4617" width="8.42578125" style="1083" bestFit="1" customWidth="1"/>
    <col min="4618" max="4618" width="11.5703125" style="1083" bestFit="1" customWidth="1"/>
    <col min="4619" max="4619" width="8.42578125" style="1083" customWidth="1"/>
    <col min="4620" max="4620" width="7.42578125" style="1083" bestFit="1" customWidth="1"/>
    <col min="4621" max="4621" width="11.5703125" style="1083" bestFit="1" customWidth="1"/>
    <col min="4622" max="4622" width="8.42578125" style="1083" customWidth="1"/>
    <col min="4623" max="4623" width="13" style="1083" bestFit="1" customWidth="1"/>
    <col min="4624" max="4862" width="11.5703125" style="1083"/>
    <col min="4863" max="4863" width="8.5703125" style="1083" customWidth="1"/>
    <col min="4864" max="4864" width="50" style="1083" customWidth="1"/>
    <col min="4865" max="4865" width="6.42578125" style="1083" bestFit="1" customWidth="1"/>
    <col min="4866" max="4867" width="8.5703125" style="1083" customWidth="1"/>
    <col min="4868" max="4868" width="11.42578125" style="1083" bestFit="1" customWidth="1"/>
    <col min="4869" max="4869" width="7.5703125" style="1083" bestFit="1" customWidth="1"/>
    <col min="4870" max="4870" width="11.5703125" style="1083" bestFit="1" customWidth="1"/>
    <col min="4871" max="4871" width="8" style="1083" bestFit="1" customWidth="1"/>
    <col min="4872" max="4872" width="11.5703125" style="1083" bestFit="1" customWidth="1"/>
    <col min="4873" max="4873" width="8.42578125" style="1083" bestFit="1" customWidth="1"/>
    <col min="4874" max="4874" width="11.5703125" style="1083" bestFit="1" customWidth="1"/>
    <col min="4875" max="4875" width="8.42578125" style="1083" customWidth="1"/>
    <col min="4876" max="4876" width="7.42578125" style="1083" bestFit="1" customWidth="1"/>
    <col min="4877" max="4877" width="11.5703125" style="1083" bestFit="1" customWidth="1"/>
    <col min="4878" max="4878" width="8.42578125" style="1083" customWidth="1"/>
    <col min="4879" max="4879" width="13" style="1083" bestFit="1" customWidth="1"/>
    <col min="4880" max="5118" width="11.5703125" style="1083"/>
    <col min="5119" max="5119" width="8.5703125" style="1083" customWidth="1"/>
    <col min="5120" max="5120" width="50" style="1083" customWidth="1"/>
    <col min="5121" max="5121" width="6.42578125" style="1083" bestFit="1" customWidth="1"/>
    <col min="5122" max="5123" width="8.5703125" style="1083" customWidth="1"/>
    <col min="5124" max="5124" width="11.42578125" style="1083" bestFit="1" customWidth="1"/>
    <col min="5125" max="5125" width="7.5703125" style="1083" bestFit="1" customWidth="1"/>
    <col min="5126" max="5126" width="11.5703125" style="1083" bestFit="1" customWidth="1"/>
    <col min="5127" max="5127" width="8" style="1083" bestFit="1" customWidth="1"/>
    <col min="5128" max="5128" width="11.5703125" style="1083" bestFit="1" customWidth="1"/>
    <col min="5129" max="5129" width="8.42578125" style="1083" bestFit="1" customWidth="1"/>
    <col min="5130" max="5130" width="11.5703125" style="1083" bestFit="1" customWidth="1"/>
    <col min="5131" max="5131" width="8.42578125" style="1083" customWidth="1"/>
    <col min="5132" max="5132" width="7.42578125" style="1083" bestFit="1" customWidth="1"/>
    <col min="5133" max="5133" width="11.5703125" style="1083" bestFit="1" customWidth="1"/>
    <col min="5134" max="5134" width="8.42578125" style="1083" customWidth="1"/>
    <col min="5135" max="5135" width="13" style="1083" bestFit="1" customWidth="1"/>
    <col min="5136" max="5374" width="11.5703125" style="1083"/>
    <col min="5375" max="5375" width="8.5703125" style="1083" customWidth="1"/>
    <col min="5376" max="5376" width="50" style="1083" customWidth="1"/>
    <col min="5377" max="5377" width="6.42578125" style="1083" bestFit="1" customWidth="1"/>
    <col min="5378" max="5379" width="8.5703125" style="1083" customWidth="1"/>
    <col min="5380" max="5380" width="11.42578125" style="1083" bestFit="1" customWidth="1"/>
    <col min="5381" max="5381" width="7.5703125" style="1083" bestFit="1" customWidth="1"/>
    <col min="5382" max="5382" width="11.5703125" style="1083" bestFit="1" customWidth="1"/>
    <col min="5383" max="5383" width="8" style="1083" bestFit="1" customWidth="1"/>
    <col min="5384" max="5384" width="11.5703125" style="1083" bestFit="1" customWidth="1"/>
    <col min="5385" max="5385" width="8.42578125" style="1083" bestFit="1" customWidth="1"/>
    <col min="5386" max="5386" width="11.5703125" style="1083" bestFit="1" customWidth="1"/>
    <col min="5387" max="5387" width="8.42578125" style="1083" customWidth="1"/>
    <col min="5388" max="5388" width="7.42578125" style="1083" bestFit="1" customWidth="1"/>
    <col min="5389" max="5389" width="11.5703125" style="1083" bestFit="1" customWidth="1"/>
    <col min="5390" max="5390" width="8.42578125" style="1083" customWidth="1"/>
    <col min="5391" max="5391" width="13" style="1083" bestFit="1" customWidth="1"/>
    <col min="5392" max="5630" width="11.5703125" style="1083"/>
    <col min="5631" max="5631" width="8.5703125" style="1083" customWidth="1"/>
    <col min="5632" max="5632" width="50" style="1083" customWidth="1"/>
    <col min="5633" max="5633" width="6.42578125" style="1083" bestFit="1" customWidth="1"/>
    <col min="5634" max="5635" width="8.5703125" style="1083" customWidth="1"/>
    <col min="5636" max="5636" width="11.42578125" style="1083" bestFit="1" customWidth="1"/>
    <col min="5637" max="5637" width="7.5703125" style="1083" bestFit="1" customWidth="1"/>
    <col min="5638" max="5638" width="11.5703125" style="1083" bestFit="1" customWidth="1"/>
    <col min="5639" max="5639" width="8" style="1083" bestFit="1" customWidth="1"/>
    <col min="5640" max="5640" width="11.5703125" style="1083" bestFit="1" customWidth="1"/>
    <col min="5641" max="5641" width="8.42578125" style="1083" bestFit="1" customWidth="1"/>
    <col min="5642" max="5642" width="11.5703125" style="1083" bestFit="1" customWidth="1"/>
    <col min="5643" max="5643" width="8.42578125" style="1083" customWidth="1"/>
    <col min="5644" max="5644" width="7.42578125" style="1083" bestFit="1" customWidth="1"/>
    <col min="5645" max="5645" width="11.5703125" style="1083" bestFit="1" customWidth="1"/>
    <col min="5646" max="5646" width="8.42578125" style="1083" customWidth="1"/>
    <col min="5647" max="5647" width="13" style="1083" bestFit="1" customWidth="1"/>
    <col min="5648" max="5886" width="11.5703125" style="1083"/>
    <col min="5887" max="5887" width="8.5703125" style="1083" customWidth="1"/>
    <col min="5888" max="5888" width="50" style="1083" customWidth="1"/>
    <col min="5889" max="5889" width="6.42578125" style="1083" bestFit="1" customWidth="1"/>
    <col min="5890" max="5891" width="8.5703125" style="1083" customWidth="1"/>
    <col min="5892" max="5892" width="11.42578125" style="1083" bestFit="1" customWidth="1"/>
    <col min="5893" max="5893" width="7.5703125" style="1083" bestFit="1" customWidth="1"/>
    <col min="5894" max="5894" width="11.5703125" style="1083" bestFit="1" customWidth="1"/>
    <col min="5895" max="5895" width="8" style="1083" bestFit="1" customWidth="1"/>
    <col min="5896" max="5896" width="11.5703125" style="1083" bestFit="1" customWidth="1"/>
    <col min="5897" max="5897" width="8.42578125" style="1083" bestFit="1" customWidth="1"/>
    <col min="5898" max="5898" width="11.5703125" style="1083" bestFit="1" customWidth="1"/>
    <col min="5899" max="5899" width="8.42578125" style="1083" customWidth="1"/>
    <col min="5900" max="5900" width="7.42578125" style="1083" bestFit="1" customWidth="1"/>
    <col min="5901" max="5901" width="11.5703125" style="1083" bestFit="1" customWidth="1"/>
    <col min="5902" max="5902" width="8.42578125" style="1083" customWidth="1"/>
    <col min="5903" max="5903" width="13" style="1083" bestFit="1" customWidth="1"/>
    <col min="5904" max="6142" width="11.5703125" style="1083"/>
    <col min="6143" max="6143" width="8.5703125" style="1083" customWidth="1"/>
    <col min="6144" max="6144" width="50" style="1083" customWidth="1"/>
    <col min="6145" max="6145" width="6.42578125" style="1083" bestFit="1" customWidth="1"/>
    <col min="6146" max="6147" width="8.5703125" style="1083" customWidth="1"/>
    <col min="6148" max="6148" width="11.42578125" style="1083" bestFit="1" customWidth="1"/>
    <col min="6149" max="6149" width="7.5703125" style="1083" bestFit="1" customWidth="1"/>
    <col min="6150" max="6150" width="11.5703125" style="1083" bestFit="1" customWidth="1"/>
    <col min="6151" max="6151" width="8" style="1083" bestFit="1" customWidth="1"/>
    <col min="6152" max="6152" width="11.5703125" style="1083" bestFit="1" customWidth="1"/>
    <col min="6153" max="6153" width="8.42578125" style="1083" bestFit="1" customWidth="1"/>
    <col min="6154" max="6154" width="11.5703125" style="1083" bestFit="1" customWidth="1"/>
    <col min="6155" max="6155" width="8.42578125" style="1083" customWidth="1"/>
    <col min="6156" max="6156" width="7.42578125" style="1083" bestFit="1" customWidth="1"/>
    <col min="6157" max="6157" width="11.5703125" style="1083" bestFit="1" customWidth="1"/>
    <col min="6158" max="6158" width="8.42578125" style="1083" customWidth="1"/>
    <col min="6159" max="6159" width="13" style="1083" bestFit="1" customWidth="1"/>
    <col min="6160" max="6398" width="11.5703125" style="1083"/>
    <col min="6399" max="6399" width="8.5703125" style="1083" customWidth="1"/>
    <col min="6400" max="6400" width="50" style="1083" customWidth="1"/>
    <col min="6401" max="6401" width="6.42578125" style="1083" bestFit="1" customWidth="1"/>
    <col min="6402" max="6403" width="8.5703125" style="1083" customWidth="1"/>
    <col min="6404" max="6404" width="11.42578125" style="1083" bestFit="1" customWidth="1"/>
    <col min="6405" max="6405" width="7.5703125" style="1083" bestFit="1" customWidth="1"/>
    <col min="6406" max="6406" width="11.5703125" style="1083" bestFit="1" customWidth="1"/>
    <col min="6407" max="6407" width="8" style="1083" bestFit="1" customWidth="1"/>
    <col min="6408" max="6408" width="11.5703125" style="1083" bestFit="1" customWidth="1"/>
    <col min="6409" max="6409" width="8.42578125" style="1083" bestFit="1" customWidth="1"/>
    <col min="6410" max="6410" width="11.5703125" style="1083" bestFit="1" customWidth="1"/>
    <col min="6411" max="6411" width="8.42578125" style="1083" customWidth="1"/>
    <col min="6412" max="6412" width="7.42578125" style="1083" bestFit="1" customWidth="1"/>
    <col min="6413" max="6413" width="11.5703125" style="1083" bestFit="1" customWidth="1"/>
    <col min="6414" max="6414" width="8.42578125" style="1083" customWidth="1"/>
    <col min="6415" max="6415" width="13" style="1083" bestFit="1" customWidth="1"/>
    <col min="6416" max="6654" width="11.5703125" style="1083"/>
    <col min="6655" max="6655" width="8.5703125" style="1083" customWidth="1"/>
    <col min="6656" max="6656" width="50" style="1083" customWidth="1"/>
    <col min="6657" max="6657" width="6.42578125" style="1083" bestFit="1" customWidth="1"/>
    <col min="6658" max="6659" width="8.5703125" style="1083" customWidth="1"/>
    <col min="6660" max="6660" width="11.42578125" style="1083" bestFit="1" customWidth="1"/>
    <col min="6661" max="6661" width="7.5703125" style="1083" bestFit="1" customWidth="1"/>
    <col min="6662" max="6662" width="11.5703125" style="1083" bestFit="1" customWidth="1"/>
    <col min="6663" max="6663" width="8" style="1083" bestFit="1" customWidth="1"/>
    <col min="6664" max="6664" width="11.5703125" style="1083" bestFit="1" customWidth="1"/>
    <col min="6665" max="6665" width="8.42578125" style="1083" bestFit="1" customWidth="1"/>
    <col min="6666" max="6666" width="11.5703125" style="1083" bestFit="1" customWidth="1"/>
    <col min="6667" max="6667" width="8.42578125" style="1083" customWidth="1"/>
    <col min="6668" max="6668" width="7.42578125" style="1083" bestFit="1" customWidth="1"/>
    <col min="6669" max="6669" width="11.5703125" style="1083" bestFit="1" customWidth="1"/>
    <col min="6670" max="6670" width="8.42578125" style="1083" customWidth="1"/>
    <col min="6671" max="6671" width="13" style="1083" bestFit="1" customWidth="1"/>
    <col min="6672" max="6910" width="11.5703125" style="1083"/>
    <col min="6911" max="6911" width="8.5703125" style="1083" customWidth="1"/>
    <col min="6912" max="6912" width="50" style="1083" customWidth="1"/>
    <col min="6913" max="6913" width="6.42578125" style="1083" bestFit="1" customWidth="1"/>
    <col min="6914" max="6915" width="8.5703125" style="1083" customWidth="1"/>
    <col min="6916" max="6916" width="11.42578125" style="1083" bestFit="1" customWidth="1"/>
    <col min="6917" max="6917" width="7.5703125" style="1083" bestFit="1" customWidth="1"/>
    <col min="6918" max="6918" width="11.5703125" style="1083" bestFit="1" customWidth="1"/>
    <col min="6919" max="6919" width="8" style="1083" bestFit="1" customWidth="1"/>
    <col min="6920" max="6920" width="11.5703125" style="1083" bestFit="1" customWidth="1"/>
    <col min="6921" max="6921" width="8.42578125" style="1083" bestFit="1" customWidth="1"/>
    <col min="6922" max="6922" width="11.5703125" style="1083" bestFit="1" customWidth="1"/>
    <col min="6923" max="6923" width="8.42578125" style="1083" customWidth="1"/>
    <col min="6924" max="6924" width="7.42578125" style="1083" bestFit="1" customWidth="1"/>
    <col min="6925" max="6925" width="11.5703125" style="1083" bestFit="1" customWidth="1"/>
    <col min="6926" max="6926" width="8.42578125" style="1083" customWidth="1"/>
    <col min="6927" max="6927" width="13" style="1083" bestFit="1" customWidth="1"/>
    <col min="6928" max="7166" width="11.5703125" style="1083"/>
    <col min="7167" max="7167" width="8.5703125" style="1083" customWidth="1"/>
    <col min="7168" max="7168" width="50" style="1083" customWidth="1"/>
    <col min="7169" max="7169" width="6.42578125" style="1083" bestFit="1" customWidth="1"/>
    <col min="7170" max="7171" width="8.5703125" style="1083" customWidth="1"/>
    <col min="7172" max="7172" width="11.42578125" style="1083" bestFit="1" customWidth="1"/>
    <col min="7173" max="7173" width="7.5703125" style="1083" bestFit="1" customWidth="1"/>
    <col min="7174" max="7174" width="11.5703125" style="1083" bestFit="1" customWidth="1"/>
    <col min="7175" max="7175" width="8" style="1083" bestFit="1" customWidth="1"/>
    <col min="7176" max="7176" width="11.5703125" style="1083" bestFit="1" customWidth="1"/>
    <col min="7177" max="7177" width="8.42578125" style="1083" bestFit="1" customWidth="1"/>
    <col min="7178" max="7178" width="11.5703125" style="1083" bestFit="1" customWidth="1"/>
    <col min="7179" max="7179" width="8.42578125" style="1083" customWidth="1"/>
    <col min="7180" max="7180" width="7.42578125" style="1083" bestFit="1" customWidth="1"/>
    <col min="7181" max="7181" width="11.5703125" style="1083" bestFit="1" customWidth="1"/>
    <col min="7182" max="7182" width="8.42578125" style="1083" customWidth="1"/>
    <col min="7183" max="7183" width="13" style="1083" bestFit="1" customWidth="1"/>
    <col min="7184" max="7422" width="11.5703125" style="1083"/>
    <col min="7423" max="7423" width="8.5703125" style="1083" customWidth="1"/>
    <col min="7424" max="7424" width="50" style="1083" customWidth="1"/>
    <col min="7425" max="7425" width="6.42578125" style="1083" bestFit="1" customWidth="1"/>
    <col min="7426" max="7427" width="8.5703125" style="1083" customWidth="1"/>
    <col min="7428" max="7428" width="11.42578125" style="1083" bestFit="1" customWidth="1"/>
    <col min="7429" max="7429" width="7.5703125" style="1083" bestFit="1" customWidth="1"/>
    <col min="7430" max="7430" width="11.5703125" style="1083" bestFit="1" customWidth="1"/>
    <col min="7431" max="7431" width="8" style="1083" bestFit="1" customWidth="1"/>
    <col min="7432" max="7432" width="11.5703125" style="1083" bestFit="1" customWidth="1"/>
    <col min="7433" max="7433" width="8.42578125" style="1083" bestFit="1" customWidth="1"/>
    <col min="7434" max="7434" width="11.5703125" style="1083" bestFit="1" customWidth="1"/>
    <col min="7435" max="7435" width="8.42578125" style="1083" customWidth="1"/>
    <col min="7436" max="7436" width="7.42578125" style="1083" bestFit="1" customWidth="1"/>
    <col min="7437" max="7437" width="11.5703125" style="1083" bestFit="1" customWidth="1"/>
    <col min="7438" max="7438" width="8.42578125" style="1083" customWidth="1"/>
    <col min="7439" max="7439" width="13" style="1083" bestFit="1" customWidth="1"/>
    <col min="7440" max="7678" width="11.5703125" style="1083"/>
    <col min="7679" max="7679" width="8.5703125" style="1083" customWidth="1"/>
    <col min="7680" max="7680" width="50" style="1083" customWidth="1"/>
    <col min="7681" max="7681" width="6.42578125" style="1083" bestFit="1" customWidth="1"/>
    <col min="7682" max="7683" width="8.5703125" style="1083" customWidth="1"/>
    <col min="7684" max="7684" width="11.42578125" style="1083" bestFit="1" customWidth="1"/>
    <col min="7685" max="7685" width="7.5703125" style="1083" bestFit="1" customWidth="1"/>
    <col min="7686" max="7686" width="11.5703125" style="1083" bestFit="1" customWidth="1"/>
    <col min="7687" max="7687" width="8" style="1083" bestFit="1" customWidth="1"/>
    <col min="7688" max="7688" width="11.5703125" style="1083" bestFit="1" customWidth="1"/>
    <col min="7689" max="7689" width="8.42578125" style="1083" bestFit="1" customWidth="1"/>
    <col min="7690" max="7690" width="11.5703125" style="1083" bestFit="1" customWidth="1"/>
    <col min="7691" max="7691" width="8.42578125" style="1083" customWidth="1"/>
    <col min="7692" max="7692" width="7.42578125" style="1083" bestFit="1" customWidth="1"/>
    <col min="7693" max="7693" width="11.5703125" style="1083" bestFit="1" customWidth="1"/>
    <col min="7694" max="7694" width="8.42578125" style="1083" customWidth="1"/>
    <col min="7695" max="7695" width="13" style="1083" bestFit="1" customWidth="1"/>
    <col min="7696" max="7934" width="11.5703125" style="1083"/>
    <col min="7935" max="7935" width="8.5703125" style="1083" customWidth="1"/>
    <col min="7936" max="7936" width="50" style="1083" customWidth="1"/>
    <col min="7937" max="7937" width="6.42578125" style="1083" bestFit="1" customWidth="1"/>
    <col min="7938" max="7939" width="8.5703125" style="1083" customWidth="1"/>
    <col min="7940" max="7940" width="11.42578125" style="1083" bestFit="1" customWidth="1"/>
    <col min="7941" max="7941" width="7.5703125" style="1083" bestFit="1" customWidth="1"/>
    <col min="7942" max="7942" width="11.5703125" style="1083" bestFit="1" customWidth="1"/>
    <col min="7943" max="7943" width="8" style="1083" bestFit="1" customWidth="1"/>
    <col min="7944" max="7944" width="11.5703125" style="1083" bestFit="1" customWidth="1"/>
    <col min="7945" max="7945" width="8.42578125" style="1083" bestFit="1" customWidth="1"/>
    <col min="7946" max="7946" width="11.5703125" style="1083" bestFit="1" customWidth="1"/>
    <col min="7947" max="7947" width="8.42578125" style="1083" customWidth="1"/>
    <col min="7948" max="7948" width="7.42578125" style="1083" bestFit="1" customWidth="1"/>
    <col min="7949" max="7949" width="11.5703125" style="1083" bestFit="1" customWidth="1"/>
    <col min="7950" max="7950" width="8.42578125" style="1083" customWidth="1"/>
    <col min="7951" max="7951" width="13" style="1083" bestFit="1" customWidth="1"/>
    <col min="7952" max="8190" width="11.5703125" style="1083"/>
    <col min="8191" max="8191" width="8.5703125" style="1083" customWidth="1"/>
    <col min="8192" max="8192" width="50" style="1083" customWidth="1"/>
    <col min="8193" max="8193" width="6.42578125" style="1083" bestFit="1" customWidth="1"/>
    <col min="8194" max="8195" width="8.5703125" style="1083" customWidth="1"/>
    <col min="8196" max="8196" width="11.42578125" style="1083" bestFit="1" customWidth="1"/>
    <col min="8197" max="8197" width="7.5703125" style="1083" bestFit="1" customWidth="1"/>
    <col min="8198" max="8198" width="11.5703125" style="1083" bestFit="1" customWidth="1"/>
    <col min="8199" max="8199" width="8" style="1083" bestFit="1" customWidth="1"/>
    <col min="8200" max="8200" width="11.5703125" style="1083" bestFit="1" customWidth="1"/>
    <col min="8201" max="8201" width="8.42578125" style="1083" bestFit="1" customWidth="1"/>
    <col min="8202" max="8202" width="11.5703125" style="1083" bestFit="1" customWidth="1"/>
    <col min="8203" max="8203" width="8.42578125" style="1083" customWidth="1"/>
    <col min="8204" max="8204" width="7.42578125" style="1083" bestFit="1" customWidth="1"/>
    <col min="8205" max="8205" width="11.5703125" style="1083" bestFit="1" customWidth="1"/>
    <col min="8206" max="8206" width="8.42578125" style="1083" customWidth="1"/>
    <col min="8207" max="8207" width="13" style="1083" bestFit="1" customWidth="1"/>
    <col min="8208" max="8446" width="11.5703125" style="1083"/>
    <col min="8447" max="8447" width="8.5703125" style="1083" customWidth="1"/>
    <col min="8448" max="8448" width="50" style="1083" customWidth="1"/>
    <col min="8449" max="8449" width="6.42578125" style="1083" bestFit="1" customWidth="1"/>
    <col min="8450" max="8451" width="8.5703125" style="1083" customWidth="1"/>
    <col min="8452" max="8452" width="11.42578125" style="1083" bestFit="1" customWidth="1"/>
    <col min="8453" max="8453" width="7.5703125" style="1083" bestFit="1" customWidth="1"/>
    <col min="8454" max="8454" width="11.5703125" style="1083" bestFit="1" customWidth="1"/>
    <col min="8455" max="8455" width="8" style="1083" bestFit="1" customWidth="1"/>
    <col min="8456" max="8456" width="11.5703125" style="1083" bestFit="1" customWidth="1"/>
    <col min="8457" max="8457" width="8.42578125" style="1083" bestFit="1" customWidth="1"/>
    <col min="8458" max="8458" width="11.5703125" style="1083" bestFit="1" customWidth="1"/>
    <col min="8459" max="8459" width="8.42578125" style="1083" customWidth="1"/>
    <col min="8460" max="8460" width="7.42578125" style="1083" bestFit="1" customWidth="1"/>
    <col min="8461" max="8461" width="11.5703125" style="1083" bestFit="1" customWidth="1"/>
    <col min="8462" max="8462" width="8.42578125" style="1083" customWidth="1"/>
    <col min="8463" max="8463" width="13" style="1083" bestFit="1" customWidth="1"/>
    <col min="8464" max="8702" width="11.5703125" style="1083"/>
    <col min="8703" max="8703" width="8.5703125" style="1083" customWidth="1"/>
    <col min="8704" max="8704" width="50" style="1083" customWidth="1"/>
    <col min="8705" max="8705" width="6.42578125" style="1083" bestFit="1" customWidth="1"/>
    <col min="8706" max="8707" width="8.5703125" style="1083" customWidth="1"/>
    <col min="8708" max="8708" width="11.42578125" style="1083" bestFit="1" customWidth="1"/>
    <col min="8709" max="8709" width="7.5703125" style="1083" bestFit="1" customWidth="1"/>
    <col min="8710" max="8710" width="11.5703125" style="1083" bestFit="1" customWidth="1"/>
    <col min="8711" max="8711" width="8" style="1083" bestFit="1" customWidth="1"/>
    <col min="8712" max="8712" width="11.5703125" style="1083" bestFit="1" customWidth="1"/>
    <col min="8713" max="8713" width="8.42578125" style="1083" bestFit="1" customWidth="1"/>
    <col min="8714" max="8714" width="11.5703125" style="1083" bestFit="1" customWidth="1"/>
    <col min="8715" max="8715" width="8.42578125" style="1083" customWidth="1"/>
    <col min="8716" max="8716" width="7.42578125" style="1083" bestFit="1" customWidth="1"/>
    <col min="8717" max="8717" width="11.5703125" style="1083" bestFit="1" customWidth="1"/>
    <col min="8718" max="8718" width="8.42578125" style="1083" customWidth="1"/>
    <col min="8719" max="8719" width="13" style="1083" bestFit="1" customWidth="1"/>
    <col min="8720" max="8958" width="11.5703125" style="1083"/>
    <col min="8959" max="8959" width="8.5703125" style="1083" customWidth="1"/>
    <col min="8960" max="8960" width="50" style="1083" customWidth="1"/>
    <col min="8961" max="8961" width="6.42578125" style="1083" bestFit="1" customWidth="1"/>
    <col min="8962" max="8963" width="8.5703125" style="1083" customWidth="1"/>
    <col min="8964" max="8964" width="11.42578125" style="1083" bestFit="1" customWidth="1"/>
    <col min="8965" max="8965" width="7.5703125" style="1083" bestFit="1" customWidth="1"/>
    <col min="8966" max="8966" width="11.5703125" style="1083" bestFit="1" customWidth="1"/>
    <col min="8967" max="8967" width="8" style="1083" bestFit="1" customWidth="1"/>
    <col min="8968" max="8968" width="11.5703125" style="1083" bestFit="1" customWidth="1"/>
    <col min="8969" max="8969" width="8.42578125" style="1083" bestFit="1" customWidth="1"/>
    <col min="8970" max="8970" width="11.5703125" style="1083" bestFit="1" customWidth="1"/>
    <col min="8971" max="8971" width="8.42578125" style="1083" customWidth="1"/>
    <col min="8972" max="8972" width="7.42578125" style="1083" bestFit="1" customWidth="1"/>
    <col min="8973" max="8973" width="11.5703125" style="1083" bestFit="1" customWidth="1"/>
    <col min="8974" max="8974" width="8.42578125" style="1083" customWidth="1"/>
    <col min="8975" max="8975" width="13" style="1083" bestFit="1" customWidth="1"/>
    <col min="8976" max="9214" width="11.5703125" style="1083"/>
    <col min="9215" max="9215" width="8.5703125" style="1083" customWidth="1"/>
    <col min="9216" max="9216" width="50" style="1083" customWidth="1"/>
    <col min="9217" max="9217" width="6.42578125" style="1083" bestFit="1" customWidth="1"/>
    <col min="9218" max="9219" width="8.5703125" style="1083" customWidth="1"/>
    <col min="9220" max="9220" width="11.42578125" style="1083" bestFit="1" customWidth="1"/>
    <col min="9221" max="9221" width="7.5703125" style="1083" bestFit="1" customWidth="1"/>
    <col min="9222" max="9222" width="11.5703125" style="1083" bestFit="1" customWidth="1"/>
    <col min="9223" max="9223" width="8" style="1083" bestFit="1" customWidth="1"/>
    <col min="9224" max="9224" width="11.5703125" style="1083" bestFit="1" customWidth="1"/>
    <col min="9225" max="9225" width="8.42578125" style="1083" bestFit="1" customWidth="1"/>
    <col min="9226" max="9226" width="11.5703125" style="1083" bestFit="1" customWidth="1"/>
    <col min="9227" max="9227" width="8.42578125" style="1083" customWidth="1"/>
    <col min="9228" max="9228" width="7.42578125" style="1083" bestFit="1" customWidth="1"/>
    <col min="9229" max="9229" width="11.5703125" style="1083" bestFit="1" customWidth="1"/>
    <col min="9230" max="9230" width="8.42578125" style="1083" customWidth="1"/>
    <col min="9231" max="9231" width="13" style="1083" bestFit="1" customWidth="1"/>
    <col min="9232" max="9470" width="11.5703125" style="1083"/>
    <col min="9471" max="9471" width="8.5703125" style="1083" customWidth="1"/>
    <col min="9472" max="9472" width="50" style="1083" customWidth="1"/>
    <col min="9473" max="9473" width="6.42578125" style="1083" bestFit="1" customWidth="1"/>
    <col min="9474" max="9475" width="8.5703125" style="1083" customWidth="1"/>
    <col min="9476" max="9476" width="11.42578125" style="1083" bestFit="1" customWidth="1"/>
    <col min="9477" max="9477" width="7.5703125" style="1083" bestFit="1" customWidth="1"/>
    <col min="9478" max="9478" width="11.5703125" style="1083" bestFit="1" customWidth="1"/>
    <col min="9479" max="9479" width="8" style="1083" bestFit="1" customWidth="1"/>
    <col min="9480" max="9480" width="11.5703125" style="1083" bestFit="1" customWidth="1"/>
    <col min="9481" max="9481" width="8.42578125" style="1083" bestFit="1" customWidth="1"/>
    <col min="9482" max="9482" width="11.5703125" style="1083" bestFit="1" customWidth="1"/>
    <col min="9483" max="9483" width="8.42578125" style="1083" customWidth="1"/>
    <col min="9484" max="9484" width="7.42578125" style="1083" bestFit="1" customWidth="1"/>
    <col min="9485" max="9485" width="11.5703125" style="1083" bestFit="1" customWidth="1"/>
    <col min="9486" max="9486" width="8.42578125" style="1083" customWidth="1"/>
    <col min="9487" max="9487" width="13" style="1083" bestFit="1" customWidth="1"/>
    <col min="9488" max="9726" width="11.5703125" style="1083"/>
    <col min="9727" max="9727" width="8.5703125" style="1083" customWidth="1"/>
    <col min="9728" max="9728" width="50" style="1083" customWidth="1"/>
    <col min="9729" max="9729" width="6.42578125" style="1083" bestFit="1" customWidth="1"/>
    <col min="9730" max="9731" width="8.5703125" style="1083" customWidth="1"/>
    <col min="9732" max="9732" width="11.42578125" style="1083" bestFit="1" customWidth="1"/>
    <col min="9733" max="9733" width="7.5703125" style="1083" bestFit="1" customWidth="1"/>
    <col min="9734" max="9734" width="11.5703125" style="1083" bestFit="1" customWidth="1"/>
    <col min="9735" max="9735" width="8" style="1083" bestFit="1" customWidth="1"/>
    <col min="9736" max="9736" width="11.5703125" style="1083" bestFit="1" customWidth="1"/>
    <col min="9737" max="9737" width="8.42578125" style="1083" bestFit="1" customWidth="1"/>
    <col min="9738" max="9738" width="11.5703125" style="1083" bestFit="1" customWidth="1"/>
    <col min="9739" max="9739" width="8.42578125" style="1083" customWidth="1"/>
    <col min="9740" max="9740" width="7.42578125" style="1083" bestFit="1" customWidth="1"/>
    <col min="9741" max="9741" width="11.5703125" style="1083" bestFit="1" customWidth="1"/>
    <col min="9742" max="9742" width="8.42578125" style="1083" customWidth="1"/>
    <col min="9743" max="9743" width="13" style="1083" bestFit="1" customWidth="1"/>
    <col min="9744" max="9982" width="11.5703125" style="1083"/>
    <col min="9983" max="9983" width="8.5703125" style="1083" customWidth="1"/>
    <col min="9984" max="9984" width="50" style="1083" customWidth="1"/>
    <col min="9985" max="9985" width="6.42578125" style="1083" bestFit="1" customWidth="1"/>
    <col min="9986" max="9987" width="8.5703125" style="1083" customWidth="1"/>
    <col min="9988" max="9988" width="11.42578125" style="1083" bestFit="1" customWidth="1"/>
    <col min="9989" max="9989" width="7.5703125" style="1083" bestFit="1" customWidth="1"/>
    <col min="9990" max="9990" width="11.5703125" style="1083" bestFit="1" customWidth="1"/>
    <col min="9991" max="9991" width="8" style="1083" bestFit="1" customWidth="1"/>
    <col min="9992" max="9992" width="11.5703125" style="1083" bestFit="1" customWidth="1"/>
    <col min="9993" max="9993" width="8.42578125" style="1083" bestFit="1" customWidth="1"/>
    <col min="9994" max="9994" width="11.5703125" style="1083" bestFit="1" customWidth="1"/>
    <col min="9995" max="9995" width="8.42578125" style="1083" customWidth="1"/>
    <col min="9996" max="9996" width="7.42578125" style="1083" bestFit="1" customWidth="1"/>
    <col min="9997" max="9997" width="11.5703125" style="1083" bestFit="1" customWidth="1"/>
    <col min="9998" max="9998" width="8.42578125" style="1083" customWidth="1"/>
    <col min="9999" max="9999" width="13" style="1083" bestFit="1" customWidth="1"/>
    <col min="10000" max="10238" width="11.5703125" style="1083"/>
    <col min="10239" max="10239" width="8.5703125" style="1083" customWidth="1"/>
    <col min="10240" max="10240" width="50" style="1083" customWidth="1"/>
    <col min="10241" max="10241" width="6.42578125" style="1083" bestFit="1" customWidth="1"/>
    <col min="10242" max="10243" width="8.5703125" style="1083" customWidth="1"/>
    <col min="10244" max="10244" width="11.42578125" style="1083" bestFit="1" customWidth="1"/>
    <col min="10245" max="10245" width="7.5703125" style="1083" bestFit="1" customWidth="1"/>
    <col min="10246" max="10246" width="11.5703125" style="1083" bestFit="1" customWidth="1"/>
    <col min="10247" max="10247" width="8" style="1083" bestFit="1" customWidth="1"/>
    <col min="10248" max="10248" width="11.5703125" style="1083" bestFit="1" customWidth="1"/>
    <col min="10249" max="10249" width="8.42578125" style="1083" bestFit="1" customWidth="1"/>
    <col min="10250" max="10250" width="11.5703125" style="1083" bestFit="1" customWidth="1"/>
    <col min="10251" max="10251" width="8.42578125" style="1083" customWidth="1"/>
    <col min="10252" max="10252" width="7.42578125" style="1083" bestFit="1" customWidth="1"/>
    <col min="10253" max="10253" width="11.5703125" style="1083" bestFit="1" customWidth="1"/>
    <col min="10254" max="10254" width="8.42578125" style="1083" customWidth="1"/>
    <col min="10255" max="10255" width="13" style="1083" bestFit="1" customWidth="1"/>
    <col min="10256" max="10494" width="11.5703125" style="1083"/>
    <col min="10495" max="10495" width="8.5703125" style="1083" customWidth="1"/>
    <col min="10496" max="10496" width="50" style="1083" customWidth="1"/>
    <col min="10497" max="10497" width="6.42578125" style="1083" bestFit="1" customWidth="1"/>
    <col min="10498" max="10499" width="8.5703125" style="1083" customWidth="1"/>
    <col min="10500" max="10500" width="11.42578125" style="1083" bestFit="1" customWidth="1"/>
    <col min="10501" max="10501" width="7.5703125" style="1083" bestFit="1" customWidth="1"/>
    <col min="10502" max="10502" width="11.5703125" style="1083" bestFit="1" customWidth="1"/>
    <col min="10503" max="10503" width="8" style="1083" bestFit="1" customWidth="1"/>
    <col min="10504" max="10504" width="11.5703125" style="1083" bestFit="1" customWidth="1"/>
    <col min="10505" max="10505" width="8.42578125" style="1083" bestFit="1" customWidth="1"/>
    <col min="10506" max="10506" width="11.5703125" style="1083" bestFit="1" customWidth="1"/>
    <col min="10507" max="10507" width="8.42578125" style="1083" customWidth="1"/>
    <col min="10508" max="10508" width="7.42578125" style="1083" bestFit="1" customWidth="1"/>
    <col min="10509" max="10509" width="11.5703125" style="1083" bestFit="1" customWidth="1"/>
    <col min="10510" max="10510" width="8.42578125" style="1083" customWidth="1"/>
    <col min="10511" max="10511" width="13" style="1083" bestFit="1" customWidth="1"/>
    <col min="10512" max="10750" width="11.5703125" style="1083"/>
    <col min="10751" max="10751" width="8.5703125" style="1083" customWidth="1"/>
    <col min="10752" max="10752" width="50" style="1083" customWidth="1"/>
    <col min="10753" max="10753" width="6.42578125" style="1083" bestFit="1" customWidth="1"/>
    <col min="10754" max="10755" width="8.5703125" style="1083" customWidth="1"/>
    <col min="10756" max="10756" width="11.42578125" style="1083" bestFit="1" customWidth="1"/>
    <col min="10757" max="10757" width="7.5703125" style="1083" bestFit="1" customWidth="1"/>
    <col min="10758" max="10758" width="11.5703125" style="1083" bestFit="1" customWidth="1"/>
    <col min="10759" max="10759" width="8" style="1083" bestFit="1" customWidth="1"/>
    <col min="10760" max="10760" width="11.5703125" style="1083" bestFit="1" customWidth="1"/>
    <col min="10761" max="10761" width="8.42578125" style="1083" bestFit="1" customWidth="1"/>
    <col min="10762" max="10762" width="11.5703125" style="1083" bestFit="1" customWidth="1"/>
    <col min="10763" max="10763" width="8.42578125" style="1083" customWidth="1"/>
    <col min="10764" max="10764" width="7.42578125" style="1083" bestFit="1" customWidth="1"/>
    <col min="10765" max="10765" width="11.5703125" style="1083" bestFit="1" customWidth="1"/>
    <col min="10766" max="10766" width="8.42578125" style="1083" customWidth="1"/>
    <col min="10767" max="10767" width="13" style="1083" bestFit="1" customWidth="1"/>
    <col min="10768" max="11006" width="11.5703125" style="1083"/>
    <col min="11007" max="11007" width="8.5703125" style="1083" customWidth="1"/>
    <col min="11008" max="11008" width="50" style="1083" customWidth="1"/>
    <col min="11009" max="11009" width="6.42578125" style="1083" bestFit="1" customWidth="1"/>
    <col min="11010" max="11011" width="8.5703125" style="1083" customWidth="1"/>
    <col min="11012" max="11012" width="11.42578125" style="1083" bestFit="1" customWidth="1"/>
    <col min="11013" max="11013" width="7.5703125" style="1083" bestFit="1" customWidth="1"/>
    <col min="11014" max="11014" width="11.5703125" style="1083" bestFit="1" customWidth="1"/>
    <col min="11015" max="11015" width="8" style="1083" bestFit="1" customWidth="1"/>
    <col min="11016" max="11016" width="11.5703125" style="1083" bestFit="1" customWidth="1"/>
    <col min="11017" max="11017" width="8.42578125" style="1083" bestFit="1" customWidth="1"/>
    <col min="11018" max="11018" width="11.5703125" style="1083" bestFit="1" customWidth="1"/>
    <col min="11019" max="11019" width="8.42578125" style="1083" customWidth="1"/>
    <col min="11020" max="11020" width="7.42578125" style="1083" bestFit="1" customWidth="1"/>
    <col min="11021" max="11021" width="11.5703125" style="1083" bestFit="1" customWidth="1"/>
    <col min="11022" max="11022" width="8.42578125" style="1083" customWidth="1"/>
    <col min="11023" max="11023" width="13" style="1083" bestFit="1" customWidth="1"/>
    <col min="11024" max="11262" width="11.5703125" style="1083"/>
    <col min="11263" max="11263" width="8.5703125" style="1083" customWidth="1"/>
    <col min="11264" max="11264" width="50" style="1083" customWidth="1"/>
    <col min="11265" max="11265" width="6.42578125" style="1083" bestFit="1" customWidth="1"/>
    <col min="11266" max="11267" width="8.5703125" style="1083" customWidth="1"/>
    <col min="11268" max="11268" width="11.42578125" style="1083" bestFit="1" customWidth="1"/>
    <col min="11269" max="11269" width="7.5703125" style="1083" bestFit="1" customWidth="1"/>
    <col min="11270" max="11270" width="11.5703125" style="1083" bestFit="1" customWidth="1"/>
    <col min="11271" max="11271" width="8" style="1083" bestFit="1" customWidth="1"/>
    <col min="11272" max="11272" width="11.5703125" style="1083" bestFit="1" customWidth="1"/>
    <col min="11273" max="11273" width="8.42578125" style="1083" bestFit="1" customWidth="1"/>
    <col min="11274" max="11274" width="11.5703125" style="1083" bestFit="1" customWidth="1"/>
    <col min="11275" max="11275" width="8.42578125" style="1083" customWidth="1"/>
    <col min="11276" max="11276" width="7.42578125" style="1083" bestFit="1" customWidth="1"/>
    <col min="11277" max="11277" width="11.5703125" style="1083" bestFit="1" customWidth="1"/>
    <col min="11278" max="11278" width="8.42578125" style="1083" customWidth="1"/>
    <col min="11279" max="11279" width="13" style="1083" bestFit="1" customWidth="1"/>
    <col min="11280" max="11518" width="11.5703125" style="1083"/>
    <col min="11519" max="11519" width="8.5703125" style="1083" customWidth="1"/>
    <col min="11520" max="11520" width="50" style="1083" customWidth="1"/>
    <col min="11521" max="11521" width="6.42578125" style="1083" bestFit="1" customWidth="1"/>
    <col min="11522" max="11523" width="8.5703125" style="1083" customWidth="1"/>
    <col min="11524" max="11524" width="11.42578125" style="1083" bestFit="1" customWidth="1"/>
    <col min="11525" max="11525" width="7.5703125" style="1083" bestFit="1" customWidth="1"/>
    <col min="11526" max="11526" width="11.5703125" style="1083" bestFit="1" customWidth="1"/>
    <col min="11527" max="11527" width="8" style="1083" bestFit="1" customWidth="1"/>
    <col min="11528" max="11528" width="11.5703125" style="1083" bestFit="1" customWidth="1"/>
    <col min="11529" max="11529" width="8.42578125" style="1083" bestFit="1" customWidth="1"/>
    <col min="11530" max="11530" width="11.5703125" style="1083" bestFit="1" customWidth="1"/>
    <col min="11531" max="11531" width="8.42578125" style="1083" customWidth="1"/>
    <col min="11532" max="11532" width="7.42578125" style="1083" bestFit="1" customWidth="1"/>
    <col min="11533" max="11533" width="11.5703125" style="1083" bestFit="1" customWidth="1"/>
    <col min="11534" max="11534" width="8.42578125" style="1083" customWidth="1"/>
    <col min="11535" max="11535" width="13" style="1083" bestFit="1" customWidth="1"/>
    <col min="11536" max="11774" width="11.5703125" style="1083"/>
    <col min="11775" max="11775" width="8.5703125" style="1083" customWidth="1"/>
    <col min="11776" max="11776" width="50" style="1083" customWidth="1"/>
    <col min="11777" max="11777" width="6.42578125" style="1083" bestFit="1" customWidth="1"/>
    <col min="11778" max="11779" width="8.5703125" style="1083" customWidth="1"/>
    <col min="11780" max="11780" width="11.42578125" style="1083" bestFit="1" customWidth="1"/>
    <col min="11781" max="11781" width="7.5703125" style="1083" bestFit="1" customWidth="1"/>
    <col min="11782" max="11782" width="11.5703125" style="1083" bestFit="1" customWidth="1"/>
    <col min="11783" max="11783" width="8" style="1083" bestFit="1" customWidth="1"/>
    <col min="11784" max="11784" width="11.5703125" style="1083" bestFit="1" customWidth="1"/>
    <col min="11785" max="11785" width="8.42578125" style="1083" bestFit="1" customWidth="1"/>
    <col min="11786" max="11786" width="11.5703125" style="1083" bestFit="1" customWidth="1"/>
    <col min="11787" max="11787" width="8.42578125" style="1083" customWidth="1"/>
    <col min="11788" max="11788" width="7.42578125" style="1083" bestFit="1" customWidth="1"/>
    <col min="11789" max="11789" width="11.5703125" style="1083" bestFit="1" customWidth="1"/>
    <col min="11790" max="11790" width="8.42578125" style="1083" customWidth="1"/>
    <col min="11791" max="11791" width="13" style="1083" bestFit="1" customWidth="1"/>
    <col min="11792" max="12030" width="11.5703125" style="1083"/>
    <col min="12031" max="12031" width="8.5703125" style="1083" customWidth="1"/>
    <col min="12032" max="12032" width="50" style="1083" customWidth="1"/>
    <col min="12033" max="12033" width="6.42578125" style="1083" bestFit="1" customWidth="1"/>
    <col min="12034" max="12035" width="8.5703125" style="1083" customWidth="1"/>
    <col min="12036" max="12036" width="11.42578125" style="1083" bestFit="1" customWidth="1"/>
    <col min="12037" max="12037" width="7.5703125" style="1083" bestFit="1" customWidth="1"/>
    <col min="12038" max="12038" width="11.5703125" style="1083" bestFit="1" customWidth="1"/>
    <col min="12039" max="12039" width="8" style="1083" bestFit="1" customWidth="1"/>
    <col min="12040" max="12040" width="11.5703125" style="1083" bestFit="1" customWidth="1"/>
    <col min="12041" max="12041" width="8.42578125" style="1083" bestFit="1" customWidth="1"/>
    <col min="12042" max="12042" width="11.5703125" style="1083" bestFit="1" customWidth="1"/>
    <col min="12043" max="12043" width="8.42578125" style="1083" customWidth="1"/>
    <col min="12044" max="12044" width="7.42578125" style="1083" bestFit="1" customWidth="1"/>
    <col min="12045" max="12045" width="11.5703125" style="1083" bestFit="1" customWidth="1"/>
    <col min="12046" max="12046" width="8.42578125" style="1083" customWidth="1"/>
    <col min="12047" max="12047" width="13" style="1083" bestFit="1" customWidth="1"/>
    <col min="12048" max="12286" width="11.5703125" style="1083"/>
    <col min="12287" max="12287" width="8.5703125" style="1083" customWidth="1"/>
    <col min="12288" max="12288" width="50" style="1083" customWidth="1"/>
    <col min="12289" max="12289" width="6.42578125" style="1083" bestFit="1" customWidth="1"/>
    <col min="12290" max="12291" width="8.5703125" style="1083" customWidth="1"/>
    <col min="12292" max="12292" width="11.42578125" style="1083" bestFit="1" customWidth="1"/>
    <col min="12293" max="12293" width="7.5703125" style="1083" bestFit="1" customWidth="1"/>
    <col min="12294" max="12294" width="11.5703125" style="1083" bestFit="1" customWidth="1"/>
    <col min="12295" max="12295" width="8" style="1083" bestFit="1" customWidth="1"/>
    <col min="12296" max="12296" width="11.5703125" style="1083" bestFit="1" customWidth="1"/>
    <col min="12297" max="12297" width="8.42578125" style="1083" bestFit="1" customWidth="1"/>
    <col min="12298" max="12298" width="11.5703125" style="1083" bestFit="1" customWidth="1"/>
    <col min="12299" max="12299" width="8.42578125" style="1083" customWidth="1"/>
    <col min="12300" max="12300" width="7.42578125" style="1083" bestFit="1" customWidth="1"/>
    <col min="12301" max="12301" width="11.5703125" style="1083" bestFit="1" customWidth="1"/>
    <col min="12302" max="12302" width="8.42578125" style="1083" customWidth="1"/>
    <col min="12303" max="12303" width="13" style="1083" bestFit="1" customWidth="1"/>
    <col min="12304" max="12542" width="11.5703125" style="1083"/>
    <col min="12543" max="12543" width="8.5703125" style="1083" customWidth="1"/>
    <col min="12544" max="12544" width="50" style="1083" customWidth="1"/>
    <col min="12545" max="12545" width="6.42578125" style="1083" bestFit="1" customWidth="1"/>
    <col min="12546" max="12547" width="8.5703125" style="1083" customWidth="1"/>
    <col min="12548" max="12548" width="11.42578125" style="1083" bestFit="1" customWidth="1"/>
    <col min="12549" max="12549" width="7.5703125" style="1083" bestFit="1" customWidth="1"/>
    <col min="12550" max="12550" width="11.5703125" style="1083" bestFit="1" customWidth="1"/>
    <col min="12551" max="12551" width="8" style="1083" bestFit="1" customWidth="1"/>
    <col min="12552" max="12552" width="11.5703125" style="1083" bestFit="1" customWidth="1"/>
    <col min="12553" max="12553" width="8.42578125" style="1083" bestFit="1" customWidth="1"/>
    <col min="12554" max="12554" width="11.5703125" style="1083" bestFit="1" customWidth="1"/>
    <col min="12555" max="12555" width="8.42578125" style="1083" customWidth="1"/>
    <col min="12556" max="12556" width="7.42578125" style="1083" bestFit="1" customWidth="1"/>
    <col min="12557" max="12557" width="11.5703125" style="1083" bestFit="1" customWidth="1"/>
    <col min="12558" max="12558" width="8.42578125" style="1083" customWidth="1"/>
    <col min="12559" max="12559" width="13" style="1083" bestFit="1" customWidth="1"/>
    <col min="12560" max="12798" width="11.5703125" style="1083"/>
    <col min="12799" max="12799" width="8.5703125" style="1083" customWidth="1"/>
    <col min="12800" max="12800" width="50" style="1083" customWidth="1"/>
    <col min="12801" max="12801" width="6.42578125" style="1083" bestFit="1" customWidth="1"/>
    <col min="12802" max="12803" width="8.5703125" style="1083" customWidth="1"/>
    <col min="12804" max="12804" width="11.42578125" style="1083" bestFit="1" customWidth="1"/>
    <col min="12805" max="12805" width="7.5703125" style="1083" bestFit="1" customWidth="1"/>
    <col min="12806" max="12806" width="11.5703125" style="1083" bestFit="1" customWidth="1"/>
    <col min="12807" max="12807" width="8" style="1083" bestFit="1" customWidth="1"/>
    <col min="12808" max="12808" width="11.5703125" style="1083" bestFit="1" customWidth="1"/>
    <col min="12809" max="12809" width="8.42578125" style="1083" bestFit="1" customWidth="1"/>
    <col min="12810" max="12810" width="11.5703125" style="1083" bestFit="1" customWidth="1"/>
    <col min="12811" max="12811" width="8.42578125" style="1083" customWidth="1"/>
    <col min="12812" max="12812" width="7.42578125" style="1083" bestFit="1" customWidth="1"/>
    <col min="12813" max="12813" width="11.5703125" style="1083" bestFit="1" customWidth="1"/>
    <col min="12814" max="12814" width="8.42578125" style="1083" customWidth="1"/>
    <col min="12815" max="12815" width="13" style="1083" bestFit="1" customWidth="1"/>
    <col min="12816" max="13054" width="11.5703125" style="1083"/>
    <col min="13055" max="13055" width="8.5703125" style="1083" customWidth="1"/>
    <col min="13056" max="13056" width="50" style="1083" customWidth="1"/>
    <col min="13057" max="13057" width="6.42578125" style="1083" bestFit="1" customWidth="1"/>
    <col min="13058" max="13059" width="8.5703125" style="1083" customWidth="1"/>
    <col min="13060" max="13060" width="11.42578125" style="1083" bestFit="1" customWidth="1"/>
    <col min="13061" max="13061" width="7.5703125" style="1083" bestFit="1" customWidth="1"/>
    <col min="13062" max="13062" width="11.5703125" style="1083" bestFit="1" customWidth="1"/>
    <col min="13063" max="13063" width="8" style="1083" bestFit="1" customWidth="1"/>
    <col min="13064" max="13064" width="11.5703125" style="1083" bestFit="1" customWidth="1"/>
    <col min="13065" max="13065" width="8.42578125" style="1083" bestFit="1" customWidth="1"/>
    <col min="13066" max="13066" width="11.5703125" style="1083" bestFit="1" customWidth="1"/>
    <col min="13067" max="13067" width="8.42578125" style="1083" customWidth="1"/>
    <col min="13068" max="13068" width="7.42578125" style="1083" bestFit="1" customWidth="1"/>
    <col min="13069" max="13069" width="11.5703125" style="1083" bestFit="1" customWidth="1"/>
    <col min="13070" max="13070" width="8.42578125" style="1083" customWidth="1"/>
    <col min="13071" max="13071" width="13" style="1083" bestFit="1" customWidth="1"/>
    <col min="13072" max="13310" width="11.5703125" style="1083"/>
    <col min="13311" max="13311" width="8.5703125" style="1083" customWidth="1"/>
    <col min="13312" max="13312" width="50" style="1083" customWidth="1"/>
    <col min="13313" max="13313" width="6.42578125" style="1083" bestFit="1" customWidth="1"/>
    <col min="13314" max="13315" width="8.5703125" style="1083" customWidth="1"/>
    <col min="13316" max="13316" width="11.42578125" style="1083" bestFit="1" customWidth="1"/>
    <col min="13317" max="13317" width="7.5703125" style="1083" bestFit="1" customWidth="1"/>
    <col min="13318" max="13318" width="11.5703125" style="1083" bestFit="1" customWidth="1"/>
    <col min="13319" max="13319" width="8" style="1083" bestFit="1" customWidth="1"/>
    <col min="13320" max="13320" width="11.5703125" style="1083" bestFit="1" customWidth="1"/>
    <col min="13321" max="13321" width="8.42578125" style="1083" bestFit="1" customWidth="1"/>
    <col min="13322" max="13322" width="11.5703125" style="1083" bestFit="1" customWidth="1"/>
    <col min="13323" max="13323" width="8.42578125" style="1083" customWidth="1"/>
    <col min="13324" max="13324" width="7.42578125" style="1083" bestFit="1" customWidth="1"/>
    <col min="13325" max="13325" width="11.5703125" style="1083" bestFit="1" customWidth="1"/>
    <col min="13326" max="13326" width="8.42578125" style="1083" customWidth="1"/>
    <col min="13327" max="13327" width="13" style="1083" bestFit="1" customWidth="1"/>
    <col min="13328" max="13566" width="11.5703125" style="1083"/>
    <col min="13567" max="13567" width="8.5703125" style="1083" customWidth="1"/>
    <col min="13568" max="13568" width="50" style="1083" customWidth="1"/>
    <col min="13569" max="13569" width="6.42578125" style="1083" bestFit="1" customWidth="1"/>
    <col min="13570" max="13571" width="8.5703125" style="1083" customWidth="1"/>
    <col min="13572" max="13572" width="11.42578125" style="1083" bestFit="1" customWidth="1"/>
    <col min="13573" max="13573" width="7.5703125" style="1083" bestFit="1" customWidth="1"/>
    <col min="13574" max="13574" width="11.5703125" style="1083" bestFit="1" customWidth="1"/>
    <col min="13575" max="13575" width="8" style="1083" bestFit="1" customWidth="1"/>
    <col min="13576" max="13576" width="11.5703125" style="1083" bestFit="1" customWidth="1"/>
    <col min="13577" max="13577" width="8.42578125" style="1083" bestFit="1" customWidth="1"/>
    <col min="13578" max="13578" width="11.5703125" style="1083" bestFit="1" customWidth="1"/>
    <col min="13579" max="13579" width="8.42578125" style="1083" customWidth="1"/>
    <col min="13580" max="13580" width="7.42578125" style="1083" bestFit="1" customWidth="1"/>
    <col min="13581" max="13581" width="11.5703125" style="1083" bestFit="1" customWidth="1"/>
    <col min="13582" max="13582" width="8.42578125" style="1083" customWidth="1"/>
    <col min="13583" max="13583" width="13" style="1083" bestFit="1" customWidth="1"/>
    <col min="13584" max="13822" width="11.5703125" style="1083"/>
    <col min="13823" max="13823" width="8.5703125" style="1083" customWidth="1"/>
    <col min="13824" max="13824" width="50" style="1083" customWidth="1"/>
    <col min="13825" max="13825" width="6.42578125" style="1083" bestFit="1" customWidth="1"/>
    <col min="13826" max="13827" width="8.5703125" style="1083" customWidth="1"/>
    <col min="13828" max="13828" width="11.42578125" style="1083" bestFit="1" customWidth="1"/>
    <col min="13829" max="13829" width="7.5703125" style="1083" bestFit="1" customWidth="1"/>
    <col min="13830" max="13830" width="11.5703125" style="1083" bestFit="1" customWidth="1"/>
    <col min="13831" max="13831" width="8" style="1083" bestFit="1" customWidth="1"/>
    <col min="13832" max="13832" width="11.5703125" style="1083" bestFit="1" customWidth="1"/>
    <col min="13833" max="13833" width="8.42578125" style="1083" bestFit="1" customWidth="1"/>
    <col min="13834" max="13834" width="11.5703125" style="1083" bestFit="1" customWidth="1"/>
    <col min="13835" max="13835" width="8.42578125" style="1083" customWidth="1"/>
    <col min="13836" max="13836" width="7.42578125" style="1083" bestFit="1" customWidth="1"/>
    <col min="13837" max="13837" width="11.5703125" style="1083" bestFit="1" customWidth="1"/>
    <col min="13838" max="13838" width="8.42578125" style="1083" customWidth="1"/>
    <col min="13839" max="13839" width="13" style="1083" bestFit="1" customWidth="1"/>
    <col min="13840" max="14078" width="11.5703125" style="1083"/>
    <col min="14079" max="14079" width="8.5703125" style="1083" customWidth="1"/>
    <col min="14080" max="14080" width="50" style="1083" customWidth="1"/>
    <col min="14081" max="14081" width="6.42578125" style="1083" bestFit="1" customWidth="1"/>
    <col min="14082" max="14083" width="8.5703125" style="1083" customWidth="1"/>
    <col min="14084" max="14084" width="11.42578125" style="1083" bestFit="1" customWidth="1"/>
    <col min="14085" max="14085" width="7.5703125" style="1083" bestFit="1" customWidth="1"/>
    <col min="14086" max="14086" width="11.5703125" style="1083" bestFit="1" customWidth="1"/>
    <col min="14087" max="14087" width="8" style="1083" bestFit="1" customWidth="1"/>
    <col min="14088" max="14088" width="11.5703125" style="1083" bestFit="1" customWidth="1"/>
    <col min="14089" max="14089" width="8.42578125" style="1083" bestFit="1" customWidth="1"/>
    <col min="14090" max="14090" width="11.5703125" style="1083" bestFit="1" customWidth="1"/>
    <col min="14091" max="14091" width="8.42578125" style="1083" customWidth="1"/>
    <col min="14092" max="14092" width="7.42578125" style="1083" bestFit="1" customWidth="1"/>
    <col min="14093" max="14093" width="11.5703125" style="1083" bestFit="1" customWidth="1"/>
    <col min="14094" max="14094" width="8.42578125" style="1083" customWidth="1"/>
    <col min="14095" max="14095" width="13" style="1083" bestFit="1" customWidth="1"/>
    <col min="14096" max="14334" width="11.5703125" style="1083"/>
    <col min="14335" max="14335" width="8.5703125" style="1083" customWidth="1"/>
    <col min="14336" max="14336" width="50" style="1083" customWidth="1"/>
    <col min="14337" max="14337" width="6.42578125" style="1083" bestFit="1" customWidth="1"/>
    <col min="14338" max="14339" width="8.5703125" style="1083" customWidth="1"/>
    <col min="14340" max="14340" width="11.42578125" style="1083" bestFit="1" customWidth="1"/>
    <col min="14341" max="14341" width="7.5703125" style="1083" bestFit="1" customWidth="1"/>
    <col min="14342" max="14342" width="11.5703125" style="1083" bestFit="1" customWidth="1"/>
    <col min="14343" max="14343" width="8" style="1083" bestFit="1" customWidth="1"/>
    <col min="14344" max="14344" width="11.5703125" style="1083" bestFit="1" customWidth="1"/>
    <col min="14345" max="14345" width="8.42578125" style="1083" bestFit="1" customWidth="1"/>
    <col min="14346" max="14346" width="11.5703125" style="1083" bestFit="1" customWidth="1"/>
    <col min="14347" max="14347" width="8.42578125" style="1083" customWidth="1"/>
    <col min="14348" max="14348" width="7.42578125" style="1083" bestFit="1" customWidth="1"/>
    <col min="14349" max="14349" width="11.5703125" style="1083" bestFit="1" customWidth="1"/>
    <col min="14350" max="14350" width="8.42578125" style="1083" customWidth="1"/>
    <col min="14351" max="14351" width="13" style="1083" bestFit="1" customWidth="1"/>
    <col min="14352" max="14590" width="11.5703125" style="1083"/>
    <col min="14591" max="14591" width="8.5703125" style="1083" customWidth="1"/>
    <col min="14592" max="14592" width="50" style="1083" customWidth="1"/>
    <col min="14593" max="14593" width="6.42578125" style="1083" bestFit="1" customWidth="1"/>
    <col min="14594" max="14595" width="8.5703125" style="1083" customWidth="1"/>
    <col min="14596" max="14596" width="11.42578125" style="1083" bestFit="1" customWidth="1"/>
    <col min="14597" max="14597" width="7.5703125" style="1083" bestFit="1" customWidth="1"/>
    <col min="14598" max="14598" width="11.5703125" style="1083" bestFit="1" customWidth="1"/>
    <col min="14599" max="14599" width="8" style="1083" bestFit="1" customWidth="1"/>
    <col min="14600" max="14600" width="11.5703125" style="1083" bestFit="1" customWidth="1"/>
    <col min="14601" max="14601" width="8.42578125" style="1083" bestFit="1" customWidth="1"/>
    <col min="14602" max="14602" width="11.5703125" style="1083" bestFit="1" customWidth="1"/>
    <col min="14603" max="14603" width="8.42578125" style="1083" customWidth="1"/>
    <col min="14604" max="14604" width="7.42578125" style="1083" bestFit="1" customWidth="1"/>
    <col min="14605" max="14605" width="11.5703125" style="1083" bestFit="1" customWidth="1"/>
    <col min="14606" max="14606" width="8.42578125" style="1083" customWidth="1"/>
    <col min="14607" max="14607" width="13" style="1083" bestFit="1" customWidth="1"/>
    <col min="14608" max="14846" width="11.5703125" style="1083"/>
    <col min="14847" max="14847" width="8.5703125" style="1083" customWidth="1"/>
    <col min="14848" max="14848" width="50" style="1083" customWidth="1"/>
    <col min="14849" max="14849" width="6.42578125" style="1083" bestFit="1" customWidth="1"/>
    <col min="14850" max="14851" width="8.5703125" style="1083" customWidth="1"/>
    <col min="14852" max="14852" width="11.42578125" style="1083" bestFit="1" customWidth="1"/>
    <col min="14853" max="14853" width="7.5703125" style="1083" bestFit="1" customWidth="1"/>
    <col min="14854" max="14854" width="11.5703125" style="1083" bestFit="1" customWidth="1"/>
    <col min="14855" max="14855" width="8" style="1083" bestFit="1" customWidth="1"/>
    <col min="14856" max="14856" width="11.5703125" style="1083" bestFit="1" customWidth="1"/>
    <col min="14857" max="14857" width="8.42578125" style="1083" bestFit="1" customWidth="1"/>
    <col min="14858" max="14858" width="11.5703125" style="1083" bestFit="1" customWidth="1"/>
    <col min="14859" max="14859" width="8.42578125" style="1083" customWidth="1"/>
    <col min="14860" max="14860" width="7.42578125" style="1083" bestFit="1" customWidth="1"/>
    <col min="14861" max="14861" width="11.5703125" style="1083" bestFit="1" customWidth="1"/>
    <col min="14862" max="14862" width="8.42578125" style="1083" customWidth="1"/>
    <col min="14863" max="14863" width="13" style="1083" bestFit="1" customWidth="1"/>
    <col min="14864" max="15102" width="11.5703125" style="1083"/>
    <col min="15103" max="15103" width="8.5703125" style="1083" customWidth="1"/>
    <col min="15104" max="15104" width="50" style="1083" customWidth="1"/>
    <col min="15105" max="15105" width="6.42578125" style="1083" bestFit="1" customWidth="1"/>
    <col min="15106" max="15107" width="8.5703125" style="1083" customWidth="1"/>
    <col min="15108" max="15108" width="11.42578125" style="1083" bestFit="1" customWidth="1"/>
    <col min="15109" max="15109" width="7.5703125" style="1083" bestFit="1" customWidth="1"/>
    <col min="15110" max="15110" width="11.5703125" style="1083" bestFit="1" customWidth="1"/>
    <col min="15111" max="15111" width="8" style="1083" bestFit="1" customWidth="1"/>
    <col min="15112" max="15112" width="11.5703125" style="1083" bestFit="1" customWidth="1"/>
    <col min="15113" max="15113" width="8.42578125" style="1083" bestFit="1" customWidth="1"/>
    <col min="15114" max="15114" width="11.5703125" style="1083" bestFit="1" customWidth="1"/>
    <col min="15115" max="15115" width="8.42578125" style="1083" customWidth="1"/>
    <col min="15116" max="15116" width="7.42578125" style="1083" bestFit="1" customWidth="1"/>
    <col min="15117" max="15117" width="11.5703125" style="1083" bestFit="1" customWidth="1"/>
    <col min="15118" max="15118" width="8.42578125" style="1083" customWidth="1"/>
    <col min="15119" max="15119" width="13" style="1083" bestFit="1" customWidth="1"/>
    <col min="15120" max="15358" width="11.5703125" style="1083"/>
    <col min="15359" max="15359" width="8.5703125" style="1083" customWidth="1"/>
    <col min="15360" max="15360" width="50" style="1083" customWidth="1"/>
    <col min="15361" max="15361" width="6.42578125" style="1083" bestFit="1" customWidth="1"/>
    <col min="15362" max="15363" width="8.5703125" style="1083" customWidth="1"/>
    <col min="15364" max="15364" width="11.42578125" style="1083" bestFit="1" customWidth="1"/>
    <col min="15365" max="15365" width="7.5703125" style="1083" bestFit="1" customWidth="1"/>
    <col min="15366" max="15366" width="11.5703125" style="1083" bestFit="1" customWidth="1"/>
    <col min="15367" max="15367" width="8" style="1083" bestFit="1" customWidth="1"/>
    <col min="15368" max="15368" width="11.5703125" style="1083" bestFit="1" customWidth="1"/>
    <col min="15369" max="15369" width="8.42578125" style="1083" bestFit="1" customWidth="1"/>
    <col min="15370" max="15370" width="11.5703125" style="1083" bestFit="1" customWidth="1"/>
    <col min="15371" max="15371" width="8.42578125" style="1083" customWidth="1"/>
    <col min="15372" max="15372" width="7.42578125" style="1083" bestFit="1" customWidth="1"/>
    <col min="15373" max="15373" width="11.5703125" style="1083" bestFit="1" customWidth="1"/>
    <col min="15374" max="15374" width="8.42578125" style="1083" customWidth="1"/>
    <col min="15375" max="15375" width="13" style="1083" bestFit="1" customWidth="1"/>
    <col min="15376" max="15614" width="11.5703125" style="1083"/>
    <col min="15615" max="15615" width="8.5703125" style="1083" customWidth="1"/>
    <col min="15616" max="15616" width="50" style="1083" customWidth="1"/>
    <col min="15617" max="15617" width="6.42578125" style="1083" bestFit="1" customWidth="1"/>
    <col min="15618" max="15619" width="8.5703125" style="1083" customWidth="1"/>
    <col min="15620" max="15620" width="11.42578125" style="1083" bestFit="1" customWidth="1"/>
    <col min="15621" max="15621" width="7.5703125" style="1083" bestFit="1" customWidth="1"/>
    <col min="15622" max="15622" width="11.5703125" style="1083" bestFit="1" customWidth="1"/>
    <col min="15623" max="15623" width="8" style="1083" bestFit="1" customWidth="1"/>
    <col min="15624" max="15624" width="11.5703125" style="1083" bestFit="1" customWidth="1"/>
    <col min="15625" max="15625" width="8.42578125" style="1083" bestFit="1" customWidth="1"/>
    <col min="15626" max="15626" width="11.5703125" style="1083" bestFit="1" customWidth="1"/>
    <col min="15627" max="15627" width="8.42578125" style="1083" customWidth="1"/>
    <col min="15628" max="15628" width="7.42578125" style="1083" bestFit="1" customWidth="1"/>
    <col min="15629" max="15629" width="11.5703125" style="1083" bestFit="1" customWidth="1"/>
    <col min="15630" max="15630" width="8.42578125" style="1083" customWidth="1"/>
    <col min="15631" max="15631" width="13" style="1083" bestFit="1" customWidth="1"/>
    <col min="15632" max="15870" width="11.5703125" style="1083"/>
    <col min="15871" max="15871" width="8.5703125" style="1083" customWidth="1"/>
    <col min="15872" max="15872" width="50" style="1083" customWidth="1"/>
    <col min="15873" max="15873" width="6.42578125" style="1083" bestFit="1" customWidth="1"/>
    <col min="15874" max="15875" width="8.5703125" style="1083" customWidth="1"/>
    <col min="15876" max="15876" width="11.42578125" style="1083" bestFit="1" customWidth="1"/>
    <col min="15877" max="15877" width="7.5703125" style="1083" bestFit="1" customWidth="1"/>
    <col min="15878" max="15878" width="11.5703125" style="1083" bestFit="1" customWidth="1"/>
    <col min="15879" max="15879" width="8" style="1083" bestFit="1" customWidth="1"/>
    <col min="15880" max="15880" width="11.5703125" style="1083" bestFit="1" customWidth="1"/>
    <col min="15881" max="15881" width="8.42578125" style="1083" bestFit="1" customWidth="1"/>
    <col min="15882" max="15882" width="11.5703125" style="1083" bestFit="1" customWidth="1"/>
    <col min="15883" max="15883" width="8.42578125" style="1083" customWidth="1"/>
    <col min="15884" max="15884" width="7.42578125" style="1083" bestFit="1" customWidth="1"/>
    <col min="15885" max="15885" width="11.5703125" style="1083" bestFit="1" customWidth="1"/>
    <col min="15886" max="15886" width="8.42578125" style="1083" customWidth="1"/>
    <col min="15887" max="15887" width="13" style="1083" bestFit="1" customWidth="1"/>
    <col min="15888" max="16126" width="11.5703125" style="1083"/>
    <col min="16127" max="16127" width="8.5703125" style="1083" customWidth="1"/>
    <col min="16128" max="16128" width="50" style="1083" customWidth="1"/>
    <col min="16129" max="16129" width="6.42578125" style="1083" bestFit="1" customWidth="1"/>
    <col min="16130" max="16131" width="8.5703125" style="1083" customWidth="1"/>
    <col min="16132" max="16132" width="11.42578125" style="1083" bestFit="1" customWidth="1"/>
    <col min="16133" max="16133" width="7.5703125" style="1083" bestFit="1" customWidth="1"/>
    <col min="16134" max="16134" width="11.5703125" style="1083" bestFit="1" customWidth="1"/>
    <col min="16135" max="16135" width="8" style="1083" bestFit="1" customWidth="1"/>
    <col min="16136" max="16136" width="11.5703125" style="1083" bestFit="1" customWidth="1"/>
    <col min="16137" max="16137" width="8.42578125" style="1083" bestFit="1" customWidth="1"/>
    <col min="16138" max="16138" width="11.5703125" style="1083" bestFit="1" customWidth="1"/>
    <col min="16139" max="16139" width="8.42578125" style="1083" customWidth="1"/>
    <col min="16140" max="16140" width="7.42578125" style="1083" bestFit="1" customWidth="1"/>
    <col min="16141" max="16141" width="11.5703125" style="1083" bestFit="1" customWidth="1"/>
    <col min="16142" max="16142" width="8.42578125" style="1083" customWidth="1"/>
    <col min="16143" max="16143" width="13" style="1083" bestFit="1" customWidth="1"/>
    <col min="16144" max="16359" width="11.5703125" style="1083"/>
    <col min="16360" max="16373" width="11.5703125" style="1083" customWidth="1"/>
    <col min="16374" max="16384" width="11.5703125" style="1083"/>
  </cols>
  <sheetData>
    <row r="1" spans="1:31">
      <c r="B1" s="2811" t="s">
        <v>12</v>
      </c>
      <c r="C1" s="2811"/>
      <c r="D1" s="2811"/>
      <c r="E1" s="2811"/>
      <c r="F1" s="2811"/>
      <c r="G1" s="2811"/>
      <c r="H1" s="2811"/>
      <c r="I1" s="2811"/>
      <c r="J1" s="2824"/>
      <c r="K1" s="2811"/>
      <c r="L1" s="2811"/>
      <c r="M1" s="2811"/>
      <c r="N1" s="2811"/>
      <c r="O1" s="2811"/>
      <c r="P1" s="2811"/>
      <c r="Q1" s="2811"/>
    </row>
    <row r="2" spans="1:31">
      <c r="B2" s="2811" t="s">
        <v>4409</v>
      </c>
      <c r="C2" s="2811"/>
      <c r="D2" s="2811"/>
      <c r="E2" s="2811"/>
      <c r="F2" s="2811"/>
      <c r="G2" s="2811"/>
      <c r="H2" s="2811"/>
      <c r="I2" s="2811"/>
      <c r="J2" s="2824"/>
      <c r="K2" s="2811"/>
      <c r="L2" s="2811"/>
      <c r="M2" s="2811"/>
      <c r="N2" s="2811"/>
      <c r="O2" s="2811"/>
      <c r="P2" s="2811"/>
      <c r="Q2" s="2811"/>
    </row>
    <row r="3" spans="1:31" ht="14.25" thickBot="1">
      <c r="B3" s="2811" t="s">
        <v>4410</v>
      </c>
      <c r="C3" s="2811"/>
      <c r="D3" s="2811"/>
      <c r="E3" s="2811"/>
      <c r="F3" s="2811"/>
      <c r="G3" s="2811"/>
      <c r="H3" s="2811"/>
      <c r="I3" s="2811"/>
      <c r="J3" s="2824"/>
      <c r="K3" s="2811"/>
      <c r="L3" s="2811"/>
      <c r="M3" s="2811"/>
      <c r="N3" s="2811"/>
      <c r="O3" s="2811"/>
      <c r="P3" s="2811"/>
      <c r="Q3" s="2811"/>
    </row>
    <row r="4" spans="1:31" ht="26.45" customHeight="1" thickBot="1">
      <c r="B4" s="1085"/>
      <c r="C4" s="1087" t="s">
        <v>6</v>
      </c>
      <c r="D4" s="1106" t="s">
        <v>4</v>
      </c>
      <c r="E4" s="2825" t="s">
        <v>2832</v>
      </c>
      <c r="F4" s="2826"/>
      <c r="G4" s="2826"/>
      <c r="H4" s="2826"/>
      <c r="I4" s="2826"/>
      <c r="J4" s="2827"/>
      <c r="K4" s="2826"/>
      <c r="L4" s="2826"/>
      <c r="M4" s="2828"/>
      <c r="N4" s="2070" t="s">
        <v>13</v>
      </c>
      <c r="O4" s="1084"/>
      <c r="P4" s="2829">
        <f ca="1">TODAY()</f>
        <v>44841</v>
      </c>
      <c r="Q4" s="2829"/>
      <c r="X4" s="1083"/>
    </row>
    <row r="5" spans="1:31">
      <c r="B5" s="1086"/>
      <c r="C5" s="1087" t="s">
        <v>5</v>
      </c>
      <c r="D5" s="1088" t="s">
        <v>4</v>
      </c>
      <c r="E5" s="1089" t="s">
        <v>533</v>
      </c>
      <c r="F5" s="1200"/>
      <c r="G5" s="1200"/>
      <c r="H5" s="1200"/>
      <c r="I5" s="2123"/>
      <c r="J5" s="1200"/>
      <c r="K5" s="1199"/>
      <c r="N5" s="2071" t="s">
        <v>14</v>
      </c>
      <c r="P5" s="1086"/>
      <c r="Q5" s="1105" t="s">
        <v>536</v>
      </c>
      <c r="X5" s="1083"/>
    </row>
    <row r="6" spans="1:31">
      <c r="C6" s="1087" t="s">
        <v>15</v>
      </c>
      <c r="D6" s="1088" t="s">
        <v>4</v>
      </c>
      <c r="E6" s="1089" t="s">
        <v>3677</v>
      </c>
      <c r="F6" s="1098"/>
      <c r="G6" s="1098"/>
      <c r="H6" s="1199"/>
      <c r="I6" s="2123"/>
      <c r="J6" s="1199"/>
      <c r="K6" s="1199"/>
      <c r="N6" s="2071" t="s">
        <v>16</v>
      </c>
      <c r="Q6" s="1105" t="s">
        <v>536</v>
      </c>
      <c r="X6" s="1083"/>
    </row>
    <row r="7" spans="1:31">
      <c r="C7" s="1087" t="s">
        <v>17</v>
      </c>
      <c r="D7" s="1088" t="s">
        <v>4</v>
      </c>
      <c r="E7" s="1089" t="s">
        <v>11</v>
      </c>
      <c r="F7" s="1098"/>
      <c r="G7" s="1098"/>
      <c r="H7" s="1199"/>
      <c r="I7" s="2123"/>
      <c r="J7" s="1199"/>
      <c r="K7" s="1273"/>
      <c r="L7" s="1088"/>
      <c r="N7" s="2071" t="s">
        <v>18</v>
      </c>
      <c r="P7" s="1090"/>
      <c r="Q7" s="1105" t="s">
        <v>10</v>
      </c>
      <c r="X7" s="1083"/>
    </row>
    <row r="8" spans="1:31">
      <c r="C8" s="1087" t="s">
        <v>19</v>
      </c>
      <c r="D8" s="1088" t="s">
        <v>4</v>
      </c>
      <c r="E8" s="1091">
        <v>2022</v>
      </c>
      <c r="F8" s="1199"/>
      <c r="G8" s="1199"/>
      <c r="H8" s="1199"/>
      <c r="I8" s="2123"/>
      <c r="J8" s="1199"/>
      <c r="K8" s="1199"/>
      <c r="L8" s="1088"/>
      <c r="M8" s="1158"/>
      <c r="X8" s="1083"/>
    </row>
    <row r="9" spans="1:31" ht="14.25" thickBot="1">
      <c r="F9" s="1199"/>
      <c r="G9" s="1199"/>
      <c r="H9" s="1199"/>
      <c r="I9" s="2123"/>
      <c r="J9" s="1199"/>
      <c r="K9" s="1199"/>
    </row>
    <row r="10" spans="1:31" ht="13.35" customHeight="1" thickBot="1">
      <c r="B10" s="2676" t="s">
        <v>20</v>
      </c>
      <c r="C10" s="2676" t="s">
        <v>21</v>
      </c>
      <c r="D10" s="2792" t="s">
        <v>22</v>
      </c>
      <c r="E10" s="2830" t="s">
        <v>23</v>
      </c>
      <c r="F10" s="2831"/>
      <c r="G10" s="2120"/>
      <c r="H10" s="2834"/>
      <c r="I10" s="2834"/>
      <c r="J10" s="2834"/>
      <c r="K10" s="2834"/>
      <c r="L10" s="2834"/>
      <c r="M10" s="2834"/>
      <c r="N10" s="2834"/>
      <c r="O10" s="2796" t="s">
        <v>25</v>
      </c>
      <c r="P10" s="2797"/>
      <c r="Q10" s="2798"/>
    </row>
    <row r="11" spans="1:31" ht="13.35" customHeight="1" thickBot="1">
      <c r="B11" s="2677"/>
      <c r="C11" s="2677"/>
      <c r="D11" s="2814"/>
      <c r="E11" s="2832"/>
      <c r="F11" s="2833"/>
      <c r="G11" s="2121"/>
      <c r="H11" s="2834" t="s">
        <v>4271</v>
      </c>
      <c r="I11" s="2834"/>
      <c r="J11" s="2834" t="s">
        <v>27</v>
      </c>
      <c r="K11" s="2834"/>
      <c r="L11" s="2834" t="s">
        <v>28</v>
      </c>
      <c r="M11" s="2834"/>
      <c r="N11" s="2834"/>
      <c r="O11" s="2799"/>
      <c r="P11" s="2800"/>
      <c r="Q11" s="2801"/>
    </row>
    <row r="12" spans="1:31" ht="12" customHeight="1" thickBot="1">
      <c r="B12" s="2677"/>
      <c r="C12" s="2677"/>
      <c r="D12" s="2814"/>
      <c r="E12" s="2796" t="s">
        <v>29</v>
      </c>
      <c r="F12" s="2837" t="s">
        <v>4408</v>
      </c>
      <c r="G12" s="2841" t="s">
        <v>4407</v>
      </c>
      <c r="H12" s="2839" t="s">
        <v>3709</v>
      </c>
      <c r="I12" s="2676" t="s">
        <v>32</v>
      </c>
      <c r="J12" s="2677" t="s">
        <v>3</v>
      </c>
      <c r="K12" s="2836" t="s">
        <v>3708</v>
      </c>
      <c r="L12" s="2677" t="s">
        <v>3</v>
      </c>
      <c r="M12" s="2677" t="s">
        <v>32</v>
      </c>
      <c r="N12" s="2677" t="s">
        <v>0</v>
      </c>
      <c r="O12" s="2676" t="s">
        <v>3</v>
      </c>
      <c r="P12" s="2676" t="s">
        <v>32</v>
      </c>
      <c r="Q12" s="2676" t="s">
        <v>0</v>
      </c>
      <c r="X12" s="2786" t="s">
        <v>3623</v>
      </c>
      <c r="Y12" s="2787"/>
      <c r="Z12" s="2788"/>
    </row>
    <row r="13" spans="1:31" ht="28.5" customHeight="1" thickBot="1">
      <c r="B13" s="2677"/>
      <c r="C13" s="2677"/>
      <c r="D13" s="2814"/>
      <c r="E13" s="2835"/>
      <c r="F13" s="2838"/>
      <c r="G13" s="2842"/>
      <c r="H13" s="2840"/>
      <c r="I13" s="2678"/>
      <c r="J13" s="2678"/>
      <c r="K13" s="2816"/>
      <c r="L13" s="2678"/>
      <c r="M13" s="2678"/>
      <c r="N13" s="2678"/>
      <c r="O13" s="2678"/>
      <c r="P13" s="2678"/>
      <c r="Q13" s="2678"/>
    </row>
    <row r="14" spans="1:31" s="1254" customFormat="1">
      <c r="A14" s="1903" t="s">
        <v>3629</v>
      </c>
      <c r="B14" s="2139" t="s">
        <v>33</v>
      </c>
      <c r="C14" s="2139" t="s">
        <v>2826</v>
      </c>
      <c r="D14" s="2140"/>
      <c r="E14" s="2141"/>
      <c r="F14" s="2141"/>
      <c r="G14" s="2141"/>
      <c r="H14" s="2130"/>
      <c r="I14" s="2124"/>
      <c r="J14" s="1305"/>
      <c r="K14" s="1256"/>
      <c r="L14" s="1094"/>
      <c r="M14" s="1257"/>
      <c r="N14" s="1095"/>
      <c r="O14" s="1094"/>
      <c r="P14" s="1258"/>
      <c r="Q14" s="1095"/>
      <c r="R14" s="1259"/>
      <c r="S14" s="1259"/>
      <c r="T14" s="1259"/>
      <c r="U14" s="1259"/>
      <c r="V14" s="1259"/>
      <c r="W14" s="1259"/>
      <c r="X14" s="1324" t="s">
        <v>3624</v>
      </c>
      <c r="Y14" s="1255"/>
      <c r="Z14" s="1260">
        <f>SUM(K16:K45)</f>
        <v>57296.899999999994</v>
      </c>
      <c r="AE14" s="2065"/>
    </row>
    <row r="15" spans="1:31" s="1255" customFormat="1">
      <c r="A15" s="1904"/>
      <c r="B15" s="2142" t="s">
        <v>35</v>
      </c>
      <c r="C15" s="2142" t="s">
        <v>3500</v>
      </c>
      <c r="D15" s="2143"/>
      <c r="E15" s="2144"/>
      <c r="F15" s="2144"/>
      <c r="G15" s="2144"/>
      <c r="H15" s="2131"/>
      <c r="I15" s="2125"/>
      <c r="J15" s="1306"/>
      <c r="K15" s="1372"/>
      <c r="L15" s="1262"/>
      <c r="M15" s="2069"/>
      <c r="N15" s="2068" t="str">
        <f>+IF(D15=0,"",M15/#REF!)</f>
        <v/>
      </c>
      <c r="O15" s="1262"/>
      <c r="P15" s="2069"/>
      <c r="Q15" s="2068"/>
      <c r="R15" s="1260"/>
      <c r="S15" s="1260"/>
      <c r="T15" s="1260"/>
      <c r="U15" s="1260"/>
      <c r="V15" s="1260"/>
      <c r="W15" s="1260"/>
      <c r="X15" s="1324" t="s">
        <v>3625</v>
      </c>
      <c r="Z15" s="1261" t="e">
        <f>SUM(#REF!)</f>
        <v>#REF!</v>
      </c>
    </row>
    <row r="16" spans="1:31" s="1255" customFormat="1">
      <c r="A16" s="1904"/>
      <c r="B16" s="2145" t="s">
        <v>537</v>
      </c>
      <c r="C16" s="2145" t="s">
        <v>3527</v>
      </c>
      <c r="D16" s="2146"/>
      <c r="E16" s="2147"/>
      <c r="F16" s="2147"/>
      <c r="G16" s="2147"/>
      <c r="H16" s="2132"/>
      <c r="I16" s="2126"/>
      <c r="J16" s="1307"/>
      <c r="K16" s="1099"/>
      <c r="L16" s="1262"/>
      <c r="M16" s="1213"/>
      <c r="N16" s="1263"/>
      <c r="O16" s="1264"/>
      <c r="P16" s="1101"/>
      <c r="Q16" s="1265"/>
      <c r="R16" s="1260">
        <f t="shared" ref="R16:R46" si="0">+F16-M16-P16</f>
        <v>0</v>
      </c>
      <c r="S16" s="1260">
        <f t="shared" ref="S16:S45" si="1">+E16-L16-O16</f>
        <v>0</v>
      </c>
      <c r="T16" s="1260">
        <v>226543.31</v>
      </c>
      <c r="U16" s="1260">
        <f t="shared" ref="U16:U45" si="2">+T16-F16</f>
        <v>226543.31</v>
      </c>
      <c r="V16" s="1260">
        <v>226543.31</v>
      </c>
      <c r="W16" s="1260" t="e">
        <f>+V16-#REF!</f>
        <v>#REF!</v>
      </c>
      <c r="X16" s="1324" t="s">
        <v>1234</v>
      </c>
      <c r="Z16" s="1261" t="e">
        <f>SUM(#REF!)</f>
        <v>#REF!</v>
      </c>
      <c r="AD16" s="1260">
        <f t="shared" ref="AD16:AD45" si="3">+I16+K16+P16-F16</f>
        <v>0</v>
      </c>
      <c r="AE16" s="1098" t="e">
        <f>+#REF!*E16-F16</f>
        <v>#REF!</v>
      </c>
    </row>
    <row r="17" spans="1:31" s="1254" customFormat="1">
      <c r="A17" s="1903"/>
      <c r="B17" s="2148" t="s">
        <v>4370</v>
      </c>
      <c r="C17" s="2148" t="s">
        <v>3529</v>
      </c>
      <c r="D17" s="2149" t="s">
        <v>36</v>
      </c>
      <c r="E17" s="2150">
        <v>2</v>
      </c>
      <c r="F17" s="2150">
        <v>9235.77</v>
      </c>
      <c r="G17" s="2150">
        <f>E17*F17</f>
        <v>18471.54</v>
      </c>
      <c r="H17" s="2132">
        <f>1+1</f>
        <v>2</v>
      </c>
      <c r="I17" s="2126">
        <f>H17*F17</f>
        <v>18471.54</v>
      </c>
      <c r="J17" s="1306"/>
      <c r="K17" s="1099">
        <f>J17*F17</f>
        <v>0</v>
      </c>
      <c r="L17" s="1262">
        <f>J17+H17</f>
        <v>2</v>
      </c>
      <c r="M17" s="1213">
        <f t="shared" ref="M17:M45" si="4">+K17+I17</f>
        <v>18471.54</v>
      </c>
      <c r="N17" s="1263">
        <f>(L17/E17)</f>
        <v>1</v>
      </c>
      <c r="O17" s="1264">
        <f t="shared" ref="O17:O45" si="5">+E17-L17</f>
        <v>0</v>
      </c>
      <c r="P17" s="1101">
        <f>O17*F17</f>
        <v>0</v>
      </c>
      <c r="Q17" s="1265">
        <f>1-(L17/E17)</f>
        <v>0</v>
      </c>
      <c r="R17" s="1260">
        <f t="shared" si="0"/>
        <v>-9235.77</v>
      </c>
      <c r="S17" s="1260">
        <f t="shared" si="1"/>
        <v>0</v>
      </c>
      <c r="T17" s="1260"/>
      <c r="U17" s="1260">
        <f t="shared" si="2"/>
        <v>-9235.77</v>
      </c>
      <c r="V17" s="1260"/>
      <c r="W17" s="1260" t="e">
        <f>+V17-#REF!</f>
        <v>#REF!</v>
      </c>
      <c r="X17" s="1324" t="s">
        <v>3626</v>
      </c>
      <c r="Y17" s="1255"/>
      <c r="Z17" s="1261" t="e">
        <f>SUM(#REF!)</f>
        <v>#REF!</v>
      </c>
      <c r="AD17" s="1260">
        <f t="shared" si="3"/>
        <v>9235.77</v>
      </c>
      <c r="AE17" s="1098" t="e">
        <f>+#REF!*E17-F17</f>
        <v>#REF!</v>
      </c>
    </row>
    <row r="18" spans="1:31" s="1254" customFormat="1">
      <c r="A18" s="1903"/>
      <c r="B18" s="2148" t="s">
        <v>4371</v>
      </c>
      <c r="C18" s="2148" t="s">
        <v>4388</v>
      </c>
      <c r="D18" s="2149" t="s">
        <v>36</v>
      </c>
      <c r="E18" s="2150">
        <v>15</v>
      </c>
      <c r="F18" s="2150">
        <v>3763.6</v>
      </c>
      <c r="G18" s="2150">
        <f t="shared" ref="G18:G45" si="6">E18*F18</f>
        <v>56454</v>
      </c>
      <c r="H18" s="2132">
        <f>6+2</f>
        <v>8</v>
      </c>
      <c r="I18" s="2126">
        <f t="shared" ref="I18:I45" si="7">H18*F18</f>
        <v>30108.799999999999</v>
      </c>
      <c r="J18" s="1307">
        <v>4</v>
      </c>
      <c r="K18" s="1099">
        <f t="shared" ref="K18:K45" si="8">J18*F18</f>
        <v>15054.4</v>
      </c>
      <c r="L18" s="1262">
        <f t="shared" ref="L18:L45" si="9">J18+H18</f>
        <v>12</v>
      </c>
      <c r="M18" s="1213">
        <f t="shared" si="4"/>
        <v>45163.199999999997</v>
      </c>
      <c r="N18" s="1263">
        <f t="shared" ref="N18:N45" si="10">(L18/E18)</f>
        <v>0.8</v>
      </c>
      <c r="O18" s="1264">
        <f t="shared" si="5"/>
        <v>3</v>
      </c>
      <c r="P18" s="1101">
        <f t="shared" ref="P18:P45" si="11">O18*F18</f>
        <v>11290.8</v>
      </c>
      <c r="Q18" s="1265">
        <f t="shared" ref="Q18:Q45" si="12">1-(L18/E18)</f>
        <v>0.19999999999999996</v>
      </c>
      <c r="R18" s="1260">
        <f t="shared" si="0"/>
        <v>-52690.399999999994</v>
      </c>
      <c r="S18" s="1260">
        <f t="shared" si="1"/>
        <v>0</v>
      </c>
      <c r="T18" s="1260">
        <v>41233.186800000003</v>
      </c>
      <c r="U18" s="1260">
        <f t="shared" si="2"/>
        <v>37469.586800000005</v>
      </c>
      <c r="V18" s="1260">
        <v>178.84</v>
      </c>
      <c r="W18" s="1260" t="e">
        <f>+V18-#REF!</f>
        <v>#REF!</v>
      </c>
      <c r="X18" s="1324" t="s">
        <v>3627</v>
      </c>
      <c r="Y18" s="1255"/>
      <c r="Z18" s="1261" t="e">
        <f>SUM(#REF!)</f>
        <v>#REF!</v>
      </c>
      <c r="AD18" s="1260">
        <f t="shared" si="3"/>
        <v>52690.400000000001</v>
      </c>
      <c r="AE18" s="1098" t="e">
        <f>+#REF!*E18-F18</f>
        <v>#REF!</v>
      </c>
    </row>
    <row r="19" spans="1:31" s="1255" customFormat="1">
      <c r="A19" s="1904"/>
      <c r="B19" s="2148" t="s">
        <v>4372</v>
      </c>
      <c r="C19" s="2148" t="s">
        <v>4389</v>
      </c>
      <c r="D19" s="2149" t="s">
        <v>36</v>
      </c>
      <c r="E19" s="2150">
        <v>6</v>
      </c>
      <c r="F19" s="2150">
        <v>3033.6</v>
      </c>
      <c r="G19" s="2150">
        <f t="shared" si="6"/>
        <v>18201.599999999999</v>
      </c>
      <c r="H19" s="2132">
        <f>3</f>
        <v>3</v>
      </c>
      <c r="I19" s="2126">
        <f t="shared" si="7"/>
        <v>9100.7999999999993</v>
      </c>
      <c r="J19" s="1307">
        <v>1</v>
      </c>
      <c r="K19" s="1099">
        <f t="shared" si="8"/>
        <v>3033.6</v>
      </c>
      <c r="L19" s="1262">
        <f t="shared" si="9"/>
        <v>4</v>
      </c>
      <c r="M19" s="1213">
        <f t="shared" si="4"/>
        <v>12134.4</v>
      </c>
      <c r="N19" s="1263">
        <f t="shared" si="10"/>
        <v>0.66666666666666663</v>
      </c>
      <c r="O19" s="1264">
        <f t="shared" si="5"/>
        <v>2</v>
      </c>
      <c r="P19" s="1101">
        <f t="shared" si="11"/>
        <v>6067.2</v>
      </c>
      <c r="Q19" s="1265">
        <f t="shared" si="12"/>
        <v>0.33333333333333337</v>
      </c>
      <c r="R19" s="1260">
        <f t="shared" si="0"/>
        <v>-15168</v>
      </c>
      <c r="S19" s="1260">
        <f t="shared" si="1"/>
        <v>0</v>
      </c>
      <c r="T19" s="1260">
        <v>8591.17</v>
      </c>
      <c r="U19" s="1260">
        <f t="shared" si="2"/>
        <v>5557.57</v>
      </c>
      <c r="V19" s="1260">
        <v>175.33</v>
      </c>
      <c r="W19" s="1260" t="e">
        <f>+V19-#REF!</f>
        <v>#REF!</v>
      </c>
      <c r="X19" s="1324" t="s">
        <v>3628</v>
      </c>
      <c r="Z19" s="1261" t="e">
        <f>SUM(#REF!)</f>
        <v>#REF!</v>
      </c>
      <c r="AD19" s="1260">
        <f t="shared" si="3"/>
        <v>15167.999999999998</v>
      </c>
    </row>
    <row r="20" spans="1:31" s="1254" customFormat="1">
      <c r="A20" s="1903"/>
      <c r="B20" s="2145" t="s">
        <v>538</v>
      </c>
      <c r="C20" s="2145" t="s">
        <v>3533</v>
      </c>
      <c r="D20" s="2146"/>
      <c r="E20" s="2147"/>
      <c r="F20" s="2147"/>
      <c r="G20" s="2150">
        <f t="shared" si="6"/>
        <v>0</v>
      </c>
      <c r="H20" s="2132"/>
      <c r="I20" s="2126">
        <f t="shared" si="7"/>
        <v>0</v>
      </c>
      <c r="J20" s="1307"/>
      <c r="K20" s="1099">
        <f t="shared" si="8"/>
        <v>0</v>
      </c>
      <c r="L20" s="1262">
        <f t="shared" si="9"/>
        <v>0</v>
      </c>
      <c r="M20" s="1213">
        <f t="shared" si="4"/>
        <v>0</v>
      </c>
      <c r="N20" s="1263"/>
      <c r="O20" s="1264">
        <f t="shared" si="5"/>
        <v>0</v>
      </c>
      <c r="P20" s="1101">
        <f t="shared" si="11"/>
        <v>0</v>
      </c>
      <c r="Q20" s="1265"/>
      <c r="R20" s="1260">
        <f t="shared" si="0"/>
        <v>0</v>
      </c>
      <c r="S20" s="1260">
        <f t="shared" si="1"/>
        <v>0</v>
      </c>
      <c r="T20" s="1260">
        <v>52926.483000000007</v>
      </c>
      <c r="U20" s="1260">
        <f t="shared" si="2"/>
        <v>52926.483000000007</v>
      </c>
      <c r="V20" s="1260">
        <v>178.84</v>
      </c>
      <c r="W20" s="1260" t="e">
        <f>+V20-#REF!</f>
        <v>#REF!</v>
      </c>
      <c r="X20" s="1271"/>
      <c r="AD20" s="1260">
        <f t="shared" si="3"/>
        <v>0</v>
      </c>
    </row>
    <row r="21" spans="1:31" s="1255" customFormat="1">
      <c r="A21" s="1904"/>
      <c r="B21" s="2148" t="s">
        <v>4373</v>
      </c>
      <c r="C21" s="2148" t="s">
        <v>4390</v>
      </c>
      <c r="D21" s="2149" t="s">
        <v>36</v>
      </c>
      <c r="E21" s="2150">
        <v>2</v>
      </c>
      <c r="F21" s="2150">
        <v>7853.6</v>
      </c>
      <c r="G21" s="2150">
        <f t="shared" si="6"/>
        <v>15707.2</v>
      </c>
      <c r="H21" s="2132">
        <v>2</v>
      </c>
      <c r="I21" s="2126">
        <f t="shared" si="7"/>
        <v>15707.2</v>
      </c>
      <c r="J21" s="1307"/>
      <c r="K21" s="1099">
        <f t="shared" si="8"/>
        <v>0</v>
      </c>
      <c r="L21" s="1262">
        <f t="shared" si="9"/>
        <v>2</v>
      </c>
      <c r="M21" s="1213">
        <f t="shared" si="4"/>
        <v>15707.2</v>
      </c>
      <c r="N21" s="1263">
        <f t="shared" si="10"/>
        <v>1</v>
      </c>
      <c r="O21" s="1264">
        <f t="shared" si="5"/>
        <v>0</v>
      </c>
      <c r="P21" s="1101">
        <f t="shared" si="11"/>
        <v>0</v>
      </c>
      <c r="Q21" s="1265">
        <f t="shared" si="12"/>
        <v>0</v>
      </c>
      <c r="R21" s="1260">
        <f t="shared" si="0"/>
        <v>-7853.6</v>
      </c>
      <c r="S21" s="1260">
        <f t="shared" si="1"/>
        <v>0</v>
      </c>
      <c r="T21" s="1260">
        <v>23368.816666666669</v>
      </c>
      <c r="U21" s="1260">
        <f t="shared" si="2"/>
        <v>15515.216666666669</v>
      </c>
      <c r="V21" s="1260">
        <v>68.23</v>
      </c>
      <c r="W21" s="1260" t="e">
        <f>+V21-#REF!</f>
        <v>#REF!</v>
      </c>
      <c r="X21" s="1270"/>
      <c r="Y21" s="1254" t="s">
        <v>2</v>
      </c>
      <c r="Z21" s="1259" t="e">
        <f>SUM(Z14:Z20)</f>
        <v>#REF!</v>
      </c>
      <c r="AA21" s="1260">
        <f>+K46</f>
        <v>57296.899999999994</v>
      </c>
      <c r="AB21" s="1260" t="e">
        <f>+Z21-AA21</f>
        <v>#REF!</v>
      </c>
      <c r="AD21" s="1260">
        <f t="shared" si="3"/>
        <v>7853.6</v>
      </c>
    </row>
    <row r="22" spans="1:31" s="1255" customFormat="1">
      <c r="A22" s="1904"/>
      <c r="B22" s="2148" t="s">
        <v>4374</v>
      </c>
      <c r="C22" s="2148" t="s">
        <v>4391</v>
      </c>
      <c r="D22" s="2149" t="s">
        <v>36</v>
      </c>
      <c r="E22" s="2150">
        <v>20</v>
      </c>
      <c r="F22" s="2150">
        <v>2953.6</v>
      </c>
      <c r="G22" s="2150">
        <f t="shared" si="6"/>
        <v>59072</v>
      </c>
      <c r="H22" s="2132">
        <v>20</v>
      </c>
      <c r="I22" s="2126">
        <f t="shared" si="7"/>
        <v>59072</v>
      </c>
      <c r="J22" s="1307"/>
      <c r="K22" s="1099">
        <f t="shared" si="8"/>
        <v>0</v>
      </c>
      <c r="L22" s="1262">
        <f t="shared" si="9"/>
        <v>20</v>
      </c>
      <c r="M22" s="1213">
        <f t="shared" si="4"/>
        <v>59072</v>
      </c>
      <c r="N22" s="1263">
        <f t="shared" si="10"/>
        <v>1</v>
      </c>
      <c r="O22" s="1264">
        <f t="shared" si="5"/>
        <v>0</v>
      </c>
      <c r="P22" s="1101">
        <f t="shared" si="11"/>
        <v>0</v>
      </c>
      <c r="Q22" s="1265">
        <f t="shared" si="12"/>
        <v>0</v>
      </c>
      <c r="R22" s="1260">
        <f t="shared" si="0"/>
        <v>-56118.400000000001</v>
      </c>
      <c r="S22" s="1260">
        <f t="shared" si="1"/>
        <v>0</v>
      </c>
      <c r="T22" s="1260">
        <v>1996.77</v>
      </c>
      <c r="U22" s="1260">
        <f t="shared" si="2"/>
        <v>-956.82999999999993</v>
      </c>
      <c r="V22" s="1260">
        <v>1996.77</v>
      </c>
      <c r="W22" s="1260" t="e">
        <f>+V22-#REF!</f>
        <v>#REF!</v>
      </c>
      <c r="X22" s="1270"/>
      <c r="AD22" s="1260">
        <f t="shared" si="3"/>
        <v>56118.400000000001</v>
      </c>
    </row>
    <row r="23" spans="1:31" s="1255" customFormat="1">
      <c r="A23" s="1904" t="s">
        <v>3629</v>
      </c>
      <c r="B23" s="2148" t="s">
        <v>4375</v>
      </c>
      <c r="C23" s="2148" t="s">
        <v>3539</v>
      </c>
      <c r="D23" s="2149" t="s">
        <v>36</v>
      </c>
      <c r="E23" s="2150">
        <v>1</v>
      </c>
      <c r="F23" s="2150">
        <v>5803.6</v>
      </c>
      <c r="G23" s="2150">
        <f t="shared" si="6"/>
        <v>5803.6</v>
      </c>
      <c r="H23" s="2132">
        <v>1</v>
      </c>
      <c r="I23" s="2126">
        <f t="shared" si="7"/>
        <v>5803.6</v>
      </c>
      <c r="J23" s="1306"/>
      <c r="K23" s="1099">
        <f t="shared" si="8"/>
        <v>0</v>
      </c>
      <c r="L23" s="1262">
        <f t="shared" si="9"/>
        <v>1</v>
      </c>
      <c r="M23" s="1213">
        <f t="shared" si="4"/>
        <v>5803.6</v>
      </c>
      <c r="N23" s="1263">
        <f t="shared" si="10"/>
        <v>1</v>
      </c>
      <c r="O23" s="1264">
        <f t="shared" si="5"/>
        <v>0</v>
      </c>
      <c r="P23" s="1101">
        <f t="shared" si="11"/>
        <v>0</v>
      </c>
      <c r="Q23" s="1265">
        <f t="shared" si="12"/>
        <v>0</v>
      </c>
      <c r="R23" s="1260">
        <f t="shared" si="0"/>
        <v>0</v>
      </c>
      <c r="S23" s="1260">
        <f t="shared" si="1"/>
        <v>0</v>
      </c>
      <c r="T23" s="1260"/>
      <c r="U23" s="1260">
        <f t="shared" si="2"/>
        <v>-5803.6</v>
      </c>
      <c r="V23" s="1260"/>
      <c r="W23" s="1260" t="e">
        <f>+V23-#REF!</f>
        <v>#REF!</v>
      </c>
      <c r="X23" s="1270"/>
      <c r="AD23" s="1260">
        <f t="shared" si="3"/>
        <v>0</v>
      </c>
    </row>
    <row r="24" spans="1:31" s="1255" customFormat="1" ht="14.25" thickBot="1">
      <c r="A24" s="1904" t="s">
        <v>3629</v>
      </c>
      <c r="B24" s="2148" t="s">
        <v>4376</v>
      </c>
      <c r="C24" s="2148" t="s">
        <v>3541</v>
      </c>
      <c r="D24" s="2149" t="s">
        <v>36</v>
      </c>
      <c r="E24" s="2150">
        <v>2</v>
      </c>
      <c r="F24" s="2150">
        <v>5803.6</v>
      </c>
      <c r="G24" s="2150">
        <f t="shared" si="6"/>
        <v>11607.2</v>
      </c>
      <c r="H24" s="2132">
        <v>2</v>
      </c>
      <c r="I24" s="2126">
        <f t="shared" si="7"/>
        <v>11607.2</v>
      </c>
      <c r="J24" s="1307"/>
      <c r="K24" s="1099">
        <f t="shared" si="8"/>
        <v>0</v>
      </c>
      <c r="L24" s="1262">
        <f t="shared" si="9"/>
        <v>2</v>
      </c>
      <c r="M24" s="1213">
        <f t="shared" si="4"/>
        <v>11607.2</v>
      </c>
      <c r="N24" s="1263">
        <f t="shared" si="10"/>
        <v>1</v>
      </c>
      <c r="O24" s="1264">
        <f t="shared" si="5"/>
        <v>0</v>
      </c>
      <c r="P24" s="1101">
        <f t="shared" si="11"/>
        <v>0</v>
      </c>
      <c r="Q24" s="1265">
        <f t="shared" si="12"/>
        <v>0</v>
      </c>
      <c r="R24" s="1260">
        <f t="shared" si="0"/>
        <v>-5803.6</v>
      </c>
      <c r="S24" s="1260">
        <f t="shared" si="1"/>
        <v>0</v>
      </c>
      <c r="T24" s="1260">
        <v>3146.47</v>
      </c>
      <c r="U24" s="1260">
        <f t="shared" si="2"/>
        <v>-2657.1300000000006</v>
      </c>
      <c r="V24" s="1260">
        <v>3146.47</v>
      </c>
      <c r="W24" s="1260" t="e">
        <f>+V24-#REF!</f>
        <v>#REF!</v>
      </c>
      <c r="X24" s="1270"/>
      <c r="AD24" s="1260">
        <f t="shared" si="3"/>
        <v>5803.6</v>
      </c>
    </row>
    <row r="25" spans="1:31" s="1255" customFormat="1" ht="14.25" thickBot="1">
      <c r="A25" s="1904"/>
      <c r="B25" s="2148" t="s">
        <v>4377</v>
      </c>
      <c r="C25" s="2148" t="s">
        <v>4392</v>
      </c>
      <c r="D25" s="2149" t="s">
        <v>36</v>
      </c>
      <c r="E25" s="2150">
        <v>1</v>
      </c>
      <c r="F25" s="2150">
        <v>7253.6</v>
      </c>
      <c r="G25" s="2150">
        <f t="shared" si="6"/>
        <v>7253.6</v>
      </c>
      <c r="H25" s="2132">
        <v>1</v>
      </c>
      <c r="I25" s="2126">
        <f t="shared" si="7"/>
        <v>7253.6</v>
      </c>
      <c r="J25" s="1307"/>
      <c r="K25" s="1099">
        <f t="shared" si="8"/>
        <v>0</v>
      </c>
      <c r="L25" s="1262">
        <f t="shared" si="9"/>
        <v>1</v>
      </c>
      <c r="M25" s="1213">
        <f t="shared" si="4"/>
        <v>7253.6</v>
      </c>
      <c r="N25" s="1263">
        <f t="shared" si="10"/>
        <v>1</v>
      </c>
      <c r="O25" s="1264">
        <f t="shared" si="5"/>
        <v>0</v>
      </c>
      <c r="P25" s="1101">
        <f t="shared" si="11"/>
        <v>0</v>
      </c>
      <c r="Q25" s="1265">
        <f t="shared" si="12"/>
        <v>0</v>
      </c>
      <c r="R25" s="1260">
        <f t="shared" si="0"/>
        <v>0</v>
      </c>
      <c r="S25" s="1260">
        <f t="shared" si="1"/>
        <v>0</v>
      </c>
      <c r="T25" s="1260">
        <v>1003</v>
      </c>
      <c r="U25" s="1260">
        <f t="shared" si="2"/>
        <v>-6250.6</v>
      </c>
      <c r="V25" s="1260">
        <v>1003</v>
      </c>
      <c r="W25" s="1260" t="e">
        <f>+V25-#REF!</f>
        <v>#REF!</v>
      </c>
      <c r="X25" s="2821" t="s">
        <v>3710</v>
      </c>
      <c r="Y25" s="2822"/>
      <c r="Z25" s="2823"/>
      <c r="AD25" s="1260">
        <f t="shared" si="3"/>
        <v>0</v>
      </c>
    </row>
    <row r="26" spans="1:31" s="1254" customFormat="1">
      <c r="A26" s="1903" t="s">
        <v>3629</v>
      </c>
      <c r="B26" s="2151" t="s">
        <v>4378</v>
      </c>
      <c r="C26" s="2151" t="s">
        <v>4393</v>
      </c>
      <c r="D26" s="2152"/>
      <c r="E26" s="2153"/>
      <c r="F26" s="2153"/>
      <c r="G26" s="2150">
        <f t="shared" si="6"/>
        <v>0</v>
      </c>
      <c r="H26" s="2132"/>
      <c r="I26" s="2126">
        <f t="shared" si="7"/>
        <v>0</v>
      </c>
      <c r="J26" s="1307"/>
      <c r="K26" s="1099">
        <f t="shared" si="8"/>
        <v>0</v>
      </c>
      <c r="L26" s="1262">
        <f t="shared" si="9"/>
        <v>0</v>
      </c>
      <c r="M26" s="1213">
        <f t="shared" si="4"/>
        <v>0</v>
      </c>
      <c r="N26" s="1263"/>
      <c r="O26" s="1264">
        <f t="shared" si="5"/>
        <v>0</v>
      </c>
      <c r="P26" s="1101">
        <f t="shared" si="11"/>
        <v>0</v>
      </c>
      <c r="Q26" s="1265"/>
      <c r="R26" s="1260">
        <f t="shared" si="0"/>
        <v>0</v>
      </c>
      <c r="S26" s="1260">
        <f t="shared" si="1"/>
        <v>0</v>
      </c>
      <c r="T26" s="1260">
        <v>2360</v>
      </c>
      <c r="U26" s="1260">
        <f t="shared" si="2"/>
        <v>2360</v>
      </c>
      <c r="V26" s="1260">
        <v>2360</v>
      </c>
      <c r="W26" s="1260" t="e">
        <f>+V26-#REF!</f>
        <v>#REF!</v>
      </c>
      <c r="X26" s="1199"/>
      <c r="Y26" s="1098"/>
      <c r="Z26" s="1098"/>
      <c r="AD26" s="1260">
        <f t="shared" si="3"/>
        <v>0</v>
      </c>
    </row>
    <row r="27" spans="1:31" s="1255" customFormat="1">
      <c r="A27" s="1904" t="s">
        <v>3629</v>
      </c>
      <c r="B27" s="2148" t="s">
        <v>4379</v>
      </c>
      <c r="C27" s="2148" t="s">
        <v>4394</v>
      </c>
      <c r="D27" s="2149" t="s">
        <v>36</v>
      </c>
      <c r="E27" s="2150">
        <v>170</v>
      </c>
      <c r="F27" s="2150">
        <v>53.6</v>
      </c>
      <c r="G27" s="2150">
        <f t="shared" si="6"/>
        <v>9112</v>
      </c>
      <c r="H27" s="2132">
        <f>0+20</f>
        <v>20</v>
      </c>
      <c r="I27" s="2126">
        <f t="shared" si="7"/>
        <v>1072</v>
      </c>
      <c r="J27" s="1307">
        <v>10</v>
      </c>
      <c r="K27" s="1099">
        <f t="shared" si="8"/>
        <v>536</v>
      </c>
      <c r="L27" s="1262">
        <f t="shared" si="9"/>
        <v>30</v>
      </c>
      <c r="M27" s="1213">
        <f t="shared" si="4"/>
        <v>1608</v>
      </c>
      <c r="N27" s="1263">
        <f t="shared" si="10"/>
        <v>0.17647058823529413</v>
      </c>
      <c r="O27" s="1264">
        <f t="shared" si="5"/>
        <v>140</v>
      </c>
      <c r="P27" s="1101">
        <f t="shared" si="11"/>
        <v>7504</v>
      </c>
      <c r="Q27" s="1265">
        <f t="shared" si="12"/>
        <v>0.82352941176470584</v>
      </c>
      <c r="R27" s="1260">
        <f t="shared" si="0"/>
        <v>-9058.4</v>
      </c>
      <c r="S27" s="1260">
        <f t="shared" si="1"/>
        <v>0</v>
      </c>
      <c r="T27" s="1260">
        <v>1770</v>
      </c>
      <c r="U27" s="1260">
        <f t="shared" si="2"/>
        <v>1716.4</v>
      </c>
      <c r="V27" s="1260">
        <v>1770</v>
      </c>
      <c r="W27" s="1260" t="e">
        <f>+V27-#REF!</f>
        <v>#REF!</v>
      </c>
      <c r="X27" s="1324" t="s">
        <v>3624</v>
      </c>
      <c r="Z27" s="1260">
        <f>SUM(F16:F45)</f>
        <v>52672.289999999986</v>
      </c>
      <c r="AD27" s="1260">
        <f t="shared" si="3"/>
        <v>9058.4</v>
      </c>
    </row>
    <row r="28" spans="1:31" s="1255" customFormat="1">
      <c r="A28" s="1904" t="s">
        <v>3629</v>
      </c>
      <c r="B28" s="2148" t="s">
        <v>4380</v>
      </c>
      <c r="C28" s="2148" t="s">
        <v>4395</v>
      </c>
      <c r="D28" s="2149" t="s">
        <v>36</v>
      </c>
      <c r="E28" s="2150">
        <v>32</v>
      </c>
      <c r="F28" s="2150">
        <v>53.6</v>
      </c>
      <c r="G28" s="2150">
        <f t="shared" si="6"/>
        <v>1715.2</v>
      </c>
      <c r="H28" s="2132">
        <f>0+10</f>
        <v>10</v>
      </c>
      <c r="I28" s="2126">
        <f t="shared" si="7"/>
        <v>536</v>
      </c>
      <c r="J28" s="1306">
        <v>5</v>
      </c>
      <c r="K28" s="1099">
        <f t="shared" si="8"/>
        <v>268</v>
      </c>
      <c r="L28" s="1262">
        <f t="shared" si="9"/>
        <v>15</v>
      </c>
      <c r="M28" s="1213">
        <f t="shared" si="4"/>
        <v>804</v>
      </c>
      <c r="N28" s="1263">
        <f t="shared" si="10"/>
        <v>0.46875</v>
      </c>
      <c r="O28" s="1264">
        <f t="shared" si="5"/>
        <v>17</v>
      </c>
      <c r="P28" s="1101">
        <f t="shared" si="11"/>
        <v>911.2</v>
      </c>
      <c r="Q28" s="1265">
        <f t="shared" si="12"/>
        <v>0.53125</v>
      </c>
      <c r="R28" s="1260">
        <f t="shared" si="0"/>
        <v>-1661.6</v>
      </c>
      <c r="S28" s="1260">
        <f t="shared" si="1"/>
        <v>0</v>
      </c>
      <c r="T28" s="1260"/>
      <c r="U28" s="1260">
        <f t="shared" si="2"/>
        <v>-53.6</v>
      </c>
      <c r="V28" s="1260"/>
      <c r="W28" s="1260" t="e">
        <f>+V28-#REF!</f>
        <v>#REF!</v>
      </c>
      <c r="X28" s="1324" t="s">
        <v>3625</v>
      </c>
      <c r="Z28" s="1261" t="e">
        <f>SUM(#REF!)</f>
        <v>#REF!</v>
      </c>
      <c r="AD28" s="1260">
        <f t="shared" si="3"/>
        <v>1661.6000000000001</v>
      </c>
    </row>
    <row r="29" spans="1:31" s="1254" customFormat="1">
      <c r="A29" s="1903" t="s">
        <v>3629</v>
      </c>
      <c r="B29" s="2148" t="s">
        <v>4381</v>
      </c>
      <c r="C29" s="2148" t="s">
        <v>4396</v>
      </c>
      <c r="D29" s="2149" t="s">
        <v>36</v>
      </c>
      <c r="E29" s="2150">
        <v>1</v>
      </c>
      <c r="F29" s="2150">
        <v>536.01</v>
      </c>
      <c r="G29" s="2150">
        <f t="shared" si="6"/>
        <v>536.01</v>
      </c>
      <c r="H29" s="2132">
        <f>0+1</f>
        <v>1</v>
      </c>
      <c r="I29" s="2126">
        <f t="shared" si="7"/>
        <v>536.01</v>
      </c>
      <c r="J29" s="1307"/>
      <c r="K29" s="1099">
        <f t="shared" si="8"/>
        <v>0</v>
      </c>
      <c r="L29" s="1262">
        <f t="shared" si="9"/>
        <v>1</v>
      </c>
      <c r="M29" s="1213">
        <f t="shared" si="4"/>
        <v>536.01</v>
      </c>
      <c r="N29" s="1263">
        <f t="shared" si="10"/>
        <v>1</v>
      </c>
      <c r="O29" s="1264">
        <f t="shared" si="5"/>
        <v>0</v>
      </c>
      <c r="P29" s="1101">
        <f t="shared" si="11"/>
        <v>0</v>
      </c>
      <c r="Q29" s="1265">
        <f t="shared" si="12"/>
        <v>0</v>
      </c>
      <c r="R29" s="1260">
        <f t="shared" si="0"/>
        <v>0</v>
      </c>
      <c r="S29" s="1260">
        <f t="shared" si="1"/>
        <v>0</v>
      </c>
      <c r="T29" s="1260">
        <v>16983.10845</v>
      </c>
      <c r="U29" s="1260">
        <f t="shared" si="2"/>
        <v>16447.098450000001</v>
      </c>
      <c r="V29" s="1260">
        <v>1.82</v>
      </c>
      <c r="W29" s="1260" t="e">
        <f>+V29-#REF!</f>
        <v>#REF!</v>
      </c>
      <c r="X29" s="1324" t="s">
        <v>1234</v>
      </c>
      <c r="Y29" s="1255"/>
      <c r="Z29" s="1261" t="e">
        <f>SUM(#REF!)</f>
        <v>#REF!</v>
      </c>
      <c r="AD29" s="1260">
        <f t="shared" si="3"/>
        <v>0</v>
      </c>
    </row>
    <row r="30" spans="1:31" s="1254" customFormat="1">
      <c r="A30" s="1903"/>
      <c r="B30" s="2145" t="s">
        <v>539</v>
      </c>
      <c r="C30" s="2145" t="s">
        <v>3519</v>
      </c>
      <c r="D30" s="2146"/>
      <c r="E30" s="2147"/>
      <c r="F30" s="2147"/>
      <c r="G30" s="2150">
        <f t="shared" si="6"/>
        <v>0</v>
      </c>
      <c r="H30" s="2132"/>
      <c r="I30" s="2126">
        <f t="shared" si="7"/>
        <v>0</v>
      </c>
      <c r="J30" s="1307"/>
      <c r="K30" s="1099">
        <f t="shared" si="8"/>
        <v>0</v>
      </c>
      <c r="L30" s="1262">
        <f t="shared" si="9"/>
        <v>0</v>
      </c>
      <c r="M30" s="1213">
        <f t="shared" si="4"/>
        <v>0</v>
      </c>
      <c r="N30" s="1263"/>
      <c r="O30" s="1264">
        <f t="shared" si="5"/>
        <v>0</v>
      </c>
      <c r="P30" s="1101">
        <f t="shared" si="11"/>
        <v>0</v>
      </c>
      <c r="Q30" s="1265"/>
      <c r="R30" s="1260">
        <f t="shared" si="0"/>
        <v>0</v>
      </c>
      <c r="S30" s="1260">
        <f t="shared" si="1"/>
        <v>0</v>
      </c>
      <c r="T30" s="1260">
        <v>15238.828799999999</v>
      </c>
      <c r="U30" s="1260">
        <f t="shared" si="2"/>
        <v>15238.828799999999</v>
      </c>
      <c r="V30" s="1260">
        <v>2.36</v>
      </c>
      <c r="W30" s="1260" t="e">
        <f>+V30-#REF!</f>
        <v>#REF!</v>
      </c>
      <c r="X30" s="1324" t="s">
        <v>3626</v>
      </c>
      <c r="Y30" s="1255"/>
      <c r="Z30" s="1261" t="e">
        <f>SUM(#REF!)</f>
        <v>#REF!</v>
      </c>
      <c r="AD30" s="1260">
        <f t="shared" si="3"/>
        <v>0</v>
      </c>
      <c r="AE30" s="1255" t="e">
        <f>600/#REF!</f>
        <v>#REF!</v>
      </c>
    </row>
    <row r="31" spans="1:31" s="1255" customFormat="1">
      <c r="A31" s="1904" t="s">
        <v>3629</v>
      </c>
      <c r="B31" s="2148" t="s">
        <v>4382</v>
      </c>
      <c r="C31" s="2148" t="s">
        <v>3523</v>
      </c>
      <c r="D31" s="2149" t="s">
        <v>38</v>
      </c>
      <c r="E31" s="2150">
        <v>2440</v>
      </c>
      <c r="F31" s="2150">
        <v>8.16</v>
      </c>
      <c r="G31" s="2150">
        <f t="shared" si="6"/>
        <v>19910.400000000001</v>
      </c>
      <c r="H31" s="2132">
        <f>200</f>
        <v>200</v>
      </c>
      <c r="I31" s="2126">
        <f t="shared" si="7"/>
        <v>1632</v>
      </c>
      <c r="J31" s="1307"/>
      <c r="K31" s="1099">
        <f t="shared" si="8"/>
        <v>0</v>
      </c>
      <c r="L31" s="1262">
        <f t="shared" si="9"/>
        <v>200</v>
      </c>
      <c r="M31" s="1213">
        <f t="shared" si="4"/>
        <v>1632</v>
      </c>
      <c r="N31" s="1263">
        <f t="shared" si="10"/>
        <v>8.1967213114754092E-2</v>
      </c>
      <c r="O31" s="1264">
        <f t="shared" si="5"/>
        <v>2240</v>
      </c>
      <c r="P31" s="1101">
        <f t="shared" si="11"/>
        <v>18278.400000000001</v>
      </c>
      <c r="Q31" s="1265">
        <f t="shared" si="12"/>
        <v>0.91803278688524592</v>
      </c>
      <c r="R31" s="1260">
        <f t="shared" si="0"/>
        <v>-19902.240000000002</v>
      </c>
      <c r="S31" s="1260">
        <f t="shared" si="1"/>
        <v>0</v>
      </c>
      <c r="T31" s="1260">
        <v>22261.069459999999</v>
      </c>
      <c r="U31" s="1260">
        <f t="shared" si="2"/>
        <v>22252.909459999999</v>
      </c>
      <c r="V31" s="1260">
        <v>2.36</v>
      </c>
      <c r="W31" s="1260" t="e">
        <f>+V31-#REF!</f>
        <v>#REF!</v>
      </c>
      <c r="X31" s="1324" t="s">
        <v>3627</v>
      </c>
      <c r="Z31" s="1261" t="e">
        <f>SUM(#REF!)</f>
        <v>#REF!</v>
      </c>
      <c r="AD31" s="1260">
        <f t="shared" si="3"/>
        <v>19902.240000000002</v>
      </c>
      <c r="AE31" s="1255" t="e">
        <f>600/#REF!</f>
        <v>#REF!</v>
      </c>
    </row>
    <row r="32" spans="1:31" s="1255" customFormat="1">
      <c r="A32" s="1904" t="s">
        <v>3629</v>
      </c>
      <c r="B32" s="2148" t="s">
        <v>4383</v>
      </c>
      <c r="C32" s="2148" t="s">
        <v>4397</v>
      </c>
      <c r="D32" s="2149" t="s">
        <v>38</v>
      </c>
      <c r="E32" s="2150">
        <v>3050</v>
      </c>
      <c r="F32" s="2150">
        <v>8.76</v>
      </c>
      <c r="G32" s="2150">
        <f t="shared" si="6"/>
        <v>26718</v>
      </c>
      <c r="H32" s="2132">
        <f>700+1200</f>
        <v>1900</v>
      </c>
      <c r="I32" s="2126">
        <f t="shared" si="7"/>
        <v>16644</v>
      </c>
      <c r="J32" s="1306"/>
      <c r="K32" s="1099">
        <f t="shared" si="8"/>
        <v>0</v>
      </c>
      <c r="L32" s="1262">
        <f t="shared" si="9"/>
        <v>1900</v>
      </c>
      <c r="M32" s="1213">
        <f t="shared" si="4"/>
        <v>16644</v>
      </c>
      <c r="N32" s="1263">
        <f t="shared" si="10"/>
        <v>0.62295081967213117</v>
      </c>
      <c r="O32" s="1264">
        <f t="shared" si="5"/>
        <v>1150</v>
      </c>
      <c r="P32" s="1101">
        <f t="shared" si="11"/>
        <v>10074</v>
      </c>
      <c r="Q32" s="1265">
        <f t="shared" si="12"/>
        <v>0.37704918032786883</v>
      </c>
      <c r="R32" s="1260">
        <f t="shared" si="0"/>
        <v>-26709.24</v>
      </c>
      <c r="S32" s="1260">
        <f t="shared" si="1"/>
        <v>0</v>
      </c>
      <c r="T32" s="1260"/>
      <c r="U32" s="1260">
        <f t="shared" si="2"/>
        <v>-8.76</v>
      </c>
      <c r="V32" s="1260"/>
      <c r="W32" s="1260" t="e">
        <f>+V32-#REF!</f>
        <v>#REF!</v>
      </c>
      <c r="X32" s="1324" t="s">
        <v>3628</v>
      </c>
      <c r="Z32" s="1261" t="e">
        <f>SUM(#REF!)</f>
        <v>#REF!</v>
      </c>
      <c r="AD32" s="1260">
        <f t="shared" si="3"/>
        <v>26709.24</v>
      </c>
    </row>
    <row r="33" spans="1:30" s="1255" customFormat="1">
      <c r="A33" s="1904"/>
      <c r="B33" s="2148" t="s">
        <v>4384</v>
      </c>
      <c r="C33" s="2148" t="s">
        <v>4398</v>
      </c>
      <c r="D33" s="2149" t="s">
        <v>38</v>
      </c>
      <c r="E33" s="2150">
        <v>300</v>
      </c>
      <c r="F33" s="2150">
        <v>13.82</v>
      </c>
      <c r="G33" s="2150">
        <f t="shared" si="6"/>
        <v>4146</v>
      </c>
      <c r="H33" s="2132">
        <f>0+200</f>
        <v>200</v>
      </c>
      <c r="I33" s="2126">
        <f t="shared" si="7"/>
        <v>2764</v>
      </c>
      <c r="J33" s="1307"/>
      <c r="K33" s="1099">
        <f t="shared" si="8"/>
        <v>0</v>
      </c>
      <c r="L33" s="1262">
        <f t="shared" si="9"/>
        <v>200</v>
      </c>
      <c r="M33" s="1213">
        <f t="shared" si="4"/>
        <v>2764</v>
      </c>
      <c r="N33" s="1263">
        <f t="shared" si="10"/>
        <v>0.66666666666666663</v>
      </c>
      <c r="O33" s="1264">
        <f t="shared" si="5"/>
        <v>100</v>
      </c>
      <c r="P33" s="1101">
        <f t="shared" si="11"/>
        <v>1382</v>
      </c>
      <c r="Q33" s="1265">
        <f t="shared" si="12"/>
        <v>0.33333333333333337</v>
      </c>
      <c r="R33" s="1260">
        <f t="shared" si="0"/>
        <v>-4132.18</v>
      </c>
      <c r="S33" s="1260">
        <f t="shared" si="1"/>
        <v>0</v>
      </c>
      <c r="T33" s="1260">
        <v>457.29999999999995</v>
      </c>
      <c r="U33" s="1260">
        <f t="shared" si="2"/>
        <v>443.47999999999996</v>
      </c>
      <c r="V33" s="1260">
        <v>13.45</v>
      </c>
      <c r="W33" s="1260" t="e">
        <f>+V33-#REF!</f>
        <v>#REF!</v>
      </c>
      <c r="X33" s="1324" t="e">
        <f>+#REF!</f>
        <v>#REF!</v>
      </c>
      <c r="Y33" s="1254"/>
      <c r="Z33" s="1260" t="e">
        <f>+#REF!</f>
        <v>#REF!</v>
      </c>
      <c r="AD33" s="1260">
        <f t="shared" si="3"/>
        <v>4132.18</v>
      </c>
    </row>
    <row r="34" spans="1:30" s="1255" customFormat="1">
      <c r="A34" s="1904"/>
      <c r="B34" s="2142" t="s">
        <v>39</v>
      </c>
      <c r="C34" s="2142" t="s">
        <v>3542</v>
      </c>
      <c r="D34" s="2143"/>
      <c r="E34" s="2144"/>
      <c r="F34" s="2144"/>
      <c r="G34" s="2150">
        <f t="shared" si="6"/>
        <v>0</v>
      </c>
      <c r="H34" s="2132"/>
      <c r="I34" s="2126">
        <f t="shared" si="7"/>
        <v>0</v>
      </c>
      <c r="J34" s="1307"/>
      <c r="K34" s="1099">
        <f t="shared" si="8"/>
        <v>0</v>
      </c>
      <c r="L34" s="1262">
        <f t="shared" si="9"/>
        <v>0</v>
      </c>
      <c r="M34" s="1213">
        <f t="shared" si="4"/>
        <v>0</v>
      </c>
      <c r="N34" s="1263"/>
      <c r="O34" s="1264">
        <f t="shared" si="5"/>
        <v>0</v>
      </c>
      <c r="P34" s="1101">
        <f t="shared" si="11"/>
        <v>0</v>
      </c>
      <c r="Q34" s="1265"/>
      <c r="R34" s="1260">
        <f t="shared" si="0"/>
        <v>0</v>
      </c>
      <c r="S34" s="1260">
        <f t="shared" si="1"/>
        <v>0</v>
      </c>
      <c r="T34" s="1260">
        <v>4943.7800000000007</v>
      </c>
      <c r="U34" s="1260">
        <f t="shared" si="2"/>
        <v>4943.7800000000007</v>
      </c>
      <c r="V34" s="1260">
        <v>118.04</v>
      </c>
      <c r="W34" s="1260" t="e">
        <f>+V34-#REF!</f>
        <v>#REF!</v>
      </c>
      <c r="X34" s="1324" t="e">
        <f>+#REF!</f>
        <v>#REF!</v>
      </c>
      <c r="Z34" s="1260" t="e">
        <f>+#REF!</f>
        <v>#REF!</v>
      </c>
      <c r="AD34" s="1260">
        <f t="shared" si="3"/>
        <v>0</v>
      </c>
    </row>
    <row r="35" spans="1:30" s="1255" customFormat="1">
      <c r="A35" s="1904"/>
      <c r="B35" s="2145" t="s">
        <v>542</v>
      </c>
      <c r="C35" s="2145" t="s">
        <v>3525</v>
      </c>
      <c r="D35" s="2146"/>
      <c r="E35" s="2147"/>
      <c r="F35" s="2147"/>
      <c r="G35" s="2150">
        <f t="shared" si="6"/>
        <v>0</v>
      </c>
      <c r="H35" s="2132"/>
      <c r="I35" s="2126">
        <f t="shared" si="7"/>
        <v>0</v>
      </c>
      <c r="J35" s="1307"/>
      <c r="K35" s="1099">
        <f t="shared" si="8"/>
        <v>0</v>
      </c>
      <c r="L35" s="1262">
        <f t="shared" si="9"/>
        <v>0</v>
      </c>
      <c r="M35" s="1213">
        <f t="shared" si="4"/>
        <v>0</v>
      </c>
      <c r="N35" s="1263"/>
      <c r="O35" s="1264">
        <f t="shared" si="5"/>
        <v>0</v>
      </c>
      <c r="P35" s="1101">
        <f t="shared" si="11"/>
        <v>0</v>
      </c>
      <c r="Q35" s="1265"/>
      <c r="R35" s="1260">
        <f t="shared" si="0"/>
        <v>0</v>
      </c>
      <c r="S35" s="1260">
        <f t="shared" si="1"/>
        <v>0</v>
      </c>
      <c r="T35" s="1260">
        <v>1977.49</v>
      </c>
      <c r="U35" s="1260">
        <f t="shared" si="2"/>
        <v>1977.49</v>
      </c>
      <c r="V35" s="1260">
        <v>59.02</v>
      </c>
      <c r="W35" s="1260" t="e">
        <f>+V35-#REF!</f>
        <v>#REF!</v>
      </c>
      <c r="X35" s="1272"/>
      <c r="AD35" s="1260">
        <f t="shared" si="3"/>
        <v>0</v>
      </c>
    </row>
    <row r="36" spans="1:30" s="1255" customFormat="1">
      <c r="A36" s="1904" t="s">
        <v>3629</v>
      </c>
      <c r="B36" s="2148" t="s">
        <v>3724</v>
      </c>
      <c r="C36" s="2148" t="s">
        <v>4399</v>
      </c>
      <c r="D36" s="2149" t="s">
        <v>36</v>
      </c>
      <c r="E36" s="2150">
        <v>27</v>
      </c>
      <c r="F36" s="2150">
        <v>173.6</v>
      </c>
      <c r="G36" s="2150">
        <f t="shared" si="6"/>
        <v>4687.2</v>
      </c>
      <c r="H36" s="2132">
        <f>27</f>
        <v>27</v>
      </c>
      <c r="I36" s="2126">
        <f t="shared" si="7"/>
        <v>4687.2</v>
      </c>
      <c r="J36" s="1307"/>
      <c r="K36" s="1099">
        <f t="shared" si="8"/>
        <v>0</v>
      </c>
      <c r="L36" s="1262">
        <f t="shared" si="9"/>
        <v>27</v>
      </c>
      <c r="M36" s="1213">
        <f t="shared" si="4"/>
        <v>4687.2</v>
      </c>
      <c r="N36" s="1263">
        <f t="shared" si="10"/>
        <v>1</v>
      </c>
      <c r="O36" s="1264">
        <f t="shared" si="5"/>
        <v>0</v>
      </c>
      <c r="P36" s="1101">
        <f t="shared" si="11"/>
        <v>0</v>
      </c>
      <c r="Q36" s="1265">
        <f t="shared" si="12"/>
        <v>0</v>
      </c>
      <c r="R36" s="1260">
        <f t="shared" si="0"/>
        <v>-4513.5999999999995</v>
      </c>
      <c r="S36" s="1260">
        <f t="shared" si="1"/>
        <v>0</v>
      </c>
      <c r="T36" s="1260">
        <v>638.97</v>
      </c>
      <c r="U36" s="1260">
        <f t="shared" si="2"/>
        <v>465.37</v>
      </c>
      <c r="V36" s="1260">
        <v>33.630000000000003</v>
      </c>
      <c r="W36" s="1260" t="e">
        <f>+V36-#REF!</f>
        <v>#REF!</v>
      </c>
      <c r="X36" s="1270"/>
      <c r="Y36" s="1254" t="s">
        <v>2</v>
      </c>
      <c r="Z36" s="1259" t="e">
        <f>SUM(Z27:Z34)</f>
        <v>#REF!</v>
      </c>
      <c r="AD36" s="1260">
        <f t="shared" si="3"/>
        <v>4513.5999999999995</v>
      </c>
    </row>
    <row r="37" spans="1:30" s="1255" customFormat="1">
      <c r="A37" s="1904" t="s">
        <v>3629</v>
      </c>
      <c r="B37" s="2145" t="s">
        <v>543</v>
      </c>
      <c r="C37" s="2145" t="s">
        <v>3533</v>
      </c>
      <c r="D37" s="2146"/>
      <c r="E37" s="2147"/>
      <c r="F37" s="2147"/>
      <c r="G37" s="2150">
        <f t="shared" si="6"/>
        <v>0</v>
      </c>
      <c r="H37" s="2132"/>
      <c r="I37" s="2126">
        <f t="shared" si="7"/>
        <v>0</v>
      </c>
      <c r="J37" s="1307"/>
      <c r="K37" s="1099">
        <f t="shared" si="8"/>
        <v>0</v>
      </c>
      <c r="L37" s="1262">
        <f t="shared" si="9"/>
        <v>0</v>
      </c>
      <c r="M37" s="1213">
        <f t="shared" si="4"/>
        <v>0</v>
      </c>
      <c r="N37" s="1263"/>
      <c r="O37" s="1264">
        <f t="shared" si="5"/>
        <v>0</v>
      </c>
      <c r="P37" s="1101">
        <f t="shared" si="11"/>
        <v>0</v>
      </c>
      <c r="Q37" s="1265"/>
      <c r="R37" s="1260">
        <f t="shared" si="0"/>
        <v>0</v>
      </c>
      <c r="S37" s="1260">
        <f t="shared" si="1"/>
        <v>0</v>
      </c>
      <c r="T37" s="1260">
        <v>67.260000000000005</v>
      </c>
      <c r="U37" s="1260">
        <f t="shared" si="2"/>
        <v>67.260000000000005</v>
      </c>
      <c r="V37" s="1260">
        <v>33.630000000000003</v>
      </c>
      <c r="W37" s="1260" t="e">
        <f>+V37-#REF!</f>
        <v>#REF!</v>
      </c>
      <c r="X37" s="1270"/>
      <c r="Z37" s="1260" t="e">
        <f>+Z36-F46</f>
        <v>#REF!</v>
      </c>
      <c r="AD37" s="1260">
        <f t="shared" si="3"/>
        <v>0</v>
      </c>
    </row>
    <row r="38" spans="1:30" s="1255" customFormat="1">
      <c r="A38" s="1904" t="s">
        <v>3629</v>
      </c>
      <c r="B38" s="2148" t="s">
        <v>3726</v>
      </c>
      <c r="C38" s="2148" t="s">
        <v>4400</v>
      </c>
      <c r="D38" s="2149" t="s">
        <v>36</v>
      </c>
      <c r="E38" s="2150">
        <v>72</v>
      </c>
      <c r="F38" s="2150">
        <v>1653.6</v>
      </c>
      <c r="G38" s="2150">
        <f t="shared" si="6"/>
        <v>119059.2</v>
      </c>
      <c r="H38" s="2132">
        <f>0+10</f>
        <v>10</v>
      </c>
      <c r="I38" s="2126">
        <f t="shared" si="7"/>
        <v>16536</v>
      </c>
      <c r="J38" s="1307">
        <v>20</v>
      </c>
      <c r="K38" s="1099">
        <f t="shared" si="8"/>
        <v>33072</v>
      </c>
      <c r="L38" s="1262">
        <f t="shared" si="9"/>
        <v>30</v>
      </c>
      <c r="M38" s="1213">
        <f t="shared" si="4"/>
        <v>49608</v>
      </c>
      <c r="N38" s="1263">
        <f t="shared" si="10"/>
        <v>0.41666666666666669</v>
      </c>
      <c r="O38" s="1264">
        <f t="shared" si="5"/>
        <v>42</v>
      </c>
      <c r="P38" s="1101">
        <f t="shared" si="11"/>
        <v>69451.199999999997</v>
      </c>
      <c r="Q38" s="1265">
        <f t="shared" si="12"/>
        <v>0.58333333333333326</v>
      </c>
      <c r="R38" s="1260">
        <f t="shared" si="0"/>
        <v>-117405.6</v>
      </c>
      <c r="S38" s="1260">
        <f t="shared" si="1"/>
        <v>0</v>
      </c>
      <c r="T38" s="1260">
        <v>659.05</v>
      </c>
      <c r="U38" s="1260">
        <f t="shared" si="2"/>
        <v>-994.55</v>
      </c>
      <c r="V38" s="1260">
        <v>13.45</v>
      </c>
      <c r="W38" s="1260" t="e">
        <f>+V38-#REF!</f>
        <v>#REF!</v>
      </c>
      <c r="X38" s="1270"/>
      <c r="AD38" s="1260">
        <f t="shared" si="3"/>
        <v>117405.59999999999</v>
      </c>
    </row>
    <row r="39" spans="1:30" s="1254" customFormat="1">
      <c r="A39" s="1903" t="s">
        <v>3629</v>
      </c>
      <c r="B39" s="2148" t="s">
        <v>3728</v>
      </c>
      <c r="C39" s="2148" t="s">
        <v>3550</v>
      </c>
      <c r="D39" s="2149" t="s">
        <v>36</v>
      </c>
      <c r="E39" s="2150">
        <v>63</v>
      </c>
      <c r="F39" s="2150">
        <v>493.6</v>
      </c>
      <c r="G39" s="2150">
        <f t="shared" si="6"/>
        <v>31096.800000000003</v>
      </c>
      <c r="H39" s="2132">
        <f>0+2</f>
        <v>2</v>
      </c>
      <c r="I39" s="2126">
        <f t="shared" si="7"/>
        <v>987.2</v>
      </c>
      <c r="J39" s="1307">
        <v>5</v>
      </c>
      <c r="K39" s="1099">
        <f t="shared" si="8"/>
        <v>2468</v>
      </c>
      <c r="L39" s="1262">
        <f t="shared" si="9"/>
        <v>7</v>
      </c>
      <c r="M39" s="1213">
        <f t="shared" si="4"/>
        <v>3455.2</v>
      </c>
      <c r="N39" s="1263">
        <f t="shared" si="10"/>
        <v>0.1111111111111111</v>
      </c>
      <c r="O39" s="1264">
        <f t="shared" si="5"/>
        <v>56</v>
      </c>
      <c r="P39" s="1101">
        <f t="shared" si="11"/>
        <v>27641.600000000002</v>
      </c>
      <c r="Q39" s="1265">
        <f t="shared" si="12"/>
        <v>0.88888888888888884</v>
      </c>
      <c r="R39" s="1260">
        <f t="shared" si="0"/>
        <v>-30603.200000000001</v>
      </c>
      <c r="S39" s="1260">
        <f t="shared" si="1"/>
        <v>0</v>
      </c>
      <c r="T39" s="1260">
        <v>5282.8305</v>
      </c>
      <c r="U39" s="1260">
        <f t="shared" si="2"/>
        <v>4789.2304999999997</v>
      </c>
      <c r="V39" s="1260">
        <v>4.2699999999999996</v>
      </c>
      <c r="W39" s="1260" t="e">
        <f>+V39-#REF!</f>
        <v>#REF!</v>
      </c>
      <c r="X39" s="1271"/>
      <c r="AD39" s="1260">
        <f t="shared" si="3"/>
        <v>30603.200000000004</v>
      </c>
    </row>
    <row r="40" spans="1:30" s="1255" customFormat="1">
      <c r="A40" s="1904"/>
      <c r="B40" s="2148" t="s">
        <v>3969</v>
      </c>
      <c r="C40" s="2148" t="s">
        <v>4401</v>
      </c>
      <c r="D40" s="2149" t="s">
        <v>36</v>
      </c>
      <c r="E40" s="2150">
        <v>10</v>
      </c>
      <c r="F40" s="2150">
        <v>1653.6</v>
      </c>
      <c r="G40" s="2150">
        <f t="shared" si="6"/>
        <v>16536</v>
      </c>
      <c r="H40" s="2132">
        <v>1</v>
      </c>
      <c r="I40" s="2126">
        <f t="shared" si="7"/>
        <v>1653.6</v>
      </c>
      <c r="J40" s="1307">
        <v>1</v>
      </c>
      <c r="K40" s="1099">
        <f t="shared" si="8"/>
        <v>1653.6</v>
      </c>
      <c r="L40" s="1262">
        <f t="shared" si="9"/>
        <v>2</v>
      </c>
      <c r="M40" s="1213">
        <f t="shared" si="4"/>
        <v>3307.2</v>
      </c>
      <c r="N40" s="1263">
        <f t="shared" si="10"/>
        <v>0.2</v>
      </c>
      <c r="O40" s="1264">
        <f t="shared" si="5"/>
        <v>8</v>
      </c>
      <c r="P40" s="1101">
        <f t="shared" si="11"/>
        <v>13228.8</v>
      </c>
      <c r="Q40" s="1265">
        <f t="shared" si="12"/>
        <v>0.8</v>
      </c>
      <c r="R40" s="1260">
        <f t="shared" si="0"/>
        <v>-14882.4</v>
      </c>
      <c r="S40" s="1260">
        <f t="shared" si="1"/>
        <v>0</v>
      </c>
      <c r="T40" s="1260">
        <v>2080.2712000000001</v>
      </c>
      <c r="U40" s="1260">
        <f t="shared" si="2"/>
        <v>426.67120000000023</v>
      </c>
      <c r="V40" s="1260">
        <v>1.82</v>
      </c>
      <c r="W40" s="1260" t="e">
        <f>+V40-#REF!</f>
        <v>#REF!</v>
      </c>
      <c r="X40" s="1270"/>
      <c r="AD40" s="1260">
        <f t="shared" si="3"/>
        <v>14882.4</v>
      </c>
    </row>
    <row r="41" spans="1:30" s="1255" customFormat="1">
      <c r="A41" s="1904" t="s">
        <v>3629</v>
      </c>
      <c r="B41" s="2148" t="s">
        <v>4385</v>
      </c>
      <c r="C41" s="2148" t="s">
        <v>4402</v>
      </c>
      <c r="D41" s="2149" t="s">
        <v>36</v>
      </c>
      <c r="E41" s="2150">
        <v>5</v>
      </c>
      <c r="F41" s="2150">
        <v>453.6</v>
      </c>
      <c r="G41" s="2150">
        <f t="shared" si="6"/>
        <v>2268</v>
      </c>
      <c r="H41" s="2132">
        <v>1</v>
      </c>
      <c r="I41" s="2126">
        <f t="shared" si="7"/>
        <v>453.6</v>
      </c>
      <c r="J41" s="1307">
        <v>1</v>
      </c>
      <c r="K41" s="1099">
        <f t="shared" si="8"/>
        <v>453.6</v>
      </c>
      <c r="L41" s="1262">
        <f t="shared" si="9"/>
        <v>2</v>
      </c>
      <c r="M41" s="1213">
        <f t="shared" si="4"/>
        <v>907.2</v>
      </c>
      <c r="N41" s="1263">
        <f t="shared" si="10"/>
        <v>0.4</v>
      </c>
      <c r="O41" s="1264">
        <f t="shared" si="5"/>
        <v>3</v>
      </c>
      <c r="P41" s="1101">
        <f t="shared" si="11"/>
        <v>1360.8000000000002</v>
      </c>
      <c r="Q41" s="1265">
        <f t="shared" si="12"/>
        <v>0.6</v>
      </c>
      <c r="R41" s="1260">
        <f t="shared" si="0"/>
        <v>-1814.4</v>
      </c>
      <c r="S41" s="1260">
        <f t="shared" si="1"/>
        <v>0</v>
      </c>
      <c r="T41" s="1260">
        <v>331.03999999999996</v>
      </c>
      <c r="U41" s="1260">
        <f t="shared" si="2"/>
        <v>-122.56000000000006</v>
      </c>
      <c r="V41" s="1260">
        <v>5.84</v>
      </c>
      <c r="W41" s="1260" t="e">
        <f>+V41-#REF!</f>
        <v>#REF!</v>
      </c>
      <c r="X41" s="1270"/>
      <c r="AD41" s="1260">
        <f t="shared" si="3"/>
        <v>1814.4</v>
      </c>
    </row>
    <row r="42" spans="1:30" s="1255" customFormat="1">
      <c r="A42" s="1904" t="s">
        <v>3629</v>
      </c>
      <c r="B42" s="2148" t="s">
        <v>4386</v>
      </c>
      <c r="C42" s="2148" t="s">
        <v>4403</v>
      </c>
      <c r="D42" s="2149" t="s">
        <v>36</v>
      </c>
      <c r="E42" s="2150">
        <v>30</v>
      </c>
      <c r="F42" s="2150">
        <v>540</v>
      </c>
      <c r="G42" s="2150">
        <f t="shared" si="6"/>
        <v>16200</v>
      </c>
      <c r="H42" s="2132">
        <f>30</f>
        <v>30</v>
      </c>
      <c r="I42" s="2126">
        <f t="shared" si="7"/>
        <v>16200</v>
      </c>
      <c r="J42" s="1307"/>
      <c r="K42" s="1099">
        <f t="shared" si="8"/>
        <v>0</v>
      </c>
      <c r="L42" s="1262">
        <f t="shared" si="9"/>
        <v>30</v>
      </c>
      <c r="M42" s="1213">
        <f t="shared" si="4"/>
        <v>16200</v>
      </c>
      <c r="N42" s="1263">
        <f t="shared" si="10"/>
        <v>1</v>
      </c>
      <c r="O42" s="1264">
        <f t="shared" si="5"/>
        <v>0</v>
      </c>
      <c r="P42" s="1101">
        <f t="shared" si="11"/>
        <v>0</v>
      </c>
      <c r="Q42" s="1265">
        <f t="shared" si="12"/>
        <v>0</v>
      </c>
      <c r="R42" s="1260">
        <f t="shared" si="0"/>
        <v>-15660</v>
      </c>
      <c r="S42" s="1260">
        <f t="shared" si="1"/>
        <v>0</v>
      </c>
      <c r="T42" s="1260">
        <v>5055.2662999999993</v>
      </c>
      <c r="U42" s="1260">
        <f t="shared" si="2"/>
        <v>4515.2662999999993</v>
      </c>
      <c r="V42" s="1260">
        <v>14.01</v>
      </c>
      <c r="W42" s="1260" t="e">
        <f>+V42-#REF!</f>
        <v>#REF!</v>
      </c>
      <c r="X42" s="1270"/>
      <c r="AD42" s="1260">
        <f t="shared" si="3"/>
        <v>15660</v>
      </c>
    </row>
    <row r="43" spans="1:30" s="1255" customFormat="1">
      <c r="A43" s="1904" t="s">
        <v>3629</v>
      </c>
      <c r="B43" s="2148" t="s">
        <v>4387</v>
      </c>
      <c r="C43" s="2148" t="s">
        <v>4404</v>
      </c>
      <c r="D43" s="2149" t="s">
        <v>36</v>
      </c>
      <c r="E43" s="2150">
        <v>6</v>
      </c>
      <c r="F43" s="2150">
        <v>1253.5999999999999</v>
      </c>
      <c r="G43" s="2150">
        <f t="shared" si="6"/>
        <v>7521.5999999999995</v>
      </c>
      <c r="H43" s="2132">
        <f>6</f>
        <v>6</v>
      </c>
      <c r="I43" s="2126">
        <f t="shared" si="7"/>
        <v>7521.5999999999995</v>
      </c>
      <c r="J43" s="1307"/>
      <c r="K43" s="1099">
        <f t="shared" si="8"/>
        <v>0</v>
      </c>
      <c r="L43" s="1262">
        <f t="shared" si="9"/>
        <v>6</v>
      </c>
      <c r="M43" s="1213">
        <f t="shared" si="4"/>
        <v>7521.5999999999995</v>
      </c>
      <c r="N43" s="1263">
        <f t="shared" si="10"/>
        <v>1</v>
      </c>
      <c r="O43" s="1264">
        <f t="shared" si="5"/>
        <v>0</v>
      </c>
      <c r="P43" s="1101">
        <f t="shared" si="11"/>
        <v>0</v>
      </c>
      <c r="Q43" s="1265">
        <f t="shared" si="12"/>
        <v>0</v>
      </c>
      <c r="R43" s="1260">
        <f t="shared" si="0"/>
        <v>-6268</v>
      </c>
      <c r="S43" s="1260">
        <f t="shared" si="1"/>
        <v>0</v>
      </c>
      <c r="T43" s="1260">
        <v>576.30000000000007</v>
      </c>
      <c r="U43" s="1260">
        <f t="shared" si="2"/>
        <v>-677.29999999999984</v>
      </c>
      <c r="V43" s="1260">
        <v>115.26</v>
      </c>
      <c r="W43" s="1260" t="e">
        <f>+V43-#REF!</f>
        <v>#REF!</v>
      </c>
      <c r="X43" s="1270"/>
      <c r="AD43" s="1260">
        <f t="shared" si="3"/>
        <v>6268</v>
      </c>
    </row>
    <row r="44" spans="1:30" s="1255" customFormat="1">
      <c r="A44" s="1904" t="s">
        <v>3629</v>
      </c>
      <c r="B44" s="2145" t="s">
        <v>544</v>
      </c>
      <c r="C44" s="2145" t="s">
        <v>4405</v>
      </c>
      <c r="D44" s="2146"/>
      <c r="E44" s="2147"/>
      <c r="F44" s="2147"/>
      <c r="G44" s="2150">
        <f t="shared" si="6"/>
        <v>0</v>
      </c>
      <c r="H44" s="2132"/>
      <c r="I44" s="2126">
        <f t="shared" si="7"/>
        <v>0</v>
      </c>
      <c r="J44" s="1307"/>
      <c r="K44" s="1099">
        <f t="shared" si="8"/>
        <v>0</v>
      </c>
      <c r="L44" s="1262">
        <f t="shared" si="9"/>
        <v>0</v>
      </c>
      <c r="M44" s="1213">
        <f t="shared" si="4"/>
        <v>0</v>
      </c>
      <c r="N44" s="1263"/>
      <c r="O44" s="1264">
        <f t="shared" si="5"/>
        <v>0</v>
      </c>
      <c r="P44" s="1101">
        <f t="shared" si="11"/>
        <v>0</v>
      </c>
      <c r="Q44" s="1265"/>
      <c r="R44" s="1260">
        <f t="shared" si="0"/>
        <v>0</v>
      </c>
      <c r="S44" s="1260">
        <f t="shared" si="1"/>
        <v>0</v>
      </c>
      <c r="T44" s="1260">
        <v>2305.08</v>
      </c>
      <c r="U44" s="1260">
        <f t="shared" si="2"/>
        <v>2305.08</v>
      </c>
      <c r="V44" s="1260">
        <v>192.09</v>
      </c>
      <c r="W44" s="1260" t="e">
        <f>+V44-#REF!</f>
        <v>#REF!</v>
      </c>
      <c r="X44" s="1270"/>
      <c r="AD44" s="1260">
        <f t="shared" si="3"/>
        <v>0</v>
      </c>
    </row>
    <row r="45" spans="1:30" s="1255" customFormat="1" ht="14.25" thickBot="1">
      <c r="A45" s="1904"/>
      <c r="B45" s="2148" t="s">
        <v>3730</v>
      </c>
      <c r="C45" s="2148" t="s">
        <v>4406</v>
      </c>
      <c r="D45" s="2149" t="s">
        <v>36</v>
      </c>
      <c r="E45" s="2150">
        <v>150</v>
      </c>
      <c r="F45" s="2150">
        <v>75.77</v>
      </c>
      <c r="G45" s="2150">
        <f t="shared" si="6"/>
        <v>11365.5</v>
      </c>
      <c r="H45" s="2132">
        <f>10+10</f>
        <v>20</v>
      </c>
      <c r="I45" s="2126">
        <f t="shared" si="7"/>
        <v>1515.3999999999999</v>
      </c>
      <c r="J45" s="1307">
        <v>10</v>
      </c>
      <c r="K45" s="1099">
        <f t="shared" si="8"/>
        <v>757.69999999999993</v>
      </c>
      <c r="L45" s="1262">
        <f t="shared" si="9"/>
        <v>30</v>
      </c>
      <c r="M45" s="1213">
        <f t="shared" si="4"/>
        <v>2273.1</v>
      </c>
      <c r="N45" s="1263">
        <f t="shared" si="10"/>
        <v>0.2</v>
      </c>
      <c r="O45" s="1264">
        <f t="shared" si="5"/>
        <v>120</v>
      </c>
      <c r="P45" s="1101">
        <f t="shared" si="11"/>
        <v>9092.4</v>
      </c>
      <c r="Q45" s="1265">
        <f t="shared" si="12"/>
        <v>0.8</v>
      </c>
      <c r="R45" s="1260">
        <f t="shared" si="0"/>
        <v>-11289.73</v>
      </c>
      <c r="S45" s="1260">
        <f t="shared" si="1"/>
        <v>0</v>
      </c>
      <c r="T45" s="1260">
        <v>1728.84</v>
      </c>
      <c r="U45" s="1260">
        <f t="shared" si="2"/>
        <v>1653.07</v>
      </c>
      <c r="V45" s="1260">
        <v>288.14</v>
      </c>
      <c r="W45" s="1260" t="e">
        <f>+V45-#REF!</f>
        <v>#REF!</v>
      </c>
      <c r="X45" s="1270"/>
      <c r="AD45" s="1260">
        <f t="shared" si="3"/>
        <v>11289.73</v>
      </c>
    </row>
    <row r="46" spans="1:30" s="496" customFormat="1" thickBot="1">
      <c r="A46" s="1906"/>
      <c r="B46" s="2133"/>
      <c r="C46" s="2134" t="s">
        <v>59</v>
      </c>
      <c r="D46" s="2135"/>
      <c r="E46" s="2136"/>
      <c r="F46" s="2137"/>
      <c r="G46" s="2138">
        <f>SUM(G17:G45)</f>
        <v>463442.65</v>
      </c>
      <c r="H46" s="2080"/>
      <c r="I46" s="2127">
        <f>SUM(I17:I45)</f>
        <v>229863.35000000006</v>
      </c>
      <c r="J46" s="2084"/>
      <c r="K46" s="2085">
        <f>SUM(K17:K45)</f>
        <v>57296.899999999994</v>
      </c>
      <c r="L46" s="2083"/>
      <c r="M46" s="2078">
        <f>SUM(M16:M45)</f>
        <v>287160.25</v>
      </c>
      <c r="N46" s="2086"/>
      <c r="O46" s="2087"/>
      <c r="P46" s="2077">
        <f>SUM(P16:P45)+0.09</f>
        <v>176282.48999999996</v>
      </c>
      <c r="Q46" s="2079"/>
      <c r="R46" s="497">
        <f t="shared" si="0"/>
        <v>-463442.74</v>
      </c>
      <c r="S46" s="497"/>
      <c r="T46" s="497"/>
      <c r="U46" s="497"/>
      <c r="V46" s="497"/>
      <c r="W46" s="497"/>
      <c r="X46" s="1201"/>
      <c r="Y46" s="497"/>
      <c r="AC46" s="1308" t="e">
        <f>#REF!+#REF!</f>
        <v>#REF!</v>
      </c>
    </row>
    <row r="47" spans="1:30">
      <c r="H47" s="1102"/>
      <c r="I47" s="2128"/>
      <c r="J47" s="1276"/>
      <c r="K47" s="1103"/>
      <c r="L47" s="1103"/>
      <c r="M47" s="1103"/>
      <c r="N47" s="1103"/>
      <c r="O47" s="1103"/>
      <c r="X47" s="1083"/>
    </row>
    <row r="48" spans="1:30">
      <c r="H48" s="1102"/>
      <c r="I48" s="2128"/>
      <c r="J48" s="1276"/>
      <c r="K48" s="1103"/>
      <c r="L48" s="1103"/>
      <c r="M48" s="1103"/>
      <c r="N48" s="1103"/>
      <c r="O48" s="1103"/>
      <c r="X48" s="1083"/>
    </row>
    <row r="49" spans="8:24">
      <c r="H49" s="1102"/>
      <c r="I49" s="2128"/>
      <c r="J49" s="1276"/>
      <c r="K49" s="1103"/>
      <c r="L49" s="1103"/>
      <c r="M49" s="1103"/>
      <c r="N49" s="1103"/>
      <c r="O49" s="1103"/>
      <c r="X49" s="1083"/>
    </row>
    <row r="50" spans="8:24">
      <c r="H50" s="1102"/>
      <c r="I50" s="2129"/>
      <c r="J50" s="1276"/>
      <c r="K50" s="1103"/>
      <c r="L50" s="1103"/>
      <c r="M50" s="1103"/>
      <c r="N50" s="1103"/>
      <c r="O50" s="1103"/>
      <c r="X50" s="1083"/>
    </row>
    <row r="51" spans="8:24">
      <c r="H51" s="1102"/>
      <c r="I51" s="2128"/>
      <c r="J51" s="1276"/>
      <c r="K51" s="1103"/>
      <c r="L51" s="1103"/>
      <c r="M51" s="1103"/>
      <c r="N51" s="1103"/>
      <c r="O51" s="1103"/>
      <c r="X51" s="1083"/>
    </row>
  </sheetData>
  <autoFilter ref="B10:Q46" xr:uid="{00000000-0001-0000-1D00-000000000000}">
    <filterColumn colId="3" showButton="0"/>
    <filterColumn colId="6" showButton="0"/>
    <filterColumn colId="7" showButton="0"/>
    <filterColumn colId="8" showButton="0"/>
    <filterColumn colId="9" showButton="0"/>
    <filterColumn colId="10" showButton="0"/>
    <filterColumn colId="11" showButton="0"/>
    <filterColumn colId="13" showButton="0"/>
    <filterColumn colId="14" showButton="0"/>
  </autoFilter>
  <mergeCells count="29">
    <mergeCell ref="B1:Q1"/>
    <mergeCell ref="J12:J13"/>
    <mergeCell ref="E12:E13"/>
    <mergeCell ref="I12:I13"/>
    <mergeCell ref="N12:N13"/>
    <mergeCell ref="O12:O13"/>
    <mergeCell ref="K12:K13"/>
    <mergeCell ref="L11:N11"/>
    <mergeCell ref="L12:L13"/>
    <mergeCell ref="B3:Q3"/>
    <mergeCell ref="F12:F13"/>
    <mergeCell ref="H12:H13"/>
    <mergeCell ref="H10:N10"/>
    <mergeCell ref="G12:G13"/>
    <mergeCell ref="H11:I11"/>
    <mergeCell ref="X12:Z12"/>
    <mergeCell ref="X25:Z25"/>
    <mergeCell ref="B2:Q2"/>
    <mergeCell ref="E4:M4"/>
    <mergeCell ref="P4:Q4"/>
    <mergeCell ref="B10:B13"/>
    <mergeCell ref="C10:C13"/>
    <mergeCell ref="D10:D13"/>
    <mergeCell ref="E10:F11"/>
    <mergeCell ref="O10:Q11"/>
    <mergeCell ref="P12:P13"/>
    <mergeCell ref="Q12:Q13"/>
    <mergeCell ref="M12:M13"/>
    <mergeCell ref="J11:K11"/>
  </mergeCells>
  <conditionalFormatting sqref="Q2 Q5:Q1048576">
    <cfRule type="cellIs" dxfId="12" priority="27" operator="lessThan">
      <formula>0</formula>
    </cfRule>
  </conditionalFormatting>
  <conditionalFormatting sqref="O2 O4:O14 O16:O1048576">
    <cfRule type="cellIs" dxfId="11" priority="25" operator="lessThan">
      <formula>0</formula>
    </cfRule>
    <cfRule type="cellIs" dxfId="10" priority="26" operator="lessThan">
      <formula>0</formula>
    </cfRule>
  </conditionalFormatting>
  <conditionalFormatting sqref="W1:W1048576">
    <cfRule type="cellIs" dxfId="9" priority="2" operator="lessThan">
      <formula>0</formula>
    </cfRule>
    <cfRule type="cellIs" dxfId="8" priority="3" operator="greaterThan">
      <formula>0</formula>
    </cfRule>
  </conditionalFormatting>
  <conditionalFormatting sqref="Q4">
    <cfRule type="cellIs" dxfId="7" priority="1" operator="lessThan">
      <formula>0</formula>
    </cfRule>
  </conditionalFormatting>
  <pageMargins left="3.937007874015748E-2" right="3.937007874015748E-2" top="0.59055118110236227" bottom="1.0236220472440944" header="0.31496062992125984" footer="0.31496062992125984"/>
  <pageSetup paperSize="9" scale="64" fitToHeight="0" orientation="landscape"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002060"/>
  </sheetPr>
  <dimension ref="N15:N18"/>
  <sheetViews>
    <sheetView workbookViewId="0">
      <selection activeCell="I17" sqref="I17"/>
    </sheetView>
  </sheetViews>
  <sheetFormatPr baseColWidth="10" defaultRowHeight="12.75"/>
  <cols>
    <col min="14" max="14" width="12.28515625" bestFit="1" customWidth="1"/>
  </cols>
  <sheetData>
    <row r="15" spans="14:14">
      <c r="N15">
        <v>23740.2</v>
      </c>
    </row>
    <row r="16" spans="14:14">
      <c r="N16">
        <v>462.6</v>
      </c>
    </row>
    <row r="17" spans="14:14">
      <c r="N17">
        <v>6673.48</v>
      </c>
    </row>
    <row r="18" spans="14:14">
      <c r="N18" s="2122">
        <f>SUM(N15:N17)</f>
        <v>30876.28</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002060"/>
    <pageSetUpPr fitToPage="1"/>
  </sheetPr>
  <dimension ref="A1:AB214"/>
  <sheetViews>
    <sheetView view="pageBreakPreview" topLeftCell="A11" zoomScale="85" zoomScaleNormal="70" zoomScaleSheetLayoutView="85" workbookViewId="0">
      <pane ySplit="1170" topLeftCell="A178" activePane="bottomLeft"/>
      <selection activeCell="J11" sqref="J11:P11"/>
      <selection pane="bottomLeft" activeCell="A192" sqref="A192:XFD192"/>
    </sheetView>
  </sheetViews>
  <sheetFormatPr baseColWidth="10" defaultRowHeight="13.5"/>
  <cols>
    <col min="1" max="1" width="4.140625" style="1083" customWidth="1"/>
    <col min="2" max="2" width="11.140625" style="1083" customWidth="1"/>
    <col min="3" max="3" width="71.85546875" style="1092" customWidth="1"/>
    <col min="4" max="4" width="9.42578125" style="1085" customWidth="1"/>
    <col min="5" max="5" width="10.5703125" style="1088" customWidth="1"/>
    <col min="6" max="6" width="10.5703125" style="1088" hidden="1" customWidth="1"/>
    <col min="7" max="7" width="10.5703125" style="1088" customWidth="1"/>
    <col min="8" max="8" width="17.42578125" style="1093" hidden="1" customWidth="1"/>
    <col min="9" max="9" width="15.5703125" style="1093" customWidth="1"/>
    <col min="10" max="11" width="12.5703125" style="1085" customWidth="1"/>
    <col min="12" max="12" width="12.5703125" style="1274" customWidth="1"/>
    <col min="13" max="16" width="12.5703125" style="1085" customWidth="1"/>
    <col min="17" max="17" width="12.5703125" style="1083" customWidth="1"/>
    <col min="18" max="18" width="13.5703125" style="1083" customWidth="1"/>
    <col min="19" max="20" width="12.5703125" style="1083" customWidth="1"/>
    <col min="21" max="21" width="13" style="1083" bestFit="1" customWidth="1"/>
    <col min="22" max="23" width="13" style="1083" customWidth="1"/>
    <col min="24" max="24" width="10.85546875" style="1085"/>
    <col min="25" max="25" width="10.85546875" style="1083"/>
    <col min="26" max="26" width="14.140625" style="1083" customWidth="1"/>
    <col min="27" max="262" width="10.85546875" style="1083"/>
    <col min="263" max="263" width="8.85546875" style="1083" customWidth="1"/>
    <col min="264" max="264" width="50" style="1083" customWidth="1"/>
    <col min="265" max="265" width="6.42578125" style="1083" bestFit="1" customWidth="1"/>
    <col min="266" max="266" width="8.85546875" style="1083" customWidth="1"/>
    <col min="267" max="267" width="8.5703125" style="1083" customWidth="1"/>
    <col min="268" max="268" width="11.42578125" style="1083" bestFit="1" customWidth="1"/>
    <col min="269" max="269" width="7.85546875" style="1083" bestFit="1" customWidth="1"/>
    <col min="270" max="270" width="11.5703125" style="1083" bestFit="1" customWidth="1"/>
    <col min="271" max="271" width="8" style="1083" bestFit="1" customWidth="1"/>
    <col min="272" max="272" width="11.5703125" style="1083" bestFit="1" customWidth="1"/>
    <col min="273" max="273" width="8.140625" style="1083" bestFit="1" customWidth="1"/>
    <col min="274" max="274" width="11.5703125" style="1083" bestFit="1" customWidth="1"/>
    <col min="275" max="275" width="8.42578125" style="1083" customWidth="1"/>
    <col min="276" max="276" width="7.42578125" style="1083" bestFit="1" customWidth="1"/>
    <col min="277" max="277" width="11.5703125" style="1083" bestFit="1" customWidth="1"/>
    <col min="278" max="278" width="8.140625" style="1083" customWidth="1"/>
    <col min="279" max="279" width="13" style="1083" bestFit="1" customWidth="1"/>
    <col min="280" max="518" width="10.85546875" style="1083"/>
    <col min="519" max="519" width="8.85546875" style="1083" customWidth="1"/>
    <col min="520" max="520" width="50" style="1083" customWidth="1"/>
    <col min="521" max="521" width="6.42578125" style="1083" bestFit="1" customWidth="1"/>
    <col min="522" max="522" width="8.85546875" style="1083" customWidth="1"/>
    <col min="523" max="523" width="8.5703125" style="1083" customWidth="1"/>
    <col min="524" max="524" width="11.42578125" style="1083" bestFit="1" customWidth="1"/>
    <col min="525" max="525" width="7.85546875" style="1083" bestFit="1" customWidth="1"/>
    <col min="526" max="526" width="11.5703125" style="1083" bestFit="1" customWidth="1"/>
    <col min="527" max="527" width="8" style="1083" bestFit="1" customWidth="1"/>
    <col min="528" max="528" width="11.5703125" style="1083" bestFit="1" customWidth="1"/>
    <col min="529" max="529" width="8.140625" style="1083" bestFit="1" customWidth="1"/>
    <col min="530" max="530" width="11.5703125" style="1083" bestFit="1" customWidth="1"/>
    <col min="531" max="531" width="8.42578125" style="1083" customWidth="1"/>
    <col min="532" max="532" width="7.42578125" style="1083" bestFit="1" customWidth="1"/>
    <col min="533" max="533" width="11.5703125" style="1083" bestFit="1" customWidth="1"/>
    <col min="534" max="534" width="8.140625" style="1083" customWidth="1"/>
    <col min="535" max="535" width="13" style="1083" bestFit="1" customWidth="1"/>
    <col min="536" max="774" width="10.85546875" style="1083"/>
    <col min="775" max="775" width="8.85546875" style="1083" customWidth="1"/>
    <col min="776" max="776" width="50" style="1083" customWidth="1"/>
    <col min="777" max="777" width="6.42578125" style="1083" bestFit="1" customWidth="1"/>
    <col min="778" max="778" width="8.85546875" style="1083" customWidth="1"/>
    <col min="779" max="779" width="8.5703125" style="1083" customWidth="1"/>
    <col min="780" max="780" width="11.42578125" style="1083" bestFit="1" customWidth="1"/>
    <col min="781" max="781" width="7.85546875" style="1083" bestFit="1" customWidth="1"/>
    <col min="782" max="782" width="11.5703125" style="1083" bestFit="1" customWidth="1"/>
    <col min="783" max="783" width="8" style="1083" bestFit="1" customWidth="1"/>
    <col min="784" max="784" width="11.5703125" style="1083" bestFit="1" customWidth="1"/>
    <col min="785" max="785" width="8.140625" style="1083" bestFit="1" customWidth="1"/>
    <col min="786" max="786" width="11.5703125" style="1083" bestFit="1" customWidth="1"/>
    <col min="787" max="787" width="8.42578125" style="1083" customWidth="1"/>
    <col min="788" max="788" width="7.42578125" style="1083" bestFit="1" customWidth="1"/>
    <col min="789" max="789" width="11.5703125" style="1083" bestFit="1" customWidth="1"/>
    <col min="790" max="790" width="8.140625" style="1083" customWidth="1"/>
    <col min="791" max="791" width="13" style="1083" bestFit="1" customWidth="1"/>
    <col min="792" max="1030" width="10.85546875" style="1083"/>
    <col min="1031" max="1031" width="8.85546875" style="1083" customWidth="1"/>
    <col min="1032" max="1032" width="50" style="1083" customWidth="1"/>
    <col min="1033" max="1033" width="6.42578125" style="1083" bestFit="1" customWidth="1"/>
    <col min="1034" max="1034" width="8.85546875" style="1083" customWidth="1"/>
    <col min="1035" max="1035" width="8.5703125" style="1083" customWidth="1"/>
    <col min="1036" max="1036" width="11.42578125" style="1083" bestFit="1" customWidth="1"/>
    <col min="1037" max="1037" width="7.85546875" style="1083" bestFit="1" customWidth="1"/>
    <col min="1038" max="1038" width="11.5703125" style="1083" bestFit="1" customWidth="1"/>
    <col min="1039" max="1039" width="8" style="1083" bestFit="1" customWidth="1"/>
    <col min="1040" max="1040" width="11.5703125" style="1083" bestFit="1" customWidth="1"/>
    <col min="1041" max="1041" width="8.140625" style="1083" bestFit="1" customWidth="1"/>
    <col min="1042" max="1042" width="11.5703125" style="1083" bestFit="1" customWidth="1"/>
    <col min="1043" max="1043" width="8.42578125" style="1083" customWidth="1"/>
    <col min="1044" max="1044" width="7.42578125" style="1083" bestFit="1" customWidth="1"/>
    <col min="1045" max="1045" width="11.5703125" style="1083" bestFit="1" customWidth="1"/>
    <col min="1046" max="1046" width="8.140625" style="1083" customWidth="1"/>
    <col min="1047" max="1047" width="13" style="1083" bestFit="1" customWidth="1"/>
    <col min="1048" max="1286" width="10.85546875" style="1083"/>
    <col min="1287" max="1287" width="8.85546875" style="1083" customWidth="1"/>
    <col min="1288" max="1288" width="50" style="1083" customWidth="1"/>
    <col min="1289" max="1289" width="6.42578125" style="1083" bestFit="1" customWidth="1"/>
    <col min="1290" max="1290" width="8.85546875" style="1083" customWidth="1"/>
    <col min="1291" max="1291" width="8.5703125" style="1083" customWidth="1"/>
    <col min="1292" max="1292" width="11.42578125" style="1083" bestFit="1" customWidth="1"/>
    <col min="1293" max="1293" width="7.85546875" style="1083" bestFit="1" customWidth="1"/>
    <col min="1294" max="1294" width="11.5703125" style="1083" bestFit="1" customWidth="1"/>
    <col min="1295" max="1295" width="8" style="1083" bestFit="1" customWidth="1"/>
    <col min="1296" max="1296" width="11.5703125" style="1083" bestFit="1" customWidth="1"/>
    <col min="1297" max="1297" width="8.140625" style="1083" bestFit="1" customWidth="1"/>
    <col min="1298" max="1298" width="11.5703125" style="1083" bestFit="1" customWidth="1"/>
    <col min="1299" max="1299" width="8.42578125" style="1083" customWidth="1"/>
    <col min="1300" max="1300" width="7.42578125" style="1083" bestFit="1" customWidth="1"/>
    <col min="1301" max="1301" width="11.5703125" style="1083" bestFit="1" customWidth="1"/>
    <col min="1302" max="1302" width="8.140625" style="1083" customWidth="1"/>
    <col min="1303" max="1303" width="13" style="1083" bestFit="1" customWidth="1"/>
    <col min="1304" max="1542" width="10.85546875" style="1083"/>
    <col min="1543" max="1543" width="8.85546875" style="1083" customWidth="1"/>
    <col min="1544" max="1544" width="50" style="1083" customWidth="1"/>
    <col min="1545" max="1545" width="6.42578125" style="1083" bestFit="1" customWidth="1"/>
    <col min="1546" max="1546" width="8.85546875" style="1083" customWidth="1"/>
    <col min="1547" max="1547" width="8.5703125" style="1083" customWidth="1"/>
    <col min="1548" max="1548" width="11.42578125" style="1083" bestFit="1" customWidth="1"/>
    <col min="1549" max="1549" width="7.85546875" style="1083" bestFit="1" customWidth="1"/>
    <col min="1550" max="1550" width="11.5703125" style="1083" bestFit="1" customWidth="1"/>
    <col min="1551" max="1551" width="8" style="1083" bestFit="1" customWidth="1"/>
    <col min="1552" max="1552" width="11.5703125" style="1083" bestFit="1" customWidth="1"/>
    <col min="1553" max="1553" width="8.140625" style="1083" bestFit="1" customWidth="1"/>
    <col min="1554" max="1554" width="11.5703125" style="1083" bestFit="1" customWidth="1"/>
    <col min="1555" max="1555" width="8.42578125" style="1083" customWidth="1"/>
    <col min="1556" max="1556" width="7.42578125" style="1083" bestFit="1" customWidth="1"/>
    <col min="1557" max="1557" width="11.5703125" style="1083" bestFit="1" customWidth="1"/>
    <col min="1558" max="1558" width="8.140625" style="1083" customWidth="1"/>
    <col min="1559" max="1559" width="13" style="1083" bestFit="1" customWidth="1"/>
    <col min="1560" max="1798" width="10.85546875" style="1083"/>
    <col min="1799" max="1799" width="8.85546875" style="1083" customWidth="1"/>
    <col min="1800" max="1800" width="50" style="1083" customWidth="1"/>
    <col min="1801" max="1801" width="6.42578125" style="1083" bestFit="1" customWidth="1"/>
    <col min="1802" max="1802" width="8.85546875" style="1083" customWidth="1"/>
    <col min="1803" max="1803" width="8.5703125" style="1083" customWidth="1"/>
    <col min="1804" max="1804" width="11.42578125" style="1083" bestFit="1" customWidth="1"/>
    <col min="1805" max="1805" width="7.85546875" style="1083" bestFit="1" customWidth="1"/>
    <col min="1806" max="1806" width="11.5703125" style="1083" bestFit="1" customWidth="1"/>
    <col min="1807" max="1807" width="8" style="1083" bestFit="1" customWidth="1"/>
    <col min="1808" max="1808" width="11.5703125" style="1083" bestFit="1" customWidth="1"/>
    <col min="1809" max="1809" width="8.140625" style="1083" bestFit="1" customWidth="1"/>
    <col min="1810" max="1810" width="11.5703125" style="1083" bestFit="1" customWidth="1"/>
    <col min="1811" max="1811" width="8.42578125" style="1083" customWidth="1"/>
    <col min="1812" max="1812" width="7.42578125" style="1083" bestFit="1" customWidth="1"/>
    <col min="1813" max="1813" width="11.5703125" style="1083" bestFit="1" customWidth="1"/>
    <col min="1814" max="1814" width="8.140625" style="1083" customWidth="1"/>
    <col min="1815" max="1815" width="13" style="1083" bestFit="1" customWidth="1"/>
    <col min="1816" max="2054" width="10.85546875" style="1083"/>
    <col min="2055" max="2055" width="8.85546875" style="1083" customWidth="1"/>
    <col min="2056" max="2056" width="50" style="1083" customWidth="1"/>
    <col min="2057" max="2057" width="6.42578125" style="1083" bestFit="1" customWidth="1"/>
    <col min="2058" max="2058" width="8.85546875" style="1083" customWidth="1"/>
    <col min="2059" max="2059" width="8.5703125" style="1083" customWidth="1"/>
    <col min="2060" max="2060" width="11.42578125" style="1083" bestFit="1" customWidth="1"/>
    <col min="2061" max="2061" width="7.85546875" style="1083" bestFit="1" customWidth="1"/>
    <col min="2062" max="2062" width="11.5703125" style="1083" bestFit="1" customWidth="1"/>
    <col min="2063" max="2063" width="8" style="1083" bestFit="1" customWidth="1"/>
    <col min="2064" max="2064" width="11.5703125" style="1083" bestFit="1" customWidth="1"/>
    <col min="2065" max="2065" width="8.140625" style="1083" bestFit="1" customWidth="1"/>
    <col min="2066" max="2066" width="11.5703125" style="1083" bestFit="1" customWidth="1"/>
    <col min="2067" max="2067" width="8.42578125" style="1083" customWidth="1"/>
    <col min="2068" max="2068" width="7.42578125" style="1083" bestFit="1" customWidth="1"/>
    <col min="2069" max="2069" width="11.5703125" style="1083" bestFit="1" customWidth="1"/>
    <col min="2070" max="2070" width="8.140625" style="1083" customWidth="1"/>
    <col min="2071" max="2071" width="13" style="1083" bestFit="1" customWidth="1"/>
    <col min="2072" max="2310" width="10.85546875" style="1083"/>
    <col min="2311" max="2311" width="8.85546875" style="1083" customWidth="1"/>
    <col min="2312" max="2312" width="50" style="1083" customWidth="1"/>
    <col min="2313" max="2313" width="6.42578125" style="1083" bestFit="1" customWidth="1"/>
    <col min="2314" max="2314" width="8.85546875" style="1083" customWidth="1"/>
    <col min="2315" max="2315" width="8.5703125" style="1083" customWidth="1"/>
    <col min="2316" max="2316" width="11.42578125" style="1083" bestFit="1" customWidth="1"/>
    <col min="2317" max="2317" width="7.85546875" style="1083" bestFit="1" customWidth="1"/>
    <col min="2318" max="2318" width="11.5703125" style="1083" bestFit="1" customWidth="1"/>
    <col min="2319" max="2319" width="8" style="1083" bestFit="1" customWidth="1"/>
    <col min="2320" max="2320" width="11.5703125" style="1083" bestFit="1" customWidth="1"/>
    <col min="2321" max="2321" width="8.140625" style="1083" bestFit="1" customWidth="1"/>
    <col min="2322" max="2322" width="11.5703125" style="1083" bestFit="1" customWidth="1"/>
    <col min="2323" max="2323" width="8.42578125" style="1083" customWidth="1"/>
    <col min="2324" max="2324" width="7.42578125" style="1083" bestFit="1" customWidth="1"/>
    <col min="2325" max="2325" width="11.5703125" style="1083" bestFit="1" customWidth="1"/>
    <col min="2326" max="2326" width="8.140625" style="1083" customWidth="1"/>
    <col min="2327" max="2327" width="13" style="1083" bestFit="1" customWidth="1"/>
    <col min="2328" max="2566" width="10.85546875" style="1083"/>
    <col min="2567" max="2567" width="8.85546875" style="1083" customWidth="1"/>
    <col min="2568" max="2568" width="50" style="1083" customWidth="1"/>
    <col min="2569" max="2569" width="6.42578125" style="1083" bestFit="1" customWidth="1"/>
    <col min="2570" max="2570" width="8.85546875" style="1083" customWidth="1"/>
    <col min="2571" max="2571" width="8.5703125" style="1083" customWidth="1"/>
    <col min="2572" max="2572" width="11.42578125" style="1083" bestFit="1" customWidth="1"/>
    <col min="2573" max="2573" width="7.85546875" style="1083" bestFit="1" customWidth="1"/>
    <col min="2574" max="2574" width="11.5703125" style="1083" bestFit="1" customWidth="1"/>
    <col min="2575" max="2575" width="8" style="1083" bestFit="1" customWidth="1"/>
    <col min="2576" max="2576" width="11.5703125" style="1083" bestFit="1" customWidth="1"/>
    <col min="2577" max="2577" width="8.140625" style="1083" bestFit="1" customWidth="1"/>
    <col min="2578" max="2578" width="11.5703125" style="1083" bestFit="1" customWidth="1"/>
    <col min="2579" max="2579" width="8.42578125" style="1083" customWidth="1"/>
    <col min="2580" max="2580" width="7.42578125" style="1083" bestFit="1" customWidth="1"/>
    <col min="2581" max="2581" width="11.5703125" style="1083" bestFit="1" customWidth="1"/>
    <col min="2582" max="2582" width="8.140625" style="1083" customWidth="1"/>
    <col min="2583" max="2583" width="13" style="1083" bestFit="1" customWidth="1"/>
    <col min="2584" max="2822" width="10.85546875" style="1083"/>
    <col min="2823" max="2823" width="8.85546875" style="1083" customWidth="1"/>
    <col min="2824" max="2824" width="50" style="1083" customWidth="1"/>
    <col min="2825" max="2825" width="6.42578125" style="1083" bestFit="1" customWidth="1"/>
    <col min="2826" max="2826" width="8.85546875" style="1083" customWidth="1"/>
    <col min="2827" max="2827" width="8.5703125" style="1083" customWidth="1"/>
    <col min="2828" max="2828" width="11.42578125" style="1083" bestFit="1" customWidth="1"/>
    <col min="2829" max="2829" width="7.85546875" style="1083" bestFit="1" customWidth="1"/>
    <col min="2830" max="2830" width="11.5703125" style="1083" bestFit="1" customWidth="1"/>
    <col min="2831" max="2831" width="8" style="1083" bestFit="1" customWidth="1"/>
    <col min="2832" max="2832" width="11.5703125" style="1083" bestFit="1" customWidth="1"/>
    <col min="2833" max="2833" width="8.140625" style="1083" bestFit="1" customWidth="1"/>
    <col min="2834" max="2834" width="11.5703125" style="1083" bestFit="1" customWidth="1"/>
    <col min="2835" max="2835" width="8.42578125" style="1083" customWidth="1"/>
    <col min="2836" max="2836" width="7.42578125" style="1083" bestFit="1" customWidth="1"/>
    <col min="2837" max="2837" width="11.5703125" style="1083" bestFit="1" customWidth="1"/>
    <col min="2838" max="2838" width="8.140625" style="1083" customWidth="1"/>
    <col min="2839" max="2839" width="13" style="1083" bestFit="1" customWidth="1"/>
    <col min="2840" max="3078" width="10.85546875" style="1083"/>
    <col min="3079" max="3079" width="8.85546875" style="1083" customWidth="1"/>
    <col min="3080" max="3080" width="50" style="1083" customWidth="1"/>
    <col min="3081" max="3081" width="6.42578125" style="1083" bestFit="1" customWidth="1"/>
    <col min="3082" max="3082" width="8.85546875" style="1083" customWidth="1"/>
    <col min="3083" max="3083" width="8.5703125" style="1083" customWidth="1"/>
    <col min="3084" max="3084" width="11.42578125" style="1083" bestFit="1" customWidth="1"/>
    <col min="3085" max="3085" width="7.85546875" style="1083" bestFit="1" customWidth="1"/>
    <col min="3086" max="3086" width="11.5703125" style="1083" bestFit="1" customWidth="1"/>
    <col min="3087" max="3087" width="8" style="1083" bestFit="1" customWidth="1"/>
    <col min="3088" max="3088" width="11.5703125" style="1083" bestFit="1" customWidth="1"/>
    <col min="3089" max="3089" width="8.140625" style="1083" bestFit="1" customWidth="1"/>
    <col min="3090" max="3090" width="11.5703125" style="1083" bestFit="1" customWidth="1"/>
    <col min="3091" max="3091" width="8.42578125" style="1083" customWidth="1"/>
    <col min="3092" max="3092" width="7.42578125" style="1083" bestFit="1" customWidth="1"/>
    <col min="3093" max="3093" width="11.5703125" style="1083" bestFit="1" customWidth="1"/>
    <col min="3094" max="3094" width="8.140625" style="1083" customWidth="1"/>
    <col min="3095" max="3095" width="13" style="1083" bestFit="1" customWidth="1"/>
    <col min="3096" max="3334" width="10.85546875" style="1083"/>
    <col min="3335" max="3335" width="8.85546875" style="1083" customWidth="1"/>
    <col min="3336" max="3336" width="50" style="1083" customWidth="1"/>
    <col min="3337" max="3337" width="6.42578125" style="1083" bestFit="1" customWidth="1"/>
    <col min="3338" max="3338" width="8.85546875" style="1083" customWidth="1"/>
    <col min="3339" max="3339" width="8.5703125" style="1083" customWidth="1"/>
    <col min="3340" max="3340" width="11.42578125" style="1083" bestFit="1" customWidth="1"/>
    <col min="3341" max="3341" width="7.85546875" style="1083" bestFit="1" customWidth="1"/>
    <col min="3342" max="3342" width="11.5703125" style="1083" bestFit="1" customWidth="1"/>
    <col min="3343" max="3343" width="8" style="1083" bestFit="1" customWidth="1"/>
    <col min="3344" max="3344" width="11.5703125" style="1083" bestFit="1" customWidth="1"/>
    <col min="3345" max="3345" width="8.140625" style="1083" bestFit="1" customWidth="1"/>
    <col min="3346" max="3346" width="11.5703125" style="1083" bestFit="1" customWidth="1"/>
    <col min="3347" max="3347" width="8.42578125" style="1083" customWidth="1"/>
    <col min="3348" max="3348" width="7.42578125" style="1083" bestFit="1" customWidth="1"/>
    <col min="3349" max="3349" width="11.5703125" style="1083" bestFit="1" customWidth="1"/>
    <col min="3350" max="3350" width="8.140625" style="1083" customWidth="1"/>
    <col min="3351" max="3351" width="13" style="1083" bestFit="1" customWidth="1"/>
    <col min="3352" max="3590" width="10.85546875" style="1083"/>
    <col min="3591" max="3591" width="8.85546875" style="1083" customWidth="1"/>
    <col min="3592" max="3592" width="50" style="1083" customWidth="1"/>
    <col min="3593" max="3593" width="6.42578125" style="1083" bestFit="1" customWidth="1"/>
    <col min="3594" max="3594" width="8.85546875" style="1083" customWidth="1"/>
    <col min="3595" max="3595" width="8.5703125" style="1083" customWidth="1"/>
    <col min="3596" max="3596" width="11.42578125" style="1083" bestFit="1" customWidth="1"/>
    <col min="3597" max="3597" width="7.85546875" style="1083" bestFit="1" customWidth="1"/>
    <col min="3598" max="3598" width="11.5703125" style="1083" bestFit="1" customWidth="1"/>
    <col min="3599" max="3599" width="8" style="1083" bestFit="1" customWidth="1"/>
    <col min="3600" max="3600" width="11.5703125" style="1083" bestFit="1" customWidth="1"/>
    <col min="3601" max="3601" width="8.140625" style="1083" bestFit="1" customWidth="1"/>
    <col min="3602" max="3602" width="11.5703125" style="1083" bestFit="1" customWidth="1"/>
    <col min="3603" max="3603" width="8.42578125" style="1083" customWidth="1"/>
    <col min="3604" max="3604" width="7.42578125" style="1083" bestFit="1" customWidth="1"/>
    <col min="3605" max="3605" width="11.5703125" style="1083" bestFit="1" customWidth="1"/>
    <col min="3606" max="3606" width="8.140625" style="1083" customWidth="1"/>
    <col min="3607" max="3607" width="13" style="1083" bestFit="1" customWidth="1"/>
    <col min="3608" max="3846" width="10.85546875" style="1083"/>
    <col min="3847" max="3847" width="8.85546875" style="1083" customWidth="1"/>
    <col min="3848" max="3848" width="50" style="1083" customWidth="1"/>
    <col min="3849" max="3849" width="6.42578125" style="1083" bestFit="1" customWidth="1"/>
    <col min="3850" max="3850" width="8.85546875" style="1083" customWidth="1"/>
    <col min="3851" max="3851" width="8.5703125" style="1083" customWidth="1"/>
    <col min="3852" max="3852" width="11.42578125" style="1083" bestFit="1" customWidth="1"/>
    <col min="3853" max="3853" width="7.85546875" style="1083" bestFit="1" customWidth="1"/>
    <col min="3854" max="3854" width="11.5703125" style="1083" bestFit="1" customWidth="1"/>
    <col min="3855" max="3855" width="8" style="1083" bestFit="1" customWidth="1"/>
    <col min="3856" max="3856" width="11.5703125" style="1083" bestFit="1" customWidth="1"/>
    <col min="3857" max="3857" width="8.140625" style="1083" bestFit="1" customWidth="1"/>
    <col min="3858" max="3858" width="11.5703125" style="1083" bestFit="1" customWidth="1"/>
    <col min="3859" max="3859" width="8.42578125" style="1083" customWidth="1"/>
    <col min="3860" max="3860" width="7.42578125" style="1083" bestFit="1" customWidth="1"/>
    <col min="3861" max="3861" width="11.5703125" style="1083" bestFit="1" customWidth="1"/>
    <col min="3862" max="3862" width="8.140625" style="1083" customWidth="1"/>
    <col min="3863" max="3863" width="13" style="1083" bestFit="1" customWidth="1"/>
    <col min="3864" max="4102" width="10.85546875" style="1083"/>
    <col min="4103" max="4103" width="8.85546875" style="1083" customWidth="1"/>
    <col min="4104" max="4104" width="50" style="1083" customWidth="1"/>
    <col min="4105" max="4105" width="6.42578125" style="1083" bestFit="1" customWidth="1"/>
    <col min="4106" max="4106" width="8.85546875" style="1083" customWidth="1"/>
    <col min="4107" max="4107" width="8.5703125" style="1083" customWidth="1"/>
    <col min="4108" max="4108" width="11.42578125" style="1083" bestFit="1" customWidth="1"/>
    <col min="4109" max="4109" width="7.85546875" style="1083" bestFit="1" customWidth="1"/>
    <col min="4110" max="4110" width="11.5703125" style="1083" bestFit="1" customWidth="1"/>
    <col min="4111" max="4111" width="8" style="1083" bestFit="1" customWidth="1"/>
    <col min="4112" max="4112" width="11.5703125" style="1083" bestFit="1" customWidth="1"/>
    <col min="4113" max="4113" width="8.140625" style="1083" bestFit="1" customWidth="1"/>
    <col min="4114" max="4114" width="11.5703125" style="1083" bestFit="1" customWidth="1"/>
    <col min="4115" max="4115" width="8.42578125" style="1083" customWidth="1"/>
    <col min="4116" max="4116" width="7.42578125" style="1083" bestFit="1" customWidth="1"/>
    <col min="4117" max="4117" width="11.5703125" style="1083" bestFit="1" customWidth="1"/>
    <col min="4118" max="4118" width="8.140625" style="1083" customWidth="1"/>
    <col min="4119" max="4119" width="13" style="1083" bestFit="1" customWidth="1"/>
    <col min="4120" max="4358" width="10.85546875" style="1083"/>
    <col min="4359" max="4359" width="8.85546875" style="1083" customWidth="1"/>
    <col min="4360" max="4360" width="50" style="1083" customWidth="1"/>
    <col min="4361" max="4361" width="6.42578125" style="1083" bestFit="1" customWidth="1"/>
    <col min="4362" max="4362" width="8.85546875" style="1083" customWidth="1"/>
    <col min="4363" max="4363" width="8.5703125" style="1083" customWidth="1"/>
    <col min="4364" max="4364" width="11.42578125" style="1083" bestFit="1" customWidth="1"/>
    <col min="4365" max="4365" width="7.85546875" style="1083" bestFit="1" customWidth="1"/>
    <col min="4366" max="4366" width="11.5703125" style="1083" bestFit="1" customWidth="1"/>
    <col min="4367" max="4367" width="8" style="1083" bestFit="1" customWidth="1"/>
    <col min="4368" max="4368" width="11.5703125" style="1083" bestFit="1" customWidth="1"/>
    <col min="4369" max="4369" width="8.140625" style="1083" bestFit="1" customWidth="1"/>
    <col min="4370" max="4370" width="11.5703125" style="1083" bestFit="1" customWidth="1"/>
    <col min="4371" max="4371" width="8.42578125" style="1083" customWidth="1"/>
    <col min="4372" max="4372" width="7.42578125" style="1083" bestFit="1" customWidth="1"/>
    <col min="4373" max="4373" width="11.5703125" style="1083" bestFit="1" customWidth="1"/>
    <col min="4374" max="4374" width="8.140625" style="1083" customWidth="1"/>
    <col min="4375" max="4375" width="13" style="1083" bestFit="1" customWidth="1"/>
    <col min="4376" max="4614" width="10.85546875" style="1083"/>
    <col min="4615" max="4615" width="8.85546875" style="1083" customWidth="1"/>
    <col min="4616" max="4616" width="50" style="1083" customWidth="1"/>
    <col min="4617" max="4617" width="6.42578125" style="1083" bestFit="1" customWidth="1"/>
    <col min="4618" max="4618" width="8.85546875" style="1083" customWidth="1"/>
    <col min="4619" max="4619" width="8.5703125" style="1083" customWidth="1"/>
    <col min="4620" max="4620" width="11.42578125" style="1083" bestFit="1" customWidth="1"/>
    <col min="4621" max="4621" width="7.85546875" style="1083" bestFit="1" customWidth="1"/>
    <col min="4622" max="4622" width="11.5703125" style="1083" bestFit="1" customWidth="1"/>
    <col min="4623" max="4623" width="8" style="1083" bestFit="1" customWidth="1"/>
    <col min="4624" max="4624" width="11.5703125" style="1083" bestFit="1" customWidth="1"/>
    <col min="4625" max="4625" width="8.140625" style="1083" bestFit="1" customWidth="1"/>
    <col min="4626" max="4626" width="11.5703125" style="1083" bestFit="1" customWidth="1"/>
    <col min="4627" max="4627" width="8.42578125" style="1083" customWidth="1"/>
    <col min="4628" max="4628" width="7.42578125" style="1083" bestFit="1" customWidth="1"/>
    <col min="4629" max="4629" width="11.5703125" style="1083" bestFit="1" customWidth="1"/>
    <col min="4630" max="4630" width="8.140625" style="1083" customWidth="1"/>
    <col min="4631" max="4631" width="13" style="1083" bestFit="1" customWidth="1"/>
    <col min="4632" max="4870" width="10.85546875" style="1083"/>
    <col min="4871" max="4871" width="8.85546875" style="1083" customWidth="1"/>
    <col min="4872" max="4872" width="50" style="1083" customWidth="1"/>
    <col min="4873" max="4873" width="6.42578125" style="1083" bestFit="1" customWidth="1"/>
    <col min="4874" max="4874" width="8.85546875" style="1083" customWidth="1"/>
    <col min="4875" max="4875" width="8.5703125" style="1083" customWidth="1"/>
    <col min="4876" max="4876" width="11.42578125" style="1083" bestFit="1" customWidth="1"/>
    <col min="4877" max="4877" width="7.85546875" style="1083" bestFit="1" customWidth="1"/>
    <col min="4878" max="4878" width="11.5703125" style="1083" bestFit="1" customWidth="1"/>
    <col min="4879" max="4879" width="8" style="1083" bestFit="1" customWidth="1"/>
    <col min="4880" max="4880" width="11.5703125" style="1083" bestFit="1" customWidth="1"/>
    <col min="4881" max="4881" width="8.140625" style="1083" bestFit="1" customWidth="1"/>
    <col min="4882" max="4882" width="11.5703125" style="1083" bestFit="1" customWidth="1"/>
    <col min="4883" max="4883" width="8.42578125" style="1083" customWidth="1"/>
    <col min="4884" max="4884" width="7.42578125" style="1083" bestFit="1" customWidth="1"/>
    <col min="4885" max="4885" width="11.5703125" style="1083" bestFit="1" customWidth="1"/>
    <col min="4886" max="4886" width="8.140625" style="1083" customWidth="1"/>
    <col min="4887" max="4887" width="13" style="1083" bestFit="1" customWidth="1"/>
    <col min="4888" max="5126" width="10.85546875" style="1083"/>
    <col min="5127" max="5127" width="8.85546875" style="1083" customWidth="1"/>
    <col min="5128" max="5128" width="50" style="1083" customWidth="1"/>
    <col min="5129" max="5129" width="6.42578125" style="1083" bestFit="1" customWidth="1"/>
    <col min="5130" max="5130" width="8.85546875" style="1083" customWidth="1"/>
    <col min="5131" max="5131" width="8.5703125" style="1083" customWidth="1"/>
    <col min="5132" max="5132" width="11.42578125" style="1083" bestFit="1" customWidth="1"/>
    <col min="5133" max="5133" width="7.85546875" style="1083" bestFit="1" customWidth="1"/>
    <col min="5134" max="5134" width="11.5703125" style="1083" bestFit="1" customWidth="1"/>
    <col min="5135" max="5135" width="8" style="1083" bestFit="1" customWidth="1"/>
    <col min="5136" max="5136" width="11.5703125" style="1083" bestFit="1" customWidth="1"/>
    <col min="5137" max="5137" width="8.140625" style="1083" bestFit="1" customWidth="1"/>
    <col min="5138" max="5138" width="11.5703125" style="1083" bestFit="1" customWidth="1"/>
    <col min="5139" max="5139" width="8.42578125" style="1083" customWidth="1"/>
    <col min="5140" max="5140" width="7.42578125" style="1083" bestFit="1" customWidth="1"/>
    <col min="5141" max="5141" width="11.5703125" style="1083" bestFit="1" customWidth="1"/>
    <col min="5142" max="5142" width="8.140625" style="1083" customWidth="1"/>
    <col min="5143" max="5143" width="13" style="1083" bestFit="1" customWidth="1"/>
    <col min="5144" max="5382" width="10.85546875" style="1083"/>
    <col min="5383" max="5383" width="8.85546875" style="1083" customWidth="1"/>
    <col min="5384" max="5384" width="50" style="1083" customWidth="1"/>
    <col min="5385" max="5385" width="6.42578125" style="1083" bestFit="1" customWidth="1"/>
    <col min="5386" max="5386" width="8.85546875" style="1083" customWidth="1"/>
    <col min="5387" max="5387" width="8.5703125" style="1083" customWidth="1"/>
    <col min="5388" max="5388" width="11.42578125" style="1083" bestFit="1" customWidth="1"/>
    <col min="5389" max="5389" width="7.85546875" style="1083" bestFit="1" customWidth="1"/>
    <col min="5390" max="5390" width="11.5703125" style="1083" bestFit="1" customWidth="1"/>
    <col min="5391" max="5391" width="8" style="1083" bestFit="1" customWidth="1"/>
    <col min="5392" max="5392" width="11.5703125" style="1083" bestFit="1" customWidth="1"/>
    <col min="5393" max="5393" width="8.140625" style="1083" bestFit="1" customWidth="1"/>
    <col min="5394" max="5394" width="11.5703125" style="1083" bestFit="1" customWidth="1"/>
    <col min="5395" max="5395" width="8.42578125" style="1083" customWidth="1"/>
    <col min="5396" max="5396" width="7.42578125" style="1083" bestFit="1" customWidth="1"/>
    <col min="5397" max="5397" width="11.5703125" style="1083" bestFit="1" customWidth="1"/>
    <col min="5398" max="5398" width="8.140625" style="1083" customWidth="1"/>
    <col min="5399" max="5399" width="13" style="1083" bestFit="1" customWidth="1"/>
    <col min="5400" max="5638" width="10.85546875" style="1083"/>
    <col min="5639" max="5639" width="8.85546875" style="1083" customWidth="1"/>
    <col min="5640" max="5640" width="50" style="1083" customWidth="1"/>
    <col min="5641" max="5641" width="6.42578125" style="1083" bestFit="1" customWidth="1"/>
    <col min="5642" max="5642" width="8.85546875" style="1083" customWidth="1"/>
    <col min="5643" max="5643" width="8.5703125" style="1083" customWidth="1"/>
    <col min="5644" max="5644" width="11.42578125" style="1083" bestFit="1" customWidth="1"/>
    <col min="5645" max="5645" width="7.85546875" style="1083" bestFit="1" customWidth="1"/>
    <col min="5646" max="5646" width="11.5703125" style="1083" bestFit="1" customWidth="1"/>
    <col min="5647" max="5647" width="8" style="1083" bestFit="1" customWidth="1"/>
    <col min="5648" max="5648" width="11.5703125" style="1083" bestFit="1" customWidth="1"/>
    <col min="5649" max="5649" width="8.140625" style="1083" bestFit="1" customWidth="1"/>
    <col min="5650" max="5650" width="11.5703125" style="1083" bestFit="1" customWidth="1"/>
    <col min="5651" max="5651" width="8.42578125" style="1083" customWidth="1"/>
    <col min="5652" max="5652" width="7.42578125" style="1083" bestFit="1" customWidth="1"/>
    <col min="5653" max="5653" width="11.5703125" style="1083" bestFit="1" customWidth="1"/>
    <col min="5654" max="5654" width="8.140625" style="1083" customWidth="1"/>
    <col min="5655" max="5655" width="13" style="1083" bestFit="1" customWidth="1"/>
    <col min="5656" max="5894" width="10.85546875" style="1083"/>
    <col min="5895" max="5895" width="8.85546875" style="1083" customWidth="1"/>
    <col min="5896" max="5896" width="50" style="1083" customWidth="1"/>
    <col min="5897" max="5897" width="6.42578125" style="1083" bestFit="1" customWidth="1"/>
    <col min="5898" max="5898" width="8.85546875" style="1083" customWidth="1"/>
    <col min="5899" max="5899" width="8.5703125" style="1083" customWidth="1"/>
    <col min="5900" max="5900" width="11.42578125" style="1083" bestFit="1" customWidth="1"/>
    <col min="5901" max="5901" width="7.85546875" style="1083" bestFit="1" customWidth="1"/>
    <col min="5902" max="5902" width="11.5703125" style="1083" bestFit="1" customWidth="1"/>
    <col min="5903" max="5903" width="8" style="1083" bestFit="1" customWidth="1"/>
    <col min="5904" max="5904" width="11.5703125" style="1083" bestFit="1" customWidth="1"/>
    <col min="5905" max="5905" width="8.140625" style="1083" bestFit="1" customWidth="1"/>
    <col min="5906" max="5906" width="11.5703125" style="1083" bestFit="1" customWidth="1"/>
    <col min="5907" max="5907" width="8.42578125" style="1083" customWidth="1"/>
    <col min="5908" max="5908" width="7.42578125" style="1083" bestFit="1" customWidth="1"/>
    <col min="5909" max="5909" width="11.5703125" style="1083" bestFit="1" customWidth="1"/>
    <col min="5910" max="5910" width="8.140625" style="1083" customWidth="1"/>
    <col min="5911" max="5911" width="13" style="1083" bestFit="1" customWidth="1"/>
    <col min="5912" max="6150" width="10.85546875" style="1083"/>
    <col min="6151" max="6151" width="8.85546875" style="1083" customWidth="1"/>
    <col min="6152" max="6152" width="50" style="1083" customWidth="1"/>
    <col min="6153" max="6153" width="6.42578125" style="1083" bestFit="1" customWidth="1"/>
    <col min="6154" max="6154" width="8.85546875" style="1083" customWidth="1"/>
    <col min="6155" max="6155" width="8.5703125" style="1083" customWidth="1"/>
    <col min="6156" max="6156" width="11.42578125" style="1083" bestFit="1" customWidth="1"/>
    <col min="6157" max="6157" width="7.85546875" style="1083" bestFit="1" customWidth="1"/>
    <col min="6158" max="6158" width="11.5703125" style="1083" bestFit="1" customWidth="1"/>
    <col min="6159" max="6159" width="8" style="1083" bestFit="1" customWidth="1"/>
    <col min="6160" max="6160" width="11.5703125" style="1083" bestFit="1" customWidth="1"/>
    <col min="6161" max="6161" width="8.140625" style="1083" bestFit="1" customWidth="1"/>
    <col min="6162" max="6162" width="11.5703125" style="1083" bestFit="1" customWidth="1"/>
    <col min="6163" max="6163" width="8.42578125" style="1083" customWidth="1"/>
    <col min="6164" max="6164" width="7.42578125" style="1083" bestFit="1" customWidth="1"/>
    <col min="6165" max="6165" width="11.5703125" style="1083" bestFit="1" customWidth="1"/>
    <col min="6166" max="6166" width="8.140625" style="1083" customWidth="1"/>
    <col min="6167" max="6167" width="13" style="1083" bestFit="1" customWidth="1"/>
    <col min="6168" max="6406" width="10.85546875" style="1083"/>
    <col min="6407" max="6407" width="8.85546875" style="1083" customWidth="1"/>
    <col min="6408" max="6408" width="50" style="1083" customWidth="1"/>
    <col min="6409" max="6409" width="6.42578125" style="1083" bestFit="1" customWidth="1"/>
    <col min="6410" max="6410" width="8.85546875" style="1083" customWidth="1"/>
    <col min="6411" max="6411" width="8.5703125" style="1083" customWidth="1"/>
    <col min="6412" max="6412" width="11.42578125" style="1083" bestFit="1" customWidth="1"/>
    <col min="6413" max="6413" width="7.85546875" style="1083" bestFit="1" customWidth="1"/>
    <col min="6414" max="6414" width="11.5703125" style="1083" bestFit="1" customWidth="1"/>
    <col min="6415" max="6415" width="8" style="1083" bestFit="1" customWidth="1"/>
    <col min="6416" max="6416" width="11.5703125" style="1083" bestFit="1" customWidth="1"/>
    <col min="6417" max="6417" width="8.140625" style="1083" bestFit="1" customWidth="1"/>
    <col min="6418" max="6418" width="11.5703125" style="1083" bestFit="1" customWidth="1"/>
    <col min="6419" max="6419" width="8.42578125" style="1083" customWidth="1"/>
    <col min="6420" max="6420" width="7.42578125" style="1083" bestFit="1" customWidth="1"/>
    <col min="6421" max="6421" width="11.5703125" style="1083" bestFit="1" customWidth="1"/>
    <col min="6422" max="6422" width="8.140625" style="1083" customWidth="1"/>
    <col min="6423" max="6423" width="13" style="1083" bestFit="1" customWidth="1"/>
    <col min="6424" max="6662" width="10.85546875" style="1083"/>
    <col min="6663" max="6663" width="8.85546875" style="1083" customWidth="1"/>
    <col min="6664" max="6664" width="50" style="1083" customWidth="1"/>
    <col min="6665" max="6665" width="6.42578125" style="1083" bestFit="1" customWidth="1"/>
    <col min="6666" max="6666" width="8.85546875" style="1083" customWidth="1"/>
    <col min="6667" max="6667" width="8.5703125" style="1083" customWidth="1"/>
    <col min="6668" max="6668" width="11.42578125" style="1083" bestFit="1" customWidth="1"/>
    <col min="6669" max="6669" width="7.85546875" style="1083" bestFit="1" customWidth="1"/>
    <col min="6670" max="6670" width="11.5703125" style="1083" bestFit="1" customWidth="1"/>
    <col min="6671" max="6671" width="8" style="1083" bestFit="1" customWidth="1"/>
    <col min="6672" max="6672" width="11.5703125" style="1083" bestFit="1" customWidth="1"/>
    <col min="6673" max="6673" width="8.140625" style="1083" bestFit="1" customWidth="1"/>
    <col min="6674" max="6674" width="11.5703125" style="1083" bestFit="1" customWidth="1"/>
    <col min="6675" max="6675" width="8.42578125" style="1083" customWidth="1"/>
    <col min="6676" max="6676" width="7.42578125" style="1083" bestFit="1" customWidth="1"/>
    <col min="6677" max="6677" width="11.5703125" style="1083" bestFit="1" customWidth="1"/>
    <col min="6678" max="6678" width="8.140625" style="1083" customWidth="1"/>
    <col min="6679" max="6679" width="13" style="1083" bestFit="1" customWidth="1"/>
    <col min="6680" max="6918" width="10.85546875" style="1083"/>
    <col min="6919" max="6919" width="8.85546875" style="1083" customWidth="1"/>
    <col min="6920" max="6920" width="50" style="1083" customWidth="1"/>
    <col min="6921" max="6921" width="6.42578125" style="1083" bestFit="1" customWidth="1"/>
    <col min="6922" max="6922" width="8.85546875" style="1083" customWidth="1"/>
    <col min="6923" max="6923" width="8.5703125" style="1083" customWidth="1"/>
    <col min="6924" max="6924" width="11.42578125" style="1083" bestFit="1" customWidth="1"/>
    <col min="6925" max="6925" width="7.85546875" style="1083" bestFit="1" customWidth="1"/>
    <col min="6926" max="6926" width="11.5703125" style="1083" bestFit="1" customWidth="1"/>
    <col min="6927" max="6927" width="8" style="1083" bestFit="1" customWidth="1"/>
    <col min="6928" max="6928" width="11.5703125" style="1083" bestFit="1" customWidth="1"/>
    <col min="6929" max="6929" width="8.140625" style="1083" bestFit="1" customWidth="1"/>
    <col min="6930" max="6930" width="11.5703125" style="1083" bestFit="1" customWidth="1"/>
    <col min="6931" max="6931" width="8.42578125" style="1083" customWidth="1"/>
    <col min="6932" max="6932" width="7.42578125" style="1083" bestFit="1" customWidth="1"/>
    <col min="6933" max="6933" width="11.5703125" style="1083" bestFit="1" customWidth="1"/>
    <col min="6934" max="6934" width="8.140625" style="1083" customWidth="1"/>
    <col min="6935" max="6935" width="13" style="1083" bestFit="1" customWidth="1"/>
    <col min="6936" max="7174" width="10.85546875" style="1083"/>
    <col min="7175" max="7175" width="8.85546875" style="1083" customWidth="1"/>
    <col min="7176" max="7176" width="50" style="1083" customWidth="1"/>
    <col min="7177" max="7177" width="6.42578125" style="1083" bestFit="1" customWidth="1"/>
    <col min="7178" max="7178" width="8.85546875" style="1083" customWidth="1"/>
    <col min="7179" max="7179" width="8.5703125" style="1083" customWidth="1"/>
    <col min="7180" max="7180" width="11.42578125" style="1083" bestFit="1" customWidth="1"/>
    <col min="7181" max="7181" width="7.85546875" style="1083" bestFit="1" customWidth="1"/>
    <col min="7182" max="7182" width="11.5703125" style="1083" bestFit="1" customWidth="1"/>
    <col min="7183" max="7183" width="8" style="1083" bestFit="1" customWidth="1"/>
    <col min="7184" max="7184" width="11.5703125" style="1083" bestFit="1" customWidth="1"/>
    <col min="7185" max="7185" width="8.140625" style="1083" bestFit="1" customWidth="1"/>
    <col min="7186" max="7186" width="11.5703125" style="1083" bestFit="1" customWidth="1"/>
    <col min="7187" max="7187" width="8.42578125" style="1083" customWidth="1"/>
    <col min="7188" max="7188" width="7.42578125" style="1083" bestFit="1" customWidth="1"/>
    <col min="7189" max="7189" width="11.5703125" style="1083" bestFit="1" customWidth="1"/>
    <col min="7190" max="7190" width="8.140625" style="1083" customWidth="1"/>
    <col min="7191" max="7191" width="13" style="1083" bestFit="1" customWidth="1"/>
    <col min="7192" max="7430" width="10.85546875" style="1083"/>
    <col min="7431" max="7431" width="8.85546875" style="1083" customWidth="1"/>
    <col min="7432" max="7432" width="50" style="1083" customWidth="1"/>
    <col min="7433" max="7433" width="6.42578125" style="1083" bestFit="1" customWidth="1"/>
    <col min="7434" max="7434" width="8.85546875" style="1083" customWidth="1"/>
    <col min="7435" max="7435" width="8.5703125" style="1083" customWidth="1"/>
    <col min="7436" max="7436" width="11.42578125" style="1083" bestFit="1" customWidth="1"/>
    <col min="7437" max="7437" width="7.85546875" style="1083" bestFit="1" customWidth="1"/>
    <col min="7438" max="7438" width="11.5703125" style="1083" bestFit="1" customWidth="1"/>
    <col min="7439" max="7439" width="8" style="1083" bestFit="1" customWidth="1"/>
    <col min="7440" max="7440" width="11.5703125" style="1083" bestFit="1" customWidth="1"/>
    <col min="7441" max="7441" width="8.140625" style="1083" bestFit="1" customWidth="1"/>
    <col min="7442" max="7442" width="11.5703125" style="1083" bestFit="1" customWidth="1"/>
    <col min="7443" max="7443" width="8.42578125" style="1083" customWidth="1"/>
    <col min="7444" max="7444" width="7.42578125" style="1083" bestFit="1" customWidth="1"/>
    <col min="7445" max="7445" width="11.5703125" style="1083" bestFit="1" customWidth="1"/>
    <col min="7446" max="7446" width="8.140625" style="1083" customWidth="1"/>
    <col min="7447" max="7447" width="13" style="1083" bestFit="1" customWidth="1"/>
    <col min="7448" max="7686" width="10.85546875" style="1083"/>
    <col min="7687" max="7687" width="8.85546875" style="1083" customWidth="1"/>
    <col min="7688" max="7688" width="50" style="1083" customWidth="1"/>
    <col min="7689" max="7689" width="6.42578125" style="1083" bestFit="1" customWidth="1"/>
    <col min="7690" max="7690" width="8.85546875" style="1083" customWidth="1"/>
    <col min="7691" max="7691" width="8.5703125" style="1083" customWidth="1"/>
    <col min="7692" max="7692" width="11.42578125" style="1083" bestFit="1" customWidth="1"/>
    <col min="7693" max="7693" width="7.85546875" style="1083" bestFit="1" customWidth="1"/>
    <col min="7694" max="7694" width="11.5703125" style="1083" bestFit="1" customWidth="1"/>
    <col min="7695" max="7695" width="8" style="1083" bestFit="1" customWidth="1"/>
    <col min="7696" max="7696" width="11.5703125" style="1083" bestFit="1" customWidth="1"/>
    <col min="7697" max="7697" width="8.140625" style="1083" bestFit="1" customWidth="1"/>
    <col min="7698" max="7698" width="11.5703125" style="1083" bestFit="1" customWidth="1"/>
    <col min="7699" max="7699" width="8.42578125" style="1083" customWidth="1"/>
    <col min="7700" max="7700" width="7.42578125" style="1083" bestFit="1" customWidth="1"/>
    <col min="7701" max="7701" width="11.5703125" style="1083" bestFit="1" customWidth="1"/>
    <col min="7702" max="7702" width="8.140625" style="1083" customWidth="1"/>
    <col min="7703" max="7703" width="13" style="1083" bestFit="1" customWidth="1"/>
    <col min="7704" max="7942" width="10.85546875" style="1083"/>
    <col min="7943" max="7943" width="8.85546875" style="1083" customWidth="1"/>
    <col min="7944" max="7944" width="50" style="1083" customWidth="1"/>
    <col min="7945" max="7945" width="6.42578125" style="1083" bestFit="1" customWidth="1"/>
    <col min="7946" max="7946" width="8.85546875" style="1083" customWidth="1"/>
    <col min="7947" max="7947" width="8.5703125" style="1083" customWidth="1"/>
    <col min="7948" max="7948" width="11.42578125" style="1083" bestFit="1" customWidth="1"/>
    <col min="7949" max="7949" width="7.85546875" style="1083" bestFit="1" customWidth="1"/>
    <col min="7950" max="7950" width="11.5703125" style="1083" bestFit="1" customWidth="1"/>
    <col min="7951" max="7951" width="8" style="1083" bestFit="1" customWidth="1"/>
    <col min="7952" max="7952" width="11.5703125" style="1083" bestFit="1" customWidth="1"/>
    <col min="7953" max="7953" width="8.140625" style="1083" bestFit="1" customWidth="1"/>
    <col min="7954" max="7954" width="11.5703125" style="1083" bestFit="1" customWidth="1"/>
    <col min="7955" max="7955" width="8.42578125" style="1083" customWidth="1"/>
    <col min="7956" max="7956" width="7.42578125" style="1083" bestFit="1" customWidth="1"/>
    <col min="7957" max="7957" width="11.5703125" style="1083" bestFit="1" customWidth="1"/>
    <col min="7958" max="7958" width="8.140625" style="1083" customWidth="1"/>
    <col min="7959" max="7959" width="13" style="1083" bestFit="1" customWidth="1"/>
    <col min="7960" max="8198" width="10.85546875" style="1083"/>
    <col min="8199" max="8199" width="8.85546875" style="1083" customWidth="1"/>
    <col min="8200" max="8200" width="50" style="1083" customWidth="1"/>
    <col min="8201" max="8201" width="6.42578125" style="1083" bestFit="1" customWidth="1"/>
    <col min="8202" max="8202" width="8.85546875" style="1083" customWidth="1"/>
    <col min="8203" max="8203" width="8.5703125" style="1083" customWidth="1"/>
    <col min="8204" max="8204" width="11.42578125" style="1083" bestFit="1" customWidth="1"/>
    <col min="8205" max="8205" width="7.85546875" style="1083" bestFit="1" customWidth="1"/>
    <col min="8206" max="8206" width="11.5703125" style="1083" bestFit="1" customWidth="1"/>
    <col min="8207" max="8207" width="8" style="1083" bestFit="1" customWidth="1"/>
    <col min="8208" max="8208" width="11.5703125" style="1083" bestFit="1" customWidth="1"/>
    <col min="8209" max="8209" width="8.140625" style="1083" bestFit="1" customWidth="1"/>
    <col min="8210" max="8210" width="11.5703125" style="1083" bestFit="1" customWidth="1"/>
    <col min="8211" max="8211" width="8.42578125" style="1083" customWidth="1"/>
    <col min="8212" max="8212" width="7.42578125" style="1083" bestFit="1" customWidth="1"/>
    <col min="8213" max="8213" width="11.5703125" style="1083" bestFit="1" customWidth="1"/>
    <col min="8214" max="8214" width="8.140625" style="1083" customWidth="1"/>
    <col min="8215" max="8215" width="13" style="1083" bestFit="1" customWidth="1"/>
    <col min="8216" max="8454" width="10.85546875" style="1083"/>
    <col min="8455" max="8455" width="8.85546875" style="1083" customWidth="1"/>
    <col min="8456" max="8456" width="50" style="1083" customWidth="1"/>
    <col min="8457" max="8457" width="6.42578125" style="1083" bestFit="1" customWidth="1"/>
    <col min="8458" max="8458" width="8.85546875" style="1083" customWidth="1"/>
    <col min="8459" max="8459" width="8.5703125" style="1083" customWidth="1"/>
    <col min="8460" max="8460" width="11.42578125" style="1083" bestFit="1" customWidth="1"/>
    <col min="8461" max="8461" width="7.85546875" style="1083" bestFit="1" customWidth="1"/>
    <col min="8462" max="8462" width="11.5703125" style="1083" bestFit="1" customWidth="1"/>
    <col min="8463" max="8463" width="8" style="1083" bestFit="1" customWidth="1"/>
    <col min="8464" max="8464" width="11.5703125" style="1083" bestFit="1" customWidth="1"/>
    <col min="8465" max="8465" width="8.140625" style="1083" bestFit="1" customWidth="1"/>
    <col min="8466" max="8466" width="11.5703125" style="1083" bestFit="1" customWidth="1"/>
    <col min="8467" max="8467" width="8.42578125" style="1083" customWidth="1"/>
    <col min="8468" max="8468" width="7.42578125" style="1083" bestFit="1" customWidth="1"/>
    <col min="8469" max="8469" width="11.5703125" style="1083" bestFit="1" customWidth="1"/>
    <col min="8470" max="8470" width="8.140625" style="1083" customWidth="1"/>
    <col min="8471" max="8471" width="13" style="1083" bestFit="1" customWidth="1"/>
    <col min="8472" max="8710" width="10.85546875" style="1083"/>
    <col min="8711" max="8711" width="8.85546875" style="1083" customWidth="1"/>
    <col min="8712" max="8712" width="50" style="1083" customWidth="1"/>
    <col min="8713" max="8713" width="6.42578125" style="1083" bestFit="1" customWidth="1"/>
    <col min="8714" max="8714" width="8.85546875" style="1083" customWidth="1"/>
    <col min="8715" max="8715" width="8.5703125" style="1083" customWidth="1"/>
    <col min="8716" max="8716" width="11.42578125" style="1083" bestFit="1" customWidth="1"/>
    <col min="8717" max="8717" width="7.85546875" style="1083" bestFit="1" customWidth="1"/>
    <col min="8718" max="8718" width="11.5703125" style="1083" bestFit="1" customWidth="1"/>
    <col min="8719" max="8719" width="8" style="1083" bestFit="1" customWidth="1"/>
    <col min="8720" max="8720" width="11.5703125" style="1083" bestFit="1" customWidth="1"/>
    <col min="8721" max="8721" width="8.140625" style="1083" bestFit="1" customWidth="1"/>
    <col min="8722" max="8722" width="11.5703125" style="1083" bestFit="1" customWidth="1"/>
    <col min="8723" max="8723" width="8.42578125" style="1083" customWidth="1"/>
    <col min="8724" max="8724" width="7.42578125" style="1083" bestFit="1" customWidth="1"/>
    <col min="8725" max="8725" width="11.5703125" style="1083" bestFit="1" customWidth="1"/>
    <col min="8726" max="8726" width="8.140625" style="1083" customWidth="1"/>
    <col min="8727" max="8727" width="13" style="1083" bestFit="1" customWidth="1"/>
    <col min="8728" max="8966" width="10.85546875" style="1083"/>
    <col min="8967" max="8967" width="8.85546875" style="1083" customWidth="1"/>
    <col min="8968" max="8968" width="50" style="1083" customWidth="1"/>
    <col min="8969" max="8969" width="6.42578125" style="1083" bestFit="1" customWidth="1"/>
    <col min="8970" max="8970" width="8.85546875" style="1083" customWidth="1"/>
    <col min="8971" max="8971" width="8.5703125" style="1083" customWidth="1"/>
    <col min="8972" max="8972" width="11.42578125" style="1083" bestFit="1" customWidth="1"/>
    <col min="8973" max="8973" width="7.85546875" style="1083" bestFit="1" customWidth="1"/>
    <col min="8974" max="8974" width="11.5703125" style="1083" bestFit="1" customWidth="1"/>
    <col min="8975" max="8975" width="8" style="1083" bestFit="1" customWidth="1"/>
    <col min="8976" max="8976" width="11.5703125" style="1083" bestFit="1" customWidth="1"/>
    <col min="8977" max="8977" width="8.140625" style="1083" bestFit="1" customWidth="1"/>
    <col min="8978" max="8978" width="11.5703125" style="1083" bestFit="1" customWidth="1"/>
    <col min="8979" max="8979" width="8.42578125" style="1083" customWidth="1"/>
    <col min="8980" max="8980" width="7.42578125" style="1083" bestFit="1" customWidth="1"/>
    <col min="8981" max="8981" width="11.5703125" style="1083" bestFit="1" customWidth="1"/>
    <col min="8982" max="8982" width="8.140625" style="1083" customWidth="1"/>
    <col min="8983" max="8983" width="13" style="1083" bestFit="1" customWidth="1"/>
    <col min="8984" max="9222" width="10.85546875" style="1083"/>
    <col min="9223" max="9223" width="8.85546875" style="1083" customWidth="1"/>
    <col min="9224" max="9224" width="50" style="1083" customWidth="1"/>
    <col min="9225" max="9225" width="6.42578125" style="1083" bestFit="1" customWidth="1"/>
    <col min="9226" max="9226" width="8.85546875" style="1083" customWidth="1"/>
    <col min="9227" max="9227" width="8.5703125" style="1083" customWidth="1"/>
    <col min="9228" max="9228" width="11.42578125" style="1083" bestFit="1" customWidth="1"/>
    <col min="9229" max="9229" width="7.85546875" style="1083" bestFit="1" customWidth="1"/>
    <col min="9230" max="9230" width="11.5703125" style="1083" bestFit="1" customWidth="1"/>
    <col min="9231" max="9231" width="8" style="1083" bestFit="1" customWidth="1"/>
    <col min="9232" max="9232" width="11.5703125" style="1083" bestFit="1" customWidth="1"/>
    <col min="9233" max="9233" width="8.140625" style="1083" bestFit="1" customWidth="1"/>
    <col min="9234" max="9234" width="11.5703125" style="1083" bestFit="1" customWidth="1"/>
    <col min="9235" max="9235" width="8.42578125" style="1083" customWidth="1"/>
    <col min="9236" max="9236" width="7.42578125" style="1083" bestFit="1" customWidth="1"/>
    <col min="9237" max="9237" width="11.5703125" style="1083" bestFit="1" customWidth="1"/>
    <col min="9238" max="9238" width="8.140625" style="1083" customWidth="1"/>
    <col min="9239" max="9239" width="13" style="1083" bestFit="1" customWidth="1"/>
    <col min="9240" max="9478" width="10.85546875" style="1083"/>
    <col min="9479" max="9479" width="8.85546875" style="1083" customWidth="1"/>
    <col min="9480" max="9480" width="50" style="1083" customWidth="1"/>
    <col min="9481" max="9481" width="6.42578125" style="1083" bestFit="1" customWidth="1"/>
    <col min="9482" max="9482" width="8.85546875" style="1083" customWidth="1"/>
    <col min="9483" max="9483" width="8.5703125" style="1083" customWidth="1"/>
    <col min="9484" max="9484" width="11.42578125" style="1083" bestFit="1" customWidth="1"/>
    <col min="9485" max="9485" width="7.85546875" style="1083" bestFit="1" customWidth="1"/>
    <col min="9486" max="9486" width="11.5703125" style="1083" bestFit="1" customWidth="1"/>
    <col min="9487" max="9487" width="8" style="1083" bestFit="1" customWidth="1"/>
    <col min="9488" max="9488" width="11.5703125" style="1083" bestFit="1" customWidth="1"/>
    <col min="9489" max="9489" width="8.140625" style="1083" bestFit="1" customWidth="1"/>
    <col min="9490" max="9490" width="11.5703125" style="1083" bestFit="1" customWidth="1"/>
    <col min="9491" max="9491" width="8.42578125" style="1083" customWidth="1"/>
    <col min="9492" max="9492" width="7.42578125" style="1083" bestFit="1" customWidth="1"/>
    <col min="9493" max="9493" width="11.5703125" style="1083" bestFit="1" customWidth="1"/>
    <col min="9494" max="9494" width="8.140625" style="1083" customWidth="1"/>
    <col min="9495" max="9495" width="13" style="1083" bestFit="1" customWidth="1"/>
    <col min="9496" max="9734" width="10.85546875" style="1083"/>
    <col min="9735" max="9735" width="8.85546875" style="1083" customWidth="1"/>
    <col min="9736" max="9736" width="50" style="1083" customWidth="1"/>
    <col min="9737" max="9737" width="6.42578125" style="1083" bestFit="1" customWidth="1"/>
    <col min="9738" max="9738" width="8.85546875" style="1083" customWidth="1"/>
    <col min="9739" max="9739" width="8.5703125" style="1083" customWidth="1"/>
    <col min="9740" max="9740" width="11.42578125" style="1083" bestFit="1" customWidth="1"/>
    <col min="9741" max="9741" width="7.85546875" style="1083" bestFit="1" customWidth="1"/>
    <col min="9742" max="9742" width="11.5703125" style="1083" bestFit="1" customWidth="1"/>
    <col min="9743" max="9743" width="8" style="1083" bestFit="1" customWidth="1"/>
    <col min="9744" max="9744" width="11.5703125" style="1083" bestFit="1" customWidth="1"/>
    <col min="9745" max="9745" width="8.140625" style="1083" bestFit="1" customWidth="1"/>
    <col min="9746" max="9746" width="11.5703125" style="1083" bestFit="1" customWidth="1"/>
    <col min="9747" max="9747" width="8.42578125" style="1083" customWidth="1"/>
    <col min="9748" max="9748" width="7.42578125" style="1083" bestFit="1" customWidth="1"/>
    <col min="9749" max="9749" width="11.5703125" style="1083" bestFit="1" customWidth="1"/>
    <col min="9750" max="9750" width="8.140625" style="1083" customWidth="1"/>
    <col min="9751" max="9751" width="13" style="1083" bestFit="1" customWidth="1"/>
    <col min="9752" max="9990" width="10.85546875" style="1083"/>
    <col min="9991" max="9991" width="8.85546875" style="1083" customWidth="1"/>
    <col min="9992" max="9992" width="50" style="1083" customWidth="1"/>
    <col min="9993" max="9993" width="6.42578125" style="1083" bestFit="1" customWidth="1"/>
    <col min="9994" max="9994" width="8.85546875" style="1083" customWidth="1"/>
    <col min="9995" max="9995" width="8.5703125" style="1083" customWidth="1"/>
    <col min="9996" max="9996" width="11.42578125" style="1083" bestFit="1" customWidth="1"/>
    <col min="9997" max="9997" width="7.85546875" style="1083" bestFit="1" customWidth="1"/>
    <col min="9998" max="9998" width="11.5703125" style="1083" bestFit="1" customWidth="1"/>
    <col min="9999" max="9999" width="8" style="1083" bestFit="1" customWidth="1"/>
    <col min="10000" max="10000" width="11.5703125" style="1083" bestFit="1" customWidth="1"/>
    <col min="10001" max="10001" width="8.140625" style="1083" bestFit="1" customWidth="1"/>
    <col min="10002" max="10002" width="11.5703125" style="1083" bestFit="1" customWidth="1"/>
    <col min="10003" max="10003" width="8.42578125" style="1083" customWidth="1"/>
    <col min="10004" max="10004" width="7.42578125" style="1083" bestFit="1" customWidth="1"/>
    <col min="10005" max="10005" width="11.5703125" style="1083" bestFit="1" customWidth="1"/>
    <col min="10006" max="10006" width="8.140625" style="1083" customWidth="1"/>
    <col min="10007" max="10007" width="13" style="1083" bestFit="1" customWidth="1"/>
    <col min="10008" max="10246" width="10.85546875" style="1083"/>
    <col min="10247" max="10247" width="8.85546875" style="1083" customWidth="1"/>
    <col min="10248" max="10248" width="50" style="1083" customWidth="1"/>
    <col min="10249" max="10249" width="6.42578125" style="1083" bestFit="1" customWidth="1"/>
    <col min="10250" max="10250" width="8.85546875" style="1083" customWidth="1"/>
    <col min="10251" max="10251" width="8.5703125" style="1083" customWidth="1"/>
    <col min="10252" max="10252" width="11.42578125" style="1083" bestFit="1" customWidth="1"/>
    <col min="10253" max="10253" width="7.85546875" style="1083" bestFit="1" customWidth="1"/>
    <col min="10254" max="10254" width="11.5703125" style="1083" bestFit="1" customWidth="1"/>
    <col min="10255" max="10255" width="8" style="1083" bestFit="1" customWidth="1"/>
    <col min="10256" max="10256" width="11.5703125" style="1083" bestFit="1" customWidth="1"/>
    <col min="10257" max="10257" width="8.140625" style="1083" bestFit="1" customWidth="1"/>
    <col min="10258" max="10258" width="11.5703125" style="1083" bestFit="1" customWidth="1"/>
    <col min="10259" max="10259" width="8.42578125" style="1083" customWidth="1"/>
    <col min="10260" max="10260" width="7.42578125" style="1083" bestFit="1" customWidth="1"/>
    <col min="10261" max="10261" width="11.5703125" style="1083" bestFit="1" customWidth="1"/>
    <col min="10262" max="10262" width="8.140625" style="1083" customWidth="1"/>
    <col min="10263" max="10263" width="13" style="1083" bestFit="1" customWidth="1"/>
    <col min="10264" max="10502" width="10.85546875" style="1083"/>
    <col min="10503" max="10503" width="8.85546875" style="1083" customWidth="1"/>
    <col min="10504" max="10504" width="50" style="1083" customWidth="1"/>
    <col min="10505" max="10505" width="6.42578125" style="1083" bestFit="1" customWidth="1"/>
    <col min="10506" max="10506" width="8.85546875" style="1083" customWidth="1"/>
    <col min="10507" max="10507" width="8.5703125" style="1083" customWidth="1"/>
    <col min="10508" max="10508" width="11.42578125" style="1083" bestFit="1" customWidth="1"/>
    <col min="10509" max="10509" width="7.85546875" style="1083" bestFit="1" customWidth="1"/>
    <col min="10510" max="10510" width="11.5703125" style="1083" bestFit="1" customWidth="1"/>
    <col min="10511" max="10511" width="8" style="1083" bestFit="1" customWidth="1"/>
    <col min="10512" max="10512" width="11.5703125" style="1083" bestFit="1" customWidth="1"/>
    <col min="10513" max="10513" width="8.140625" style="1083" bestFit="1" customWidth="1"/>
    <col min="10514" max="10514" width="11.5703125" style="1083" bestFit="1" customWidth="1"/>
    <col min="10515" max="10515" width="8.42578125" style="1083" customWidth="1"/>
    <col min="10516" max="10516" width="7.42578125" style="1083" bestFit="1" customWidth="1"/>
    <col min="10517" max="10517" width="11.5703125" style="1083" bestFit="1" customWidth="1"/>
    <col min="10518" max="10518" width="8.140625" style="1083" customWidth="1"/>
    <col min="10519" max="10519" width="13" style="1083" bestFit="1" customWidth="1"/>
    <col min="10520" max="10758" width="10.85546875" style="1083"/>
    <col min="10759" max="10759" width="8.85546875" style="1083" customWidth="1"/>
    <col min="10760" max="10760" width="50" style="1083" customWidth="1"/>
    <col min="10761" max="10761" width="6.42578125" style="1083" bestFit="1" customWidth="1"/>
    <col min="10762" max="10762" width="8.85546875" style="1083" customWidth="1"/>
    <col min="10763" max="10763" width="8.5703125" style="1083" customWidth="1"/>
    <col min="10764" max="10764" width="11.42578125" style="1083" bestFit="1" customWidth="1"/>
    <col min="10765" max="10765" width="7.85546875" style="1083" bestFit="1" customWidth="1"/>
    <col min="10766" max="10766" width="11.5703125" style="1083" bestFit="1" customWidth="1"/>
    <col min="10767" max="10767" width="8" style="1083" bestFit="1" customWidth="1"/>
    <col min="10768" max="10768" width="11.5703125" style="1083" bestFit="1" customWidth="1"/>
    <col min="10769" max="10769" width="8.140625" style="1083" bestFit="1" customWidth="1"/>
    <col min="10770" max="10770" width="11.5703125" style="1083" bestFit="1" customWidth="1"/>
    <col min="10771" max="10771" width="8.42578125" style="1083" customWidth="1"/>
    <col min="10772" max="10772" width="7.42578125" style="1083" bestFit="1" customWidth="1"/>
    <col min="10773" max="10773" width="11.5703125" style="1083" bestFit="1" customWidth="1"/>
    <col min="10774" max="10774" width="8.140625" style="1083" customWidth="1"/>
    <col min="10775" max="10775" width="13" style="1083" bestFit="1" customWidth="1"/>
    <col min="10776" max="11014" width="10.85546875" style="1083"/>
    <col min="11015" max="11015" width="8.85546875" style="1083" customWidth="1"/>
    <col min="11016" max="11016" width="50" style="1083" customWidth="1"/>
    <col min="11017" max="11017" width="6.42578125" style="1083" bestFit="1" customWidth="1"/>
    <col min="11018" max="11018" width="8.85546875" style="1083" customWidth="1"/>
    <col min="11019" max="11019" width="8.5703125" style="1083" customWidth="1"/>
    <col min="11020" max="11020" width="11.42578125" style="1083" bestFit="1" customWidth="1"/>
    <col min="11021" max="11021" width="7.85546875" style="1083" bestFit="1" customWidth="1"/>
    <col min="11022" max="11022" width="11.5703125" style="1083" bestFit="1" customWidth="1"/>
    <col min="11023" max="11023" width="8" style="1083" bestFit="1" customWidth="1"/>
    <col min="11024" max="11024" width="11.5703125" style="1083" bestFit="1" customWidth="1"/>
    <col min="11025" max="11025" width="8.140625" style="1083" bestFit="1" customWidth="1"/>
    <col min="11026" max="11026" width="11.5703125" style="1083" bestFit="1" customWidth="1"/>
    <col min="11027" max="11027" width="8.42578125" style="1083" customWidth="1"/>
    <col min="11028" max="11028" width="7.42578125" style="1083" bestFit="1" customWidth="1"/>
    <col min="11029" max="11029" width="11.5703125" style="1083" bestFit="1" customWidth="1"/>
    <col min="11030" max="11030" width="8.140625" style="1083" customWidth="1"/>
    <col min="11031" max="11031" width="13" style="1083" bestFit="1" customWidth="1"/>
    <col min="11032" max="11270" width="10.85546875" style="1083"/>
    <col min="11271" max="11271" width="8.85546875" style="1083" customWidth="1"/>
    <col min="11272" max="11272" width="50" style="1083" customWidth="1"/>
    <col min="11273" max="11273" width="6.42578125" style="1083" bestFit="1" customWidth="1"/>
    <col min="11274" max="11274" width="8.85546875" style="1083" customWidth="1"/>
    <col min="11275" max="11275" width="8.5703125" style="1083" customWidth="1"/>
    <col min="11276" max="11276" width="11.42578125" style="1083" bestFit="1" customWidth="1"/>
    <col min="11277" max="11277" width="7.85546875" style="1083" bestFit="1" customWidth="1"/>
    <col min="11278" max="11278" width="11.5703125" style="1083" bestFit="1" customWidth="1"/>
    <col min="11279" max="11279" width="8" style="1083" bestFit="1" customWidth="1"/>
    <col min="11280" max="11280" width="11.5703125" style="1083" bestFit="1" customWidth="1"/>
    <col min="11281" max="11281" width="8.140625" style="1083" bestFit="1" customWidth="1"/>
    <col min="11282" max="11282" width="11.5703125" style="1083" bestFit="1" customWidth="1"/>
    <col min="11283" max="11283" width="8.42578125" style="1083" customWidth="1"/>
    <col min="11284" max="11284" width="7.42578125" style="1083" bestFit="1" customWidth="1"/>
    <col min="11285" max="11285" width="11.5703125" style="1083" bestFit="1" customWidth="1"/>
    <col min="11286" max="11286" width="8.140625" style="1083" customWidth="1"/>
    <col min="11287" max="11287" width="13" style="1083" bestFit="1" customWidth="1"/>
    <col min="11288" max="11526" width="10.85546875" style="1083"/>
    <col min="11527" max="11527" width="8.85546875" style="1083" customWidth="1"/>
    <col min="11528" max="11528" width="50" style="1083" customWidth="1"/>
    <col min="11529" max="11529" width="6.42578125" style="1083" bestFit="1" customWidth="1"/>
    <col min="11530" max="11530" width="8.85546875" style="1083" customWidth="1"/>
    <col min="11531" max="11531" width="8.5703125" style="1083" customWidth="1"/>
    <col min="11532" max="11532" width="11.42578125" style="1083" bestFit="1" customWidth="1"/>
    <col min="11533" max="11533" width="7.85546875" style="1083" bestFit="1" customWidth="1"/>
    <col min="11534" max="11534" width="11.5703125" style="1083" bestFit="1" customWidth="1"/>
    <col min="11535" max="11535" width="8" style="1083" bestFit="1" customWidth="1"/>
    <col min="11536" max="11536" width="11.5703125" style="1083" bestFit="1" customWidth="1"/>
    <col min="11537" max="11537" width="8.140625" style="1083" bestFit="1" customWidth="1"/>
    <col min="11538" max="11538" width="11.5703125" style="1083" bestFit="1" customWidth="1"/>
    <col min="11539" max="11539" width="8.42578125" style="1083" customWidth="1"/>
    <col min="11540" max="11540" width="7.42578125" style="1083" bestFit="1" customWidth="1"/>
    <col min="11541" max="11541" width="11.5703125" style="1083" bestFit="1" customWidth="1"/>
    <col min="11542" max="11542" width="8.140625" style="1083" customWidth="1"/>
    <col min="11543" max="11543" width="13" style="1083" bestFit="1" customWidth="1"/>
    <col min="11544" max="11782" width="10.85546875" style="1083"/>
    <col min="11783" max="11783" width="8.85546875" style="1083" customWidth="1"/>
    <col min="11784" max="11784" width="50" style="1083" customWidth="1"/>
    <col min="11785" max="11785" width="6.42578125" style="1083" bestFit="1" customWidth="1"/>
    <col min="11786" max="11786" width="8.85546875" style="1083" customWidth="1"/>
    <col min="11787" max="11787" width="8.5703125" style="1083" customWidth="1"/>
    <col min="11788" max="11788" width="11.42578125" style="1083" bestFit="1" customWidth="1"/>
    <col min="11789" max="11789" width="7.85546875" style="1083" bestFit="1" customWidth="1"/>
    <col min="11790" max="11790" width="11.5703125" style="1083" bestFit="1" customWidth="1"/>
    <col min="11791" max="11791" width="8" style="1083" bestFit="1" customWidth="1"/>
    <col min="11792" max="11792" width="11.5703125" style="1083" bestFit="1" customWidth="1"/>
    <col min="11793" max="11793" width="8.140625" style="1083" bestFit="1" customWidth="1"/>
    <col min="11794" max="11794" width="11.5703125" style="1083" bestFit="1" customWidth="1"/>
    <col min="11795" max="11795" width="8.42578125" style="1083" customWidth="1"/>
    <col min="11796" max="11796" width="7.42578125" style="1083" bestFit="1" customWidth="1"/>
    <col min="11797" max="11797" width="11.5703125" style="1083" bestFit="1" customWidth="1"/>
    <col min="11798" max="11798" width="8.140625" style="1083" customWidth="1"/>
    <col min="11799" max="11799" width="13" style="1083" bestFit="1" customWidth="1"/>
    <col min="11800" max="12038" width="10.85546875" style="1083"/>
    <col min="12039" max="12039" width="8.85546875" style="1083" customWidth="1"/>
    <col min="12040" max="12040" width="50" style="1083" customWidth="1"/>
    <col min="12041" max="12041" width="6.42578125" style="1083" bestFit="1" customWidth="1"/>
    <col min="12042" max="12042" width="8.85546875" style="1083" customWidth="1"/>
    <col min="12043" max="12043" width="8.5703125" style="1083" customWidth="1"/>
    <col min="12044" max="12044" width="11.42578125" style="1083" bestFit="1" customWidth="1"/>
    <col min="12045" max="12045" width="7.85546875" style="1083" bestFit="1" customWidth="1"/>
    <col min="12046" max="12046" width="11.5703125" style="1083" bestFit="1" customWidth="1"/>
    <col min="12047" max="12047" width="8" style="1083" bestFit="1" customWidth="1"/>
    <col min="12048" max="12048" width="11.5703125" style="1083" bestFit="1" customWidth="1"/>
    <col min="12049" max="12049" width="8.140625" style="1083" bestFit="1" customWidth="1"/>
    <col min="12050" max="12050" width="11.5703125" style="1083" bestFit="1" customWidth="1"/>
    <col min="12051" max="12051" width="8.42578125" style="1083" customWidth="1"/>
    <col min="12052" max="12052" width="7.42578125" style="1083" bestFit="1" customWidth="1"/>
    <col min="12053" max="12053" width="11.5703125" style="1083" bestFit="1" customWidth="1"/>
    <col min="12054" max="12054" width="8.140625" style="1083" customWidth="1"/>
    <col min="12055" max="12055" width="13" style="1083" bestFit="1" customWidth="1"/>
    <col min="12056" max="12294" width="10.85546875" style="1083"/>
    <col min="12295" max="12295" width="8.85546875" style="1083" customWidth="1"/>
    <col min="12296" max="12296" width="50" style="1083" customWidth="1"/>
    <col min="12297" max="12297" width="6.42578125" style="1083" bestFit="1" customWidth="1"/>
    <col min="12298" max="12298" width="8.85546875" style="1083" customWidth="1"/>
    <col min="12299" max="12299" width="8.5703125" style="1083" customWidth="1"/>
    <col min="12300" max="12300" width="11.42578125" style="1083" bestFit="1" customWidth="1"/>
    <col min="12301" max="12301" width="7.85546875" style="1083" bestFit="1" customWidth="1"/>
    <col min="12302" max="12302" width="11.5703125" style="1083" bestFit="1" customWidth="1"/>
    <col min="12303" max="12303" width="8" style="1083" bestFit="1" customWidth="1"/>
    <col min="12304" max="12304" width="11.5703125" style="1083" bestFit="1" customWidth="1"/>
    <col min="12305" max="12305" width="8.140625" style="1083" bestFit="1" customWidth="1"/>
    <col min="12306" max="12306" width="11.5703125" style="1083" bestFit="1" customWidth="1"/>
    <col min="12307" max="12307" width="8.42578125" style="1083" customWidth="1"/>
    <col min="12308" max="12308" width="7.42578125" style="1083" bestFit="1" customWidth="1"/>
    <col min="12309" max="12309" width="11.5703125" style="1083" bestFit="1" customWidth="1"/>
    <col min="12310" max="12310" width="8.140625" style="1083" customWidth="1"/>
    <col min="12311" max="12311" width="13" style="1083" bestFit="1" customWidth="1"/>
    <col min="12312" max="12550" width="10.85546875" style="1083"/>
    <col min="12551" max="12551" width="8.85546875" style="1083" customWidth="1"/>
    <col min="12552" max="12552" width="50" style="1083" customWidth="1"/>
    <col min="12553" max="12553" width="6.42578125" style="1083" bestFit="1" customWidth="1"/>
    <col min="12554" max="12554" width="8.85546875" style="1083" customWidth="1"/>
    <col min="12555" max="12555" width="8.5703125" style="1083" customWidth="1"/>
    <col min="12556" max="12556" width="11.42578125" style="1083" bestFit="1" customWidth="1"/>
    <col min="12557" max="12557" width="7.85546875" style="1083" bestFit="1" customWidth="1"/>
    <col min="12558" max="12558" width="11.5703125" style="1083" bestFit="1" customWidth="1"/>
    <col min="12559" max="12559" width="8" style="1083" bestFit="1" customWidth="1"/>
    <col min="12560" max="12560" width="11.5703125" style="1083" bestFit="1" customWidth="1"/>
    <col min="12561" max="12561" width="8.140625" style="1083" bestFit="1" customWidth="1"/>
    <col min="12562" max="12562" width="11.5703125" style="1083" bestFit="1" customWidth="1"/>
    <col min="12563" max="12563" width="8.42578125" style="1083" customWidth="1"/>
    <col min="12564" max="12564" width="7.42578125" style="1083" bestFit="1" customWidth="1"/>
    <col min="12565" max="12565" width="11.5703125" style="1083" bestFit="1" customWidth="1"/>
    <col min="12566" max="12566" width="8.140625" style="1083" customWidth="1"/>
    <col min="12567" max="12567" width="13" style="1083" bestFit="1" customWidth="1"/>
    <col min="12568" max="12806" width="10.85546875" style="1083"/>
    <col min="12807" max="12807" width="8.85546875" style="1083" customWidth="1"/>
    <col min="12808" max="12808" width="50" style="1083" customWidth="1"/>
    <col min="12809" max="12809" width="6.42578125" style="1083" bestFit="1" customWidth="1"/>
    <col min="12810" max="12810" width="8.85546875" style="1083" customWidth="1"/>
    <col min="12811" max="12811" width="8.5703125" style="1083" customWidth="1"/>
    <col min="12812" max="12812" width="11.42578125" style="1083" bestFit="1" customWidth="1"/>
    <col min="12813" max="12813" width="7.85546875" style="1083" bestFit="1" customWidth="1"/>
    <col min="12814" max="12814" width="11.5703125" style="1083" bestFit="1" customWidth="1"/>
    <col min="12815" max="12815" width="8" style="1083" bestFit="1" customWidth="1"/>
    <col min="12816" max="12816" width="11.5703125" style="1083" bestFit="1" customWidth="1"/>
    <col min="12817" max="12817" width="8.140625" style="1083" bestFit="1" customWidth="1"/>
    <col min="12818" max="12818" width="11.5703125" style="1083" bestFit="1" customWidth="1"/>
    <col min="12819" max="12819" width="8.42578125" style="1083" customWidth="1"/>
    <col min="12820" max="12820" width="7.42578125" style="1083" bestFit="1" customWidth="1"/>
    <col min="12821" max="12821" width="11.5703125" style="1083" bestFit="1" customWidth="1"/>
    <col min="12822" max="12822" width="8.140625" style="1083" customWidth="1"/>
    <col min="12823" max="12823" width="13" style="1083" bestFit="1" customWidth="1"/>
    <col min="12824" max="13062" width="10.85546875" style="1083"/>
    <col min="13063" max="13063" width="8.85546875" style="1083" customWidth="1"/>
    <col min="13064" max="13064" width="50" style="1083" customWidth="1"/>
    <col min="13065" max="13065" width="6.42578125" style="1083" bestFit="1" customWidth="1"/>
    <col min="13066" max="13066" width="8.85546875" style="1083" customWidth="1"/>
    <col min="13067" max="13067" width="8.5703125" style="1083" customWidth="1"/>
    <col min="13068" max="13068" width="11.42578125" style="1083" bestFit="1" customWidth="1"/>
    <col min="13069" max="13069" width="7.85546875" style="1083" bestFit="1" customWidth="1"/>
    <col min="13070" max="13070" width="11.5703125" style="1083" bestFit="1" customWidth="1"/>
    <col min="13071" max="13071" width="8" style="1083" bestFit="1" customWidth="1"/>
    <col min="13072" max="13072" width="11.5703125" style="1083" bestFit="1" customWidth="1"/>
    <col min="13073" max="13073" width="8.140625" style="1083" bestFit="1" customWidth="1"/>
    <col min="13074" max="13074" width="11.5703125" style="1083" bestFit="1" customWidth="1"/>
    <col min="13075" max="13075" width="8.42578125" style="1083" customWidth="1"/>
    <col min="13076" max="13076" width="7.42578125" style="1083" bestFit="1" customWidth="1"/>
    <col min="13077" max="13077" width="11.5703125" style="1083" bestFit="1" customWidth="1"/>
    <col min="13078" max="13078" width="8.140625" style="1083" customWidth="1"/>
    <col min="13079" max="13079" width="13" style="1083" bestFit="1" customWidth="1"/>
    <col min="13080" max="13318" width="10.85546875" style="1083"/>
    <col min="13319" max="13319" width="8.85546875" style="1083" customWidth="1"/>
    <col min="13320" max="13320" width="50" style="1083" customWidth="1"/>
    <col min="13321" max="13321" width="6.42578125" style="1083" bestFit="1" customWidth="1"/>
    <col min="13322" max="13322" width="8.85546875" style="1083" customWidth="1"/>
    <col min="13323" max="13323" width="8.5703125" style="1083" customWidth="1"/>
    <col min="13324" max="13324" width="11.42578125" style="1083" bestFit="1" customWidth="1"/>
    <col min="13325" max="13325" width="7.85546875" style="1083" bestFit="1" customWidth="1"/>
    <col min="13326" max="13326" width="11.5703125" style="1083" bestFit="1" customWidth="1"/>
    <col min="13327" max="13327" width="8" style="1083" bestFit="1" customWidth="1"/>
    <col min="13328" max="13328" width="11.5703125" style="1083" bestFit="1" customWidth="1"/>
    <col min="13329" max="13329" width="8.140625" style="1083" bestFit="1" customWidth="1"/>
    <col min="13330" max="13330" width="11.5703125" style="1083" bestFit="1" customWidth="1"/>
    <col min="13331" max="13331" width="8.42578125" style="1083" customWidth="1"/>
    <col min="13332" max="13332" width="7.42578125" style="1083" bestFit="1" customWidth="1"/>
    <col min="13333" max="13333" width="11.5703125" style="1083" bestFit="1" customWidth="1"/>
    <col min="13334" max="13334" width="8.140625" style="1083" customWidth="1"/>
    <col min="13335" max="13335" width="13" style="1083" bestFit="1" customWidth="1"/>
    <col min="13336" max="13574" width="10.85546875" style="1083"/>
    <col min="13575" max="13575" width="8.85546875" style="1083" customWidth="1"/>
    <col min="13576" max="13576" width="50" style="1083" customWidth="1"/>
    <col min="13577" max="13577" width="6.42578125" style="1083" bestFit="1" customWidth="1"/>
    <col min="13578" max="13578" width="8.85546875" style="1083" customWidth="1"/>
    <col min="13579" max="13579" width="8.5703125" style="1083" customWidth="1"/>
    <col min="13580" max="13580" width="11.42578125" style="1083" bestFit="1" customWidth="1"/>
    <col min="13581" max="13581" width="7.85546875" style="1083" bestFit="1" customWidth="1"/>
    <col min="13582" max="13582" width="11.5703125" style="1083" bestFit="1" customWidth="1"/>
    <col min="13583" max="13583" width="8" style="1083" bestFit="1" customWidth="1"/>
    <col min="13584" max="13584" width="11.5703125" style="1083" bestFit="1" customWidth="1"/>
    <col min="13585" max="13585" width="8.140625" style="1083" bestFit="1" customWidth="1"/>
    <col min="13586" max="13586" width="11.5703125" style="1083" bestFit="1" customWidth="1"/>
    <col min="13587" max="13587" width="8.42578125" style="1083" customWidth="1"/>
    <col min="13588" max="13588" width="7.42578125" style="1083" bestFit="1" customWidth="1"/>
    <col min="13589" max="13589" width="11.5703125" style="1083" bestFit="1" customWidth="1"/>
    <col min="13590" max="13590" width="8.140625" style="1083" customWidth="1"/>
    <col min="13591" max="13591" width="13" style="1083" bestFit="1" customWidth="1"/>
    <col min="13592" max="13830" width="10.85546875" style="1083"/>
    <col min="13831" max="13831" width="8.85546875" style="1083" customWidth="1"/>
    <col min="13832" max="13832" width="50" style="1083" customWidth="1"/>
    <col min="13833" max="13833" width="6.42578125" style="1083" bestFit="1" customWidth="1"/>
    <col min="13834" max="13834" width="8.85546875" style="1083" customWidth="1"/>
    <col min="13835" max="13835" width="8.5703125" style="1083" customWidth="1"/>
    <col min="13836" max="13836" width="11.42578125" style="1083" bestFit="1" customWidth="1"/>
    <col min="13837" max="13837" width="7.85546875" style="1083" bestFit="1" customWidth="1"/>
    <col min="13838" max="13838" width="11.5703125" style="1083" bestFit="1" customWidth="1"/>
    <col min="13839" max="13839" width="8" style="1083" bestFit="1" customWidth="1"/>
    <col min="13840" max="13840" width="11.5703125" style="1083" bestFit="1" customWidth="1"/>
    <col min="13841" max="13841" width="8.140625" style="1083" bestFit="1" customWidth="1"/>
    <col min="13842" max="13842" width="11.5703125" style="1083" bestFit="1" customWidth="1"/>
    <col min="13843" max="13843" width="8.42578125" style="1083" customWidth="1"/>
    <col min="13844" max="13844" width="7.42578125" style="1083" bestFit="1" customWidth="1"/>
    <col min="13845" max="13845" width="11.5703125" style="1083" bestFit="1" customWidth="1"/>
    <col min="13846" max="13846" width="8.140625" style="1083" customWidth="1"/>
    <col min="13847" max="13847" width="13" style="1083" bestFit="1" customWidth="1"/>
    <col min="13848" max="14086" width="10.85546875" style="1083"/>
    <col min="14087" max="14087" width="8.85546875" style="1083" customWidth="1"/>
    <col min="14088" max="14088" width="50" style="1083" customWidth="1"/>
    <col min="14089" max="14089" width="6.42578125" style="1083" bestFit="1" customWidth="1"/>
    <col min="14090" max="14090" width="8.85546875" style="1083" customWidth="1"/>
    <col min="14091" max="14091" width="8.5703125" style="1083" customWidth="1"/>
    <col min="14092" max="14092" width="11.42578125" style="1083" bestFit="1" customWidth="1"/>
    <col min="14093" max="14093" width="7.85546875" style="1083" bestFit="1" customWidth="1"/>
    <col min="14094" max="14094" width="11.5703125" style="1083" bestFit="1" customWidth="1"/>
    <col min="14095" max="14095" width="8" style="1083" bestFit="1" customWidth="1"/>
    <col min="14096" max="14096" width="11.5703125" style="1083" bestFit="1" customWidth="1"/>
    <col min="14097" max="14097" width="8.140625" style="1083" bestFit="1" customWidth="1"/>
    <col min="14098" max="14098" width="11.5703125" style="1083" bestFit="1" customWidth="1"/>
    <col min="14099" max="14099" width="8.42578125" style="1083" customWidth="1"/>
    <col min="14100" max="14100" width="7.42578125" style="1083" bestFit="1" customWidth="1"/>
    <col min="14101" max="14101" width="11.5703125" style="1083" bestFit="1" customWidth="1"/>
    <col min="14102" max="14102" width="8.140625" style="1083" customWidth="1"/>
    <col min="14103" max="14103" width="13" style="1083" bestFit="1" customWidth="1"/>
    <col min="14104" max="14342" width="10.85546875" style="1083"/>
    <col min="14343" max="14343" width="8.85546875" style="1083" customWidth="1"/>
    <col min="14344" max="14344" width="50" style="1083" customWidth="1"/>
    <col min="14345" max="14345" width="6.42578125" style="1083" bestFit="1" customWidth="1"/>
    <col min="14346" max="14346" width="8.85546875" style="1083" customWidth="1"/>
    <col min="14347" max="14347" width="8.5703125" style="1083" customWidth="1"/>
    <col min="14348" max="14348" width="11.42578125" style="1083" bestFit="1" customWidth="1"/>
    <col min="14349" max="14349" width="7.85546875" style="1083" bestFit="1" customWidth="1"/>
    <col min="14350" max="14350" width="11.5703125" style="1083" bestFit="1" customWidth="1"/>
    <col min="14351" max="14351" width="8" style="1083" bestFit="1" customWidth="1"/>
    <col min="14352" max="14352" width="11.5703125" style="1083" bestFit="1" customWidth="1"/>
    <col min="14353" max="14353" width="8.140625" style="1083" bestFit="1" customWidth="1"/>
    <col min="14354" max="14354" width="11.5703125" style="1083" bestFit="1" customWidth="1"/>
    <col min="14355" max="14355" width="8.42578125" style="1083" customWidth="1"/>
    <col min="14356" max="14356" width="7.42578125" style="1083" bestFit="1" customWidth="1"/>
    <col min="14357" max="14357" width="11.5703125" style="1083" bestFit="1" customWidth="1"/>
    <col min="14358" max="14358" width="8.140625" style="1083" customWidth="1"/>
    <col min="14359" max="14359" width="13" style="1083" bestFit="1" customWidth="1"/>
    <col min="14360" max="14598" width="10.85546875" style="1083"/>
    <col min="14599" max="14599" width="8.85546875" style="1083" customWidth="1"/>
    <col min="14600" max="14600" width="50" style="1083" customWidth="1"/>
    <col min="14601" max="14601" width="6.42578125" style="1083" bestFit="1" customWidth="1"/>
    <col min="14602" max="14602" width="8.85546875" style="1083" customWidth="1"/>
    <col min="14603" max="14603" width="8.5703125" style="1083" customWidth="1"/>
    <col min="14604" max="14604" width="11.42578125" style="1083" bestFit="1" customWidth="1"/>
    <col min="14605" max="14605" width="7.85546875" style="1083" bestFit="1" customWidth="1"/>
    <col min="14606" max="14606" width="11.5703125" style="1083" bestFit="1" customWidth="1"/>
    <col min="14607" max="14607" width="8" style="1083" bestFit="1" customWidth="1"/>
    <col min="14608" max="14608" width="11.5703125" style="1083" bestFit="1" customWidth="1"/>
    <col min="14609" max="14609" width="8.140625" style="1083" bestFit="1" customWidth="1"/>
    <col min="14610" max="14610" width="11.5703125" style="1083" bestFit="1" customWidth="1"/>
    <col min="14611" max="14611" width="8.42578125" style="1083" customWidth="1"/>
    <col min="14612" max="14612" width="7.42578125" style="1083" bestFit="1" customWidth="1"/>
    <col min="14613" max="14613" width="11.5703125" style="1083" bestFit="1" customWidth="1"/>
    <col min="14614" max="14614" width="8.140625" style="1083" customWidth="1"/>
    <col min="14615" max="14615" width="13" style="1083" bestFit="1" customWidth="1"/>
    <col min="14616" max="14854" width="10.85546875" style="1083"/>
    <col min="14855" max="14855" width="8.85546875" style="1083" customWidth="1"/>
    <col min="14856" max="14856" width="50" style="1083" customWidth="1"/>
    <col min="14857" max="14857" width="6.42578125" style="1083" bestFit="1" customWidth="1"/>
    <col min="14858" max="14858" width="8.85546875" style="1083" customWidth="1"/>
    <col min="14859" max="14859" width="8.5703125" style="1083" customWidth="1"/>
    <col min="14860" max="14860" width="11.42578125" style="1083" bestFit="1" customWidth="1"/>
    <col min="14861" max="14861" width="7.85546875" style="1083" bestFit="1" customWidth="1"/>
    <col min="14862" max="14862" width="11.5703125" style="1083" bestFit="1" customWidth="1"/>
    <col min="14863" max="14863" width="8" style="1083" bestFit="1" customWidth="1"/>
    <col min="14864" max="14864" width="11.5703125" style="1083" bestFit="1" customWidth="1"/>
    <col min="14865" max="14865" width="8.140625" style="1083" bestFit="1" customWidth="1"/>
    <col min="14866" max="14866" width="11.5703125" style="1083" bestFit="1" customWidth="1"/>
    <col min="14867" max="14867" width="8.42578125" style="1083" customWidth="1"/>
    <col min="14868" max="14868" width="7.42578125" style="1083" bestFit="1" customWidth="1"/>
    <col min="14869" max="14869" width="11.5703125" style="1083" bestFit="1" customWidth="1"/>
    <col min="14870" max="14870" width="8.140625" style="1083" customWidth="1"/>
    <col min="14871" max="14871" width="13" style="1083" bestFit="1" customWidth="1"/>
    <col min="14872" max="15110" width="10.85546875" style="1083"/>
    <col min="15111" max="15111" width="8.85546875" style="1083" customWidth="1"/>
    <col min="15112" max="15112" width="50" style="1083" customWidth="1"/>
    <col min="15113" max="15113" width="6.42578125" style="1083" bestFit="1" customWidth="1"/>
    <col min="15114" max="15114" width="8.85546875" style="1083" customWidth="1"/>
    <col min="15115" max="15115" width="8.5703125" style="1083" customWidth="1"/>
    <col min="15116" max="15116" width="11.42578125" style="1083" bestFit="1" customWidth="1"/>
    <col min="15117" max="15117" width="7.85546875" style="1083" bestFit="1" customWidth="1"/>
    <col min="15118" max="15118" width="11.5703125" style="1083" bestFit="1" customWidth="1"/>
    <col min="15119" max="15119" width="8" style="1083" bestFit="1" customWidth="1"/>
    <col min="15120" max="15120" width="11.5703125" style="1083" bestFit="1" customWidth="1"/>
    <col min="15121" max="15121" width="8.140625" style="1083" bestFit="1" customWidth="1"/>
    <col min="15122" max="15122" width="11.5703125" style="1083" bestFit="1" customWidth="1"/>
    <col min="15123" max="15123" width="8.42578125" style="1083" customWidth="1"/>
    <col min="15124" max="15124" width="7.42578125" style="1083" bestFit="1" customWidth="1"/>
    <col min="15125" max="15125" width="11.5703125" style="1083" bestFit="1" customWidth="1"/>
    <col min="15126" max="15126" width="8.140625" style="1083" customWidth="1"/>
    <col min="15127" max="15127" width="13" style="1083" bestFit="1" customWidth="1"/>
    <col min="15128" max="15366" width="10.85546875" style="1083"/>
    <col min="15367" max="15367" width="8.85546875" style="1083" customWidth="1"/>
    <col min="15368" max="15368" width="50" style="1083" customWidth="1"/>
    <col min="15369" max="15369" width="6.42578125" style="1083" bestFit="1" customWidth="1"/>
    <col min="15370" max="15370" width="8.85546875" style="1083" customWidth="1"/>
    <col min="15371" max="15371" width="8.5703125" style="1083" customWidth="1"/>
    <col min="15372" max="15372" width="11.42578125" style="1083" bestFit="1" customWidth="1"/>
    <col min="15373" max="15373" width="7.85546875" style="1083" bestFit="1" customWidth="1"/>
    <col min="15374" max="15374" width="11.5703125" style="1083" bestFit="1" customWidth="1"/>
    <col min="15375" max="15375" width="8" style="1083" bestFit="1" customWidth="1"/>
    <col min="15376" max="15376" width="11.5703125" style="1083" bestFit="1" customWidth="1"/>
    <col min="15377" max="15377" width="8.140625" style="1083" bestFit="1" customWidth="1"/>
    <col min="15378" max="15378" width="11.5703125" style="1083" bestFit="1" customWidth="1"/>
    <col min="15379" max="15379" width="8.42578125" style="1083" customWidth="1"/>
    <col min="15380" max="15380" width="7.42578125" style="1083" bestFit="1" customWidth="1"/>
    <col min="15381" max="15381" width="11.5703125" style="1083" bestFit="1" customWidth="1"/>
    <col min="15382" max="15382" width="8.140625" style="1083" customWidth="1"/>
    <col min="15383" max="15383" width="13" style="1083" bestFit="1" customWidth="1"/>
    <col min="15384" max="15622" width="10.85546875" style="1083"/>
    <col min="15623" max="15623" width="8.85546875" style="1083" customWidth="1"/>
    <col min="15624" max="15624" width="50" style="1083" customWidth="1"/>
    <col min="15625" max="15625" width="6.42578125" style="1083" bestFit="1" customWidth="1"/>
    <col min="15626" max="15626" width="8.85546875" style="1083" customWidth="1"/>
    <col min="15627" max="15627" width="8.5703125" style="1083" customWidth="1"/>
    <col min="15628" max="15628" width="11.42578125" style="1083" bestFit="1" customWidth="1"/>
    <col min="15629" max="15629" width="7.85546875" style="1083" bestFit="1" customWidth="1"/>
    <col min="15630" max="15630" width="11.5703125" style="1083" bestFit="1" customWidth="1"/>
    <col min="15631" max="15631" width="8" style="1083" bestFit="1" customWidth="1"/>
    <col min="15632" max="15632" width="11.5703125" style="1083" bestFit="1" customWidth="1"/>
    <col min="15633" max="15633" width="8.140625" style="1083" bestFit="1" customWidth="1"/>
    <col min="15634" max="15634" width="11.5703125" style="1083" bestFit="1" customWidth="1"/>
    <col min="15635" max="15635" width="8.42578125" style="1083" customWidth="1"/>
    <col min="15636" max="15636" width="7.42578125" style="1083" bestFit="1" customWidth="1"/>
    <col min="15637" max="15637" width="11.5703125" style="1083" bestFit="1" customWidth="1"/>
    <col min="15638" max="15638" width="8.140625" style="1083" customWidth="1"/>
    <col min="15639" max="15639" width="13" style="1083" bestFit="1" customWidth="1"/>
    <col min="15640" max="15878" width="10.85546875" style="1083"/>
    <col min="15879" max="15879" width="8.85546875" style="1083" customWidth="1"/>
    <col min="15880" max="15880" width="50" style="1083" customWidth="1"/>
    <col min="15881" max="15881" width="6.42578125" style="1083" bestFit="1" customWidth="1"/>
    <col min="15882" max="15882" width="8.85546875" style="1083" customWidth="1"/>
    <col min="15883" max="15883" width="8.5703125" style="1083" customWidth="1"/>
    <col min="15884" max="15884" width="11.42578125" style="1083" bestFit="1" customWidth="1"/>
    <col min="15885" max="15885" width="7.85546875" style="1083" bestFit="1" customWidth="1"/>
    <col min="15886" max="15886" width="11.5703125" style="1083" bestFit="1" customWidth="1"/>
    <col min="15887" max="15887" width="8" style="1083" bestFit="1" customWidth="1"/>
    <col min="15888" max="15888" width="11.5703125" style="1083" bestFit="1" customWidth="1"/>
    <col min="15889" max="15889" width="8.140625" style="1083" bestFit="1" customWidth="1"/>
    <col min="15890" max="15890" width="11.5703125" style="1083" bestFit="1" customWidth="1"/>
    <col min="15891" max="15891" width="8.42578125" style="1083" customWidth="1"/>
    <col min="15892" max="15892" width="7.42578125" style="1083" bestFit="1" customWidth="1"/>
    <col min="15893" max="15893" width="11.5703125" style="1083" bestFit="1" customWidth="1"/>
    <col min="15894" max="15894" width="8.140625" style="1083" customWidth="1"/>
    <col min="15895" max="15895" width="13" style="1083" bestFit="1" customWidth="1"/>
    <col min="15896" max="16134" width="10.85546875" style="1083"/>
    <col min="16135" max="16135" width="8.85546875" style="1083" customWidth="1"/>
    <col min="16136" max="16136" width="50" style="1083" customWidth="1"/>
    <col min="16137" max="16137" width="6.42578125" style="1083" bestFit="1" customWidth="1"/>
    <col min="16138" max="16138" width="8.85546875" style="1083" customWidth="1"/>
    <col min="16139" max="16139" width="8.5703125" style="1083" customWidth="1"/>
    <col min="16140" max="16140" width="11.42578125" style="1083" bestFit="1" customWidth="1"/>
    <col min="16141" max="16141" width="7.85546875" style="1083" bestFit="1" customWidth="1"/>
    <col min="16142" max="16142" width="11.5703125" style="1083" bestFit="1" customWidth="1"/>
    <col min="16143" max="16143" width="8" style="1083" bestFit="1" customWidth="1"/>
    <col min="16144" max="16144" width="11.5703125" style="1083" bestFit="1" customWidth="1"/>
    <col min="16145" max="16145" width="8.140625" style="1083" bestFit="1" customWidth="1"/>
    <col min="16146" max="16146" width="11.5703125" style="1083" bestFit="1" customWidth="1"/>
    <col min="16147" max="16147" width="8.42578125" style="1083" customWidth="1"/>
    <col min="16148" max="16148" width="7.42578125" style="1083" bestFit="1" customWidth="1"/>
    <col min="16149" max="16149" width="11.5703125" style="1083" bestFit="1" customWidth="1"/>
    <col min="16150" max="16150" width="8.140625" style="1083" customWidth="1"/>
    <col min="16151" max="16151" width="13" style="1083" bestFit="1" customWidth="1"/>
    <col min="16152" max="16384" width="10.85546875" style="1083"/>
  </cols>
  <sheetData>
    <row r="1" spans="2:26">
      <c r="B1" s="2811" t="s">
        <v>12</v>
      </c>
      <c r="C1" s="2811"/>
      <c r="D1" s="2811"/>
      <c r="E1" s="2811"/>
      <c r="F1" s="2811"/>
      <c r="G1" s="2811"/>
      <c r="H1" s="2811"/>
      <c r="I1" s="2811"/>
      <c r="J1" s="2811"/>
      <c r="K1" s="2811"/>
      <c r="L1" s="2824"/>
      <c r="M1" s="2811"/>
      <c r="N1" s="2811"/>
      <c r="O1" s="2811"/>
      <c r="P1" s="2811"/>
      <c r="Q1" s="2811"/>
      <c r="R1" s="2811"/>
      <c r="S1" s="2811"/>
      <c r="T1" s="1086"/>
    </row>
    <row r="2" spans="2:26">
      <c r="B2" s="2811" t="s">
        <v>4352</v>
      </c>
      <c r="C2" s="2811"/>
      <c r="D2" s="2811"/>
      <c r="E2" s="2811"/>
      <c r="F2" s="2811"/>
      <c r="G2" s="2811"/>
      <c r="H2" s="2811"/>
      <c r="I2" s="2811"/>
      <c r="J2" s="2811"/>
      <c r="K2" s="2811"/>
      <c r="L2" s="2824"/>
      <c r="M2" s="2811"/>
      <c r="N2" s="2811"/>
      <c r="O2" s="2811"/>
      <c r="P2" s="2811"/>
      <c r="Q2" s="2811"/>
      <c r="R2" s="2811"/>
      <c r="S2" s="2811"/>
      <c r="T2" s="1086"/>
    </row>
    <row r="3" spans="2:26">
      <c r="B3" s="2843" t="s">
        <v>4353</v>
      </c>
      <c r="C3" s="2843"/>
      <c r="D3" s="2843"/>
      <c r="E3" s="2843"/>
      <c r="F3" s="2843"/>
      <c r="G3" s="2843"/>
      <c r="H3" s="2843"/>
      <c r="I3" s="2843"/>
      <c r="J3" s="2843"/>
      <c r="K3" s="2843"/>
      <c r="L3" s="2844"/>
      <c r="M3" s="2843"/>
      <c r="N3" s="2843"/>
      <c r="O3" s="2843"/>
      <c r="P3" s="2843"/>
      <c r="Q3" s="2843"/>
      <c r="R3" s="2843"/>
      <c r="S3" s="2843"/>
      <c r="T3" s="1104"/>
    </row>
    <row r="4" spans="2:26">
      <c r="B4" s="2845"/>
      <c r="C4" s="2845"/>
      <c r="D4" s="2845"/>
      <c r="E4" s="2845"/>
      <c r="F4" s="2845"/>
      <c r="G4" s="2845"/>
      <c r="H4" s="2845"/>
      <c r="I4" s="2845"/>
      <c r="J4" s="2845"/>
      <c r="K4" s="2845"/>
      <c r="L4" s="2846"/>
      <c r="M4" s="2845"/>
      <c r="N4" s="2845"/>
      <c r="O4" s="2845"/>
      <c r="P4" s="2845"/>
      <c r="Q4" s="2845"/>
      <c r="R4" s="2845"/>
      <c r="S4" s="2845"/>
      <c r="T4" s="1988"/>
    </row>
    <row r="5" spans="2:26">
      <c r="B5" s="1085"/>
      <c r="C5" s="1626" t="s">
        <v>6</v>
      </c>
      <c r="D5" s="1106" t="s">
        <v>4</v>
      </c>
      <c r="E5" s="1627" t="s">
        <v>2832</v>
      </c>
      <c r="F5" s="1628"/>
      <c r="G5" s="1628"/>
      <c r="H5" s="1628"/>
      <c r="I5" s="1628"/>
      <c r="J5" s="1628"/>
      <c r="K5" s="1628"/>
      <c r="L5" s="1628"/>
      <c r="M5" s="1628"/>
      <c r="N5" s="1628"/>
      <c r="O5" s="1628"/>
      <c r="X5" s="1083"/>
    </row>
    <row r="6" spans="2:26">
      <c r="B6" s="1086"/>
      <c r="C6" s="1087" t="s">
        <v>5</v>
      </c>
      <c r="D6" s="1088" t="s">
        <v>4</v>
      </c>
      <c r="E6" s="1089" t="s">
        <v>533</v>
      </c>
      <c r="F6" s="1086"/>
      <c r="G6" s="1086"/>
      <c r="H6" s="1086"/>
      <c r="I6" s="1086"/>
      <c r="J6" s="1086"/>
      <c r="L6" s="1200"/>
      <c r="P6" s="1104" t="s">
        <v>13</v>
      </c>
      <c r="Q6" s="1084"/>
      <c r="R6" s="2813">
        <f ca="1">TODAY()</f>
        <v>44841</v>
      </c>
      <c r="S6" s="2813"/>
      <c r="T6" s="1987"/>
    </row>
    <row r="7" spans="2:26">
      <c r="C7" s="1087" t="s">
        <v>15</v>
      </c>
      <c r="D7" s="1088" t="s">
        <v>4</v>
      </c>
      <c r="E7" s="1543" t="s">
        <v>3962</v>
      </c>
      <c r="F7" s="1199"/>
      <c r="G7" s="1199"/>
      <c r="H7" s="1199"/>
      <c r="I7" s="1199"/>
      <c r="L7" s="1199"/>
      <c r="P7" s="1086" t="s">
        <v>14</v>
      </c>
      <c r="R7" s="1086"/>
      <c r="S7" s="1105" t="s">
        <v>536</v>
      </c>
      <c r="T7" s="1105"/>
    </row>
    <row r="8" spans="2:26">
      <c r="C8" s="1087" t="s">
        <v>17</v>
      </c>
      <c r="D8" s="1088" t="s">
        <v>4</v>
      </c>
      <c r="E8" s="1089" t="s">
        <v>11</v>
      </c>
      <c r="F8" s="1085"/>
      <c r="G8" s="1085"/>
      <c r="H8" s="1085"/>
      <c r="I8" s="1085"/>
      <c r="L8" s="1199"/>
      <c r="M8" s="1088"/>
      <c r="N8" s="1088"/>
      <c r="P8" s="1086" t="s">
        <v>16</v>
      </c>
      <c r="S8" s="1105" t="s">
        <v>536</v>
      </c>
      <c r="T8" s="1105"/>
    </row>
    <row r="9" spans="2:26">
      <c r="C9" s="1087" t="s">
        <v>19</v>
      </c>
      <c r="D9" s="1088" t="s">
        <v>4</v>
      </c>
      <c r="E9" s="1091">
        <v>2021</v>
      </c>
      <c r="F9" s="1085"/>
      <c r="G9" s="1085"/>
      <c r="H9" s="1083"/>
      <c r="I9" s="1083"/>
      <c r="L9" s="1199"/>
      <c r="N9" s="1088"/>
      <c r="O9" s="1158"/>
      <c r="P9" s="1086" t="s">
        <v>18</v>
      </c>
      <c r="R9" s="1090"/>
      <c r="S9" s="1105" t="s">
        <v>10</v>
      </c>
      <c r="T9" s="1105"/>
    </row>
    <row r="10" spans="2:26" ht="14.25" thickBot="1">
      <c r="L10" s="1199"/>
    </row>
    <row r="11" spans="2:26" ht="14.25" thickBot="1">
      <c r="B11" s="2676" t="s">
        <v>20</v>
      </c>
      <c r="C11" s="2676" t="s">
        <v>21</v>
      </c>
      <c r="D11" s="2792" t="s">
        <v>22</v>
      </c>
      <c r="E11" s="2796" t="s">
        <v>23</v>
      </c>
      <c r="F11" s="2797"/>
      <c r="G11" s="2797"/>
      <c r="H11" s="2798"/>
      <c r="I11" s="1396"/>
      <c r="J11" s="2802" t="s">
        <v>24</v>
      </c>
      <c r="K11" s="2804"/>
      <c r="L11" s="2820"/>
      <c r="M11" s="2787"/>
      <c r="N11" s="2804"/>
      <c r="O11" s="2804"/>
      <c r="P11" s="2803"/>
      <c r="Q11" s="2796" t="s">
        <v>25</v>
      </c>
      <c r="R11" s="2797"/>
      <c r="S11" s="2798"/>
      <c r="T11" s="1207"/>
    </row>
    <row r="12" spans="2:26" ht="14.25" thickBot="1">
      <c r="B12" s="2677"/>
      <c r="C12" s="2677"/>
      <c r="D12" s="2814"/>
      <c r="E12" s="2799"/>
      <c r="F12" s="2800"/>
      <c r="G12" s="2800"/>
      <c r="H12" s="2801"/>
      <c r="I12" s="1397"/>
      <c r="J12" s="2802" t="s">
        <v>26</v>
      </c>
      <c r="K12" s="2803"/>
      <c r="L12" s="2802" t="s">
        <v>27</v>
      </c>
      <c r="M12" s="2803"/>
      <c r="N12" s="2802" t="s">
        <v>28</v>
      </c>
      <c r="O12" s="2804"/>
      <c r="P12" s="2803"/>
      <c r="Q12" s="2799"/>
      <c r="R12" s="2800"/>
      <c r="S12" s="2801"/>
      <c r="T12" s="1207"/>
    </row>
    <row r="13" spans="2:26" ht="14.25" thickBot="1">
      <c r="B13" s="2677"/>
      <c r="C13" s="2677"/>
      <c r="D13" s="2814"/>
      <c r="E13" s="2676" t="s">
        <v>29</v>
      </c>
      <c r="F13" s="2676" t="s">
        <v>30</v>
      </c>
      <c r="G13" s="2805" t="s">
        <v>3922</v>
      </c>
      <c r="H13" s="2676" t="s">
        <v>31</v>
      </c>
      <c r="I13" s="2807" t="s">
        <v>3920</v>
      </c>
      <c r="J13" s="2676" t="s">
        <v>3</v>
      </c>
      <c r="K13" s="2676" t="s">
        <v>32</v>
      </c>
      <c r="L13" s="2676" t="s">
        <v>3</v>
      </c>
      <c r="M13" s="2676" t="s">
        <v>32</v>
      </c>
      <c r="N13" s="2676" t="s">
        <v>3</v>
      </c>
      <c r="O13" s="2676" t="s">
        <v>32</v>
      </c>
      <c r="P13" s="2676" t="s">
        <v>0</v>
      </c>
      <c r="Q13" s="2676" t="s">
        <v>3</v>
      </c>
      <c r="R13" s="2809" t="s">
        <v>32</v>
      </c>
      <c r="S13" s="2676" t="s">
        <v>0</v>
      </c>
      <c r="T13" s="1207"/>
      <c r="X13" s="2786" t="s">
        <v>3623</v>
      </c>
      <c r="Y13" s="2787"/>
      <c r="Z13" s="2788"/>
    </row>
    <row r="14" spans="2:26" ht="14.25" thickBot="1">
      <c r="B14" s="2678"/>
      <c r="C14" s="2678"/>
      <c r="D14" s="2793"/>
      <c r="E14" s="2678"/>
      <c r="F14" s="2678"/>
      <c r="G14" s="2806"/>
      <c r="H14" s="2678"/>
      <c r="I14" s="2808"/>
      <c r="J14" s="2678"/>
      <c r="K14" s="2678"/>
      <c r="L14" s="2678"/>
      <c r="M14" s="2678"/>
      <c r="N14" s="2678"/>
      <c r="O14" s="2678"/>
      <c r="P14" s="2678"/>
      <c r="Q14" s="2678"/>
      <c r="R14" s="2810"/>
      <c r="S14" s="2678"/>
      <c r="T14" s="1207"/>
    </row>
    <row r="15" spans="2:26" s="1436" customFormat="1" ht="14.25" thickBot="1">
      <c r="B15" s="1629"/>
      <c r="C15" s="1630" t="s">
        <v>3963</v>
      </c>
      <c r="D15" s="1631"/>
      <c r="E15" s="1632"/>
      <c r="F15" s="1632"/>
      <c r="G15" s="1633"/>
      <c r="H15" s="1634"/>
      <c r="I15" s="1635"/>
      <c r="J15" s="1636"/>
      <c r="K15" s="1637"/>
      <c r="L15" s="1638"/>
      <c r="M15" s="1639"/>
      <c r="N15" s="1640"/>
      <c r="O15" s="1641"/>
      <c r="P15" s="1642"/>
      <c r="Q15" s="1640"/>
      <c r="R15" s="1643"/>
      <c r="S15" s="1642"/>
      <c r="T15" s="1104"/>
      <c r="U15" s="1433"/>
      <c r="V15" s="1433"/>
      <c r="W15" s="1433"/>
      <c r="X15" s="1434" t="s">
        <v>3624</v>
      </c>
      <c r="Y15" s="1266"/>
      <c r="Z15" s="1435">
        <f>SUM(M17:M190)</f>
        <v>172227.28873820006</v>
      </c>
    </row>
    <row r="16" spans="2:26" s="1266" customFormat="1">
      <c r="B16" s="2041" t="s">
        <v>33</v>
      </c>
      <c r="C16" s="2042" t="s">
        <v>3625</v>
      </c>
      <c r="D16" s="1646"/>
      <c r="E16" s="1647"/>
      <c r="F16" s="1647"/>
      <c r="G16" s="1648"/>
      <c r="H16" s="1649"/>
      <c r="I16" s="1650"/>
      <c r="J16" s="1651"/>
      <c r="K16" s="1652"/>
      <c r="L16" s="1653"/>
      <c r="M16" s="1654"/>
      <c r="N16" s="1655"/>
      <c r="O16" s="1656"/>
      <c r="P16" s="1657" t="str">
        <f t="shared" ref="P16" si="0">+IF(D16=0,"",O16/H16)</f>
        <v/>
      </c>
      <c r="Q16" s="1655"/>
      <c r="R16" s="1656"/>
      <c r="S16" s="1657"/>
      <c r="T16" s="2001"/>
      <c r="U16" s="1435"/>
      <c r="V16" s="1435"/>
      <c r="W16" s="1435"/>
      <c r="X16" s="1434" t="s">
        <v>3625</v>
      </c>
      <c r="Z16" s="1448" t="e">
        <f>SUM(#REF!)</f>
        <v>#REF!</v>
      </c>
    </row>
    <row r="17" spans="1:28" s="1255" customFormat="1">
      <c r="B17" s="2043" t="s">
        <v>35</v>
      </c>
      <c r="C17" s="2044" t="s">
        <v>2898</v>
      </c>
      <c r="D17" s="1660"/>
      <c r="E17" s="1522"/>
      <c r="F17" s="1522"/>
      <c r="G17" s="1661"/>
      <c r="H17" s="1662"/>
      <c r="I17" s="1663"/>
      <c r="J17" s="1664"/>
      <c r="K17" s="1665"/>
      <c r="L17" s="1666"/>
      <c r="M17" s="1667"/>
      <c r="N17" s="1668"/>
      <c r="O17" s="1669"/>
      <c r="P17" s="1670"/>
      <c r="Q17" s="1497"/>
      <c r="R17" s="1671"/>
      <c r="S17" s="1672"/>
      <c r="T17" s="2002"/>
      <c r="U17" s="1260">
        <f>+R17+O17</f>
        <v>0</v>
      </c>
      <c r="V17" s="1260">
        <f t="shared" ref="V17:V24" si="1">+H17</f>
        <v>0</v>
      </c>
      <c r="W17" s="1260">
        <f>+V17-U17</f>
        <v>0</v>
      </c>
      <c r="X17" s="1270" t="s">
        <v>1234</v>
      </c>
      <c r="Z17" s="1261" t="e">
        <f>SUM(#REF!)</f>
        <v>#REF!</v>
      </c>
    </row>
    <row r="18" spans="1:28" s="1254" customFormat="1">
      <c r="B18" s="1673" t="s">
        <v>537</v>
      </c>
      <c r="C18" s="1674" t="s">
        <v>3964</v>
      </c>
      <c r="D18" s="1660" t="s">
        <v>40</v>
      </c>
      <c r="E18" s="1522">
        <v>1777.55</v>
      </c>
      <c r="F18" s="1522">
        <v>37.119999999999997</v>
      </c>
      <c r="G18" s="1661">
        <v>37.380000000000003</v>
      </c>
      <c r="H18" s="1662">
        <f t="shared" ref="H18:H81" si="2">+E18*F18</f>
        <v>65982.655999999988</v>
      </c>
      <c r="I18" s="1662">
        <f>ROUND(E18*G18,2)</f>
        <v>66444.820000000007</v>
      </c>
      <c r="J18" s="1664">
        <v>1777.55</v>
      </c>
      <c r="K18" s="1665">
        <v>66444.819000000003</v>
      </c>
      <c r="L18" s="1666"/>
      <c r="M18" s="1667">
        <f>L18*G18</f>
        <v>0</v>
      </c>
      <c r="N18" s="1668">
        <f>J18+L18</f>
        <v>1777.55</v>
      </c>
      <c r="O18" s="1669">
        <f>N18*G18</f>
        <v>66444.819000000003</v>
      </c>
      <c r="P18" s="1670">
        <f>+IF(D18=0,"",O18/I18)</f>
        <v>0.99999998494991782</v>
      </c>
      <c r="Q18" s="1497">
        <f t="shared" ref="Q18:Q81" si="3">E18-N18</f>
        <v>0</v>
      </c>
      <c r="R18" s="1671">
        <f>ROUND((Q18*G18),2)</f>
        <v>0</v>
      </c>
      <c r="S18" s="1672">
        <f>+IF(I18=0,"",R18/I18)</f>
        <v>0</v>
      </c>
      <c r="T18" s="1666">
        <v>90.96</v>
      </c>
      <c r="U18" s="1260">
        <f t="shared" ref="U18:U24" si="4">+R18+O18</f>
        <v>66444.819000000003</v>
      </c>
      <c r="V18" s="1260">
        <f t="shared" si="1"/>
        <v>65982.655999999988</v>
      </c>
      <c r="W18" s="1260">
        <f t="shared" ref="W18:W24" si="5">+V18-U18</f>
        <v>-462.16300000001502</v>
      </c>
      <c r="X18" s="1270" t="s">
        <v>3626</v>
      </c>
      <c r="Y18" s="1255"/>
      <c r="Z18" s="1261" t="e">
        <f>SUM(#REF!)</f>
        <v>#REF!</v>
      </c>
    </row>
    <row r="19" spans="1:28" s="1254" customFormat="1">
      <c r="A19" s="1266"/>
      <c r="B19" s="2043" t="s">
        <v>39</v>
      </c>
      <c r="C19" s="2044" t="s">
        <v>2934</v>
      </c>
      <c r="D19" s="1660"/>
      <c r="E19" s="1522"/>
      <c r="F19" s="1522"/>
      <c r="G19" s="1661"/>
      <c r="H19" s="1662"/>
      <c r="I19" s="1662"/>
      <c r="J19" s="1664"/>
      <c r="K19" s="1665"/>
      <c r="L19" s="1666"/>
      <c r="M19" s="1667"/>
      <c r="N19" s="1668"/>
      <c r="O19" s="1669"/>
      <c r="P19" s="1670"/>
      <c r="Q19" s="1497"/>
      <c r="R19" s="1671"/>
      <c r="S19" s="1672" t="str">
        <f t="shared" ref="S19:S76" si="6">+IF(H19=0,"",R19/H19)</f>
        <v/>
      </c>
      <c r="T19" s="1666"/>
      <c r="U19" s="1260">
        <f t="shared" si="4"/>
        <v>0</v>
      </c>
      <c r="V19" s="1260">
        <f t="shared" si="1"/>
        <v>0</v>
      </c>
      <c r="W19" s="1260">
        <f t="shared" si="5"/>
        <v>0</v>
      </c>
      <c r="X19" s="1270" t="s">
        <v>3627</v>
      </c>
      <c r="Y19" s="1255"/>
      <c r="Z19" s="1261" t="e">
        <f>SUM(#REF!)</f>
        <v>#REF!</v>
      </c>
    </row>
    <row r="20" spans="1:28" s="1255" customFormat="1">
      <c r="B20" s="2039" t="s">
        <v>542</v>
      </c>
      <c r="C20" s="2040" t="s">
        <v>2935</v>
      </c>
      <c r="D20" s="1660"/>
      <c r="E20" s="1522"/>
      <c r="F20" s="1522"/>
      <c r="G20" s="1661"/>
      <c r="H20" s="1662"/>
      <c r="I20" s="1662"/>
      <c r="J20" s="1664"/>
      <c r="K20" s="1665"/>
      <c r="L20" s="1666"/>
      <c r="M20" s="1667"/>
      <c r="N20" s="1668"/>
      <c r="O20" s="1669"/>
      <c r="P20" s="1670"/>
      <c r="Q20" s="1497"/>
      <c r="R20" s="1671"/>
      <c r="S20" s="1672" t="str">
        <f t="shared" si="6"/>
        <v/>
      </c>
      <c r="T20" s="1666"/>
      <c r="U20" s="1260">
        <f t="shared" si="4"/>
        <v>0</v>
      </c>
      <c r="V20" s="1260">
        <f t="shared" si="1"/>
        <v>0</v>
      </c>
      <c r="W20" s="1260">
        <f t="shared" si="5"/>
        <v>0</v>
      </c>
      <c r="X20" s="1270" t="s">
        <v>3628</v>
      </c>
      <c r="Z20" s="1261" t="e">
        <f>SUM(#REF!)</f>
        <v>#REF!</v>
      </c>
    </row>
    <row r="21" spans="1:28" s="1254" customFormat="1">
      <c r="B21" s="1673" t="s">
        <v>3724</v>
      </c>
      <c r="C21" s="1674" t="s">
        <v>3965</v>
      </c>
      <c r="D21" s="1660" t="s">
        <v>37</v>
      </c>
      <c r="E21" s="1522">
        <v>398.34</v>
      </c>
      <c r="F21" s="1522">
        <v>74.19</v>
      </c>
      <c r="G21" s="1661">
        <v>76.349999999999994</v>
      </c>
      <c r="H21" s="1662">
        <f t="shared" si="2"/>
        <v>29552.844599999997</v>
      </c>
      <c r="I21" s="1662">
        <f t="shared" ref="I21:I84" si="7">ROUND(E21*G21,2)</f>
        <v>30413.26</v>
      </c>
      <c r="J21" s="1664">
        <v>398.34000000000003</v>
      </c>
      <c r="K21" s="1665">
        <v>30413.259000000002</v>
      </c>
      <c r="L21" s="1666"/>
      <c r="M21" s="1667">
        <f>L21*G21</f>
        <v>0</v>
      </c>
      <c r="N21" s="1668">
        <f t="shared" ref="N21:N84" si="8">J21+L21</f>
        <v>398.34000000000003</v>
      </c>
      <c r="O21" s="1669">
        <f>N21*G21</f>
        <v>30413.259000000002</v>
      </c>
      <c r="P21" s="1670">
        <f>+IF(D21=0,"",O21/I21)</f>
        <v>0.99999996711960515</v>
      </c>
      <c r="Q21" s="1497">
        <f t="shared" si="3"/>
        <v>0</v>
      </c>
      <c r="R21" s="1671">
        <f>ROUND((Q21*G21),2)</f>
        <v>0</v>
      </c>
      <c r="S21" s="1672">
        <f>+IF(I21=0,"",R21/I21)</f>
        <v>0</v>
      </c>
      <c r="T21" s="1666">
        <v>80.67</v>
      </c>
      <c r="U21" s="1260">
        <f t="shared" si="4"/>
        <v>30413.259000000002</v>
      </c>
      <c r="V21" s="1260">
        <f t="shared" si="1"/>
        <v>29552.844599999997</v>
      </c>
      <c r="W21" s="1260">
        <f t="shared" si="5"/>
        <v>-860.41440000000512</v>
      </c>
      <c r="X21" s="1271"/>
    </row>
    <row r="22" spans="1:28" s="1255" customFormat="1">
      <c r="A22" s="1266"/>
      <c r="B22" s="2039" t="s">
        <v>543</v>
      </c>
      <c r="C22" s="2040" t="s">
        <v>3966</v>
      </c>
      <c r="D22" s="1660"/>
      <c r="E22" s="1522"/>
      <c r="F22" s="1522"/>
      <c r="G22" s="1661"/>
      <c r="H22" s="1662"/>
      <c r="I22" s="1662"/>
      <c r="J22" s="1664"/>
      <c r="K22" s="1665"/>
      <c r="L22" s="1666"/>
      <c r="M22" s="1667"/>
      <c r="N22" s="1668"/>
      <c r="O22" s="1669"/>
      <c r="P22" s="1670"/>
      <c r="Q22" s="1497"/>
      <c r="R22" s="1671"/>
      <c r="S22" s="1672" t="str">
        <f t="shared" si="6"/>
        <v/>
      </c>
      <c r="T22" s="2002"/>
      <c r="U22" s="1260">
        <f t="shared" si="4"/>
        <v>0</v>
      </c>
      <c r="V22" s="1260">
        <f t="shared" si="1"/>
        <v>0</v>
      </c>
      <c r="W22" s="1260">
        <f t="shared" si="5"/>
        <v>0</v>
      </c>
      <c r="X22" s="1270"/>
      <c r="Y22" s="1254" t="s">
        <v>2</v>
      </c>
      <c r="Z22" s="1259" t="e">
        <f>SUM(Z15:Z21)</f>
        <v>#REF!</v>
      </c>
      <c r="AA22" s="1260">
        <f>+M191</f>
        <v>172227.28873820006</v>
      </c>
      <c r="AB22" s="1260" t="e">
        <f>+Z22-AA22</f>
        <v>#REF!</v>
      </c>
    </row>
    <row r="23" spans="1:28" s="1255" customFormat="1">
      <c r="B23" s="1673" t="s">
        <v>3726</v>
      </c>
      <c r="C23" s="1674" t="s">
        <v>3967</v>
      </c>
      <c r="D23" s="1660" t="s">
        <v>40</v>
      </c>
      <c r="E23" s="1522">
        <v>2.85</v>
      </c>
      <c r="F23" s="1522">
        <v>441.91</v>
      </c>
      <c r="G23" s="1661">
        <v>448.91</v>
      </c>
      <c r="H23" s="1662">
        <f t="shared" si="2"/>
        <v>1259.4435000000001</v>
      </c>
      <c r="I23" s="1662">
        <f t="shared" si="7"/>
        <v>1279.3900000000001</v>
      </c>
      <c r="J23" s="1664">
        <v>2.25</v>
      </c>
      <c r="K23" s="1665">
        <v>1010.0475</v>
      </c>
      <c r="L23" s="1666"/>
      <c r="M23" s="1667">
        <f t="shared" ref="M23:M25" si="9">L23*G23</f>
        <v>0</v>
      </c>
      <c r="N23" s="1668">
        <f t="shared" si="8"/>
        <v>2.25</v>
      </c>
      <c r="O23" s="1669">
        <f t="shared" ref="O23:O25" si="10">N23*G23</f>
        <v>1010.0475</v>
      </c>
      <c r="P23" s="1670">
        <f t="shared" ref="P23:P25" si="11">+IF(D23=0,"",O23/I23)</f>
        <v>0.78947584395688564</v>
      </c>
      <c r="Q23" s="1497">
        <f t="shared" si="3"/>
        <v>0.60000000000000009</v>
      </c>
      <c r="R23" s="1671">
        <f t="shared" ref="R23:R25" si="12">ROUND((Q23*G23),2)</f>
        <v>269.35000000000002</v>
      </c>
      <c r="S23" s="1672">
        <f t="shared" ref="S23:S25" si="13">+IF(I23=0,"",R23/I23)</f>
        <v>0.21053001821180406</v>
      </c>
      <c r="T23" s="2002"/>
      <c r="U23" s="1260">
        <f t="shared" si="4"/>
        <v>1279.3975</v>
      </c>
      <c r="V23" s="1260">
        <f t="shared" si="1"/>
        <v>1259.4435000000001</v>
      </c>
      <c r="W23" s="1260">
        <f t="shared" si="5"/>
        <v>-19.953999999999951</v>
      </c>
      <c r="X23" s="1270"/>
    </row>
    <row r="24" spans="1:28" s="1255" customFormat="1">
      <c r="A24" s="1266"/>
      <c r="B24" s="1673" t="s">
        <v>3728</v>
      </c>
      <c r="C24" s="1674" t="s">
        <v>3968</v>
      </c>
      <c r="D24" s="1660" t="s">
        <v>37</v>
      </c>
      <c r="E24" s="1522">
        <v>39.450000000000003</v>
      </c>
      <c r="F24" s="1522">
        <v>69.56</v>
      </c>
      <c r="G24" s="1661">
        <v>71.28</v>
      </c>
      <c r="H24" s="1662">
        <f t="shared" si="2"/>
        <v>2744.1420000000003</v>
      </c>
      <c r="I24" s="1662">
        <f t="shared" si="7"/>
        <v>2812</v>
      </c>
      <c r="J24" s="1664">
        <v>39</v>
      </c>
      <c r="K24" s="1665">
        <v>2779.92</v>
      </c>
      <c r="L24" s="1666"/>
      <c r="M24" s="1667">
        <f t="shared" si="9"/>
        <v>0</v>
      </c>
      <c r="N24" s="1668">
        <f t="shared" si="8"/>
        <v>39</v>
      </c>
      <c r="O24" s="1669">
        <f t="shared" si="10"/>
        <v>2779.92</v>
      </c>
      <c r="P24" s="1670">
        <f t="shared" si="11"/>
        <v>0.98859174964438123</v>
      </c>
      <c r="Q24" s="1497">
        <f t="shared" si="3"/>
        <v>0.45000000000000284</v>
      </c>
      <c r="R24" s="1671">
        <f t="shared" si="12"/>
        <v>32.08</v>
      </c>
      <c r="S24" s="1672">
        <f t="shared" si="13"/>
        <v>1.1408250355618776E-2</v>
      </c>
      <c r="T24" s="2002"/>
      <c r="U24" s="1260">
        <f t="shared" si="4"/>
        <v>2812</v>
      </c>
      <c r="V24" s="1260">
        <f t="shared" si="1"/>
        <v>2744.1420000000003</v>
      </c>
      <c r="W24" s="1260">
        <f t="shared" si="5"/>
        <v>-67.85799999999972</v>
      </c>
      <c r="X24" s="1270"/>
    </row>
    <row r="25" spans="1:28" s="1255" customFormat="1">
      <c r="A25" s="1266"/>
      <c r="B25" s="1673" t="s">
        <v>3969</v>
      </c>
      <c r="C25" s="1674" t="s">
        <v>3970</v>
      </c>
      <c r="D25" s="1660" t="s">
        <v>48</v>
      </c>
      <c r="E25" s="1522">
        <v>918.39</v>
      </c>
      <c r="F25" s="1522">
        <v>5.05</v>
      </c>
      <c r="G25" s="1661">
        <v>5.1100000000000003</v>
      </c>
      <c r="H25" s="1662">
        <f t="shared" si="2"/>
        <v>4637.8694999999998</v>
      </c>
      <c r="I25" s="1662">
        <f t="shared" si="7"/>
        <v>4692.97</v>
      </c>
      <c r="J25" s="1664">
        <v>206.26999999999998</v>
      </c>
      <c r="K25" s="1665">
        <v>1054.0397</v>
      </c>
      <c r="L25" s="1666"/>
      <c r="M25" s="1667">
        <f t="shared" si="9"/>
        <v>0</v>
      </c>
      <c r="N25" s="1668">
        <f t="shared" si="8"/>
        <v>206.26999999999998</v>
      </c>
      <c r="O25" s="1669">
        <f t="shared" si="10"/>
        <v>1054.0397</v>
      </c>
      <c r="P25" s="1670">
        <f t="shared" si="11"/>
        <v>0.22459970977866894</v>
      </c>
      <c r="Q25" s="1497">
        <f t="shared" si="3"/>
        <v>712.12</v>
      </c>
      <c r="R25" s="1671">
        <f t="shared" si="12"/>
        <v>3638.93</v>
      </c>
      <c r="S25" s="1672">
        <f t="shared" si="13"/>
        <v>0.77540022629592764</v>
      </c>
      <c r="T25" s="2002"/>
      <c r="U25" s="1260"/>
      <c r="V25" s="1260"/>
      <c r="W25" s="1260"/>
      <c r="X25" s="1270"/>
    </row>
    <row r="26" spans="1:28" s="1255" customFormat="1">
      <c r="B26" s="2043" t="s">
        <v>545</v>
      </c>
      <c r="C26" s="2044" t="s">
        <v>3971</v>
      </c>
      <c r="D26" s="1660"/>
      <c r="E26" s="1522"/>
      <c r="F26" s="1522"/>
      <c r="G26" s="1661"/>
      <c r="H26" s="1662"/>
      <c r="I26" s="1662"/>
      <c r="J26" s="1664"/>
      <c r="K26" s="1665"/>
      <c r="L26" s="1666"/>
      <c r="M26" s="1667"/>
      <c r="N26" s="1668"/>
      <c r="O26" s="1669"/>
      <c r="P26" s="1670"/>
      <c r="Q26" s="1497"/>
      <c r="R26" s="1671"/>
      <c r="S26" s="1672" t="str">
        <f t="shared" si="6"/>
        <v/>
      </c>
      <c r="T26" s="2002"/>
      <c r="U26" s="1260"/>
      <c r="V26" s="1260"/>
      <c r="W26" s="1260"/>
      <c r="X26" s="1270"/>
    </row>
    <row r="27" spans="1:28" s="1255" customFormat="1">
      <c r="A27" s="1254"/>
      <c r="B27" s="1673" t="s">
        <v>546</v>
      </c>
      <c r="C27" s="1674" t="s">
        <v>3972</v>
      </c>
      <c r="D27" s="1660" t="s">
        <v>40</v>
      </c>
      <c r="E27" s="1522">
        <v>63.8</v>
      </c>
      <c r="F27" s="1522">
        <v>435.75</v>
      </c>
      <c r="G27" s="1661">
        <v>436.26</v>
      </c>
      <c r="H27" s="1662">
        <f t="shared" si="2"/>
        <v>27800.85</v>
      </c>
      <c r="I27" s="1662">
        <f t="shared" si="7"/>
        <v>27833.39</v>
      </c>
      <c r="J27" s="1664">
        <v>63.8</v>
      </c>
      <c r="K27" s="1665">
        <v>27833.387999999999</v>
      </c>
      <c r="L27" s="1666"/>
      <c r="M27" s="1667">
        <f t="shared" ref="M27:M32" si="14">L27*G27</f>
        <v>0</v>
      </c>
      <c r="N27" s="1668">
        <f t="shared" si="8"/>
        <v>63.8</v>
      </c>
      <c r="O27" s="1669">
        <f t="shared" ref="O27:O32" si="15">N27*G27</f>
        <v>27833.387999999999</v>
      </c>
      <c r="P27" s="1670">
        <f t="shared" ref="P27:P32" si="16">+IF(D27=0,"",O27/I27)</f>
        <v>0.99999992814385885</v>
      </c>
      <c r="Q27" s="1497">
        <f t="shared" si="3"/>
        <v>0</v>
      </c>
      <c r="R27" s="1671">
        <f t="shared" ref="R27:R32" si="17">ROUND((Q27*G27),2)</f>
        <v>0</v>
      </c>
      <c r="S27" s="1672">
        <f t="shared" ref="S27:S32" si="18">+IF(I27=0,"",R27/I27)</f>
        <v>0</v>
      </c>
      <c r="T27" s="2002"/>
      <c r="U27" s="1260"/>
      <c r="V27" s="1260"/>
      <c r="W27" s="1260"/>
      <c r="X27" s="1270"/>
    </row>
    <row r="28" spans="1:28" s="1255" customFormat="1">
      <c r="A28" s="1266"/>
      <c r="B28" s="1673" t="s">
        <v>547</v>
      </c>
      <c r="C28" s="1674" t="s">
        <v>3973</v>
      </c>
      <c r="D28" s="1660" t="s">
        <v>37</v>
      </c>
      <c r="E28" s="1522">
        <v>52.36</v>
      </c>
      <c r="F28" s="1522">
        <v>61.62</v>
      </c>
      <c r="G28" s="1661">
        <v>63.05</v>
      </c>
      <c r="H28" s="1662">
        <f t="shared" si="2"/>
        <v>3226.4231999999997</v>
      </c>
      <c r="I28" s="1662">
        <f t="shared" si="7"/>
        <v>3301.3</v>
      </c>
      <c r="J28" s="1664">
        <v>4.7</v>
      </c>
      <c r="K28" s="1665">
        <v>296.33499999999998</v>
      </c>
      <c r="L28" s="1666"/>
      <c r="M28" s="1667">
        <f t="shared" si="14"/>
        <v>0</v>
      </c>
      <c r="N28" s="1668">
        <f t="shared" si="8"/>
        <v>4.7</v>
      </c>
      <c r="O28" s="1669">
        <f t="shared" si="15"/>
        <v>296.33499999999998</v>
      </c>
      <c r="P28" s="1670">
        <f t="shared" si="16"/>
        <v>8.9763123617968663E-2</v>
      </c>
      <c r="Q28" s="1497">
        <f t="shared" si="3"/>
        <v>47.66</v>
      </c>
      <c r="R28" s="1671">
        <f t="shared" si="17"/>
        <v>3004.96</v>
      </c>
      <c r="S28" s="1672">
        <f t="shared" si="18"/>
        <v>0.91023536182715892</v>
      </c>
      <c r="T28" s="2002"/>
      <c r="U28" s="1260"/>
      <c r="V28" s="1260"/>
      <c r="W28" s="1260"/>
      <c r="X28" s="1270"/>
    </row>
    <row r="29" spans="1:28" s="1255" customFormat="1">
      <c r="B29" s="1673" t="s">
        <v>2249</v>
      </c>
      <c r="C29" s="1674" t="s">
        <v>3974</v>
      </c>
      <c r="D29" s="1660" t="s">
        <v>36</v>
      </c>
      <c r="E29" s="1522">
        <v>384</v>
      </c>
      <c r="F29" s="1522">
        <v>24.52</v>
      </c>
      <c r="G29" s="1661">
        <v>24.73</v>
      </c>
      <c r="H29" s="1662">
        <f t="shared" si="2"/>
        <v>9415.68</v>
      </c>
      <c r="I29" s="1662">
        <f t="shared" si="7"/>
        <v>9496.32</v>
      </c>
      <c r="J29" s="1664">
        <v>78</v>
      </c>
      <c r="K29" s="1665">
        <v>1928.94</v>
      </c>
      <c r="L29" s="1666"/>
      <c r="M29" s="1667">
        <f t="shared" si="14"/>
        <v>0</v>
      </c>
      <c r="N29" s="1668">
        <f t="shared" si="8"/>
        <v>78</v>
      </c>
      <c r="O29" s="1669">
        <f t="shared" si="15"/>
        <v>1928.94</v>
      </c>
      <c r="P29" s="1670">
        <f t="shared" si="16"/>
        <v>0.203125</v>
      </c>
      <c r="Q29" s="1497">
        <f t="shared" si="3"/>
        <v>306</v>
      </c>
      <c r="R29" s="1671">
        <f t="shared" si="17"/>
        <v>7567.38</v>
      </c>
      <c r="S29" s="1672">
        <f t="shared" si="18"/>
        <v>0.796875</v>
      </c>
      <c r="T29" s="2002"/>
      <c r="U29" s="1260"/>
      <c r="V29" s="1260"/>
      <c r="W29" s="1260"/>
      <c r="X29" s="1270"/>
    </row>
    <row r="30" spans="1:28" s="1255" customFormat="1">
      <c r="A30" s="1254"/>
      <c r="B30" s="1673" t="s">
        <v>2250</v>
      </c>
      <c r="C30" s="1674" t="s">
        <v>3975</v>
      </c>
      <c r="D30" s="1660" t="s">
        <v>3876</v>
      </c>
      <c r="E30" s="1522">
        <v>262</v>
      </c>
      <c r="F30" s="1522">
        <v>8.6199999999999992</v>
      </c>
      <c r="G30" s="1661">
        <v>8.94</v>
      </c>
      <c r="H30" s="1662">
        <f t="shared" si="2"/>
        <v>2258.4399999999996</v>
      </c>
      <c r="I30" s="1662">
        <f t="shared" si="7"/>
        <v>2342.2800000000002</v>
      </c>
      <c r="J30" s="1664">
        <v>17.5</v>
      </c>
      <c r="K30" s="1665">
        <v>156.44999999999999</v>
      </c>
      <c r="L30" s="1666"/>
      <c r="M30" s="1667">
        <f t="shared" si="14"/>
        <v>0</v>
      </c>
      <c r="N30" s="1668">
        <f t="shared" si="8"/>
        <v>17.5</v>
      </c>
      <c r="O30" s="1669">
        <f t="shared" si="15"/>
        <v>156.44999999999999</v>
      </c>
      <c r="P30" s="1670">
        <f t="shared" si="16"/>
        <v>6.6793893129770979E-2</v>
      </c>
      <c r="Q30" s="1497">
        <f t="shared" si="3"/>
        <v>244.5</v>
      </c>
      <c r="R30" s="1671">
        <f t="shared" si="17"/>
        <v>2185.83</v>
      </c>
      <c r="S30" s="1672">
        <f t="shared" si="18"/>
        <v>0.93320610687022887</v>
      </c>
      <c r="T30" s="2002"/>
      <c r="U30" s="1260"/>
      <c r="V30" s="1260"/>
      <c r="W30" s="1260"/>
      <c r="X30" s="1270"/>
    </row>
    <row r="31" spans="1:28" s="1255" customFormat="1">
      <c r="A31" s="1266"/>
      <c r="B31" s="1673" t="s">
        <v>3745</v>
      </c>
      <c r="C31" s="1674" t="s">
        <v>3976</v>
      </c>
      <c r="D31" s="1660" t="s">
        <v>2827</v>
      </c>
      <c r="E31" s="1522">
        <v>1</v>
      </c>
      <c r="F31" s="1522">
        <v>998.14</v>
      </c>
      <c r="G31" s="1661">
        <v>1003.91</v>
      </c>
      <c r="H31" s="1662">
        <f t="shared" si="2"/>
        <v>998.14</v>
      </c>
      <c r="I31" s="1662">
        <f t="shared" si="7"/>
        <v>1003.91</v>
      </c>
      <c r="J31" s="1664">
        <v>0.5</v>
      </c>
      <c r="K31" s="1665">
        <v>501.95499999999998</v>
      </c>
      <c r="L31" s="1666"/>
      <c r="M31" s="1667">
        <f t="shared" si="14"/>
        <v>0</v>
      </c>
      <c r="N31" s="1668">
        <f t="shared" si="8"/>
        <v>0.5</v>
      </c>
      <c r="O31" s="1669">
        <f t="shared" si="15"/>
        <v>501.95499999999998</v>
      </c>
      <c r="P31" s="1670">
        <f t="shared" si="16"/>
        <v>0.5</v>
      </c>
      <c r="Q31" s="1497">
        <f t="shared" si="3"/>
        <v>0.5</v>
      </c>
      <c r="R31" s="1671">
        <f t="shared" si="17"/>
        <v>501.96</v>
      </c>
      <c r="S31" s="1672">
        <f t="shared" si="18"/>
        <v>0.50000498052614273</v>
      </c>
      <c r="T31" s="2002"/>
      <c r="U31" s="1260"/>
      <c r="V31" s="1260"/>
      <c r="W31" s="1260"/>
      <c r="X31" s="1270"/>
    </row>
    <row r="32" spans="1:28" s="1255" customFormat="1">
      <c r="B32" s="1673" t="s">
        <v>3750</v>
      </c>
      <c r="C32" s="1674" t="s">
        <v>3977</v>
      </c>
      <c r="D32" s="1660" t="s">
        <v>3876</v>
      </c>
      <c r="E32" s="1522">
        <v>261.77999999999997</v>
      </c>
      <c r="F32" s="1522">
        <v>10.130000000000001</v>
      </c>
      <c r="G32" s="1661">
        <v>10.4</v>
      </c>
      <c r="H32" s="1662">
        <f t="shared" si="2"/>
        <v>2651.8314</v>
      </c>
      <c r="I32" s="1662">
        <f t="shared" si="7"/>
        <v>2722.51</v>
      </c>
      <c r="J32" s="1664">
        <v>0</v>
      </c>
      <c r="K32" s="1665">
        <v>0</v>
      </c>
      <c r="L32" s="1666"/>
      <c r="M32" s="1667">
        <f t="shared" si="14"/>
        <v>0</v>
      </c>
      <c r="N32" s="1668">
        <f t="shared" si="8"/>
        <v>0</v>
      </c>
      <c r="O32" s="1669">
        <f t="shared" si="15"/>
        <v>0</v>
      </c>
      <c r="P32" s="1670">
        <f t="shared" si="16"/>
        <v>0</v>
      </c>
      <c r="Q32" s="1497">
        <f t="shared" si="3"/>
        <v>261.77999999999997</v>
      </c>
      <c r="R32" s="1671">
        <f t="shared" si="17"/>
        <v>2722.51</v>
      </c>
      <c r="S32" s="1672">
        <f t="shared" si="18"/>
        <v>1</v>
      </c>
      <c r="T32" s="2002"/>
      <c r="U32" s="1260"/>
      <c r="V32" s="1260"/>
      <c r="W32" s="1260"/>
      <c r="X32" s="1270"/>
    </row>
    <row r="33" spans="1:24" s="1255" customFormat="1">
      <c r="A33" s="1266"/>
      <c r="B33" s="2043" t="s">
        <v>548</v>
      </c>
      <c r="C33" s="2044" t="s">
        <v>3024</v>
      </c>
      <c r="D33" s="1660"/>
      <c r="E33" s="1522"/>
      <c r="F33" s="1522"/>
      <c r="G33" s="1661"/>
      <c r="H33" s="1662"/>
      <c r="I33" s="1662"/>
      <c r="J33" s="1664"/>
      <c r="K33" s="1665"/>
      <c r="L33" s="1666"/>
      <c r="M33" s="1667"/>
      <c r="N33" s="1668"/>
      <c r="O33" s="1669"/>
      <c r="P33" s="1670"/>
      <c r="Q33" s="1497"/>
      <c r="R33" s="1671"/>
      <c r="S33" s="1672" t="str">
        <f t="shared" si="6"/>
        <v/>
      </c>
      <c r="T33" s="2002"/>
      <c r="U33" s="1260"/>
      <c r="V33" s="1260"/>
      <c r="W33" s="1260"/>
      <c r="X33" s="1270"/>
    </row>
    <row r="34" spans="1:24" s="1255" customFormat="1">
      <c r="A34" s="1266"/>
      <c r="B34" s="2039" t="s">
        <v>549</v>
      </c>
      <c r="C34" s="2040" t="s">
        <v>3978</v>
      </c>
      <c r="D34" s="1660"/>
      <c r="E34" s="1522"/>
      <c r="F34" s="1522"/>
      <c r="G34" s="1661"/>
      <c r="H34" s="1662"/>
      <c r="I34" s="1662"/>
      <c r="J34" s="1664"/>
      <c r="K34" s="1665"/>
      <c r="L34" s="1666"/>
      <c r="M34" s="1667"/>
      <c r="N34" s="1668"/>
      <c r="O34" s="1669"/>
      <c r="P34" s="1670"/>
      <c r="Q34" s="1497"/>
      <c r="R34" s="1671"/>
      <c r="S34" s="1672" t="str">
        <f t="shared" si="6"/>
        <v/>
      </c>
      <c r="T34" s="2002"/>
      <c r="U34" s="1260"/>
      <c r="V34" s="1260"/>
      <c r="W34" s="1260"/>
      <c r="X34" s="1270"/>
    </row>
    <row r="35" spans="1:24" s="1255" customFormat="1">
      <c r="B35" s="1673" t="s">
        <v>3979</v>
      </c>
      <c r="C35" s="1674" t="s">
        <v>3980</v>
      </c>
      <c r="D35" s="1660" t="s">
        <v>36</v>
      </c>
      <c r="E35" s="1522">
        <v>19</v>
      </c>
      <c r="F35" s="1522">
        <v>172.18</v>
      </c>
      <c r="G35" s="1661">
        <v>177.29</v>
      </c>
      <c r="H35" s="1662">
        <f t="shared" si="2"/>
        <v>3271.42</v>
      </c>
      <c r="I35" s="1662">
        <f t="shared" si="7"/>
        <v>3368.51</v>
      </c>
      <c r="J35" s="1664">
        <v>0</v>
      </c>
      <c r="K35" s="1665">
        <v>0</v>
      </c>
      <c r="L35" s="1666"/>
      <c r="M35" s="1667">
        <f t="shared" ref="M35:M47" si="19">L35*G35</f>
        <v>0</v>
      </c>
      <c r="N35" s="1668">
        <f t="shared" si="8"/>
        <v>0</v>
      </c>
      <c r="O35" s="1669">
        <f t="shared" ref="O35:O47" si="20">N35*G35</f>
        <v>0</v>
      </c>
      <c r="P35" s="1670">
        <f t="shared" ref="P35:P47" si="21">+IF(D35=0,"",O35/I35)</f>
        <v>0</v>
      </c>
      <c r="Q35" s="1497">
        <f t="shared" si="3"/>
        <v>19</v>
      </c>
      <c r="R35" s="1671">
        <f t="shared" ref="R35:R47" si="22">ROUND((Q35*G35),2)</f>
        <v>3368.51</v>
      </c>
      <c r="S35" s="1672">
        <f t="shared" ref="S35:S47" si="23">+IF(I35=0,"",R35/I35)</f>
        <v>1</v>
      </c>
      <c r="T35" s="2002"/>
      <c r="U35" s="1260"/>
      <c r="V35" s="1260"/>
      <c r="W35" s="1260"/>
      <c r="X35" s="1270"/>
    </row>
    <row r="36" spans="1:24" s="1255" customFormat="1">
      <c r="A36" s="1254"/>
      <c r="B36" s="1673" t="s">
        <v>3981</v>
      </c>
      <c r="C36" s="1674" t="s">
        <v>3982</v>
      </c>
      <c r="D36" s="1660" t="s">
        <v>36</v>
      </c>
      <c r="E36" s="1522">
        <v>19</v>
      </c>
      <c r="F36" s="1522">
        <v>1172.99</v>
      </c>
      <c r="G36" s="1661">
        <v>1178.0999999999999</v>
      </c>
      <c r="H36" s="1662">
        <f t="shared" si="2"/>
        <v>22286.81</v>
      </c>
      <c r="I36" s="1662">
        <f t="shared" si="7"/>
        <v>22383.9</v>
      </c>
      <c r="J36" s="1664">
        <v>0</v>
      </c>
      <c r="K36" s="1665">
        <v>0</v>
      </c>
      <c r="L36" s="1666"/>
      <c r="M36" s="1667">
        <f t="shared" si="19"/>
        <v>0</v>
      </c>
      <c r="N36" s="1668">
        <f t="shared" si="8"/>
        <v>0</v>
      </c>
      <c r="O36" s="1669">
        <f t="shared" si="20"/>
        <v>0</v>
      </c>
      <c r="P36" s="1670">
        <f t="shared" si="21"/>
        <v>0</v>
      </c>
      <c r="Q36" s="1497">
        <f t="shared" si="3"/>
        <v>19</v>
      </c>
      <c r="R36" s="1671">
        <f t="shared" si="22"/>
        <v>22383.9</v>
      </c>
      <c r="S36" s="1672">
        <f t="shared" si="23"/>
        <v>1</v>
      </c>
      <c r="T36" s="2002"/>
      <c r="U36" s="1260"/>
      <c r="V36" s="1260"/>
      <c r="W36" s="1260"/>
      <c r="X36" s="1270"/>
    </row>
    <row r="37" spans="1:24" s="1255" customFormat="1">
      <c r="A37" s="1266"/>
      <c r="B37" s="1673" t="s">
        <v>3983</v>
      </c>
      <c r="C37" s="1674" t="s">
        <v>3984</v>
      </c>
      <c r="D37" s="1660" t="s">
        <v>38</v>
      </c>
      <c r="E37" s="1522">
        <v>213.95</v>
      </c>
      <c r="F37" s="1522">
        <v>176.66</v>
      </c>
      <c r="G37" s="1661">
        <v>179.42</v>
      </c>
      <c r="H37" s="1662">
        <f t="shared" si="2"/>
        <v>37796.406999999999</v>
      </c>
      <c r="I37" s="1662">
        <f t="shared" si="7"/>
        <v>38386.910000000003</v>
      </c>
      <c r="J37" s="1664">
        <v>0</v>
      </c>
      <c r="K37" s="1665">
        <v>0</v>
      </c>
      <c r="L37" s="1666"/>
      <c r="M37" s="1667">
        <f t="shared" si="19"/>
        <v>0</v>
      </c>
      <c r="N37" s="1668">
        <f t="shared" si="8"/>
        <v>0</v>
      </c>
      <c r="O37" s="1669">
        <f t="shared" si="20"/>
        <v>0</v>
      </c>
      <c r="P37" s="1670">
        <f t="shared" si="21"/>
        <v>0</v>
      </c>
      <c r="Q37" s="1497">
        <f t="shared" si="3"/>
        <v>213.95</v>
      </c>
      <c r="R37" s="1671">
        <f t="shared" si="22"/>
        <v>38386.910000000003</v>
      </c>
      <c r="S37" s="1672">
        <f t="shared" si="23"/>
        <v>1</v>
      </c>
      <c r="T37" s="2002"/>
      <c r="U37" s="1260"/>
      <c r="V37" s="1260"/>
      <c r="W37" s="1260"/>
      <c r="X37" s="1270"/>
    </row>
    <row r="38" spans="1:24" s="1255" customFormat="1">
      <c r="B38" s="1673" t="s">
        <v>3985</v>
      </c>
      <c r="C38" s="1674" t="s">
        <v>3986</v>
      </c>
      <c r="D38" s="1660" t="s">
        <v>37</v>
      </c>
      <c r="E38" s="1522">
        <v>163.44</v>
      </c>
      <c r="F38" s="1522">
        <v>403.47</v>
      </c>
      <c r="G38" s="1661">
        <v>417.39</v>
      </c>
      <c r="H38" s="1662">
        <f t="shared" si="2"/>
        <v>65943.136800000007</v>
      </c>
      <c r="I38" s="1662">
        <f t="shared" si="7"/>
        <v>68218.22</v>
      </c>
      <c r="J38" s="1664">
        <v>0</v>
      </c>
      <c r="K38" s="1665">
        <v>0</v>
      </c>
      <c r="L38" s="1666"/>
      <c r="M38" s="1667">
        <f t="shared" si="19"/>
        <v>0</v>
      </c>
      <c r="N38" s="1668">
        <f t="shared" si="8"/>
        <v>0</v>
      </c>
      <c r="O38" s="1669">
        <f t="shared" si="20"/>
        <v>0</v>
      </c>
      <c r="P38" s="1670">
        <f t="shared" si="21"/>
        <v>0</v>
      </c>
      <c r="Q38" s="1497">
        <f t="shared" si="3"/>
        <v>163.44</v>
      </c>
      <c r="R38" s="1671">
        <f t="shared" si="22"/>
        <v>68218.22</v>
      </c>
      <c r="S38" s="1672">
        <f t="shared" si="23"/>
        <v>1</v>
      </c>
      <c r="T38" s="2002"/>
      <c r="U38" s="1260"/>
      <c r="V38" s="1260"/>
      <c r="W38" s="1260"/>
      <c r="X38" s="1270"/>
    </row>
    <row r="39" spans="1:24" s="1255" customFormat="1">
      <c r="A39" s="1254"/>
      <c r="B39" s="1673" t="s">
        <v>3987</v>
      </c>
      <c r="C39" s="1674" t="s">
        <v>3988</v>
      </c>
      <c r="D39" s="1660" t="s">
        <v>36</v>
      </c>
      <c r="E39" s="1522">
        <v>1</v>
      </c>
      <c r="F39" s="1522">
        <v>1885.41</v>
      </c>
      <c r="G39" s="1661">
        <v>1900.72</v>
      </c>
      <c r="H39" s="1662">
        <f t="shared" si="2"/>
        <v>1885.41</v>
      </c>
      <c r="I39" s="1662">
        <f t="shared" si="7"/>
        <v>1900.72</v>
      </c>
      <c r="J39" s="1664">
        <v>0</v>
      </c>
      <c r="K39" s="1665">
        <v>0</v>
      </c>
      <c r="L39" s="1666"/>
      <c r="M39" s="1667">
        <f t="shared" si="19"/>
        <v>0</v>
      </c>
      <c r="N39" s="1668">
        <f t="shared" si="8"/>
        <v>0</v>
      </c>
      <c r="O39" s="1669">
        <f t="shared" si="20"/>
        <v>0</v>
      </c>
      <c r="P39" s="1670">
        <f t="shared" si="21"/>
        <v>0</v>
      </c>
      <c r="Q39" s="1497">
        <f t="shared" si="3"/>
        <v>1</v>
      </c>
      <c r="R39" s="1671">
        <f t="shared" si="22"/>
        <v>1900.72</v>
      </c>
      <c r="S39" s="1672">
        <f t="shared" si="23"/>
        <v>1</v>
      </c>
      <c r="T39" s="2002"/>
      <c r="U39" s="1260"/>
      <c r="V39" s="1260"/>
      <c r="W39" s="1260"/>
      <c r="X39" s="1270"/>
    </row>
    <row r="40" spans="1:24" s="1255" customFormat="1">
      <c r="A40" s="1266"/>
      <c r="B40" s="1673" t="s">
        <v>3989</v>
      </c>
      <c r="C40" s="1674" t="s">
        <v>3990</v>
      </c>
      <c r="D40" s="1660" t="s">
        <v>36</v>
      </c>
      <c r="E40" s="1522">
        <v>5</v>
      </c>
      <c r="F40" s="1522">
        <v>1739.62</v>
      </c>
      <c r="G40" s="1661">
        <v>1754.93</v>
      </c>
      <c r="H40" s="1662">
        <f t="shared" si="2"/>
        <v>8698.0999999999985</v>
      </c>
      <c r="I40" s="1662">
        <f t="shared" si="7"/>
        <v>8774.65</v>
      </c>
      <c r="J40" s="1664">
        <v>0</v>
      </c>
      <c r="K40" s="1665">
        <v>0</v>
      </c>
      <c r="L40" s="1666"/>
      <c r="M40" s="1667">
        <f t="shared" si="19"/>
        <v>0</v>
      </c>
      <c r="N40" s="1668">
        <f t="shared" si="8"/>
        <v>0</v>
      </c>
      <c r="O40" s="1669">
        <f t="shared" si="20"/>
        <v>0</v>
      </c>
      <c r="P40" s="1670">
        <f t="shared" si="21"/>
        <v>0</v>
      </c>
      <c r="Q40" s="1497">
        <f t="shared" si="3"/>
        <v>5</v>
      </c>
      <c r="R40" s="1671">
        <f t="shared" si="22"/>
        <v>8774.65</v>
      </c>
      <c r="S40" s="1672">
        <f t="shared" si="23"/>
        <v>1</v>
      </c>
      <c r="T40" s="2002"/>
      <c r="U40" s="1260"/>
      <c r="V40" s="1260"/>
      <c r="W40" s="1260"/>
      <c r="X40" s="1270"/>
    </row>
    <row r="41" spans="1:24" s="1255" customFormat="1">
      <c r="B41" s="1673" t="s">
        <v>3991</v>
      </c>
      <c r="C41" s="1674" t="s">
        <v>3992</v>
      </c>
      <c r="D41" s="1660" t="s">
        <v>36</v>
      </c>
      <c r="E41" s="1522">
        <v>2</v>
      </c>
      <c r="F41" s="1522">
        <v>1648.6</v>
      </c>
      <c r="G41" s="1661">
        <v>1663.91</v>
      </c>
      <c r="H41" s="1662">
        <f t="shared" si="2"/>
        <v>3297.2</v>
      </c>
      <c r="I41" s="1662">
        <f t="shared" si="7"/>
        <v>3327.82</v>
      </c>
      <c r="J41" s="1664">
        <v>0</v>
      </c>
      <c r="K41" s="1665">
        <v>0</v>
      </c>
      <c r="L41" s="1666"/>
      <c r="M41" s="1667">
        <f t="shared" si="19"/>
        <v>0</v>
      </c>
      <c r="N41" s="1668">
        <f t="shared" si="8"/>
        <v>0</v>
      </c>
      <c r="O41" s="1669">
        <f t="shared" si="20"/>
        <v>0</v>
      </c>
      <c r="P41" s="1670">
        <f t="shared" si="21"/>
        <v>0</v>
      </c>
      <c r="Q41" s="1497">
        <f t="shared" si="3"/>
        <v>2</v>
      </c>
      <c r="R41" s="1671">
        <f t="shared" si="22"/>
        <v>3327.82</v>
      </c>
      <c r="S41" s="1672">
        <f t="shared" si="23"/>
        <v>1</v>
      </c>
      <c r="T41" s="2002"/>
      <c r="U41" s="1260"/>
      <c r="V41" s="1260"/>
      <c r="W41" s="1260"/>
      <c r="X41" s="1270"/>
    </row>
    <row r="42" spans="1:24" s="1255" customFormat="1">
      <c r="A42" s="1266"/>
      <c r="B42" s="1673" t="s">
        <v>3993</v>
      </c>
      <c r="C42" s="1674" t="s">
        <v>3994</v>
      </c>
      <c r="D42" s="1660" t="s">
        <v>38</v>
      </c>
      <c r="E42" s="1522">
        <v>95.25</v>
      </c>
      <c r="F42" s="1522">
        <v>78.17</v>
      </c>
      <c r="G42" s="1661">
        <v>79.7</v>
      </c>
      <c r="H42" s="1662">
        <f t="shared" si="2"/>
        <v>7445.6925000000001</v>
      </c>
      <c r="I42" s="1662">
        <f t="shared" si="7"/>
        <v>7591.43</v>
      </c>
      <c r="J42" s="1664">
        <v>0</v>
      </c>
      <c r="K42" s="1665">
        <v>0</v>
      </c>
      <c r="L42" s="1666"/>
      <c r="M42" s="1667">
        <f t="shared" si="19"/>
        <v>0</v>
      </c>
      <c r="N42" s="1668">
        <f t="shared" si="8"/>
        <v>0</v>
      </c>
      <c r="O42" s="1669">
        <f t="shared" si="20"/>
        <v>0</v>
      </c>
      <c r="P42" s="1670">
        <f t="shared" si="21"/>
        <v>0</v>
      </c>
      <c r="Q42" s="1497">
        <f t="shared" si="3"/>
        <v>95.25</v>
      </c>
      <c r="R42" s="1671">
        <f t="shared" si="22"/>
        <v>7591.43</v>
      </c>
      <c r="S42" s="1672">
        <f t="shared" si="23"/>
        <v>1</v>
      </c>
      <c r="T42" s="2002"/>
      <c r="U42" s="1260"/>
      <c r="V42" s="1260"/>
      <c r="W42" s="1260"/>
      <c r="X42" s="1270"/>
    </row>
    <row r="43" spans="1:24" s="1255" customFormat="1">
      <c r="A43" s="1266"/>
      <c r="B43" s="1673" t="s">
        <v>3995</v>
      </c>
      <c r="C43" s="1674" t="s">
        <v>3996</v>
      </c>
      <c r="D43" s="1660" t="s">
        <v>38</v>
      </c>
      <c r="E43" s="1522">
        <v>189.46</v>
      </c>
      <c r="F43" s="1522">
        <v>26.08</v>
      </c>
      <c r="G43" s="1661">
        <v>26.58</v>
      </c>
      <c r="H43" s="1662">
        <f t="shared" si="2"/>
        <v>4941.1167999999998</v>
      </c>
      <c r="I43" s="1662">
        <f t="shared" si="7"/>
        <v>5035.8500000000004</v>
      </c>
      <c r="J43" s="1664">
        <v>0</v>
      </c>
      <c r="K43" s="1665">
        <v>0</v>
      </c>
      <c r="L43" s="1666"/>
      <c r="M43" s="1667">
        <f t="shared" si="19"/>
        <v>0</v>
      </c>
      <c r="N43" s="1668">
        <f t="shared" si="8"/>
        <v>0</v>
      </c>
      <c r="O43" s="1669">
        <f t="shared" si="20"/>
        <v>0</v>
      </c>
      <c r="P43" s="1670">
        <f t="shared" si="21"/>
        <v>0</v>
      </c>
      <c r="Q43" s="1497">
        <f t="shared" si="3"/>
        <v>189.46</v>
      </c>
      <c r="R43" s="1671">
        <f t="shared" si="22"/>
        <v>5035.8500000000004</v>
      </c>
      <c r="S43" s="1672">
        <f t="shared" si="23"/>
        <v>1</v>
      </c>
      <c r="T43" s="2002"/>
      <c r="U43" s="1260"/>
      <c r="V43" s="1260"/>
      <c r="W43" s="1260"/>
      <c r="X43" s="1270"/>
    </row>
    <row r="44" spans="1:24" s="1255" customFormat="1">
      <c r="B44" s="1673" t="s">
        <v>3997</v>
      </c>
      <c r="C44" s="1674" t="s">
        <v>3998</v>
      </c>
      <c r="D44" s="1660" t="s">
        <v>38</v>
      </c>
      <c r="E44" s="1522">
        <v>22</v>
      </c>
      <c r="F44" s="1522">
        <v>510.02</v>
      </c>
      <c r="G44" s="1661">
        <v>510.41</v>
      </c>
      <c r="H44" s="1662">
        <f t="shared" si="2"/>
        <v>11220.439999999999</v>
      </c>
      <c r="I44" s="1662">
        <f t="shared" si="7"/>
        <v>11229.02</v>
      </c>
      <c r="J44" s="1664">
        <v>0</v>
      </c>
      <c r="K44" s="1665">
        <v>0</v>
      </c>
      <c r="L44" s="1666"/>
      <c r="M44" s="1667">
        <f t="shared" si="19"/>
        <v>0</v>
      </c>
      <c r="N44" s="1668">
        <f t="shared" si="8"/>
        <v>0</v>
      </c>
      <c r="O44" s="1669">
        <f t="shared" si="20"/>
        <v>0</v>
      </c>
      <c r="P44" s="1670">
        <f t="shared" si="21"/>
        <v>0</v>
      </c>
      <c r="Q44" s="1497">
        <f t="shared" si="3"/>
        <v>22</v>
      </c>
      <c r="R44" s="1671">
        <f t="shared" si="22"/>
        <v>11229.02</v>
      </c>
      <c r="S44" s="1672">
        <f t="shared" si="23"/>
        <v>1</v>
      </c>
      <c r="T44" s="2002"/>
      <c r="U44" s="1260"/>
      <c r="V44" s="1260"/>
      <c r="W44" s="1260"/>
      <c r="X44" s="1270"/>
    </row>
    <row r="45" spans="1:24" s="1255" customFormat="1">
      <c r="A45" s="1254"/>
      <c r="B45" s="1673" t="s">
        <v>3999</v>
      </c>
      <c r="C45" s="1674" t="s">
        <v>4000</v>
      </c>
      <c r="D45" s="1660" t="s">
        <v>38</v>
      </c>
      <c r="E45" s="1522">
        <v>32.299999999999997</v>
      </c>
      <c r="F45" s="1522">
        <v>140.13</v>
      </c>
      <c r="G45" s="1661">
        <v>140.52000000000001</v>
      </c>
      <c r="H45" s="1662">
        <f t="shared" si="2"/>
        <v>4526.1989999999996</v>
      </c>
      <c r="I45" s="1662">
        <f t="shared" si="7"/>
        <v>4538.8</v>
      </c>
      <c r="J45" s="1664">
        <v>0</v>
      </c>
      <c r="K45" s="1665">
        <v>0</v>
      </c>
      <c r="L45" s="1666"/>
      <c r="M45" s="1667">
        <f t="shared" si="19"/>
        <v>0</v>
      </c>
      <c r="N45" s="1668">
        <f t="shared" si="8"/>
        <v>0</v>
      </c>
      <c r="O45" s="1669">
        <f t="shared" si="20"/>
        <v>0</v>
      </c>
      <c r="P45" s="1670">
        <f t="shared" si="21"/>
        <v>0</v>
      </c>
      <c r="Q45" s="1497">
        <f t="shared" si="3"/>
        <v>32.299999999999997</v>
      </c>
      <c r="R45" s="1671">
        <f t="shared" si="22"/>
        <v>4538.8</v>
      </c>
      <c r="S45" s="1672">
        <f t="shared" si="23"/>
        <v>1</v>
      </c>
      <c r="T45" s="2002"/>
      <c r="U45" s="1260"/>
      <c r="V45" s="1260"/>
      <c r="W45" s="1260"/>
      <c r="X45" s="1270"/>
    </row>
    <row r="46" spans="1:24" s="1255" customFormat="1">
      <c r="A46" s="1266"/>
      <c r="B46" s="1673" t="s">
        <v>4001</v>
      </c>
      <c r="C46" s="1674" t="s">
        <v>4002</v>
      </c>
      <c r="D46" s="1660" t="s">
        <v>38</v>
      </c>
      <c r="E46" s="1522">
        <v>12.7</v>
      </c>
      <c r="F46" s="1522">
        <v>56.23</v>
      </c>
      <c r="G46" s="1661">
        <v>56.87</v>
      </c>
      <c r="H46" s="1662">
        <f t="shared" si="2"/>
        <v>714.12099999999987</v>
      </c>
      <c r="I46" s="1662">
        <f t="shared" si="7"/>
        <v>722.25</v>
      </c>
      <c r="J46" s="1664">
        <v>0</v>
      </c>
      <c r="K46" s="1665">
        <v>0</v>
      </c>
      <c r="L46" s="1666"/>
      <c r="M46" s="1667">
        <f t="shared" si="19"/>
        <v>0</v>
      </c>
      <c r="N46" s="1668">
        <f t="shared" si="8"/>
        <v>0</v>
      </c>
      <c r="O46" s="1669">
        <f t="shared" si="20"/>
        <v>0</v>
      </c>
      <c r="P46" s="1670">
        <f t="shared" si="21"/>
        <v>0</v>
      </c>
      <c r="Q46" s="1497">
        <f t="shared" si="3"/>
        <v>12.7</v>
      </c>
      <c r="R46" s="1671">
        <f t="shared" si="22"/>
        <v>722.25</v>
      </c>
      <c r="S46" s="1672">
        <f t="shared" si="23"/>
        <v>1</v>
      </c>
      <c r="T46" s="2002"/>
      <c r="U46" s="1260"/>
      <c r="V46" s="1260"/>
      <c r="W46" s="1260"/>
      <c r="X46" s="1270"/>
    </row>
    <row r="47" spans="1:24" s="1255" customFormat="1">
      <c r="B47" s="1673" t="s">
        <v>4003</v>
      </c>
      <c r="C47" s="1674" t="s">
        <v>4004</v>
      </c>
      <c r="D47" s="1660" t="s">
        <v>37</v>
      </c>
      <c r="E47" s="1522">
        <v>163.56</v>
      </c>
      <c r="F47" s="1522">
        <v>359.23</v>
      </c>
      <c r="G47" s="1661">
        <v>360.76</v>
      </c>
      <c r="H47" s="1662">
        <f t="shared" si="2"/>
        <v>58755.658800000005</v>
      </c>
      <c r="I47" s="1662">
        <f t="shared" si="7"/>
        <v>59005.91</v>
      </c>
      <c r="J47" s="1664">
        <v>0</v>
      </c>
      <c r="K47" s="1665">
        <v>0</v>
      </c>
      <c r="L47" s="1666"/>
      <c r="M47" s="1667">
        <f t="shared" si="19"/>
        <v>0</v>
      </c>
      <c r="N47" s="1668">
        <f t="shared" si="8"/>
        <v>0</v>
      </c>
      <c r="O47" s="1669">
        <f t="shared" si="20"/>
        <v>0</v>
      </c>
      <c r="P47" s="1670">
        <f t="shared" si="21"/>
        <v>0</v>
      </c>
      <c r="Q47" s="1497">
        <f t="shared" si="3"/>
        <v>163.56</v>
      </c>
      <c r="R47" s="1671">
        <f t="shared" si="22"/>
        <v>59005.91</v>
      </c>
      <c r="S47" s="1672">
        <f t="shared" si="23"/>
        <v>1</v>
      </c>
      <c r="T47" s="2002"/>
      <c r="U47" s="1260"/>
      <c r="V47" s="1260"/>
      <c r="W47" s="1260"/>
      <c r="X47" s="1270"/>
    </row>
    <row r="48" spans="1:24" s="1255" customFormat="1">
      <c r="A48" s="1254"/>
      <c r="B48" s="2037" t="s">
        <v>4005</v>
      </c>
      <c r="C48" s="2038" t="s">
        <v>4006</v>
      </c>
      <c r="D48" s="1660"/>
      <c r="E48" s="1522"/>
      <c r="F48" s="1522"/>
      <c r="G48" s="1661"/>
      <c r="H48" s="1662"/>
      <c r="I48" s="1662">
        <f t="shared" si="7"/>
        <v>0</v>
      </c>
      <c r="J48" s="1664"/>
      <c r="K48" s="1665"/>
      <c r="L48" s="1666"/>
      <c r="M48" s="1667"/>
      <c r="N48" s="1668"/>
      <c r="O48" s="1669"/>
      <c r="P48" s="1670"/>
      <c r="Q48" s="1497"/>
      <c r="R48" s="1671"/>
      <c r="S48" s="1672" t="str">
        <f t="shared" si="6"/>
        <v/>
      </c>
      <c r="T48" s="2002"/>
      <c r="U48" s="1260"/>
      <c r="V48" s="1260"/>
      <c r="W48" s="1260"/>
      <c r="X48" s="1270"/>
    </row>
    <row r="49" spans="1:24" s="1255" customFormat="1">
      <c r="A49" s="1266"/>
      <c r="B49" s="1673" t="s">
        <v>4007</v>
      </c>
      <c r="C49" s="1674" t="s">
        <v>4008</v>
      </c>
      <c r="D49" s="1660" t="s">
        <v>36</v>
      </c>
      <c r="E49" s="1522">
        <v>46</v>
      </c>
      <c r="F49" s="1522">
        <v>379.31</v>
      </c>
      <c r="G49" s="1661">
        <v>394.18</v>
      </c>
      <c r="H49" s="1662">
        <f t="shared" si="2"/>
        <v>17448.259999999998</v>
      </c>
      <c r="I49" s="1662">
        <f t="shared" si="7"/>
        <v>18132.28</v>
      </c>
      <c r="J49" s="1664">
        <v>0</v>
      </c>
      <c r="K49" s="1665">
        <v>0</v>
      </c>
      <c r="L49" s="1666"/>
      <c r="M49" s="1667">
        <f t="shared" ref="M49" si="24">L49*G49</f>
        <v>0</v>
      </c>
      <c r="N49" s="1668">
        <f t="shared" si="8"/>
        <v>0</v>
      </c>
      <c r="O49" s="1669">
        <f>N49*G49</f>
        <v>0</v>
      </c>
      <c r="P49" s="1670">
        <f>+IF(D49=0,"",O49/I49)</f>
        <v>0</v>
      </c>
      <c r="Q49" s="1497">
        <f t="shared" si="3"/>
        <v>46</v>
      </c>
      <c r="R49" s="1671">
        <f>ROUND((Q49*G49),2)</f>
        <v>18132.28</v>
      </c>
      <c r="S49" s="1672">
        <f>+IF(I49=0,"",R49/I49)</f>
        <v>1</v>
      </c>
      <c r="T49" s="2002"/>
      <c r="U49" s="1260"/>
      <c r="V49" s="1260"/>
      <c r="W49" s="1260"/>
      <c r="X49" s="1270"/>
    </row>
    <row r="50" spans="1:24" s="1255" customFormat="1">
      <c r="B50" s="2039" t="s">
        <v>550</v>
      </c>
      <c r="C50" s="2040" t="s">
        <v>4009</v>
      </c>
      <c r="D50" s="1660"/>
      <c r="E50" s="1522"/>
      <c r="F50" s="1522"/>
      <c r="G50" s="1661"/>
      <c r="H50" s="1662"/>
      <c r="I50" s="1662">
        <f t="shared" si="7"/>
        <v>0</v>
      </c>
      <c r="J50" s="1664"/>
      <c r="K50" s="1665"/>
      <c r="L50" s="1666"/>
      <c r="M50" s="1667"/>
      <c r="N50" s="1668"/>
      <c r="O50" s="1669"/>
      <c r="P50" s="1670"/>
      <c r="Q50" s="1497"/>
      <c r="R50" s="1671"/>
      <c r="S50" s="1672" t="str">
        <f t="shared" si="6"/>
        <v/>
      </c>
      <c r="T50" s="2002"/>
      <c r="U50" s="1260"/>
      <c r="V50" s="1260"/>
      <c r="W50" s="1260"/>
      <c r="X50" s="1270"/>
    </row>
    <row r="51" spans="1:24" s="1255" customFormat="1">
      <c r="A51" s="1266"/>
      <c r="B51" s="1673" t="s">
        <v>4010</v>
      </c>
      <c r="C51" s="1674" t="s">
        <v>4011</v>
      </c>
      <c r="D51" s="1660" t="s">
        <v>36</v>
      </c>
      <c r="E51" s="1522">
        <v>20</v>
      </c>
      <c r="F51" s="1522">
        <v>172.18</v>
      </c>
      <c r="G51" s="1661">
        <v>177.29</v>
      </c>
      <c r="H51" s="1662">
        <f t="shared" si="2"/>
        <v>3443.6000000000004</v>
      </c>
      <c r="I51" s="1662">
        <f t="shared" si="7"/>
        <v>3545.8</v>
      </c>
      <c r="J51" s="1664">
        <v>0</v>
      </c>
      <c r="K51" s="1665">
        <v>0</v>
      </c>
      <c r="L51" s="1666"/>
      <c r="M51" s="1667">
        <f t="shared" ref="M51:M60" si="25">L51*G51</f>
        <v>0</v>
      </c>
      <c r="N51" s="1668">
        <f t="shared" si="8"/>
        <v>0</v>
      </c>
      <c r="O51" s="1669">
        <f t="shared" ref="O51:O60" si="26">N51*G51</f>
        <v>0</v>
      </c>
      <c r="P51" s="1670">
        <f t="shared" ref="P51:P60" si="27">+IF(D51=0,"",O51/I51)</f>
        <v>0</v>
      </c>
      <c r="Q51" s="1497">
        <f t="shared" si="3"/>
        <v>20</v>
      </c>
      <c r="R51" s="1671">
        <f t="shared" ref="R51:R60" si="28">ROUND((Q51*G51),2)</f>
        <v>3545.8</v>
      </c>
      <c r="S51" s="1672">
        <f t="shared" ref="S51:S60" si="29">+IF(I51=0,"",R51/I51)</f>
        <v>1</v>
      </c>
      <c r="T51" s="2002"/>
      <c r="U51" s="1260"/>
      <c r="V51" s="1260"/>
      <c r="W51" s="1260"/>
      <c r="X51" s="1270"/>
    </row>
    <row r="52" spans="1:24" s="1255" customFormat="1">
      <c r="A52" s="1266"/>
      <c r="B52" s="1673" t="s">
        <v>4012</v>
      </c>
      <c r="C52" s="1674" t="s">
        <v>4013</v>
      </c>
      <c r="D52" s="1660" t="s">
        <v>36</v>
      </c>
      <c r="E52" s="1522">
        <v>20</v>
      </c>
      <c r="F52" s="1522">
        <v>1083.44</v>
      </c>
      <c r="G52" s="1661">
        <v>1088.55</v>
      </c>
      <c r="H52" s="1662">
        <f t="shared" si="2"/>
        <v>21668.800000000003</v>
      </c>
      <c r="I52" s="1662">
        <f t="shared" si="7"/>
        <v>21771</v>
      </c>
      <c r="J52" s="1664">
        <v>0</v>
      </c>
      <c r="K52" s="1665">
        <v>0</v>
      </c>
      <c r="L52" s="1666"/>
      <c r="M52" s="1667">
        <f t="shared" si="25"/>
        <v>0</v>
      </c>
      <c r="N52" s="1668">
        <f t="shared" si="8"/>
        <v>0</v>
      </c>
      <c r="O52" s="1669">
        <f t="shared" si="26"/>
        <v>0</v>
      </c>
      <c r="P52" s="1670">
        <f t="shared" si="27"/>
        <v>0</v>
      </c>
      <c r="Q52" s="1497">
        <f t="shared" si="3"/>
        <v>20</v>
      </c>
      <c r="R52" s="1671">
        <f t="shared" si="28"/>
        <v>21771</v>
      </c>
      <c r="S52" s="1672">
        <f t="shared" si="29"/>
        <v>1</v>
      </c>
      <c r="T52" s="2002"/>
      <c r="U52" s="1260"/>
      <c r="V52" s="1260"/>
      <c r="W52" s="1260"/>
      <c r="X52" s="1270"/>
    </row>
    <row r="53" spans="1:24" s="1255" customFormat="1">
      <c r="B53" s="1673" t="s">
        <v>4014</v>
      </c>
      <c r="C53" s="1674" t="s">
        <v>3984</v>
      </c>
      <c r="D53" s="1660" t="s">
        <v>38</v>
      </c>
      <c r="E53" s="1522">
        <v>250.24</v>
      </c>
      <c r="F53" s="1522">
        <v>178.6</v>
      </c>
      <c r="G53" s="1661">
        <v>181.36</v>
      </c>
      <c r="H53" s="1662">
        <f t="shared" si="2"/>
        <v>44692.864000000001</v>
      </c>
      <c r="I53" s="1662">
        <f t="shared" si="7"/>
        <v>45383.53</v>
      </c>
      <c r="J53" s="1664">
        <v>0</v>
      </c>
      <c r="K53" s="1665">
        <v>0</v>
      </c>
      <c r="L53" s="1666"/>
      <c r="M53" s="1667">
        <f t="shared" si="25"/>
        <v>0</v>
      </c>
      <c r="N53" s="1668">
        <f t="shared" si="8"/>
        <v>0</v>
      </c>
      <c r="O53" s="1669">
        <f t="shared" si="26"/>
        <v>0</v>
      </c>
      <c r="P53" s="1670">
        <f t="shared" si="27"/>
        <v>0</v>
      </c>
      <c r="Q53" s="1497">
        <f t="shared" si="3"/>
        <v>250.24</v>
      </c>
      <c r="R53" s="1671">
        <f t="shared" si="28"/>
        <v>45383.53</v>
      </c>
      <c r="S53" s="1672">
        <f t="shared" si="29"/>
        <v>1</v>
      </c>
      <c r="T53" s="2002"/>
      <c r="U53" s="1260"/>
      <c r="V53" s="1260"/>
      <c r="W53" s="1260"/>
      <c r="X53" s="1270"/>
    </row>
    <row r="54" spans="1:24" s="1255" customFormat="1">
      <c r="A54" s="1254"/>
      <c r="B54" s="1673" t="s">
        <v>4015</v>
      </c>
      <c r="C54" s="1674" t="s">
        <v>4016</v>
      </c>
      <c r="D54" s="1660" t="s">
        <v>37</v>
      </c>
      <c r="E54" s="1522">
        <v>193.51</v>
      </c>
      <c r="F54" s="1522">
        <v>432.39</v>
      </c>
      <c r="G54" s="1661">
        <v>447.7</v>
      </c>
      <c r="H54" s="1662">
        <f t="shared" si="2"/>
        <v>83671.7889</v>
      </c>
      <c r="I54" s="1662">
        <f t="shared" si="7"/>
        <v>86634.43</v>
      </c>
      <c r="J54" s="1664">
        <v>0</v>
      </c>
      <c r="K54" s="1665">
        <v>0</v>
      </c>
      <c r="L54" s="1666"/>
      <c r="M54" s="1667">
        <f t="shared" si="25"/>
        <v>0</v>
      </c>
      <c r="N54" s="1668">
        <f t="shared" si="8"/>
        <v>0</v>
      </c>
      <c r="O54" s="1669">
        <f t="shared" si="26"/>
        <v>0</v>
      </c>
      <c r="P54" s="1670">
        <f t="shared" si="27"/>
        <v>0</v>
      </c>
      <c r="Q54" s="1497">
        <f t="shared" si="3"/>
        <v>193.51</v>
      </c>
      <c r="R54" s="1671">
        <f t="shared" si="28"/>
        <v>86634.43</v>
      </c>
      <c r="S54" s="1672">
        <f t="shared" si="29"/>
        <v>1</v>
      </c>
      <c r="T54" s="2002"/>
      <c r="U54" s="1260"/>
      <c r="V54" s="1260"/>
      <c r="W54" s="1260"/>
      <c r="X54" s="1270"/>
    </row>
    <row r="55" spans="1:24" s="1255" customFormat="1">
      <c r="A55" s="1266"/>
      <c r="B55" s="1673" t="s">
        <v>4017</v>
      </c>
      <c r="C55" s="1674" t="s">
        <v>4018</v>
      </c>
      <c r="D55" s="1660" t="s">
        <v>38</v>
      </c>
      <c r="E55" s="1522">
        <v>103.8</v>
      </c>
      <c r="F55" s="1522">
        <v>78.06</v>
      </c>
      <c r="G55" s="1661">
        <v>79.59</v>
      </c>
      <c r="H55" s="1662">
        <f t="shared" si="2"/>
        <v>8102.6279999999997</v>
      </c>
      <c r="I55" s="1662">
        <f t="shared" si="7"/>
        <v>8261.44</v>
      </c>
      <c r="J55" s="1664">
        <v>0</v>
      </c>
      <c r="K55" s="1665">
        <v>0</v>
      </c>
      <c r="L55" s="1666"/>
      <c r="M55" s="1667">
        <f t="shared" si="25"/>
        <v>0</v>
      </c>
      <c r="N55" s="1668">
        <f t="shared" si="8"/>
        <v>0</v>
      </c>
      <c r="O55" s="1669">
        <f t="shared" si="26"/>
        <v>0</v>
      </c>
      <c r="P55" s="1670">
        <f t="shared" si="27"/>
        <v>0</v>
      </c>
      <c r="Q55" s="1497">
        <f t="shared" si="3"/>
        <v>103.8</v>
      </c>
      <c r="R55" s="1671">
        <f t="shared" si="28"/>
        <v>8261.44</v>
      </c>
      <c r="S55" s="1672">
        <f t="shared" si="29"/>
        <v>1</v>
      </c>
      <c r="T55" s="2002"/>
      <c r="U55" s="1260"/>
      <c r="V55" s="1260"/>
      <c r="W55" s="1260"/>
      <c r="X55" s="1270"/>
    </row>
    <row r="56" spans="1:24" s="1255" customFormat="1">
      <c r="B56" s="1673" t="s">
        <v>4019</v>
      </c>
      <c r="C56" s="1674" t="s">
        <v>3996</v>
      </c>
      <c r="D56" s="1660" t="s">
        <v>38</v>
      </c>
      <c r="E56" s="1522">
        <v>206.45</v>
      </c>
      <c r="F56" s="1522">
        <v>25.25</v>
      </c>
      <c r="G56" s="1661">
        <v>25.75</v>
      </c>
      <c r="H56" s="1662">
        <f t="shared" si="2"/>
        <v>5212.8624999999993</v>
      </c>
      <c r="I56" s="1662">
        <f t="shared" si="7"/>
        <v>5316.09</v>
      </c>
      <c r="J56" s="1664">
        <v>0</v>
      </c>
      <c r="K56" s="1665">
        <v>0</v>
      </c>
      <c r="L56" s="1666"/>
      <c r="M56" s="1667">
        <f t="shared" si="25"/>
        <v>0</v>
      </c>
      <c r="N56" s="1668">
        <f t="shared" si="8"/>
        <v>0</v>
      </c>
      <c r="O56" s="1669">
        <f t="shared" si="26"/>
        <v>0</v>
      </c>
      <c r="P56" s="1670">
        <f t="shared" si="27"/>
        <v>0</v>
      </c>
      <c r="Q56" s="1497">
        <f t="shared" si="3"/>
        <v>206.45</v>
      </c>
      <c r="R56" s="1671">
        <f t="shared" si="28"/>
        <v>5316.09</v>
      </c>
      <c r="S56" s="1672">
        <f t="shared" si="29"/>
        <v>1</v>
      </c>
      <c r="T56" s="2002"/>
      <c r="U56" s="1260"/>
      <c r="V56" s="1260"/>
      <c r="W56" s="1260"/>
      <c r="X56" s="1270"/>
    </row>
    <row r="57" spans="1:24" s="1255" customFormat="1">
      <c r="A57" s="1254"/>
      <c r="B57" s="1673" t="s">
        <v>4020</v>
      </c>
      <c r="C57" s="1674" t="s">
        <v>4021</v>
      </c>
      <c r="D57" s="1660" t="s">
        <v>38</v>
      </c>
      <c r="E57" s="1522">
        <v>8.6</v>
      </c>
      <c r="F57" s="1522">
        <v>207.53</v>
      </c>
      <c r="G57" s="1661">
        <v>207.92</v>
      </c>
      <c r="H57" s="1662">
        <f t="shared" si="2"/>
        <v>1784.758</v>
      </c>
      <c r="I57" s="1662">
        <f t="shared" si="7"/>
        <v>1788.11</v>
      </c>
      <c r="J57" s="1664">
        <v>0</v>
      </c>
      <c r="K57" s="1665">
        <v>0</v>
      </c>
      <c r="L57" s="1666"/>
      <c r="M57" s="1667">
        <f t="shared" si="25"/>
        <v>0</v>
      </c>
      <c r="N57" s="1668">
        <f t="shared" si="8"/>
        <v>0</v>
      </c>
      <c r="O57" s="1669">
        <f t="shared" si="26"/>
        <v>0</v>
      </c>
      <c r="P57" s="1670">
        <f t="shared" si="27"/>
        <v>0</v>
      </c>
      <c r="Q57" s="1497">
        <f t="shared" si="3"/>
        <v>8.6</v>
      </c>
      <c r="R57" s="1671">
        <f t="shared" si="28"/>
        <v>1788.11</v>
      </c>
      <c r="S57" s="1672">
        <f t="shared" si="29"/>
        <v>1</v>
      </c>
      <c r="T57" s="2002"/>
      <c r="U57" s="1260"/>
      <c r="V57" s="1260"/>
      <c r="W57" s="1260"/>
      <c r="X57" s="1270"/>
    </row>
    <row r="58" spans="1:24" s="1255" customFormat="1">
      <c r="A58" s="1266"/>
      <c r="B58" s="1673" t="s">
        <v>4022</v>
      </c>
      <c r="C58" s="1674" t="s">
        <v>4023</v>
      </c>
      <c r="D58" s="1660" t="s">
        <v>38</v>
      </c>
      <c r="E58" s="1522">
        <v>68</v>
      </c>
      <c r="F58" s="1522">
        <v>282.11</v>
      </c>
      <c r="G58" s="1661">
        <v>282.5</v>
      </c>
      <c r="H58" s="1662">
        <f t="shared" si="2"/>
        <v>19183.48</v>
      </c>
      <c r="I58" s="1662">
        <f t="shared" si="7"/>
        <v>19210</v>
      </c>
      <c r="J58" s="1664">
        <v>0</v>
      </c>
      <c r="K58" s="1665">
        <v>0</v>
      </c>
      <c r="L58" s="1666"/>
      <c r="M58" s="1667">
        <f t="shared" si="25"/>
        <v>0</v>
      </c>
      <c r="N58" s="1668">
        <f t="shared" si="8"/>
        <v>0</v>
      </c>
      <c r="O58" s="1669">
        <f t="shared" si="26"/>
        <v>0</v>
      </c>
      <c r="P58" s="1670">
        <f t="shared" si="27"/>
        <v>0</v>
      </c>
      <c r="Q58" s="1497">
        <f t="shared" si="3"/>
        <v>68</v>
      </c>
      <c r="R58" s="1671">
        <f t="shared" si="28"/>
        <v>19210</v>
      </c>
      <c r="S58" s="1672">
        <f t="shared" si="29"/>
        <v>1</v>
      </c>
      <c r="T58" s="2002"/>
      <c r="U58" s="1260"/>
      <c r="V58" s="1260"/>
      <c r="W58" s="1260"/>
      <c r="X58" s="1270"/>
    </row>
    <row r="59" spans="1:24" s="1255" customFormat="1">
      <c r="B59" s="1673" t="s">
        <v>4024</v>
      </c>
      <c r="C59" s="1674" t="s">
        <v>4025</v>
      </c>
      <c r="D59" s="1660" t="s">
        <v>38</v>
      </c>
      <c r="E59" s="1522">
        <v>26.3</v>
      </c>
      <c r="F59" s="1522">
        <v>53.68</v>
      </c>
      <c r="G59" s="1661">
        <v>54.32</v>
      </c>
      <c r="H59" s="1662">
        <f t="shared" si="2"/>
        <v>1411.7840000000001</v>
      </c>
      <c r="I59" s="1662">
        <f t="shared" si="7"/>
        <v>1428.62</v>
      </c>
      <c r="J59" s="1664">
        <v>0</v>
      </c>
      <c r="K59" s="1665">
        <v>0</v>
      </c>
      <c r="L59" s="1666"/>
      <c r="M59" s="1667">
        <f t="shared" si="25"/>
        <v>0</v>
      </c>
      <c r="N59" s="1668">
        <f t="shared" si="8"/>
        <v>0</v>
      </c>
      <c r="O59" s="1669">
        <f t="shared" si="26"/>
        <v>0</v>
      </c>
      <c r="P59" s="1670">
        <f t="shared" si="27"/>
        <v>0</v>
      </c>
      <c r="Q59" s="1497">
        <f t="shared" si="3"/>
        <v>26.3</v>
      </c>
      <c r="R59" s="1671">
        <f t="shared" si="28"/>
        <v>1428.62</v>
      </c>
      <c r="S59" s="1672">
        <f t="shared" si="29"/>
        <v>1</v>
      </c>
      <c r="T59" s="2002"/>
      <c r="U59" s="1260"/>
      <c r="V59" s="1260"/>
      <c r="W59" s="1260"/>
      <c r="X59" s="1270"/>
    </row>
    <row r="60" spans="1:24" s="1255" customFormat="1">
      <c r="A60" s="1266"/>
      <c r="B60" s="1673" t="s">
        <v>4026</v>
      </c>
      <c r="C60" s="1674" t="s">
        <v>4004</v>
      </c>
      <c r="D60" s="1660" t="s">
        <v>37</v>
      </c>
      <c r="E60" s="1522">
        <v>193.51</v>
      </c>
      <c r="F60" s="1522">
        <v>404.25</v>
      </c>
      <c r="G60" s="1661">
        <v>407.31</v>
      </c>
      <c r="H60" s="1662">
        <f t="shared" si="2"/>
        <v>78226.417499999996</v>
      </c>
      <c r="I60" s="1662">
        <f t="shared" si="7"/>
        <v>78818.559999999998</v>
      </c>
      <c r="J60" s="1664">
        <v>0</v>
      </c>
      <c r="K60" s="1665">
        <v>0</v>
      </c>
      <c r="L60" s="1666"/>
      <c r="M60" s="1667">
        <f t="shared" si="25"/>
        <v>0</v>
      </c>
      <c r="N60" s="1668">
        <f t="shared" si="8"/>
        <v>0</v>
      </c>
      <c r="O60" s="1669">
        <f t="shared" si="26"/>
        <v>0</v>
      </c>
      <c r="P60" s="1670">
        <f t="shared" si="27"/>
        <v>0</v>
      </c>
      <c r="Q60" s="1497">
        <f t="shared" si="3"/>
        <v>193.51</v>
      </c>
      <c r="R60" s="1671">
        <f t="shared" si="28"/>
        <v>78818.559999999998</v>
      </c>
      <c r="S60" s="1672">
        <f t="shared" si="29"/>
        <v>1</v>
      </c>
      <c r="T60" s="2002"/>
      <c r="U60" s="1260"/>
      <c r="V60" s="1260"/>
      <c r="W60" s="1260"/>
      <c r="X60" s="1270"/>
    </row>
    <row r="61" spans="1:24" s="1255" customFormat="1">
      <c r="A61" s="1266"/>
      <c r="B61" s="2037" t="s">
        <v>4027</v>
      </c>
      <c r="C61" s="2038" t="s">
        <v>4006</v>
      </c>
      <c r="D61" s="1660"/>
      <c r="E61" s="1522"/>
      <c r="F61" s="1522"/>
      <c r="G61" s="1661"/>
      <c r="H61" s="1662"/>
      <c r="I61" s="1662">
        <f t="shared" si="7"/>
        <v>0</v>
      </c>
      <c r="J61" s="1664"/>
      <c r="K61" s="1665"/>
      <c r="L61" s="1666"/>
      <c r="M61" s="1667"/>
      <c r="N61" s="1668"/>
      <c r="O61" s="1669"/>
      <c r="P61" s="1670"/>
      <c r="Q61" s="1497"/>
      <c r="R61" s="1671"/>
      <c r="S61" s="1672" t="str">
        <f t="shared" si="6"/>
        <v/>
      </c>
      <c r="T61" s="2002"/>
      <c r="U61" s="1260"/>
      <c r="V61" s="1260"/>
      <c r="W61" s="1260"/>
      <c r="X61" s="1270"/>
    </row>
    <row r="62" spans="1:24" s="1255" customFormat="1">
      <c r="B62" s="1673" t="s">
        <v>4028</v>
      </c>
      <c r="C62" s="1674" t="s">
        <v>4029</v>
      </c>
      <c r="D62" s="1660" t="s">
        <v>36</v>
      </c>
      <c r="E62" s="1522">
        <v>40</v>
      </c>
      <c r="F62" s="1522">
        <v>360.05</v>
      </c>
      <c r="G62" s="1661">
        <v>374.92</v>
      </c>
      <c r="H62" s="1662">
        <f t="shared" si="2"/>
        <v>14402</v>
      </c>
      <c r="I62" s="1662">
        <f t="shared" si="7"/>
        <v>14996.8</v>
      </c>
      <c r="J62" s="1664">
        <v>0</v>
      </c>
      <c r="K62" s="1665">
        <v>0</v>
      </c>
      <c r="L62" s="1666"/>
      <c r="M62" s="1667">
        <f t="shared" ref="M62" si="30">L62*G62</f>
        <v>0</v>
      </c>
      <c r="N62" s="1668">
        <f t="shared" si="8"/>
        <v>0</v>
      </c>
      <c r="O62" s="1669">
        <f>N62*G62</f>
        <v>0</v>
      </c>
      <c r="P62" s="1670">
        <f>+IF(D62=0,"",O62/I62)</f>
        <v>0</v>
      </c>
      <c r="Q62" s="1497">
        <f t="shared" si="3"/>
        <v>40</v>
      </c>
      <c r="R62" s="1671">
        <f>ROUND((Q62*G62),2)</f>
        <v>14996.8</v>
      </c>
      <c r="S62" s="1672">
        <f>+IF(I62=0,"",R62/I62)</f>
        <v>1</v>
      </c>
      <c r="T62" s="2002"/>
      <c r="U62" s="1260"/>
      <c r="V62" s="1260"/>
      <c r="W62" s="1260"/>
      <c r="X62" s="1270"/>
    </row>
    <row r="63" spans="1:24" s="1255" customFormat="1">
      <c r="A63" s="1254"/>
      <c r="B63" s="2039" t="s">
        <v>2251</v>
      </c>
      <c r="C63" s="2040" t="s">
        <v>4030</v>
      </c>
      <c r="D63" s="1660"/>
      <c r="E63" s="1522"/>
      <c r="F63" s="1522"/>
      <c r="G63" s="1661"/>
      <c r="H63" s="1662"/>
      <c r="I63" s="1662">
        <f t="shared" si="7"/>
        <v>0</v>
      </c>
      <c r="J63" s="1664"/>
      <c r="K63" s="1665"/>
      <c r="L63" s="1666"/>
      <c r="M63" s="1667"/>
      <c r="N63" s="1668"/>
      <c r="O63" s="1669"/>
      <c r="P63" s="1670"/>
      <c r="Q63" s="1497"/>
      <c r="R63" s="1671"/>
      <c r="S63" s="1672" t="str">
        <f t="shared" si="6"/>
        <v/>
      </c>
      <c r="T63" s="2002"/>
      <c r="U63" s="1260"/>
      <c r="V63" s="1260"/>
      <c r="W63" s="1260"/>
      <c r="X63" s="1270"/>
    </row>
    <row r="64" spans="1:24" s="1255" customFormat="1">
      <c r="A64" s="1266"/>
      <c r="B64" s="1673" t="s">
        <v>4031</v>
      </c>
      <c r="C64" s="1674" t="s">
        <v>4032</v>
      </c>
      <c r="D64" s="1660" t="s">
        <v>36</v>
      </c>
      <c r="E64" s="1522">
        <v>14</v>
      </c>
      <c r="F64" s="1522">
        <v>172.18</v>
      </c>
      <c r="G64" s="1661">
        <v>177.29</v>
      </c>
      <c r="H64" s="1662">
        <f t="shared" si="2"/>
        <v>2410.52</v>
      </c>
      <c r="I64" s="1662">
        <f t="shared" si="7"/>
        <v>2482.06</v>
      </c>
      <c r="J64" s="1664">
        <v>0</v>
      </c>
      <c r="K64" s="1665">
        <v>0</v>
      </c>
      <c r="L64" s="1666"/>
      <c r="M64" s="1667">
        <f t="shared" ref="M64:M73" si="31">L64*G64</f>
        <v>0</v>
      </c>
      <c r="N64" s="1668">
        <f t="shared" si="8"/>
        <v>0</v>
      </c>
      <c r="O64" s="1669">
        <f t="shared" ref="O64:O73" si="32">N64*G64</f>
        <v>0</v>
      </c>
      <c r="P64" s="1670">
        <f t="shared" ref="P64:P73" si="33">+IF(D64=0,"",O64/I64)</f>
        <v>0</v>
      </c>
      <c r="Q64" s="1497">
        <f t="shared" si="3"/>
        <v>14</v>
      </c>
      <c r="R64" s="1671">
        <f t="shared" ref="R64:R73" si="34">ROUND((Q64*G64),2)</f>
        <v>2482.06</v>
      </c>
      <c r="S64" s="1672">
        <f t="shared" ref="S64:S73" si="35">+IF(I64=0,"",R64/I64)</f>
        <v>1</v>
      </c>
      <c r="T64" s="2002"/>
      <c r="U64" s="1260"/>
      <c r="V64" s="1260"/>
      <c r="W64" s="1260"/>
      <c r="X64" s="1270"/>
    </row>
    <row r="65" spans="1:24" s="1255" customFormat="1">
      <c r="B65" s="1673" t="s">
        <v>4033</v>
      </c>
      <c r="C65" s="1674" t="s">
        <v>4034</v>
      </c>
      <c r="D65" s="1660" t="s">
        <v>36</v>
      </c>
      <c r="E65" s="1522">
        <v>14</v>
      </c>
      <c r="F65" s="1522">
        <v>1083.44</v>
      </c>
      <c r="G65" s="1661">
        <v>1088.55</v>
      </c>
      <c r="H65" s="1662">
        <f t="shared" si="2"/>
        <v>15168.16</v>
      </c>
      <c r="I65" s="1662">
        <f t="shared" si="7"/>
        <v>15239.7</v>
      </c>
      <c r="J65" s="1664">
        <v>0</v>
      </c>
      <c r="K65" s="1665">
        <v>0</v>
      </c>
      <c r="L65" s="1666"/>
      <c r="M65" s="1667">
        <f t="shared" si="31"/>
        <v>0</v>
      </c>
      <c r="N65" s="1668">
        <f t="shared" si="8"/>
        <v>0</v>
      </c>
      <c r="O65" s="1669">
        <f t="shared" si="32"/>
        <v>0</v>
      </c>
      <c r="P65" s="1670">
        <f t="shared" si="33"/>
        <v>0</v>
      </c>
      <c r="Q65" s="1497">
        <f t="shared" si="3"/>
        <v>14</v>
      </c>
      <c r="R65" s="1671">
        <f t="shared" si="34"/>
        <v>15239.7</v>
      </c>
      <c r="S65" s="1672">
        <f t="shared" si="35"/>
        <v>1</v>
      </c>
      <c r="T65" s="2002"/>
      <c r="U65" s="1260"/>
      <c r="V65" s="1260"/>
      <c r="W65" s="1260"/>
      <c r="X65" s="1270"/>
    </row>
    <row r="66" spans="1:24" s="1255" customFormat="1">
      <c r="A66" s="1254"/>
      <c r="B66" s="1673" t="s">
        <v>4035</v>
      </c>
      <c r="C66" s="1674" t="s">
        <v>3984</v>
      </c>
      <c r="D66" s="1660" t="s">
        <v>38</v>
      </c>
      <c r="E66" s="1522">
        <v>110</v>
      </c>
      <c r="F66" s="1522">
        <v>148.5</v>
      </c>
      <c r="G66" s="1661">
        <v>150.04</v>
      </c>
      <c r="H66" s="1662">
        <f t="shared" si="2"/>
        <v>16335</v>
      </c>
      <c r="I66" s="1662">
        <f t="shared" si="7"/>
        <v>16504.400000000001</v>
      </c>
      <c r="J66" s="1664">
        <v>0</v>
      </c>
      <c r="K66" s="1665">
        <v>0</v>
      </c>
      <c r="L66" s="1666"/>
      <c r="M66" s="1667">
        <f t="shared" si="31"/>
        <v>0</v>
      </c>
      <c r="N66" s="1668">
        <f t="shared" si="8"/>
        <v>0</v>
      </c>
      <c r="O66" s="1669">
        <f t="shared" si="32"/>
        <v>0</v>
      </c>
      <c r="P66" s="1670">
        <f t="shared" si="33"/>
        <v>0</v>
      </c>
      <c r="Q66" s="1497">
        <f t="shared" si="3"/>
        <v>110</v>
      </c>
      <c r="R66" s="1671">
        <f t="shared" si="34"/>
        <v>16504.400000000001</v>
      </c>
      <c r="S66" s="1672">
        <f t="shared" si="35"/>
        <v>1</v>
      </c>
      <c r="T66" s="2002"/>
      <c r="U66" s="1260"/>
      <c r="V66" s="1260"/>
      <c r="W66" s="1260"/>
      <c r="X66" s="1270"/>
    </row>
    <row r="67" spans="1:24" s="1255" customFormat="1">
      <c r="A67" s="1266"/>
      <c r="B67" s="1673" t="s">
        <v>4036</v>
      </c>
      <c r="C67" s="1674" t="s">
        <v>4037</v>
      </c>
      <c r="D67" s="1660" t="s">
        <v>37</v>
      </c>
      <c r="E67" s="1522">
        <v>89.24</v>
      </c>
      <c r="F67" s="1522">
        <v>442.33</v>
      </c>
      <c r="G67" s="1661">
        <v>457.64</v>
      </c>
      <c r="H67" s="1662">
        <f t="shared" si="2"/>
        <v>39473.529199999997</v>
      </c>
      <c r="I67" s="1662">
        <f t="shared" si="7"/>
        <v>40839.79</v>
      </c>
      <c r="J67" s="1664">
        <v>0</v>
      </c>
      <c r="K67" s="1665">
        <v>0</v>
      </c>
      <c r="L67" s="1666"/>
      <c r="M67" s="1667">
        <f t="shared" si="31"/>
        <v>0</v>
      </c>
      <c r="N67" s="1668">
        <f t="shared" si="8"/>
        <v>0</v>
      </c>
      <c r="O67" s="1669">
        <f t="shared" si="32"/>
        <v>0</v>
      </c>
      <c r="P67" s="1670">
        <f t="shared" si="33"/>
        <v>0</v>
      </c>
      <c r="Q67" s="1497">
        <f t="shared" si="3"/>
        <v>89.24</v>
      </c>
      <c r="R67" s="1671">
        <f t="shared" si="34"/>
        <v>40839.79</v>
      </c>
      <c r="S67" s="1672">
        <f t="shared" si="35"/>
        <v>1</v>
      </c>
      <c r="T67" s="2002"/>
      <c r="U67" s="1260"/>
      <c r="V67" s="1260"/>
      <c r="W67" s="1260"/>
      <c r="X67" s="1270"/>
    </row>
    <row r="68" spans="1:24" s="1255" customFormat="1">
      <c r="B68" s="1673" t="s">
        <v>4038</v>
      </c>
      <c r="C68" s="1674" t="s">
        <v>4039</v>
      </c>
      <c r="D68" s="1660" t="s">
        <v>38</v>
      </c>
      <c r="E68" s="1522">
        <v>56</v>
      </c>
      <c r="F68" s="1522">
        <v>78.290000000000006</v>
      </c>
      <c r="G68" s="1661">
        <v>79.819999999999993</v>
      </c>
      <c r="H68" s="1662">
        <f t="shared" si="2"/>
        <v>4384.2400000000007</v>
      </c>
      <c r="I68" s="1662">
        <f t="shared" si="7"/>
        <v>4469.92</v>
      </c>
      <c r="J68" s="1664">
        <v>0</v>
      </c>
      <c r="K68" s="1665">
        <v>0</v>
      </c>
      <c r="L68" s="1666"/>
      <c r="M68" s="1667">
        <f t="shared" si="31"/>
        <v>0</v>
      </c>
      <c r="N68" s="1668">
        <f t="shared" si="8"/>
        <v>0</v>
      </c>
      <c r="O68" s="1669">
        <f t="shared" si="32"/>
        <v>0</v>
      </c>
      <c r="P68" s="1670">
        <f t="shared" si="33"/>
        <v>0</v>
      </c>
      <c r="Q68" s="1497">
        <f t="shared" si="3"/>
        <v>56</v>
      </c>
      <c r="R68" s="1671">
        <f t="shared" si="34"/>
        <v>4469.92</v>
      </c>
      <c r="S68" s="1672">
        <f t="shared" si="35"/>
        <v>1</v>
      </c>
      <c r="T68" s="2002"/>
      <c r="U68" s="1260"/>
      <c r="V68" s="1260"/>
      <c r="W68" s="1260"/>
      <c r="X68" s="1270"/>
    </row>
    <row r="69" spans="1:24" s="1255" customFormat="1">
      <c r="A69" s="1266"/>
      <c r="B69" s="1673" t="s">
        <v>4040</v>
      </c>
      <c r="C69" s="1674" t="s">
        <v>3996</v>
      </c>
      <c r="D69" s="1660" t="s">
        <v>38</v>
      </c>
      <c r="E69" s="1522">
        <v>105.8</v>
      </c>
      <c r="F69" s="1522">
        <v>25.37</v>
      </c>
      <c r="G69" s="1661">
        <v>25.87</v>
      </c>
      <c r="H69" s="1662">
        <f t="shared" si="2"/>
        <v>2684.1460000000002</v>
      </c>
      <c r="I69" s="1662">
        <f t="shared" si="7"/>
        <v>2737.05</v>
      </c>
      <c r="J69" s="1664">
        <v>0</v>
      </c>
      <c r="K69" s="1665">
        <v>0</v>
      </c>
      <c r="L69" s="1666"/>
      <c r="M69" s="1667">
        <f t="shared" si="31"/>
        <v>0</v>
      </c>
      <c r="N69" s="1668">
        <f t="shared" si="8"/>
        <v>0</v>
      </c>
      <c r="O69" s="1669">
        <f t="shared" si="32"/>
        <v>0</v>
      </c>
      <c r="P69" s="1670">
        <f t="shared" si="33"/>
        <v>0</v>
      </c>
      <c r="Q69" s="1497">
        <f t="shared" si="3"/>
        <v>105.8</v>
      </c>
      <c r="R69" s="1671">
        <f t="shared" si="34"/>
        <v>2737.05</v>
      </c>
      <c r="S69" s="1672">
        <f t="shared" si="35"/>
        <v>1</v>
      </c>
      <c r="T69" s="2002"/>
      <c r="U69" s="1260"/>
      <c r="V69" s="1260"/>
      <c r="W69" s="1260"/>
      <c r="X69" s="1270"/>
    </row>
    <row r="70" spans="1:24" s="1255" customFormat="1">
      <c r="A70" s="1266"/>
      <c r="B70" s="1673" t="s">
        <v>4041</v>
      </c>
      <c r="C70" s="1674" t="s">
        <v>4042</v>
      </c>
      <c r="D70" s="1660" t="s">
        <v>38</v>
      </c>
      <c r="E70" s="1522">
        <v>8.3000000000000007</v>
      </c>
      <c r="F70" s="1522">
        <v>200.7</v>
      </c>
      <c r="G70" s="1661">
        <v>201.09</v>
      </c>
      <c r="H70" s="1662">
        <f t="shared" si="2"/>
        <v>1665.81</v>
      </c>
      <c r="I70" s="1662">
        <f t="shared" si="7"/>
        <v>1669.05</v>
      </c>
      <c r="J70" s="1664">
        <v>0</v>
      </c>
      <c r="K70" s="1665">
        <v>0</v>
      </c>
      <c r="L70" s="1666"/>
      <c r="M70" s="1667">
        <f t="shared" si="31"/>
        <v>0</v>
      </c>
      <c r="N70" s="1668">
        <f t="shared" si="8"/>
        <v>0</v>
      </c>
      <c r="O70" s="1669">
        <f t="shared" si="32"/>
        <v>0</v>
      </c>
      <c r="P70" s="1670">
        <f t="shared" si="33"/>
        <v>0</v>
      </c>
      <c r="Q70" s="1497">
        <f t="shared" si="3"/>
        <v>8.3000000000000007</v>
      </c>
      <c r="R70" s="1671">
        <f t="shared" si="34"/>
        <v>1669.05</v>
      </c>
      <c r="S70" s="1672">
        <f t="shared" si="35"/>
        <v>1</v>
      </c>
      <c r="T70" s="2002"/>
      <c r="U70" s="1260"/>
      <c r="V70" s="1260"/>
      <c r="W70" s="1260"/>
      <c r="X70" s="1270"/>
    </row>
    <row r="71" spans="1:24" s="1255" customFormat="1">
      <c r="B71" s="1673" t="s">
        <v>4043</v>
      </c>
      <c r="C71" s="1674" t="s">
        <v>4044</v>
      </c>
      <c r="D71" s="1660" t="s">
        <v>38</v>
      </c>
      <c r="E71" s="1522">
        <v>32</v>
      </c>
      <c r="F71" s="1522">
        <v>140.99</v>
      </c>
      <c r="G71" s="1661">
        <v>141.38</v>
      </c>
      <c r="H71" s="1662">
        <f t="shared" si="2"/>
        <v>4511.68</v>
      </c>
      <c r="I71" s="1662">
        <f t="shared" si="7"/>
        <v>4524.16</v>
      </c>
      <c r="J71" s="1664">
        <v>0</v>
      </c>
      <c r="K71" s="1665">
        <v>0</v>
      </c>
      <c r="L71" s="1666"/>
      <c r="M71" s="1667">
        <f t="shared" si="31"/>
        <v>0</v>
      </c>
      <c r="N71" s="1668">
        <f t="shared" si="8"/>
        <v>0</v>
      </c>
      <c r="O71" s="1669">
        <f t="shared" si="32"/>
        <v>0</v>
      </c>
      <c r="P71" s="1670">
        <f t="shared" si="33"/>
        <v>0</v>
      </c>
      <c r="Q71" s="1497">
        <f t="shared" si="3"/>
        <v>32</v>
      </c>
      <c r="R71" s="1671">
        <f t="shared" si="34"/>
        <v>4524.16</v>
      </c>
      <c r="S71" s="1672">
        <f t="shared" si="35"/>
        <v>1</v>
      </c>
      <c r="T71" s="2002"/>
      <c r="U71" s="1260"/>
      <c r="V71" s="1260"/>
      <c r="W71" s="1260"/>
      <c r="X71" s="1270"/>
    </row>
    <row r="72" spans="1:24" s="1255" customFormat="1">
      <c r="A72" s="1254"/>
      <c r="B72" s="1673" t="s">
        <v>4045</v>
      </c>
      <c r="C72" s="1674" t="s">
        <v>4046</v>
      </c>
      <c r="D72" s="1660" t="s">
        <v>38</v>
      </c>
      <c r="E72" s="1522">
        <v>9.8000000000000007</v>
      </c>
      <c r="F72" s="1522">
        <v>57.33</v>
      </c>
      <c r="G72" s="1661">
        <v>57.97</v>
      </c>
      <c r="H72" s="1662">
        <f t="shared" si="2"/>
        <v>561.83400000000006</v>
      </c>
      <c r="I72" s="1662">
        <f t="shared" si="7"/>
        <v>568.11</v>
      </c>
      <c r="J72" s="1664">
        <v>0</v>
      </c>
      <c r="K72" s="1665">
        <v>0</v>
      </c>
      <c r="L72" s="1666"/>
      <c r="M72" s="1667">
        <f t="shared" si="31"/>
        <v>0</v>
      </c>
      <c r="N72" s="1668">
        <f t="shared" si="8"/>
        <v>0</v>
      </c>
      <c r="O72" s="1669">
        <f t="shared" si="32"/>
        <v>0</v>
      </c>
      <c r="P72" s="1670">
        <f t="shared" si="33"/>
        <v>0</v>
      </c>
      <c r="Q72" s="1497">
        <f t="shared" si="3"/>
        <v>9.8000000000000007</v>
      </c>
      <c r="R72" s="1671">
        <f t="shared" si="34"/>
        <v>568.11</v>
      </c>
      <c r="S72" s="1672">
        <f t="shared" si="35"/>
        <v>1</v>
      </c>
      <c r="T72" s="2002"/>
      <c r="U72" s="1260"/>
      <c r="V72" s="1260"/>
      <c r="W72" s="1260"/>
      <c r="X72" s="1270"/>
    </row>
    <row r="73" spans="1:24" s="1255" customFormat="1">
      <c r="A73" s="1266"/>
      <c r="B73" s="1673" t="s">
        <v>4047</v>
      </c>
      <c r="C73" s="1674" t="s">
        <v>4004</v>
      </c>
      <c r="D73" s="1660" t="s">
        <v>37</v>
      </c>
      <c r="E73" s="1522">
        <v>89.24</v>
      </c>
      <c r="F73" s="1522">
        <v>400.34</v>
      </c>
      <c r="G73" s="1661">
        <v>403.4</v>
      </c>
      <c r="H73" s="1662">
        <f t="shared" si="2"/>
        <v>35726.341599999992</v>
      </c>
      <c r="I73" s="1662">
        <f t="shared" si="7"/>
        <v>35999.42</v>
      </c>
      <c r="J73" s="1664">
        <v>0</v>
      </c>
      <c r="K73" s="1665">
        <v>0</v>
      </c>
      <c r="L73" s="1666"/>
      <c r="M73" s="1667">
        <f t="shared" si="31"/>
        <v>0</v>
      </c>
      <c r="N73" s="1668">
        <f t="shared" si="8"/>
        <v>0</v>
      </c>
      <c r="O73" s="1669">
        <f t="shared" si="32"/>
        <v>0</v>
      </c>
      <c r="P73" s="1670">
        <f t="shared" si="33"/>
        <v>0</v>
      </c>
      <c r="Q73" s="1497">
        <f t="shared" si="3"/>
        <v>89.24</v>
      </c>
      <c r="R73" s="1671">
        <f t="shared" si="34"/>
        <v>35999.42</v>
      </c>
      <c r="S73" s="1672">
        <f t="shared" si="35"/>
        <v>1</v>
      </c>
      <c r="T73" s="2002"/>
      <c r="U73" s="1260"/>
      <c r="V73" s="1260"/>
      <c r="W73" s="1260"/>
      <c r="X73" s="1270"/>
    </row>
    <row r="74" spans="1:24" s="1255" customFormat="1">
      <c r="B74" s="2037" t="s">
        <v>4048</v>
      </c>
      <c r="C74" s="2038" t="s">
        <v>4006</v>
      </c>
      <c r="D74" s="1660"/>
      <c r="E74" s="1522"/>
      <c r="F74" s="1522"/>
      <c r="G74" s="1661"/>
      <c r="H74" s="1662"/>
      <c r="I74" s="1662">
        <f t="shared" si="7"/>
        <v>0</v>
      </c>
      <c r="J74" s="1664"/>
      <c r="K74" s="1665"/>
      <c r="L74" s="1666"/>
      <c r="M74" s="1667"/>
      <c r="N74" s="1668"/>
      <c r="O74" s="1669"/>
      <c r="P74" s="1670"/>
      <c r="Q74" s="1497"/>
      <c r="R74" s="1671"/>
      <c r="S74" s="1672" t="str">
        <f t="shared" si="6"/>
        <v/>
      </c>
      <c r="T74" s="2002"/>
      <c r="U74" s="1260"/>
      <c r="V74" s="1260"/>
      <c r="W74" s="1260"/>
      <c r="X74" s="1270"/>
    </row>
    <row r="75" spans="1:24" s="1255" customFormat="1">
      <c r="A75" s="1254"/>
      <c r="B75" s="1673" t="s">
        <v>4049</v>
      </c>
      <c r="C75" s="1674" t="s">
        <v>4050</v>
      </c>
      <c r="D75" s="1660" t="s">
        <v>36</v>
      </c>
      <c r="E75" s="1522">
        <v>14</v>
      </c>
      <c r="F75" s="1522">
        <v>376.15</v>
      </c>
      <c r="G75" s="1661">
        <v>391.46</v>
      </c>
      <c r="H75" s="1662">
        <f t="shared" si="2"/>
        <v>5266.0999999999995</v>
      </c>
      <c r="I75" s="1662">
        <f t="shared" si="7"/>
        <v>5480.44</v>
      </c>
      <c r="J75" s="1664">
        <v>0</v>
      </c>
      <c r="K75" s="1665">
        <v>0</v>
      </c>
      <c r="L75" s="1666"/>
      <c r="M75" s="1667">
        <f t="shared" ref="M75" si="36">L75*G75</f>
        <v>0</v>
      </c>
      <c r="N75" s="1668">
        <f t="shared" si="8"/>
        <v>0</v>
      </c>
      <c r="O75" s="1669">
        <f>N75*G75</f>
        <v>0</v>
      </c>
      <c r="P75" s="1670">
        <f>+IF(D75=0,"",O75/I75)</f>
        <v>0</v>
      </c>
      <c r="Q75" s="1497">
        <f t="shared" si="3"/>
        <v>14</v>
      </c>
      <c r="R75" s="1671">
        <f>ROUND((Q75*G75),2)</f>
        <v>5480.44</v>
      </c>
      <c r="S75" s="1672">
        <f>+IF(I75=0,"",R75/I75)</f>
        <v>1</v>
      </c>
      <c r="T75" s="2002"/>
      <c r="U75" s="1260"/>
      <c r="V75" s="1260"/>
      <c r="W75" s="1260"/>
      <c r="X75" s="1270"/>
    </row>
    <row r="76" spans="1:24" s="1255" customFormat="1">
      <c r="A76" s="1266"/>
      <c r="B76" s="2039" t="s">
        <v>4051</v>
      </c>
      <c r="C76" s="2040" t="s">
        <v>4052</v>
      </c>
      <c r="D76" s="1660"/>
      <c r="E76" s="1522"/>
      <c r="F76" s="1522"/>
      <c r="G76" s="1661"/>
      <c r="H76" s="1662"/>
      <c r="I76" s="1662">
        <f t="shared" si="7"/>
        <v>0</v>
      </c>
      <c r="J76" s="1664"/>
      <c r="K76" s="1665"/>
      <c r="L76" s="1666"/>
      <c r="M76" s="1667"/>
      <c r="N76" s="1668"/>
      <c r="O76" s="1669"/>
      <c r="P76" s="1670"/>
      <c r="Q76" s="1497"/>
      <c r="R76" s="1671"/>
      <c r="S76" s="1672" t="str">
        <f t="shared" si="6"/>
        <v/>
      </c>
      <c r="T76" s="2002"/>
      <c r="U76" s="1260"/>
      <c r="V76" s="1260"/>
      <c r="W76" s="1260"/>
      <c r="X76" s="1270"/>
    </row>
    <row r="77" spans="1:24" s="1255" customFormat="1">
      <c r="B77" s="1673" t="s">
        <v>4053</v>
      </c>
      <c r="C77" s="1674" t="s">
        <v>4054</v>
      </c>
      <c r="D77" s="1660" t="s">
        <v>36</v>
      </c>
      <c r="E77" s="1522">
        <v>6</v>
      </c>
      <c r="F77" s="1522">
        <v>220.51</v>
      </c>
      <c r="G77" s="1661">
        <v>225.62</v>
      </c>
      <c r="H77" s="1662">
        <f t="shared" si="2"/>
        <v>1323.06</v>
      </c>
      <c r="I77" s="1662">
        <f t="shared" si="7"/>
        <v>1353.72</v>
      </c>
      <c r="J77" s="1664">
        <v>0</v>
      </c>
      <c r="K77" s="1665">
        <v>0</v>
      </c>
      <c r="L77" s="1666"/>
      <c r="M77" s="1667">
        <f t="shared" ref="M77:M92" si="37">L77*G77</f>
        <v>0</v>
      </c>
      <c r="N77" s="1668">
        <f t="shared" si="8"/>
        <v>0</v>
      </c>
      <c r="O77" s="1669">
        <f t="shared" ref="O77:O92" si="38">N77*G77</f>
        <v>0</v>
      </c>
      <c r="P77" s="1670">
        <f t="shared" ref="P77:P92" si="39">+IF(D77=0,"",O77/I77)</f>
        <v>0</v>
      </c>
      <c r="Q77" s="1497">
        <f t="shared" si="3"/>
        <v>6</v>
      </c>
      <c r="R77" s="1671">
        <f t="shared" ref="R77:R92" si="40">ROUND((Q77*G77),2)</f>
        <v>1353.72</v>
      </c>
      <c r="S77" s="1672">
        <f t="shared" ref="S77:S92" si="41">+IF(I77=0,"",R77/I77)</f>
        <v>1</v>
      </c>
      <c r="T77" s="2002"/>
      <c r="U77" s="1260"/>
      <c r="V77" s="1260"/>
      <c r="W77" s="1260"/>
      <c r="X77" s="1270"/>
    </row>
    <row r="78" spans="1:24" s="1255" customFormat="1">
      <c r="A78" s="1266"/>
      <c r="B78" s="1673" t="s">
        <v>4055</v>
      </c>
      <c r="C78" s="1674" t="s">
        <v>4056</v>
      </c>
      <c r="D78" s="1660" t="s">
        <v>36</v>
      </c>
      <c r="E78" s="1522">
        <v>3</v>
      </c>
      <c r="F78" s="1522">
        <v>200.68</v>
      </c>
      <c r="G78" s="1661">
        <v>205.79</v>
      </c>
      <c r="H78" s="1662">
        <f t="shared" si="2"/>
        <v>602.04</v>
      </c>
      <c r="I78" s="1662">
        <f t="shared" si="7"/>
        <v>617.37</v>
      </c>
      <c r="J78" s="1664">
        <v>0</v>
      </c>
      <c r="K78" s="1665">
        <v>0</v>
      </c>
      <c r="L78" s="1666"/>
      <c r="M78" s="1667">
        <f t="shared" si="37"/>
        <v>0</v>
      </c>
      <c r="N78" s="1668">
        <f t="shared" si="8"/>
        <v>0</v>
      </c>
      <c r="O78" s="1669">
        <f t="shared" si="38"/>
        <v>0</v>
      </c>
      <c r="P78" s="1670">
        <f t="shared" si="39"/>
        <v>0</v>
      </c>
      <c r="Q78" s="1497">
        <f t="shared" si="3"/>
        <v>3</v>
      </c>
      <c r="R78" s="1671">
        <f t="shared" si="40"/>
        <v>617.37</v>
      </c>
      <c r="S78" s="1672">
        <f t="shared" si="41"/>
        <v>1</v>
      </c>
      <c r="T78" s="2002"/>
      <c r="U78" s="1260"/>
      <c r="V78" s="1260"/>
      <c r="W78" s="1260"/>
      <c r="X78" s="1270"/>
    </row>
    <row r="79" spans="1:24" s="1255" customFormat="1">
      <c r="A79" s="1266"/>
      <c r="B79" s="1673" t="s">
        <v>4057</v>
      </c>
      <c r="C79" s="1674" t="s">
        <v>4058</v>
      </c>
      <c r="D79" s="1660" t="s">
        <v>36</v>
      </c>
      <c r="E79" s="1522">
        <v>6</v>
      </c>
      <c r="F79" s="1522">
        <v>1810.31</v>
      </c>
      <c r="G79" s="1661">
        <v>1815.42</v>
      </c>
      <c r="H79" s="1662">
        <f t="shared" si="2"/>
        <v>10861.86</v>
      </c>
      <c r="I79" s="1662">
        <f t="shared" si="7"/>
        <v>10892.52</v>
      </c>
      <c r="J79" s="1664">
        <v>0</v>
      </c>
      <c r="K79" s="1665">
        <v>0</v>
      </c>
      <c r="L79" s="1666"/>
      <c r="M79" s="1667">
        <f t="shared" si="37"/>
        <v>0</v>
      </c>
      <c r="N79" s="1668">
        <f t="shared" si="8"/>
        <v>0</v>
      </c>
      <c r="O79" s="1669">
        <f t="shared" si="38"/>
        <v>0</v>
      </c>
      <c r="P79" s="1670">
        <f t="shared" si="39"/>
        <v>0</v>
      </c>
      <c r="Q79" s="1497">
        <f t="shared" si="3"/>
        <v>6</v>
      </c>
      <c r="R79" s="1671">
        <f t="shared" si="40"/>
        <v>10892.52</v>
      </c>
      <c r="S79" s="1672">
        <f t="shared" si="41"/>
        <v>1</v>
      </c>
      <c r="T79" s="2002"/>
      <c r="U79" s="1260"/>
      <c r="V79" s="1260"/>
      <c r="W79" s="1260"/>
      <c r="X79" s="1270"/>
    </row>
    <row r="80" spans="1:24" s="1255" customFormat="1">
      <c r="B80" s="1673" t="s">
        <v>4059</v>
      </c>
      <c r="C80" s="1674" t="s">
        <v>4060</v>
      </c>
      <c r="D80" s="1660" t="s">
        <v>36</v>
      </c>
      <c r="E80" s="1522">
        <v>3</v>
      </c>
      <c r="F80" s="1522">
        <v>1648.06</v>
      </c>
      <c r="G80" s="1661">
        <v>1653.17</v>
      </c>
      <c r="H80" s="1662">
        <f t="shared" si="2"/>
        <v>4944.18</v>
      </c>
      <c r="I80" s="1662">
        <f t="shared" si="7"/>
        <v>4959.51</v>
      </c>
      <c r="J80" s="1664">
        <v>0</v>
      </c>
      <c r="K80" s="1665">
        <v>0</v>
      </c>
      <c r="L80" s="1666"/>
      <c r="M80" s="1667">
        <f t="shared" si="37"/>
        <v>0</v>
      </c>
      <c r="N80" s="1668">
        <f t="shared" si="8"/>
        <v>0</v>
      </c>
      <c r="O80" s="1669">
        <f t="shared" si="38"/>
        <v>0</v>
      </c>
      <c r="P80" s="1670">
        <f t="shared" si="39"/>
        <v>0</v>
      </c>
      <c r="Q80" s="1497">
        <f t="shared" si="3"/>
        <v>3</v>
      </c>
      <c r="R80" s="1671">
        <f t="shared" si="40"/>
        <v>4959.51</v>
      </c>
      <c r="S80" s="1672">
        <f t="shared" si="41"/>
        <v>1</v>
      </c>
      <c r="T80" s="2002"/>
      <c r="U80" s="1260"/>
      <c r="V80" s="1260"/>
      <c r="W80" s="1260"/>
      <c r="X80" s="1270"/>
    </row>
    <row r="81" spans="1:24" s="1255" customFormat="1">
      <c r="A81" s="1254"/>
      <c r="B81" s="1673" t="s">
        <v>4061</v>
      </c>
      <c r="C81" s="1674" t="s">
        <v>4062</v>
      </c>
      <c r="D81" s="1660" t="s">
        <v>38</v>
      </c>
      <c r="E81" s="1522">
        <v>30.3</v>
      </c>
      <c r="F81" s="1522">
        <v>224.5</v>
      </c>
      <c r="G81" s="1661">
        <v>225.35</v>
      </c>
      <c r="H81" s="1662">
        <f t="shared" si="2"/>
        <v>6802.35</v>
      </c>
      <c r="I81" s="1662">
        <f t="shared" si="7"/>
        <v>6828.11</v>
      </c>
      <c r="J81" s="1664">
        <v>0</v>
      </c>
      <c r="K81" s="1665">
        <v>0</v>
      </c>
      <c r="L81" s="1666"/>
      <c r="M81" s="1667">
        <f t="shared" si="37"/>
        <v>0</v>
      </c>
      <c r="N81" s="1668">
        <f t="shared" si="8"/>
        <v>0</v>
      </c>
      <c r="O81" s="1669">
        <f t="shared" si="38"/>
        <v>0</v>
      </c>
      <c r="P81" s="1670">
        <f t="shared" si="39"/>
        <v>0</v>
      </c>
      <c r="Q81" s="1497">
        <f t="shared" si="3"/>
        <v>30.3</v>
      </c>
      <c r="R81" s="1671">
        <f t="shared" si="40"/>
        <v>6828.11</v>
      </c>
      <c r="S81" s="1672">
        <f t="shared" si="41"/>
        <v>1</v>
      </c>
      <c r="T81" s="2002"/>
      <c r="U81" s="1260"/>
      <c r="V81" s="1260"/>
      <c r="W81" s="1260"/>
      <c r="X81" s="1270"/>
    </row>
    <row r="82" spans="1:24" s="1255" customFormat="1">
      <c r="A82" s="1266"/>
      <c r="B82" s="1673" t="s">
        <v>4063</v>
      </c>
      <c r="C82" s="1674" t="s">
        <v>4064</v>
      </c>
      <c r="D82" s="1660" t="s">
        <v>38</v>
      </c>
      <c r="E82" s="1522">
        <v>60</v>
      </c>
      <c r="F82" s="1522">
        <v>129.07</v>
      </c>
      <c r="G82" s="1661">
        <v>129.91999999999999</v>
      </c>
      <c r="H82" s="1662">
        <f t="shared" ref="H82:H92" si="42">+E82*F82</f>
        <v>7744.2</v>
      </c>
      <c r="I82" s="1662">
        <f t="shared" si="7"/>
        <v>7795.2</v>
      </c>
      <c r="J82" s="1664">
        <v>0</v>
      </c>
      <c r="K82" s="1665">
        <v>0</v>
      </c>
      <c r="L82" s="1666"/>
      <c r="M82" s="1667">
        <f t="shared" si="37"/>
        <v>0</v>
      </c>
      <c r="N82" s="1668">
        <f t="shared" si="8"/>
        <v>0</v>
      </c>
      <c r="O82" s="1669">
        <f t="shared" si="38"/>
        <v>0</v>
      </c>
      <c r="P82" s="1670">
        <f t="shared" si="39"/>
        <v>0</v>
      </c>
      <c r="Q82" s="1497">
        <f t="shared" ref="Q82:Q92" si="43">E82-N82</f>
        <v>60</v>
      </c>
      <c r="R82" s="1671">
        <f t="shared" si="40"/>
        <v>7795.2</v>
      </c>
      <c r="S82" s="1672">
        <f t="shared" si="41"/>
        <v>1</v>
      </c>
      <c r="T82" s="2002"/>
      <c r="U82" s="1260"/>
      <c r="V82" s="1260"/>
      <c r="W82" s="1260"/>
      <c r="X82" s="1270"/>
    </row>
    <row r="83" spans="1:24" s="1255" customFormat="1">
      <c r="B83" s="1673" t="s">
        <v>4065</v>
      </c>
      <c r="C83" s="1674" t="s">
        <v>4066</v>
      </c>
      <c r="D83" s="1660" t="s">
        <v>37</v>
      </c>
      <c r="E83" s="1522">
        <v>121.23</v>
      </c>
      <c r="F83" s="1522">
        <v>446.49</v>
      </c>
      <c r="G83" s="1661">
        <v>461.8</v>
      </c>
      <c r="H83" s="1662">
        <f t="shared" si="42"/>
        <v>54127.9827</v>
      </c>
      <c r="I83" s="1662">
        <f t="shared" si="7"/>
        <v>55984.01</v>
      </c>
      <c r="J83" s="1664">
        <v>0</v>
      </c>
      <c r="K83" s="1665">
        <v>0</v>
      </c>
      <c r="L83" s="1666"/>
      <c r="M83" s="1667">
        <f t="shared" si="37"/>
        <v>0</v>
      </c>
      <c r="N83" s="1668">
        <f t="shared" si="8"/>
        <v>0</v>
      </c>
      <c r="O83" s="1669">
        <f t="shared" si="38"/>
        <v>0</v>
      </c>
      <c r="P83" s="1670">
        <f t="shared" si="39"/>
        <v>0</v>
      </c>
      <c r="Q83" s="1497">
        <f t="shared" si="43"/>
        <v>121.23</v>
      </c>
      <c r="R83" s="1671">
        <f t="shared" si="40"/>
        <v>55984.01</v>
      </c>
      <c r="S83" s="1672">
        <f t="shared" si="41"/>
        <v>1</v>
      </c>
      <c r="T83" s="2002"/>
      <c r="U83" s="1260"/>
      <c r="V83" s="1260"/>
      <c r="W83" s="1260"/>
      <c r="X83" s="1270"/>
    </row>
    <row r="84" spans="1:24" s="1255" customFormat="1">
      <c r="A84" s="1254"/>
      <c r="B84" s="1673" t="s">
        <v>4067</v>
      </c>
      <c r="C84" s="1674" t="s">
        <v>3988</v>
      </c>
      <c r="D84" s="1660" t="s">
        <v>36</v>
      </c>
      <c r="E84" s="1522">
        <v>1</v>
      </c>
      <c r="F84" s="1522">
        <v>2482.39</v>
      </c>
      <c r="G84" s="1661">
        <v>2497.6999999999998</v>
      </c>
      <c r="H84" s="1662">
        <f t="shared" si="42"/>
        <v>2482.39</v>
      </c>
      <c r="I84" s="1662">
        <f t="shared" si="7"/>
        <v>2497.6999999999998</v>
      </c>
      <c r="J84" s="1664">
        <v>0</v>
      </c>
      <c r="K84" s="1665">
        <v>0</v>
      </c>
      <c r="L84" s="1666"/>
      <c r="M84" s="1667">
        <f t="shared" si="37"/>
        <v>0</v>
      </c>
      <c r="N84" s="1668">
        <f t="shared" si="8"/>
        <v>0</v>
      </c>
      <c r="O84" s="1669">
        <f t="shared" si="38"/>
        <v>0</v>
      </c>
      <c r="P84" s="1670">
        <f t="shared" si="39"/>
        <v>0</v>
      </c>
      <c r="Q84" s="1497">
        <f t="shared" si="43"/>
        <v>1</v>
      </c>
      <c r="R84" s="1671">
        <f t="shared" si="40"/>
        <v>2497.6999999999998</v>
      </c>
      <c r="S84" s="1672">
        <f t="shared" si="41"/>
        <v>1</v>
      </c>
      <c r="T84" s="2002"/>
      <c r="U84" s="1260"/>
      <c r="V84" s="1260"/>
      <c r="W84" s="1260"/>
      <c r="X84" s="1270"/>
    </row>
    <row r="85" spans="1:24" s="1255" customFormat="1">
      <c r="A85" s="1266"/>
      <c r="B85" s="1673" t="s">
        <v>4068</v>
      </c>
      <c r="C85" s="1674" t="s">
        <v>3990</v>
      </c>
      <c r="D85" s="1660" t="s">
        <v>36</v>
      </c>
      <c r="E85" s="1522">
        <v>2</v>
      </c>
      <c r="F85" s="1522">
        <v>2523.63</v>
      </c>
      <c r="G85" s="1661">
        <v>2538.94</v>
      </c>
      <c r="H85" s="1662">
        <f t="shared" si="42"/>
        <v>5047.26</v>
      </c>
      <c r="I85" s="1662">
        <f t="shared" ref="I85:I148" si="44">ROUND(E85*G85,2)</f>
        <v>5077.88</v>
      </c>
      <c r="J85" s="1664">
        <v>0</v>
      </c>
      <c r="K85" s="1665">
        <v>0</v>
      </c>
      <c r="L85" s="1666"/>
      <c r="M85" s="1667">
        <f t="shared" si="37"/>
        <v>0</v>
      </c>
      <c r="N85" s="1668">
        <f t="shared" ref="N85:N92" si="45">J85+L85</f>
        <v>0</v>
      </c>
      <c r="O85" s="1669">
        <f t="shared" si="38"/>
        <v>0</v>
      </c>
      <c r="P85" s="1670">
        <f t="shared" si="39"/>
        <v>0</v>
      </c>
      <c r="Q85" s="1497">
        <f t="shared" si="43"/>
        <v>2</v>
      </c>
      <c r="R85" s="1671">
        <f t="shared" si="40"/>
        <v>5077.88</v>
      </c>
      <c r="S85" s="1672">
        <f t="shared" si="41"/>
        <v>1</v>
      </c>
      <c r="T85" s="2002"/>
      <c r="U85" s="1260"/>
      <c r="V85" s="1260"/>
      <c r="W85" s="1260"/>
      <c r="X85" s="1270"/>
    </row>
    <row r="86" spans="1:24" s="1255" customFormat="1">
      <c r="B86" s="1673" t="s">
        <v>4069</v>
      </c>
      <c r="C86" s="1674" t="s">
        <v>3992</v>
      </c>
      <c r="D86" s="1660" t="s">
        <v>36</v>
      </c>
      <c r="E86" s="1522">
        <v>1</v>
      </c>
      <c r="F86" s="1522">
        <v>2523.63</v>
      </c>
      <c r="G86" s="1661">
        <v>2538.94</v>
      </c>
      <c r="H86" s="1662">
        <f t="shared" si="42"/>
        <v>2523.63</v>
      </c>
      <c r="I86" s="1662">
        <f t="shared" si="44"/>
        <v>2538.94</v>
      </c>
      <c r="J86" s="1664">
        <v>0</v>
      </c>
      <c r="K86" s="1665">
        <v>0</v>
      </c>
      <c r="L86" s="1666"/>
      <c r="M86" s="1667">
        <f t="shared" si="37"/>
        <v>0</v>
      </c>
      <c r="N86" s="1668">
        <f t="shared" si="45"/>
        <v>0</v>
      </c>
      <c r="O86" s="1669">
        <f t="shared" si="38"/>
        <v>0</v>
      </c>
      <c r="P86" s="1670">
        <f t="shared" si="39"/>
        <v>0</v>
      </c>
      <c r="Q86" s="1497">
        <f t="shared" si="43"/>
        <v>1</v>
      </c>
      <c r="R86" s="1671">
        <f t="shared" si="40"/>
        <v>2538.94</v>
      </c>
      <c r="S86" s="1672">
        <f t="shared" si="41"/>
        <v>1</v>
      </c>
      <c r="T86" s="2002"/>
      <c r="U86" s="1260"/>
      <c r="V86" s="1260"/>
      <c r="W86" s="1260"/>
      <c r="X86" s="1270"/>
    </row>
    <row r="87" spans="1:24" s="1255" customFormat="1">
      <c r="A87" s="1266"/>
      <c r="B87" s="1673" t="s">
        <v>4070</v>
      </c>
      <c r="C87" s="1674" t="s">
        <v>4071</v>
      </c>
      <c r="D87" s="1660" t="s">
        <v>38</v>
      </c>
      <c r="E87" s="1522">
        <v>59</v>
      </c>
      <c r="F87" s="1522">
        <v>55.59</v>
      </c>
      <c r="G87" s="1661">
        <v>56.19</v>
      </c>
      <c r="H87" s="1662">
        <f t="shared" si="42"/>
        <v>3279.8100000000004</v>
      </c>
      <c r="I87" s="1662">
        <f t="shared" si="44"/>
        <v>3315.21</v>
      </c>
      <c r="J87" s="1664">
        <v>0</v>
      </c>
      <c r="K87" s="1665">
        <v>0</v>
      </c>
      <c r="L87" s="1666"/>
      <c r="M87" s="1667">
        <f t="shared" si="37"/>
        <v>0</v>
      </c>
      <c r="N87" s="1668">
        <f t="shared" si="45"/>
        <v>0</v>
      </c>
      <c r="O87" s="1669">
        <f t="shared" si="38"/>
        <v>0</v>
      </c>
      <c r="P87" s="1670">
        <f t="shared" si="39"/>
        <v>0</v>
      </c>
      <c r="Q87" s="1497">
        <f t="shared" si="43"/>
        <v>59</v>
      </c>
      <c r="R87" s="1671">
        <f t="shared" si="40"/>
        <v>3315.21</v>
      </c>
      <c r="S87" s="1672">
        <f t="shared" si="41"/>
        <v>1</v>
      </c>
      <c r="T87" s="2002"/>
      <c r="U87" s="1260"/>
      <c r="V87" s="1260"/>
      <c r="W87" s="1260"/>
      <c r="X87" s="1270"/>
    </row>
    <row r="88" spans="1:24" s="1255" customFormat="1">
      <c r="A88" s="1266"/>
      <c r="B88" s="1673" t="s">
        <v>4072</v>
      </c>
      <c r="C88" s="1674" t="s">
        <v>4073</v>
      </c>
      <c r="D88" s="1660" t="s">
        <v>38</v>
      </c>
      <c r="E88" s="1522">
        <v>154</v>
      </c>
      <c r="F88" s="1522">
        <v>25.25</v>
      </c>
      <c r="G88" s="1661">
        <v>25.75</v>
      </c>
      <c r="H88" s="1662">
        <f t="shared" si="42"/>
        <v>3888.5</v>
      </c>
      <c r="I88" s="1662">
        <f t="shared" si="44"/>
        <v>3965.5</v>
      </c>
      <c r="J88" s="1664">
        <v>0</v>
      </c>
      <c r="K88" s="1665">
        <v>0</v>
      </c>
      <c r="L88" s="1666"/>
      <c r="M88" s="1667">
        <f t="shared" si="37"/>
        <v>0</v>
      </c>
      <c r="N88" s="1668">
        <f t="shared" si="45"/>
        <v>0</v>
      </c>
      <c r="O88" s="1669">
        <f t="shared" si="38"/>
        <v>0</v>
      </c>
      <c r="P88" s="1670">
        <f t="shared" si="39"/>
        <v>0</v>
      </c>
      <c r="Q88" s="1497">
        <f t="shared" si="43"/>
        <v>154</v>
      </c>
      <c r="R88" s="1671">
        <f t="shared" si="40"/>
        <v>3965.5</v>
      </c>
      <c r="S88" s="1672">
        <f t="shared" si="41"/>
        <v>1</v>
      </c>
      <c r="T88" s="2002"/>
      <c r="U88" s="1260"/>
      <c r="V88" s="1260"/>
      <c r="W88" s="1260"/>
      <c r="X88" s="1270"/>
    </row>
    <row r="89" spans="1:24" s="1255" customFormat="1">
      <c r="B89" s="1673" t="s">
        <v>4074</v>
      </c>
      <c r="C89" s="1674" t="s">
        <v>4075</v>
      </c>
      <c r="D89" s="1660" t="s">
        <v>38</v>
      </c>
      <c r="E89" s="1522">
        <v>9.24</v>
      </c>
      <c r="F89" s="1522">
        <v>221.97</v>
      </c>
      <c r="G89" s="1661">
        <v>222.36</v>
      </c>
      <c r="H89" s="1662">
        <f t="shared" si="42"/>
        <v>2051.0028000000002</v>
      </c>
      <c r="I89" s="1662">
        <f t="shared" si="44"/>
        <v>2054.61</v>
      </c>
      <c r="J89" s="1664">
        <v>0</v>
      </c>
      <c r="K89" s="1665">
        <v>0</v>
      </c>
      <c r="L89" s="1666"/>
      <c r="M89" s="1667">
        <f t="shared" si="37"/>
        <v>0</v>
      </c>
      <c r="N89" s="1668">
        <f t="shared" si="45"/>
        <v>0</v>
      </c>
      <c r="O89" s="1669">
        <f t="shared" si="38"/>
        <v>0</v>
      </c>
      <c r="P89" s="1670">
        <f t="shared" si="39"/>
        <v>0</v>
      </c>
      <c r="Q89" s="1497">
        <f t="shared" si="43"/>
        <v>9.24</v>
      </c>
      <c r="R89" s="1671">
        <f t="shared" si="40"/>
        <v>2054.61</v>
      </c>
      <c r="S89" s="1672">
        <f t="shared" si="41"/>
        <v>1</v>
      </c>
      <c r="T89" s="2002"/>
      <c r="U89" s="1260"/>
      <c r="V89" s="1260"/>
      <c r="W89" s="1260"/>
      <c r="X89" s="1270"/>
    </row>
    <row r="90" spans="1:24" s="1255" customFormat="1">
      <c r="A90" s="1254"/>
      <c r="B90" s="1673" t="s">
        <v>4076</v>
      </c>
      <c r="C90" s="1674" t="s">
        <v>4077</v>
      </c>
      <c r="D90" s="1660" t="s">
        <v>38</v>
      </c>
      <c r="E90" s="1522">
        <v>20</v>
      </c>
      <c r="F90" s="1522">
        <v>91.81</v>
      </c>
      <c r="G90" s="1661">
        <v>92.2</v>
      </c>
      <c r="H90" s="1662">
        <f t="shared" si="42"/>
        <v>1836.2</v>
      </c>
      <c r="I90" s="1662">
        <f t="shared" si="44"/>
        <v>1844</v>
      </c>
      <c r="J90" s="1664">
        <v>0</v>
      </c>
      <c r="K90" s="1665">
        <v>0</v>
      </c>
      <c r="L90" s="1666"/>
      <c r="M90" s="1667">
        <f t="shared" si="37"/>
        <v>0</v>
      </c>
      <c r="N90" s="1668">
        <f t="shared" si="45"/>
        <v>0</v>
      </c>
      <c r="O90" s="1669">
        <f t="shared" si="38"/>
        <v>0</v>
      </c>
      <c r="P90" s="1670">
        <f t="shared" si="39"/>
        <v>0</v>
      </c>
      <c r="Q90" s="1497">
        <f t="shared" si="43"/>
        <v>20</v>
      </c>
      <c r="R90" s="1671">
        <f t="shared" si="40"/>
        <v>1844</v>
      </c>
      <c r="S90" s="1672">
        <f t="shared" si="41"/>
        <v>1</v>
      </c>
      <c r="T90" s="2002"/>
      <c r="U90" s="1260"/>
      <c r="V90" s="1260"/>
      <c r="W90" s="1260"/>
      <c r="X90" s="1270"/>
    </row>
    <row r="91" spans="1:24" s="1255" customFormat="1">
      <c r="A91" s="1266"/>
      <c r="B91" s="1673" t="s">
        <v>4078</v>
      </c>
      <c r="C91" s="1674" t="s">
        <v>4079</v>
      </c>
      <c r="D91" s="1660" t="s">
        <v>38</v>
      </c>
      <c r="E91" s="1522">
        <v>20</v>
      </c>
      <c r="F91" s="1522">
        <v>52.97</v>
      </c>
      <c r="G91" s="1661">
        <v>53.61</v>
      </c>
      <c r="H91" s="1662">
        <f t="shared" si="42"/>
        <v>1059.4000000000001</v>
      </c>
      <c r="I91" s="1662">
        <f t="shared" si="44"/>
        <v>1072.2</v>
      </c>
      <c r="J91" s="1664">
        <v>0</v>
      </c>
      <c r="K91" s="1665">
        <v>0</v>
      </c>
      <c r="L91" s="1666"/>
      <c r="M91" s="1667">
        <f t="shared" si="37"/>
        <v>0</v>
      </c>
      <c r="N91" s="1668">
        <f t="shared" si="45"/>
        <v>0</v>
      </c>
      <c r="O91" s="1669">
        <f t="shared" si="38"/>
        <v>0</v>
      </c>
      <c r="P91" s="1670">
        <f t="shared" si="39"/>
        <v>0</v>
      </c>
      <c r="Q91" s="1497">
        <f t="shared" si="43"/>
        <v>20</v>
      </c>
      <c r="R91" s="1671">
        <f t="shared" si="40"/>
        <v>1072.2</v>
      </c>
      <c r="S91" s="1672">
        <f t="shared" si="41"/>
        <v>1</v>
      </c>
      <c r="T91" s="2002"/>
      <c r="U91" s="1260"/>
      <c r="V91" s="1260"/>
      <c r="W91" s="1260"/>
      <c r="X91" s="1270"/>
    </row>
    <row r="92" spans="1:24" s="1255" customFormat="1">
      <c r="B92" s="1673" t="s">
        <v>4080</v>
      </c>
      <c r="C92" s="1674" t="s">
        <v>4004</v>
      </c>
      <c r="D92" s="1660" t="s">
        <v>37</v>
      </c>
      <c r="E92" s="1522">
        <v>121.23</v>
      </c>
      <c r="F92" s="1522">
        <v>390.91</v>
      </c>
      <c r="G92" s="1661">
        <v>393.69</v>
      </c>
      <c r="H92" s="1662">
        <f t="shared" si="42"/>
        <v>47390.019300000007</v>
      </c>
      <c r="I92" s="1662">
        <f t="shared" si="44"/>
        <v>47727.040000000001</v>
      </c>
      <c r="J92" s="1664">
        <v>0</v>
      </c>
      <c r="K92" s="1665">
        <v>0</v>
      </c>
      <c r="L92" s="1666"/>
      <c r="M92" s="1667">
        <f t="shared" si="37"/>
        <v>0</v>
      </c>
      <c r="N92" s="1668">
        <f t="shared" si="45"/>
        <v>0</v>
      </c>
      <c r="O92" s="1669">
        <f t="shared" si="38"/>
        <v>0</v>
      </c>
      <c r="P92" s="1670">
        <f t="shared" si="39"/>
        <v>0</v>
      </c>
      <c r="Q92" s="1497">
        <f t="shared" si="43"/>
        <v>121.23</v>
      </c>
      <c r="R92" s="1671">
        <f t="shared" si="40"/>
        <v>47727.040000000001</v>
      </c>
      <c r="S92" s="1672">
        <f t="shared" si="41"/>
        <v>1</v>
      </c>
      <c r="T92" s="2002"/>
      <c r="U92" s="1260"/>
      <c r="V92" s="1260"/>
      <c r="W92" s="1260"/>
      <c r="X92" s="1270"/>
    </row>
    <row r="93" spans="1:24" s="1255" customFormat="1">
      <c r="A93" s="1254"/>
      <c r="B93" s="2037" t="s">
        <v>4081</v>
      </c>
      <c r="C93" s="2038" t="s">
        <v>4006</v>
      </c>
      <c r="D93" s="1660"/>
      <c r="E93" s="1522"/>
      <c r="F93" s="1522"/>
      <c r="G93" s="1661"/>
      <c r="H93" s="1662"/>
      <c r="I93" s="1662">
        <f t="shared" si="44"/>
        <v>0</v>
      </c>
      <c r="J93" s="1664"/>
      <c r="K93" s="1665"/>
      <c r="L93" s="1666"/>
      <c r="M93" s="1667"/>
      <c r="N93" s="1668"/>
      <c r="O93" s="1669"/>
      <c r="P93" s="1670"/>
      <c r="Q93" s="1497"/>
      <c r="R93" s="1671"/>
      <c r="S93" s="1672" t="str">
        <f t="shared" ref="S93:S145" si="46">+IF(H93=0,"",R93/H93)</f>
        <v/>
      </c>
      <c r="T93" s="2002"/>
      <c r="U93" s="1260"/>
      <c r="V93" s="1260"/>
      <c r="W93" s="1260"/>
      <c r="X93" s="1270"/>
    </row>
    <row r="94" spans="1:24" s="1255" customFormat="1">
      <c r="A94" s="1266"/>
      <c r="B94" s="1673" t="s">
        <v>4082</v>
      </c>
      <c r="C94" s="1674" t="s">
        <v>4083</v>
      </c>
      <c r="D94" s="1660" t="s">
        <v>36</v>
      </c>
      <c r="E94" s="1522">
        <v>10</v>
      </c>
      <c r="F94" s="1522">
        <v>392.05</v>
      </c>
      <c r="G94" s="1661">
        <v>407.36</v>
      </c>
      <c r="H94" s="1662">
        <f t="shared" ref="H94" si="47">+E94*F94</f>
        <v>3920.5</v>
      </c>
      <c r="I94" s="1662">
        <f t="shared" si="44"/>
        <v>4073.6</v>
      </c>
      <c r="J94" s="1664">
        <v>0</v>
      </c>
      <c r="K94" s="1665">
        <v>0</v>
      </c>
      <c r="L94" s="1666"/>
      <c r="M94" s="1667">
        <f t="shared" ref="M94" si="48">L94*G94</f>
        <v>0</v>
      </c>
      <c r="N94" s="1668">
        <f t="shared" ref="N94" si="49">J94+L94</f>
        <v>0</v>
      </c>
      <c r="O94" s="1669">
        <f>N94*G94</f>
        <v>0</v>
      </c>
      <c r="P94" s="1670">
        <f>+IF(D94=0,"",O94/I94)</f>
        <v>0</v>
      </c>
      <c r="Q94" s="1497">
        <f t="shared" ref="Q94" si="50">E94-N94</f>
        <v>10</v>
      </c>
      <c r="R94" s="1671">
        <f>ROUND((Q94*G94),2)</f>
        <v>4073.6</v>
      </c>
      <c r="S94" s="1672">
        <f>+IF(I94=0,"",R94/I94)</f>
        <v>1</v>
      </c>
      <c r="T94" s="2002"/>
      <c r="U94" s="1260"/>
      <c r="V94" s="1260"/>
      <c r="W94" s="1260"/>
      <c r="X94" s="1270"/>
    </row>
    <row r="95" spans="1:24" s="1255" customFormat="1">
      <c r="B95" s="2039" t="s">
        <v>4084</v>
      </c>
      <c r="C95" s="2040" t="s">
        <v>4085</v>
      </c>
      <c r="D95" s="1660"/>
      <c r="E95" s="1522"/>
      <c r="F95" s="1522"/>
      <c r="G95" s="1661"/>
      <c r="H95" s="1662"/>
      <c r="I95" s="1662">
        <f t="shared" si="44"/>
        <v>0</v>
      </c>
      <c r="J95" s="1664"/>
      <c r="K95" s="1665"/>
      <c r="L95" s="1666"/>
      <c r="M95" s="1667"/>
      <c r="N95" s="1668"/>
      <c r="O95" s="1669"/>
      <c r="P95" s="1670"/>
      <c r="Q95" s="1497"/>
      <c r="R95" s="1671"/>
      <c r="S95" s="1672" t="str">
        <f t="shared" si="46"/>
        <v/>
      </c>
      <c r="T95" s="2002"/>
      <c r="U95" s="1260"/>
      <c r="V95" s="1260"/>
      <c r="W95" s="1260"/>
      <c r="X95" s="1270"/>
    </row>
    <row r="96" spans="1:24" s="1255" customFormat="1">
      <c r="A96" s="1266"/>
      <c r="B96" s="1673" t="s">
        <v>4086</v>
      </c>
      <c r="C96" s="1674" t="s">
        <v>4087</v>
      </c>
      <c r="D96" s="1660" t="s">
        <v>36</v>
      </c>
      <c r="E96" s="1522">
        <v>8</v>
      </c>
      <c r="F96" s="1522">
        <v>172.18</v>
      </c>
      <c r="G96" s="1661">
        <v>177.29</v>
      </c>
      <c r="H96" s="1662">
        <f t="shared" ref="H96:H107" si="51">+E96*F96</f>
        <v>1377.44</v>
      </c>
      <c r="I96" s="1662">
        <f t="shared" si="44"/>
        <v>1418.32</v>
      </c>
      <c r="J96" s="1664">
        <v>0</v>
      </c>
      <c r="K96" s="1665">
        <v>0</v>
      </c>
      <c r="L96" s="1666"/>
      <c r="M96" s="1667">
        <f t="shared" ref="M96:M150" si="52">L96*G96</f>
        <v>0</v>
      </c>
      <c r="N96" s="1668">
        <f t="shared" ref="N96:N107" si="53">J96+L96</f>
        <v>0</v>
      </c>
      <c r="O96" s="1669">
        <f t="shared" ref="O96:O107" si="54">N96*G96</f>
        <v>0</v>
      </c>
      <c r="P96" s="1670">
        <f t="shared" ref="P96:P107" si="55">+IF(D96=0,"",O96/I96)</f>
        <v>0</v>
      </c>
      <c r="Q96" s="1497">
        <f t="shared" ref="Q96:Q107" si="56">E96-N96</f>
        <v>8</v>
      </c>
      <c r="R96" s="1671">
        <f t="shared" ref="R96:R107" si="57">ROUND((Q96*G96),2)</f>
        <v>1418.32</v>
      </c>
      <c r="S96" s="1672">
        <f t="shared" ref="S96:S107" si="58">+IF(I96=0,"",R96/I96)</f>
        <v>1</v>
      </c>
      <c r="T96" s="2002"/>
      <c r="U96" s="1260"/>
      <c r="V96" s="1260"/>
      <c r="W96" s="1260"/>
      <c r="X96" s="1270"/>
    </row>
    <row r="97" spans="1:24" s="1255" customFormat="1">
      <c r="A97" s="1266"/>
      <c r="B97" s="1673" t="s">
        <v>4088</v>
      </c>
      <c r="C97" s="1674" t="s">
        <v>4089</v>
      </c>
      <c r="D97" s="1660" t="s">
        <v>36</v>
      </c>
      <c r="E97" s="1522">
        <v>8</v>
      </c>
      <c r="F97" s="1522">
        <v>1021.3</v>
      </c>
      <c r="G97" s="1661">
        <v>1026.4100000000001</v>
      </c>
      <c r="H97" s="1662">
        <f t="shared" si="51"/>
        <v>8170.4</v>
      </c>
      <c r="I97" s="1662">
        <f t="shared" si="44"/>
        <v>8211.2800000000007</v>
      </c>
      <c r="J97" s="1664">
        <v>0</v>
      </c>
      <c r="K97" s="1665">
        <v>0</v>
      </c>
      <c r="L97" s="1666"/>
      <c r="M97" s="1667">
        <f t="shared" si="52"/>
        <v>0</v>
      </c>
      <c r="N97" s="1668">
        <f t="shared" si="53"/>
        <v>0</v>
      </c>
      <c r="O97" s="1669">
        <f t="shared" si="54"/>
        <v>0</v>
      </c>
      <c r="P97" s="1670">
        <f t="shared" si="55"/>
        <v>0</v>
      </c>
      <c r="Q97" s="1497">
        <f t="shared" si="56"/>
        <v>8</v>
      </c>
      <c r="R97" s="1671">
        <f t="shared" si="57"/>
        <v>8211.2800000000007</v>
      </c>
      <c r="S97" s="1672">
        <f t="shared" si="58"/>
        <v>1</v>
      </c>
      <c r="T97" s="2002"/>
      <c r="U97" s="1260"/>
      <c r="V97" s="1260"/>
      <c r="W97" s="1260"/>
      <c r="X97" s="1270"/>
    </row>
    <row r="98" spans="1:24" s="1255" customFormat="1">
      <c r="B98" s="1673" t="s">
        <v>4090</v>
      </c>
      <c r="C98" s="1674" t="s">
        <v>4091</v>
      </c>
      <c r="D98" s="1660" t="s">
        <v>38</v>
      </c>
      <c r="E98" s="1522">
        <v>40.799999999999997</v>
      </c>
      <c r="F98" s="1522">
        <v>156.78</v>
      </c>
      <c r="G98" s="1661">
        <v>158.32</v>
      </c>
      <c r="H98" s="1662">
        <f t="shared" si="51"/>
        <v>6396.6239999999998</v>
      </c>
      <c r="I98" s="1662">
        <f t="shared" si="44"/>
        <v>6459.46</v>
      </c>
      <c r="J98" s="1664">
        <v>0</v>
      </c>
      <c r="K98" s="1665">
        <v>0</v>
      </c>
      <c r="L98" s="1666"/>
      <c r="M98" s="1667">
        <f t="shared" si="52"/>
        <v>0</v>
      </c>
      <c r="N98" s="1668">
        <f t="shared" si="53"/>
        <v>0</v>
      </c>
      <c r="O98" s="1669">
        <f t="shared" si="54"/>
        <v>0</v>
      </c>
      <c r="P98" s="1670">
        <f t="shared" si="55"/>
        <v>0</v>
      </c>
      <c r="Q98" s="1497">
        <f t="shared" si="56"/>
        <v>40.799999999999997</v>
      </c>
      <c r="R98" s="1671">
        <f t="shared" si="57"/>
        <v>6459.46</v>
      </c>
      <c r="S98" s="1672">
        <f t="shared" si="58"/>
        <v>1</v>
      </c>
      <c r="T98" s="2002"/>
      <c r="U98" s="1260"/>
      <c r="V98" s="1260"/>
      <c r="W98" s="1260"/>
      <c r="X98" s="1270"/>
    </row>
    <row r="99" spans="1:24" s="1255" customFormat="1">
      <c r="A99" s="1254"/>
      <c r="B99" s="1673" t="s">
        <v>4092</v>
      </c>
      <c r="C99" s="1674" t="s">
        <v>4093</v>
      </c>
      <c r="D99" s="1660" t="s">
        <v>37</v>
      </c>
      <c r="E99" s="1522">
        <v>29.12</v>
      </c>
      <c r="F99" s="1522">
        <v>92.96</v>
      </c>
      <c r="G99" s="1661">
        <v>94.49</v>
      </c>
      <c r="H99" s="1662">
        <f t="shared" si="51"/>
        <v>2706.9951999999998</v>
      </c>
      <c r="I99" s="1662">
        <f t="shared" si="44"/>
        <v>2751.55</v>
      </c>
      <c r="J99" s="1664">
        <v>0</v>
      </c>
      <c r="K99" s="1665">
        <v>0</v>
      </c>
      <c r="L99" s="1666"/>
      <c r="M99" s="1667">
        <f t="shared" si="52"/>
        <v>0</v>
      </c>
      <c r="N99" s="1668">
        <f t="shared" si="53"/>
        <v>0</v>
      </c>
      <c r="O99" s="1669">
        <f t="shared" si="54"/>
        <v>0</v>
      </c>
      <c r="P99" s="1670">
        <f t="shared" si="55"/>
        <v>0</v>
      </c>
      <c r="Q99" s="1497">
        <f t="shared" si="56"/>
        <v>29.12</v>
      </c>
      <c r="R99" s="1671">
        <f t="shared" si="57"/>
        <v>2751.55</v>
      </c>
      <c r="S99" s="1672">
        <f t="shared" si="58"/>
        <v>1</v>
      </c>
      <c r="T99" s="2002"/>
      <c r="U99" s="1260"/>
      <c r="V99" s="1260"/>
      <c r="W99" s="1260"/>
      <c r="X99" s="1270"/>
    </row>
    <row r="100" spans="1:24" s="1255" customFormat="1">
      <c r="A100" s="1266"/>
      <c r="B100" s="1673" t="s">
        <v>4094</v>
      </c>
      <c r="C100" s="1674" t="s">
        <v>4095</v>
      </c>
      <c r="D100" s="1660" t="s">
        <v>36</v>
      </c>
      <c r="E100" s="1522">
        <v>1</v>
      </c>
      <c r="F100" s="1522">
        <v>1541.92</v>
      </c>
      <c r="G100" s="1661">
        <v>1557.23</v>
      </c>
      <c r="H100" s="1662">
        <f t="shared" si="51"/>
        <v>1541.92</v>
      </c>
      <c r="I100" s="1662">
        <f t="shared" si="44"/>
        <v>1557.23</v>
      </c>
      <c r="J100" s="1664">
        <v>0</v>
      </c>
      <c r="K100" s="1665">
        <v>0</v>
      </c>
      <c r="L100" s="1666"/>
      <c r="M100" s="1667">
        <f t="shared" si="52"/>
        <v>0</v>
      </c>
      <c r="N100" s="1668">
        <f t="shared" si="53"/>
        <v>0</v>
      </c>
      <c r="O100" s="1669">
        <f t="shared" si="54"/>
        <v>0</v>
      </c>
      <c r="P100" s="1670">
        <f t="shared" si="55"/>
        <v>0</v>
      </c>
      <c r="Q100" s="1497">
        <f t="shared" si="56"/>
        <v>1</v>
      </c>
      <c r="R100" s="1671">
        <f t="shared" si="57"/>
        <v>1557.23</v>
      </c>
      <c r="S100" s="1672">
        <f t="shared" si="58"/>
        <v>1</v>
      </c>
      <c r="T100" s="2002"/>
      <c r="U100" s="1260"/>
      <c r="V100" s="1260"/>
      <c r="W100" s="1260"/>
      <c r="X100" s="1270"/>
    </row>
    <row r="101" spans="1:24" s="1255" customFormat="1">
      <c r="B101" s="1673" t="s">
        <v>4096</v>
      </c>
      <c r="C101" s="1674" t="s">
        <v>4097</v>
      </c>
      <c r="D101" s="1660" t="s">
        <v>36</v>
      </c>
      <c r="E101" s="1522">
        <v>3</v>
      </c>
      <c r="F101" s="1522">
        <v>1629.74</v>
      </c>
      <c r="G101" s="1661">
        <v>1645.05</v>
      </c>
      <c r="H101" s="1662">
        <f t="shared" si="51"/>
        <v>4889.22</v>
      </c>
      <c r="I101" s="1662">
        <f t="shared" si="44"/>
        <v>4935.1499999999996</v>
      </c>
      <c r="J101" s="1664">
        <v>0</v>
      </c>
      <c r="K101" s="1665">
        <v>0</v>
      </c>
      <c r="L101" s="1666"/>
      <c r="M101" s="1667">
        <f t="shared" si="52"/>
        <v>0</v>
      </c>
      <c r="N101" s="1668">
        <f t="shared" si="53"/>
        <v>0</v>
      </c>
      <c r="O101" s="1669">
        <f t="shared" si="54"/>
        <v>0</v>
      </c>
      <c r="P101" s="1670">
        <f t="shared" si="55"/>
        <v>0</v>
      </c>
      <c r="Q101" s="1497">
        <f t="shared" si="56"/>
        <v>3</v>
      </c>
      <c r="R101" s="1671">
        <f t="shared" si="57"/>
        <v>4935.1499999999996</v>
      </c>
      <c r="S101" s="1672">
        <f t="shared" si="58"/>
        <v>1</v>
      </c>
      <c r="T101" s="2002"/>
      <c r="U101" s="1260"/>
      <c r="V101" s="1260"/>
      <c r="W101" s="1260"/>
      <c r="X101" s="1270"/>
    </row>
    <row r="102" spans="1:24" s="1255" customFormat="1">
      <c r="A102" s="1254"/>
      <c r="B102" s="1673" t="s">
        <v>4098</v>
      </c>
      <c r="C102" s="1674" t="s">
        <v>4099</v>
      </c>
      <c r="D102" s="1660" t="s">
        <v>38</v>
      </c>
      <c r="E102" s="1522">
        <v>27</v>
      </c>
      <c r="F102" s="1522">
        <v>54.96</v>
      </c>
      <c r="G102" s="1661">
        <v>55.51</v>
      </c>
      <c r="H102" s="1662">
        <f t="shared" si="51"/>
        <v>1483.92</v>
      </c>
      <c r="I102" s="1662">
        <f t="shared" si="44"/>
        <v>1498.77</v>
      </c>
      <c r="J102" s="1664">
        <v>0</v>
      </c>
      <c r="K102" s="1665">
        <v>0</v>
      </c>
      <c r="L102" s="1666"/>
      <c r="M102" s="1667">
        <f t="shared" si="52"/>
        <v>0</v>
      </c>
      <c r="N102" s="1668">
        <f t="shared" si="53"/>
        <v>0</v>
      </c>
      <c r="O102" s="1669">
        <f t="shared" si="54"/>
        <v>0</v>
      </c>
      <c r="P102" s="1670">
        <f t="shared" si="55"/>
        <v>0</v>
      </c>
      <c r="Q102" s="1497">
        <f t="shared" si="56"/>
        <v>27</v>
      </c>
      <c r="R102" s="1671">
        <f t="shared" si="57"/>
        <v>1498.77</v>
      </c>
      <c r="S102" s="1672">
        <f t="shared" si="58"/>
        <v>1</v>
      </c>
      <c r="T102" s="2002"/>
      <c r="U102" s="1260"/>
      <c r="V102" s="1260"/>
      <c r="W102" s="1260"/>
      <c r="X102" s="1270"/>
    </row>
    <row r="103" spans="1:24" s="1255" customFormat="1">
      <c r="A103" s="1266"/>
      <c r="B103" s="1673" t="s">
        <v>4100</v>
      </c>
      <c r="C103" s="1674" t="s">
        <v>4101</v>
      </c>
      <c r="D103" s="1660" t="s">
        <v>38</v>
      </c>
      <c r="E103" s="1522">
        <v>41.2</v>
      </c>
      <c r="F103" s="1522">
        <v>26</v>
      </c>
      <c r="G103" s="1661">
        <v>26.5</v>
      </c>
      <c r="H103" s="1662">
        <f t="shared" si="51"/>
        <v>1071.2</v>
      </c>
      <c r="I103" s="1662">
        <f t="shared" si="44"/>
        <v>1091.8</v>
      </c>
      <c r="J103" s="1664">
        <v>0</v>
      </c>
      <c r="K103" s="1665">
        <v>0</v>
      </c>
      <c r="L103" s="1666"/>
      <c r="M103" s="1667">
        <f t="shared" si="52"/>
        <v>0</v>
      </c>
      <c r="N103" s="1668">
        <f t="shared" si="53"/>
        <v>0</v>
      </c>
      <c r="O103" s="1669">
        <f t="shared" si="54"/>
        <v>0</v>
      </c>
      <c r="P103" s="1670">
        <f t="shared" si="55"/>
        <v>0</v>
      </c>
      <c r="Q103" s="1497">
        <f t="shared" si="56"/>
        <v>41.2</v>
      </c>
      <c r="R103" s="1671">
        <f t="shared" si="57"/>
        <v>1091.8</v>
      </c>
      <c r="S103" s="1672">
        <f t="shared" si="58"/>
        <v>1</v>
      </c>
      <c r="T103" s="2002"/>
      <c r="U103" s="1260"/>
      <c r="V103" s="1260"/>
      <c r="W103" s="1260"/>
      <c r="X103" s="1270"/>
    </row>
    <row r="104" spans="1:24" s="1255" customFormat="1">
      <c r="B104" s="1673" t="s">
        <v>4102</v>
      </c>
      <c r="C104" s="1674" t="s">
        <v>4103</v>
      </c>
      <c r="D104" s="1660" t="s">
        <v>38</v>
      </c>
      <c r="E104" s="1522">
        <v>3</v>
      </c>
      <c r="F104" s="1522">
        <v>85.85</v>
      </c>
      <c r="G104" s="1661">
        <v>86.24</v>
      </c>
      <c r="H104" s="1662">
        <f t="shared" si="51"/>
        <v>257.54999999999995</v>
      </c>
      <c r="I104" s="1662">
        <f t="shared" si="44"/>
        <v>258.72000000000003</v>
      </c>
      <c r="J104" s="1664">
        <v>0</v>
      </c>
      <c r="K104" s="1665">
        <v>0</v>
      </c>
      <c r="L104" s="1666"/>
      <c r="M104" s="1667">
        <f t="shared" si="52"/>
        <v>0</v>
      </c>
      <c r="N104" s="1668">
        <f t="shared" si="53"/>
        <v>0</v>
      </c>
      <c r="O104" s="1669">
        <f t="shared" si="54"/>
        <v>0</v>
      </c>
      <c r="P104" s="1670">
        <f t="shared" si="55"/>
        <v>0</v>
      </c>
      <c r="Q104" s="1497">
        <f t="shared" si="56"/>
        <v>3</v>
      </c>
      <c r="R104" s="1671">
        <f t="shared" si="57"/>
        <v>258.72000000000003</v>
      </c>
      <c r="S104" s="1672">
        <f t="shared" si="58"/>
        <v>1</v>
      </c>
      <c r="T104" s="2002"/>
      <c r="U104" s="1260"/>
      <c r="V104" s="1260"/>
      <c r="W104" s="1260"/>
      <c r="X104" s="1270"/>
    </row>
    <row r="105" spans="1:24" s="1255" customFormat="1">
      <c r="A105" s="1266"/>
      <c r="B105" s="1673" t="s">
        <v>4104</v>
      </c>
      <c r="C105" s="1674" t="s">
        <v>4044</v>
      </c>
      <c r="D105" s="1660" t="s">
        <v>38</v>
      </c>
      <c r="E105" s="1522">
        <v>16</v>
      </c>
      <c r="F105" s="1522">
        <v>76.09</v>
      </c>
      <c r="G105" s="1661">
        <v>76.48</v>
      </c>
      <c r="H105" s="1662">
        <f t="shared" si="51"/>
        <v>1217.44</v>
      </c>
      <c r="I105" s="1662">
        <f t="shared" si="44"/>
        <v>1223.68</v>
      </c>
      <c r="J105" s="1664">
        <v>0</v>
      </c>
      <c r="K105" s="1665">
        <v>0</v>
      </c>
      <c r="L105" s="1666"/>
      <c r="M105" s="1667">
        <f t="shared" si="52"/>
        <v>0</v>
      </c>
      <c r="N105" s="1668">
        <f t="shared" si="53"/>
        <v>0</v>
      </c>
      <c r="O105" s="1669">
        <f t="shared" si="54"/>
        <v>0</v>
      </c>
      <c r="P105" s="1670">
        <f t="shared" si="55"/>
        <v>0</v>
      </c>
      <c r="Q105" s="1497">
        <f t="shared" si="56"/>
        <v>16</v>
      </c>
      <c r="R105" s="1671">
        <f t="shared" si="57"/>
        <v>1223.68</v>
      </c>
      <c r="S105" s="1672">
        <f t="shared" si="58"/>
        <v>1</v>
      </c>
      <c r="T105" s="2002"/>
      <c r="U105" s="1260"/>
      <c r="V105" s="1260"/>
      <c r="W105" s="1260"/>
      <c r="X105" s="1270"/>
    </row>
    <row r="106" spans="1:24" s="1255" customFormat="1">
      <c r="A106" s="1266"/>
      <c r="B106" s="1673" t="s">
        <v>4105</v>
      </c>
      <c r="C106" s="1674" t="s">
        <v>4106</v>
      </c>
      <c r="D106" s="1660" t="s">
        <v>38</v>
      </c>
      <c r="E106" s="1522">
        <v>10</v>
      </c>
      <c r="F106" s="1522">
        <v>53.12</v>
      </c>
      <c r="G106" s="1661">
        <v>53.76</v>
      </c>
      <c r="H106" s="1662">
        <f t="shared" si="51"/>
        <v>531.19999999999993</v>
      </c>
      <c r="I106" s="1662">
        <f t="shared" si="44"/>
        <v>537.6</v>
      </c>
      <c r="J106" s="1664">
        <v>0</v>
      </c>
      <c r="K106" s="1665">
        <v>0</v>
      </c>
      <c r="L106" s="1666"/>
      <c r="M106" s="1667">
        <f t="shared" si="52"/>
        <v>0</v>
      </c>
      <c r="N106" s="1668">
        <f t="shared" si="53"/>
        <v>0</v>
      </c>
      <c r="O106" s="1669">
        <f t="shared" si="54"/>
        <v>0</v>
      </c>
      <c r="P106" s="1670">
        <f t="shared" si="55"/>
        <v>0</v>
      </c>
      <c r="Q106" s="1497">
        <f t="shared" si="56"/>
        <v>10</v>
      </c>
      <c r="R106" s="1671">
        <f t="shared" si="57"/>
        <v>537.6</v>
      </c>
      <c r="S106" s="1672">
        <f t="shared" si="58"/>
        <v>1</v>
      </c>
      <c r="T106" s="2002"/>
      <c r="U106" s="1260"/>
      <c r="V106" s="1260"/>
      <c r="W106" s="1260"/>
      <c r="X106" s="1270"/>
    </row>
    <row r="107" spans="1:24" s="1255" customFormat="1">
      <c r="B107" s="1673" t="s">
        <v>4107</v>
      </c>
      <c r="C107" s="1674" t="s">
        <v>4004</v>
      </c>
      <c r="D107" s="1660" t="s">
        <v>37</v>
      </c>
      <c r="E107" s="1522">
        <v>29.12</v>
      </c>
      <c r="F107" s="1522">
        <v>397.3</v>
      </c>
      <c r="G107" s="1661">
        <v>400.36</v>
      </c>
      <c r="H107" s="1662">
        <f t="shared" si="51"/>
        <v>11569.376</v>
      </c>
      <c r="I107" s="1662">
        <f t="shared" si="44"/>
        <v>11658.48</v>
      </c>
      <c r="J107" s="1664">
        <v>0</v>
      </c>
      <c r="K107" s="1665">
        <v>0</v>
      </c>
      <c r="L107" s="1666"/>
      <c r="M107" s="1667">
        <f t="shared" si="52"/>
        <v>0</v>
      </c>
      <c r="N107" s="1668">
        <f t="shared" si="53"/>
        <v>0</v>
      </c>
      <c r="O107" s="1669">
        <f t="shared" si="54"/>
        <v>0</v>
      </c>
      <c r="P107" s="1670">
        <f t="shared" si="55"/>
        <v>0</v>
      </c>
      <c r="Q107" s="1497">
        <f t="shared" si="56"/>
        <v>29.12</v>
      </c>
      <c r="R107" s="1671">
        <f t="shared" si="57"/>
        <v>11658.48</v>
      </c>
      <c r="S107" s="1672">
        <f t="shared" si="58"/>
        <v>1</v>
      </c>
      <c r="T107" s="2002"/>
      <c r="U107" s="1260"/>
      <c r="V107" s="1260"/>
      <c r="W107" s="1260"/>
      <c r="X107" s="1270"/>
    </row>
    <row r="108" spans="1:24" s="1255" customFormat="1">
      <c r="A108" s="1254"/>
      <c r="B108" s="2037" t="s">
        <v>4108</v>
      </c>
      <c r="C108" s="2038" t="s">
        <v>4006</v>
      </c>
      <c r="D108" s="1660"/>
      <c r="E108" s="1522"/>
      <c r="F108" s="1522"/>
      <c r="G108" s="1661"/>
      <c r="H108" s="1662"/>
      <c r="I108" s="1662">
        <f t="shared" si="44"/>
        <v>0</v>
      </c>
      <c r="J108" s="1664"/>
      <c r="K108" s="1665"/>
      <c r="L108" s="1666"/>
      <c r="M108" s="1667"/>
      <c r="N108" s="1668"/>
      <c r="O108" s="1669"/>
      <c r="P108" s="1670"/>
      <c r="Q108" s="1497"/>
      <c r="R108" s="1671"/>
      <c r="S108" s="1672" t="str">
        <f t="shared" si="46"/>
        <v/>
      </c>
      <c r="T108" s="2002"/>
      <c r="U108" s="1260"/>
      <c r="V108" s="1260"/>
      <c r="W108" s="1260"/>
      <c r="X108" s="1270"/>
    </row>
    <row r="109" spans="1:24" s="1255" customFormat="1">
      <c r="A109" s="1266"/>
      <c r="B109" s="1673" t="s">
        <v>4109</v>
      </c>
      <c r="C109" s="1674" t="s">
        <v>4110</v>
      </c>
      <c r="D109" s="1660" t="s">
        <v>36</v>
      </c>
      <c r="E109" s="1522">
        <v>12</v>
      </c>
      <c r="F109" s="1522">
        <v>388.53</v>
      </c>
      <c r="G109" s="1661">
        <v>403.84</v>
      </c>
      <c r="H109" s="1662">
        <f t="shared" ref="H109" si="59">+E109*F109</f>
        <v>4662.3599999999997</v>
      </c>
      <c r="I109" s="1662">
        <f t="shared" si="44"/>
        <v>4846.08</v>
      </c>
      <c r="J109" s="1664">
        <v>0</v>
      </c>
      <c r="K109" s="1665">
        <v>0</v>
      </c>
      <c r="L109" s="1666"/>
      <c r="M109" s="1667">
        <f t="shared" si="52"/>
        <v>0</v>
      </c>
      <c r="N109" s="1668">
        <f t="shared" ref="N109" si="60">J109+L109</f>
        <v>0</v>
      </c>
      <c r="O109" s="1669">
        <f>N109*G109</f>
        <v>0</v>
      </c>
      <c r="P109" s="1670">
        <f>+IF(D109=0,"",O109/I109)</f>
        <v>0</v>
      </c>
      <c r="Q109" s="1497">
        <f t="shared" ref="Q109" si="61">E109-N109</f>
        <v>12</v>
      </c>
      <c r="R109" s="1671">
        <f>ROUND((Q109*G109),2)</f>
        <v>4846.08</v>
      </c>
      <c r="S109" s="1672">
        <f>+IF(I109=0,"",R109/I109)</f>
        <v>1</v>
      </c>
      <c r="T109" s="2002"/>
      <c r="U109" s="1260"/>
      <c r="V109" s="1260"/>
      <c r="W109" s="1260"/>
      <c r="X109" s="1270"/>
    </row>
    <row r="110" spans="1:24" s="1255" customFormat="1">
      <c r="B110" s="2039" t="s">
        <v>4111</v>
      </c>
      <c r="C110" s="2040" t="s">
        <v>4112</v>
      </c>
      <c r="D110" s="1660"/>
      <c r="E110" s="1522"/>
      <c r="F110" s="1522"/>
      <c r="G110" s="1661"/>
      <c r="H110" s="1662"/>
      <c r="I110" s="1662">
        <f t="shared" si="44"/>
        <v>0</v>
      </c>
      <c r="J110" s="1664"/>
      <c r="K110" s="1665"/>
      <c r="L110" s="1666"/>
      <c r="M110" s="1667"/>
      <c r="N110" s="1668"/>
      <c r="O110" s="1669"/>
      <c r="P110" s="1670"/>
      <c r="Q110" s="1497"/>
      <c r="R110" s="1671"/>
      <c r="S110" s="1672" t="str">
        <f t="shared" si="46"/>
        <v/>
      </c>
      <c r="T110" s="2002"/>
      <c r="U110" s="1260"/>
      <c r="V110" s="1260"/>
      <c r="W110" s="1260"/>
      <c r="X110" s="1270"/>
    </row>
    <row r="111" spans="1:24" s="1255" customFormat="1">
      <c r="A111" s="1254"/>
      <c r="B111" s="1673" t="s">
        <v>4113</v>
      </c>
      <c r="C111" s="1674" t="s">
        <v>4114</v>
      </c>
      <c r="D111" s="1660" t="s">
        <v>36</v>
      </c>
      <c r="E111" s="1522">
        <v>18</v>
      </c>
      <c r="F111" s="1522">
        <v>52.03</v>
      </c>
      <c r="G111" s="1661">
        <v>52.34</v>
      </c>
      <c r="H111" s="1662">
        <f t="shared" ref="H111:H115" si="62">+E111*F111</f>
        <v>936.54</v>
      </c>
      <c r="I111" s="1662">
        <f t="shared" si="44"/>
        <v>942.12</v>
      </c>
      <c r="J111" s="1664">
        <v>0</v>
      </c>
      <c r="K111" s="1665">
        <v>0</v>
      </c>
      <c r="L111" s="1666"/>
      <c r="M111" s="1667">
        <f t="shared" si="52"/>
        <v>0</v>
      </c>
      <c r="N111" s="1668">
        <f t="shared" ref="N111:N115" si="63">J111+L111</f>
        <v>0</v>
      </c>
      <c r="O111" s="1669">
        <f t="shared" ref="O111:O115" si="64">N111*G111</f>
        <v>0</v>
      </c>
      <c r="P111" s="1670">
        <f t="shared" ref="P111:P115" si="65">+IF(D111=0,"",O111/I111)</f>
        <v>0</v>
      </c>
      <c r="Q111" s="1497">
        <f t="shared" ref="Q111:Q115" si="66">E111-N111</f>
        <v>18</v>
      </c>
      <c r="R111" s="1671">
        <f t="shared" ref="R111:R115" si="67">ROUND((Q111*G111),2)</f>
        <v>942.12</v>
      </c>
      <c r="S111" s="1672">
        <f t="shared" ref="S111:S115" si="68">+IF(I111=0,"",R111/I111)</f>
        <v>1</v>
      </c>
      <c r="T111" s="2002"/>
      <c r="U111" s="1260"/>
      <c r="V111" s="1260"/>
      <c r="W111" s="1260"/>
      <c r="X111" s="1270"/>
    </row>
    <row r="112" spans="1:24" s="1255" customFormat="1">
      <c r="A112" s="1266"/>
      <c r="B112" s="1673" t="s">
        <v>4115</v>
      </c>
      <c r="C112" s="1674" t="s">
        <v>4116</v>
      </c>
      <c r="D112" s="1660" t="s">
        <v>36</v>
      </c>
      <c r="E112" s="1522">
        <v>9</v>
      </c>
      <c r="F112" s="1522">
        <v>606.05999999999995</v>
      </c>
      <c r="G112" s="1661">
        <v>621.37</v>
      </c>
      <c r="H112" s="1662">
        <f t="shared" si="62"/>
        <v>5454.5399999999991</v>
      </c>
      <c r="I112" s="1662">
        <f t="shared" si="44"/>
        <v>5592.33</v>
      </c>
      <c r="J112" s="1664">
        <v>0</v>
      </c>
      <c r="K112" s="1665">
        <v>0</v>
      </c>
      <c r="L112" s="1666"/>
      <c r="M112" s="1667">
        <f t="shared" si="52"/>
        <v>0</v>
      </c>
      <c r="N112" s="1668">
        <f t="shared" si="63"/>
        <v>0</v>
      </c>
      <c r="O112" s="1669">
        <f t="shared" si="64"/>
        <v>0</v>
      </c>
      <c r="P112" s="1670">
        <f t="shared" si="65"/>
        <v>0</v>
      </c>
      <c r="Q112" s="1497">
        <f t="shared" si="66"/>
        <v>9</v>
      </c>
      <c r="R112" s="1671">
        <f t="shared" si="67"/>
        <v>5592.33</v>
      </c>
      <c r="S112" s="1672">
        <f t="shared" si="68"/>
        <v>1</v>
      </c>
      <c r="T112" s="2002"/>
      <c r="U112" s="1260"/>
      <c r="V112" s="1260"/>
      <c r="W112" s="1260"/>
      <c r="X112" s="1270"/>
    </row>
    <row r="113" spans="1:24" s="1255" customFormat="1">
      <c r="B113" s="1673" t="s">
        <v>4117</v>
      </c>
      <c r="C113" s="1674" t="s">
        <v>4118</v>
      </c>
      <c r="D113" s="1660" t="s">
        <v>36</v>
      </c>
      <c r="E113" s="1522">
        <v>24</v>
      </c>
      <c r="F113" s="1522">
        <v>59.62</v>
      </c>
      <c r="G113" s="1661">
        <v>60.39</v>
      </c>
      <c r="H113" s="1662">
        <f t="shared" si="62"/>
        <v>1430.8799999999999</v>
      </c>
      <c r="I113" s="1662">
        <f t="shared" si="44"/>
        <v>1449.36</v>
      </c>
      <c r="J113" s="1664">
        <v>0</v>
      </c>
      <c r="K113" s="1665">
        <v>0</v>
      </c>
      <c r="L113" s="1666"/>
      <c r="M113" s="1667">
        <f t="shared" si="52"/>
        <v>0</v>
      </c>
      <c r="N113" s="1668">
        <f t="shared" si="63"/>
        <v>0</v>
      </c>
      <c r="O113" s="1669">
        <f t="shared" si="64"/>
        <v>0</v>
      </c>
      <c r="P113" s="1670">
        <f t="shared" si="65"/>
        <v>0</v>
      </c>
      <c r="Q113" s="1497">
        <f t="shared" si="66"/>
        <v>24</v>
      </c>
      <c r="R113" s="1671">
        <f t="shared" si="67"/>
        <v>1449.36</v>
      </c>
      <c r="S113" s="1672">
        <f t="shared" si="68"/>
        <v>1</v>
      </c>
      <c r="T113" s="2002"/>
      <c r="U113" s="1260"/>
      <c r="V113" s="1260"/>
      <c r="W113" s="1260"/>
      <c r="X113" s="1270"/>
    </row>
    <row r="114" spans="1:24" s="1255" customFormat="1">
      <c r="A114" s="1266"/>
      <c r="B114" s="1673" t="s">
        <v>4119</v>
      </c>
      <c r="C114" s="1674" t="s">
        <v>4120</v>
      </c>
      <c r="D114" s="1660" t="s">
        <v>38</v>
      </c>
      <c r="E114" s="1522">
        <v>83.2</v>
      </c>
      <c r="F114" s="1522">
        <v>25.77</v>
      </c>
      <c r="G114" s="1661">
        <v>26.27</v>
      </c>
      <c r="H114" s="1662">
        <f t="shared" si="62"/>
        <v>2144.0639999999999</v>
      </c>
      <c r="I114" s="1662">
        <f t="shared" si="44"/>
        <v>2185.66</v>
      </c>
      <c r="J114" s="1664">
        <v>0</v>
      </c>
      <c r="K114" s="1665">
        <v>0</v>
      </c>
      <c r="L114" s="1666"/>
      <c r="M114" s="1667">
        <f t="shared" si="52"/>
        <v>0</v>
      </c>
      <c r="N114" s="1668">
        <f t="shared" si="63"/>
        <v>0</v>
      </c>
      <c r="O114" s="1669">
        <f t="shared" si="64"/>
        <v>0</v>
      </c>
      <c r="P114" s="1670">
        <f t="shared" si="65"/>
        <v>0</v>
      </c>
      <c r="Q114" s="1497">
        <f t="shared" si="66"/>
        <v>83.2</v>
      </c>
      <c r="R114" s="1671">
        <f t="shared" si="67"/>
        <v>2185.66</v>
      </c>
      <c r="S114" s="1672">
        <f t="shared" si="68"/>
        <v>1</v>
      </c>
      <c r="T114" s="2002"/>
      <c r="U114" s="1260"/>
      <c r="V114" s="1260"/>
      <c r="W114" s="1260"/>
      <c r="X114" s="1270"/>
    </row>
    <row r="115" spans="1:24" s="1255" customFormat="1">
      <c r="A115" s="1266"/>
      <c r="B115" s="1673" t="s">
        <v>4121</v>
      </c>
      <c r="C115" s="1674" t="s">
        <v>4122</v>
      </c>
      <c r="D115" s="1660" t="s">
        <v>38</v>
      </c>
      <c r="E115" s="1522">
        <v>10.4</v>
      </c>
      <c r="F115" s="1522">
        <v>41.39</v>
      </c>
      <c r="G115" s="1661">
        <v>41.78</v>
      </c>
      <c r="H115" s="1662">
        <f t="shared" si="62"/>
        <v>430.45600000000002</v>
      </c>
      <c r="I115" s="1662">
        <f t="shared" si="44"/>
        <v>434.51</v>
      </c>
      <c r="J115" s="1664">
        <v>0</v>
      </c>
      <c r="K115" s="1665">
        <v>0</v>
      </c>
      <c r="L115" s="1666"/>
      <c r="M115" s="1667">
        <f t="shared" si="52"/>
        <v>0</v>
      </c>
      <c r="N115" s="1668">
        <f t="shared" si="63"/>
        <v>0</v>
      </c>
      <c r="O115" s="1669">
        <f t="shared" si="64"/>
        <v>0</v>
      </c>
      <c r="P115" s="1670">
        <f t="shared" si="65"/>
        <v>0</v>
      </c>
      <c r="Q115" s="1497">
        <f t="shared" si="66"/>
        <v>10.4</v>
      </c>
      <c r="R115" s="1671">
        <f t="shared" si="67"/>
        <v>434.51</v>
      </c>
      <c r="S115" s="1672">
        <f t="shared" si="68"/>
        <v>1</v>
      </c>
      <c r="T115" s="2002"/>
      <c r="U115" s="1260"/>
      <c r="V115" s="1260"/>
      <c r="W115" s="1260"/>
      <c r="X115" s="1270"/>
    </row>
    <row r="116" spans="1:24" s="1255" customFormat="1">
      <c r="B116" s="2037" t="s">
        <v>4123</v>
      </c>
      <c r="C116" s="2038" t="s">
        <v>4006</v>
      </c>
      <c r="D116" s="1660"/>
      <c r="E116" s="1522"/>
      <c r="F116" s="1522"/>
      <c r="G116" s="1661"/>
      <c r="H116" s="1662"/>
      <c r="I116" s="1662">
        <f t="shared" si="44"/>
        <v>0</v>
      </c>
      <c r="J116" s="1664"/>
      <c r="K116" s="1665"/>
      <c r="L116" s="1666"/>
      <c r="M116" s="1667"/>
      <c r="N116" s="1668"/>
      <c r="O116" s="1669"/>
      <c r="P116" s="1670"/>
      <c r="Q116" s="1497"/>
      <c r="R116" s="1671"/>
      <c r="S116" s="1672" t="str">
        <f t="shared" si="46"/>
        <v/>
      </c>
      <c r="T116" s="2002"/>
      <c r="U116" s="1260"/>
      <c r="V116" s="1260"/>
      <c r="W116" s="1260"/>
      <c r="X116" s="1270"/>
    </row>
    <row r="117" spans="1:24" s="1255" customFormat="1">
      <c r="A117" s="1254"/>
      <c r="B117" s="1673" t="s">
        <v>4124</v>
      </c>
      <c r="C117" s="1674" t="s">
        <v>4125</v>
      </c>
      <c r="D117" s="1660" t="s">
        <v>36</v>
      </c>
      <c r="E117" s="1522">
        <v>33</v>
      </c>
      <c r="F117" s="1522">
        <v>237.54</v>
      </c>
      <c r="G117" s="1661">
        <v>246.24</v>
      </c>
      <c r="H117" s="1662">
        <f t="shared" ref="H117:H118" si="69">+E117*F117</f>
        <v>7838.82</v>
      </c>
      <c r="I117" s="1662">
        <f t="shared" si="44"/>
        <v>8125.92</v>
      </c>
      <c r="J117" s="1664">
        <v>0</v>
      </c>
      <c r="K117" s="1665">
        <v>0</v>
      </c>
      <c r="L117" s="1666"/>
      <c r="M117" s="1667">
        <f t="shared" si="52"/>
        <v>0</v>
      </c>
      <c r="N117" s="1668">
        <f t="shared" ref="N117:N118" si="70">J117+L117</f>
        <v>0</v>
      </c>
      <c r="O117" s="1669">
        <f t="shared" ref="O117:O118" si="71">N117*G117</f>
        <v>0</v>
      </c>
      <c r="P117" s="1670">
        <f t="shared" ref="P117:P118" si="72">+IF(D117=0,"",O117/I117)</f>
        <v>0</v>
      </c>
      <c r="Q117" s="1497">
        <f t="shared" ref="Q117:Q118" si="73">E117-N117</f>
        <v>33</v>
      </c>
      <c r="R117" s="1671">
        <f t="shared" ref="R117:R118" si="74">ROUND((Q117*G117),2)</f>
        <v>8125.92</v>
      </c>
      <c r="S117" s="1672">
        <f t="shared" ref="S117:S118" si="75">+IF(I117=0,"",R117/I117)</f>
        <v>1</v>
      </c>
      <c r="T117" s="2002"/>
      <c r="U117" s="1260"/>
      <c r="V117" s="1260"/>
      <c r="W117" s="1260"/>
      <c r="X117" s="1270"/>
    </row>
    <row r="118" spans="1:24" s="1255" customFormat="1">
      <c r="A118" s="1266"/>
      <c r="B118" s="1673" t="s">
        <v>4126</v>
      </c>
      <c r="C118" s="1674" t="s">
        <v>4127</v>
      </c>
      <c r="D118" s="1660" t="s">
        <v>38</v>
      </c>
      <c r="E118" s="1522">
        <v>83.2</v>
      </c>
      <c r="F118" s="1522">
        <v>236.87</v>
      </c>
      <c r="G118" s="1661">
        <v>245.57</v>
      </c>
      <c r="H118" s="1662">
        <f t="shared" si="69"/>
        <v>19707.584000000003</v>
      </c>
      <c r="I118" s="1662">
        <f t="shared" si="44"/>
        <v>20431.419999999998</v>
      </c>
      <c r="J118" s="1664">
        <v>0</v>
      </c>
      <c r="K118" s="1665">
        <v>0</v>
      </c>
      <c r="L118" s="1666"/>
      <c r="M118" s="1667">
        <f t="shared" si="52"/>
        <v>0</v>
      </c>
      <c r="N118" s="1668">
        <f t="shared" si="70"/>
        <v>0</v>
      </c>
      <c r="O118" s="1669">
        <f t="shared" si="71"/>
        <v>0</v>
      </c>
      <c r="P118" s="1670">
        <f t="shared" si="72"/>
        <v>0</v>
      </c>
      <c r="Q118" s="1497">
        <f t="shared" si="73"/>
        <v>83.2</v>
      </c>
      <c r="R118" s="1671">
        <f t="shared" si="74"/>
        <v>20431.419999999998</v>
      </c>
      <c r="S118" s="1672">
        <f t="shared" si="75"/>
        <v>1</v>
      </c>
      <c r="T118" s="2002"/>
      <c r="U118" s="1260"/>
      <c r="V118" s="1260"/>
      <c r="W118" s="1260"/>
      <c r="X118" s="1270"/>
    </row>
    <row r="119" spans="1:24" s="1255" customFormat="1">
      <c r="B119" s="2039" t="s">
        <v>4128</v>
      </c>
      <c r="C119" s="2040" t="s">
        <v>4129</v>
      </c>
      <c r="D119" s="1660"/>
      <c r="E119" s="1522"/>
      <c r="F119" s="1522"/>
      <c r="G119" s="1661"/>
      <c r="H119" s="1662"/>
      <c r="I119" s="1662">
        <f t="shared" si="44"/>
        <v>0</v>
      </c>
      <c r="J119" s="1664"/>
      <c r="K119" s="1665"/>
      <c r="L119" s="1666"/>
      <c r="M119" s="1667"/>
      <c r="N119" s="1668"/>
      <c r="O119" s="1669"/>
      <c r="P119" s="1670"/>
      <c r="Q119" s="1497"/>
      <c r="R119" s="1671"/>
      <c r="S119" s="1672" t="str">
        <f t="shared" si="46"/>
        <v/>
      </c>
      <c r="T119" s="2002"/>
      <c r="U119" s="1260"/>
      <c r="V119" s="1260"/>
      <c r="W119" s="1260"/>
      <c r="X119" s="1270"/>
    </row>
    <row r="120" spans="1:24" s="1255" customFormat="1">
      <c r="A120" s="1254"/>
      <c r="B120" s="1673" t="s">
        <v>4130</v>
      </c>
      <c r="C120" s="1674" t="s">
        <v>4131</v>
      </c>
      <c r="D120" s="1660" t="s">
        <v>36</v>
      </c>
      <c r="E120" s="1522">
        <v>24</v>
      </c>
      <c r="F120" s="1522">
        <v>103.83</v>
      </c>
      <c r="G120" s="1661">
        <v>106.02</v>
      </c>
      <c r="H120" s="1662">
        <f t="shared" ref="H120:H127" si="76">+E120*F120</f>
        <v>2491.92</v>
      </c>
      <c r="I120" s="1662">
        <f t="shared" si="44"/>
        <v>2544.48</v>
      </c>
      <c r="J120" s="1664">
        <v>0</v>
      </c>
      <c r="K120" s="1665">
        <v>0</v>
      </c>
      <c r="L120" s="1666"/>
      <c r="M120" s="1667">
        <f t="shared" si="52"/>
        <v>0</v>
      </c>
      <c r="N120" s="1668">
        <f t="shared" ref="N120:N127" si="77">J120+L120</f>
        <v>0</v>
      </c>
      <c r="O120" s="1669">
        <f t="shared" ref="O120:O127" si="78">N120*G120</f>
        <v>0</v>
      </c>
      <c r="P120" s="1670">
        <f t="shared" ref="P120:P127" si="79">+IF(D120=0,"",O120/I120)</f>
        <v>0</v>
      </c>
      <c r="Q120" s="1497">
        <f t="shared" ref="Q120:Q127" si="80">E120-N120</f>
        <v>24</v>
      </c>
      <c r="R120" s="1671">
        <f t="shared" ref="R120:R127" si="81">ROUND((Q120*G120),2)</f>
        <v>2544.48</v>
      </c>
      <c r="S120" s="1672">
        <f t="shared" ref="S120:S127" si="82">+IF(I120=0,"",R120/I120)</f>
        <v>1</v>
      </c>
      <c r="T120" s="2002"/>
      <c r="U120" s="1260"/>
      <c r="V120" s="1260"/>
      <c r="W120" s="1260"/>
      <c r="X120" s="1270"/>
    </row>
    <row r="121" spans="1:24" s="1255" customFormat="1">
      <c r="A121" s="1266"/>
      <c r="B121" s="1673" t="s">
        <v>4132</v>
      </c>
      <c r="C121" s="1674" t="s">
        <v>4133</v>
      </c>
      <c r="D121" s="1660" t="s">
        <v>36</v>
      </c>
      <c r="E121" s="1522">
        <v>12</v>
      </c>
      <c r="F121" s="1522">
        <v>1920.12</v>
      </c>
      <c r="G121" s="1661">
        <v>1950.75</v>
      </c>
      <c r="H121" s="1662">
        <f t="shared" si="76"/>
        <v>23041.439999999999</v>
      </c>
      <c r="I121" s="1662">
        <f t="shared" si="44"/>
        <v>23409</v>
      </c>
      <c r="J121" s="1664">
        <v>0</v>
      </c>
      <c r="K121" s="1665">
        <v>0</v>
      </c>
      <c r="L121" s="1666"/>
      <c r="M121" s="1667">
        <f t="shared" si="52"/>
        <v>0</v>
      </c>
      <c r="N121" s="1668">
        <f t="shared" si="77"/>
        <v>0</v>
      </c>
      <c r="O121" s="1669">
        <f t="shared" si="78"/>
        <v>0</v>
      </c>
      <c r="P121" s="1670">
        <f t="shared" si="79"/>
        <v>0</v>
      </c>
      <c r="Q121" s="1497">
        <f t="shared" si="80"/>
        <v>12</v>
      </c>
      <c r="R121" s="1671">
        <f t="shared" si="81"/>
        <v>23409</v>
      </c>
      <c r="S121" s="1672">
        <f t="shared" si="82"/>
        <v>1</v>
      </c>
      <c r="T121" s="2002"/>
      <c r="U121" s="1260"/>
      <c r="V121" s="1260"/>
      <c r="W121" s="1260"/>
      <c r="X121" s="1270"/>
    </row>
    <row r="122" spans="1:24" s="1255" customFormat="1">
      <c r="B122" s="1673" t="s">
        <v>4134</v>
      </c>
      <c r="C122" s="1674" t="s">
        <v>4135</v>
      </c>
      <c r="D122" s="1660" t="s">
        <v>36</v>
      </c>
      <c r="E122" s="1522">
        <v>18</v>
      </c>
      <c r="F122" s="1522">
        <v>547.34</v>
      </c>
      <c r="G122" s="1661">
        <v>562.65</v>
      </c>
      <c r="H122" s="1662">
        <f t="shared" si="76"/>
        <v>9852.1200000000008</v>
      </c>
      <c r="I122" s="1662">
        <f t="shared" si="44"/>
        <v>10127.700000000001</v>
      </c>
      <c r="J122" s="1664">
        <v>0</v>
      </c>
      <c r="K122" s="1665">
        <v>0</v>
      </c>
      <c r="L122" s="1666"/>
      <c r="M122" s="1667">
        <f t="shared" si="52"/>
        <v>0</v>
      </c>
      <c r="N122" s="1668">
        <f t="shared" si="77"/>
        <v>0</v>
      </c>
      <c r="O122" s="1669">
        <f t="shared" si="78"/>
        <v>0</v>
      </c>
      <c r="P122" s="1670">
        <f t="shared" si="79"/>
        <v>0</v>
      </c>
      <c r="Q122" s="1497">
        <f t="shared" si="80"/>
        <v>18</v>
      </c>
      <c r="R122" s="1671">
        <f t="shared" si="81"/>
        <v>10127.700000000001</v>
      </c>
      <c r="S122" s="1672">
        <f t="shared" si="82"/>
        <v>1</v>
      </c>
      <c r="T122" s="2002"/>
      <c r="U122" s="1260"/>
      <c r="V122" s="1260"/>
      <c r="W122" s="1260"/>
      <c r="X122" s="1270"/>
    </row>
    <row r="123" spans="1:24" s="1255" customFormat="1">
      <c r="A123" s="1266"/>
      <c r="B123" s="1673" t="s">
        <v>4136</v>
      </c>
      <c r="C123" s="1674" t="s">
        <v>4137</v>
      </c>
      <c r="D123" s="1660" t="s">
        <v>36</v>
      </c>
      <c r="E123" s="1522">
        <v>36</v>
      </c>
      <c r="F123" s="1522">
        <v>547.34</v>
      </c>
      <c r="G123" s="1661">
        <v>562.65</v>
      </c>
      <c r="H123" s="1662">
        <f t="shared" si="76"/>
        <v>19704.240000000002</v>
      </c>
      <c r="I123" s="1662">
        <f t="shared" si="44"/>
        <v>20255.400000000001</v>
      </c>
      <c r="J123" s="1664">
        <v>0</v>
      </c>
      <c r="K123" s="1665">
        <v>0</v>
      </c>
      <c r="L123" s="1666"/>
      <c r="M123" s="1667">
        <f t="shared" si="52"/>
        <v>0</v>
      </c>
      <c r="N123" s="1668">
        <f t="shared" si="77"/>
        <v>0</v>
      </c>
      <c r="O123" s="1669">
        <f t="shared" si="78"/>
        <v>0</v>
      </c>
      <c r="P123" s="1670">
        <f t="shared" si="79"/>
        <v>0</v>
      </c>
      <c r="Q123" s="1497">
        <f t="shared" si="80"/>
        <v>36</v>
      </c>
      <c r="R123" s="1671">
        <f t="shared" si="81"/>
        <v>20255.400000000001</v>
      </c>
      <c r="S123" s="1672">
        <f t="shared" si="82"/>
        <v>1</v>
      </c>
      <c r="T123" s="2002"/>
      <c r="U123" s="1260"/>
      <c r="V123" s="1260"/>
      <c r="W123" s="1260"/>
      <c r="X123" s="1270"/>
    </row>
    <row r="124" spans="1:24" s="1255" customFormat="1">
      <c r="A124" s="1266"/>
      <c r="B124" s="1673" t="s">
        <v>4138</v>
      </c>
      <c r="C124" s="1674" t="s">
        <v>4139</v>
      </c>
      <c r="D124" s="1660" t="s">
        <v>36</v>
      </c>
      <c r="E124" s="1522">
        <v>144</v>
      </c>
      <c r="F124" s="1522">
        <v>59.62</v>
      </c>
      <c r="G124" s="1661">
        <v>60.39</v>
      </c>
      <c r="H124" s="1662">
        <f t="shared" si="76"/>
        <v>8585.2799999999988</v>
      </c>
      <c r="I124" s="1662">
        <f t="shared" si="44"/>
        <v>8696.16</v>
      </c>
      <c r="J124" s="1664">
        <v>0</v>
      </c>
      <c r="K124" s="1665">
        <v>0</v>
      </c>
      <c r="L124" s="1666"/>
      <c r="M124" s="1667">
        <f t="shared" si="52"/>
        <v>0</v>
      </c>
      <c r="N124" s="1668">
        <f t="shared" si="77"/>
        <v>0</v>
      </c>
      <c r="O124" s="1669">
        <f t="shared" si="78"/>
        <v>0</v>
      </c>
      <c r="P124" s="1670">
        <f t="shared" si="79"/>
        <v>0</v>
      </c>
      <c r="Q124" s="1497">
        <f t="shared" si="80"/>
        <v>144</v>
      </c>
      <c r="R124" s="1671">
        <f t="shared" si="81"/>
        <v>8696.16</v>
      </c>
      <c r="S124" s="1672">
        <f t="shared" si="82"/>
        <v>1</v>
      </c>
      <c r="T124" s="2002"/>
      <c r="U124" s="1260"/>
      <c r="V124" s="1260"/>
      <c r="W124" s="1260"/>
      <c r="X124" s="1270"/>
    </row>
    <row r="125" spans="1:24" s="1255" customFormat="1">
      <c r="B125" s="1673" t="s">
        <v>4140</v>
      </c>
      <c r="C125" s="1674" t="s">
        <v>4141</v>
      </c>
      <c r="D125" s="1660" t="s">
        <v>38</v>
      </c>
      <c r="E125" s="1522">
        <v>374.4</v>
      </c>
      <c r="F125" s="1522">
        <v>25.77</v>
      </c>
      <c r="G125" s="1661">
        <v>26.27</v>
      </c>
      <c r="H125" s="1662">
        <f t="shared" si="76"/>
        <v>9648.2879999999986</v>
      </c>
      <c r="I125" s="1662">
        <f t="shared" si="44"/>
        <v>9835.49</v>
      </c>
      <c r="J125" s="1664">
        <v>0</v>
      </c>
      <c r="K125" s="1665">
        <v>0</v>
      </c>
      <c r="L125" s="1666"/>
      <c r="M125" s="1667">
        <f t="shared" si="52"/>
        <v>0</v>
      </c>
      <c r="N125" s="1668">
        <f t="shared" si="77"/>
        <v>0</v>
      </c>
      <c r="O125" s="1669">
        <f t="shared" si="78"/>
        <v>0</v>
      </c>
      <c r="P125" s="1670">
        <f t="shared" si="79"/>
        <v>0</v>
      </c>
      <c r="Q125" s="1497">
        <f t="shared" si="80"/>
        <v>374.4</v>
      </c>
      <c r="R125" s="1671">
        <f t="shared" si="81"/>
        <v>9835.49</v>
      </c>
      <c r="S125" s="1672">
        <f t="shared" si="82"/>
        <v>1</v>
      </c>
      <c r="T125" s="2002"/>
      <c r="U125" s="1260"/>
      <c r="V125" s="1260"/>
      <c r="W125" s="1260"/>
      <c r="X125" s="1270"/>
    </row>
    <row r="126" spans="1:24" s="1255" customFormat="1">
      <c r="A126" s="1254"/>
      <c r="B126" s="1673" t="s">
        <v>4142</v>
      </c>
      <c r="C126" s="1674" t="s">
        <v>4143</v>
      </c>
      <c r="D126" s="1660" t="s">
        <v>36</v>
      </c>
      <c r="E126" s="1522">
        <v>130</v>
      </c>
      <c r="F126" s="1522">
        <v>383.95</v>
      </c>
      <c r="G126" s="1661">
        <v>399.26</v>
      </c>
      <c r="H126" s="1662">
        <f t="shared" si="76"/>
        <v>49913.5</v>
      </c>
      <c r="I126" s="1662">
        <f t="shared" si="44"/>
        <v>51903.8</v>
      </c>
      <c r="J126" s="1664">
        <v>0</v>
      </c>
      <c r="K126" s="1665">
        <v>0</v>
      </c>
      <c r="L126" s="1666"/>
      <c r="M126" s="1667">
        <f t="shared" si="52"/>
        <v>0</v>
      </c>
      <c r="N126" s="1668">
        <f t="shared" si="77"/>
        <v>0</v>
      </c>
      <c r="O126" s="1669">
        <f t="shared" si="78"/>
        <v>0</v>
      </c>
      <c r="P126" s="1670">
        <f t="shared" si="79"/>
        <v>0</v>
      </c>
      <c r="Q126" s="1497">
        <f t="shared" si="80"/>
        <v>130</v>
      </c>
      <c r="R126" s="1671">
        <f t="shared" si="81"/>
        <v>51903.8</v>
      </c>
      <c r="S126" s="1672">
        <f t="shared" si="82"/>
        <v>1</v>
      </c>
      <c r="T126" s="2002"/>
      <c r="U126" s="1260"/>
      <c r="V126" s="1260"/>
      <c r="W126" s="1260"/>
      <c r="X126" s="1270"/>
    </row>
    <row r="127" spans="1:24" s="1255" customFormat="1">
      <c r="A127" s="1266"/>
      <c r="B127" s="1673" t="s">
        <v>4144</v>
      </c>
      <c r="C127" s="1674" t="s">
        <v>4122</v>
      </c>
      <c r="D127" s="1660" t="s">
        <v>38</v>
      </c>
      <c r="E127" s="1522">
        <v>7</v>
      </c>
      <c r="F127" s="1522">
        <v>575.14</v>
      </c>
      <c r="G127" s="1661">
        <v>575.53</v>
      </c>
      <c r="H127" s="1662">
        <f t="shared" si="76"/>
        <v>4025.98</v>
      </c>
      <c r="I127" s="1662">
        <f t="shared" si="44"/>
        <v>4028.71</v>
      </c>
      <c r="J127" s="1664">
        <v>0</v>
      </c>
      <c r="K127" s="1665">
        <v>0</v>
      </c>
      <c r="L127" s="1666"/>
      <c r="M127" s="1667">
        <f t="shared" si="52"/>
        <v>0</v>
      </c>
      <c r="N127" s="1668">
        <f t="shared" si="77"/>
        <v>0</v>
      </c>
      <c r="O127" s="1669">
        <f t="shared" si="78"/>
        <v>0</v>
      </c>
      <c r="P127" s="1670">
        <f t="shared" si="79"/>
        <v>0</v>
      </c>
      <c r="Q127" s="1497">
        <f t="shared" si="80"/>
        <v>7</v>
      </c>
      <c r="R127" s="1671">
        <f t="shared" si="81"/>
        <v>4028.71</v>
      </c>
      <c r="S127" s="1672">
        <f t="shared" si="82"/>
        <v>1</v>
      </c>
      <c r="T127" s="2002"/>
      <c r="U127" s="1260"/>
      <c r="V127" s="1260"/>
      <c r="W127" s="1260"/>
      <c r="X127" s="1270"/>
    </row>
    <row r="128" spans="1:24" s="1255" customFormat="1">
      <c r="B128" s="1673" t="s">
        <v>4145</v>
      </c>
      <c r="C128" s="1674" t="s">
        <v>4006</v>
      </c>
      <c r="D128" s="1660"/>
      <c r="E128" s="1522"/>
      <c r="F128" s="1522"/>
      <c r="G128" s="1661"/>
      <c r="H128" s="1662"/>
      <c r="I128" s="1662">
        <f t="shared" si="44"/>
        <v>0</v>
      </c>
      <c r="J128" s="1664"/>
      <c r="K128" s="1665"/>
      <c r="L128" s="1666"/>
      <c r="M128" s="1667"/>
      <c r="N128" s="1668"/>
      <c r="O128" s="1669"/>
      <c r="P128" s="1670"/>
      <c r="Q128" s="1497"/>
      <c r="R128" s="1671"/>
      <c r="S128" s="1672" t="str">
        <f t="shared" si="46"/>
        <v/>
      </c>
      <c r="T128" s="2002"/>
      <c r="U128" s="1260"/>
      <c r="V128" s="1260"/>
      <c r="W128" s="1260"/>
      <c r="X128" s="1270"/>
    </row>
    <row r="129" spans="1:24" s="1255" customFormat="1">
      <c r="A129" s="1254"/>
      <c r="B129" s="1673" t="s">
        <v>4146</v>
      </c>
      <c r="C129" s="1674" t="s">
        <v>4147</v>
      </c>
      <c r="D129" s="1660" t="s">
        <v>36</v>
      </c>
      <c r="E129" s="1522">
        <v>340</v>
      </c>
      <c r="F129" s="1522">
        <v>238.62</v>
      </c>
      <c r="G129" s="1661">
        <v>247.32</v>
      </c>
      <c r="H129" s="1662">
        <f t="shared" ref="H129" si="83">+E129*F129</f>
        <v>81130.8</v>
      </c>
      <c r="I129" s="1662">
        <f t="shared" si="44"/>
        <v>84088.8</v>
      </c>
      <c r="J129" s="1664">
        <v>0</v>
      </c>
      <c r="K129" s="1665">
        <v>0</v>
      </c>
      <c r="L129" s="1666"/>
      <c r="M129" s="1667">
        <f t="shared" si="52"/>
        <v>0</v>
      </c>
      <c r="N129" s="1668">
        <f t="shared" ref="N129" si="84">J129+L129</f>
        <v>0</v>
      </c>
      <c r="O129" s="1669">
        <f>N129*G129</f>
        <v>0</v>
      </c>
      <c r="P129" s="1670">
        <f>+IF(D129=0,"",O129/I129)</f>
        <v>0</v>
      </c>
      <c r="Q129" s="1497">
        <f t="shared" ref="Q129" si="85">E129-N129</f>
        <v>340</v>
      </c>
      <c r="R129" s="1671">
        <f>ROUND((Q129*G129),2)</f>
        <v>84088.8</v>
      </c>
      <c r="S129" s="1672">
        <f>+IF(I129=0,"",R129/I129)</f>
        <v>1</v>
      </c>
      <c r="T129" s="2002"/>
      <c r="U129" s="1260"/>
      <c r="V129" s="1260"/>
      <c r="W129" s="1260"/>
      <c r="X129" s="1270"/>
    </row>
    <row r="130" spans="1:24" s="1255" customFormat="1">
      <c r="A130" s="1266"/>
      <c r="B130" s="2039" t="s">
        <v>4148</v>
      </c>
      <c r="C130" s="2040" t="s">
        <v>4149</v>
      </c>
      <c r="D130" s="1660"/>
      <c r="E130" s="1522"/>
      <c r="F130" s="1522"/>
      <c r="G130" s="1661"/>
      <c r="H130" s="1662"/>
      <c r="I130" s="1662">
        <f t="shared" si="44"/>
        <v>0</v>
      </c>
      <c r="J130" s="1664"/>
      <c r="K130" s="1665"/>
      <c r="L130" s="1666"/>
      <c r="M130" s="1667"/>
      <c r="N130" s="1668"/>
      <c r="O130" s="1669"/>
      <c r="P130" s="1670"/>
      <c r="Q130" s="1497"/>
      <c r="R130" s="1671"/>
      <c r="S130" s="1672" t="str">
        <f t="shared" si="46"/>
        <v/>
      </c>
      <c r="T130" s="2002"/>
      <c r="U130" s="1260"/>
      <c r="V130" s="1260"/>
      <c r="W130" s="1260"/>
      <c r="X130" s="1270"/>
    </row>
    <row r="131" spans="1:24" s="1255" customFormat="1">
      <c r="B131" s="1673" t="s">
        <v>4150</v>
      </c>
      <c r="C131" s="1674" t="s">
        <v>4151</v>
      </c>
      <c r="D131" s="1660" t="s">
        <v>36</v>
      </c>
      <c r="E131" s="1522">
        <v>6</v>
      </c>
      <c r="F131" s="1522">
        <v>98.13</v>
      </c>
      <c r="G131" s="1661">
        <v>100.32</v>
      </c>
      <c r="H131" s="1662">
        <f t="shared" ref="H131:H135" si="86">+E131*F131</f>
        <v>588.78</v>
      </c>
      <c r="I131" s="1662">
        <f t="shared" si="44"/>
        <v>601.91999999999996</v>
      </c>
      <c r="J131" s="1664">
        <v>0</v>
      </c>
      <c r="K131" s="1665">
        <v>0</v>
      </c>
      <c r="L131" s="1666"/>
      <c r="M131" s="1667">
        <f t="shared" si="52"/>
        <v>0</v>
      </c>
      <c r="N131" s="1668">
        <f t="shared" ref="N131:N135" si="87">J131+L131</f>
        <v>0</v>
      </c>
      <c r="O131" s="1669">
        <f t="shared" ref="O131:O135" si="88">N131*G131</f>
        <v>0</v>
      </c>
      <c r="P131" s="1670">
        <f t="shared" ref="P131:P135" si="89">+IF(D131=0,"",O131/I131)</f>
        <v>0</v>
      </c>
      <c r="Q131" s="1497">
        <f t="shared" ref="Q131:Q135" si="90">E131-N131</f>
        <v>6</v>
      </c>
      <c r="R131" s="1671">
        <f t="shared" ref="R131:R135" si="91">ROUND((Q131*G131),2)</f>
        <v>601.91999999999996</v>
      </c>
      <c r="S131" s="1672">
        <f t="shared" ref="S131:S135" si="92">+IF(I131=0,"",R131/I131)</f>
        <v>1</v>
      </c>
      <c r="T131" s="2002"/>
      <c r="U131" s="1260"/>
      <c r="V131" s="1260"/>
      <c r="W131" s="1260"/>
      <c r="X131" s="1270"/>
    </row>
    <row r="132" spans="1:24" s="1255" customFormat="1">
      <c r="A132" s="1266"/>
      <c r="B132" s="1673" t="s">
        <v>4152</v>
      </c>
      <c r="C132" s="1674" t="s">
        <v>4153</v>
      </c>
      <c r="D132" s="1660" t="s">
        <v>36</v>
      </c>
      <c r="E132" s="1522">
        <v>3</v>
      </c>
      <c r="F132" s="1522">
        <v>349.74</v>
      </c>
      <c r="G132" s="1661">
        <v>357.39</v>
      </c>
      <c r="H132" s="1662">
        <f t="shared" si="86"/>
        <v>1049.22</v>
      </c>
      <c r="I132" s="1662">
        <f t="shared" si="44"/>
        <v>1072.17</v>
      </c>
      <c r="J132" s="1664">
        <v>0</v>
      </c>
      <c r="K132" s="1665">
        <v>0</v>
      </c>
      <c r="L132" s="1666"/>
      <c r="M132" s="1667">
        <f t="shared" si="52"/>
        <v>0</v>
      </c>
      <c r="N132" s="1668">
        <f t="shared" si="87"/>
        <v>0</v>
      </c>
      <c r="O132" s="1669">
        <f t="shared" si="88"/>
        <v>0</v>
      </c>
      <c r="P132" s="1670">
        <f t="shared" si="89"/>
        <v>0</v>
      </c>
      <c r="Q132" s="1497">
        <f t="shared" si="90"/>
        <v>3</v>
      </c>
      <c r="R132" s="1671">
        <f t="shared" si="91"/>
        <v>1072.17</v>
      </c>
      <c r="S132" s="1672">
        <f t="shared" si="92"/>
        <v>1</v>
      </c>
      <c r="T132" s="2002"/>
      <c r="U132" s="1260"/>
      <c r="V132" s="1260"/>
      <c r="W132" s="1260"/>
      <c r="X132" s="1270"/>
    </row>
    <row r="133" spans="1:24" s="1255" customFormat="1">
      <c r="A133" s="1266"/>
      <c r="B133" s="1673" t="s">
        <v>4154</v>
      </c>
      <c r="C133" s="1674" t="s">
        <v>4155</v>
      </c>
      <c r="D133" s="1660" t="s">
        <v>36</v>
      </c>
      <c r="E133" s="1522">
        <v>6</v>
      </c>
      <c r="F133" s="1522">
        <v>65.05</v>
      </c>
      <c r="G133" s="1661">
        <v>65.819999999999993</v>
      </c>
      <c r="H133" s="1662">
        <f t="shared" si="86"/>
        <v>390.29999999999995</v>
      </c>
      <c r="I133" s="1662">
        <f t="shared" si="44"/>
        <v>394.92</v>
      </c>
      <c r="J133" s="1664">
        <v>0</v>
      </c>
      <c r="K133" s="1665">
        <v>0</v>
      </c>
      <c r="L133" s="1666"/>
      <c r="M133" s="1667">
        <f t="shared" si="52"/>
        <v>0</v>
      </c>
      <c r="N133" s="1668">
        <f t="shared" si="87"/>
        <v>0</v>
      </c>
      <c r="O133" s="1669">
        <f t="shared" si="88"/>
        <v>0</v>
      </c>
      <c r="P133" s="1670">
        <f t="shared" si="89"/>
        <v>0</v>
      </c>
      <c r="Q133" s="1497">
        <f t="shared" si="90"/>
        <v>6</v>
      </c>
      <c r="R133" s="1671">
        <f t="shared" si="91"/>
        <v>394.92</v>
      </c>
      <c r="S133" s="1672">
        <f t="shared" si="92"/>
        <v>1</v>
      </c>
      <c r="T133" s="2002"/>
      <c r="U133" s="1260"/>
      <c r="V133" s="1260"/>
      <c r="W133" s="1260"/>
      <c r="X133" s="1270"/>
    </row>
    <row r="134" spans="1:24" s="1255" customFormat="1">
      <c r="B134" s="1673" t="s">
        <v>4156</v>
      </c>
      <c r="C134" s="1674" t="s">
        <v>4157</v>
      </c>
      <c r="D134" s="1660" t="s">
        <v>38</v>
      </c>
      <c r="E134" s="1522">
        <v>21.3</v>
      </c>
      <c r="F134" s="1522">
        <v>25.89</v>
      </c>
      <c r="G134" s="1661">
        <v>26.39</v>
      </c>
      <c r="H134" s="1662">
        <f t="shared" si="86"/>
        <v>551.45699999999999</v>
      </c>
      <c r="I134" s="1662">
        <f t="shared" si="44"/>
        <v>562.11</v>
      </c>
      <c r="J134" s="1664">
        <v>0</v>
      </c>
      <c r="K134" s="1665">
        <v>0</v>
      </c>
      <c r="L134" s="1666"/>
      <c r="M134" s="1667">
        <f t="shared" si="52"/>
        <v>0</v>
      </c>
      <c r="N134" s="1668">
        <f t="shared" si="87"/>
        <v>0</v>
      </c>
      <c r="O134" s="1669">
        <f t="shared" si="88"/>
        <v>0</v>
      </c>
      <c r="P134" s="1670">
        <f t="shared" si="89"/>
        <v>0</v>
      </c>
      <c r="Q134" s="1497">
        <f t="shared" si="90"/>
        <v>21.3</v>
      </c>
      <c r="R134" s="1671">
        <f t="shared" si="91"/>
        <v>562.11</v>
      </c>
      <c r="S134" s="1672">
        <f t="shared" si="92"/>
        <v>1</v>
      </c>
      <c r="T134" s="2002"/>
      <c r="U134" s="1260"/>
      <c r="V134" s="1260"/>
      <c r="W134" s="1260"/>
      <c r="X134" s="1270"/>
    </row>
    <row r="135" spans="1:24" s="1255" customFormat="1">
      <c r="A135" s="1254"/>
      <c r="B135" s="1673" t="s">
        <v>4158</v>
      </c>
      <c r="C135" s="1674" t="s">
        <v>4122</v>
      </c>
      <c r="D135" s="1660" t="s">
        <v>38</v>
      </c>
      <c r="E135" s="1522">
        <v>3.55</v>
      </c>
      <c r="F135" s="1522">
        <v>38.06</v>
      </c>
      <c r="G135" s="1661">
        <v>38.450000000000003</v>
      </c>
      <c r="H135" s="1662">
        <f t="shared" si="86"/>
        <v>135.113</v>
      </c>
      <c r="I135" s="1662">
        <f t="shared" si="44"/>
        <v>136.5</v>
      </c>
      <c r="J135" s="1664">
        <v>0</v>
      </c>
      <c r="K135" s="1665">
        <v>0</v>
      </c>
      <c r="L135" s="1666"/>
      <c r="M135" s="1667">
        <f t="shared" si="52"/>
        <v>0</v>
      </c>
      <c r="N135" s="1668">
        <f t="shared" si="87"/>
        <v>0</v>
      </c>
      <c r="O135" s="1669">
        <f t="shared" si="88"/>
        <v>0</v>
      </c>
      <c r="P135" s="1670">
        <f t="shared" si="89"/>
        <v>0</v>
      </c>
      <c r="Q135" s="1497">
        <f t="shared" si="90"/>
        <v>3.55</v>
      </c>
      <c r="R135" s="1671">
        <f t="shared" si="91"/>
        <v>136.5</v>
      </c>
      <c r="S135" s="1672">
        <f t="shared" si="92"/>
        <v>1</v>
      </c>
      <c r="T135" s="2002"/>
      <c r="U135" s="1260"/>
      <c r="V135" s="1260"/>
      <c r="W135" s="1260"/>
      <c r="X135" s="1270"/>
    </row>
    <row r="136" spans="1:24" s="1255" customFormat="1">
      <c r="A136" s="1266"/>
      <c r="B136" s="2037" t="s">
        <v>4159</v>
      </c>
      <c r="C136" s="2038" t="s">
        <v>4006</v>
      </c>
      <c r="D136" s="1660"/>
      <c r="E136" s="1522"/>
      <c r="F136" s="1522"/>
      <c r="G136" s="1661"/>
      <c r="H136" s="1662"/>
      <c r="I136" s="1662">
        <f t="shared" si="44"/>
        <v>0</v>
      </c>
      <c r="J136" s="1664"/>
      <c r="K136" s="1665"/>
      <c r="L136" s="1666"/>
      <c r="M136" s="1667"/>
      <c r="N136" s="1668"/>
      <c r="O136" s="1669"/>
      <c r="P136" s="1670"/>
      <c r="Q136" s="1497"/>
      <c r="R136" s="1671"/>
      <c r="S136" s="1672" t="str">
        <f t="shared" si="46"/>
        <v/>
      </c>
      <c r="T136" s="2002"/>
      <c r="U136" s="1260"/>
      <c r="V136" s="1260"/>
      <c r="W136" s="1260"/>
      <c r="X136" s="1270"/>
    </row>
    <row r="137" spans="1:24" s="1255" customFormat="1">
      <c r="B137" s="1673" t="s">
        <v>4160</v>
      </c>
      <c r="C137" s="1674" t="s">
        <v>4161</v>
      </c>
      <c r="D137" s="1660" t="s">
        <v>36</v>
      </c>
      <c r="E137" s="1522">
        <v>9</v>
      </c>
      <c r="F137" s="1522">
        <v>322.93</v>
      </c>
      <c r="G137" s="1661">
        <v>331.72</v>
      </c>
      <c r="H137" s="1662">
        <f t="shared" ref="H137:H138" si="93">+E137*F137</f>
        <v>2906.37</v>
      </c>
      <c r="I137" s="1662">
        <f t="shared" si="44"/>
        <v>2985.48</v>
      </c>
      <c r="J137" s="1664">
        <v>0</v>
      </c>
      <c r="K137" s="1665">
        <v>0</v>
      </c>
      <c r="L137" s="1666"/>
      <c r="M137" s="1667">
        <f t="shared" si="52"/>
        <v>0</v>
      </c>
      <c r="N137" s="1668">
        <f t="shared" ref="N137:N138" si="94">J137+L137</f>
        <v>0</v>
      </c>
      <c r="O137" s="1669">
        <f t="shared" ref="O137:O138" si="95">N137*G137</f>
        <v>0</v>
      </c>
      <c r="P137" s="1670">
        <f t="shared" ref="P137:P138" si="96">+IF(D137=0,"",O137/I137)</f>
        <v>0</v>
      </c>
      <c r="Q137" s="1497">
        <f t="shared" ref="Q137:Q138" si="97">E137-N137</f>
        <v>9</v>
      </c>
      <c r="R137" s="1671">
        <f t="shared" ref="R137:R138" si="98">ROUND((Q137*G137),2)</f>
        <v>2985.48</v>
      </c>
      <c r="S137" s="1672">
        <f t="shared" ref="S137:S138" si="99">+IF(I137=0,"",R137/I137)</f>
        <v>1</v>
      </c>
      <c r="T137" s="2002"/>
      <c r="U137" s="1260"/>
      <c r="V137" s="1260"/>
      <c r="W137" s="1260"/>
      <c r="X137" s="1270"/>
    </row>
    <row r="138" spans="1:24" s="1255" customFormat="1">
      <c r="A138" s="1254"/>
      <c r="B138" s="1673" t="s">
        <v>4162</v>
      </c>
      <c r="C138" s="1674" t="s">
        <v>4163</v>
      </c>
      <c r="D138" s="1660" t="s">
        <v>38</v>
      </c>
      <c r="E138" s="1522">
        <v>21.3</v>
      </c>
      <c r="F138" s="1522">
        <v>322.26</v>
      </c>
      <c r="G138" s="1661">
        <v>331.05</v>
      </c>
      <c r="H138" s="1662">
        <f t="shared" si="93"/>
        <v>6864.1379999999999</v>
      </c>
      <c r="I138" s="1662">
        <f t="shared" si="44"/>
        <v>7051.37</v>
      </c>
      <c r="J138" s="1664">
        <v>0</v>
      </c>
      <c r="K138" s="1665">
        <v>0</v>
      </c>
      <c r="L138" s="1666"/>
      <c r="M138" s="1667">
        <f t="shared" si="52"/>
        <v>0</v>
      </c>
      <c r="N138" s="1668">
        <f t="shared" si="94"/>
        <v>0</v>
      </c>
      <c r="O138" s="1669">
        <f t="shared" si="95"/>
        <v>0</v>
      </c>
      <c r="P138" s="1670">
        <f t="shared" si="96"/>
        <v>0</v>
      </c>
      <c r="Q138" s="1497">
        <f t="shared" si="97"/>
        <v>21.3</v>
      </c>
      <c r="R138" s="1671">
        <f t="shared" si="98"/>
        <v>7051.37</v>
      </c>
      <c r="S138" s="1672">
        <f t="shared" si="99"/>
        <v>1</v>
      </c>
      <c r="T138" s="2002"/>
      <c r="U138" s="1260"/>
      <c r="V138" s="1260"/>
      <c r="W138" s="1260"/>
      <c r="X138" s="1270"/>
    </row>
    <row r="139" spans="1:24" s="1255" customFormat="1">
      <c r="A139" s="1266"/>
      <c r="B139" s="2039" t="s">
        <v>4164</v>
      </c>
      <c r="C139" s="2040" t="s">
        <v>4165</v>
      </c>
      <c r="D139" s="1660"/>
      <c r="E139" s="1522"/>
      <c r="F139" s="1522"/>
      <c r="G139" s="1661"/>
      <c r="H139" s="1662"/>
      <c r="I139" s="1662">
        <f t="shared" si="44"/>
        <v>0</v>
      </c>
      <c r="J139" s="1664"/>
      <c r="K139" s="1665"/>
      <c r="L139" s="1666"/>
      <c r="M139" s="1667"/>
      <c r="N139" s="1668"/>
      <c r="O139" s="1669"/>
      <c r="P139" s="1670"/>
      <c r="Q139" s="1497"/>
      <c r="R139" s="1671"/>
      <c r="S139" s="1672" t="str">
        <f t="shared" si="46"/>
        <v/>
      </c>
      <c r="T139" s="2002"/>
      <c r="U139" s="1260"/>
      <c r="V139" s="1260"/>
      <c r="W139" s="1260"/>
      <c r="X139" s="1270"/>
    </row>
    <row r="140" spans="1:24" s="1255" customFormat="1">
      <c r="B140" s="1673" t="s">
        <v>4166</v>
      </c>
      <c r="C140" s="1674" t="s">
        <v>4167</v>
      </c>
      <c r="D140" s="1660" t="s">
        <v>36</v>
      </c>
      <c r="E140" s="1522">
        <v>26</v>
      </c>
      <c r="F140" s="1522">
        <v>185.31</v>
      </c>
      <c r="G140" s="1661">
        <v>188.37</v>
      </c>
      <c r="H140" s="1662">
        <f t="shared" ref="H140:H144" si="100">+E140*F140</f>
        <v>4818.0600000000004</v>
      </c>
      <c r="I140" s="1662">
        <f t="shared" si="44"/>
        <v>4897.62</v>
      </c>
      <c r="J140" s="1664">
        <v>0</v>
      </c>
      <c r="K140" s="1665">
        <v>0</v>
      </c>
      <c r="L140" s="1666"/>
      <c r="M140" s="1667">
        <f t="shared" si="52"/>
        <v>0</v>
      </c>
      <c r="N140" s="1668">
        <f t="shared" ref="N140:N144" si="101">J140+L140</f>
        <v>0</v>
      </c>
      <c r="O140" s="1669">
        <f t="shared" ref="O140:O144" si="102">N140*G140</f>
        <v>0</v>
      </c>
      <c r="P140" s="1670">
        <f t="shared" ref="P140:P144" si="103">+IF(D140=0,"",O140/I140)</f>
        <v>0</v>
      </c>
      <c r="Q140" s="1497">
        <f t="shared" ref="Q140:Q144" si="104">E140-N140</f>
        <v>26</v>
      </c>
      <c r="R140" s="1671">
        <f t="shared" ref="R140:R144" si="105">ROUND((Q140*G140),2)</f>
        <v>4897.62</v>
      </c>
      <c r="S140" s="1672">
        <f t="shared" ref="S140:S144" si="106">+IF(I140=0,"",R140/I140)</f>
        <v>1</v>
      </c>
      <c r="T140" s="2002"/>
      <c r="U140" s="1260"/>
      <c r="V140" s="1260"/>
      <c r="W140" s="1260"/>
      <c r="X140" s="1270"/>
    </row>
    <row r="141" spans="1:24" s="1255" customFormat="1">
      <c r="A141" s="1266"/>
      <c r="B141" s="1673" t="s">
        <v>4168</v>
      </c>
      <c r="C141" s="1674" t="s">
        <v>4169</v>
      </c>
      <c r="D141" s="1660" t="s">
        <v>36</v>
      </c>
      <c r="E141" s="1522">
        <v>26</v>
      </c>
      <c r="F141" s="1522">
        <v>268.35000000000002</v>
      </c>
      <c r="G141" s="1661">
        <v>271.41000000000003</v>
      </c>
      <c r="H141" s="1662">
        <f t="shared" si="100"/>
        <v>6977.1</v>
      </c>
      <c r="I141" s="1662">
        <f t="shared" si="44"/>
        <v>7056.66</v>
      </c>
      <c r="J141" s="1664">
        <v>0</v>
      </c>
      <c r="K141" s="1665">
        <v>0</v>
      </c>
      <c r="L141" s="1666"/>
      <c r="M141" s="1667">
        <f t="shared" si="52"/>
        <v>0</v>
      </c>
      <c r="N141" s="1668">
        <f t="shared" si="101"/>
        <v>0</v>
      </c>
      <c r="O141" s="1669">
        <f t="shared" si="102"/>
        <v>0</v>
      </c>
      <c r="P141" s="1670">
        <f t="shared" si="103"/>
        <v>0</v>
      </c>
      <c r="Q141" s="1497">
        <f t="shared" si="104"/>
        <v>26</v>
      </c>
      <c r="R141" s="1671">
        <f t="shared" si="105"/>
        <v>7056.66</v>
      </c>
      <c r="S141" s="1672">
        <f t="shared" si="106"/>
        <v>1</v>
      </c>
      <c r="T141" s="2002"/>
      <c r="U141" s="1260"/>
      <c r="V141" s="1260"/>
      <c r="W141" s="1260"/>
      <c r="X141" s="1270"/>
    </row>
    <row r="142" spans="1:24" s="1255" customFormat="1">
      <c r="A142" s="1266"/>
      <c r="B142" s="1673" t="s">
        <v>4170</v>
      </c>
      <c r="C142" s="1674" t="s">
        <v>4171</v>
      </c>
      <c r="D142" s="1660" t="s">
        <v>36</v>
      </c>
      <c r="E142" s="1522">
        <v>13</v>
      </c>
      <c r="F142" s="1522">
        <v>90.51</v>
      </c>
      <c r="G142" s="1661">
        <v>92.04</v>
      </c>
      <c r="H142" s="1662">
        <f t="shared" si="100"/>
        <v>1176.6300000000001</v>
      </c>
      <c r="I142" s="1662">
        <f t="shared" si="44"/>
        <v>1196.52</v>
      </c>
      <c r="J142" s="1664">
        <v>0</v>
      </c>
      <c r="K142" s="1665">
        <v>0</v>
      </c>
      <c r="L142" s="1666"/>
      <c r="M142" s="1667">
        <f t="shared" si="52"/>
        <v>0</v>
      </c>
      <c r="N142" s="1668">
        <f t="shared" si="101"/>
        <v>0</v>
      </c>
      <c r="O142" s="1669">
        <f t="shared" si="102"/>
        <v>0</v>
      </c>
      <c r="P142" s="1670">
        <f t="shared" si="103"/>
        <v>0</v>
      </c>
      <c r="Q142" s="1497">
        <f t="shared" si="104"/>
        <v>13</v>
      </c>
      <c r="R142" s="1671">
        <f t="shared" si="105"/>
        <v>1196.52</v>
      </c>
      <c r="S142" s="1672">
        <f t="shared" si="106"/>
        <v>1</v>
      </c>
      <c r="T142" s="2002"/>
      <c r="U142" s="1260"/>
      <c r="V142" s="1260"/>
      <c r="W142" s="1260"/>
      <c r="X142" s="1270"/>
    </row>
    <row r="143" spans="1:24" s="1255" customFormat="1">
      <c r="B143" s="1673" t="s">
        <v>4172</v>
      </c>
      <c r="C143" s="1674" t="s">
        <v>4173</v>
      </c>
      <c r="D143" s="1660" t="s">
        <v>38</v>
      </c>
      <c r="E143" s="1522">
        <v>126.7</v>
      </c>
      <c r="F143" s="1522">
        <v>65.5</v>
      </c>
      <c r="G143" s="1661">
        <v>66</v>
      </c>
      <c r="H143" s="1662">
        <f t="shared" si="100"/>
        <v>8298.85</v>
      </c>
      <c r="I143" s="1662">
        <f t="shared" si="44"/>
        <v>8362.2000000000007</v>
      </c>
      <c r="J143" s="1664">
        <v>0</v>
      </c>
      <c r="K143" s="1665">
        <v>0</v>
      </c>
      <c r="L143" s="1666"/>
      <c r="M143" s="1667">
        <f t="shared" si="52"/>
        <v>0</v>
      </c>
      <c r="N143" s="1668">
        <f t="shared" si="101"/>
        <v>0</v>
      </c>
      <c r="O143" s="1669">
        <f t="shared" si="102"/>
        <v>0</v>
      </c>
      <c r="P143" s="1670">
        <f t="shared" si="103"/>
        <v>0</v>
      </c>
      <c r="Q143" s="1497">
        <f t="shared" si="104"/>
        <v>126.7</v>
      </c>
      <c r="R143" s="1671">
        <f t="shared" si="105"/>
        <v>8362.2000000000007</v>
      </c>
      <c r="S143" s="1672">
        <f t="shared" si="106"/>
        <v>1</v>
      </c>
      <c r="T143" s="2002"/>
      <c r="U143" s="1260"/>
      <c r="V143" s="1260"/>
      <c r="W143" s="1260"/>
      <c r="X143" s="1270"/>
    </row>
    <row r="144" spans="1:24" s="1255" customFormat="1">
      <c r="A144" s="1254"/>
      <c r="B144" s="1673" t="s">
        <v>4174</v>
      </c>
      <c r="C144" s="1674" t="s">
        <v>4175</v>
      </c>
      <c r="D144" s="1660" t="s">
        <v>38</v>
      </c>
      <c r="E144" s="1522">
        <v>288</v>
      </c>
      <c r="F144" s="1522">
        <v>57.6</v>
      </c>
      <c r="G144" s="1661">
        <v>58.1</v>
      </c>
      <c r="H144" s="1662">
        <f t="shared" si="100"/>
        <v>16588.8</v>
      </c>
      <c r="I144" s="1662">
        <f t="shared" si="44"/>
        <v>16732.8</v>
      </c>
      <c r="J144" s="1664">
        <v>0</v>
      </c>
      <c r="K144" s="1665">
        <v>0</v>
      </c>
      <c r="L144" s="1666"/>
      <c r="M144" s="1667">
        <f t="shared" si="52"/>
        <v>0</v>
      </c>
      <c r="N144" s="1668">
        <f t="shared" si="101"/>
        <v>0</v>
      </c>
      <c r="O144" s="1669">
        <f t="shared" si="102"/>
        <v>0</v>
      </c>
      <c r="P144" s="1670">
        <f t="shared" si="103"/>
        <v>0</v>
      </c>
      <c r="Q144" s="1497">
        <f t="shared" si="104"/>
        <v>288</v>
      </c>
      <c r="R144" s="1671">
        <f t="shared" si="105"/>
        <v>16732.8</v>
      </c>
      <c r="S144" s="1672">
        <f t="shared" si="106"/>
        <v>1</v>
      </c>
      <c r="T144" s="2002"/>
      <c r="U144" s="1260"/>
      <c r="V144" s="1260"/>
      <c r="W144" s="1260"/>
      <c r="X144" s="1270"/>
    </row>
    <row r="145" spans="1:24" s="1255" customFormat="1">
      <c r="A145" s="1266"/>
      <c r="B145" s="2037" t="s">
        <v>4176</v>
      </c>
      <c r="C145" s="2038" t="s">
        <v>4006</v>
      </c>
      <c r="D145" s="1660"/>
      <c r="E145" s="1522"/>
      <c r="F145" s="1522"/>
      <c r="G145" s="1661"/>
      <c r="H145" s="1662"/>
      <c r="I145" s="1662">
        <f t="shared" si="44"/>
        <v>0</v>
      </c>
      <c r="J145" s="1664"/>
      <c r="K145" s="1665"/>
      <c r="L145" s="1666"/>
      <c r="M145" s="1667"/>
      <c r="N145" s="1668"/>
      <c r="O145" s="1669"/>
      <c r="P145" s="1670"/>
      <c r="Q145" s="1497"/>
      <c r="R145" s="1671"/>
      <c r="S145" s="1672" t="str">
        <f t="shared" si="46"/>
        <v/>
      </c>
      <c r="T145" s="2002"/>
      <c r="U145" s="1260"/>
      <c r="V145" s="1260"/>
      <c r="W145" s="1260"/>
      <c r="X145" s="1270"/>
    </row>
    <row r="146" spans="1:24" s="1255" customFormat="1">
      <c r="B146" s="1673" t="s">
        <v>4177</v>
      </c>
      <c r="C146" s="1674" t="s">
        <v>4178</v>
      </c>
      <c r="D146" s="1660" t="s">
        <v>36</v>
      </c>
      <c r="E146" s="1522">
        <v>39</v>
      </c>
      <c r="F146" s="1522">
        <v>72.56</v>
      </c>
      <c r="G146" s="1661">
        <v>75.53</v>
      </c>
      <c r="H146" s="1662">
        <f t="shared" ref="H146" si="107">+E146*F146</f>
        <v>2829.84</v>
      </c>
      <c r="I146" s="1662">
        <f t="shared" si="44"/>
        <v>2945.67</v>
      </c>
      <c r="J146" s="1664">
        <v>0</v>
      </c>
      <c r="K146" s="1665">
        <v>0</v>
      </c>
      <c r="L146" s="1666"/>
      <c r="M146" s="1667">
        <f t="shared" si="52"/>
        <v>0</v>
      </c>
      <c r="N146" s="1668">
        <f t="shared" ref="N146" si="108">J146+L146</f>
        <v>0</v>
      </c>
      <c r="O146" s="1669">
        <f>N146*G146</f>
        <v>0</v>
      </c>
      <c r="P146" s="1670">
        <f>+IF(D146=0,"",O146/I146)</f>
        <v>0</v>
      </c>
      <c r="Q146" s="1497">
        <f t="shared" ref="Q146" si="109">E146-N146</f>
        <v>39</v>
      </c>
      <c r="R146" s="1671">
        <f>ROUND((Q146*G146),2)</f>
        <v>2945.67</v>
      </c>
      <c r="S146" s="1672">
        <f>+IF(I146=0,"",R146/I146)</f>
        <v>1</v>
      </c>
      <c r="T146" s="2002"/>
      <c r="U146" s="1260"/>
      <c r="V146" s="1260"/>
      <c r="W146" s="1260"/>
      <c r="X146" s="1270"/>
    </row>
    <row r="147" spans="1:24" s="1255" customFormat="1">
      <c r="A147" s="1254"/>
      <c r="B147" s="2043" t="s">
        <v>551</v>
      </c>
      <c r="C147" s="2044" t="s">
        <v>3136</v>
      </c>
      <c r="D147" s="1660"/>
      <c r="E147" s="1522"/>
      <c r="F147" s="1522"/>
      <c r="G147" s="1661"/>
      <c r="H147" s="1662"/>
      <c r="I147" s="1662">
        <f t="shared" si="44"/>
        <v>0</v>
      </c>
      <c r="J147" s="1664"/>
      <c r="K147" s="1665"/>
      <c r="L147" s="1666"/>
      <c r="M147" s="1667"/>
      <c r="N147" s="1668"/>
      <c r="O147" s="1669"/>
      <c r="P147" s="1670"/>
      <c r="Q147" s="1497"/>
      <c r="R147" s="1671"/>
      <c r="S147" s="1672" t="str">
        <f t="shared" ref="S147:S189" si="110">+IF(H147=0,"",R147/H147)</f>
        <v/>
      </c>
      <c r="T147" s="2002"/>
      <c r="U147" s="1260"/>
      <c r="V147" s="1260"/>
      <c r="W147" s="1260"/>
      <c r="X147" s="1270"/>
    </row>
    <row r="148" spans="1:24" s="1255" customFormat="1">
      <c r="A148" s="1266"/>
      <c r="B148" s="1673" t="s">
        <v>552</v>
      </c>
      <c r="C148" s="1674" t="s">
        <v>4179</v>
      </c>
      <c r="D148" s="1660" t="s">
        <v>37</v>
      </c>
      <c r="E148" s="1522">
        <v>450.38</v>
      </c>
      <c r="F148" s="1522">
        <v>90.15</v>
      </c>
      <c r="G148" s="1661">
        <v>91.24</v>
      </c>
      <c r="H148" s="1662">
        <f t="shared" ref="H148" si="111">+E148*F148</f>
        <v>40601.757000000005</v>
      </c>
      <c r="I148" s="1662">
        <f t="shared" si="44"/>
        <v>41092.67</v>
      </c>
      <c r="J148" s="1664">
        <v>0</v>
      </c>
      <c r="K148" s="1665">
        <v>0</v>
      </c>
      <c r="L148" s="1666"/>
      <c r="M148" s="1667">
        <f t="shared" si="52"/>
        <v>0</v>
      </c>
      <c r="N148" s="1668">
        <f t="shared" ref="N148" si="112">J148+L148</f>
        <v>0</v>
      </c>
      <c r="O148" s="1669">
        <f>N148*G148</f>
        <v>0</v>
      </c>
      <c r="P148" s="1670">
        <f>+IF(D148=0,"",O148/I148)</f>
        <v>0</v>
      </c>
      <c r="Q148" s="1497">
        <f t="shared" ref="Q148" si="113">E148-N148</f>
        <v>450.38</v>
      </c>
      <c r="R148" s="1671">
        <f>ROUND((Q148*G148),2)</f>
        <v>41092.67</v>
      </c>
      <c r="S148" s="1672">
        <f>+IF(I148=0,"",R148/I148)</f>
        <v>1</v>
      </c>
      <c r="T148" s="2002"/>
      <c r="U148" s="1260"/>
      <c r="V148" s="1260"/>
      <c r="W148" s="1260"/>
      <c r="X148" s="1270"/>
    </row>
    <row r="149" spans="1:24" s="1255" customFormat="1">
      <c r="B149" s="2043" t="s">
        <v>4180</v>
      </c>
      <c r="C149" s="2044" t="s">
        <v>4181</v>
      </c>
      <c r="D149" s="1660"/>
      <c r="E149" s="1522"/>
      <c r="F149" s="1522"/>
      <c r="G149" s="1661"/>
      <c r="H149" s="1662"/>
      <c r="I149" s="1662">
        <f t="shared" ref="I149:I190" si="114">ROUND(E149*G149,2)</f>
        <v>0</v>
      </c>
      <c r="J149" s="1664"/>
      <c r="K149" s="1665"/>
      <c r="L149" s="1666"/>
      <c r="M149" s="1667"/>
      <c r="N149" s="1668"/>
      <c r="O149" s="1669"/>
      <c r="P149" s="1670"/>
      <c r="Q149" s="1497"/>
      <c r="R149" s="1671"/>
      <c r="S149" s="1672" t="str">
        <f t="shared" si="110"/>
        <v/>
      </c>
      <c r="T149" s="2002"/>
      <c r="U149" s="1260"/>
      <c r="V149" s="1260"/>
      <c r="W149" s="1260"/>
      <c r="X149" s="1270"/>
    </row>
    <row r="150" spans="1:24" s="1255" customFormat="1">
      <c r="A150" s="1266"/>
      <c r="B150" s="1673" t="s">
        <v>2284</v>
      </c>
      <c r="C150" s="1674" t="s">
        <v>4182</v>
      </c>
      <c r="D150" s="1660" t="s">
        <v>41</v>
      </c>
      <c r="E150" s="1522">
        <v>9</v>
      </c>
      <c r="F150" s="1522">
        <v>500</v>
      </c>
      <c r="G150" s="1661">
        <v>500</v>
      </c>
      <c r="H150" s="1662">
        <f t="shared" ref="H150" si="115">+E150*F150</f>
        <v>4500</v>
      </c>
      <c r="I150" s="1662">
        <f t="shared" si="114"/>
        <v>4500</v>
      </c>
      <c r="J150" s="1664">
        <v>0</v>
      </c>
      <c r="K150" s="1665">
        <v>0</v>
      </c>
      <c r="L150" s="1666"/>
      <c r="M150" s="1667">
        <f t="shared" si="52"/>
        <v>0</v>
      </c>
      <c r="N150" s="1668">
        <f t="shared" ref="N150" si="116">J150+L150</f>
        <v>0</v>
      </c>
      <c r="O150" s="1669">
        <f>N150*G150</f>
        <v>0</v>
      </c>
      <c r="P150" s="1670">
        <f>+IF(D150=0,"",O150/I150)</f>
        <v>0</v>
      </c>
      <c r="Q150" s="1497">
        <f t="shared" ref="Q150" si="117">E150-N150</f>
        <v>9</v>
      </c>
      <c r="R150" s="1671">
        <f>ROUND((Q150*G150),2)</f>
        <v>4500</v>
      </c>
      <c r="S150" s="1672">
        <f>+IF(I150=0,"",R150/I150)</f>
        <v>1</v>
      </c>
      <c r="T150" s="2002"/>
      <c r="U150" s="1260"/>
      <c r="V150" s="1260"/>
      <c r="W150" s="1260"/>
      <c r="X150" s="1270"/>
    </row>
    <row r="151" spans="1:24" s="1255" customFormat="1">
      <c r="A151" s="1266"/>
      <c r="B151" s="2045" t="s">
        <v>42</v>
      </c>
      <c r="C151" s="2046" t="s">
        <v>1234</v>
      </c>
      <c r="D151" s="1660"/>
      <c r="E151" s="1522"/>
      <c r="F151" s="1522"/>
      <c r="G151" s="1661"/>
      <c r="H151" s="1662"/>
      <c r="I151" s="1662">
        <f t="shared" si="114"/>
        <v>0</v>
      </c>
      <c r="J151" s="1664"/>
      <c r="K151" s="1665"/>
      <c r="L151" s="1666"/>
      <c r="M151" s="1667"/>
      <c r="N151" s="1668"/>
      <c r="O151" s="1669"/>
      <c r="P151" s="1670"/>
      <c r="Q151" s="1497"/>
      <c r="R151" s="1671"/>
      <c r="S151" s="1672"/>
      <c r="T151" s="2002"/>
      <c r="U151" s="1260"/>
      <c r="V151" s="1260"/>
      <c r="W151" s="1260"/>
      <c r="X151" s="1270"/>
    </row>
    <row r="152" spans="1:24" s="1255" customFormat="1">
      <c r="B152" s="2043" t="s">
        <v>43</v>
      </c>
      <c r="C152" s="2044" t="s">
        <v>3072</v>
      </c>
      <c r="D152" s="1660"/>
      <c r="E152" s="1522"/>
      <c r="F152" s="1522"/>
      <c r="G152" s="1661"/>
      <c r="H152" s="1662"/>
      <c r="I152" s="1662">
        <f t="shared" si="114"/>
        <v>0</v>
      </c>
      <c r="J152" s="1664"/>
      <c r="K152" s="1665"/>
      <c r="L152" s="1666"/>
      <c r="M152" s="1667"/>
      <c r="N152" s="1668"/>
      <c r="O152" s="1669"/>
      <c r="P152" s="1670"/>
      <c r="Q152" s="1497"/>
      <c r="R152" s="1671"/>
      <c r="S152" s="1672" t="str">
        <f t="shared" si="110"/>
        <v/>
      </c>
      <c r="T152" s="2002"/>
      <c r="U152" s="1260"/>
      <c r="V152" s="1260"/>
      <c r="W152" s="1260"/>
      <c r="X152" s="1270"/>
    </row>
    <row r="153" spans="1:24" s="1255" customFormat="1">
      <c r="A153" s="1254"/>
      <c r="B153" s="1673" t="s">
        <v>53</v>
      </c>
      <c r="C153" s="1674" t="s">
        <v>4183</v>
      </c>
      <c r="D153" s="1660" t="s">
        <v>37</v>
      </c>
      <c r="E153" s="1522">
        <v>76.47</v>
      </c>
      <c r="F153" s="1522">
        <v>421.08</v>
      </c>
      <c r="G153" s="1661">
        <v>421.08</v>
      </c>
      <c r="H153" s="1662">
        <f t="shared" ref="H153" si="118">+E153*F153</f>
        <v>32199.987599999997</v>
      </c>
      <c r="I153" s="1662">
        <f t="shared" si="114"/>
        <v>32199.99</v>
      </c>
      <c r="J153" s="1664">
        <v>0</v>
      </c>
      <c r="K153" s="1665">
        <v>0</v>
      </c>
      <c r="L153" s="1666"/>
      <c r="M153" s="1667">
        <f t="shared" ref="M153" si="119">L153*G153</f>
        <v>0</v>
      </c>
      <c r="N153" s="1668">
        <f t="shared" ref="N153" si="120">J153+L153</f>
        <v>0</v>
      </c>
      <c r="O153" s="1669">
        <f>N153*G153</f>
        <v>0</v>
      </c>
      <c r="P153" s="1670">
        <f>+IF(D153=0,"",O153/I153)</f>
        <v>0</v>
      </c>
      <c r="Q153" s="1497">
        <f t="shared" ref="Q153" si="121">E153-N153</f>
        <v>76.47</v>
      </c>
      <c r="R153" s="1671">
        <f>ROUND((Q153*G153),2)</f>
        <v>32199.99</v>
      </c>
      <c r="S153" s="1672">
        <f>+IF(I153=0,"",R153/I153)</f>
        <v>1</v>
      </c>
      <c r="T153" s="2002"/>
      <c r="U153" s="1260"/>
      <c r="V153" s="1260"/>
      <c r="W153" s="1260"/>
      <c r="X153" s="1270"/>
    </row>
    <row r="154" spans="1:24" s="1255" customFormat="1">
      <c r="A154" s="1266"/>
      <c r="B154" s="2043" t="s">
        <v>44</v>
      </c>
      <c r="C154" s="2044" t="s">
        <v>3103</v>
      </c>
      <c r="D154" s="1660"/>
      <c r="E154" s="1522"/>
      <c r="F154" s="1522"/>
      <c r="G154" s="1661"/>
      <c r="H154" s="1662"/>
      <c r="I154" s="1662">
        <f t="shared" si="114"/>
        <v>0</v>
      </c>
      <c r="J154" s="1664"/>
      <c r="K154" s="1665"/>
      <c r="L154" s="1666"/>
      <c r="M154" s="1667"/>
      <c r="N154" s="1668"/>
      <c r="O154" s="1669"/>
      <c r="P154" s="1670"/>
      <c r="Q154" s="1497"/>
      <c r="R154" s="1671"/>
      <c r="S154" s="1672" t="str">
        <f t="shared" si="110"/>
        <v/>
      </c>
      <c r="T154" s="2002"/>
      <c r="U154" s="1260"/>
      <c r="V154" s="1260"/>
      <c r="W154" s="1260"/>
      <c r="X154" s="1270"/>
    </row>
    <row r="155" spans="1:24" s="1255" customFormat="1">
      <c r="B155" s="1673" t="s">
        <v>54</v>
      </c>
      <c r="C155" s="2066" t="s">
        <v>4184</v>
      </c>
      <c r="D155" s="1660" t="s">
        <v>37</v>
      </c>
      <c r="E155" s="1522">
        <v>361</v>
      </c>
      <c r="F155" s="1522">
        <v>50</v>
      </c>
      <c r="G155" s="1661">
        <v>50</v>
      </c>
      <c r="H155" s="1662">
        <f t="shared" ref="H155:H156" si="122">+E155*F155</f>
        <v>18050</v>
      </c>
      <c r="I155" s="1662">
        <f t="shared" si="114"/>
        <v>18050</v>
      </c>
      <c r="J155" s="1664">
        <v>152.19</v>
      </c>
      <c r="K155" s="1665">
        <v>7609.5</v>
      </c>
      <c r="L155" s="1666">
        <f>+'[45]RESUMEN DE METRADOS '!$I$29</f>
        <v>158.27100000000002</v>
      </c>
      <c r="M155" s="1667">
        <f t="shared" ref="M155:M156" si="123">L155*G155</f>
        <v>7913.5500000000011</v>
      </c>
      <c r="N155" s="1668">
        <f t="shared" ref="N155:N156" si="124">J155+L155</f>
        <v>310.46100000000001</v>
      </c>
      <c r="O155" s="1669">
        <f t="shared" ref="O155:O156" si="125">N155*G155</f>
        <v>15523.050000000001</v>
      </c>
      <c r="P155" s="1670">
        <f t="shared" ref="P155:P156" si="126">+IF(D155=0,"",O155/I155)</f>
        <v>0.86000277008310255</v>
      </c>
      <c r="Q155" s="1497">
        <f t="shared" ref="Q155:Q156" si="127">E155-N155</f>
        <v>50.538999999999987</v>
      </c>
      <c r="R155" s="1671">
        <f t="shared" ref="R155:R156" si="128">ROUND((Q155*G155),2)</f>
        <v>2526.9499999999998</v>
      </c>
      <c r="S155" s="1672">
        <f t="shared" ref="S155:S156" si="129">+IF(I155=0,"",R155/I155)</f>
        <v>0.1399972299168975</v>
      </c>
      <c r="T155" s="2002"/>
      <c r="U155" s="1260"/>
      <c r="V155" s="1260"/>
      <c r="W155" s="1260"/>
      <c r="X155" s="1270"/>
    </row>
    <row r="156" spans="1:24" s="1255" customFormat="1">
      <c r="A156" s="1254"/>
      <c r="B156" s="1673" t="s">
        <v>55</v>
      </c>
      <c r="C156" s="2066" t="s">
        <v>4185</v>
      </c>
      <c r="D156" s="1660" t="s">
        <v>37</v>
      </c>
      <c r="E156" s="1522">
        <v>634.22</v>
      </c>
      <c r="F156" s="1522">
        <v>85.92</v>
      </c>
      <c r="G156" s="1661">
        <v>85.92</v>
      </c>
      <c r="H156" s="1662">
        <f t="shared" si="122"/>
        <v>54492.182400000005</v>
      </c>
      <c r="I156" s="1662">
        <f t="shared" si="114"/>
        <v>54492.18</v>
      </c>
      <c r="J156" s="1664">
        <v>164.68</v>
      </c>
      <c r="K156" s="1665">
        <v>14149.305600000002</v>
      </c>
      <c r="L156" s="1666">
        <f>+'[45]RESUMEN DE METRADOS '!$I$30</f>
        <v>125.70999999999998</v>
      </c>
      <c r="M156" s="1667">
        <f t="shared" si="123"/>
        <v>10801.003199999999</v>
      </c>
      <c r="N156" s="1668">
        <f t="shared" si="124"/>
        <v>290.39</v>
      </c>
      <c r="O156" s="1669">
        <f t="shared" si="125"/>
        <v>24950.308799999999</v>
      </c>
      <c r="P156" s="1670">
        <f t="shared" si="126"/>
        <v>0.45786952916913948</v>
      </c>
      <c r="Q156" s="1497">
        <f t="shared" si="127"/>
        <v>343.83000000000004</v>
      </c>
      <c r="R156" s="1671">
        <f t="shared" si="128"/>
        <v>29541.87</v>
      </c>
      <c r="S156" s="1672">
        <f t="shared" si="129"/>
        <v>0.54213044880935213</v>
      </c>
      <c r="T156" s="2002"/>
      <c r="U156" s="1260"/>
      <c r="V156" s="1260"/>
      <c r="W156" s="1260"/>
      <c r="X156" s="1270"/>
    </row>
    <row r="157" spans="1:24" s="1255" customFormat="1">
      <c r="A157" s="1266"/>
      <c r="B157" s="2043" t="s">
        <v>52</v>
      </c>
      <c r="C157" s="2044" t="s">
        <v>3106</v>
      </c>
      <c r="D157" s="1660"/>
      <c r="E157" s="1522"/>
      <c r="F157" s="1522"/>
      <c r="G157" s="1661"/>
      <c r="H157" s="1662"/>
      <c r="I157" s="1662">
        <f t="shared" si="114"/>
        <v>0</v>
      </c>
      <c r="J157" s="1664"/>
      <c r="K157" s="1665"/>
      <c r="L157" s="1666"/>
      <c r="M157" s="1667"/>
      <c r="N157" s="1668"/>
      <c r="O157" s="1669"/>
      <c r="P157" s="1670"/>
      <c r="Q157" s="1497"/>
      <c r="R157" s="1671"/>
      <c r="S157" s="1672" t="str">
        <f t="shared" si="110"/>
        <v/>
      </c>
      <c r="T157" s="2002"/>
      <c r="U157" s="1260"/>
      <c r="V157" s="1260"/>
      <c r="W157" s="1260"/>
      <c r="X157" s="1270"/>
    </row>
    <row r="158" spans="1:24" s="1255" customFormat="1">
      <c r="B158" s="1673" t="s">
        <v>56</v>
      </c>
      <c r="C158" s="1674" t="s">
        <v>4186</v>
      </c>
      <c r="D158" s="1660" t="s">
        <v>37</v>
      </c>
      <c r="E158" s="1522">
        <v>153.82</v>
      </c>
      <c r="F158" s="1522">
        <v>39.11</v>
      </c>
      <c r="G158" s="1661">
        <v>39.729999999999997</v>
      </c>
      <c r="H158" s="1662">
        <f t="shared" ref="H158:H162" si="130">+E158*F158</f>
        <v>6015.9002</v>
      </c>
      <c r="I158" s="1662">
        <f t="shared" si="114"/>
        <v>6111.27</v>
      </c>
      <c r="J158" s="1664">
        <v>0</v>
      </c>
      <c r="K158" s="1665">
        <v>0</v>
      </c>
      <c r="L158" s="1666"/>
      <c r="M158" s="1667">
        <f t="shared" ref="M158:M162" si="131">L158*G158</f>
        <v>0</v>
      </c>
      <c r="N158" s="1668">
        <f t="shared" ref="N158:N162" si="132">J158+L158</f>
        <v>0</v>
      </c>
      <c r="O158" s="1669">
        <f t="shared" ref="O158:O162" si="133">N158*G158</f>
        <v>0</v>
      </c>
      <c r="P158" s="1670">
        <f t="shared" ref="P158:P162" si="134">+IF(D158=0,"",O158/I158)</f>
        <v>0</v>
      </c>
      <c r="Q158" s="1497">
        <f t="shared" ref="Q158:Q162" si="135">E158-N158</f>
        <v>153.82</v>
      </c>
      <c r="R158" s="1671">
        <f t="shared" ref="R158:R162" si="136">ROUND((Q158*G158),2)</f>
        <v>6111.27</v>
      </c>
      <c r="S158" s="1672">
        <f t="shared" ref="S158:S162" si="137">+IF(I158=0,"",R158/I158)</f>
        <v>1</v>
      </c>
      <c r="T158" s="2002"/>
      <c r="U158" s="1260"/>
      <c r="V158" s="1260"/>
      <c r="W158" s="1260"/>
      <c r="X158" s="1270"/>
    </row>
    <row r="159" spans="1:24" s="1255" customFormat="1">
      <c r="A159" s="1266"/>
      <c r="B159" s="1673" t="s">
        <v>57</v>
      </c>
      <c r="C159" s="1674" t="s">
        <v>4187</v>
      </c>
      <c r="D159" s="1660" t="s">
        <v>37</v>
      </c>
      <c r="E159" s="1522">
        <v>344.37</v>
      </c>
      <c r="F159" s="1522">
        <v>445.18</v>
      </c>
      <c r="G159" s="1661">
        <v>455.95</v>
      </c>
      <c r="H159" s="1662">
        <f t="shared" si="130"/>
        <v>153306.6366</v>
      </c>
      <c r="I159" s="1662">
        <f t="shared" si="114"/>
        <v>157015.5</v>
      </c>
      <c r="J159" s="1664">
        <v>0</v>
      </c>
      <c r="K159" s="1665">
        <v>0</v>
      </c>
      <c r="L159" s="1666">
        <f>+'[45]RESUMEN DE METRADOS '!$I$36</f>
        <v>71.293400000000005</v>
      </c>
      <c r="M159" s="1667">
        <f t="shared" si="131"/>
        <v>32506.225730000002</v>
      </c>
      <c r="N159" s="1668">
        <f t="shared" si="132"/>
        <v>71.293400000000005</v>
      </c>
      <c r="O159" s="1669">
        <f t="shared" si="133"/>
        <v>32506.225730000002</v>
      </c>
      <c r="P159" s="1670">
        <f t="shared" si="134"/>
        <v>0.20702558492632894</v>
      </c>
      <c r="Q159" s="1497">
        <f t="shared" si="135"/>
        <v>273.07659999999998</v>
      </c>
      <c r="R159" s="1671">
        <f t="shared" si="136"/>
        <v>124509.28</v>
      </c>
      <c r="S159" s="1672">
        <f t="shared" si="137"/>
        <v>0.79297445156688351</v>
      </c>
      <c r="T159" s="2002"/>
      <c r="U159" s="1260"/>
      <c r="V159" s="1260"/>
      <c r="W159" s="1260"/>
      <c r="X159" s="1270"/>
    </row>
    <row r="160" spans="1:24" s="1255" customFormat="1">
      <c r="A160" s="1266"/>
      <c r="B160" s="1673" t="s">
        <v>661</v>
      </c>
      <c r="C160" s="2066" t="s">
        <v>4188</v>
      </c>
      <c r="D160" s="1660" t="s">
        <v>37</v>
      </c>
      <c r="E160" s="1522">
        <v>5827.92</v>
      </c>
      <c r="F160" s="1522">
        <v>79.260000000000005</v>
      </c>
      <c r="G160" s="1661">
        <v>80.17</v>
      </c>
      <c r="H160" s="1662">
        <f t="shared" si="130"/>
        <v>461920.93920000002</v>
      </c>
      <c r="I160" s="1662">
        <f t="shared" si="114"/>
        <v>467224.35</v>
      </c>
      <c r="J160" s="1664">
        <v>3684.0299999999997</v>
      </c>
      <c r="K160" s="1665">
        <v>295348.6851</v>
      </c>
      <c r="L160" s="1666">
        <f>+'[45]RESUMEN DE METRADOS '!$I$37</f>
        <v>553.86</v>
      </c>
      <c r="M160" s="1667">
        <f t="shared" si="131"/>
        <v>44402.956200000001</v>
      </c>
      <c r="N160" s="1668">
        <f t="shared" si="132"/>
        <v>4237.8899999999994</v>
      </c>
      <c r="O160" s="1669">
        <f t="shared" si="133"/>
        <v>339751.64129999996</v>
      </c>
      <c r="P160" s="1670">
        <f t="shared" si="134"/>
        <v>0.7271702369536176</v>
      </c>
      <c r="Q160" s="1497">
        <f t="shared" si="135"/>
        <v>1590.0300000000007</v>
      </c>
      <c r="R160" s="1671">
        <f t="shared" si="136"/>
        <v>127472.71</v>
      </c>
      <c r="S160" s="1672">
        <f t="shared" si="137"/>
        <v>0.27282976582877155</v>
      </c>
      <c r="T160" s="2002"/>
      <c r="U160" s="1260"/>
      <c r="V160" s="1260"/>
      <c r="W160" s="1260"/>
      <c r="X160" s="1270"/>
    </row>
    <row r="161" spans="1:24" s="1255" customFormat="1">
      <c r="B161" s="1673" t="s">
        <v>690</v>
      </c>
      <c r="C161" s="1674" t="s">
        <v>4189</v>
      </c>
      <c r="D161" s="1660" t="s">
        <v>37</v>
      </c>
      <c r="E161" s="1522">
        <v>376.27</v>
      </c>
      <c r="F161" s="1522">
        <v>69</v>
      </c>
      <c r="G161" s="1661">
        <v>69</v>
      </c>
      <c r="H161" s="1662">
        <f t="shared" si="130"/>
        <v>25962.629999999997</v>
      </c>
      <c r="I161" s="1662">
        <f t="shared" si="114"/>
        <v>25962.63</v>
      </c>
      <c r="J161" s="1664">
        <v>0</v>
      </c>
      <c r="K161" s="1665">
        <v>0</v>
      </c>
      <c r="L161" s="1666"/>
      <c r="M161" s="1667">
        <f t="shared" si="131"/>
        <v>0</v>
      </c>
      <c r="N161" s="1668">
        <f t="shared" si="132"/>
        <v>0</v>
      </c>
      <c r="O161" s="1669">
        <f t="shared" si="133"/>
        <v>0</v>
      </c>
      <c r="P161" s="1670">
        <f t="shared" si="134"/>
        <v>0</v>
      </c>
      <c r="Q161" s="1497">
        <f t="shared" si="135"/>
        <v>376.27</v>
      </c>
      <c r="R161" s="1671">
        <f t="shared" si="136"/>
        <v>25962.63</v>
      </c>
      <c r="S161" s="1672">
        <f t="shared" si="137"/>
        <v>1</v>
      </c>
      <c r="T161" s="2002"/>
      <c r="U161" s="1260"/>
      <c r="V161" s="1260"/>
      <c r="W161" s="1260"/>
      <c r="X161" s="1270"/>
    </row>
    <row r="162" spans="1:24" s="1255" customFormat="1">
      <c r="A162" s="1254"/>
      <c r="B162" s="1673" t="s">
        <v>692</v>
      </c>
      <c r="C162" s="1674" t="s">
        <v>4190</v>
      </c>
      <c r="D162" s="1660" t="s">
        <v>38</v>
      </c>
      <c r="E162" s="1522">
        <v>2672.1</v>
      </c>
      <c r="F162" s="1522">
        <v>13.71</v>
      </c>
      <c r="G162" s="1661">
        <v>14.28</v>
      </c>
      <c r="H162" s="1662">
        <f t="shared" si="130"/>
        <v>36634.491000000002</v>
      </c>
      <c r="I162" s="1662">
        <f t="shared" si="114"/>
        <v>38157.589999999997</v>
      </c>
      <c r="J162" s="1664">
        <v>2518.83</v>
      </c>
      <c r="K162" s="1665">
        <v>35968.892399999997</v>
      </c>
      <c r="L162" s="1666"/>
      <c r="M162" s="1667">
        <f t="shared" si="131"/>
        <v>0</v>
      </c>
      <c r="N162" s="1668">
        <f t="shared" si="132"/>
        <v>2518.83</v>
      </c>
      <c r="O162" s="1669">
        <f t="shared" si="133"/>
        <v>35968.892399999997</v>
      </c>
      <c r="P162" s="1670">
        <f t="shared" si="134"/>
        <v>0.94264057032952031</v>
      </c>
      <c r="Q162" s="1497">
        <f t="shared" si="135"/>
        <v>153.26999999999998</v>
      </c>
      <c r="R162" s="1671">
        <f t="shared" si="136"/>
        <v>2188.6999999999998</v>
      </c>
      <c r="S162" s="1672">
        <f t="shared" si="137"/>
        <v>5.7359492567533747E-2</v>
      </c>
      <c r="T162" s="2002"/>
      <c r="U162" s="1260"/>
      <c r="V162" s="1260"/>
      <c r="W162" s="1260"/>
      <c r="X162" s="1270"/>
    </row>
    <row r="163" spans="1:24" s="1255" customFormat="1">
      <c r="A163" s="1266"/>
      <c r="B163" s="2043" t="s">
        <v>516</v>
      </c>
      <c r="C163" s="2044" t="s">
        <v>3128</v>
      </c>
      <c r="D163" s="1660"/>
      <c r="E163" s="1522"/>
      <c r="F163" s="1522"/>
      <c r="G163" s="1661"/>
      <c r="H163" s="1662"/>
      <c r="I163" s="1662">
        <f t="shared" si="114"/>
        <v>0</v>
      </c>
      <c r="J163" s="1664"/>
      <c r="K163" s="1665"/>
      <c r="L163" s="1666"/>
      <c r="M163" s="1667"/>
      <c r="N163" s="1668"/>
      <c r="O163" s="1669"/>
      <c r="P163" s="1670"/>
      <c r="Q163" s="1497"/>
      <c r="R163" s="1671"/>
      <c r="S163" s="1672" t="str">
        <f t="shared" si="110"/>
        <v/>
      </c>
      <c r="T163" s="2002"/>
      <c r="U163" s="1260"/>
      <c r="V163" s="1260"/>
      <c r="W163" s="1260"/>
      <c r="X163" s="1270"/>
    </row>
    <row r="164" spans="1:24" s="1255" customFormat="1">
      <c r="B164" s="2039" t="s">
        <v>517</v>
      </c>
      <c r="C164" s="2040" t="s">
        <v>3129</v>
      </c>
      <c r="D164" s="1660"/>
      <c r="E164" s="1522"/>
      <c r="F164" s="1522"/>
      <c r="G164" s="1661"/>
      <c r="H164" s="1662"/>
      <c r="I164" s="1662">
        <f t="shared" si="114"/>
        <v>0</v>
      </c>
      <c r="J164" s="1664"/>
      <c r="K164" s="1665"/>
      <c r="L164" s="1666"/>
      <c r="M164" s="1667"/>
      <c r="N164" s="1668"/>
      <c r="O164" s="1669"/>
      <c r="P164" s="1670"/>
      <c r="Q164" s="1497"/>
      <c r="R164" s="1671"/>
      <c r="S164" s="1672" t="str">
        <f t="shared" si="110"/>
        <v/>
      </c>
      <c r="T164" s="2002"/>
      <c r="U164" s="1260"/>
      <c r="V164" s="1260"/>
      <c r="W164" s="1260"/>
      <c r="X164" s="1270"/>
    </row>
    <row r="165" spans="1:24" s="1255" customFormat="1">
      <c r="A165" s="1254"/>
      <c r="B165" s="1673" t="s">
        <v>695</v>
      </c>
      <c r="C165" s="2066" t="s">
        <v>3812</v>
      </c>
      <c r="D165" s="1660" t="s">
        <v>37</v>
      </c>
      <c r="E165" s="1522">
        <v>1990.29</v>
      </c>
      <c r="F165" s="1522">
        <v>81.42</v>
      </c>
      <c r="G165" s="1661">
        <v>82.52</v>
      </c>
      <c r="H165" s="1662">
        <f t="shared" ref="H165" si="138">+E165*F165</f>
        <v>162049.4118</v>
      </c>
      <c r="I165" s="1662">
        <f t="shared" si="114"/>
        <v>164238.73000000001</v>
      </c>
      <c r="J165" s="1664">
        <v>961.38599999999997</v>
      </c>
      <c r="K165" s="1665">
        <v>79333.572719999996</v>
      </c>
      <c r="L165" s="1666">
        <f>+'[45]RESUMEN DE METRADOS '!$I$39</f>
        <v>640.93900000000008</v>
      </c>
      <c r="M165" s="1667">
        <f t="shared" ref="M165" si="139">L165*G165</f>
        <v>52890.286280000008</v>
      </c>
      <c r="N165" s="1668">
        <f t="shared" ref="N165" si="140">J165+L165</f>
        <v>1602.325</v>
      </c>
      <c r="O165" s="1669">
        <f>N165*G165</f>
        <v>132223.859</v>
      </c>
      <c r="P165" s="1670">
        <f>+IF(D165=0,"",O165/I165)</f>
        <v>0.80507112421047089</v>
      </c>
      <c r="Q165" s="1497">
        <f t="shared" ref="Q165" si="141">E165-N165</f>
        <v>387.96499999999992</v>
      </c>
      <c r="R165" s="1671">
        <f>ROUND((Q165*G165),2)</f>
        <v>32014.87</v>
      </c>
      <c r="S165" s="1672">
        <f>+IF(I165=0,"",R165/I165)</f>
        <v>0.1949288697008312</v>
      </c>
      <c r="T165" s="2002"/>
      <c r="U165" s="1260"/>
      <c r="V165" s="1260"/>
      <c r="W165" s="1260"/>
      <c r="X165" s="1270"/>
    </row>
    <row r="166" spans="1:24" s="1255" customFormat="1">
      <c r="A166" s="1266"/>
      <c r="B166" s="2039" t="s">
        <v>701</v>
      </c>
      <c r="C166" s="2040" t="s">
        <v>3133</v>
      </c>
      <c r="D166" s="1660"/>
      <c r="E166" s="1522"/>
      <c r="F166" s="1522"/>
      <c r="G166" s="1661"/>
      <c r="H166" s="1662"/>
      <c r="I166" s="1662">
        <f t="shared" si="114"/>
        <v>0</v>
      </c>
      <c r="J166" s="1664"/>
      <c r="K166" s="1665"/>
      <c r="L166" s="1666"/>
      <c r="M166" s="1667"/>
      <c r="N166" s="1668"/>
      <c r="O166" s="1669"/>
      <c r="P166" s="1670"/>
      <c r="Q166" s="1497"/>
      <c r="R166" s="1671"/>
      <c r="S166" s="1672" t="str">
        <f t="shared" si="110"/>
        <v/>
      </c>
      <c r="T166" s="2002"/>
      <c r="U166" s="1260"/>
      <c r="V166" s="1260"/>
      <c r="W166" s="1260"/>
      <c r="X166" s="1270"/>
    </row>
    <row r="167" spans="1:24" s="1255" customFormat="1">
      <c r="B167" s="1673" t="s">
        <v>702</v>
      </c>
      <c r="C167" s="1674" t="s">
        <v>4191</v>
      </c>
      <c r="D167" s="1660" t="s">
        <v>38</v>
      </c>
      <c r="E167" s="1522">
        <v>47.82</v>
      </c>
      <c r="F167" s="1522">
        <v>33.68</v>
      </c>
      <c r="G167" s="1661">
        <v>34.049999999999997</v>
      </c>
      <c r="H167" s="1662">
        <f t="shared" ref="H167:H169" si="142">+E167*F167</f>
        <v>1610.5776000000001</v>
      </c>
      <c r="I167" s="1662">
        <f t="shared" si="114"/>
        <v>1628.27</v>
      </c>
      <c r="J167" s="1664">
        <v>0</v>
      </c>
      <c r="K167" s="1665">
        <v>0</v>
      </c>
      <c r="L167" s="1666"/>
      <c r="M167" s="1667">
        <f t="shared" ref="M167:M169" si="143">L167*G167</f>
        <v>0</v>
      </c>
      <c r="N167" s="1668">
        <f t="shared" ref="N167:N169" si="144">J167+L167</f>
        <v>0</v>
      </c>
      <c r="O167" s="1669">
        <f t="shared" ref="O167:O169" si="145">N167*G167</f>
        <v>0</v>
      </c>
      <c r="P167" s="1670">
        <f t="shared" ref="P167:P169" si="146">+IF(D167=0,"",O167/I167)</f>
        <v>0</v>
      </c>
      <c r="Q167" s="1497">
        <f t="shared" ref="Q167:Q169" si="147">E167-N167</f>
        <v>47.82</v>
      </c>
      <c r="R167" s="1671">
        <f t="shared" ref="R167:R169" si="148">ROUND((Q167*G167),2)</f>
        <v>1628.27</v>
      </c>
      <c r="S167" s="1672">
        <f t="shared" ref="S167:S169" si="149">+IF(I167=0,"",R167/I167)</f>
        <v>1</v>
      </c>
      <c r="T167" s="2002"/>
      <c r="U167" s="1260"/>
      <c r="V167" s="1260"/>
      <c r="W167" s="1260"/>
      <c r="X167" s="1270"/>
    </row>
    <row r="168" spans="1:24" s="1255" customFormat="1">
      <c r="A168" s="1266"/>
      <c r="B168" s="1673" t="s">
        <v>703</v>
      </c>
      <c r="C168" s="1674" t="s">
        <v>4192</v>
      </c>
      <c r="D168" s="1660" t="s">
        <v>38</v>
      </c>
      <c r="E168" s="1522">
        <v>84.86</v>
      </c>
      <c r="F168" s="1522">
        <v>12.45</v>
      </c>
      <c r="G168" s="1661">
        <v>12.96</v>
      </c>
      <c r="H168" s="1662">
        <f t="shared" si="142"/>
        <v>1056.5069999999998</v>
      </c>
      <c r="I168" s="1662">
        <f t="shared" si="114"/>
        <v>1099.79</v>
      </c>
      <c r="J168" s="1664">
        <v>21.36</v>
      </c>
      <c r="K168" s="1665">
        <v>276.82560000000001</v>
      </c>
      <c r="L168" s="1666">
        <f>+'[45]RESUMEN DE METRADOS '!$I$40</f>
        <v>54.620000000000005</v>
      </c>
      <c r="M168" s="1667">
        <f t="shared" si="143"/>
        <v>707.87520000000006</v>
      </c>
      <c r="N168" s="1668">
        <f t="shared" si="144"/>
        <v>75.98</v>
      </c>
      <c r="O168" s="1669">
        <f t="shared" si="145"/>
        <v>984.70080000000007</v>
      </c>
      <c r="P168" s="1670">
        <f t="shared" si="146"/>
        <v>0.8953534765728004</v>
      </c>
      <c r="Q168" s="1497">
        <f t="shared" si="147"/>
        <v>8.8799999999999955</v>
      </c>
      <c r="R168" s="1671">
        <f t="shared" si="148"/>
        <v>115.08</v>
      </c>
      <c r="S168" s="1672">
        <f t="shared" si="149"/>
        <v>0.10463815819383701</v>
      </c>
      <c r="T168" s="2002"/>
      <c r="U168" s="1260"/>
      <c r="V168" s="1260"/>
      <c r="W168" s="1260"/>
      <c r="X168" s="1270"/>
    </row>
    <row r="169" spans="1:24" s="1255" customFormat="1">
      <c r="A169" s="1266"/>
      <c r="B169" s="1673" t="s">
        <v>704</v>
      </c>
      <c r="C169" s="2066" t="s">
        <v>4193</v>
      </c>
      <c r="D169" s="1660" t="s">
        <v>38</v>
      </c>
      <c r="E169" s="1522">
        <v>2303.92</v>
      </c>
      <c r="F169" s="1522">
        <v>31.22</v>
      </c>
      <c r="G169" s="1661">
        <v>32.130000000000003</v>
      </c>
      <c r="H169" s="1662">
        <f t="shared" si="142"/>
        <v>71928.382400000002</v>
      </c>
      <c r="I169" s="1662">
        <f t="shared" si="114"/>
        <v>74024.95</v>
      </c>
      <c r="J169" s="1664">
        <v>309.68</v>
      </c>
      <c r="K169" s="1665">
        <v>9950.0184000000008</v>
      </c>
      <c r="L169" s="1666">
        <f>+'[45]RESUMEN DE METRADOS '!$I$41</f>
        <v>546.14</v>
      </c>
      <c r="M169" s="1667">
        <f t="shared" si="143"/>
        <v>17547.478200000001</v>
      </c>
      <c r="N169" s="1668">
        <f t="shared" si="144"/>
        <v>855.81999999999994</v>
      </c>
      <c r="O169" s="1669">
        <f t="shared" si="145"/>
        <v>27497.496599999999</v>
      </c>
      <c r="P169" s="1670">
        <f t="shared" si="146"/>
        <v>0.37146254877578438</v>
      </c>
      <c r="Q169" s="1497">
        <f t="shared" si="147"/>
        <v>1448.1000000000001</v>
      </c>
      <c r="R169" s="1671">
        <f t="shared" si="148"/>
        <v>46527.45</v>
      </c>
      <c r="S169" s="1672">
        <f t="shared" si="149"/>
        <v>0.62853740529375568</v>
      </c>
      <c r="T169" s="2002"/>
      <c r="U169" s="1260"/>
      <c r="V169" s="1260"/>
      <c r="W169" s="1260"/>
      <c r="X169" s="1270"/>
    </row>
    <row r="170" spans="1:24" s="1255" customFormat="1">
      <c r="B170" s="2043" t="s">
        <v>742</v>
      </c>
      <c r="C170" s="2044" t="s">
        <v>3815</v>
      </c>
      <c r="D170" s="1660"/>
      <c r="E170" s="1522"/>
      <c r="F170" s="1522"/>
      <c r="G170" s="1661"/>
      <c r="H170" s="1662"/>
      <c r="I170" s="1662">
        <f t="shared" si="114"/>
        <v>0</v>
      </c>
      <c r="J170" s="1664"/>
      <c r="K170" s="1665"/>
      <c r="L170" s="1666"/>
      <c r="M170" s="1667"/>
      <c r="N170" s="1668"/>
      <c r="O170" s="1669"/>
      <c r="P170" s="1670"/>
      <c r="Q170" s="1497"/>
      <c r="R170" s="1671"/>
      <c r="S170" s="1672" t="str">
        <f t="shared" si="110"/>
        <v/>
      </c>
      <c r="T170" s="2002"/>
      <c r="U170" s="1260"/>
      <c r="V170" s="1260"/>
      <c r="W170" s="1260"/>
      <c r="X170" s="1270"/>
    </row>
    <row r="171" spans="1:24" s="1255" customFormat="1">
      <c r="A171" s="1254"/>
      <c r="B171" s="2039" t="s">
        <v>743</v>
      </c>
      <c r="C171" s="2040" t="s">
        <v>4194</v>
      </c>
      <c r="D171" s="1660"/>
      <c r="E171" s="1522"/>
      <c r="F171" s="1522"/>
      <c r="G171" s="1661"/>
      <c r="H171" s="1662"/>
      <c r="I171" s="1662">
        <f t="shared" si="114"/>
        <v>0</v>
      </c>
      <c r="J171" s="1664"/>
      <c r="K171" s="1665"/>
      <c r="L171" s="1666"/>
      <c r="M171" s="1667"/>
      <c r="N171" s="1668"/>
      <c r="O171" s="1669"/>
      <c r="P171" s="1670"/>
      <c r="Q171" s="1497"/>
      <c r="R171" s="1671"/>
      <c r="S171" s="1672" t="str">
        <f t="shared" si="110"/>
        <v/>
      </c>
      <c r="T171" s="2002"/>
      <c r="U171" s="1260"/>
      <c r="V171" s="1260"/>
      <c r="W171" s="1260"/>
      <c r="X171" s="1270"/>
    </row>
    <row r="172" spans="1:24" s="1255" customFormat="1">
      <c r="A172" s="1266"/>
      <c r="B172" s="1673" t="s">
        <v>744</v>
      </c>
      <c r="C172" s="1674" t="s">
        <v>4195</v>
      </c>
      <c r="D172" s="1660" t="s">
        <v>37</v>
      </c>
      <c r="E172" s="1522">
        <v>1</v>
      </c>
      <c r="F172" s="1522">
        <v>4836.2700000000004</v>
      </c>
      <c r="G172" s="1661">
        <v>4850.2</v>
      </c>
      <c r="H172" s="1662">
        <f t="shared" ref="H172:H173" si="150">+E172*F172</f>
        <v>4836.2700000000004</v>
      </c>
      <c r="I172" s="1662">
        <f t="shared" si="114"/>
        <v>4850.2</v>
      </c>
      <c r="J172" s="1664">
        <v>0</v>
      </c>
      <c r="K172" s="1665">
        <v>0</v>
      </c>
      <c r="L172" s="1666"/>
      <c r="M172" s="1667">
        <f t="shared" ref="M172:M173" si="151">L172*G172</f>
        <v>0</v>
      </c>
      <c r="N172" s="1668">
        <f t="shared" ref="N172:N173" si="152">J172+L172</f>
        <v>0</v>
      </c>
      <c r="O172" s="1669">
        <f t="shared" ref="O172:O173" si="153">N172*G172</f>
        <v>0</v>
      </c>
      <c r="P172" s="1670">
        <f t="shared" ref="P172:P173" si="154">+IF(D172=0,"",O172/I172)</f>
        <v>0</v>
      </c>
      <c r="Q172" s="1497">
        <f t="shared" ref="Q172:Q173" si="155">E172-N172</f>
        <v>1</v>
      </c>
      <c r="R172" s="1671">
        <f t="shared" ref="R172:R173" si="156">ROUND((Q172*G172),2)</f>
        <v>4850.2</v>
      </c>
      <c r="S172" s="1672">
        <f t="shared" ref="S172:S173" si="157">+IF(I172=0,"",R172/I172)</f>
        <v>1</v>
      </c>
      <c r="T172" s="2002"/>
      <c r="U172" s="1260"/>
      <c r="V172" s="1260"/>
      <c r="W172" s="1260"/>
      <c r="X172" s="1270"/>
    </row>
    <row r="173" spans="1:24" s="1255" customFormat="1">
      <c r="B173" s="1681" t="s">
        <v>745</v>
      </c>
      <c r="C173" s="1682" t="s">
        <v>4196</v>
      </c>
      <c r="D173" s="1660" t="s">
        <v>37</v>
      </c>
      <c r="E173" s="1522">
        <v>50.4</v>
      </c>
      <c r="F173" s="1522">
        <v>216</v>
      </c>
      <c r="G173" s="1661">
        <v>216</v>
      </c>
      <c r="H173" s="1662">
        <f t="shared" si="150"/>
        <v>10886.4</v>
      </c>
      <c r="I173" s="1662">
        <f t="shared" si="114"/>
        <v>10886.4</v>
      </c>
      <c r="J173" s="1664">
        <v>0</v>
      </c>
      <c r="K173" s="1665">
        <v>0</v>
      </c>
      <c r="L173" s="1666"/>
      <c r="M173" s="1667">
        <f t="shared" si="151"/>
        <v>0</v>
      </c>
      <c r="N173" s="1668">
        <f t="shared" si="152"/>
        <v>0</v>
      </c>
      <c r="O173" s="1669">
        <f t="shared" si="153"/>
        <v>0</v>
      </c>
      <c r="P173" s="1670">
        <f t="shared" si="154"/>
        <v>0</v>
      </c>
      <c r="Q173" s="1497">
        <f t="shared" si="155"/>
        <v>50.4</v>
      </c>
      <c r="R173" s="1671">
        <f t="shared" si="156"/>
        <v>10886.4</v>
      </c>
      <c r="S173" s="1672">
        <f t="shared" si="157"/>
        <v>1</v>
      </c>
      <c r="T173" s="2002"/>
      <c r="U173" s="1260"/>
      <c r="V173" s="1260"/>
      <c r="W173" s="1260"/>
      <c r="X173" s="1270"/>
    </row>
    <row r="174" spans="1:24" s="1255" customFormat="1">
      <c r="A174" s="1254"/>
      <c r="B174" s="2039" t="s">
        <v>746</v>
      </c>
      <c r="C174" s="2040" t="s">
        <v>3156</v>
      </c>
      <c r="D174" s="1660"/>
      <c r="E174" s="1522"/>
      <c r="F174" s="1522"/>
      <c r="G174" s="1661"/>
      <c r="H174" s="1662"/>
      <c r="I174" s="1662">
        <f t="shared" si="114"/>
        <v>0</v>
      </c>
      <c r="J174" s="1664"/>
      <c r="K174" s="1665"/>
      <c r="L174" s="1666"/>
      <c r="M174" s="1667"/>
      <c r="N174" s="1668"/>
      <c r="O174" s="1669"/>
      <c r="P174" s="1670"/>
      <c r="Q174" s="1497"/>
      <c r="R174" s="1671"/>
      <c r="S174" s="1672" t="str">
        <f t="shared" si="110"/>
        <v/>
      </c>
      <c r="T174" s="2002"/>
      <c r="U174" s="1260"/>
      <c r="V174" s="1260"/>
      <c r="W174" s="1260"/>
      <c r="X174" s="1270"/>
    </row>
    <row r="175" spans="1:24" s="1255" customFormat="1">
      <c r="A175" s="1266"/>
      <c r="B175" s="1673" t="s">
        <v>747</v>
      </c>
      <c r="C175" s="1674" t="s">
        <v>4197</v>
      </c>
      <c r="D175" s="1660" t="s">
        <v>38</v>
      </c>
      <c r="E175" s="1522">
        <v>3197.26</v>
      </c>
      <c r="F175" s="1522">
        <v>18.79</v>
      </c>
      <c r="G175" s="1661">
        <v>18.940000000000001</v>
      </c>
      <c r="H175" s="1662">
        <f t="shared" ref="H175" si="158">+E175*F175</f>
        <v>60076.515400000004</v>
      </c>
      <c r="I175" s="1662">
        <f t="shared" si="114"/>
        <v>60556.1</v>
      </c>
      <c r="J175" s="1664">
        <v>0</v>
      </c>
      <c r="K175" s="1665">
        <v>0</v>
      </c>
      <c r="L175" s="1666"/>
      <c r="M175" s="1667">
        <f t="shared" ref="M175" si="159">L175*G175</f>
        <v>0</v>
      </c>
      <c r="N175" s="1668">
        <f t="shared" ref="N175" si="160">J175+L175</f>
        <v>0</v>
      </c>
      <c r="O175" s="1669">
        <f>N175*G175</f>
        <v>0</v>
      </c>
      <c r="P175" s="1670">
        <f>+IF(D175=0,"",O175/I175)</f>
        <v>0</v>
      </c>
      <c r="Q175" s="1497">
        <f t="shared" ref="Q175" si="161">E175-N175</f>
        <v>3197.26</v>
      </c>
      <c r="R175" s="1671">
        <f>ROUND((Q175*G175),2)</f>
        <v>60556.1</v>
      </c>
      <c r="S175" s="1672">
        <f>+IF(I175=0,"",R175/I175)</f>
        <v>1</v>
      </c>
      <c r="T175" s="2002"/>
      <c r="U175" s="1260"/>
      <c r="V175" s="1260"/>
      <c r="W175" s="1260"/>
      <c r="X175" s="1270"/>
    </row>
    <row r="176" spans="1:24" s="1255" customFormat="1">
      <c r="B176" s="2043" t="s">
        <v>763</v>
      </c>
      <c r="C176" s="2044" t="s">
        <v>3190</v>
      </c>
      <c r="D176" s="1660"/>
      <c r="E176" s="1522"/>
      <c r="F176" s="1522"/>
      <c r="G176" s="1661"/>
      <c r="H176" s="1662"/>
      <c r="I176" s="1662">
        <f t="shared" si="114"/>
        <v>0</v>
      </c>
      <c r="J176" s="1664"/>
      <c r="K176" s="1665"/>
      <c r="L176" s="1666"/>
      <c r="M176" s="1667"/>
      <c r="N176" s="1668"/>
      <c r="O176" s="1669"/>
      <c r="P176" s="1670"/>
      <c r="Q176" s="1497"/>
      <c r="R176" s="1671"/>
      <c r="S176" s="1672" t="str">
        <f t="shared" si="110"/>
        <v/>
      </c>
      <c r="T176" s="2002"/>
      <c r="U176" s="1260"/>
      <c r="V176" s="1260"/>
      <c r="W176" s="1260"/>
      <c r="X176" s="1270"/>
    </row>
    <row r="177" spans="1:25" s="1255" customFormat="1">
      <c r="A177" s="1266"/>
      <c r="B177" s="1673" t="s">
        <v>764</v>
      </c>
      <c r="C177" s="1674" t="s">
        <v>4198</v>
      </c>
      <c r="D177" s="1660" t="s">
        <v>37</v>
      </c>
      <c r="E177" s="1522">
        <v>5505.09</v>
      </c>
      <c r="F177" s="1522">
        <v>13.01</v>
      </c>
      <c r="G177" s="1661">
        <v>13.37</v>
      </c>
      <c r="H177" s="1662">
        <f t="shared" ref="H177:H184" si="162">+E177*F177</f>
        <v>71621.2209</v>
      </c>
      <c r="I177" s="1662">
        <f t="shared" si="114"/>
        <v>73603.05</v>
      </c>
      <c r="J177" s="1664">
        <v>1713.5772500000005</v>
      </c>
      <c r="K177" s="1665">
        <v>22910.527832500007</v>
      </c>
      <c r="L177" s="1666">
        <f>+'[45]RESUMEN DE METRADOS '!$I$49</f>
        <v>53.4</v>
      </c>
      <c r="M177" s="1667">
        <f t="shared" ref="M177:M184" si="163">L177*G177</f>
        <v>713.95799999999997</v>
      </c>
      <c r="N177" s="1668">
        <f t="shared" ref="N177:N184" si="164">J177+L177</f>
        <v>1766.9772500000006</v>
      </c>
      <c r="O177" s="1669">
        <f t="shared" ref="O177:O184" si="165">N177*G177</f>
        <v>23624.485832500006</v>
      </c>
      <c r="P177" s="1670">
        <f t="shared" ref="P177:P184" si="166">+IF(D177=0,"",O177/I177)</f>
        <v>0.32097156072336686</v>
      </c>
      <c r="Q177" s="1497">
        <f t="shared" ref="Q177:Q184" si="167">E177-N177</f>
        <v>3738.1127499999993</v>
      </c>
      <c r="R177" s="1671">
        <f t="shared" ref="R177:R184" si="168">ROUND((Q177*G177),2)</f>
        <v>49978.57</v>
      </c>
      <c r="S177" s="1672">
        <f t="shared" ref="S177:S184" si="169">+IF(I177=0,"",R177/I177)</f>
        <v>0.67902851851927326</v>
      </c>
      <c r="T177" s="2002"/>
      <c r="U177" s="1260">
        <f>+Q177*0.3</f>
        <v>1121.4338249999998</v>
      </c>
      <c r="V177" s="1260">
        <v>1410.0453749999999</v>
      </c>
      <c r="W177" s="1260"/>
      <c r="X177" s="1270">
        <v>787.00875000000008</v>
      </c>
      <c r="Y177" s="1928">
        <f>+X177/E177</f>
        <v>0.14296019683601904</v>
      </c>
    </row>
    <row r="178" spans="1:25" s="1255" customFormat="1">
      <c r="A178" s="1266"/>
      <c r="B178" s="1673" t="s">
        <v>767</v>
      </c>
      <c r="C178" s="1674" t="s">
        <v>4199</v>
      </c>
      <c r="D178" s="1660" t="s">
        <v>37</v>
      </c>
      <c r="E178" s="1522">
        <v>4009.91</v>
      </c>
      <c r="F178" s="1522">
        <v>13.7</v>
      </c>
      <c r="G178" s="1661">
        <v>13.98</v>
      </c>
      <c r="H178" s="1662">
        <f t="shared" si="162"/>
        <v>54935.766999999993</v>
      </c>
      <c r="I178" s="1662">
        <f t="shared" si="114"/>
        <v>56058.54</v>
      </c>
      <c r="J178" s="1664">
        <v>880.88135000000034</v>
      </c>
      <c r="K178" s="1665">
        <v>12314.721273000005</v>
      </c>
      <c r="L178" s="1666">
        <f>+'[45]RESUMEN DE METRADOS '!$I$50</f>
        <v>103.09532000000002</v>
      </c>
      <c r="M178" s="1667">
        <f t="shared" si="163"/>
        <v>1441.2725736000002</v>
      </c>
      <c r="N178" s="1668">
        <f t="shared" si="164"/>
        <v>983.97667000000035</v>
      </c>
      <c r="O178" s="1669">
        <f t="shared" si="165"/>
        <v>13755.993846600006</v>
      </c>
      <c r="P178" s="1670">
        <f t="shared" si="166"/>
        <v>0.24538623101136786</v>
      </c>
      <c r="Q178" s="1497">
        <f t="shared" si="167"/>
        <v>3025.9333299999994</v>
      </c>
      <c r="R178" s="1671">
        <f t="shared" si="168"/>
        <v>42302.55</v>
      </c>
      <c r="S178" s="1672">
        <f t="shared" si="169"/>
        <v>0.75461383760618816</v>
      </c>
      <c r="T178" s="2002"/>
      <c r="U178" s="1260">
        <f t="shared" ref="U178:U181" si="170">+Q178*0.3</f>
        <v>907.77999899999975</v>
      </c>
      <c r="V178" s="1260">
        <v>1173.9747749999999</v>
      </c>
      <c r="W178" s="1260">
        <f>+V178+L178</f>
        <v>1277.070095</v>
      </c>
      <c r="X178" s="1270">
        <v>378.38925000000023</v>
      </c>
      <c r="Y178" s="1928">
        <f t="shared" ref="Y178:Y181" si="171">+X178/E178</f>
        <v>9.4363526862198968E-2</v>
      </c>
    </row>
    <row r="179" spans="1:25" s="1255" customFormat="1">
      <c r="B179" s="1673" t="s">
        <v>771</v>
      </c>
      <c r="C179" s="1674" t="s">
        <v>4200</v>
      </c>
      <c r="D179" s="1660" t="s">
        <v>37</v>
      </c>
      <c r="E179" s="1522">
        <v>5094.62</v>
      </c>
      <c r="F179" s="1522">
        <v>14.45</v>
      </c>
      <c r="G179" s="1661">
        <v>14.78</v>
      </c>
      <c r="H179" s="1662">
        <f t="shared" si="162"/>
        <v>73617.258999999991</v>
      </c>
      <c r="I179" s="1662">
        <f t="shared" si="114"/>
        <v>75298.48</v>
      </c>
      <c r="J179" s="1664">
        <v>617.98255000000017</v>
      </c>
      <c r="K179" s="1665">
        <v>9133.7820890000021</v>
      </c>
      <c r="L179" s="1666">
        <f>+'[45]RESUMEN DE METRADOS '!$I$51</f>
        <v>103.09532000000002</v>
      </c>
      <c r="M179" s="1667">
        <f t="shared" si="163"/>
        <v>1523.7488296000001</v>
      </c>
      <c r="N179" s="1668">
        <f t="shared" si="164"/>
        <v>721.07787000000019</v>
      </c>
      <c r="O179" s="1669">
        <f t="shared" si="165"/>
        <v>10657.530918600003</v>
      </c>
      <c r="P179" s="1670">
        <f t="shared" si="166"/>
        <v>0.14153713220505917</v>
      </c>
      <c r="Q179" s="1497">
        <f t="shared" si="167"/>
        <v>4373.5421299999998</v>
      </c>
      <c r="R179" s="1671">
        <f t="shared" si="168"/>
        <v>64640.95</v>
      </c>
      <c r="S179" s="1672">
        <f t="shared" si="169"/>
        <v>0.8584628799943903</v>
      </c>
      <c r="T179" s="2002"/>
      <c r="U179" s="1260">
        <f t="shared" si="170"/>
        <v>1312.062639</v>
      </c>
      <c r="V179" s="1260">
        <v>1422.4368750000001</v>
      </c>
      <c r="W179" s="1260">
        <f t="shared" ref="W179:W181" si="172">+V179+L179</f>
        <v>1525.5321950000002</v>
      </c>
      <c r="X179" s="1270">
        <v>101.93325000000003</v>
      </c>
      <c r="Y179" s="1928">
        <f t="shared" si="171"/>
        <v>2.0008018262402304E-2</v>
      </c>
    </row>
    <row r="180" spans="1:25" s="1255" customFormat="1">
      <c r="A180" s="1254"/>
      <c r="B180" s="1673" t="s">
        <v>3813</v>
      </c>
      <c r="C180" s="1674" t="s">
        <v>4201</v>
      </c>
      <c r="D180" s="1660" t="s">
        <v>37</v>
      </c>
      <c r="E180" s="1522">
        <v>5242.09</v>
      </c>
      <c r="F180" s="1522">
        <v>13.7</v>
      </c>
      <c r="G180" s="1661">
        <v>13.98</v>
      </c>
      <c r="H180" s="1662">
        <f t="shared" si="162"/>
        <v>71816.633000000002</v>
      </c>
      <c r="I180" s="1662">
        <f t="shared" si="114"/>
        <v>73284.42</v>
      </c>
      <c r="J180" s="1664">
        <v>1326.0229249999991</v>
      </c>
      <c r="K180" s="1665">
        <v>18537.800491499987</v>
      </c>
      <c r="L180" s="1666">
        <f>+'[45]RESUMEN DE METRADOS '!$I$52</f>
        <v>34.302</v>
      </c>
      <c r="M180" s="1667">
        <f t="shared" si="163"/>
        <v>479.54196000000002</v>
      </c>
      <c r="N180" s="1668">
        <f t="shared" si="164"/>
        <v>1360.324924999999</v>
      </c>
      <c r="O180" s="1669">
        <f t="shared" si="165"/>
        <v>19017.342451499986</v>
      </c>
      <c r="P180" s="1670">
        <f t="shared" si="166"/>
        <v>0.25950048388866265</v>
      </c>
      <c r="Q180" s="1497">
        <f t="shared" si="167"/>
        <v>3881.7650750000012</v>
      </c>
      <c r="R180" s="1671">
        <f t="shared" si="168"/>
        <v>54267.08</v>
      </c>
      <c r="S180" s="1672">
        <f t="shared" si="169"/>
        <v>0.74049954956319508</v>
      </c>
      <c r="T180" s="2002"/>
      <c r="U180" s="1260">
        <f t="shared" si="170"/>
        <v>1164.5295225000002</v>
      </c>
      <c r="V180" s="1260">
        <v>1469.0766749999998</v>
      </c>
      <c r="W180" s="1260">
        <f t="shared" si="172"/>
        <v>1503.3786749999997</v>
      </c>
      <c r="X180" s="1270">
        <v>419.70599999999968</v>
      </c>
      <c r="Y180" s="1928">
        <f t="shared" si="171"/>
        <v>8.0064630710270077E-2</v>
      </c>
    </row>
    <row r="181" spans="1:25" s="1255" customFormat="1">
      <c r="A181" s="1266"/>
      <c r="B181" s="1673" t="s">
        <v>4202</v>
      </c>
      <c r="C181" s="1674" t="s">
        <v>4203</v>
      </c>
      <c r="D181" s="1660" t="s">
        <v>37</v>
      </c>
      <c r="E181" s="1522">
        <v>2830.02</v>
      </c>
      <c r="F181" s="1522">
        <v>12.05</v>
      </c>
      <c r="G181" s="1661">
        <v>12.38</v>
      </c>
      <c r="H181" s="1662">
        <f t="shared" si="162"/>
        <v>34101.741000000002</v>
      </c>
      <c r="I181" s="1662">
        <f t="shared" si="114"/>
        <v>35035.65</v>
      </c>
      <c r="J181" s="1664">
        <v>437.33807500000029</v>
      </c>
      <c r="K181" s="1665">
        <v>5414.2453685000037</v>
      </c>
      <c r="L181" s="1666">
        <f>+'[45]RESUMEN DE METRADOS '!$I$53</f>
        <v>22.806750000000005</v>
      </c>
      <c r="M181" s="1667">
        <f t="shared" si="163"/>
        <v>282.34756500000009</v>
      </c>
      <c r="N181" s="1668">
        <f t="shared" si="164"/>
        <v>460.14482500000031</v>
      </c>
      <c r="O181" s="1669">
        <f t="shared" si="165"/>
        <v>5696.5929335000046</v>
      </c>
      <c r="P181" s="1670">
        <f t="shared" si="166"/>
        <v>0.16259418430941069</v>
      </c>
      <c r="Q181" s="1497">
        <f t="shared" si="167"/>
        <v>2369.8751749999997</v>
      </c>
      <c r="R181" s="1671">
        <f t="shared" si="168"/>
        <v>29339.05</v>
      </c>
      <c r="S181" s="1672">
        <f t="shared" si="169"/>
        <v>0.83740561399602975</v>
      </c>
      <c r="T181" s="2002"/>
      <c r="U181" s="1260">
        <f t="shared" si="170"/>
        <v>710.9625524999999</v>
      </c>
      <c r="V181" s="1260">
        <v>847.24770000000001</v>
      </c>
      <c r="W181" s="1260">
        <f t="shared" si="172"/>
        <v>870.05444999999997</v>
      </c>
      <c r="X181" s="1270">
        <v>60.952749999999988</v>
      </c>
      <c r="Y181" s="1928">
        <f t="shared" si="171"/>
        <v>2.153792199348414E-2</v>
      </c>
    </row>
    <row r="182" spans="1:25" s="1255" customFormat="1">
      <c r="B182" s="1673" t="s">
        <v>4204</v>
      </c>
      <c r="C182" s="1674" t="s">
        <v>4205</v>
      </c>
      <c r="D182" s="1660" t="s">
        <v>37</v>
      </c>
      <c r="E182" s="1522">
        <v>1899.96</v>
      </c>
      <c r="F182" s="1522">
        <v>13.7</v>
      </c>
      <c r="G182" s="1661">
        <v>13.98</v>
      </c>
      <c r="H182" s="1662">
        <f t="shared" si="162"/>
        <v>26029.451999999997</v>
      </c>
      <c r="I182" s="1662">
        <f t="shared" si="114"/>
        <v>26561.439999999999</v>
      </c>
      <c r="J182" s="1664">
        <v>0</v>
      </c>
      <c r="K182" s="1665">
        <v>0</v>
      </c>
      <c r="L182" s="1666"/>
      <c r="M182" s="1667">
        <f t="shared" si="163"/>
        <v>0</v>
      </c>
      <c r="N182" s="1668">
        <f t="shared" si="164"/>
        <v>0</v>
      </c>
      <c r="O182" s="1669">
        <f t="shared" si="165"/>
        <v>0</v>
      </c>
      <c r="P182" s="1670">
        <f t="shared" si="166"/>
        <v>0</v>
      </c>
      <c r="Q182" s="1497">
        <f t="shared" si="167"/>
        <v>1899.96</v>
      </c>
      <c r="R182" s="1671">
        <f t="shared" si="168"/>
        <v>26561.439999999999</v>
      </c>
      <c r="S182" s="1672">
        <f t="shared" si="169"/>
        <v>1</v>
      </c>
      <c r="T182" s="2002"/>
      <c r="U182" s="1260"/>
      <c r="V182" s="1260"/>
      <c r="W182" s="1260"/>
      <c r="X182" s="1270"/>
    </row>
    <row r="183" spans="1:25" s="1255" customFormat="1">
      <c r="A183" s="1254"/>
      <c r="B183" s="1673" t="s">
        <v>4206</v>
      </c>
      <c r="C183" s="1674" t="s">
        <v>4207</v>
      </c>
      <c r="D183" s="1660" t="s">
        <v>37</v>
      </c>
      <c r="E183" s="1522">
        <v>85.02</v>
      </c>
      <c r="F183" s="1522">
        <v>13.7</v>
      </c>
      <c r="G183" s="1661">
        <v>13.98</v>
      </c>
      <c r="H183" s="1662">
        <f t="shared" si="162"/>
        <v>1164.7739999999999</v>
      </c>
      <c r="I183" s="1662">
        <f t="shared" si="114"/>
        <v>1188.58</v>
      </c>
      <c r="J183" s="1664">
        <v>0</v>
      </c>
      <c r="K183" s="1665">
        <v>0</v>
      </c>
      <c r="L183" s="1666"/>
      <c r="M183" s="1667">
        <f t="shared" si="163"/>
        <v>0</v>
      </c>
      <c r="N183" s="1668">
        <f t="shared" si="164"/>
        <v>0</v>
      </c>
      <c r="O183" s="1669">
        <f t="shared" si="165"/>
        <v>0</v>
      </c>
      <c r="P183" s="1670">
        <f t="shared" si="166"/>
        <v>0</v>
      </c>
      <c r="Q183" s="1497">
        <f t="shared" si="167"/>
        <v>85.02</v>
      </c>
      <c r="R183" s="1671">
        <f t="shared" si="168"/>
        <v>1188.58</v>
      </c>
      <c r="S183" s="1672">
        <f t="shared" si="169"/>
        <v>1</v>
      </c>
      <c r="T183" s="2002"/>
      <c r="U183" s="1260"/>
      <c r="V183" s="1260"/>
      <c r="W183" s="1260"/>
      <c r="X183" s="1270"/>
    </row>
    <row r="184" spans="1:25" s="1255" customFormat="1">
      <c r="A184" s="1266"/>
      <c r="B184" s="1673" t="s">
        <v>4208</v>
      </c>
      <c r="C184" s="1674" t="s">
        <v>4209</v>
      </c>
      <c r="D184" s="1660" t="s">
        <v>37</v>
      </c>
      <c r="E184" s="1522">
        <v>293.13</v>
      </c>
      <c r="F184" s="1522">
        <v>13.7</v>
      </c>
      <c r="G184" s="1661">
        <v>13.98</v>
      </c>
      <c r="H184" s="1662">
        <f t="shared" si="162"/>
        <v>4015.8809999999999</v>
      </c>
      <c r="I184" s="1662">
        <f t="shared" si="114"/>
        <v>4097.96</v>
      </c>
      <c r="J184" s="1664">
        <v>0</v>
      </c>
      <c r="K184" s="1665">
        <v>0</v>
      </c>
      <c r="L184" s="1666">
        <f>+'[45]RESUMEN DE METRADOS '!$I$54</f>
        <v>72.750000000000014</v>
      </c>
      <c r="M184" s="1667">
        <f t="shared" si="163"/>
        <v>1017.0450000000002</v>
      </c>
      <c r="N184" s="1668">
        <f t="shared" si="164"/>
        <v>72.750000000000014</v>
      </c>
      <c r="O184" s="1669">
        <f t="shared" si="165"/>
        <v>1017.0450000000002</v>
      </c>
      <c r="P184" s="1670">
        <f t="shared" si="166"/>
        <v>0.24818324239377645</v>
      </c>
      <c r="Q184" s="1497">
        <f t="shared" si="167"/>
        <v>220.38</v>
      </c>
      <c r="R184" s="1671">
        <f t="shared" si="168"/>
        <v>3080.91</v>
      </c>
      <c r="S184" s="1672">
        <f t="shared" si="169"/>
        <v>0.75181553748694463</v>
      </c>
      <c r="T184" s="2002"/>
      <c r="U184" s="1260"/>
      <c r="V184" s="1260"/>
      <c r="W184" s="1260"/>
      <c r="X184" s="1270"/>
    </row>
    <row r="185" spans="1:25" s="1255" customFormat="1">
      <c r="B185" s="2043" t="s">
        <v>774</v>
      </c>
      <c r="C185" s="2044" t="s">
        <v>3069</v>
      </c>
      <c r="D185" s="1660"/>
      <c r="E185" s="1522"/>
      <c r="F185" s="1522"/>
      <c r="G185" s="1661"/>
      <c r="H185" s="1662"/>
      <c r="I185" s="1662">
        <f t="shared" si="114"/>
        <v>0</v>
      </c>
      <c r="J185" s="1664"/>
      <c r="K185" s="1665"/>
      <c r="L185" s="1666"/>
      <c r="M185" s="1667"/>
      <c r="N185" s="1668"/>
      <c r="O185" s="1669"/>
      <c r="P185" s="1670"/>
      <c r="Q185" s="1497"/>
      <c r="R185" s="1671"/>
      <c r="S185" s="1672" t="str">
        <f t="shared" si="110"/>
        <v/>
      </c>
      <c r="T185" s="2002"/>
      <c r="U185" s="1260"/>
      <c r="V185" s="1260"/>
      <c r="W185" s="1260"/>
      <c r="X185" s="1270"/>
    </row>
    <row r="186" spans="1:25" s="1255" customFormat="1">
      <c r="A186" s="1266"/>
      <c r="B186" s="1673" t="s">
        <v>775</v>
      </c>
      <c r="C186" s="1674" t="s">
        <v>4210</v>
      </c>
      <c r="D186" s="1660" t="s">
        <v>36</v>
      </c>
      <c r="E186" s="1522">
        <v>100</v>
      </c>
      <c r="F186" s="1522">
        <v>351.52</v>
      </c>
      <c r="G186" s="1661">
        <v>362.29</v>
      </c>
      <c r="H186" s="1662">
        <f t="shared" ref="H186:H188" si="173">+E186*F186</f>
        <v>35152</v>
      </c>
      <c r="I186" s="1662">
        <f t="shared" si="114"/>
        <v>36229</v>
      </c>
      <c r="J186" s="1664">
        <v>0</v>
      </c>
      <c r="K186" s="1665">
        <v>0</v>
      </c>
      <c r="L186" s="1666"/>
      <c r="M186" s="1667">
        <f t="shared" ref="M186:M188" si="174">L186*G186</f>
        <v>0</v>
      </c>
      <c r="N186" s="1668">
        <f t="shared" ref="N186:N188" si="175">J186+L186</f>
        <v>0</v>
      </c>
      <c r="O186" s="1669">
        <f t="shared" ref="O186:O188" si="176">N186*G186</f>
        <v>0</v>
      </c>
      <c r="P186" s="1670">
        <f t="shared" ref="P186:P188" si="177">+IF(D186=0,"",O186/I186)</f>
        <v>0</v>
      </c>
      <c r="Q186" s="1497">
        <f t="shared" ref="Q186:Q188" si="178">E186-N186</f>
        <v>100</v>
      </c>
      <c r="R186" s="1671">
        <f t="shared" ref="R186:R188" si="179">ROUND((Q186*G186),2)</f>
        <v>36229</v>
      </c>
      <c r="S186" s="1672">
        <f t="shared" ref="S186:S188" si="180">+IF(I186=0,"",R186/I186)</f>
        <v>1</v>
      </c>
      <c r="T186" s="2002"/>
      <c r="U186" s="1260"/>
      <c r="V186" s="1260"/>
      <c r="W186" s="1260"/>
      <c r="X186" s="1270"/>
    </row>
    <row r="187" spans="1:25" s="1255" customFormat="1">
      <c r="A187" s="1266"/>
      <c r="B187" s="1673" t="s">
        <v>778</v>
      </c>
      <c r="C187" s="1674" t="s">
        <v>4211</v>
      </c>
      <c r="D187" s="1660" t="s">
        <v>36</v>
      </c>
      <c r="E187" s="1522">
        <v>28</v>
      </c>
      <c r="F187" s="1522">
        <v>600</v>
      </c>
      <c r="G187" s="1661">
        <v>600</v>
      </c>
      <c r="H187" s="1662">
        <f t="shared" si="173"/>
        <v>16800</v>
      </c>
      <c r="I187" s="1662">
        <f t="shared" si="114"/>
        <v>16800</v>
      </c>
      <c r="J187" s="1664">
        <v>0</v>
      </c>
      <c r="K187" s="1665">
        <v>0</v>
      </c>
      <c r="L187" s="1666"/>
      <c r="M187" s="1667">
        <f t="shared" si="174"/>
        <v>0</v>
      </c>
      <c r="N187" s="1668">
        <f t="shared" si="175"/>
        <v>0</v>
      </c>
      <c r="O187" s="1669">
        <f t="shared" si="176"/>
        <v>0</v>
      </c>
      <c r="P187" s="1670">
        <f t="shared" si="177"/>
        <v>0</v>
      </c>
      <c r="Q187" s="1497">
        <f t="shared" si="178"/>
        <v>28</v>
      </c>
      <c r="R187" s="1671">
        <f t="shared" si="179"/>
        <v>16800</v>
      </c>
      <c r="S187" s="1672">
        <f t="shared" si="180"/>
        <v>1</v>
      </c>
      <c r="T187" s="2002"/>
      <c r="U187" s="1260"/>
      <c r="V187" s="1260"/>
      <c r="W187" s="1260"/>
      <c r="X187" s="1270"/>
    </row>
    <row r="188" spans="1:25" s="1255" customFormat="1">
      <c r="B188" s="1673" t="s">
        <v>3817</v>
      </c>
      <c r="C188" s="1674" t="s">
        <v>4212</v>
      </c>
      <c r="D188" s="1660" t="s">
        <v>36</v>
      </c>
      <c r="E188" s="1522">
        <v>25</v>
      </c>
      <c r="F188" s="1522">
        <v>420.94</v>
      </c>
      <c r="G188" s="1661">
        <v>431.71</v>
      </c>
      <c r="H188" s="1662">
        <f t="shared" si="173"/>
        <v>10523.5</v>
      </c>
      <c r="I188" s="1662">
        <f t="shared" si="114"/>
        <v>10792.75</v>
      </c>
      <c r="J188" s="1664">
        <v>0</v>
      </c>
      <c r="K188" s="1665">
        <v>0</v>
      </c>
      <c r="L188" s="1666"/>
      <c r="M188" s="1667">
        <f t="shared" si="174"/>
        <v>0</v>
      </c>
      <c r="N188" s="1668">
        <f t="shared" si="175"/>
        <v>0</v>
      </c>
      <c r="O188" s="1669">
        <f t="shared" si="176"/>
        <v>0</v>
      </c>
      <c r="P188" s="1670">
        <f t="shared" si="177"/>
        <v>0</v>
      </c>
      <c r="Q188" s="1497">
        <f t="shared" si="178"/>
        <v>25</v>
      </c>
      <c r="R188" s="1671">
        <f t="shared" si="179"/>
        <v>10792.75</v>
      </c>
      <c r="S188" s="1672">
        <f t="shared" si="180"/>
        <v>1</v>
      </c>
      <c r="T188" s="2002"/>
      <c r="U188" s="1260"/>
      <c r="V188" s="1260"/>
      <c r="W188" s="1260"/>
      <c r="X188" s="1270"/>
    </row>
    <row r="189" spans="1:25" s="1255" customFormat="1">
      <c r="A189" s="1254"/>
      <c r="B189" s="2043" t="s">
        <v>781</v>
      </c>
      <c r="C189" s="2044" t="s">
        <v>4213</v>
      </c>
      <c r="D189" s="1660"/>
      <c r="E189" s="1522"/>
      <c r="F189" s="1522"/>
      <c r="G189" s="1661"/>
      <c r="H189" s="1662"/>
      <c r="I189" s="1662">
        <f t="shared" si="114"/>
        <v>0</v>
      </c>
      <c r="J189" s="1664"/>
      <c r="K189" s="1665"/>
      <c r="L189" s="1666"/>
      <c r="M189" s="1667"/>
      <c r="N189" s="1668"/>
      <c r="O189" s="1669"/>
      <c r="P189" s="1670"/>
      <c r="Q189" s="1497"/>
      <c r="R189" s="1671"/>
      <c r="S189" s="1672" t="str">
        <f t="shared" si="110"/>
        <v/>
      </c>
      <c r="T189" s="2002"/>
      <c r="U189" s="1260"/>
      <c r="V189" s="1260"/>
      <c r="W189" s="1260"/>
      <c r="X189" s="1270"/>
    </row>
    <row r="190" spans="1:25" s="1255" customFormat="1" ht="14.25" thickBot="1">
      <c r="A190" s="1266"/>
      <c r="B190" s="1683" t="s">
        <v>782</v>
      </c>
      <c r="C190" s="1684" t="s">
        <v>4214</v>
      </c>
      <c r="D190" s="1685" t="s">
        <v>36</v>
      </c>
      <c r="E190" s="1686">
        <v>165</v>
      </c>
      <c r="F190" s="1686">
        <v>39.69</v>
      </c>
      <c r="G190" s="1687">
        <v>40.340000000000003</v>
      </c>
      <c r="H190" s="1688">
        <f t="shared" ref="H190" si="181">+E190*F190</f>
        <v>6548.8499999999995</v>
      </c>
      <c r="I190" s="1688">
        <f t="shared" si="114"/>
        <v>6656.1</v>
      </c>
      <c r="J190" s="1689">
        <v>0</v>
      </c>
      <c r="K190" s="1690">
        <v>0</v>
      </c>
      <c r="L190" s="1691"/>
      <c r="M190" s="1692">
        <f t="shared" ref="M190" si="182">L190*G190</f>
        <v>0</v>
      </c>
      <c r="N190" s="1693">
        <f t="shared" ref="N190" si="183">J190+L190</f>
        <v>0</v>
      </c>
      <c r="O190" s="1694">
        <f>N190*G190</f>
        <v>0</v>
      </c>
      <c r="P190" s="1695">
        <f>+IF(D190=0,"",O190/I190)</f>
        <v>0</v>
      </c>
      <c r="Q190" s="1696">
        <f t="shared" ref="Q190" si="184">E190-N190</f>
        <v>165</v>
      </c>
      <c r="R190" s="1697">
        <f>ROUND((Q190*G190),2)</f>
        <v>6656.1</v>
      </c>
      <c r="S190" s="1698">
        <f>+IF(I190=0,"",R190/I190)</f>
        <v>1</v>
      </c>
      <c r="T190" s="2002"/>
      <c r="U190" s="1260"/>
      <c r="V190" s="1260"/>
      <c r="W190" s="1260"/>
      <c r="X190" s="1270"/>
    </row>
    <row r="191" spans="1:25" s="496" customFormat="1" thickBot="1">
      <c r="B191" s="2074"/>
      <c r="C191" s="2111" t="s">
        <v>59</v>
      </c>
      <c r="D191" s="2112"/>
      <c r="E191" s="2076"/>
      <c r="F191" s="2076"/>
      <c r="G191" s="2076"/>
      <c r="H191" s="2077">
        <f>(SUM(H17:H190))</f>
        <v>2866473.4419000009</v>
      </c>
      <c r="I191" s="2105">
        <f>(SUM(I17:I190))</f>
        <v>2917415.5299999993</v>
      </c>
      <c r="J191" s="2103">
        <f>+K191/I191</f>
        <v>0.22052636090358382</v>
      </c>
      <c r="K191" s="2104">
        <f>SUM(K17:K190)</f>
        <v>643367.03007450013</v>
      </c>
      <c r="L191" s="2102">
        <f>M191/I191</f>
        <v>5.9034198922702008E-2</v>
      </c>
      <c r="M191" s="2099">
        <f>SUM(M17:M190)</f>
        <v>172227.28873820006</v>
      </c>
      <c r="N191" s="2100">
        <f>+O191/I191</f>
        <v>0.27956055982628575</v>
      </c>
      <c r="O191" s="2082">
        <f>SUM(O17:O190)</f>
        <v>815594.31881269999</v>
      </c>
      <c r="P191" s="2101" t="str">
        <f t="shared" ref="P191:P197" si="185">+IF(D191=0,"",O191/H191)</f>
        <v/>
      </c>
      <c r="Q191" s="2083">
        <f>+R191/I191</f>
        <v>0.72043943976674463</v>
      </c>
      <c r="R191" s="2098">
        <f>SUM(R17:R190)</f>
        <v>2101821.21</v>
      </c>
      <c r="S191" s="2079"/>
      <c r="T191" s="1517"/>
      <c r="U191" s="497">
        <f>+R191+O191</f>
        <v>2917415.5288127</v>
      </c>
      <c r="V191" s="497"/>
      <c r="W191" s="497"/>
      <c r="X191" s="1201">
        <f>+H191</f>
        <v>2866473.4419000009</v>
      </c>
      <c r="Y191" s="497">
        <f>+U191-X191</f>
        <v>50942.086912699044</v>
      </c>
    </row>
    <row r="192" spans="1:25" s="16" customFormat="1" ht="12.75">
      <c r="B192" s="2088"/>
      <c r="C192" s="2089" t="s">
        <v>256</v>
      </c>
      <c r="D192" s="2090"/>
      <c r="E192" s="2091"/>
      <c r="F192" s="2091"/>
      <c r="G192" s="2091"/>
      <c r="H192" s="2073">
        <v>119729.76343418393</v>
      </c>
      <c r="I192" s="2073">
        <v>119729.76343418393</v>
      </c>
      <c r="J192" s="2072"/>
      <c r="K192" s="2072">
        <v>16227.719360701567</v>
      </c>
      <c r="L192" s="2092"/>
      <c r="M192" s="2072">
        <f>+L$191*I192</f>
        <v>7068.1506715416672</v>
      </c>
      <c r="N192" s="2092"/>
      <c r="O192" s="2093">
        <f t="shared" ref="O192:O196" si="186">K192+M192</f>
        <v>23295.870032243234</v>
      </c>
      <c r="P192" s="2094" t="str">
        <f t="shared" si="185"/>
        <v/>
      </c>
      <c r="Q192" s="2095"/>
      <c r="R192" s="2096">
        <f>I192-O192</f>
        <v>96433.893401940702</v>
      </c>
      <c r="S192" s="2097"/>
      <c r="T192" s="2003"/>
      <c r="U192" s="23"/>
      <c r="V192" s="23"/>
      <c r="W192" s="23"/>
      <c r="X192" s="462"/>
    </row>
    <row r="193" spans="2:25" s="496" customFormat="1" ht="12.75">
      <c r="B193" s="1118"/>
      <c r="C193" s="1190" t="s">
        <v>1817</v>
      </c>
      <c r="D193" s="1191"/>
      <c r="E193" s="1185"/>
      <c r="F193" s="1185"/>
      <c r="G193" s="1185"/>
      <c r="H193" s="1186">
        <v>27075.04616385707</v>
      </c>
      <c r="I193" s="1186">
        <v>27075.04616385707</v>
      </c>
      <c r="J193" s="1187"/>
      <c r="K193" s="582">
        <v>3669.649368902612</v>
      </c>
      <c r="L193" s="1483"/>
      <c r="M193" s="582">
        <f t="shared" ref="M193:M194" si="187">+L$191*I193</f>
        <v>1598.3536610784781</v>
      </c>
      <c r="N193" s="1188"/>
      <c r="O193" s="1534">
        <f t="shared" si="186"/>
        <v>5268.0030299810896</v>
      </c>
      <c r="P193" s="1700" t="str">
        <f t="shared" si="185"/>
        <v/>
      </c>
      <c r="Q193" s="1481"/>
      <c r="R193" s="1701">
        <f t="shared" ref="R193:R196" si="188">I193-O193</f>
        <v>21807.043133875981</v>
      </c>
      <c r="S193" s="1189"/>
      <c r="T193" s="2004"/>
      <c r="U193" s="497"/>
      <c r="V193" s="497"/>
      <c r="W193" s="497"/>
      <c r="X193" s="1201"/>
    </row>
    <row r="194" spans="2:25" s="496" customFormat="1" ht="12.75">
      <c r="B194" s="1118"/>
      <c r="C194" s="1190" t="s">
        <v>3918</v>
      </c>
      <c r="D194" s="1191"/>
      <c r="E194" s="1185"/>
      <c r="F194" s="1185"/>
      <c r="G194" s="1185"/>
      <c r="H194" s="1186">
        <v>4744.3166181431379</v>
      </c>
      <c r="I194" s="1186">
        <v>4744.3166181431379</v>
      </c>
      <c r="J194" s="1187"/>
      <c r="K194" s="582">
        <v>643.02673311353419</v>
      </c>
      <c r="L194" s="1483"/>
      <c r="M194" s="582">
        <f t="shared" si="187"/>
        <v>280.07693098774286</v>
      </c>
      <c r="N194" s="1188"/>
      <c r="O194" s="1534">
        <f t="shared" si="186"/>
        <v>923.10366410127699</v>
      </c>
      <c r="P194" s="1700"/>
      <c r="Q194" s="1481"/>
      <c r="R194" s="1701">
        <f t="shared" si="188"/>
        <v>3821.2129540418609</v>
      </c>
      <c r="S194" s="1189"/>
      <c r="T194" s="2004"/>
      <c r="U194" s="497"/>
      <c r="V194" s="497"/>
      <c r="W194" s="497"/>
      <c r="X194" s="1201"/>
    </row>
    <row r="195" spans="2:25" s="496" customFormat="1" ht="12.75">
      <c r="B195" s="1118"/>
      <c r="C195" s="1192" t="s">
        <v>3573</v>
      </c>
      <c r="D195" s="1193"/>
      <c r="E195" s="1193"/>
      <c r="F195" s="1193"/>
      <c r="G195" s="1193"/>
      <c r="H195" s="1194">
        <f>ROUND(SUM(H191:H194),2)</f>
        <v>3018022.57</v>
      </c>
      <c r="I195" s="1194">
        <f>ROUND(SUM(I191:I194),2)</f>
        <v>3068964.66</v>
      </c>
      <c r="J195" s="1194"/>
      <c r="K195" s="1195">
        <f>SUM(K191:K194)</f>
        <v>663907.42553721799</v>
      </c>
      <c r="L195" s="581"/>
      <c r="M195" s="583">
        <f>SUM(M191:M194)</f>
        <v>181173.87000180793</v>
      </c>
      <c r="N195" s="1194"/>
      <c r="O195" s="1702">
        <f>SUM(O191:O194)</f>
        <v>845081.29553902557</v>
      </c>
      <c r="P195" s="1700" t="str">
        <f t="shared" si="185"/>
        <v/>
      </c>
      <c r="Q195" s="1481"/>
      <c r="R195" s="1703">
        <f>SUM(R191:R194)</f>
        <v>2223883.3594898586</v>
      </c>
      <c r="S195" s="1197"/>
      <c r="T195" s="1517"/>
      <c r="U195" s="497" t="e">
        <f>+#REF!-R191</f>
        <v>#REF!</v>
      </c>
      <c r="V195" s="497"/>
      <c r="W195" s="497"/>
      <c r="X195" s="1201"/>
    </row>
    <row r="196" spans="2:25" s="496" customFormat="1" ht="12.75">
      <c r="B196" s="1118"/>
      <c r="C196" s="1190" t="s">
        <v>4215</v>
      </c>
      <c r="D196" s="1191"/>
      <c r="E196" s="1185"/>
      <c r="F196" s="1185"/>
      <c r="G196" s="1185"/>
      <c r="H196" s="1186">
        <v>37719.259999999995</v>
      </c>
      <c r="I196" s="1186">
        <v>37719.259999999995</v>
      </c>
      <c r="J196" s="1187"/>
      <c r="K196" s="582">
        <v>5112.3258596414853</v>
      </c>
      <c r="L196" s="1483"/>
      <c r="M196" s="582">
        <f>+L191*I196</f>
        <v>2226.7262980571168</v>
      </c>
      <c r="N196" s="1188"/>
      <c r="O196" s="1534">
        <f t="shared" si="186"/>
        <v>7339.0521576986021</v>
      </c>
      <c r="P196" s="1700"/>
      <c r="Q196" s="1481"/>
      <c r="R196" s="1701">
        <f t="shared" si="188"/>
        <v>30380.207842301392</v>
      </c>
      <c r="S196" s="1189"/>
      <c r="T196" s="2004"/>
      <c r="U196" s="497"/>
      <c r="V196" s="497"/>
      <c r="W196" s="497"/>
      <c r="X196" s="1201"/>
    </row>
    <row r="197" spans="2:25" s="1096" customFormat="1" ht="14.25" thickBot="1">
      <c r="B197" s="1119"/>
      <c r="C197" s="1120" t="s">
        <v>61</v>
      </c>
      <c r="D197" s="1120"/>
      <c r="E197" s="1120"/>
      <c r="F197" s="1120"/>
      <c r="G197" s="1120"/>
      <c r="H197" s="1121">
        <f>SUM(H195:H195)+H196</f>
        <v>3055741.8299999996</v>
      </c>
      <c r="I197" s="1121">
        <f>SUM(I195:I195)+I196</f>
        <v>3106683.92</v>
      </c>
      <c r="J197" s="1124">
        <f>+K197/I197</f>
        <v>0.2153485094154218</v>
      </c>
      <c r="K197" s="1122">
        <f>SUM(K195:K196)</f>
        <v>669019.75139685953</v>
      </c>
      <c r="L197" s="1485">
        <f>M197/I197</f>
        <v>5.9034198850800711E-2</v>
      </c>
      <c r="M197" s="1268">
        <f>SUM(M195:M196)</f>
        <v>183400.59629986505</v>
      </c>
      <c r="N197" s="1124">
        <f>O197/I197</f>
        <v>0.27438270826622235</v>
      </c>
      <c r="O197" s="1704">
        <f>SUM(O195:O196)</f>
        <v>852420.34769672411</v>
      </c>
      <c r="P197" s="1705" t="str">
        <f t="shared" si="185"/>
        <v/>
      </c>
      <c r="Q197" s="1124">
        <f>+R197/I197</f>
        <v>0.72561729099238392</v>
      </c>
      <c r="R197" s="1706">
        <f>ROUND(SUM(R195:R196),2)</f>
        <v>2254263.5699999998</v>
      </c>
      <c r="S197" s="1488"/>
      <c r="T197" s="2005"/>
      <c r="U197" s="497">
        <f>+H197</f>
        <v>3055741.8299999996</v>
      </c>
      <c r="V197" s="497"/>
      <c r="W197" s="497"/>
      <c r="X197" s="1201">
        <f>+O197+R197</f>
        <v>3106683.9176967237</v>
      </c>
      <c r="Y197" s="497">
        <f>+U197-X197</f>
        <v>-50942.087696724106</v>
      </c>
    </row>
    <row r="198" spans="2:25" s="16" customFormat="1" ht="12.75">
      <c r="D198" s="74"/>
      <c r="E198" s="462"/>
      <c r="F198" s="462"/>
      <c r="G198" s="462"/>
      <c r="J198" s="1079"/>
      <c r="K198" s="74"/>
      <c r="L198" s="1275"/>
      <c r="M198" s="462"/>
      <c r="N198" s="462"/>
      <c r="O198" s="462"/>
      <c r="P198" s="462"/>
      <c r="Q198" s="1510"/>
      <c r="R198" s="23"/>
    </row>
    <row r="199" spans="2:25" s="16" customFormat="1" ht="15">
      <c r="D199" s="74"/>
      <c r="E199" s="462"/>
      <c r="F199" s="462"/>
      <c r="G199" s="462"/>
      <c r="H199" s="23"/>
      <c r="I199" s="1707">
        <f>I191-H191</f>
        <v>50942.088099998422</v>
      </c>
      <c r="J199" s="1079"/>
      <c r="K199" s="1624"/>
      <c r="L199" s="1275"/>
      <c r="M199" s="1512"/>
      <c r="N199" s="462">
        <f>+K191+M191</f>
        <v>815594.31881270022</v>
      </c>
      <c r="O199" s="462">
        <f>+R191+O191</f>
        <v>2917415.5288127</v>
      </c>
      <c r="P199" s="462"/>
      <c r="Q199" s="1513"/>
      <c r="R199" s="23"/>
    </row>
    <row r="200" spans="2:25" s="16" customFormat="1">
      <c r="D200" s="1514"/>
      <c r="E200" s="462"/>
      <c r="F200" s="462">
        <v>457948.8995</v>
      </c>
      <c r="G200" s="462"/>
      <c r="H200" s="23">
        <v>15398736.550000001</v>
      </c>
      <c r="I200" s="23"/>
      <c r="J200" s="1080"/>
      <c r="K200" s="1624">
        <v>616776.95999999996</v>
      </c>
      <c r="L200" s="1275"/>
      <c r="M200" s="462"/>
      <c r="N200" s="1512">
        <f>+M201-N191</f>
        <v>2.0439440173714241E-2</v>
      </c>
      <c r="O200" s="462">
        <f>+N200*H191</f>
        <v>58589.112425255815</v>
      </c>
      <c r="P200" s="462"/>
      <c r="Q200" s="1513"/>
      <c r="S200" s="167"/>
      <c r="T200" s="167"/>
    </row>
    <row r="201" spans="2:25" s="16" customFormat="1">
      <c r="D201" s="74">
        <v>6.4802882051551394E-2</v>
      </c>
      <c r="E201" s="462"/>
      <c r="F201" s="462"/>
      <c r="G201" s="462"/>
      <c r="H201" s="23"/>
      <c r="I201" s="23"/>
      <c r="J201" s="1080"/>
      <c r="K201" s="1515"/>
      <c r="L201" s="1516"/>
      <c r="M201" s="462">
        <v>0.3</v>
      </c>
      <c r="N201" s="462"/>
      <c r="O201" s="462"/>
      <c r="P201" s="462"/>
      <c r="Q201" s="1513"/>
      <c r="R201" s="23"/>
      <c r="S201" s="1517">
        <f>+R197+H197</f>
        <v>5310005.3999999994</v>
      </c>
      <c r="T201" s="1517"/>
    </row>
    <row r="202" spans="2:25" s="16" customFormat="1">
      <c r="D202" s="1708">
        <f>+H191*D201</f>
        <v>185755.74035935031</v>
      </c>
      <c r="E202" s="74"/>
      <c r="F202" s="74"/>
      <c r="G202" s="74"/>
      <c r="H202" s="23">
        <f>+H200-H191</f>
        <v>12532263.108100001</v>
      </c>
      <c r="I202" s="23"/>
      <c r="J202" s="1080"/>
      <c r="K202" s="1253">
        <f>+K200-K192</f>
        <v>600549.24063929834</v>
      </c>
      <c r="L202" s="1275"/>
      <c r="M202" s="462"/>
      <c r="N202" s="462"/>
      <c r="O202" s="462"/>
      <c r="P202" s="462"/>
      <c r="Q202" s="1513"/>
    </row>
    <row r="203" spans="2:25">
      <c r="F203" s="1088">
        <f>+H192/H191</f>
        <v>4.1769011944803779E-2</v>
      </c>
      <c r="H203" s="1518"/>
      <c r="I203" s="1518"/>
      <c r="J203" s="1518"/>
      <c r="K203" s="1178"/>
      <c r="M203" s="1519" t="e">
        <f>SUM(#REF!)</f>
        <v>#REF!</v>
      </c>
      <c r="N203" s="1519" t="e">
        <f>SUM(#REF!)</f>
        <v>#REF!</v>
      </c>
      <c r="O203" s="1519"/>
      <c r="P203" s="1519"/>
      <c r="Q203" s="1513"/>
      <c r="X203" s="1083"/>
    </row>
    <row r="204" spans="2:25">
      <c r="F204" s="1088">
        <f>+H193/H191</f>
        <v>9.4454202045251689E-3</v>
      </c>
      <c r="H204" s="1518"/>
      <c r="I204" s="1518"/>
      <c r="J204" s="1518"/>
      <c r="K204" s="1178">
        <v>3211.18999999994</v>
      </c>
      <c r="L204" s="1276"/>
      <c r="M204" s="1519"/>
      <c r="N204" s="1519"/>
      <c r="O204" s="1519"/>
      <c r="P204" s="1519"/>
      <c r="Q204" s="1513"/>
      <c r="X204" s="1083"/>
    </row>
    <row r="205" spans="2:25">
      <c r="H205" s="1518"/>
      <c r="I205" s="1518"/>
      <c r="J205" s="1518"/>
      <c r="K205" s="1179"/>
      <c r="L205" s="1276"/>
      <c r="M205" s="1519"/>
      <c r="N205" s="1512" t="e">
        <f>+N203/H191</f>
        <v>#REF!</v>
      </c>
      <c r="O205" s="1519"/>
      <c r="P205" s="1519"/>
      <c r="Q205" s="1513"/>
      <c r="X205" s="1083"/>
    </row>
    <row r="206" spans="2:25" ht="15.75">
      <c r="D206" s="1088"/>
      <c r="H206" s="1518"/>
      <c r="I206" s="1518"/>
      <c r="J206" s="1518"/>
      <c r="K206" s="1161"/>
      <c r="L206" s="1276"/>
      <c r="M206" s="1519">
        <f>SUM(M153:M190)</f>
        <v>172227.28873820006</v>
      </c>
      <c r="N206" s="1519"/>
      <c r="O206" s="1519"/>
      <c r="P206" s="1519"/>
      <c r="Q206" s="1513"/>
      <c r="X206" s="1083"/>
    </row>
    <row r="207" spans="2:25">
      <c r="H207" s="1518"/>
      <c r="I207" s="1518"/>
      <c r="J207" s="1518"/>
      <c r="K207" s="16"/>
      <c r="L207" s="1276"/>
      <c r="M207" s="1519"/>
      <c r="N207" s="1519"/>
      <c r="O207" s="1519"/>
      <c r="P207" s="1519"/>
      <c r="Q207" s="1513"/>
      <c r="X207" s="1083"/>
    </row>
    <row r="208" spans="2:25">
      <c r="H208" s="1518"/>
      <c r="I208" s="1518"/>
      <c r="J208" s="1518"/>
      <c r="K208" s="1518"/>
      <c r="L208" s="1276"/>
      <c r="M208" s="1519"/>
      <c r="N208" s="1519"/>
      <c r="O208" s="1519"/>
      <c r="P208" s="1519"/>
      <c r="Q208" s="1513"/>
      <c r="X208" s="1083"/>
    </row>
    <row r="209" spans="8:24">
      <c r="H209" s="1518"/>
      <c r="I209" s="1518"/>
      <c r="J209" s="1518"/>
      <c r="K209" s="1518"/>
      <c r="L209" s="1276"/>
      <c r="M209" s="1519"/>
      <c r="N209" s="1519"/>
      <c r="O209" s="1519"/>
      <c r="P209" s="1519"/>
      <c r="Q209" s="1513"/>
      <c r="X209" s="1083"/>
    </row>
    <row r="210" spans="8:24">
      <c r="H210" s="1518"/>
      <c r="I210" s="1518"/>
      <c r="J210" s="1518"/>
      <c r="K210" s="1518"/>
      <c r="L210" s="1276"/>
      <c r="M210" s="1519"/>
      <c r="N210" s="1519"/>
      <c r="O210" s="1519"/>
      <c r="P210" s="1519"/>
      <c r="Q210" s="1513"/>
      <c r="X210" s="1083"/>
    </row>
    <row r="211" spans="8:24">
      <c r="H211" s="1518"/>
      <c r="I211" s="1518"/>
      <c r="J211" s="1518"/>
      <c r="K211" s="1518"/>
      <c r="L211" s="1276"/>
      <c r="M211" s="1519"/>
      <c r="N211" s="1519"/>
      <c r="O211" s="1519"/>
      <c r="P211" s="1519"/>
      <c r="Q211" s="1513"/>
      <c r="X211" s="1083"/>
    </row>
    <row r="212" spans="8:24">
      <c r="H212" s="1518"/>
      <c r="I212" s="1518"/>
      <c r="J212" s="1518"/>
      <c r="K212" s="1518"/>
      <c r="L212" s="1276"/>
      <c r="M212" s="1519"/>
      <c r="N212" s="1519"/>
      <c r="O212" s="1519"/>
      <c r="P212" s="1519"/>
      <c r="Q212" s="1513"/>
      <c r="X212" s="1083"/>
    </row>
    <row r="213" spans="8:24">
      <c r="H213" s="1518"/>
      <c r="I213" s="1518"/>
      <c r="J213" s="1518"/>
      <c r="K213" s="1520"/>
      <c r="L213" s="1276"/>
      <c r="M213" s="1519"/>
      <c r="N213" s="1519"/>
      <c r="O213" s="1519"/>
      <c r="P213" s="1519"/>
      <c r="Q213" s="1513"/>
      <c r="X213" s="1083"/>
    </row>
    <row r="214" spans="8:24">
      <c r="H214" s="1518"/>
      <c r="I214" s="1518"/>
      <c r="J214" s="1518"/>
      <c r="K214" s="1518"/>
      <c r="L214" s="1276"/>
      <c r="M214" s="1519"/>
      <c r="N214" s="1519"/>
      <c r="O214" s="1519"/>
      <c r="P214" s="1519"/>
      <c r="Q214" s="1513"/>
      <c r="X214" s="1083"/>
    </row>
  </sheetData>
  <autoFilter ref="C1:C214" xr:uid="{00000000-0009-0000-0000-00001F000000}"/>
  <mergeCells count="30">
    <mergeCell ref="B11:B14"/>
    <mergeCell ref="C11:C14"/>
    <mergeCell ref="D11:D14"/>
    <mergeCell ref="E11:H12"/>
    <mergeCell ref="J11:P11"/>
    <mergeCell ref="B1:S1"/>
    <mergeCell ref="B2:S2"/>
    <mergeCell ref="B3:S3"/>
    <mergeCell ref="B4:S4"/>
    <mergeCell ref="R6:S6"/>
    <mergeCell ref="Q11:S12"/>
    <mergeCell ref="J12:K12"/>
    <mergeCell ref="L12:M12"/>
    <mergeCell ref="N12:P12"/>
    <mergeCell ref="E13:E14"/>
    <mergeCell ref="F13:F14"/>
    <mergeCell ref="G13:G14"/>
    <mergeCell ref="H13:H14"/>
    <mergeCell ref="I13:I14"/>
    <mergeCell ref="J13:J14"/>
    <mergeCell ref="Q13:Q14"/>
    <mergeCell ref="R13:R14"/>
    <mergeCell ref="S13:S14"/>
    <mergeCell ref="X13:Z13"/>
    <mergeCell ref="K13:K14"/>
    <mergeCell ref="L13:L14"/>
    <mergeCell ref="M13:M14"/>
    <mergeCell ref="N13:N14"/>
    <mergeCell ref="O13:O14"/>
    <mergeCell ref="P13:P14"/>
  </mergeCells>
  <conditionalFormatting sqref="S198:T1048576 S6:T17 S2:T3 S22:T196 S18:S21">
    <cfRule type="cellIs" dxfId="6" priority="3" operator="lessThan">
      <formula>0</formula>
    </cfRule>
  </conditionalFormatting>
  <conditionalFormatting sqref="Q192:Q196 Q198:Q1048576 Q6:Q190 Q2:Q3">
    <cfRule type="cellIs" dxfId="5" priority="1" operator="lessThan">
      <formula>0</formula>
    </cfRule>
    <cfRule type="cellIs" dxfId="4" priority="2" operator="lessThan">
      <formula>0</formula>
    </cfRule>
  </conditionalFormatting>
  <pageMargins left="0.25" right="0.25" top="0.75" bottom="0.75" header="0.3" footer="0.3"/>
  <pageSetup paperSize="9" scale="57" fitToHeight="0" orientation="landscape" r:id="rId1"/>
  <rowBreaks count="2" manualBreakCount="2">
    <brk id="63" min="1" max="18" man="1"/>
    <brk id="198" min="1" max="17" man="1"/>
  </rowBreak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002060"/>
    <pageSetUpPr fitToPage="1"/>
  </sheetPr>
  <dimension ref="A1:AA283"/>
  <sheetViews>
    <sheetView view="pageBreakPreview" topLeftCell="A9" zoomScale="80" zoomScaleNormal="70" zoomScaleSheetLayoutView="80" workbookViewId="0">
      <pane ySplit="1005" topLeftCell="A244" activePane="bottomLeft"/>
      <selection activeCell="C203" sqref="C203"/>
      <selection pane="bottomLeft" activeCell="A259" sqref="A259:XFD259"/>
    </sheetView>
  </sheetViews>
  <sheetFormatPr baseColWidth="10" defaultRowHeight="13.5"/>
  <cols>
    <col min="1" max="1" width="4.140625" style="1083" customWidth="1"/>
    <col min="2" max="2" width="11.140625" style="1083" customWidth="1"/>
    <col min="3" max="3" width="51" style="1092" customWidth="1"/>
    <col min="4" max="4" width="10.5703125" style="1085" customWidth="1"/>
    <col min="5" max="5" width="10.5703125" style="1093" customWidth="1"/>
    <col min="6" max="6" width="10.5703125" style="1088" hidden="1" customWidth="1"/>
    <col min="7" max="7" width="13.28515625" style="1088" customWidth="1"/>
    <col min="8" max="8" width="13.85546875" style="1093" hidden="1" customWidth="1"/>
    <col min="9" max="9" width="13.7109375" style="1093" customWidth="1"/>
    <col min="10" max="11" width="12.5703125" style="1085" customWidth="1"/>
    <col min="12" max="12" width="12.5703125" style="1274" customWidth="1"/>
    <col min="13" max="14" width="12.5703125" style="1085" customWidth="1"/>
    <col min="15" max="15" width="14.5703125" style="1085" customWidth="1"/>
    <col min="16" max="16" width="12.5703125" style="1085" customWidth="1"/>
    <col min="17" max="17" width="12.5703125" style="1083" customWidth="1"/>
    <col min="18" max="18" width="14.5703125" style="1083" customWidth="1"/>
    <col min="19" max="19" width="12.5703125" style="1083" customWidth="1"/>
    <col min="20" max="20" width="13" style="1083" bestFit="1" customWidth="1"/>
    <col min="21" max="22" width="13" style="1083" customWidth="1"/>
    <col min="23" max="23" width="10.85546875" style="1085"/>
    <col min="24" max="24" width="10.85546875" style="1083"/>
    <col min="25" max="25" width="14.140625" style="1083" customWidth="1"/>
    <col min="26" max="261" width="10.85546875" style="1083"/>
    <col min="262" max="262" width="8.85546875" style="1083" customWidth="1"/>
    <col min="263" max="263" width="50" style="1083" customWidth="1"/>
    <col min="264" max="264" width="6.42578125" style="1083" bestFit="1" customWidth="1"/>
    <col min="265" max="265" width="8.85546875" style="1083" customWidth="1"/>
    <col min="266" max="266" width="8.5703125" style="1083" customWidth="1"/>
    <col min="267" max="267" width="11.42578125" style="1083" bestFit="1" customWidth="1"/>
    <col min="268" max="268" width="7.85546875" style="1083" bestFit="1" customWidth="1"/>
    <col min="269" max="269" width="11.5703125" style="1083" bestFit="1" customWidth="1"/>
    <col min="270" max="270" width="8" style="1083" bestFit="1" customWidth="1"/>
    <col min="271" max="271" width="11.5703125" style="1083" bestFit="1" customWidth="1"/>
    <col min="272" max="272" width="8.140625" style="1083" bestFit="1" customWidth="1"/>
    <col min="273" max="273" width="11.5703125" style="1083" bestFit="1" customWidth="1"/>
    <col min="274" max="274" width="8.42578125" style="1083" customWidth="1"/>
    <col min="275" max="275" width="7.42578125" style="1083" bestFit="1" customWidth="1"/>
    <col min="276" max="276" width="11.5703125" style="1083" bestFit="1" customWidth="1"/>
    <col min="277" max="277" width="8.140625" style="1083" customWidth="1"/>
    <col min="278" max="278" width="13" style="1083" bestFit="1" customWidth="1"/>
    <col min="279" max="517" width="10.85546875" style="1083"/>
    <col min="518" max="518" width="8.85546875" style="1083" customWidth="1"/>
    <col min="519" max="519" width="50" style="1083" customWidth="1"/>
    <col min="520" max="520" width="6.42578125" style="1083" bestFit="1" customWidth="1"/>
    <col min="521" max="521" width="8.85546875" style="1083" customWidth="1"/>
    <col min="522" max="522" width="8.5703125" style="1083" customWidth="1"/>
    <col min="523" max="523" width="11.42578125" style="1083" bestFit="1" customWidth="1"/>
    <col min="524" max="524" width="7.85546875" style="1083" bestFit="1" customWidth="1"/>
    <col min="525" max="525" width="11.5703125" style="1083" bestFit="1" customWidth="1"/>
    <col min="526" max="526" width="8" style="1083" bestFit="1" customWidth="1"/>
    <col min="527" max="527" width="11.5703125" style="1083" bestFit="1" customWidth="1"/>
    <col min="528" max="528" width="8.140625" style="1083" bestFit="1" customWidth="1"/>
    <col min="529" max="529" width="11.5703125" style="1083" bestFit="1" customWidth="1"/>
    <col min="530" max="530" width="8.42578125" style="1083" customWidth="1"/>
    <col min="531" max="531" width="7.42578125" style="1083" bestFit="1" customWidth="1"/>
    <col min="532" max="532" width="11.5703125" style="1083" bestFit="1" customWidth="1"/>
    <col min="533" max="533" width="8.140625" style="1083" customWidth="1"/>
    <col min="534" max="534" width="13" style="1083" bestFit="1" customWidth="1"/>
    <col min="535" max="773" width="10.85546875" style="1083"/>
    <col min="774" max="774" width="8.85546875" style="1083" customWidth="1"/>
    <col min="775" max="775" width="50" style="1083" customWidth="1"/>
    <col min="776" max="776" width="6.42578125" style="1083" bestFit="1" customWidth="1"/>
    <col min="777" max="777" width="8.85546875" style="1083" customWidth="1"/>
    <col min="778" max="778" width="8.5703125" style="1083" customWidth="1"/>
    <col min="779" max="779" width="11.42578125" style="1083" bestFit="1" customWidth="1"/>
    <col min="780" max="780" width="7.85546875" style="1083" bestFit="1" customWidth="1"/>
    <col min="781" max="781" width="11.5703125" style="1083" bestFit="1" customWidth="1"/>
    <col min="782" max="782" width="8" style="1083" bestFit="1" customWidth="1"/>
    <col min="783" max="783" width="11.5703125" style="1083" bestFit="1" customWidth="1"/>
    <col min="784" max="784" width="8.140625" style="1083" bestFit="1" customWidth="1"/>
    <col min="785" max="785" width="11.5703125" style="1083" bestFit="1" customWidth="1"/>
    <col min="786" max="786" width="8.42578125" style="1083" customWidth="1"/>
    <col min="787" max="787" width="7.42578125" style="1083" bestFit="1" customWidth="1"/>
    <col min="788" max="788" width="11.5703125" style="1083" bestFit="1" customWidth="1"/>
    <col min="789" max="789" width="8.140625" style="1083" customWidth="1"/>
    <col min="790" max="790" width="13" style="1083" bestFit="1" customWidth="1"/>
    <col min="791" max="1029" width="10.85546875" style="1083"/>
    <col min="1030" max="1030" width="8.85546875" style="1083" customWidth="1"/>
    <col min="1031" max="1031" width="50" style="1083" customWidth="1"/>
    <col min="1032" max="1032" width="6.42578125" style="1083" bestFit="1" customWidth="1"/>
    <col min="1033" max="1033" width="8.85546875" style="1083" customWidth="1"/>
    <col min="1034" max="1034" width="8.5703125" style="1083" customWidth="1"/>
    <col min="1035" max="1035" width="11.42578125" style="1083" bestFit="1" customWidth="1"/>
    <col min="1036" max="1036" width="7.85546875" style="1083" bestFit="1" customWidth="1"/>
    <col min="1037" max="1037" width="11.5703125" style="1083" bestFit="1" customWidth="1"/>
    <col min="1038" max="1038" width="8" style="1083" bestFit="1" customWidth="1"/>
    <col min="1039" max="1039" width="11.5703125" style="1083" bestFit="1" customWidth="1"/>
    <col min="1040" max="1040" width="8.140625" style="1083" bestFit="1" customWidth="1"/>
    <col min="1041" max="1041" width="11.5703125" style="1083" bestFit="1" customWidth="1"/>
    <col min="1042" max="1042" width="8.42578125" style="1083" customWidth="1"/>
    <col min="1043" max="1043" width="7.42578125" style="1083" bestFit="1" customWidth="1"/>
    <col min="1044" max="1044" width="11.5703125" style="1083" bestFit="1" customWidth="1"/>
    <col min="1045" max="1045" width="8.140625" style="1083" customWidth="1"/>
    <col min="1046" max="1046" width="13" style="1083" bestFit="1" customWidth="1"/>
    <col min="1047" max="1285" width="10.85546875" style="1083"/>
    <col min="1286" max="1286" width="8.85546875" style="1083" customWidth="1"/>
    <col min="1287" max="1287" width="50" style="1083" customWidth="1"/>
    <col min="1288" max="1288" width="6.42578125" style="1083" bestFit="1" customWidth="1"/>
    <col min="1289" max="1289" width="8.85546875" style="1083" customWidth="1"/>
    <col min="1290" max="1290" width="8.5703125" style="1083" customWidth="1"/>
    <col min="1291" max="1291" width="11.42578125" style="1083" bestFit="1" customWidth="1"/>
    <col min="1292" max="1292" width="7.85546875" style="1083" bestFit="1" customWidth="1"/>
    <col min="1293" max="1293" width="11.5703125" style="1083" bestFit="1" customWidth="1"/>
    <col min="1294" max="1294" width="8" style="1083" bestFit="1" customWidth="1"/>
    <col min="1295" max="1295" width="11.5703125" style="1083" bestFit="1" customWidth="1"/>
    <col min="1296" max="1296" width="8.140625" style="1083" bestFit="1" customWidth="1"/>
    <col min="1297" max="1297" width="11.5703125" style="1083" bestFit="1" customWidth="1"/>
    <col min="1298" max="1298" width="8.42578125" style="1083" customWidth="1"/>
    <col min="1299" max="1299" width="7.42578125" style="1083" bestFit="1" customWidth="1"/>
    <col min="1300" max="1300" width="11.5703125" style="1083" bestFit="1" customWidth="1"/>
    <col min="1301" max="1301" width="8.140625" style="1083" customWidth="1"/>
    <col min="1302" max="1302" width="13" style="1083" bestFit="1" customWidth="1"/>
    <col min="1303" max="1541" width="10.85546875" style="1083"/>
    <col min="1542" max="1542" width="8.85546875" style="1083" customWidth="1"/>
    <col min="1543" max="1543" width="50" style="1083" customWidth="1"/>
    <col min="1544" max="1544" width="6.42578125" style="1083" bestFit="1" customWidth="1"/>
    <col min="1545" max="1545" width="8.85546875" style="1083" customWidth="1"/>
    <col min="1546" max="1546" width="8.5703125" style="1083" customWidth="1"/>
    <col min="1547" max="1547" width="11.42578125" style="1083" bestFit="1" customWidth="1"/>
    <col min="1548" max="1548" width="7.85546875" style="1083" bestFit="1" customWidth="1"/>
    <col min="1549" max="1549" width="11.5703125" style="1083" bestFit="1" customWidth="1"/>
    <col min="1550" max="1550" width="8" style="1083" bestFit="1" customWidth="1"/>
    <col min="1551" max="1551" width="11.5703125" style="1083" bestFit="1" customWidth="1"/>
    <col min="1552" max="1552" width="8.140625" style="1083" bestFit="1" customWidth="1"/>
    <col min="1553" max="1553" width="11.5703125" style="1083" bestFit="1" customWidth="1"/>
    <col min="1554" max="1554" width="8.42578125" style="1083" customWidth="1"/>
    <col min="1555" max="1555" width="7.42578125" style="1083" bestFit="1" customWidth="1"/>
    <col min="1556" max="1556" width="11.5703125" style="1083" bestFit="1" customWidth="1"/>
    <col min="1557" max="1557" width="8.140625" style="1083" customWidth="1"/>
    <col min="1558" max="1558" width="13" style="1083" bestFit="1" customWidth="1"/>
    <col min="1559" max="1797" width="10.85546875" style="1083"/>
    <col min="1798" max="1798" width="8.85546875" style="1083" customWidth="1"/>
    <col min="1799" max="1799" width="50" style="1083" customWidth="1"/>
    <col min="1800" max="1800" width="6.42578125" style="1083" bestFit="1" customWidth="1"/>
    <col min="1801" max="1801" width="8.85546875" style="1083" customWidth="1"/>
    <col min="1802" max="1802" width="8.5703125" style="1083" customWidth="1"/>
    <col min="1803" max="1803" width="11.42578125" style="1083" bestFit="1" customWidth="1"/>
    <col min="1804" max="1804" width="7.85546875" style="1083" bestFit="1" customWidth="1"/>
    <col min="1805" max="1805" width="11.5703125" style="1083" bestFit="1" customWidth="1"/>
    <col min="1806" max="1806" width="8" style="1083" bestFit="1" customWidth="1"/>
    <col min="1807" max="1807" width="11.5703125" style="1083" bestFit="1" customWidth="1"/>
    <col min="1808" max="1808" width="8.140625" style="1083" bestFit="1" customWidth="1"/>
    <col min="1809" max="1809" width="11.5703125" style="1083" bestFit="1" customWidth="1"/>
    <col min="1810" max="1810" width="8.42578125" style="1083" customWidth="1"/>
    <col min="1811" max="1811" width="7.42578125" style="1083" bestFit="1" customWidth="1"/>
    <col min="1812" max="1812" width="11.5703125" style="1083" bestFit="1" customWidth="1"/>
    <col min="1813" max="1813" width="8.140625" style="1083" customWidth="1"/>
    <col min="1814" max="1814" width="13" style="1083" bestFit="1" customWidth="1"/>
    <col min="1815" max="2053" width="10.85546875" style="1083"/>
    <col min="2054" max="2054" width="8.85546875" style="1083" customWidth="1"/>
    <col min="2055" max="2055" width="50" style="1083" customWidth="1"/>
    <col min="2056" max="2056" width="6.42578125" style="1083" bestFit="1" customWidth="1"/>
    <col min="2057" max="2057" width="8.85546875" style="1083" customWidth="1"/>
    <col min="2058" max="2058" width="8.5703125" style="1083" customWidth="1"/>
    <col min="2059" max="2059" width="11.42578125" style="1083" bestFit="1" customWidth="1"/>
    <col min="2060" max="2060" width="7.85546875" style="1083" bestFit="1" customWidth="1"/>
    <col min="2061" max="2061" width="11.5703125" style="1083" bestFit="1" customWidth="1"/>
    <col min="2062" max="2062" width="8" style="1083" bestFit="1" customWidth="1"/>
    <col min="2063" max="2063" width="11.5703125" style="1083" bestFit="1" customWidth="1"/>
    <col min="2064" max="2064" width="8.140625" style="1083" bestFit="1" customWidth="1"/>
    <col min="2065" max="2065" width="11.5703125" style="1083" bestFit="1" customWidth="1"/>
    <col min="2066" max="2066" width="8.42578125" style="1083" customWidth="1"/>
    <col min="2067" max="2067" width="7.42578125" style="1083" bestFit="1" customWidth="1"/>
    <col min="2068" max="2068" width="11.5703125" style="1083" bestFit="1" customWidth="1"/>
    <col min="2069" max="2069" width="8.140625" style="1083" customWidth="1"/>
    <col min="2070" max="2070" width="13" style="1083" bestFit="1" customWidth="1"/>
    <col min="2071" max="2309" width="10.85546875" style="1083"/>
    <col min="2310" max="2310" width="8.85546875" style="1083" customWidth="1"/>
    <col min="2311" max="2311" width="50" style="1083" customWidth="1"/>
    <col min="2312" max="2312" width="6.42578125" style="1083" bestFit="1" customWidth="1"/>
    <col min="2313" max="2313" width="8.85546875" style="1083" customWidth="1"/>
    <col min="2314" max="2314" width="8.5703125" style="1083" customWidth="1"/>
    <col min="2315" max="2315" width="11.42578125" style="1083" bestFit="1" customWidth="1"/>
    <col min="2316" max="2316" width="7.85546875" style="1083" bestFit="1" customWidth="1"/>
    <col min="2317" max="2317" width="11.5703125" style="1083" bestFit="1" customWidth="1"/>
    <col min="2318" max="2318" width="8" style="1083" bestFit="1" customWidth="1"/>
    <col min="2319" max="2319" width="11.5703125" style="1083" bestFit="1" customWidth="1"/>
    <col min="2320" max="2320" width="8.140625" style="1083" bestFit="1" customWidth="1"/>
    <col min="2321" max="2321" width="11.5703125" style="1083" bestFit="1" customWidth="1"/>
    <col min="2322" max="2322" width="8.42578125" style="1083" customWidth="1"/>
    <col min="2323" max="2323" width="7.42578125" style="1083" bestFit="1" customWidth="1"/>
    <col min="2324" max="2324" width="11.5703125" style="1083" bestFit="1" customWidth="1"/>
    <col min="2325" max="2325" width="8.140625" style="1083" customWidth="1"/>
    <col min="2326" max="2326" width="13" style="1083" bestFit="1" customWidth="1"/>
    <col min="2327" max="2565" width="10.85546875" style="1083"/>
    <col min="2566" max="2566" width="8.85546875" style="1083" customWidth="1"/>
    <col min="2567" max="2567" width="50" style="1083" customWidth="1"/>
    <col min="2568" max="2568" width="6.42578125" style="1083" bestFit="1" customWidth="1"/>
    <col min="2569" max="2569" width="8.85546875" style="1083" customWidth="1"/>
    <col min="2570" max="2570" width="8.5703125" style="1083" customWidth="1"/>
    <col min="2571" max="2571" width="11.42578125" style="1083" bestFit="1" customWidth="1"/>
    <col min="2572" max="2572" width="7.85546875" style="1083" bestFit="1" customWidth="1"/>
    <col min="2573" max="2573" width="11.5703125" style="1083" bestFit="1" customWidth="1"/>
    <col min="2574" max="2574" width="8" style="1083" bestFit="1" customWidth="1"/>
    <col min="2575" max="2575" width="11.5703125" style="1083" bestFit="1" customWidth="1"/>
    <col min="2576" max="2576" width="8.140625" style="1083" bestFit="1" customWidth="1"/>
    <col min="2577" max="2577" width="11.5703125" style="1083" bestFit="1" customWidth="1"/>
    <col min="2578" max="2578" width="8.42578125" style="1083" customWidth="1"/>
    <col min="2579" max="2579" width="7.42578125" style="1083" bestFit="1" customWidth="1"/>
    <col min="2580" max="2580" width="11.5703125" style="1083" bestFit="1" customWidth="1"/>
    <col min="2581" max="2581" width="8.140625" style="1083" customWidth="1"/>
    <col min="2582" max="2582" width="13" style="1083" bestFit="1" customWidth="1"/>
    <col min="2583" max="2821" width="10.85546875" style="1083"/>
    <col min="2822" max="2822" width="8.85546875" style="1083" customWidth="1"/>
    <col min="2823" max="2823" width="50" style="1083" customWidth="1"/>
    <col min="2824" max="2824" width="6.42578125" style="1083" bestFit="1" customWidth="1"/>
    <col min="2825" max="2825" width="8.85546875" style="1083" customWidth="1"/>
    <col min="2826" max="2826" width="8.5703125" style="1083" customWidth="1"/>
    <col min="2827" max="2827" width="11.42578125" style="1083" bestFit="1" customWidth="1"/>
    <col min="2828" max="2828" width="7.85546875" style="1083" bestFit="1" customWidth="1"/>
    <col min="2829" max="2829" width="11.5703125" style="1083" bestFit="1" customWidth="1"/>
    <col min="2830" max="2830" width="8" style="1083" bestFit="1" customWidth="1"/>
    <col min="2831" max="2831" width="11.5703125" style="1083" bestFit="1" customWidth="1"/>
    <col min="2832" max="2832" width="8.140625" style="1083" bestFit="1" customWidth="1"/>
    <col min="2833" max="2833" width="11.5703125" style="1083" bestFit="1" customWidth="1"/>
    <col min="2834" max="2834" width="8.42578125" style="1083" customWidth="1"/>
    <col min="2835" max="2835" width="7.42578125" style="1083" bestFit="1" customWidth="1"/>
    <col min="2836" max="2836" width="11.5703125" style="1083" bestFit="1" customWidth="1"/>
    <col min="2837" max="2837" width="8.140625" style="1083" customWidth="1"/>
    <col min="2838" max="2838" width="13" style="1083" bestFit="1" customWidth="1"/>
    <col min="2839" max="3077" width="10.85546875" style="1083"/>
    <col min="3078" max="3078" width="8.85546875" style="1083" customWidth="1"/>
    <col min="3079" max="3079" width="50" style="1083" customWidth="1"/>
    <col min="3080" max="3080" width="6.42578125" style="1083" bestFit="1" customWidth="1"/>
    <col min="3081" max="3081" width="8.85546875" style="1083" customWidth="1"/>
    <col min="3082" max="3082" width="8.5703125" style="1083" customWidth="1"/>
    <col min="3083" max="3083" width="11.42578125" style="1083" bestFit="1" customWidth="1"/>
    <col min="3084" max="3084" width="7.85546875" style="1083" bestFit="1" customWidth="1"/>
    <col min="3085" max="3085" width="11.5703125" style="1083" bestFit="1" customWidth="1"/>
    <col min="3086" max="3086" width="8" style="1083" bestFit="1" customWidth="1"/>
    <col min="3087" max="3087" width="11.5703125" style="1083" bestFit="1" customWidth="1"/>
    <col min="3088" max="3088" width="8.140625" style="1083" bestFit="1" customWidth="1"/>
    <col min="3089" max="3089" width="11.5703125" style="1083" bestFit="1" customWidth="1"/>
    <col min="3090" max="3090" width="8.42578125" style="1083" customWidth="1"/>
    <col min="3091" max="3091" width="7.42578125" style="1083" bestFit="1" customWidth="1"/>
    <col min="3092" max="3092" width="11.5703125" style="1083" bestFit="1" customWidth="1"/>
    <col min="3093" max="3093" width="8.140625" style="1083" customWidth="1"/>
    <col min="3094" max="3094" width="13" style="1083" bestFit="1" customWidth="1"/>
    <col min="3095" max="3333" width="10.85546875" style="1083"/>
    <col min="3334" max="3334" width="8.85546875" style="1083" customWidth="1"/>
    <col min="3335" max="3335" width="50" style="1083" customWidth="1"/>
    <col min="3336" max="3336" width="6.42578125" style="1083" bestFit="1" customWidth="1"/>
    <col min="3337" max="3337" width="8.85546875" style="1083" customWidth="1"/>
    <col min="3338" max="3338" width="8.5703125" style="1083" customWidth="1"/>
    <col min="3339" max="3339" width="11.42578125" style="1083" bestFit="1" customWidth="1"/>
    <col min="3340" max="3340" width="7.85546875" style="1083" bestFit="1" customWidth="1"/>
    <col min="3341" max="3341" width="11.5703125" style="1083" bestFit="1" customWidth="1"/>
    <col min="3342" max="3342" width="8" style="1083" bestFit="1" customWidth="1"/>
    <col min="3343" max="3343" width="11.5703125" style="1083" bestFit="1" customWidth="1"/>
    <col min="3344" max="3344" width="8.140625" style="1083" bestFit="1" customWidth="1"/>
    <col min="3345" max="3345" width="11.5703125" style="1083" bestFit="1" customWidth="1"/>
    <col min="3346" max="3346" width="8.42578125" style="1083" customWidth="1"/>
    <col min="3347" max="3347" width="7.42578125" style="1083" bestFit="1" customWidth="1"/>
    <col min="3348" max="3348" width="11.5703125" style="1083" bestFit="1" customWidth="1"/>
    <col min="3349" max="3349" width="8.140625" style="1083" customWidth="1"/>
    <col min="3350" max="3350" width="13" style="1083" bestFit="1" customWidth="1"/>
    <col min="3351" max="3589" width="10.85546875" style="1083"/>
    <col min="3590" max="3590" width="8.85546875" style="1083" customWidth="1"/>
    <col min="3591" max="3591" width="50" style="1083" customWidth="1"/>
    <col min="3592" max="3592" width="6.42578125" style="1083" bestFit="1" customWidth="1"/>
    <col min="3593" max="3593" width="8.85546875" style="1083" customWidth="1"/>
    <col min="3594" max="3594" width="8.5703125" style="1083" customWidth="1"/>
    <col min="3595" max="3595" width="11.42578125" style="1083" bestFit="1" customWidth="1"/>
    <col min="3596" max="3596" width="7.85546875" style="1083" bestFit="1" customWidth="1"/>
    <col min="3597" max="3597" width="11.5703125" style="1083" bestFit="1" customWidth="1"/>
    <col min="3598" max="3598" width="8" style="1083" bestFit="1" customWidth="1"/>
    <col min="3599" max="3599" width="11.5703125" style="1083" bestFit="1" customWidth="1"/>
    <col min="3600" max="3600" width="8.140625" style="1083" bestFit="1" customWidth="1"/>
    <col min="3601" max="3601" width="11.5703125" style="1083" bestFit="1" customWidth="1"/>
    <col min="3602" max="3602" width="8.42578125" style="1083" customWidth="1"/>
    <col min="3603" max="3603" width="7.42578125" style="1083" bestFit="1" customWidth="1"/>
    <col min="3604" max="3604" width="11.5703125" style="1083" bestFit="1" customWidth="1"/>
    <col min="3605" max="3605" width="8.140625" style="1083" customWidth="1"/>
    <col min="3606" max="3606" width="13" style="1083" bestFit="1" customWidth="1"/>
    <col min="3607" max="3845" width="10.85546875" style="1083"/>
    <col min="3846" max="3846" width="8.85546875" style="1083" customWidth="1"/>
    <col min="3847" max="3847" width="50" style="1083" customWidth="1"/>
    <col min="3848" max="3848" width="6.42578125" style="1083" bestFit="1" customWidth="1"/>
    <col min="3849" max="3849" width="8.85546875" style="1083" customWidth="1"/>
    <col min="3850" max="3850" width="8.5703125" style="1083" customWidth="1"/>
    <col min="3851" max="3851" width="11.42578125" style="1083" bestFit="1" customWidth="1"/>
    <col min="3852" max="3852" width="7.85546875" style="1083" bestFit="1" customWidth="1"/>
    <col min="3853" max="3853" width="11.5703125" style="1083" bestFit="1" customWidth="1"/>
    <col min="3854" max="3854" width="8" style="1083" bestFit="1" customWidth="1"/>
    <col min="3855" max="3855" width="11.5703125" style="1083" bestFit="1" customWidth="1"/>
    <col min="3856" max="3856" width="8.140625" style="1083" bestFit="1" customWidth="1"/>
    <col min="3857" max="3857" width="11.5703125" style="1083" bestFit="1" customWidth="1"/>
    <col min="3858" max="3858" width="8.42578125" style="1083" customWidth="1"/>
    <col min="3859" max="3859" width="7.42578125" style="1083" bestFit="1" customWidth="1"/>
    <col min="3860" max="3860" width="11.5703125" style="1083" bestFit="1" customWidth="1"/>
    <col min="3861" max="3861" width="8.140625" style="1083" customWidth="1"/>
    <col min="3862" max="3862" width="13" style="1083" bestFit="1" customWidth="1"/>
    <col min="3863" max="4101" width="10.85546875" style="1083"/>
    <col min="4102" max="4102" width="8.85546875" style="1083" customWidth="1"/>
    <col min="4103" max="4103" width="50" style="1083" customWidth="1"/>
    <col min="4104" max="4104" width="6.42578125" style="1083" bestFit="1" customWidth="1"/>
    <col min="4105" max="4105" width="8.85546875" style="1083" customWidth="1"/>
    <col min="4106" max="4106" width="8.5703125" style="1083" customWidth="1"/>
    <col min="4107" max="4107" width="11.42578125" style="1083" bestFit="1" customWidth="1"/>
    <col min="4108" max="4108" width="7.85546875" style="1083" bestFit="1" customWidth="1"/>
    <col min="4109" max="4109" width="11.5703125" style="1083" bestFit="1" customWidth="1"/>
    <col min="4110" max="4110" width="8" style="1083" bestFit="1" customWidth="1"/>
    <col min="4111" max="4111" width="11.5703125" style="1083" bestFit="1" customWidth="1"/>
    <col min="4112" max="4112" width="8.140625" style="1083" bestFit="1" customWidth="1"/>
    <col min="4113" max="4113" width="11.5703125" style="1083" bestFit="1" customWidth="1"/>
    <col min="4114" max="4114" width="8.42578125" style="1083" customWidth="1"/>
    <col min="4115" max="4115" width="7.42578125" style="1083" bestFit="1" customWidth="1"/>
    <col min="4116" max="4116" width="11.5703125" style="1083" bestFit="1" customWidth="1"/>
    <col min="4117" max="4117" width="8.140625" style="1083" customWidth="1"/>
    <col min="4118" max="4118" width="13" style="1083" bestFit="1" customWidth="1"/>
    <col min="4119" max="4357" width="10.85546875" style="1083"/>
    <col min="4358" max="4358" width="8.85546875" style="1083" customWidth="1"/>
    <col min="4359" max="4359" width="50" style="1083" customWidth="1"/>
    <col min="4360" max="4360" width="6.42578125" style="1083" bestFit="1" customWidth="1"/>
    <col min="4361" max="4361" width="8.85546875" style="1083" customWidth="1"/>
    <col min="4362" max="4362" width="8.5703125" style="1083" customWidth="1"/>
    <col min="4363" max="4363" width="11.42578125" style="1083" bestFit="1" customWidth="1"/>
    <col min="4364" max="4364" width="7.85546875" style="1083" bestFit="1" customWidth="1"/>
    <col min="4365" max="4365" width="11.5703125" style="1083" bestFit="1" customWidth="1"/>
    <col min="4366" max="4366" width="8" style="1083" bestFit="1" customWidth="1"/>
    <col min="4367" max="4367" width="11.5703125" style="1083" bestFit="1" customWidth="1"/>
    <col min="4368" max="4368" width="8.140625" style="1083" bestFit="1" customWidth="1"/>
    <col min="4369" max="4369" width="11.5703125" style="1083" bestFit="1" customWidth="1"/>
    <col min="4370" max="4370" width="8.42578125" style="1083" customWidth="1"/>
    <col min="4371" max="4371" width="7.42578125" style="1083" bestFit="1" customWidth="1"/>
    <col min="4372" max="4372" width="11.5703125" style="1083" bestFit="1" customWidth="1"/>
    <col min="4373" max="4373" width="8.140625" style="1083" customWidth="1"/>
    <col min="4374" max="4374" width="13" style="1083" bestFit="1" customWidth="1"/>
    <col min="4375" max="4613" width="10.85546875" style="1083"/>
    <col min="4614" max="4614" width="8.85546875" style="1083" customWidth="1"/>
    <col min="4615" max="4615" width="50" style="1083" customWidth="1"/>
    <col min="4616" max="4616" width="6.42578125" style="1083" bestFit="1" customWidth="1"/>
    <col min="4617" max="4617" width="8.85546875" style="1083" customWidth="1"/>
    <col min="4618" max="4618" width="8.5703125" style="1083" customWidth="1"/>
    <col min="4619" max="4619" width="11.42578125" style="1083" bestFit="1" customWidth="1"/>
    <col min="4620" max="4620" width="7.85546875" style="1083" bestFit="1" customWidth="1"/>
    <col min="4621" max="4621" width="11.5703125" style="1083" bestFit="1" customWidth="1"/>
    <col min="4622" max="4622" width="8" style="1083" bestFit="1" customWidth="1"/>
    <col min="4623" max="4623" width="11.5703125" style="1083" bestFit="1" customWidth="1"/>
    <col min="4624" max="4624" width="8.140625" style="1083" bestFit="1" customWidth="1"/>
    <col min="4625" max="4625" width="11.5703125" style="1083" bestFit="1" customWidth="1"/>
    <col min="4626" max="4626" width="8.42578125" style="1083" customWidth="1"/>
    <col min="4627" max="4627" width="7.42578125" style="1083" bestFit="1" customWidth="1"/>
    <col min="4628" max="4628" width="11.5703125" style="1083" bestFit="1" customWidth="1"/>
    <col min="4629" max="4629" width="8.140625" style="1083" customWidth="1"/>
    <col min="4630" max="4630" width="13" style="1083" bestFit="1" customWidth="1"/>
    <col min="4631" max="4869" width="10.85546875" style="1083"/>
    <col min="4870" max="4870" width="8.85546875" style="1083" customWidth="1"/>
    <col min="4871" max="4871" width="50" style="1083" customWidth="1"/>
    <col min="4872" max="4872" width="6.42578125" style="1083" bestFit="1" customWidth="1"/>
    <col min="4873" max="4873" width="8.85546875" style="1083" customWidth="1"/>
    <col min="4874" max="4874" width="8.5703125" style="1083" customWidth="1"/>
    <col min="4875" max="4875" width="11.42578125" style="1083" bestFit="1" customWidth="1"/>
    <col min="4876" max="4876" width="7.85546875" style="1083" bestFit="1" customWidth="1"/>
    <col min="4877" max="4877" width="11.5703125" style="1083" bestFit="1" customWidth="1"/>
    <col min="4878" max="4878" width="8" style="1083" bestFit="1" customWidth="1"/>
    <col min="4879" max="4879" width="11.5703125" style="1083" bestFit="1" customWidth="1"/>
    <col min="4880" max="4880" width="8.140625" style="1083" bestFit="1" customWidth="1"/>
    <col min="4881" max="4881" width="11.5703125" style="1083" bestFit="1" customWidth="1"/>
    <col min="4882" max="4882" width="8.42578125" style="1083" customWidth="1"/>
    <col min="4883" max="4883" width="7.42578125" style="1083" bestFit="1" customWidth="1"/>
    <col min="4884" max="4884" width="11.5703125" style="1083" bestFit="1" customWidth="1"/>
    <col min="4885" max="4885" width="8.140625" style="1083" customWidth="1"/>
    <col min="4886" max="4886" width="13" style="1083" bestFit="1" customWidth="1"/>
    <col min="4887" max="5125" width="10.85546875" style="1083"/>
    <col min="5126" max="5126" width="8.85546875" style="1083" customWidth="1"/>
    <col min="5127" max="5127" width="50" style="1083" customWidth="1"/>
    <col min="5128" max="5128" width="6.42578125" style="1083" bestFit="1" customWidth="1"/>
    <col min="5129" max="5129" width="8.85546875" style="1083" customWidth="1"/>
    <col min="5130" max="5130" width="8.5703125" style="1083" customWidth="1"/>
    <col min="5131" max="5131" width="11.42578125" style="1083" bestFit="1" customWidth="1"/>
    <col min="5132" max="5132" width="7.85546875" style="1083" bestFit="1" customWidth="1"/>
    <col min="5133" max="5133" width="11.5703125" style="1083" bestFit="1" customWidth="1"/>
    <col min="5134" max="5134" width="8" style="1083" bestFit="1" customWidth="1"/>
    <col min="5135" max="5135" width="11.5703125" style="1083" bestFit="1" customWidth="1"/>
    <col min="5136" max="5136" width="8.140625" style="1083" bestFit="1" customWidth="1"/>
    <col min="5137" max="5137" width="11.5703125" style="1083" bestFit="1" customWidth="1"/>
    <col min="5138" max="5138" width="8.42578125" style="1083" customWidth="1"/>
    <col min="5139" max="5139" width="7.42578125" style="1083" bestFit="1" customWidth="1"/>
    <col min="5140" max="5140" width="11.5703125" style="1083" bestFit="1" customWidth="1"/>
    <col min="5141" max="5141" width="8.140625" style="1083" customWidth="1"/>
    <col min="5142" max="5142" width="13" style="1083" bestFit="1" customWidth="1"/>
    <col min="5143" max="5381" width="10.85546875" style="1083"/>
    <col min="5382" max="5382" width="8.85546875" style="1083" customWidth="1"/>
    <col min="5383" max="5383" width="50" style="1083" customWidth="1"/>
    <col min="5384" max="5384" width="6.42578125" style="1083" bestFit="1" customWidth="1"/>
    <col min="5385" max="5385" width="8.85546875" style="1083" customWidth="1"/>
    <col min="5386" max="5386" width="8.5703125" style="1083" customWidth="1"/>
    <col min="5387" max="5387" width="11.42578125" style="1083" bestFit="1" customWidth="1"/>
    <col min="5388" max="5388" width="7.85546875" style="1083" bestFit="1" customWidth="1"/>
    <col min="5389" max="5389" width="11.5703125" style="1083" bestFit="1" customWidth="1"/>
    <col min="5390" max="5390" width="8" style="1083" bestFit="1" customWidth="1"/>
    <col min="5391" max="5391" width="11.5703125" style="1083" bestFit="1" customWidth="1"/>
    <col min="5392" max="5392" width="8.140625" style="1083" bestFit="1" customWidth="1"/>
    <col min="5393" max="5393" width="11.5703125" style="1083" bestFit="1" customWidth="1"/>
    <col min="5394" max="5394" width="8.42578125" style="1083" customWidth="1"/>
    <col min="5395" max="5395" width="7.42578125" style="1083" bestFit="1" customWidth="1"/>
    <col min="5396" max="5396" width="11.5703125" style="1083" bestFit="1" customWidth="1"/>
    <col min="5397" max="5397" width="8.140625" style="1083" customWidth="1"/>
    <col min="5398" max="5398" width="13" style="1083" bestFit="1" customWidth="1"/>
    <col min="5399" max="5637" width="10.85546875" style="1083"/>
    <col min="5638" max="5638" width="8.85546875" style="1083" customWidth="1"/>
    <col min="5639" max="5639" width="50" style="1083" customWidth="1"/>
    <col min="5640" max="5640" width="6.42578125" style="1083" bestFit="1" customWidth="1"/>
    <col min="5641" max="5641" width="8.85546875" style="1083" customWidth="1"/>
    <col min="5642" max="5642" width="8.5703125" style="1083" customWidth="1"/>
    <col min="5643" max="5643" width="11.42578125" style="1083" bestFit="1" customWidth="1"/>
    <col min="5644" max="5644" width="7.85546875" style="1083" bestFit="1" customWidth="1"/>
    <col min="5645" max="5645" width="11.5703125" style="1083" bestFit="1" customWidth="1"/>
    <col min="5646" max="5646" width="8" style="1083" bestFit="1" customWidth="1"/>
    <col min="5647" max="5647" width="11.5703125" style="1083" bestFit="1" customWidth="1"/>
    <col min="5648" max="5648" width="8.140625" style="1083" bestFit="1" customWidth="1"/>
    <col min="5649" max="5649" width="11.5703125" style="1083" bestFit="1" customWidth="1"/>
    <col min="5650" max="5650" width="8.42578125" style="1083" customWidth="1"/>
    <col min="5651" max="5651" width="7.42578125" style="1083" bestFit="1" customWidth="1"/>
    <col min="5652" max="5652" width="11.5703125" style="1083" bestFit="1" customWidth="1"/>
    <col min="5653" max="5653" width="8.140625" style="1083" customWidth="1"/>
    <col min="5654" max="5654" width="13" style="1083" bestFit="1" customWidth="1"/>
    <col min="5655" max="5893" width="10.85546875" style="1083"/>
    <col min="5894" max="5894" width="8.85546875" style="1083" customWidth="1"/>
    <col min="5895" max="5895" width="50" style="1083" customWidth="1"/>
    <col min="5896" max="5896" width="6.42578125" style="1083" bestFit="1" customWidth="1"/>
    <col min="5897" max="5897" width="8.85546875" style="1083" customWidth="1"/>
    <col min="5898" max="5898" width="8.5703125" style="1083" customWidth="1"/>
    <col min="5899" max="5899" width="11.42578125" style="1083" bestFit="1" customWidth="1"/>
    <col min="5900" max="5900" width="7.85546875" style="1083" bestFit="1" customWidth="1"/>
    <col min="5901" max="5901" width="11.5703125" style="1083" bestFit="1" customWidth="1"/>
    <col min="5902" max="5902" width="8" style="1083" bestFit="1" customWidth="1"/>
    <col min="5903" max="5903" width="11.5703125" style="1083" bestFit="1" customWidth="1"/>
    <col min="5904" max="5904" width="8.140625" style="1083" bestFit="1" customWidth="1"/>
    <col min="5905" max="5905" width="11.5703125" style="1083" bestFit="1" customWidth="1"/>
    <col min="5906" max="5906" width="8.42578125" style="1083" customWidth="1"/>
    <col min="5907" max="5907" width="7.42578125" style="1083" bestFit="1" customWidth="1"/>
    <col min="5908" max="5908" width="11.5703125" style="1083" bestFit="1" customWidth="1"/>
    <col min="5909" max="5909" width="8.140625" style="1083" customWidth="1"/>
    <col min="5910" max="5910" width="13" style="1083" bestFit="1" customWidth="1"/>
    <col min="5911" max="6149" width="10.85546875" style="1083"/>
    <col min="6150" max="6150" width="8.85546875" style="1083" customWidth="1"/>
    <col min="6151" max="6151" width="50" style="1083" customWidth="1"/>
    <col min="6152" max="6152" width="6.42578125" style="1083" bestFit="1" customWidth="1"/>
    <col min="6153" max="6153" width="8.85546875" style="1083" customWidth="1"/>
    <col min="6154" max="6154" width="8.5703125" style="1083" customWidth="1"/>
    <col min="6155" max="6155" width="11.42578125" style="1083" bestFit="1" customWidth="1"/>
    <col min="6156" max="6156" width="7.85546875" style="1083" bestFit="1" customWidth="1"/>
    <col min="6157" max="6157" width="11.5703125" style="1083" bestFit="1" customWidth="1"/>
    <col min="6158" max="6158" width="8" style="1083" bestFit="1" customWidth="1"/>
    <col min="6159" max="6159" width="11.5703125" style="1083" bestFit="1" customWidth="1"/>
    <col min="6160" max="6160" width="8.140625" style="1083" bestFit="1" customWidth="1"/>
    <col min="6161" max="6161" width="11.5703125" style="1083" bestFit="1" customWidth="1"/>
    <col min="6162" max="6162" width="8.42578125" style="1083" customWidth="1"/>
    <col min="6163" max="6163" width="7.42578125" style="1083" bestFit="1" customWidth="1"/>
    <col min="6164" max="6164" width="11.5703125" style="1083" bestFit="1" customWidth="1"/>
    <col min="6165" max="6165" width="8.140625" style="1083" customWidth="1"/>
    <col min="6166" max="6166" width="13" style="1083" bestFit="1" customWidth="1"/>
    <col min="6167" max="6405" width="10.85546875" style="1083"/>
    <col min="6406" max="6406" width="8.85546875" style="1083" customWidth="1"/>
    <col min="6407" max="6407" width="50" style="1083" customWidth="1"/>
    <col min="6408" max="6408" width="6.42578125" style="1083" bestFit="1" customWidth="1"/>
    <col min="6409" max="6409" width="8.85546875" style="1083" customWidth="1"/>
    <col min="6410" max="6410" width="8.5703125" style="1083" customWidth="1"/>
    <col min="6411" max="6411" width="11.42578125" style="1083" bestFit="1" customWidth="1"/>
    <col min="6412" max="6412" width="7.85546875" style="1083" bestFit="1" customWidth="1"/>
    <col min="6413" max="6413" width="11.5703125" style="1083" bestFit="1" customWidth="1"/>
    <col min="6414" max="6414" width="8" style="1083" bestFit="1" customWidth="1"/>
    <col min="6415" max="6415" width="11.5703125" style="1083" bestFit="1" customWidth="1"/>
    <col min="6416" max="6416" width="8.140625" style="1083" bestFit="1" customWidth="1"/>
    <col min="6417" max="6417" width="11.5703125" style="1083" bestFit="1" customWidth="1"/>
    <col min="6418" max="6418" width="8.42578125" style="1083" customWidth="1"/>
    <col min="6419" max="6419" width="7.42578125" style="1083" bestFit="1" customWidth="1"/>
    <col min="6420" max="6420" width="11.5703125" style="1083" bestFit="1" customWidth="1"/>
    <col min="6421" max="6421" width="8.140625" style="1083" customWidth="1"/>
    <col min="6422" max="6422" width="13" style="1083" bestFit="1" customWidth="1"/>
    <col min="6423" max="6661" width="10.85546875" style="1083"/>
    <col min="6662" max="6662" width="8.85546875" style="1083" customWidth="1"/>
    <col min="6663" max="6663" width="50" style="1083" customWidth="1"/>
    <col min="6664" max="6664" width="6.42578125" style="1083" bestFit="1" customWidth="1"/>
    <col min="6665" max="6665" width="8.85546875" style="1083" customWidth="1"/>
    <col min="6666" max="6666" width="8.5703125" style="1083" customWidth="1"/>
    <col min="6667" max="6667" width="11.42578125" style="1083" bestFit="1" customWidth="1"/>
    <col min="6668" max="6668" width="7.85546875" style="1083" bestFit="1" customWidth="1"/>
    <col min="6669" max="6669" width="11.5703125" style="1083" bestFit="1" customWidth="1"/>
    <col min="6670" max="6670" width="8" style="1083" bestFit="1" customWidth="1"/>
    <col min="6671" max="6671" width="11.5703125" style="1083" bestFit="1" customWidth="1"/>
    <col min="6672" max="6672" width="8.140625" style="1083" bestFit="1" customWidth="1"/>
    <col min="6673" max="6673" width="11.5703125" style="1083" bestFit="1" customWidth="1"/>
    <col min="6674" max="6674" width="8.42578125" style="1083" customWidth="1"/>
    <col min="6675" max="6675" width="7.42578125" style="1083" bestFit="1" customWidth="1"/>
    <col min="6676" max="6676" width="11.5703125" style="1083" bestFit="1" customWidth="1"/>
    <col min="6677" max="6677" width="8.140625" style="1083" customWidth="1"/>
    <col min="6678" max="6678" width="13" style="1083" bestFit="1" customWidth="1"/>
    <col min="6679" max="6917" width="10.85546875" style="1083"/>
    <col min="6918" max="6918" width="8.85546875" style="1083" customWidth="1"/>
    <col min="6919" max="6919" width="50" style="1083" customWidth="1"/>
    <col min="6920" max="6920" width="6.42578125" style="1083" bestFit="1" customWidth="1"/>
    <col min="6921" max="6921" width="8.85546875" style="1083" customWidth="1"/>
    <col min="6922" max="6922" width="8.5703125" style="1083" customWidth="1"/>
    <col min="6923" max="6923" width="11.42578125" style="1083" bestFit="1" customWidth="1"/>
    <col min="6924" max="6924" width="7.85546875" style="1083" bestFit="1" customWidth="1"/>
    <col min="6925" max="6925" width="11.5703125" style="1083" bestFit="1" customWidth="1"/>
    <col min="6926" max="6926" width="8" style="1083" bestFit="1" customWidth="1"/>
    <col min="6927" max="6927" width="11.5703125" style="1083" bestFit="1" customWidth="1"/>
    <col min="6928" max="6928" width="8.140625" style="1083" bestFit="1" customWidth="1"/>
    <col min="6929" max="6929" width="11.5703125" style="1083" bestFit="1" customWidth="1"/>
    <col min="6930" max="6930" width="8.42578125" style="1083" customWidth="1"/>
    <col min="6931" max="6931" width="7.42578125" style="1083" bestFit="1" customWidth="1"/>
    <col min="6932" max="6932" width="11.5703125" style="1083" bestFit="1" customWidth="1"/>
    <col min="6933" max="6933" width="8.140625" style="1083" customWidth="1"/>
    <col min="6934" max="6934" width="13" style="1083" bestFit="1" customWidth="1"/>
    <col min="6935" max="7173" width="10.85546875" style="1083"/>
    <col min="7174" max="7174" width="8.85546875" style="1083" customWidth="1"/>
    <col min="7175" max="7175" width="50" style="1083" customWidth="1"/>
    <col min="7176" max="7176" width="6.42578125" style="1083" bestFit="1" customWidth="1"/>
    <col min="7177" max="7177" width="8.85546875" style="1083" customWidth="1"/>
    <col min="7178" max="7178" width="8.5703125" style="1083" customWidth="1"/>
    <col min="7179" max="7179" width="11.42578125" style="1083" bestFit="1" customWidth="1"/>
    <col min="7180" max="7180" width="7.85546875" style="1083" bestFit="1" customWidth="1"/>
    <col min="7181" max="7181" width="11.5703125" style="1083" bestFit="1" customWidth="1"/>
    <col min="7182" max="7182" width="8" style="1083" bestFit="1" customWidth="1"/>
    <col min="7183" max="7183" width="11.5703125" style="1083" bestFit="1" customWidth="1"/>
    <col min="7184" max="7184" width="8.140625" style="1083" bestFit="1" customWidth="1"/>
    <col min="7185" max="7185" width="11.5703125" style="1083" bestFit="1" customWidth="1"/>
    <col min="7186" max="7186" width="8.42578125" style="1083" customWidth="1"/>
    <col min="7187" max="7187" width="7.42578125" style="1083" bestFit="1" customWidth="1"/>
    <col min="7188" max="7188" width="11.5703125" style="1083" bestFit="1" customWidth="1"/>
    <col min="7189" max="7189" width="8.140625" style="1083" customWidth="1"/>
    <col min="7190" max="7190" width="13" style="1083" bestFit="1" customWidth="1"/>
    <col min="7191" max="7429" width="10.85546875" style="1083"/>
    <col min="7430" max="7430" width="8.85546875" style="1083" customWidth="1"/>
    <col min="7431" max="7431" width="50" style="1083" customWidth="1"/>
    <col min="7432" max="7432" width="6.42578125" style="1083" bestFit="1" customWidth="1"/>
    <col min="7433" max="7433" width="8.85546875" style="1083" customWidth="1"/>
    <col min="7434" max="7434" width="8.5703125" style="1083" customWidth="1"/>
    <col min="7435" max="7435" width="11.42578125" style="1083" bestFit="1" customWidth="1"/>
    <col min="7436" max="7436" width="7.85546875" style="1083" bestFit="1" customWidth="1"/>
    <col min="7437" max="7437" width="11.5703125" style="1083" bestFit="1" customWidth="1"/>
    <col min="7438" max="7438" width="8" style="1083" bestFit="1" customWidth="1"/>
    <col min="7439" max="7439" width="11.5703125" style="1083" bestFit="1" customWidth="1"/>
    <col min="7440" max="7440" width="8.140625" style="1083" bestFit="1" customWidth="1"/>
    <col min="7441" max="7441" width="11.5703125" style="1083" bestFit="1" customWidth="1"/>
    <col min="7442" max="7442" width="8.42578125" style="1083" customWidth="1"/>
    <col min="7443" max="7443" width="7.42578125" style="1083" bestFit="1" customWidth="1"/>
    <col min="7444" max="7444" width="11.5703125" style="1083" bestFit="1" customWidth="1"/>
    <col min="7445" max="7445" width="8.140625" style="1083" customWidth="1"/>
    <col min="7446" max="7446" width="13" style="1083" bestFit="1" customWidth="1"/>
    <col min="7447" max="7685" width="10.85546875" style="1083"/>
    <col min="7686" max="7686" width="8.85546875" style="1083" customWidth="1"/>
    <col min="7687" max="7687" width="50" style="1083" customWidth="1"/>
    <col min="7688" max="7688" width="6.42578125" style="1083" bestFit="1" customWidth="1"/>
    <col min="7689" max="7689" width="8.85546875" style="1083" customWidth="1"/>
    <col min="7690" max="7690" width="8.5703125" style="1083" customWidth="1"/>
    <col min="7691" max="7691" width="11.42578125" style="1083" bestFit="1" customWidth="1"/>
    <col min="7692" max="7692" width="7.85546875" style="1083" bestFit="1" customWidth="1"/>
    <col min="7693" max="7693" width="11.5703125" style="1083" bestFit="1" customWidth="1"/>
    <col min="7694" max="7694" width="8" style="1083" bestFit="1" customWidth="1"/>
    <col min="7695" max="7695" width="11.5703125" style="1083" bestFit="1" customWidth="1"/>
    <col min="7696" max="7696" width="8.140625" style="1083" bestFit="1" customWidth="1"/>
    <col min="7697" max="7697" width="11.5703125" style="1083" bestFit="1" customWidth="1"/>
    <col min="7698" max="7698" width="8.42578125" style="1083" customWidth="1"/>
    <col min="7699" max="7699" width="7.42578125" style="1083" bestFit="1" customWidth="1"/>
    <col min="7700" max="7700" width="11.5703125" style="1083" bestFit="1" customWidth="1"/>
    <col min="7701" max="7701" width="8.140625" style="1083" customWidth="1"/>
    <col min="7702" max="7702" width="13" style="1083" bestFit="1" customWidth="1"/>
    <col min="7703" max="7941" width="10.85546875" style="1083"/>
    <col min="7942" max="7942" width="8.85546875" style="1083" customWidth="1"/>
    <col min="7943" max="7943" width="50" style="1083" customWidth="1"/>
    <col min="7944" max="7944" width="6.42578125" style="1083" bestFit="1" customWidth="1"/>
    <col min="7945" max="7945" width="8.85546875" style="1083" customWidth="1"/>
    <col min="7946" max="7946" width="8.5703125" style="1083" customWidth="1"/>
    <col min="7947" max="7947" width="11.42578125" style="1083" bestFit="1" customWidth="1"/>
    <col min="7948" max="7948" width="7.85546875" style="1083" bestFit="1" customWidth="1"/>
    <col min="7949" max="7949" width="11.5703125" style="1083" bestFit="1" customWidth="1"/>
    <col min="7950" max="7950" width="8" style="1083" bestFit="1" customWidth="1"/>
    <col min="7951" max="7951" width="11.5703125" style="1083" bestFit="1" customWidth="1"/>
    <col min="7952" max="7952" width="8.140625" style="1083" bestFit="1" customWidth="1"/>
    <col min="7953" max="7953" width="11.5703125" style="1083" bestFit="1" customWidth="1"/>
    <col min="7954" max="7954" width="8.42578125" style="1083" customWidth="1"/>
    <col min="7955" max="7955" width="7.42578125" style="1083" bestFit="1" customWidth="1"/>
    <col min="7956" max="7956" width="11.5703125" style="1083" bestFit="1" customWidth="1"/>
    <col min="7957" max="7957" width="8.140625" style="1083" customWidth="1"/>
    <col min="7958" max="7958" width="13" style="1083" bestFit="1" customWidth="1"/>
    <col min="7959" max="8197" width="10.85546875" style="1083"/>
    <col min="8198" max="8198" width="8.85546875" style="1083" customWidth="1"/>
    <col min="8199" max="8199" width="50" style="1083" customWidth="1"/>
    <col min="8200" max="8200" width="6.42578125" style="1083" bestFit="1" customWidth="1"/>
    <col min="8201" max="8201" width="8.85546875" style="1083" customWidth="1"/>
    <col min="8202" max="8202" width="8.5703125" style="1083" customWidth="1"/>
    <col min="8203" max="8203" width="11.42578125" style="1083" bestFit="1" customWidth="1"/>
    <col min="8204" max="8204" width="7.85546875" style="1083" bestFit="1" customWidth="1"/>
    <col min="8205" max="8205" width="11.5703125" style="1083" bestFit="1" customWidth="1"/>
    <col min="8206" max="8206" width="8" style="1083" bestFit="1" customWidth="1"/>
    <col min="8207" max="8207" width="11.5703125" style="1083" bestFit="1" customWidth="1"/>
    <col min="8208" max="8208" width="8.140625" style="1083" bestFit="1" customWidth="1"/>
    <col min="8209" max="8209" width="11.5703125" style="1083" bestFit="1" customWidth="1"/>
    <col min="8210" max="8210" width="8.42578125" style="1083" customWidth="1"/>
    <col min="8211" max="8211" width="7.42578125" style="1083" bestFit="1" customWidth="1"/>
    <col min="8212" max="8212" width="11.5703125" style="1083" bestFit="1" customWidth="1"/>
    <col min="8213" max="8213" width="8.140625" style="1083" customWidth="1"/>
    <col min="8214" max="8214" width="13" style="1083" bestFit="1" customWidth="1"/>
    <col min="8215" max="8453" width="10.85546875" style="1083"/>
    <col min="8454" max="8454" width="8.85546875" style="1083" customWidth="1"/>
    <col min="8455" max="8455" width="50" style="1083" customWidth="1"/>
    <col min="8456" max="8456" width="6.42578125" style="1083" bestFit="1" customWidth="1"/>
    <col min="8457" max="8457" width="8.85546875" style="1083" customWidth="1"/>
    <col min="8458" max="8458" width="8.5703125" style="1083" customWidth="1"/>
    <col min="8459" max="8459" width="11.42578125" style="1083" bestFit="1" customWidth="1"/>
    <col min="8460" max="8460" width="7.85546875" style="1083" bestFit="1" customWidth="1"/>
    <col min="8461" max="8461" width="11.5703125" style="1083" bestFit="1" customWidth="1"/>
    <col min="8462" max="8462" width="8" style="1083" bestFit="1" customWidth="1"/>
    <col min="8463" max="8463" width="11.5703125" style="1083" bestFit="1" customWidth="1"/>
    <col min="8464" max="8464" width="8.140625" style="1083" bestFit="1" customWidth="1"/>
    <col min="8465" max="8465" width="11.5703125" style="1083" bestFit="1" customWidth="1"/>
    <col min="8466" max="8466" width="8.42578125" style="1083" customWidth="1"/>
    <col min="8467" max="8467" width="7.42578125" style="1083" bestFit="1" customWidth="1"/>
    <col min="8468" max="8468" width="11.5703125" style="1083" bestFit="1" customWidth="1"/>
    <col min="8469" max="8469" width="8.140625" style="1083" customWidth="1"/>
    <col min="8470" max="8470" width="13" style="1083" bestFit="1" customWidth="1"/>
    <col min="8471" max="8709" width="10.85546875" style="1083"/>
    <col min="8710" max="8710" width="8.85546875" style="1083" customWidth="1"/>
    <col min="8711" max="8711" width="50" style="1083" customWidth="1"/>
    <col min="8712" max="8712" width="6.42578125" style="1083" bestFit="1" customWidth="1"/>
    <col min="8713" max="8713" width="8.85546875" style="1083" customWidth="1"/>
    <col min="8714" max="8714" width="8.5703125" style="1083" customWidth="1"/>
    <col min="8715" max="8715" width="11.42578125" style="1083" bestFit="1" customWidth="1"/>
    <col min="8716" max="8716" width="7.85546875" style="1083" bestFit="1" customWidth="1"/>
    <col min="8717" max="8717" width="11.5703125" style="1083" bestFit="1" customWidth="1"/>
    <col min="8718" max="8718" width="8" style="1083" bestFit="1" customWidth="1"/>
    <col min="8719" max="8719" width="11.5703125" style="1083" bestFit="1" customWidth="1"/>
    <col min="8720" max="8720" width="8.140625" style="1083" bestFit="1" customWidth="1"/>
    <col min="8721" max="8721" width="11.5703125" style="1083" bestFit="1" customWidth="1"/>
    <col min="8722" max="8722" width="8.42578125" style="1083" customWidth="1"/>
    <col min="8723" max="8723" width="7.42578125" style="1083" bestFit="1" customWidth="1"/>
    <col min="8724" max="8724" width="11.5703125" style="1083" bestFit="1" customWidth="1"/>
    <col min="8725" max="8725" width="8.140625" style="1083" customWidth="1"/>
    <col min="8726" max="8726" width="13" style="1083" bestFit="1" customWidth="1"/>
    <col min="8727" max="8965" width="10.85546875" style="1083"/>
    <col min="8966" max="8966" width="8.85546875" style="1083" customWidth="1"/>
    <col min="8967" max="8967" width="50" style="1083" customWidth="1"/>
    <col min="8968" max="8968" width="6.42578125" style="1083" bestFit="1" customWidth="1"/>
    <col min="8969" max="8969" width="8.85546875" style="1083" customWidth="1"/>
    <col min="8970" max="8970" width="8.5703125" style="1083" customWidth="1"/>
    <col min="8971" max="8971" width="11.42578125" style="1083" bestFit="1" customWidth="1"/>
    <col min="8972" max="8972" width="7.85546875" style="1083" bestFit="1" customWidth="1"/>
    <col min="8973" max="8973" width="11.5703125" style="1083" bestFit="1" customWidth="1"/>
    <col min="8974" max="8974" width="8" style="1083" bestFit="1" customWidth="1"/>
    <col min="8975" max="8975" width="11.5703125" style="1083" bestFit="1" customWidth="1"/>
    <col min="8976" max="8976" width="8.140625" style="1083" bestFit="1" customWidth="1"/>
    <col min="8977" max="8977" width="11.5703125" style="1083" bestFit="1" customWidth="1"/>
    <col min="8978" max="8978" width="8.42578125" style="1083" customWidth="1"/>
    <col min="8979" max="8979" width="7.42578125" style="1083" bestFit="1" customWidth="1"/>
    <col min="8980" max="8980" width="11.5703125" style="1083" bestFit="1" customWidth="1"/>
    <col min="8981" max="8981" width="8.140625" style="1083" customWidth="1"/>
    <col min="8982" max="8982" width="13" style="1083" bestFit="1" customWidth="1"/>
    <col min="8983" max="9221" width="10.85546875" style="1083"/>
    <col min="9222" max="9222" width="8.85546875" style="1083" customWidth="1"/>
    <col min="9223" max="9223" width="50" style="1083" customWidth="1"/>
    <col min="9224" max="9224" width="6.42578125" style="1083" bestFit="1" customWidth="1"/>
    <col min="9225" max="9225" width="8.85546875" style="1083" customWidth="1"/>
    <col min="9226" max="9226" width="8.5703125" style="1083" customWidth="1"/>
    <col min="9227" max="9227" width="11.42578125" style="1083" bestFit="1" customWidth="1"/>
    <col min="9228" max="9228" width="7.85546875" style="1083" bestFit="1" customWidth="1"/>
    <col min="9229" max="9229" width="11.5703125" style="1083" bestFit="1" customWidth="1"/>
    <col min="9230" max="9230" width="8" style="1083" bestFit="1" customWidth="1"/>
    <col min="9231" max="9231" width="11.5703125" style="1083" bestFit="1" customWidth="1"/>
    <col min="9232" max="9232" width="8.140625" style="1083" bestFit="1" customWidth="1"/>
    <col min="9233" max="9233" width="11.5703125" style="1083" bestFit="1" customWidth="1"/>
    <col min="9234" max="9234" width="8.42578125" style="1083" customWidth="1"/>
    <col min="9235" max="9235" width="7.42578125" style="1083" bestFit="1" customWidth="1"/>
    <col min="9236" max="9236" width="11.5703125" style="1083" bestFit="1" customWidth="1"/>
    <col min="9237" max="9237" width="8.140625" style="1083" customWidth="1"/>
    <col min="9238" max="9238" width="13" style="1083" bestFit="1" customWidth="1"/>
    <col min="9239" max="9477" width="10.85546875" style="1083"/>
    <col min="9478" max="9478" width="8.85546875" style="1083" customWidth="1"/>
    <col min="9479" max="9479" width="50" style="1083" customWidth="1"/>
    <col min="9480" max="9480" width="6.42578125" style="1083" bestFit="1" customWidth="1"/>
    <col min="9481" max="9481" width="8.85546875" style="1083" customWidth="1"/>
    <col min="9482" max="9482" width="8.5703125" style="1083" customWidth="1"/>
    <col min="9483" max="9483" width="11.42578125" style="1083" bestFit="1" customWidth="1"/>
    <col min="9484" max="9484" width="7.85546875" style="1083" bestFit="1" customWidth="1"/>
    <col min="9485" max="9485" width="11.5703125" style="1083" bestFit="1" customWidth="1"/>
    <col min="9486" max="9486" width="8" style="1083" bestFit="1" customWidth="1"/>
    <col min="9487" max="9487" width="11.5703125" style="1083" bestFit="1" customWidth="1"/>
    <col min="9488" max="9488" width="8.140625" style="1083" bestFit="1" customWidth="1"/>
    <col min="9489" max="9489" width="11.5703125" style="1083" bestFit="1" customWidth="1"/>
    <col min="9490" max="9490" width="8.42578125" style="1083" customWidth="1"/>
    <col min="9491" max="9491" width="7.42578125" style="1083" bestFit="1" customWidth="1"/>
    <col min="9492" max="9492" width="11.5703125" style="1083" bestFit="1" customWidth="1"/>
    <col min="9493" max="9493" width="8.140625" style="1083" customWidth="1"/>
    <col min="9494" max="9494" width="13" style="1083" bestFit="1" customWidth="1"/>
    <col min="9495" max="9733" width="10.85546875" style="1083"/>
    <col min="9734" max="9734" width="8.85546875" style="1083" customWidth="1"/>
    <col min="9735" max="9735" width="50" style="1083" customWidth="1"/>
    <col min="9736" max="9736" width="6.42578125" style="1083" bestFit="1" customWidth="1"/>
    <col min="9737" max="9737" width="8.85546875" style="1083" customWidth="1"/>
    <col min="9738" max="9738" width="8.5703125" style="1083" customWidth="1"/>
    <col min="9739" max="9739" width="11.42578125" style="1083" bestFit="1" customWidth="1"/>
    <col min="9740" max="9740" width="7.85546875" style="1083" bestFit="1" customWidth="1"/>
    <col min="9741" max="9741" width="11.5703125" style="1083" bestFit="1" customWidth="1"/>
    <col min="9742" max="9742" width="8" style="1083" bestFit="1" customWidth="1"/>
    <col min="9743" max="9743" width="11.5703125" style="1083" bestFit="1" customWidth="1"/>
    <col min="9744" max="9744" width="8.140625" style="1083" bestFit="1" customWidth="1"/>
    <col min="9745" max="9745" width="11.5703125" style="1083" bestFit="1" customWidth="1"/>
    <col min="9746" max="9746" width="8.42578125" style="1083" customWidth="1"/>
    <col min="9747" max="9747" width="7.42578125" style="1083" bestFit="1" customWidth="1"/>
    <col min="9748" max="9748" width="11.5703125" style="1083" bestFit="1" customWidth="1"/>
    <col min="9749" max="9749" width="8.140625" style="1083" customWidth="1"/>
    <col min="9750" max="9750" width="13" style="1083" bestFit="1" customWidth="1"/>
    <col min="9751" max="9989" width="10.85546875" style="1083"/>
    <col min="9990" max="9990" width="8.85546875" style="1083" customWidth="1"/>
    <col min="9991" max="9991" width="50" style="1083" customWidth="1"/>
    <col min="9992" max="9992" width="6.42578125" style="1083" bestFit="1" customWidth="1"/>
    <col min="9993" max="9993" width="8.85546875" style="1083" customWidth="1"/>
    <col min="9994" max="9994" width="8.5703125" style="1083" customWidth="1"/>
    <col min="9995" max="9995" width="11.42578125" style="1083" bestFit="1" customWidth="1"/>
    <col min="9996" max="9996" width="7.85546875" style="1083" bestFit="1" customWidth="1"/>
    <col min="9997" max="9997" width="11.5703125" style="1083" bestFit="1" customWidth="1"/>
    <col min="9998" max="9998" width="8" style="1083" bestFit="1" customWidth="1"/>
    <col min="9999" max="9999" width="11.5703125" style="1083" bestFit="1" customWidth="1"/>
    <col min="10000" max="10000" width="8.140625" style="1083" bestFit="1" customWidth="1"/>
    <col min="10001" max="10001" width="11.5703125" style="1083" bestFit="1" customWidth="1"/>
    <col min="10002" max="10002" width="8.42578125" style="1083" customWidth="1"/>
    <col min="10003" max="10003" width="7.42578125" style="1083" bestFit="1" customWidth="1"/>
    <col min="10004" max="10004" width="11.5703125" style="1083" bestFit="1" customWidth="1"/>
    <col min="10005" max="10005" width="8.140625" style="1083" customWidth="1"/>
    <col min="10006" max="10006" width="13" style="1083" bestFit="1" customWidth="1"/>
    <col min="10007" max="10245" width="10.85546875" style="1083"/>
    <col min="10246" max="10246" width="8.85546875" style="1083" customWidth="1"/>
    <col min="10247" max="10247" width="50" style="1083" customWidth="1"/>
    <col min="10248" max="10248" width="6.42578125" style="1083" bestFit="1" customWidth="1"/>
    <col min="10249" max="10249" width="8.85546875" style="1083" customWidth="1"/>
    <col min="10250" max="10250" width="8.5703125" style="1083" customWidth="1"/>
    <col min="10251" max="10251" width="11.42578125" style="1083" bestFit="1" customWidth="1"/>
    <col min="10252" max="10252" width="7.85546875" style="1083" bestFit="1" customWidth="1"/>
    <col min="10253" max="10253" width="11.5703125" style="1083" bestFit="1" customWidth="1"/>
    <col min="10254" max="10254" width="8" style="1083" bestFit="1" customWidth="1"/>
    <col min="10255" max="10255" width="11.5703125" style="1083" bestFit="1" customWidth="1"/>
    <col min="10256" max="10256" width="8.140625" style="1083" bestFit="1" customWidth="1"/>
    <col min="10257" max="10257" width="11.5703125" style="1083" bestFit="1" customWidth="1"/>
    <col min="10258" max="10258" width="8.42578125" style="1083" customWidth="1"/>
    <col min="10259" max="10259" width="7.42578125" style="1083" bestFit="1" customWidth="1"/>
    <col min="10260" max="10260" width="11.5703125" style="1083" bestFit="1" customWidth="1"/>
    <col min="10261" max="10261" width="8.140625" style="1083" customWidth="1"/>
    <col min="10262" max="10262" width="13" style="1083" bestFit="1" customWidth="1"/>
    <col min="10263" max="10501" width="10.85546875" style="1083"/>
    <col min="10502" max="10502" width="8.85546875" style="1083" customWidth="1"/>
    <col min="10503" max="10503" width="50" style="1083" customWidth="1"/>
    <col min="10504" max="10504" width="6.42578125" style="1083" bestFit="1" customWidth="1"/>
    <col min="10505" max="10505" width="8.85546875" style="1083" customWidth="1"/>
    <col min="10506" max="10506" width="8.5703125" style="1083" customWidth="1"/>
    <col min="10507" max="10507" width="11.42578125" style="1083" bestFit="1" customWidth="1"/>
    <col min="10508" max="10508" width="7.85546875" style="1083" bestFit="1" customWidth="1"/>
    <col min="10509" max="10509" width="11.5703125" style="1083" bestFit="1" customWidth="1"/>
    <col min="10510" max="10510" width="8" style="1083" bestFit="1" customWidth="1"/>
    <col min="10511" max="10511" width="11.5703125" style="1083" bestFit="1" customWidth="1"/>
    <col min="10512" max="10512" width="8.140625" style="1083" bestFit="1" customWidth="1"/>
    <col min="10513" max="10513" width="11.5703125" style="1083" bestFit="1" customWidth="1"/>
    <col min="10514" max="10514" width="8.42578125" style="1083" customWidth="1"/>
    <col min="10515" max="10515" width="7.42578125" style="1083" bestFit="1" customWidth="1"/>
    <col min="10516" max="10516" width="11.5703125" style="1083" bestFit="1" customWidth="1"/>
    <col min="10517" max="10517" width="8.140625" style="1083" customWidth="1"/>
    <col min="10518" max="10518" width="13" style="1083" bestFit="1" customWidth="1"/>
    <col min="10519" max="10757" width="10.85546875" style="1083"/>
    <col min="10758" max="10758" width="8.85546875" style="1083" customWidth="1"/>
    <col min="10759" max="10759" width="50" style="1083" customWidth="1"/>
    <col min="10760" max="10760" width="6.42578125" style="1083" bestFit="1" customWidth="1"/>
    <col min="10761" max="10761" width="8.85546875" style="1083" customWidth="1"/>
    <col min="10762" max="10762" width="8.5703125" style="1083" customWidth="1"/>
    <col min="10763" max="10763" width="11.42578125" style="1083" bestFit="1" customWidth="1"/>
    <col min="10764" max="10764" width="7.85546875" style="1083" bestFit="1" customWidth="1"/>
    <col min="10765" max="10765" width="11.5703125" style="1083" bestFit="1" customWidth="1"/>
    <col min="10766" max="10766" width="8" style="1083" bestFit="1" customWidth="1"/>
    <col min="10767" max="10767" width="11.5703125" style="1083" bestFit="1" customWidth="1"/>
    <col min="10768" max="10768" width="8.140625" style="1083" bestFit="1" customWidth="1"/>
    <col min="10769" max="10769" width="11.5703125" style="1083" bestFit="1" customWidth="1"/>
    <col min="10770" max="10770" width="8.42578125" style="1083" customWidth="1"/>
    <col min="10771" max="10771" width="7.42578125" style="1083" bestFit="1" customWidth="1"/>
    <col min="10772" max="10772" width="11.5703125" style="1083" bestFit="1" customWidth="1"/>
    <col min="10773" max="10773" width="8.140625" style="1083" customWidth="1"/>
    <col min="10774" max="10774" width="13" style="1083" bestFit="1" customWidth="1"/>
    <col min="10775" max="11013" width="10.85546875" style="1083"/>
    <col min="11014" max="11014" width="8.85546875" style="1083" customWidth="1"/>
    <col min="11015" max="11015" width="50" style="1083" customWidth="1"/>
    <col min="11016" max="11016" width="6.42578125" style="1083" bestFit="1" customWidth="1"/>
    <col min="11017" max="11017" width="8.85546875" style="1083" customWidth="1"/>
    <col min="11018" max="11018" width="8.5703125" style="1083" customWidth="1"/>
    <col min="11019" max="11019" width="11.42578125" style="1083" bestFit="1" customWidth="1"/>
    <col min="11020" max="11020" width="7.85546875" style="1083" bestFit="1" customWidth="1"/>
    <col min="11021" max="11021" width="11.5703125" style="1083" bestFit="1" customWidth="1"/>
    <col min="11022" max="11022" width="8" style="1083" bestFit="1" customWidth="1"/>
    <col min="11023" max="11023" width="11.5703125" style="1083" bestFit="1" customWidth="1"/>
    <col min="11024" max="11024" width="8.140625" style="1083" bestFit="1" customWidth="1"/>
    <col min="11025" max="11025" width="11.5703125" style="1083" bestFit="1" customWidth="1"/>
    <col min="11026" max="11026" width="8.42578125" style="1083" customWidth="1"/>
    <col min="11027" max="11027" width="7.42578125" style="1083" bestFit="1" customWidth="1"/>
    <col min="11028" max="11028" width="11.5703125" style="1083" bestFit="1" customWidth="1"/>
    <col min="11029" max="11029" width="8.140625" style="1083" customWidth="1"/>
    <col min="11030" max="11030" width="13" style="1083" bestFit="1" customWidth="1"/>
    <col min="11031" max="11269" width="10.85546875" style="1083"/>
    <col min="11270" max="11270" width="8.85546875" style="1083" customWidth="1"/>
    <col min="11271" max="11271" width="50" style="1083" customWidth="1"/>
    <col min="11272" max="11272" width="6.42578125" style="1083" bestFit="1" customWidth="1"/>
    <col min="11273" max="11273" width="8.85546875" style="1083" customWidth="1"/>
    <col min="11274" max="11274" width="8.5703125" style="1083" customWidth="1"/>
    <col min="11275" max="11275" width="11.42578125" style="1083" bestFit="1" customWidth="1"/>
    <col min="11276" max="11276" width="7.85546875" style="1083" bestFit="1" customWidth="1"/>
    <col min="11277" max="11277" width="11.5703125" style="1083" bestFit="1" customWidth="1"/>
    <col min="11278" max="11278" width="8" style="1083" bestFit="1" customWidth="1"/>
    <col min="11279" max="11279" width="11.5703125" style="1083" bestFit="1" customWidth="1"/>
    <col min="11280" max="11280" width="8.140625" style="1083" bestFit="1" customWidth="1"/>
    <col min="11281" max="11281" width="11.5703125" style="1083" bestFit="1" customWidth="1"/>
    <col min="11282" max="11282" width="8.42578125" style="1083" customWidth="1"/>
    <col min="11283" max="11283" width="7.42578125" style="1083" bestFit="1" customWidth="1"/>
    <col min="11284" max="11284" width="11.5703125" style="1083" bestFit="1" customWidth="1"/>
    <col min="11285" max="11285" width="8.140625" style="1083" customWidth="1"/>
    <col min="11286" max="11286" width="13" style="1083" bestFit="1" customWidth="1"/>
    <col min="11287" max="11525" width="10.85546875" style="1083"/>
    <col min="11526" max="11526" width="8.85546875" style="1083" customWidth="1"/>
    <col min="11527" max="11527" width="50" style="1083" customWidth="1"/>
    <col min="11528" max="11528" width="6.42578125" style="1083" bestFit="1" customWidth="1"/>
    <col min="11529" max="11529" width="8.85546875" style="1083" customWidth="1"/>
    <col min="11530" max="11530" width="8.5703125" style="1083" customWidth="1"/>
    <col min="11531" max="11531" width="11.42578125" style="1083" bestFit="1" customWidth="1"/>
    <col min="11532" max="11532" width="7.85546875" style="1083" bestFit="1" customWidth="1"/>
    <col min="11533" max="11533" width="11.5703125" style="1083" bestFit="1" customWidth="1"/>
    <col min="11534" max="11534" width="8" style="1083" bestFit="1" customWidth="1"/>
    <col min="11535" max="11535" width="11.5703125" style="1083" bestFit="1" customWidth="1"/>
    <col min="11536" max="11536" width="8.140625" style="1083" bestFit="1" customWidth="1"/>
    <col min="11537" max="11537" width="11.5703125" style="1083" bestFit="1" customWidth="1"/>
    <col min="11538" max="11538" width="8.42578125" style="1083" customWidth="1"/>
    <col min="11539" max="11539" width="7.42578125" style="1083" bestFit="1" customWidth="1"/>
    <col min="11540" max="11540" width="11.5703125" style="1083" bestFit="1" customWidth="1"/>
    <col min="11541" max="11541" width="8.140625" style="1083" customWidth="1"/>
    <col min="11542" max="11542" width="13" style="1083" bestFit="1" customWidth="1"/>
    <col min="11543" max="11781" width="10.85546875" style="1083"/>
    <col min="11782" max="11782" width="8.85546875" style="1083" customWidth="1"/>
    <col min="11783" max="11783" width="50" style="1083" customWidth="1"/>
    <col min="11784" max="11784" width="6.42578125" style="1083" bestFit="1" customWidth="1"/>
    <col min="11785" max="11785" width="8.85546875" style="1083" customWidth="1"/>
    <col min="11786" max="11786" width="8.5703125" style="1083" customWidth="1"/>
    <col min="11787" max="11787" width="11.42578125" style="1083" bestFit="1" customWidth="1"/>
    <col min="11788" max="11788" width="7.85546875" style="1083" bestFit="1" customWidth="1"/>
    <col min="11789" max="11789" width="11.5703125" style="1083" bestFit="1" customWidth="1"/>
    <col min="11790" max="11790" width="8" style="1083" bestFit="1" customWidth="1"/>
    <col min="11791" max="11791" width="11.5703125" style="1083" bestFit="1" customWidth="1"/>
    <col min="11792" max="11792" width="8.140625" style="1083" bestFit="1" customWidth="1"/>
    <col min="11793" max="11793" width="11.5703125" style="1083" bestFit="1" customWidth="1"/>
    <col min="11794" max="11794" width="8.42578125" style="1083" customWidth="1"/>
    <col min="11795" max="11795" width="7.42578125" style="1083" bestFit="1" customWidth="1"/>
    <col min="11796" max="11796" width="11.5703125" style="1083" bestFit="1" customWidth="1"/>
    <col min="11797" max="11797" width="8.140625" style="1083" customWidth="1"/>
    <col min="11798" max="11798" width="13" style="1083" bestFit="1" customWidth="1"/>
    <col min="11799" max="12037" width="10.85546875" style="1083"/>
    <col min="12038" max="12038" width="8.85546875" style="1083" customWidth="1"/>
    <col min="12039" max="12039" width="50" style="1083" customWidth="1"/>
    <col min="12040" max="12040" width="6.42578125" style="1083" bestFit="1" customWidth="1"/>
    <col min="12041" max="12041" width="8.85546875" style="1083" customWidth="1"/>
    <col min="12042" max="12042" width="8.5703125" style="1083" customWidth="1"/>
    <col min="12043" max="12043" width="11.42578125" style="1083" bestFit="1" customWidth="1"/>
    <col min="12044" max="12044" width="7.85546875" style="1083" bestFit="1" customWidth="1"/>
    <col min="12045" max="12045" width="11.5703125" style="1083" bestFit="1" customWidth="1"/>
    <col min="12046" max="12046" width="8" style="1083" bestFit="1" customWidth="1"/>
    <col min="12047" max="12047" width="11.5703125" style="1083" bestFit="1" customWidth="1"/>
    <col min="12048" max="12048" width="8.140625" style="1083" bestFit="1" customWidth="1"/>
    <col min="12049" max="12049" width="11.5703125" style="1083" bestFit="1" customWidth="1"/>
    <col min="12050" max="12050" width="8.42578125" style="1083" customWidth="1"/>
    <col min="12051" max="12051" width="7.42578125" style="1083" bestFit="1" customWidth="1"/>
    <col min="12052" max="12052" width="11.5703125" style="1083" bestFit="1" customWidth="1"/>
    <col min="12053" max="12053" width="8.140625" style="1083" customWidth="1"/>
    <col min="12054" max="12054" width="13" style="1083" bestFit="1" customWidth="1"/>
    <col min="12055" max="12293" width="10.85546875" style="1083"/>
    <col min="12294" max="12294" width="8.85546875" style="1083" customWidth="1"/>
    <col min="12295" max="12295" width="50" style="1083" customWidth="1"/>
    <col min="12296" max="12296" width="6.42578125" style="1083" bestFit="1" customWidth="1"/>
    <col min="12297" max="12297" width="8.85546875" style="1083" customWidth="1"/>
    <col min="12298" max="12298" width="8.5703125" style="1083" customWidth="1"/>
    <col min="12299" max="12299" width="11.42578125" style="1083" bestFit="1" customWidth="1"/>
    <col min="12300" max="12300" width="7.85546875" style="1083" bestFit="1" customWidth="1"/>
    <col min="12301" max="12301" width="11.5703125" style="1083" bestFit="1" customWidth="1"/>
    <col min="12302" max="12302" width="8" style="1083" bestFit="1" customWidth="1"/>
    <col min="12303" max="12303" width="11.5703125" style="1083" bestFit="1" customWidth="1"/>
    <col min="12304" max="12304" width="8.140625" style="1083" bestFit="1" customWidth="1"/>
    <col min="12305" max="12305" width="11.5703125" style="1083" bestFit="1" customWidth="1"/>
    <col min="12306" max="12306" width="8.42578125" style="1083" customWidth="1"/>
    <col min="12307" max="12307" width="7.42578125" style="1083" bestFit="1" customWidth="1"/>
    <col min="12308" max="12308" width="11.5703125" style="1083" bestFit="1" customWidth="1"/>
    <col min="12309" max="12309" width="8.140625" style="1083" customWidth="1"/>
    <col min="12310" max="12310" width="13" style="1083" bestFit="1" customWidth="1"/>
    <col min="12311" max="12549" width="10.85546875" style="1083"/>
    <col min="12550" max="12550" width="8.85546875" style="1083" customWidth="1"/>
    <col min="12551" max="12551" width="50" style="1083" customWidth="1"/>
    <col min="12552" max="12552" width="6.42578125" style="1083" bestFit="1" customWidth="1"/>
    <col min="12553" max="12553" width="8.85546875" style="1083" customWidth="1"/>
    <col min="12554" max="12554" width="8.5703125" style="1083" customWidth="1"/>
    <col min="12555" max="12555" width="11.42578125" style="1083" bestFit="1" customWidth="1"/>
    <col min="12556" max="12556" width="7.85546875" style="1083" bestFit="1" customWidth="1"/>
    <col min="12557" max="12557" width="11.5703125" style="1083" bestFit="1" customWidth="1"/>
    <col min="12558" max="12558" width="8" style="1083" bestFit="1" customWidth="1"/>
    <col min="12559" max="12559" width="11.5703125" style="1083" bestFit="1" customWidth="1"/>
    <col min="12560" max="12560" width="8.140625" style="1083" bestFit="1" customWidth="1"/>
    <col min="12561" max="12561" width="11.5703125" style="1083" bestFit="1" customWidth="1"/>
    <col min="12562" max="12562" width="8.42578125" style="1083" customWidth="1"/>
    <col min="12563" max="12563" width="7.42578125" style="1083" bestFit="1" customWidth="1"/>
    <col min="12564" max="12564" width="11.5703125" style="1083" bestFit="1" customWidth="1"/>
    <col min="12565" max="12565" width="8.140625" style="1083" customWidth="1"/>
    <col min="12566" max="12566" width="13" style="1083" bestFit="1" customWidth="1"/>
    <col min="12567" max="12805" width="10.85546875" style="1083"/>
    <col min="12806" max="12806" width="8.85546875" style="1083" customWidth="1"/>
    <col min="12807" max="12807" width="50" style="1083" customWidth="1"/>
    <col min="12808" max="12808" width="6.42578125" style="1083" bestFit="1" customWidth="1"/>
    <col min="12809" max="12809" width="8.85546875" style="1083" customWidth="1"/>
    <col min="12810" max="12810" width="8.5703125" style="1083" customWidth="1"/>
    <col min="12811" max="12811" width="11.42578125" style="1083" bestFit="1" customWidth="1"/>
    <col min="12812" max="12812" width="7.85546875" style="1083" bestFit="1" customWidth="1"/>
    <col min="12813" max="12813" width="11.5703125" style="1083" bestFit="1" customWidth="1"/>
    <col min="12814" max="12814" width="8" style="1083" bestFit="1" customWidth="1"/>
    <col min="12815" max="12815" width="11.5703125" style="1083" bestFit="1" customWidth="1"/>
    <col min="12816" max="12816" width="8.140625" style="1083" bestFit="1" customWidth="1"/>
    <col min="12817" max="12817" width="11.5703125" style="1083" bestFit="1" customWidth="1"/>
    <col min="12818" max="12818" width="8.42578125" style="1083" customWidth="1"/>
    <col min="12819" max="12819" width="7.42578125" style="1083" bestFit="1" customWidth="1"/>
    <col min="12820" max="12820" width="11.5703125" style="1083" bestFit="1" customWidth="1"/>
    <col min="12821" max="12821" width="8.140625" style="1083" customWidth="1"/>
    <col min="12822" max="12822" width="13" style="1083" bestFit="1" customWidth="1"/>
    <col min="12823" max="13061" width="10.85546875" style="1083"/>
    <col min="13062" max="13062" width="8.85546875" style="1083" customWidth="1"/>
    <col min="13063" max="13063" width="50" style="1083" customWidth="1"/>
    <col min="13064" max="13064" width="6.42578125" style="1083" bestFit="1" customWidth="1"/>
    <col min="13065" max="13065" width="8.85546875" style="1083" customWidth="1"/>
    <col min="13066" max="13066" width="8.5703125" style="1083" customWidth="1"/>
    <col min="13067" max="13067" width="11.42578125" style="1083" bestFit="1" customWidth="1"/>
    <col min="13068" max="13068" width="7.85546875" style="1083" bestFit="1" customWidth="1"/>
    <col min="13069" max="13069" width="11.5703125" style="1083" bestFit="1" customWidth="1"/>
    <col min="13070" max="13070" width="8" style="1083" bestFit="1" customWidth="1"/>
    <col min="13071" max="13071" width="11.5703125" style="1083" bestFit="1" customWidth="1"/>
    <col min="13072" max="13072" width="8.140625" style="1083" bestFit="1" customWidth="1"/>
    <col min="13073" max="13073" width="11.5703125" style="1083" bestFit="1" customWidth="1"/>
    <col min="13074" max="13074" width="8.42578125" style="1083" customWidth="1"/>
    <col min="13075" max="13075" width="7.42578125" style="1083" bestFit="1" customWidth="1"/>
    <col min="13076" max="13076" width="11.5703125" style="1083" bestFit="1" customWidth="1"/>
    <col min="13077" max="13077" width="8.140625" style="1083" customWidth="1"/>
    <col min="13078" max="13078" width="13" style="1083" bestFit="1" customWidth="1"/>
    <col min="13079" max="13317" width="10.85546875" style="1083"/>
    <col min="13318" max="13318" width="8.85546875" style="1083" customWidth="1"/>
    <col min="13319" max="13319" width="50" style="1083" customWidth="1"/>
    <col min="13320" max="13320" width="6.42578125" style="1083" bestFit="1" customWidth="1"/>
    <col min="13321" max="13321" width="8.85546875" style="1083" customWidth="1"/>
    <col min="13322" max="13322" width="8.5703125" style="1083" customWidth="1"/>
    <col min="13323" max="13323" width="11.42578125" style="1083" bestFit="1" customWidth="1"/>
    <col min="13324" max="13324" width="7.85546875" style="1083" bestFit="1" customWidth="1"/>
    <col min="13325" max="13325" width="11.5703125" style="1083" bestFit="1" customWidth="1"/>
    <col min="13326" max="13326" width="8" style="1083" bestFit="1" customWidth="1"/>
    <col min="13327" max="13327" width="11.5703125" style="1083" bestFit="1" customWidth="1"/>
    <col min="13328" max="13328" width="8.140625" style="1083" bestFit="1" customWidth="1"/>
    <col min="13329" max="13329" width="11.5703125" style="1083" bestFit="1" customWidth="1"/>
    <col min="13330" max="13330" width="8.42578125" style="1083" customWidth="1"/>
    <col min="13331" max="13331" width="7.42578125" style="1083" bestFit="1" customWidth="1"/>
    <col min="13332" max="13332" width="11.5703125" style="1083" bestFit="1" customWidth="1"/>
    <col min="13333" max="13333" width="8.140625" style="1083" customWidth="1"/>
    <col min="13334" max="13334" width="13" style="1083" bestFit="1" customWidth="1"/>
    <col min="13335" max="13573" width="10.85546875" style="1083"/>
    <col min="13574" max="13574" width="8.85546875" style="1083" customWidth="1"/>
    <col min="13575" max="13575" width="50" style="1083" customWidth="1"/>
    <col min="13576" max="13576" width="6.42578125" style="1083" bestFit="1" customWidth="1"/>
    <col min="13577" max="13577" width="8.85546875" style="1083" customWidth="1"/>
    <col min="13578" max="13578" width="8.5703125" style="1083" customWidth="1"/>
    <col min="13579" max="13579" width="11.42578125" style="1083" bestFit="1" customWidth="1"/>
    <col min="13580" max="13580" width="7.85546875" style="1083" bestFit="1" customWidth="1"/>
    <col min="13581" max="13581" width="11.5703125" style="1083" bestFit="1" customWidth="1"/>
    <col min="13582" max="13582" width="8" style="1083" bestFit="1" customWidth="1"/>
    <col min="13583" max="13583" width="11.5703125" style="1083" bestFit="1" customWidth="1"/>
    <col min="13584" max="13584" width="8.140625" style="1083" bestFit="1" customWidth="1"/>
    <col min="13585" max="13585" width="11.5703125" style="1083" bestFit="1" customWidth="1"/>
    <col min="13586" max="13586" width="8.42578125" style="1083" customWidth="1"/>
    <col min="13587" max="13587" width="7.42578125" style="1083" bestFit="1" customWidth="1"/>
    <col min="13588" max="13588" width="11.5703125" style="1083" bestFit="1" customWidth="1"/>
    <col min="13589" max="13589" width="8.140625" style="1083" customWidth="1"/>
    <col min="13590" max="13590" width="13" style="1083" bestFit="1" customWidth="1"/>
    <col min="13591" max="13829" width="10.85546875" style="1083"/>
    <col min="13830" max="13830" width="8.85546875" style="1083" customWidth="1"/>
    <col min="13831" max="13831" width="50" style="1083" customWidth="1"/>
    <col min="13832" max="13832" width="6.42578125" style="1083" bestFit="1" customWidth="1"/>
    <col min="13833" max="13833" width="8.85546875" style="1083" customWidth="1"/>
    <col min="13834" max="13834" width="8.5703125" style="1083" customWidth="1"/>
    <col min="13835" max="13835" width="11.42578125" style="1083" bestFit="1" customWidth="1"/>
    <col min="13836" max="13836" width="7.85546875" style="1083" bestFit="1" customWidth="1"/>
    <col min="13837" max="13837" width="11.5703125" style="1083" bestFit="1" customWidth="1"/>
    <col min="13838" max="13838" width="8" style="1083" bestFit="1" customWidth="1"/>
    <col min="13839" max="13839" width="11.5703125" style="1083" bestFit="1" customWidth="1"/>
    <col min="13840" max="13840" width="8.140625" style="1083" bestFit="1" customWidth="1"/>
    <col min="13841" max="13841" width="11.5703125" style="1083" bestFit="1" customWidth="1"/>
    <col min="13842" max="13842" width="8.42578125" style="1083" customWidth="1"/>
    <col min="13843" max="13843" width="7.42578125" style="1083" bestFit="1" customWidth="1"/>
    <col min="13844" max="13844" width="11.5703125" style="1083" bestFit="1" customWidth="1"/>
    <col min="13845" max="13845" width="8.140625" style="1083" customWidth="1"/>
    <col min="13846" max="13846" width="13" style="1083" bestFit="1" customWidth="1"/>
    <col min="13847" max="14085" width="10.85546875" style="1083"/>
    <col min="14086" max="14086" width="8.85546875" style="1083" customWidth="1"/>
    <col min="14087" max="14087" width="50" style="1083" customWidth="1"/>
    <col min="14088" max="14088" width="6.42578125" style="1083" bestFit="1" customWidth="1"/>
    <col min="14089" max="14089" width="8.85546875" style="1083" customWidth="1"/>
    <col min="14090" max="14090" width="8.5703125" style="1083" customWidth="1"/>
    <col min="14091" max="14091" width="11.42578125" style="1083" bestFit="1" customWidth="1"/>
    <col min="14092" max="14092" width="7.85546875" style="1083" bestFit="1" customWidth="1"/>
    <col min="14093" max="14093" width="11.5703125" style="1083" bestFit="1" customWidth="1"/>
    <col min="14094" max="14094" width="8" style="1083" bestFit="1" customWidth="1"/>
    <col min="14095" max="14095" width="11.5703125" style="1083" bestFit="1" customWidth="1"/>
    <col min="14096" max="14096" width="8.140625" style="1083" bestFit="1" customWidth="1"/>
    <col min="14097" max="14097" width="11.5703125" style="1083" bestFit="1" customWidth="1"/>
    <col min="14098" max="14098" width="8.42578125" style="1083" customWidth="1"/>
    <col min="14099" max="14099" width="7.42578125" style="1083" bestFit="1" customWidth="1"/>
    <col min="14100" max="14100" width="11.5703125" style="1083" bestFit="1" customWidth="1"/>
    <col min="14101" max="14101" width="8.140625" style="1083" customWidth="1"/>
    <col min="14102" max="14102" width="13" style="1083" bestFit="1" customWidth="1"/>
    <col min="14103" max="14341" width="10.85546875" style="1083"/>
    <col min="14342" max="14342" width="8.85546875" style="1083" customWidth="1"/>
    <col min="14343" max="14343" width="50" style="1083" customWidth="1"/>
    <col min="14344" max="14344" width="6.42578125" style="1083" bestFit="1" customWidth="1"/>
    <col min="14345" max="14345" width="8.85546875" style="1083" customWidth="1"/>
    <col min="14346" max="14346" width="8.5703125" style="1083" customWidth="1"/>
    <col min="14347" max="14347" width="11.42578125" style="1083" bestFit="1" customWidth="1"/>
    <col min="14348" max="14348" width="7.85546875" style="1083" bestFit="1" customWidth="1"/>
    <col min="14349" max="14349" width="11.5703125" style="1083" bestFit="1" customWidth="1"/>
    <col min="14350" max="14350" width="8" style="1083" bestFit="1" customWidth="1"/>
    <col min="14351" max="14351" width="11.5703125" style="1083" bestFit="1" customWidth="1"/>
    <col min="14352" max="14352" width="8.140625" style="1083" bestFit="1" customWidth="1"/>
    <col min="14353" max="14353" width="11.5703125" style="1083" bestFit="1" customWidth="1"/>
    <col min="14354" max="14354" width="8.42578125" style="1083" customWidth="1"/>
    <col min="14355" max="14355" width="7.42578125" style="1083" bestFit="1" customWidth="1"/>
    <col min="14356" max="14356" width="11.5703125" style="1083" bestFit="1" customWidth="1"/>
    <col min="14357" max="14357" width="8.140625" style="1083" customWidth="1"/>
    <col min="14358" max="14358" width="13" style="1083" bestFit="1" customWidth="1"/>
    <col min="14359" max="14597" width="10.85546875" style="1083"/>
    <col min="14598" max="14598" width="8.85546875" style="1083" customWidth="1"/>
    <col min="14599" max="14599" width="50" style="1083" customWidth="1"/>
    <col min="14600" max="14600" width="6.42578125" style="1083" bestFit="1" customWidth="1"/>
    <col min="14601" max="14601" width="8.85546875" style="1083" customWidth="1"/>
    <col min="14602" max="14602" width="8.5703125" style="1083" customWidth="1"/>
    <col min="14603" max="14603" width="11.42578125" style="1083" bestFit="1" customWidth="1"/>
    <col min="14604" max="14604" width="7.85546875" style="1083" bestFit="1" customWidth="1"/>
    <col min="14605" max="14605" width="11.5703125" style="1083" bestFit="1" customWidth="1"/>
    <col min="14606" max="14606" width="8" style="1083" bestFit="1" customWidth="1"/>
    <col min="14607" max="14607" width="11.5703125" style="1083" bestFit="1" customWidth="1"/>
    <col min="14608" max="14608" width="8.140625" style="1083" bestFit="1" customWidth="1"/>
    <col min="14609" max="14609" width="11.5703125" style="1083" bestFit="1" customWidth="1"/>
    <col min="14610" max="14610" width="8.42578125" style="1083" customWidth="1"/>
    <col min="14611" max="14611" width="7.42578125" style="1083" bestFit="1" customWidth="1"/>
    <col min="14612" max="14612" width="11.5703125" style="1083" bestFit="1" customWidth="1"/>
    <col min="14613" max="14613" width="8.140625" style="1083" customWidth="1"/>
    <col min="14614" max="14614" width="13" style="1083" bestFit="1" customWidth="1"/>
    <col min="14615" max="14853" width="10.85546875" style="1083"/>
    <col min="14854" max="14854" width="8.85546875" style="1083" customWidth="1"/>
    <col min="14855" max="14855" width="50" style="1083" customWidth="1"/>
    <col min="14856" max="14856" width="6.42578125" style="1083" bestFit="1" customWidth="1"/>
    <col min="14857" max="14857" width="8.85546875" style="1083" customWidth="1"/>
    <col min="14858" max="14858" width="8.5703125" style="1083" customWidth="1"/>
    <col min="14859" max="14859" width="11.42578125" style="1083" bestFit="1" customWidth="1"/>
    <col min="14860" max="14860" width="7.85546875" style="1083" bestFit="1" customWidth="1"/>
    <col min="14861" max="14861" width="11.5703125" style="1083" bestFit="1" customWidth="1"/>
    <col min="14862" max="14862" width="8" style="1083" bestFit="1" customWidth="1"/>
    <col min="14863" max="14863" width="11.5703125" style="1083" bestFit="1" customWidth="1"/>
    <col min="14864" max="14864" width="8.140625" style="1083" bestFit="1" customWidth="1"/>
    <col min="14865" max="14865" width="11.5703125" style="1083" bestFit="1" customWidth="1"/>
    <col min="14866" max="14866" width="8.42578125" style="1083" customWidth="1"/>
    <col min="14867" max="14867" width="7.42578125" style="1083" bestFit="1" customWidth="1"/>
    <col min="14868" max="14868" width="11.5703125" style="1083" bestFit="1" customWidth="1"/>
    <col min="14869" max="14869" width="8.140625" style="1083" customWidth="1"/>
    <col min="14870" max="14870" width="13" style="1083" bestFit="1" customWidth="1"/>
    <col min="14871" max="15109" width="10.85546875" style="1083"/>
    <col min="15110" max="15110" width="8.85546875" style="1083" customWidth="1"/>
    <col min="15111" max="15111" width="50" style="1083" customWidth="1"/>
    <col min="15112" max="15112" width="6.42578125" style="1083" bestFit="1" customWidth="1"/>
    <col min="15113" max="15113" width="8.85546875" style="1083" customWidth="1"/>
    <col min="15114" max="15114" width="8.5703125" style="1083" customWidth="1"/>
    <col min="15115" max="15115" width="11.42578125" style="1083" bestFit="1" customWidth="1"/>
    <col min="15116" max="15116" width="7.85546875" style="1083" bestFit="1" customWidth="1"/>
    <col min="15117" max="15117" width="11.5703125" style="1083" bestFit="1" customWidth="1"/>
    <col min="15118" max="15118" width="8" style="1083" bestFit="1" customWidth="1"/>
    <col min="15119" max="15119" width="11.5703125" style="1083" bestFit="1" customWidth="1"/>
    <col min="15120" max="15120" width="8.140625" style="1083" bestFit="1" customWidth="1"/>
    <col min="15121" max="15121" width="11.5703125" style="1083" bestFit="1" customWidth="1"/>
    <col min="15122" max="15122" width="8.42578125" style="1083" customWidth="1"/>
    <col min="15123" max="15123" width="7.42578125" style="1083" bestFit="1" customWidth="1"/>
    <col min="15124" max="15124" width="11.5703125" style="1083" bestFit="1" customWidth="1"/>
    <col min="15125" max="15125" width="8.140625" style="1083" customWidth="1"/>
    <col min="15126" max="15126" width="13" style="1083" bestFit="1" customWidth="1"/>
    <col min="15127" max="15365" width="10.85546875" style="1083"/>
    <col min="15366" max="15366" width="8.85546875" style="1083" customWidth="1"/>
    <col min="15367" max="15367" width="50" style="1083" customWidth="1"/>
    <col min="15368" max="15368" width="6.42578125" style="1083" bestFit="1" customWidth="1"/>
    <col min="15369" max="15369" width="8.85546875" style="1083" customWidth="1"/>
    <col min="15370" max="15370" width="8.5703125" style="1083" customWidth="1"/>
    <col min="15371" max="15371" width="11.42578125" style="1083" bestFit="1" customWidth="1"/>
    <col min="15372" max="15372" width="7.85546875" style="1083" bestFit="1" customWidth="1"/>
    <col min="15373" max="15373" width="11.5703125" style="1083" bestFit="1" customWidth="1"/>
    <col min="15374" max="15374" width="8" style="1083" bestFit="1" customWidth="1"/>
    <col min="15375" max="15375" width="11.5703125" style="1083" bestFit="1" customWidth="1"/>
    <col min="15376" max="15376" width="8.140625" style="1083" bestFit="1" customWidth="1"/>
    <col min="15377" max="15377" width="11.5703125" style="1083" bestFit="1" customWidth="1"/>
    <col min="15378" max="15378" width="8.42578125" style="1083" customWidth="1"/>
    <col min="15379" max="15379" width="7.42578125" style="1083" bestFit="1" customWidth="1"/>
    <col min="15380" max="15380" width="11.5703125" style="1083" bestFit="1" customWidth="1"/>
    <col min="15381" max="15381" width="8.140625" style="1083" customWidth="1"/>
    <col min="15382" max="15382" width="13" style="1083" bestFit="1" customWidth="1"/>
    <col min="15383" max="15621" width="10.85546875" style="1083"/>
    <col min="15622" max="15622" width="8.85546875" style="1083" customWidth="1"/>
    <col min="15623" max="15623" width="50" style="1083" customWidth="1"/>
    <col min="15624" max="15624" width="6.42578125" style="1083" bestFit="1" customWidth="1"/>
    <col min="15625" max="15625" width="8.85546875" style="1083" customWidth="1"/>
    <col min="15626" max="15626" width="8.5703125" style="1083" customWidth="1"/>
    <col min="15627" max="15627" width="11.42578125" style="1083" bestFit="1" customWidth="1"/>
    <col min="15628" max="15628" width="7.85546875" style="1083" bestFit="1" customWidth="1"/>
    <col min="15629" max="15629" width="11.5703125" style="1083" bestFit="1" customWidth="1"/>
    <col min="15630" max="15630" width="8" style="1083" bestFit="1" customWidth="1"/>
    <col min="15631" max="15631" width="11.5703125" style="1083" bestFit="1" customWidth="1"/>
    <col min="15632" max="15632" width="8.140625" style="1083" bestFit="1" customWidth="1"/>
    <col min="15633" max="15633" width="11.5703125" style="1083" bestFit="1" customWidth="1"/>
    <col min="15634" max="15634" width="8.42578125" style="1083" customWidth="1"/>
    <col min="15635" max="15635" width="7.42578125" style="1083" bestFit="1" customWidth="1"/>
    <col min="15636" max="15636" width="11.5703125" style="1083" bestFit="1" customWidth="1"/>
    <col min="15637" max="15637" width="8.140625" style="1083" customWidth="1"/>
    <col min="15638" max="15638" width="13" style="1083" bestFit="1" customWidth="1"/>
    <col min="15639" max="15877" width="10.85546875" style="1083"/>
    <col min="15878" max="15878" width="8.85546875" style="1083" customWidth="1"/>
    <col min="15879" max="15879" width="50" style="1083" customWidth="1"/>
    <col min="15880" max="15880" width="6.42578125" style="1083" bestFit="1" customWidth="1"/>
    <col min="15881" max="15881" width="8.85546875" style="1083" customWidth="1"/>
    <col min="15882" max="15882" width="8.5703125" style="1083" customWidth="1"/>
    <col min="15883" max="15883" width="11.42578125" style="1083" bestFit="1" customWidth="1"/>
    <col min="15884" max="15884" width="7.85546875" style="1083" bestFit="1" customWidth="1"/>
    <col min="15885" max="15885" width="11.5703125" style="1083" bestFit="1" customWidth="1"/>
    <col min="15886" max="15886" width="8" style="1083" bestFit="1" customWidth="1"/>
    <col min="15887" max="15887" width="11.5703125" style="1083" bestFit="1" customWidth="1"/>
    <col min="15888" max="15888" width="8.140625" style="1083" bestFit="1" customWidth="1"/>
    <col min="15889" max="15889" width="11.5703125" style="1083" bestFit="1" customWidth="1"/>
    <col min="15890" max="15890" width="8.42578125" style="1083" customWidth="1"/>
    <col min="15891" max="15891" width="7.42578125" style="1083" bestFit="1" customWidth="1"/>
    <col min="15892" max="15892" width="11.5703125" style="1083" bestFit="1" customWidth="1"/>
    <col min="15893" max="15893" width="8.140625" style="1083" customWidth="1"/>
    <col min="15894" max="15894" width="13" style="1083" bestFit="1" customWidth="1"/>
    <col min="15895" max="16133" width="10.85546875" style="1083"/>
    <col min="16134" max="16134" width="8.85546875" style="1083" customWidth="1"/>
    <col min="16135" max="16135" width="50" style="1083" customWidth="1"/>
    <col min="16136" max="16136" width="6.42578125" style="1083" bestFit="1" customWidth="1"/>
    <col min="16137" max="16137" width="8.85546875" style="1083" customWidth="1"/>
    <col min="16138" max="16138" width="8.5703125" style="1083" customWidth="1"/>
    <col min="16139" max="16139" width="11.42578125" style="1083" bestFit="1" customWidth="1"/>
    <col min="16140" max="16140" width="7.85546875" style="1083" bestFit="1" customWidth="1"/>
    <col min="16141" max="16141" width="11.5703125" style="1083" bestFit="1" customWidth="1"/>
    <col min="16142" max="16142" width="8" style="1083" bestFit="1" customWidth="1"/>
    <col min="16143" max="16143" width="11.5703125" style="1083" bestFit="1" customWidth="1"/>
    <col min="16144" max="16144" width="8.140625" style="1083" bestFit="1" customWidth="1"/>
    <col min="16145" max="16145" width="11.5703125" style="1083" bestFit="1" customWidth="1"/>
    <col min="16146" max="16146" width="8.42578125" style="1083" customWidth="1"/>
    <col min="16147" max="16147" width="7.42578125" style="1083" bestFit="1" customWidth="1"/>
    <col min="16148" max="16148" width="11.5703125" style="1083" bestFit="1" customWidth="1"/>
    <col min="16149" max="16149" width="8.140625" style="1083" customWidth="1"/>
    <col min="16150" max="16150" width="13" style="1083" bestFit="1" customWidth="1"/>
    <col min="16151" max="16384" width="10.85546875" style="1083"/>
  </cols>
  <sheetData>
    <row r="1" spans="2:25" s="1399" customFormat="1" ht="15">
      <c r="B1" s="2864" t="s">
        <v>12</v>
      </c>
      <c r="C1" s="2864"/>
      <c r="D1" s="2864"/>
      <c r="E1" s="2864"/>
      <c r="F1" s="2864"/>
      <c r="G1" s="2864"/>
      <c r="H1" s="2864"/>
      <c r="I1" s="2864"/>
      <c r="J1" s="2864"/>
      <c r="K1" s="2864"/>
      <c r="L1" s="2865"/>
      <c r="M1" s="2864"/>
      <c r="N1" s="2864"/>
      <c r="O1" s="2864"/>
      <c r="P1" s="2864"/>
      <c r="Q1" s="2864"/>
      <c r="R1" s="2864"/>
      <c r="S1" s="2864"/>
      <c r="W1" s="1400"/>
    </row>
    <row r="2" spans="2:25" s="1399" customFormat="1" ht="15">
      <c r="B2" s="2866" t="s">
        <v>4354</v>
      </c>
      <c r="C2" s="2866"/>
      <c r="D2" s="2866"/>
      <c r="E2" s="2866"/>
      <c r="F2" s="2866"/>
      <c r="G2" s="2866"/>
      <c r="H2" s="2866"/>
      <c r="I2" s="2866"/>
      <c r="J2" s="2866"/>
      <c r="K2" s="2866"/>
      <c r="L2" s="2866"/>
      <c r="M2" s="2866"/>
      <c r="N2" s="2866"/>
      <c r="O2" s="2866"/>
      <c r="P2" s="2866"/>
      <c r="Q2" s="2866"/>
      <c r="R2" s="2866"/>
      <c r="S2" s="2866"/>
      <c r="W2" s="1400"/>
    </row>
    <row r="3" spans="2:25" s="1399" customFormat="1" ht="15">
      <c r="B3" s="2864" t="s">
        <v>4355</v>
      </c>
      <c r="C3" s="2864"/>
      <c r="D3" s="2864"/>
      <c r="E3" s="2864"/>
      <c r="F3" s="2864"/>
      <c r="G3" s="2864"/>
      <c r="H3" s="2864"/>
      <c r="I3" s="2864"/>
      <c r="J3" s="2864"/>
      <c r="K3" s="2864"/>
      <c r="L3" s="2865"/>
      <c r="M3" s="2864"/>
      <c r="N3" s="2864"/>
      <c r="O3" s="2864"/>
      <c r="P3" s="2864"/>
      <c r="Q3" s="2864"/>
      <c r="R3" s="2864"/>
      <c r="S3" s="2864"/>
      <c r="W3" s="1400"/>
    </row>
    <row r="4" spans="2:25" ht="28.35" customHeight="1">
      <c r="B4" s="1401"/>
      <c r="C4" s="1402" t="s">
        <v>6</v>
      </c>
      <c r="D4" s="1403" t="s">
        <v>4</v>
      </c>
      <c r="E4" s="2867" t="s">
        <v>2832</v>
      </c>
      <c r="F4" s="2867"/>
      <c r="G4" s="2867"/>
      <c r="H4" s="2867"/>
      <c r="I4" s="2867"/>
      <c r="J4" s="2867"/>
      <c r="K4" s="2867"/>
      <c r="L4" s="2867"/>
      <c r="M4" s="2867"/>
      <c r="N4" s="2867"/>
      <c r="O4" s="2867"/>
      <c r="P4" s="1404" t="s">
        <v>13</v>
      </c>
      <c r="Q4" s="1405"/>
      <c r="R4" s="2829">
        <f ca="1">TODAY()</f>
        <v>44841</v>
      </c>
      <c r="S4" s="2829"/>
      <c r="W4" s="1083"/>
    </row>
    <row r="5" spans="2:25">
      <c r="B5" s="1406"/>
      <c r="C5" s="1407" t="s">
        <v>5</v>
      </c>
      <c r="D5" s="1408" t="s">
        <v>4</v>
      </c>
      <c r="E5" s="1409" t="s">
        <v>533</v>
      </c>
      <c r="F5" s="1406"/>
      <c r="G5" s="1406"/>
      <c r="H5" s="1406"/>
      <c r="I5" s="1406"/>
      <c r="J5" s="1406"/>
      <c r="K5" s="1401"/>
      <c r="L5" s="1200"/>
      <c r="M5" s="1401"/>
      <c r="N5" s="1401"/>
      <c r="O5" s="1401"/>
      <c r="P5" s="1406" t="s">
        <v>14</v>
      </c>
      <c r="Q5" s="1410"/>
      <c r="R5" s="1406"/>
      <c r="S5" s="1411" t="s">
        <v>536</v>
      </c>
      <c r="W5" s="1083"/>
    </row>
    <row r="6" spans="2:25">
      <c r="B6" s="1410"/>
      <c r="C6" s="1407" t="s">
        <v>15</v>
      </c>
      <c r="D6" s="1408" t="s">
        <v>4</v>
      </c>
      <c r="E6" s="1409" t="s">
        <v>3677</v>
      </c>
      <c r="F6" s="1401"/>
      <c r="G6" s="1401"/>
      <c r="H6" s="1410"/>
      <c r="I6" s="1410"/>
      <c r="J6" s="1401"/>
      <c r="K6" s="1401"/>
      <c r="L6" s="1199"/>
      <c r="M6" s="1401"/>
      <c r="N6" s="1401"/>
      <c r="O6" s="1401"/>
      <c r="P6" s="1406" t="s">
        <v>16</v>
      </c>
      <c r="Q6" s="1410"/>
      <c r="R6" s="1410"/>
      <c r="S6" s="1411" t="s">
        <v>536</v>
      </c>
      <c r="W6" s="1083"/>
    </row>
    <row r="7" spans="2:25">
      <c r="B7" s="1410"/>
      <c r="C7" s="1407" t="s">
        <v>17</v>
      </c>
      <c r="D7" s="1408" t="s">
        <v>4</v>
      </c>
      <c r="E7" s="1409" t="s">
        <v>11</v>
      </c>
      <c r="F7" s="1401"/>
      <c r="G7" s="1401"/>
      <c r="H7" s="1410"/>
      <c r="I7" s="1410"/>
      <c r="J7" s="1401"/>
      <c r="K7" s="1401"/>
      <c r="L7" s="1199"/>
      <c r="M7" s="1408"/>
      <c r="N7" s="1408"/>
      <c r="O7" s="1401"/>
      <c r="P7" s="1406" t="s">
        <v>18</v>
      </c>
      <c r="Q7" s="1410"/>
      <c r="R7" s="1412"/>
      <c r="S7" s="1411" t="s">
        <v>10</v>
      </c>
      <c r="W7" s="1083"/>
    </row>
    <row r="8" spans="2:25" ht="14.25" thickBot="1">
      <c r="B8" s="1410"/>
      <c r="C8" s="1407" t="s">
        <v>19</v>
      </c>
      <c r="D8" s="1408" t="s">
        <v>4</v>
      </c>
      <c r="E8" s="1413">
        <v>2021</v>
      </c>
      <c r="F8" s="1401"/>
      <c r="G8" s="1401"/>
      <c r="H8" s="1410"/>
      <c r="I8" s="1410"/>
      <c r="J8" s="1401"/>
      <c r="K8" s="1401"/>
      <c r="L8" s="1199"/>
      <c r="M8" s="1401"/>
      <c r="N8" s="1408"/>
      <c r="O8" s="1414"/>
      <c r="P8" s="1401"/>
      <c r="Q8" s="1410"/>
      <c r="R8" s="1410"/>
      <c r="S8" s="1410"/>
      <c r="W8" s="1083"/>
    </row>
    <row r="9" spans="2:25" ht="14.25" thickBot="1">
      <c r="B9" s="2847" t="s">
        <v>20</v>
      </c>
      <c r="C9" s="2847" t="s">
        <v>21</v>
      </c>
      <c r="D9" s="2869" t="s">
        <v>22</v>
      </c>
      <c r="E9" s="2849" t="s">
        <v>23</v>
      </c>
      <c r="F9" s="2850"/>
      <c r="G9" s="2850"/>
      <c r="H9" s="2851"/>
      <c r="I9" s="1523"/>
      <c r="J9" s="2855" t="s">
        <v>24</v>
      </c>
      <c r="K9" s="2857"/>
      <c r="L9" s="2872"/>
      <c r="M9" s="2873"/>
      <c r="N9" s="2857"/>
      <c r="O9" s="2857"/>
      <c r="P9" s="2856"/>
      <c r="Q9" s="2849" t="s">
        <v>25</v>
      </c>
      <c r="R9" s="2850"/>
      <c r="S9" s="2851"/>
    </row>
    <row r="10" spans="2:25" ht="14.25" thickBot="1">
      <c r="B10" s="2868"/>
      <c r="C10" s="2868"/>
      <c r="D10" s="2870"/>
      <c r="E10" s="2852"/>
      <c r="F10" s="2853"/>
      <c r="G10" s="2853"/>
      <c r="H10" s="2854"/>
      <c r="I10" s="1524"/>
      <c r="J10" s="2855" t="s">
        <v>26</v>
      </c>
      <c r="K10" s="2856"/>
      <c r="L10" s="2855" t="s">
        <v>27</v>
      </c>
      <c r="M10" s="2856"/>
      <c r="N10" s="2855" t="s">
        <v>28</v>
      </c>
      <c r="O10" s="2857"/>
      <c r="P10" s="2856"/>
      <c r="Q10" s="2852"/>
      <c r="R10" s="2853"/>
      <c r="S10" s="2854"/>
    </row>
    <row r="11" spans="2:25" ht="14.25" thickBot="1">
      <c r="B11" s="2868"/>
      <c r="C11" s="2868"/>
      <c r="D11" s="2870"/>
      <c r="E11" s="2847" t="s">
        <v>29</v>
      </c>
      <c r="F11" s="2847" t="s">
        <v>30</v>
      </c>
      <c r="G11" s="2858" t="s">
        <v>3919</v>
      </c>
      <c r="H11" s="2860" t="s">
        <v>3921</v>
      </c>
      <c r="I11" s="2858" t="s">
        <v>3920</v>
      </c>
      <c r="J11" s="2847" t="s">
        <v>3</v>
      </c>
      <c r="K11" s="2847" t="s">
        <v>32</v>
      </c>
      <c r="L11" s="2676" t="s">
        <v>3</v>
      </c>
      <c r="M11" s="2847" t="s">
        <v>32</v>
      </c>
      <c r="N11" s="2847" t="s">
        <v>3</v>
      </c>
      <c r="O11" s="2847" t="s">
        <v>32</v>
      </c>
      <c r="P11" s="2847" t="s">
        <v>0</v>
      </c>
      <c r="Q11" s="2847" t="s">
        <v>3</v>
      </c>
      <c r="R11" s="2862" t="s">
        <v>32</v>
      </c>
      <c r="S11" s="2847" t="s">
        <v>0</v>
      </c>
      <c r="W11" s="2786" t="s">
        <v>3623</v>
      </c>
      <c r="X11" s="2787"/>
      <c r="Y11" s="2788"/>
    </row>
    <row r="12" spans="2:25" ht="14.25" thickBot="1">
      <c r="B12" s="2848"/>
      <c r="C12" s="2848"/>
      <c r="D12" s="2871"/>
      <c r="E12" s="2848"/>
      <c r="F12" s="2848"/>
      <c r="G12" s="2859"/>
      <c r="H12" s="2861"/>
      <c r="I12" s="2859"/>
      <c r="J12" s="2848"/>
      <c r="K12" s="2848"/>
      <c r="L12" s="2678"/>
      <c r="M12" s="2848"/>
      <c r="N12" s="2848"/>
      <c r="O12" s="2848"/>
      <c r="P12" s="2848"/>
      <c r="Q12" s="2848"/>
      <c r="R12" s="2863"/>
      <c r="S12" s="2848"/>
    </row>
    <row r="13" spans="2:25" ht="9" customHeight="1" thickBot="1">
      <c r="B13" s="1415"/>
      <c r="C13" s="1416"/>
      <c r="D13" s="1417"/>
      <c r="E13" s="1415"/>
      <c r="F13" s="1416"/>
      <c r="G13" s="1416"/>
      <c r="H13" s="1418"/>
      <c r="I13" s="1416"/>
      <c r="J13" s="1415"/>
      <c r="K13" s="1417"/>
      <c r="L13" s="1208"/>
      <c r="M13" s="1417"/>
      <c r="N13" s="1415"/>
      <c r="O13" s="1416"/>
      <c r="P13" s="1418"/>
      <c r="Q13" s="1415"/>
      <c r="R13" s="1419"/>
      <c r="S13" s="1418"/>
    </row>
    <row r="14" spans="2:25" s="1436" customFormat="1" ht="28.5" customHeight="1" thickBot="1">
      <c r="B14" s="1420"/>
      <c r="C14" s="1421" t="s">
        <v>3720</v>
      </c>
      <c r="D14" s="1422"/>
      <c r="E14" s="1423"/>
      <c r="F14" s="1424"/>
      <c r="G14" s="1525"/>
      <c r="H14" s="1425"/>
      <c r="I14" s="1526"/>
      <c r="J14" s="1426"/>
      <c r="K14" s="1427"/>
      <c r="L14" s="2036"/>
      <c r="M14" s="1428"/>
      <c r="N14" s="1429"/>
      <c r="O14" s="1430"/>
      <c r="P14" s="1431"/>
      <c r="Q14" s="1429"/>
      <c r="R14" s="1432"/>
      <c r="S14" s="1431"/>
      <c r="T14" s="1433"/>
      <c r="U14" s="1433"/>
      <c r="V14" s="1433"/>
      <c r="W14" s="1434" t="s">
        <v>3624</v>
      </c>
      <c r="X14" s="1266"/>
      <c r="Y14" s="1435">
        <f>SUM(M16:M257)</f>
        <v>83706.038454499998</v>
      </c>
    </row>
    <row r="15" spans="2:25" s="1266" customFormat="1">
      <c r="B15" s="1892" t="s">
        <v>33</v>
      </c>
      <c r="C15" s="1893" t="s">
        <v>3625</v>
      </c>
      <c r="D15" s="1438"/>
      <c r="E15" s="1439"/>
      <c r="F15" s="1440"/>
      <c r="G15" s="1528"/>
      <c r="H15" s="1441"/>
      <c r="I15" s="1529"/>
      <c r="J15" s="1442"/>
      <c r="K15" s="1443"/>
      <c r="L15" s="1653"/>
      <c r="M15" s="1444"/>
      <c r="N15" s="1445"/>
      <c r="O15" s="1446"/>
      <c r="P15" s="1447" t="str">
        <f t="shared" ref="P15" si="0">+IF(D15=0,"",O15/H15)</f>
        <v/>
      </c>
      <c r="Q15" s="1445"/>
      <c r="R15" s="1446"/>
      <c r="S15" s="1447"/>
      <c r="T15" s="1435"/>
      <c r="U15" s="1435"/>
      <c r="V15" s="1435"/>
      <c r="W15" s="1434" t="s">
        <v>3625</v>
      </c>
      <c r="Y15" s="1448" t="e">
        <f>SUM(#REF!)</f>
        <v>#REF!</v>
      </c>
    </row>
    <row r="16" spans="2:25" s="1255" customFormat="1">
      <c r="B16" s="1527" t="s">
        <v>35</v>
      </c>
      <c r="C16" s="1521" t="s">
        <v>2898</v>
      </c>
      <c r="D16" s="1450"/>
      <c r="E16" s="1451"/>
      <c r="F16" s="1452"/>
      <c r="G16" s="1530"/>
      <c r="H16" s="1453"/>
      <c r="I16" s="1531"/>
      <c r="J16" s="1454"/>
      <c r="K16" s="1455"/>
      <c r="L16" s="1666"/>
      <c r="M16" s="1456"/>
      <c r="N16" s="1457"/>
      <c r="O16" s="1458"/>
      <c r="P16" s="1459"/>
      <c r="Q16" s="1460"/>
      <c r="R16" s="1461"/>
      <c r="S16" s="1462"/>
      <c r="T16" s="1260">
        <f>+R16+O16</f>
        <v>0</v>
      </c>
      <c r="U16" s="1260">
        <f t="shared" ref="U16:U23" si="1">+H16</f>
        <v>0</v>
      </c>
      <c r="V16" s="1260">
        <f>+U16-T16</f>
        <v>0</v>
      </c>
      <c r="W16" s="1270" t="s">
        <v>1234</v>
      </c>
      <c r="Y16" s="1261" t="e">
        <f>SUM(#REF!)</f>
        <v>#REF!</v>
      </c>
    </row>
    <row r="17" spans="1:27" s="1254" customFormat="1">
      <c r="B17" s="1437" t="s">
        <v>537</v>
      </c>
      <c r="C17" s="1449" t="s">
        <v>2899</v>
      </c>
      <c r="D17" s="1450" t="s">
        <v>40</v>
      </c>
      <c r="E17" s="1451">
        <v>4181.8100000000004</v>
      </c>
      <c r="F17" s="1452">
        <v>5.41</v>
      </c>
      <c r="G17" s="1530">
        <v>5.6</v>
      </c>
      <c r="H17" s="1453">
        <f>ROUND(E17*F17,2)</f>
        <v>22623.59</v>
      </c>
      <c r="I17" s="1453">
        <f>ROUND(E17*G17,2)</f>
        <v>23418.14</v>
      </c>
      <c r="J17" s="1454">
        <v>4181.8057599999993</v>
      </c>
      <c r="K17" s="1455">
        <v>23418.112255999993</v>
      </c>
      <c r="L17" s="1666"/>
      <c r="M17" s="1456">
        <f>+L17*G17</f>
        <v>0</v>
      </c>
      <c r="N17" s="1457">
        <f t="shared" ref="N17:N79" si="2">J17+L17</f>
        <v>4181.8057599999993</v>
      </c>
      <c r="O17" s="1458">
        <f>N17*G17</f>
        <v>23418.112255999993</v>
      </c>
      <c r="P17" s="1459">
        <f>+IF(D17=0,"",O17/I17)</f>
        <v>0.99999881527738721</v>
      </c>
      <c r="Q17" s="1460">
        <f>E17-N17</f>
        <v>4.2400000011184602E-3</v>
      </c>
      <c r="R17" s="1461">
        <f>ROUND((Q17*G17),2)</f>
        <v>0.02</v>
      </c>
      <c r="S17" s="1462">
        <f>+IF(I17=0,"",R17/I17)</f>
        <v>8.5403879215001705E-7</v>
      </c>
      <c r="T17" s="1260">
        <f t="shared" ref="T17:T23" si="3">+R17+O17</f>
        <v>23418.132255999994</v>
      </c>
      <c r="U17" s="1260">
        <f t="shared" si="1"/>
        <v>22623.59</v>
      </c>
      <c r="V17" s="1260">
        <f t="shared" ref="V17:V23" si="4">+U17-T17</f>
        <v>-794.54225599999336</v>
      </c>
      <c r="W17" s="1270" t="s">
        <v>3626</v>
      </c>
      <c r="X17" s="1255"/>
      <c r="Y17" s="1261" t="e">
        <f>SUM(#REF!)</f>
        <v>#REF!</v>
      </c>
    </row>
    <row r="18" spans="1:27" s="1254" customFormat="1">
      <c r="A18" s="1266"/>
      <c r="B18" s="1437" t="s">
        <v>538</v>
      </c>
      <c r="C18" s="1449" t="s">
        <v>2901</v>
      </c>
      <c r="D18" s="1450" t="s">
        <v>40</v>
      </c>
      <c r="E18" s="1451">
        <v>1757.44</v>
      </c>
      <c r="F18" s="1452">
        <v>46.72</v>
      </c>
      <c r="G18" s="1530">
        <v>48.65</v>
      </c>
      <c r="H18" s="1453">
        <f t="shared" ref="H18:H81" si="5">ROUND(E18*F18,2)</f>
        <v>82107.600000000006</v>
      </c>
      <c r="I18" s="1453">
        <f t="shared" ref="I18:I81" si="6">ROUND(E18*G18,2)</f>
        <v>85499.46</v>
      </c>
      <c r="J18" s="1454">
        <v>1199.78</v>
      </c>
      <c r="K18" s="1455">
        <v>58369.296999999999</v>
      </c>
      <c r="L18" s="1666">
        <f>+'[46]S. MOYORES METRADOS'!$J$16</f>
        <v>259.54825</v>
      </c>
      <c r="M18" s="1456">
        <f t="shared" ref="M18:M81" si="7">+L18*G18</f>
        <v>12627.0223625</v>
      </c>
      <c r="N18" s="1457">
        <f t="shared" si="2"/>
        <v>1459.32825</v>
      </c>
      <c r="O18" s="1458">
        <f t="shared" ref="O18:O81" si="8">N18*G18</f>
        <v>70996.319362499999</v>
      </c>
      <c r="P18" s="1459">
        <f t="shared" ref="P18:P81" si="9">+IF(D18=0,"",O18/I18)</f>
        <v>0.83037155278524555</v>
      </c>
      <c r="Q18" s="1460">
        <f t="shared" ref="Q18:Q79" si="10">E18-N18</f>
        <v>298.11175000000003</v>
      </c>
      <c r="R18" s="1461">
        <f t="shared" ref="R18:R81" si="11">ROUND((Q18*G18),2)</f>
        <v>14503.14</v>
      </c>
      <c r="S18" s="1462">
        <f t="shared" ref="S18:S81" si="12">+IF(I18=0,"",R18/I18)</f>
        <v>0.16962843975856687</v>
      </c>
      <c r="T18" s="1260">
        <f t="shared" si="3"/>
        <v>85499.459362499998</v>
      </c>
      <c r="U18" s="1260">
        <f t="shared" si="1"/>
        <v>82107.600000000006</v>
      </c>
      <c r="V18" s="1260">
        <f t="shared" si="4"/>
        <v>-3391.8593624999921</v>
      </c>
      <c r="W18" s="1270" t="s">
        <v>3627</v>
      </c>
      <c r="X18" s="1255"/>
      <c r="Y18" s="1261" t="e">
        <f>SUM(#REF!)</f>
        <v>#REF!</v>
      </c>
    </row>
    <row r="19" spans="1:27" s="1255" customFormat="1">
      <c r="B19" s="1437" t="s">
        <v>539</v>
      </c>
      <c r="C19" s="1449" t="s">
        <v>2902</v>
      </c>
      <c r="D19" s="1450" t="s">
        <v>40</v>
      </c>
      <c r="E19" s="1451">
        <v>629.46</v>
      </c>
      <c r="F19" s="1452">
        <v>20.02</v>
      </c>
      <c r="G19" s="1530">
        <v>20.85</v>
      </c>
      <c r="H19" s="1453">
        <f t="shared" si="5"/>
        <v>12601.79</v>
      </c>
      <c r="I19" s="1453">
        <f t="shared" si="6"/>
        <v>13124.24</v>
      </c>
      <c r="J19" s="1454">
        <v>626.70129999999995</v>
      </c>
      <c r="K19" s="1455">
        <v>13066.722104999999</v>
      </c>
      <c r="L19" s="1666"/>
      <c r="M19" s="1456">
        <f t="shared" si="7"/>
        <v>0</v>
      </c>
      <c r="N19" s="1457">
        <f t="shared" si="2"/>
        <v>626.70129999999995</v>
      </c>
      <c r="O19" s="1458">
        <f t="shared" si="8"/>
        <v>13066.722104999999</v>
      </c>
      <c r="P19" s="1459">
        <f t="shared" si="9"/>
        <v>0.995617430418828</v>
      </c>
      <c r="Q19" s="1460">
        <f t="shared" si="10"/>
        <v>2.7587000000000899</v>
      </c>
      <c r="R19" s="1461">
        <f t="shared" si="11"/>
        <v>57.52</v>
      </c>
      <c r="S19" s="1462">
        <f t="shared" si="12"/>
        <v>4.3827299714116787E-3</v>
      </c>
      <c r="T19" s="1260">
        <f t="shared" si="3"/>
        <v>13124.242104999999</v>
      </c>
      <c r="U19" s="1260">
        <f t="shared" si="1"/>
        <v>12601.79</v>
      </c>
      <c r="V19" s="1260">
        <f t="shared" si="4"/>
        <v>-522.45210499999848</v>
      </c>
      <c r="W19" s="1270" t="s">
        <v>3628</v>
      </c>
      <c r="Y19" s="1261" t="e">
        <f>SUM(#REF!)</f>
        <v>#REF!</v>
      </c>
    </row>
    <row r="20" spans="1:27" s="1254" customFormat="1">
      <c r="B20" s="1437" t="s">
        <v>540</v>
      </c>
      <c r="C20" s="1449" t="s">
        <v>2903</v>
      </c>
      <c r="D20" s="1450" t="s">
        <v>40</v>
      </c>
      <c r="E20" s="1451">
        <v>4844.05</v>
      </c>
      <c r="F20" s="1452">
        <v>17.52</v>
      </c>
      <c r="G20" s="1530">
        <v>18.239999999999998</v>
      </c>
      <c r="H20" s="1453">
        <f t="shared" si="5"/>
        <v>84867.76</v>
      </c>
      <c r="I20" s="1453">
        <f t="shared" si="6"/>
        <v>88355.47</v>
      </c>
      <c r="J20" s="1454">
        <v>4836.55296</v>
      </c>
      <c r="K20" s="1455">
        <v>88218.725990399995</v>
      </c>
      <c r="L20" s="1666"/>
      <c r="M20" s="1456">
        <f t="shared" si="7"/>
        <v>0</v>
      </c>
      <c r="N20" s="1457">
        <f t="shared" si="2"/>
        <v>4836.55296</v>
      </c>
      <c r="O20" s="1458">
        <f t="shared" si="8"/>
        <v>88218.725990399995</v>
      </c>
      <c r="P20" s="1459">
        <f t="shared" si="9"/>
        <v>0.99845234245712222</v>
      </c>
      <c r="Q20" s="1460">
        <f t="shared" si="10"/>
        <v>7.4970400000001973</v>
      </c>
      <c r="R20" s="1461">
        <f t="shared" si="11"/>
        <v>136.75</v>
      </c>
      <c r="S20" s="1462">
        <f t="shared" si="12"/>
        <v>1.5477253417360576E-3</v>
      </c>
      <c r="T20" s="1260">
        <f t="shared" si="3"/>
        <v>88355.475990399995</v>
      </c>
      <c r="U20" s="1260">
        <f t="shared" si="1"/>
        <v>84867.76</v>
      </c>
      <c r="V20" s="1260">
        <f t="shared" si="4"/>
        <v>-3487.7159904</v>
      </c>
      <c r="W20" s="1271"/>
    </row>
    <row r="21" spans="1:27" s="1255" customFormat="1">
      <c r="A21" s="1266"/>
      <c r="B21" s="1437" t="s">
        <v>541</v>
      </c>
      <c r="C21" s="1449" t="s">
        <v>3721</v>
      </c>
      <c r="D21" s="1450" t="s">
        <v>40</v>
      </c>
      <c r="E21" s="1451">
        <v>4844.05</v>
      </c>
      <c r="F21" s="1452">
        <v>4</v>
      </c>
      <c r="G21" s="1530">
        <v>4.05</v>
      </c>
      <c r="H21" s="1453">
        <f t="shared" si="5"/>
        <v>19376.2</v>
      </c>
      <c r="I21" s="1453">
        <f t="shared" si="6"/>
        <v>19618.400000000001</v>
      </c>
      <c r="J21" s="1454">
        <v>4844.05</v>
      </c>
      <c r="K21" s="1455">
        <v>19618.4025</v>
      </c>
      <c r="L21" s="1666"/>
      <c r="M21" s="1456">
        <f t="shared" si="7"/>
        <v>0</v>
      </c>
      <c r="N21" s="1457">
        <f t="shared" si="2"/>
        <v>4844.05</v>
      </c>
      <c r="O21" s="1458">
        <f t="shared" si="8"/>
        <v>19618.4025</v>
      </c>
      <c r="P21" s="1459">
        <f t="shared" si="9"/>
        <v>1.0000001274313908</v>
      </c>
      <c r="Q21" s="1460">
        <f t="shared" si="10"/>
        <v>0</v>
      </c>
      <c r="R21" s="1461">
        <f t="shared" si="11"/>
        <v>0</v>
      </c>
      <c r="S21" s="1462">
        <f t="shared" si="12"/>
        <v>0</v>
      </c>
      <c r="T21" s="1260">
        <f t="shared" si="3"/>
        <v>19618.4025</v>
      </c>
      <c r="U21" s="1260">
        <f t="shared" si="1"/>
        <v>19376.2</v>
      </c>
      <c r="V21" s="1260">
        <f t="shared" si="4"/>
        <v>-242.20249999999942</v>
      </c>
      <c r="W21" s="1270"/>
      <c r="X21" s="1254" t="s">
        <v>2</v>
      </c>
      <c r="Y21" s="1259" t="e">
        <f>SUM(Y14:Y20)</f>
        <v>#REF!</v>
      </c>
      <c r="Z21" s="1260">
        <f>+M258</f>
        <v>83706.038454499998</v>
      </c>
      <c r="AA21" s="1260" t="e">
        <f>+Y21-Z21</f>
        <v>#REF!</v>
      </c>
    </row>
    <row r="22" spans="1:27" s="1255" customFormat="1">
      <c r="B22" s="1437" t="s">
        <v>3722</v>
      </c>
      <c r="C22" s="1449" t="s">
        <v>2900</v>
      </c>
      <c r="D22" s="1450" t="s">
        <v>37</v>
      </c>
      <c r="E22" s="1451">
        <v>1231.8599999999999</v>
      </c>
      <c r="F22" s="1452">
        <v>7.01</v>
      </c>
      <c r="G22" s="1530">
        <v>7.27</v>
      </c>
      <c r="H22" s="1453">
        <f t="shared" si="5"/>
        <v>8635.34</v>
      </c>
      <c r="I22" s="1453">
        <f t="shared" si="6"/>
        <v>8955.6200000000008</v>
      </c>
      <c r="J22" s="1454">
        <v>1231.8599999999999</v>
      </c>
      <c r="K22" s="1455">
        <v>8955.622199999998</v>
      </c>
      <c r="L22" s="1666"/>
      <c r="M22" s="1456">
        <f t="shared" si="7"/>
        <v>0</v>
      </c>
      <c r="N22" s="1457">
        <f t="shared" si="2"/>
        <v>1231.8599999999999</v>
      </c>
      <c r="O22" s="1458">
        <f t="shared" si="8"/>
        <v>8955.622199999998</v>
      </c>
      <c r="P22" s="1459">
        <f t="shared" si="9"/>
        <v>1.0000002456558001</v>
      </c>
      <c r="Q22" s="1460">
        <f t="shared" si="10"/>
        <v>0</v>
      </c>
      <c r="R22" s="1461">
        <f t="shared" si="11"/>
        <v>0</v>
      </c>
      <c r="S22" s="1462">
        <f t="shared" si="12"/>
        <v>0</v>
      </c>
      <c r="T22" s="1260">
        <f t="shared" si="3"/>
        <v>8955.622199999998</v>
      </c>
      <c r="U22" s="1260">
        <f t="shared" si="1"/>
        <v>8635.34</v>
      </c>
      <c r="V22" s="1260">
        <f t="shared" si="4"/>
        <v>-320.28219999999783</v>
      </c>
      <c r="W22" s="1270"/>
    </row>
    <row r="23" spans="1:27" s="1255" customFormat="1">
      <c r="A23" s="1266"/>
      <c r="B23" s="1527" t="s">
        <v>39</v>
      </c>
      <c r="C23" s="1521" t="s">
        <v>3723</v>
      </c>
      <c r="D23" s="1450"/>
      <c r="E23" s="1451"/>
      <c r="F23" s="1452"/>
      <c r="G23" s="1530"/>
      <c r="H23" s="1453"/>
      <c r="I23" s="1453"/>
      <c r="J23" s="1454"/>
      <c r="K23" s="1455"/>
      <c r="L23" s="1666"/>
      <c r="M23" s="1456"/>
      <c r="N23" s="1457"/>
      <c r="O23" s="1458"/>
      <c r="P23" s="1459"/>
      <c r="Q23" s="1460"/>
      <c r="R23" s="1461"/>
      <c r="S23" s="1462" t="str">
        <f t="shared" si="12"/>
        <v/>
      </c>
      <c r="T23" s="1260">
        <f t="shared" si="3"/>
        <v>0</v>
      </c>
      <c r="U23" s="1260">
        <f t="shared" si="1"/>
        <v>0</v>
      </c>
      <c r="V23" s="1260">
        <f t="shared" si="4"/>
        <v>0</v>
      </c>
      <c r="W23" s="1270"/>
    </row>
    <row r="24" spans="1:27" s="1255" customFormat="1">
      <c r="A24" s="1266"/>
      <c r="B24" s="1527" t="s">
        <v>542</v>
      </c>
      <c r="C24" s="1521" t="s">
        <v>2906</v>
      </c>
      <c r="D24" s="1450"/>
      <c r="E24" s="1451"/>
      <c r="F24" s="1452"/>
      <c r="G24" s="1530"/>
      <c r="H24" s="1453"/>
      <c r="I24" s="1453"/>
      <c r="J24" s="1454"/>
      <c r="K24" s="1455"/>
      <c r="L24" s="1666"/>
      <c r="M24" s="1456"/>
      <c r="N24" s="1457"/>
      <c r="O24" s="1458"/>
      <c r="P24" s="1459"/>
      <c r="Q24" s="1460"/>
      <c r="R24" s="1461"/>
      <c r="S24" s="1462" t="str">
        <f t="shared" si="12"/>
        <v/>
      </c>
      <c r="T24" s="1260"/>
      <c r="U24" s="1260"/>
      <c r="V24" s="1260"/>
      <c r="W24" s="1270"/>
    </row>
    <row r="25" spans="1:27" s="1255" customFormat="1">
      <c r="B25" s="1437" t="s">
        <v>3724</v>
      </c>
      <c r="C25" s="1449" t="s">
        <v>3725</v>
      </c>
      <c r="D25" s="1450" t="s">
        <v>37</v>
      </c>
      <c r="E25" s="1451">
        <v>996.35</v>
      </c>
      <c r="F25" s="1452">
        <v>34.24</v>
      </c>
      <c r="G25" s="1530">
        <v>34.96</v>
      </c>
      <c r="H25" s="1453">
        <f t="shared" si="5"/>
        <v>34115.019999999997</v>
      </c>
      <c r="I25" s="1453">
        <f t="shared" si="6"/>
        <v>34832.400000000001</v>
      </c>
      <c r="J25" s="1454">
        <v>559.6</v>
      </c>
      <c r="K25" s="1455">
        <v>19563.616000000002</v>
      </c>
      <c r="L25" s="1666">
        <v>436.75</v>
      </c>
      <c r="M25" s="1456">
        <f t="shared" si="7"/>
        <v>15268.78</v>
      </c>
      <c r="N25" s="1457">
        <f t="shared" si="2"/>
        <v>996.35</v>
      </c>
      <c r="O25" s="1458">
        <f t="shared" si="8"/>
        <v>34832.396000000001</v>
      </c>
      <c r="P25" s="1459">
        <f t="shared" si="9"/>
        <v>0.9999998851643872</v>
      </c>
      <c r="Q25" s="1460">
        <f t="shared" si="10"/>
        <v>0</v>
      </c>
      <c r="R25" s="1461">
        <f t="shared" si="11"/>
        <v>0</v>
      </c>
      <c r="S25" s="1462">
        <f t="shared" si="12"/>
        <v>0</v>
      </c>
      <c r="T25" s="1260"/>
      <c r="U25" s="1260"/>
      <c r="V25" s="1260"/>
      <c r="W25" s="1270"/>
    </row>
    <row r="26" spans="1:27" s="1255" customFormat="1">
      <c r="A26" s="1254"/>
      <c r="B26" s="1527" t="s">
        <v>543</v>
      </c>
      <c r="C26" s="1521" t="s">
        <v>2910</v>
      </c>
      <c r="D26" s="1450"/>
      <c r="E26" s="1451"/>
      <c r="F26" s="1452"/>
      <c r="G26" s="1530"/>
      <c r="H26" s="1453">
        <f t="shared" si="5"/>
        <v>0</v>
      </c>
      <c r="I26" s="1453"/>
      <c r="J26" s="1454"/>
      <c r="K26" s="1454"/>
      <c r="L26" s="1666"/>
      <c r="M26" s="1456"/>
      <c r="N26" s="1457"/>
      <c r="O26" s="1458"/>
      <c r="P26" s="1459"/>
      <c r="Q26" s="1460"/>
      <c r="R26" s="1461"/>
      <c r="S26" s="1462"/>
      <c r="T26" s="1260"/>
      <c r="U26" s="1260"/>
      <c r="V26" s="1260"/>
      <c r="W26" s="1270"/>
    </row>
    <row r="27" spans="1:27" s="1255" customFormat="1">
      <c r="A27" s="1266"/>
      <c r="B27" s="1437" t="s">
        <v>3726</v>
      </c>
      <c r="C27" s="1449" t="s">
        <v>3727</v>
      </c>
      <c r="D27" s="1450" t="s">
        <v>40</v>
      </c>
      <c r="E27" s="1451">
        <v>29.61</v>
      </c>
      <c r="F27" s="1452">
        <v>240.43</v>
      </c>
      <c r="G27" s="1530">
        <v>244.09</v>
      </c>
      <c r="H27" s="1453">
        <f t="shared" si="5"/>
        <v>7119.13</v>
      </c>
      <c r="I27" s="1453">
        <f t="shared" si="6"/>
        <v>7227.5</v>
      </c>
      <c r="J27" s="1454">
        <v>29.61</v>
      </c>
      <c r="K27" s="1455">
        <v>7227.5048999999999</v>
      </c>
      <c r="L27" s="1666"/>
      <c r="M27" s="1456">
        <f t="shared" si="7"/>
        <v>0</v>
      </c>
      <c r="N27" s="1457">
        <f t="shared" si="2"/>
        <v>29.61</v>
      </c>
      <c r="O27" s="1458">
        <f t="shared" si="8"/>
        <v>7227.5048999999999</v>
      </c>
      <c r="P27" s="1459">
        <f t="shared" si="9"/>
        <v>1.0000006779661017</v>
      </c>
      <c r="Q27" s="1460">
        <f t="shared" si="10"/>
        <v>0</v>
      </c>
      <c r="R27" s="1461">
        <f t="shared" si="11"/>
        <v>0</v>
      </c>
      <c r="S27" s="1462">
        <f t="shared" si="12"/>
        <v>0</v>
      </c>
      <c r="T27" s="1260"/>
      <c r="U27" s="1260"/>
      <c r="V27" s="1260"/>
      <c r="W27" s="1270"/>
    </row>
    <row r="28" spans="1:27" s="1255" customFormat="1">
      <c r="B28" s="1437" t="s">
        <v>3728</v>
      </c>
      <c r="C28" s="1449" t="s">
        <v>3729</v>
      </c>
      <c r="D28" s="1450" t="s">
        <v>37</v>
      </c>
      <c r="E28" s="1451">
        <v>131.97999999999999</v>
      </c>
      <c r="F28" s="1452">
        <v>87.35</v>
      </c>
      <c r="G28" s="1530">
        <v>89.51</v>
      </c>
      <c r="H28" s="1453">
        <f t="shared" si="5"/>
        <v>11528.45</v>
      </c>
      <c r="I28" s="1453">
        <f t="shared" si="6"/>
        <v>11813.53</v>
      </c>
      <c r="J28" s="1454">
        <v>131.97999999999999</v>
      </c>
      <c r="K28" s="1455">
        <v>11813.5298</v>
      </c>
      <c r="L28" s="1666"/>
      <c r="M28" s="1456">
        <f t="shared" si="7"/>
        <v>0</v>
      </c>
      <c r="N28" s="1457">
        <f t="shared" si="2"/>
        <v>131.97999999999999</v>
      </c>
      <c r="O28" s="1458">
        <f t="shared" si="8"/>
        <v>11813.5298</v>
      </c>
      <c r="P28" s="1459">
        <f t="shared" si="9"/>
        <v>0.99999998307025928</v>
      </c>
      <c r="Q28" s="1460">
        <f t="shared" si="10"/>
        <v>0</v>
      </c>
      <c r="R28" s="1461">
        <f t="shared" si="11"/>
        <v>0</v>
      </c>
      <c r="S28" s="1462">
        <f t="shared" si="12"/>
        <v>0</v>
      </c>
      <c r="T28" s="1260"/>
      <c r="U28" s="1260"/>
      <c r="V28" s="1260"/>
      <c r="W28" s="1270"/>
    </row>
    <row r="29" spans="1:27" s="1255" customFormat="1">
      <c r="A29" s="1254"/>
      <c r="B29" s="1527" t="s">
        <v>544</v>
      </c>
      <c r="C29" s="1521" t="s">
        <v>2913</v>
      </c>
      <c r="D29" s="1450"/>
      <c r="E29" s="1451"/>
      <c r="F29" s="1452"/>
      <c r="G29" s="1530"/>
      <c r="H29" s="1453">
        <f t="shared" si="5"/>
        <v>0</v>
      </c>
      <c r="I29" s="1453"/>
      <c r="J29" s="1454"/>
      <c r="K29" s="1454"/>
      <c r="L29" s="1666"/>
      <c r="M29" s="1456"/>
      <c r="N29" s="1457"/>
      <c r="O29" s="1458"/>
      <c r="P29" s="1459" t="str">
        <f t="shared" si="9"/>
        <v/>
      </c>
      <c r="Q29" s="1460"/>
      <c r="R29" s="1461">
        <f t="shared" si="11"/>
        <v>0</v>
      </c>
      <c r="S29" s="1462" t="str">
        <f t="shared" si="12"/>
        <v/>
      </c>
      <c r="T29" s="1260"/>
      <c r="U29" s="1260"/>
      <c r="V29" s="1260"/>
      <c r="W29" s="1270"/>
    </row>
    <row r="30" spans="1:27" s="1255" customFormat="1">
      <c r="A30" s="1266"/>
      <c r="B30" s="1437" t="s">
        <v>3730</v>
      </c>
      <c r="C30" s="1449" t="s">
        <v>2914</v>
      </c>
      <c r="D30" s="1450" t="s">
        <v>40</v>
      </c>
      <c r="E30" s="1451">
        <v>3.65</v>
      </c>
      <c r="F30" s="1452">
        <v>402.12</v>
      </c>
      <c r="G30" s="1530">
        <v>407.84</v>
      </c>
      <c r="H30" s="1453">
        <f t="shared" si="5"/>
        <v>1467.74</v>
      </c>
      <c r="I30" s="1453">
        <f t="shared" si="6"/>
        <v>1488.62</v>
      </c>
      <c r="J30" s="1454">
        <v>3.65</v>
      </c>
      <c r="K30" s="1455">
        <v>1488.616</v>
      </c>
      <c r="L30" s="1666"/>
      <c r="M30" s="1456">
        <f t="shared" si="7"/>
        <v>0</v>
      </c>
      <c r="N30" s="1457">
        <f t="shared" si="2"/>
        <v>3.65</v>
      </c>
      <c r="O30" s="1458">
        <f t="shared" si="8"/>
        <v>1488.616</v>
      </c>
      <c r="P30" s="1459">
        <f t="shared" si="9"/>
        <v>0.99999731294756222</v>
      </c>
      <c r="Q30" s="1460">
        <f t="shared" si="10"/>
        <v>0</v>
      </c>
      <c r="R30" s="1461">
        <f t="shared" si="11"/>
        <v>0</v>
      </c>
      <c r="S30" s="1462">
        <f t="shared" si="12"/>
        <v>0</v>
      </c>
      <c r="T30" s="1260"/>
      <c r="U30" s="1260"/>
      <c r="V30" s="1260"/>
      <c r="W30" s="1270"/>
    </row>
    <row r="31" spans="1:27" s="1255" customFormat="1">
      <c r="B31" s="1437" t="s">
        <v>3731</v>
      </c>
      <c r="C31" s="1449" t="s">
        <v>2915</v>
      </c>
      <c r="D31" s="1450" t="s">
        <v>37</v>
      </c>
      <c r="E31" s="1451">
        <v>42.34</v>
      </c>
      <c r="F31" s="1452">
        <v>60.7</v>
      </c>
      <c r="G31" s="1530">
        <v>61.92</v>
      </c>
      <c r="H31" s="1453">
        <f t="shared" si="5"/>
        <v>2570.04</v>
      </c>
      <c r="I31" s="1453">
        <f t="shared" si="6"/>
        <v>2621.69</v>
      </c>
      <c r="J31" s="1454">
        <v>42.34</v>
      </c>
      <c r="K31" s="1455">
        <v>2621.6928000000003</v>
      </c>
      <c r="L31" s="1666"/>
      <c r="M31" s="1456">
        <f t="shared" si="7"/>
        <v>0</v>
      </c>
      <c r="N31" s="1457">
        <f t="shared" si="2"/>
        <v>42.34</v>
      </c>
      <c r="O31" s="1458">
        <f t="shared" si="8"/>
        <v>2621.6928000000003</v>
      </c>
      <c r="P31" s="1459">
        <f t="shared" si="9"/>
        <v>1.0000010680133808</v>
      </c>
      <c r="Q31" s="1460">
        <f t="shared" si="10"/>
        <v>0</v>
      </c>
      <c r="R31" s="1461">
        <f t="shared" si="11"/>
        <v>0</v>
      </c>
      <c r="S31" s="1462">
        <f t="shared" si="12"/>
        <v>0</v>
      </c>
      <c r="T31" s="1260"/>
      <c r="U31" s="1260"/>
      <c r="V31" s="1260"/>
      <c r="W31" s="1270"/>
    </row>
    <row r="32" spans="1:27" s="1255" customFormat="1">
      <c r="A32" s="1266"/>
      <c r="B32" s="1527" t="s">
        <v>545</v>
      </c>
      <c r="C32" s="1521" t="s">
        <v>2934</v>
      </c>
      <c r="D32" s="1450"/>
      <c r="E32" s="1451"/>
      <c r="F32" s="1452"/>
      <c r="G32" s="1530"/>
      <c r="H32" s="1453">
        <f t="shared" si="5"/>
        <v>0</v>
      </c>
      <c r="I32" s="1453"/>
      <c r="J32" s="1454"/>
      <c r="K32" s="1454"/>
      <c r="L32" s="1666"/>
      <c r="M32" s="1456"/>
      <c r="N32" s="1457"/>
      <c r="O32" s="1458"/>
      <c r="P32" s="1459"/>
      <c r="Q32" s="1460"/>
      <c r="R32" s="1461"/>
      <c r="S32" s="1462" t="str">
        <f t="shared" si="12"/>
        <v/>
      </c>
      <c r="T32" s="1260"/>
      <c r="U32" s="1260"/>
      <c r="V32" s="1260"/>
      <c r="W32" s="1270"/>
    </row>
    <row r="33" spans="1:23" s="1255" customFormat="1">
      <c r="A33" s="1266"/>
      <c r="B33" s="1527" t="s">
        <v>546</v>
      </c>
      <c r="C33" s="1521" t="s">
        <v>2935</v>
      </c>
      <c r="D33" s="1450"/>
      <c r="E33" s="1451"/>
      <c r="F33" s="1452"/>
      <c r="G33" s="1530"/>
      <c r="H33" s="1453">
        <f t="shared" si="5"/>
        <v>0</v>
      </c>
      <c r="I33" s="1453"/>
      <c r="J33" s="1454"/>
      <c r="K33" s="1455"/>
      <c r="L33" s="1666"/>
      <c r="M33" s="1456"/>
      <c r="N33" s="1457"/>
      <c r="O33" s="1458"/>
      <c r="P33" s="1459"/>
      <c r="Q33" s="1460"/>
      <c r="R33" s="1461"/>
      <c r="S33" s="1462" t="str">
        <f t="shared" si="12"/>
        <v/>
      </c>
      <c r="T33" s="1260"/>
      <c r="U33" s="1260"/>
      <c r="V33" s="1260"/>
      <c r="W33" s="1270"/>
    </row>
    <row r="34" spans="1:23" s="1255" customFormat="1">
      <c r="B34" s="1437" t="s">
        <v>3732</v>
      </c>
      <c r="C34" s="1449" t="s">
        <v>2936</v>
      </c>
      <c r="D34" s="1450" t="s">
        <v>40</v>
      </c>
      <c r="E34" s="1451">
        <v>624.74</v>
      </c>
      <c r="F34" s="1452">
        <v>435.75</v>
      </c>
      <c r="G34" s="1530">
        <v>436.26</v>
      </c>
      <c r="H34" s="1453">
        <f t="shared" si="5"/>
        <v>272230.46000000002</v>
      </c>
      <c r="I34" s="1453">
        <f t="shared" si="6"/>
        <v>272549.07</v>
      </c>
      <c r="J34" s="1454">
        <v>413.17404999999997</v>
      </c>
      <c r="K34" s="1455">
        <v>180251.31105299998</v>
      </c>
      <c r="L34" s="1666">
        <f>+'[46]S. MOYORES METRADOS'!$J$206</f>
        <v>34.108000000000004</v>
      </c>
      <c r="M34" s="1456">
        <f t="shared" si="7"/>
        <v>14879.956080000002</v>
      </c>
      <c r="N34" s="1457">
        <f t="shared" si="2"/>
        <v>447.28204999999997</v>
      </c>
      <c r="O34" s="1458">
        <f t="shared" si="8"/>
        <v>195131.26713299999</v>
      </c>
      <c r="P34" s="1459">
        <f t="shared" si="9"/>
        <v>0.71594912113624154</v>
      </c>
      <c r="Q34" s="1460">
        <f t="shared" si="10"/>
        <v>177.45795000000004</v>
      </c>
      <c r="R34" s="1461">
        <f t="shared" si="11"/>
        <v>77417.81</v>
      </c>
      <c r="S34" s="1462">
        <f t="shared" si="12"/>
        <v>0.28405090503519237</v>
      </c>
      <c r="T34" s="1260"/>
      <c r="U34" s="1260"/>
      <c r="V34" s="1260"/>
      <c r="W34" s="1270"/>
    </row>
    <row r="35" spans="1:23" s="1255" customFormat="1">
      <c r="A35" s="1254"/>
      <c r="B35" s="1437" t="s">
        <v>3733</v>
      </c>
      <c r="C35" s="1449" t="s">
        <v>2937</v>
      </c>
      <c r="D35" s="1450" t="s">
        <v>48</v>
      </c>
      <c r="E35" s="1451">
        <v>24297.87</v>
      </c>
      <c r="F35" s="1452">
        <v>5.05</v>
      </c>
      <c r="G35" s="1530">
        <v>5.1100000000000003</v>
      </c>
      <c r="H35" s="1453">
        <f t="shared" si="5"/>
        <v>122704.24</v>
      </c>
      <c r="I35" s="1453">
        <f t="shared" si="6"/>
        <v>124162.12</v>
      </c>
      <c r="J35" s="1454">
        <v>17795.29</v>
      </c>
      <c r="K35" s="1455">
        <v>90933.931900000011</v>
      </c>
      <c r="L35" s="1666">
        <f>+'[46]S. MOYORES METRADOS'!$J$266</f>
        <v>1503.5530000000003</v>
      </c>
      <c r="M35" s="1456">
        <f t="shared" si="7"/>
        <v>7683.1558300000024</v>
      </c>
      <c r="N35" s="1457">
        <f t="shared" si="2"/>
        <v>19298.843000000001</v>
      </c>
      <c r="O35" s="1458">
        <f t="shared" si="8"/>
        <v>98617.087730000014</v>
      </c>
      <c r="P35" s="1459">
        <f t="shared" si="9"/>
        <v>0.79426066283339891</v>
      </c>
      <c r="Q35" s="1460">
        <f t="shared" si="10"/>
        <v>4999.0269999999982</v>
      </c>
      <c r="R35" s="1461">
        <f t="shared" si="11"/>
        <v>25545.03</v>
      </c>
      <c r="S35" s="1462">
        <f t="shared" si="12"/>
        <v>0.20573931888405256</v>
      </c>
      <c r="T35" s="1260"/>
      <c r="U35" s="1260"/>
      <c r="V35" s="1260"/>
      <c r="W35" s="1270"/>
    </row>
    <row r="36" spans="1:23" s="1255" customFormat="1">
      <c r="A36" s="1266"/>
      <c r="B36" s="1527" t="s">
        <v>547</v>
      </c>
      <c r="C36" s="1521" t="s">
        <v>2938</v>
      </c>
      <c r="D36" s="1450"/>
      <c r="E36" s="1451"/>
      <c r="F36" s="1452"/>
      <c r="G36" s="1530"/>
      <c r="H36" s="1453">
        <f t="shared" si="5"/>
        <v>0</v>
      </c>
      <c r="I36" s="1453"/>
      <c r="J36" s="1454"/>
      <c r="K36" s="1454"/>
      <c r="L36" s="1666"/>
      <c r="M36" s="1456"/>
      <c r="N36" s="1457"/>
      <c r="O36" s="1458"/>
      <c r="P36" s="1459"/>
      <c r="Q36" s="1460"/>
      <c r="R36" s="1461">
        <f t="shared" si="11"/>
        <v>0</v>
      </c>
      <c r="S36" s="1462" t="str">
        <f t="shared" si="12"/>
        <v/>
      </c>
      <c r="T36" s="1260"/>
      <c r="U36" s="1260"/>
      <c r="V36" s="1260"/>
      <c r="W36" s="1270"/>
    </row>
    <row r="37" spans="1:23" s="1255" customFormat="1">
      <c r="B37" s="1437" t="s">
        <v>3734</v>
      </c>
      <c r="C37" s="1449" t="s">
        <v>3735</v>
      </c>
      <c r="D37" s="1450" t="s">
        <v>40</v>
      </c>
      <c r="E37" s="1451">
        <v>21.03</v>
      </c>
      <c r="F37" s="1452">
        <v>438.44</v>
      </c>
      <c r="G37" s="1530">
        <v>439.07</v>
      </c>
      <c r="H37" s="1453">
        <f t="shared" si="5"/>
        <v>9220.39</v>
      </c>
      <c r="I37" s="1453">
        <f t="shared" si="6"/>
        <v>9233.64</v>
      </c>
      <c r="J37" s="1454">
        <v>0</v>
      </c>
      <c r="K37" s="1455">
        <v>0</v>
      </c>
      <c r="L37" s="1666"/>
      <c r="M37" s="1456">
        <f t="shared" si="7"/>
        <v>0</v>
      </c>
      <c r="N37" s="1457">
        <f t="shared" si="2"/>
        <v>0</v>
      </c>
      <c r="O37" s="1458">
        <f t="shared" si="8"/>
        <v>0</v>
      </c>
      <c r="P37" s="1459">
        <f t="shared" si="9"/>
        <v>0</v>
      </c>
      <c r="Q37" s="1460">
        <f t="shared" si="10"/>
        <v>21.03</v>
      </c>
      <c r="R37" s="1461">
        <f t="shared" si="11"/>
        <v>9233.64</v>
      </c>
      <c r="S37" s="1462">
        <f t="shared" si="12"/>
        <v>1</v>
      </c>
      <c r="T37" s="1260"/>
      <c r="U37" s="1260"/>
      <c r="V37" s="1260"/>
      <c r="W37" s="1270"/>
    </row>
    <row r="38" spans="1:23" s="1255" customFormat="1">
      <c r="A38" s="1254"/>
      <c r="B38" s="1437" t="s">
        <v>3736</v>
      </c>
      <c r="C38" s="1449" t="s">
        <v>2940</v>
      </c>
      <c r="D38" s="1450" t="s">
        <v>37</v>
      </c>
      <c r="E38" s="1451">
        <v>134.18</v>
      </c>
      <c r="F38" s="1452">
        <v>76.81</v>
      </c>
      <c r="G38" s="1530">
        <v>78.53</v>
      </c>
      <c r="H38" s="1453">
        <f t="shared" si="5"/>
        <v>10306.370000000001</v>
      </c>
      <c r="I38" s="1453">
        <f t="shared" si="6"/>
        <v>10537.16</v>
      </c>
      <c r="J38" s="1454">
        <v>0</v>
      </c>
      <c r="K38" s="1455">
        <v>0</v>
      </c>
      <c r="L38" s="1666"/>
      <c r="M38" s="1456">
        <f t="shared" si="7"/>
        <v>0</v>
      </c>
      <c r="N38" s="1457">
        <f t="shared" si="2"/>
        <v>0</v>
      </c>
      <c r="O38" s="1458">
        <f t="shared" si="8"/>
        <v>0</v>
      </c>
      <c r="P38" s="1459">
        <f t="shared" si="9"/>
        <v>0</v>
      </c>
      <c r="Q38" s="1460">
        <f t="shared" si="10"/>
        <v>134.18</v>
      </c>
      <c r="R38" s="1461">
        <f t="shared" si="11"/>
        <v>10537.16</v>
      </c>
      <c r="S38" s="1462">
        <f t="shared" si="12"/>
        <v>1</v>
      </c>
      <c r="T38" s="1260"/>
      <c r="U38" s="1260"/>
      <c r="V38" s="1260"/>
      <c r="W38" s="1270"/>
    </row>
    <row r="39" spans="1:23" s="1255" customFormat="1">
      <c r="A39" s="1266"/>
      <c r="B39" s="1437" t="s">
        <v>3737</v>
      </c>
      <c r="C39" s="1449" t="s">
        <v>2941</v>
      </c>
      <c r="D39" s="1450" t="s">
        <v>48</v>
      </c>
      <c r="E39" s="1451">
        <v>3117.62</v>
      </c>
      <c r="F39" s="1452">
        <v>5.05</v>
      </c>
      <c r="G39" s="1530">
        <v>5.1100000000000003</v>
      </c>
      <c r="H39" s="1453">
        <f t="shared" si="5"/>
        <v>15743.98</v>
      </c>
      <c r="I39" s="1453">
        <f t="shared" si="6"/>
        <v>15931.04</v>
      </c>
      <c r="J39" s="1454">
        <v>0</v>
      </c>
      <c r="K39" s="1455">
        <v>0</v>
      </c>
      <c r="L39" s="1666"/>
      <c r="M39" s="1456">
        <f t="shared" si="7"/>
        <v>0</v>
      </c>
      <c r="N39" s="1457">
        <f t="shared" si="2"/>
        <v>0</v>
      </c>
      <c r="O39" s="1458">
        <f t="shared" si="8"/>
        <v>0</v>
      </c>
      <c r="P39" s="1459">
        <f t="shared" si="9"/>
        <v>0</v>
      </c>
      <c r="Q39" s="1460">
        <f t="shared" si="10"/>
        <v>3117.62</v>
      </c>
      <c r="R39" s="1461">
        <f t="shared" si="11"/>
        <v>15931.04</v>
      </c>
      <c r="S39" s="1462">
        <f t="shared" si="12"/>
        <v>1</v>
      </c>
      <c r="T39" s="1260"/>
      <c r="U39" s="1260"/>
      <c r="V39" s="1260"/>
      <c r="W39" s="1270"/>
    </row>
    <row r="40" spans="1:23" s="1255" customFormat="1">
      <c r="B40" s="1527" t="s">
        <v>2249</v>
      </c>
      <c r="C40" s="1521" t="s">
        <v>2946</v>
      </c>
      <c r="D40" s="1450"/>
      <c r="E40" s="1451"/>
      <c r="F40" s="1452"/>
      <c r="G40" s="1530"/>
      <c r="H40" s="1453"/>
      <c r="I40" s="1453"/>
      <c r="J40" s="1454"/>
      <c r="K40" s="1454">
        <v>0</v>
      </c>
      <c r="L40" s="1666"/>
      <c r="M40" s="1456">
        <f t="shared" si="7"/>
        <v>0</v>
      </c>
      <c r="N40" s="1457"/>
      <c r="O40" s="1458">
        <f t="shared" si="8"/>
        <v>0</v>
      </c>
      <c r="P40" s="1459" t="str">
        <f t="shared" si="9"/>
        <v/>
      </c>
      <c r="Q40" s="1460"/>
      <c r="R40" s="1461">
        <f t="shared" si="11"/>
        <v>0</v>
      </c>
      <c r="S40" s="1462" t="str">
        <f t="shared" si="12"/>
        <v/>
      </c>
      <c r="T40" s="1260"/>
      <c r="U40" s="1260"/>
      <c r="V40" s="1260"/>
      <c r="W40" s="1270"/>
    </row>
    <row r="41" spans="1:23" s="1255" customFormat="1">
      <c r="A41" s="1266"/>
      <c r="B41" s="1437" t="s">
        <v>3738</v>
      </c>
      <c r="C41" s="1449" t="s">
        <v>3739</v>
      </c>
      <c r="D41" s="1450" t="s">
        <v>40</v>
      </c>
      <c r="E41" s="1451">
        <v>652.25</v>
      </c>
      <c r="F41" s="1452">
        <v>454.54</v>
      </c>
      <c r="G41" s="1530">
        <v>455.76</v>
      </c>
      <c r="H41" s="1453">
        <f t="shared" si="5"/>
        <v>296473.71999999997</v>
      </c>
      <c r="I41" s="1453">
        <f t="shared" si="6"/>
        <v>297269.46000000002</v>
      </c>
      <c r="J41" s="1454">
        <v>652.25</v>
      </c>
      <c r="K41" s="1455">
        <v>297269.46000000002</v>
      </c>
      <c r="L41" s="1666"/>
      <c r="M41" s="1456">
        <f t="shared" si="7"/>
        <v>0</v>
      </c>
      <c r="N41" s="1457">
        <f t="shared" si="2"/>
        <v>652.25</v>
      </c>
      <c r="O41" s="1458">
        <f t="shared" si="8"/>
        <v>297269.46000000002</v>
      </c>
      <c r="P41" s="1459">
        <f t="shared" si="9"/>
        <v>1</v>
      </c>
      <c r="Q41" s="1460">
        <f t="shared" si="10"/>
        <v>0</v>
      </c>
      <c r="R41" s="1461">
        <f t="shared" si="11"/>
        <v>0</v>
      </c>
      <c r="S41" s="1462">
        <f t="shared" si="12"/>
        <v>0</v>
      </c>
      <c r="T41" s="1260"/>
      <c r="U41" s="1260"/>
      <c r="V41" s="1260"/>
      <c r="W41" s="1270"/>
    </row>
    <row r="42" spans="1:23" s="1255" customFormat="1">
      <c r="A42" s="1266"/>
      <c r="B42" s="1437" t="s">
        <v>3740</v>
      </c>
      <c r="C42" s="1449" t="s">
        <v>2948</v>
      </c>
      <c r="D42" s="1450" t="s">
        <v>37</v>
      </c>
      <c r="E42" s="1451">
        <v>2797.5</v>
      </c>
      <c r="F42" s="1452">
        <v>61.44</v>
      </c>
      <c r="G42" s="1530">
        <v>62.87</v>
      </c>
      <c r="H42" s="1453">
        <f t="shared" si="5"/>
        <v>171878.39999999999</v>
      </c>
      <c r="I42" s="1453">
        <f t="shared" si="6"/>
        <v>175878.83</v>
      </c>
      <c r="J42" s="1454">
        <v>2497.3430000000003</v>
      </c>
      <c r="K42" s="1455">
        <v>157007.95441000001</v>
      </c>
      <c r="L42" s="1666"/>
      <c r="M42" s="1456">
        <f t="shared" si="7"/>
        <v>0</v>
      </c>
      <c r="N42" s="1457">
        <f t="shared" si="2"/>
        <v>2497.3430000000003</v>
      </c>
      <c r="O42" s="1458">
        <f t="shared" si="8"/>
        <v>157007.95441000001</v>
      </c>
      <c r="P42" s="1459">
        <f t="shared" si="9"/>
        <v>0.89270524718637267</v>
      </c>
      <c r="Q42" s="1460">
        <f t="shared" si="10"/>
        <v>300.1569999999997</v>
      </c>
      <c r="R42" s="1461">
        <f t="shared" si="11"/>
        <v>18870.87</v>
      </c>
      <c r="S42" s="1462">
        <f t="shared" si="12"/>
        <v>0.10729472103038211</v>
      </c>
      <c r="T42" s="1260"/>
      <c r="U42" s="1260"/>
      <c r="V42" s="1260"/>
      <c r="W42" s="1270"/>
    </row>
    <row r="43" spans="1:23" s="1255" customFormat="1">
      <c r="B43" s="1437" t="s">
        <v>3741</v>
      </c>
      <c r="C43" s="1449" t="s">
        <v>2949</v>
      </c>
      <c r="D43" s="1450" t="s">
        <v>48</v>
      </c>
      <c r="E43" s="1451">
        <v>32792.129999999997</v>
      </c>
      <c r="F43" s="1452">
        <v>5.05</v>
      </c>
      <c r="G43" s="1530">
        <v>5.1100000000000003</v>
      </c>
      <c r="H43" s="1453">
        <f t="shared" si="5"/>
        <v>165600.26</v>
      </c>
      <c r="I43" s="1453">
        <f t="shared" si="6"/>
        <v>167567.78</v>
      </c>
      <c r="J43" s="1454">
        <v>32792.129999999997</v>
      </c>
      <c r="K43" s="1455">
        <v>167567.7843</v>
      </c>
      <c r="L43" s="1666"/>
      <c r="M43" s="1456">
        <f t="shared" si="7"/>
        <v>0</v>
      </c>
      <c r="N43" s="1457">
        <f t="shared" si="2"/>
        <v>32792.129999999997</v>
      </c>
      <c r="O43" s="1458">
        <f t="shared" si="8"/>
        <v>167567.7843</v>
      </c>
      <c r="P43" s="1459">
        <f t="shared" si="9"/>
        <v>1.0000000256612578</v>
      </c>
      <c r="Q43" s="1460">
        <f t="shared" si="10"/>
        <v>0</v>
      </c>
      <c r="R43" s="1461">
        <f t="shared" si="11"/>
        <v>0</v>
      </c>
      <c r="S43" s="1462">
        <f t="shared" si="12"/>
        <v>0</v>
      </c>
      <c r="T43" s="1260"/>
      <c r="U43" s="1260"/>
      <c r="V43" s="1260"/>
      <c r="W43" s="1270"/>
    </row>
    <row r="44" spans="1:23" s="1255" customFormat="1">
      <c r="A44" s="1254"/>
      <c r="B44" s="1527" t="s">
        <v>2250</v>
      </c>
      <c r="C44" s="1521" t="s">
        <v>2951</v>
      </c>
      <c r="D44" s="1450"/>
      <c r="E44" s="1451"/>
      <c r="F44" s="1452"/>
      <c r="G44" s="1530"/>
      <c r="H44" s="1453">
        <f t="shared" si="5"/>
        <v>0</v>
      </c>
      <c r="I44" s="1453"/>
      <c r="J44" s="1454"/>
      <c r="K44" s="1454"/>
      <c r="L44" s="1666"/>
      <c r="M44" s="1456"/>
      <c r="N44" s="1457"/>
      <c r="O44" s="1458"/>
      <c r="P44" s="1459"/>
      <c r="Q44" s="1460"/>
      <c r="R44" s="1461"/>
      <c r="S44" s="1462"/>
      <c r="T44" s="1260"/>
      <c r="U44" s="1260"/>
      <c r="V44" s="1260"/>
      <c r="W44" s="1270"/>
    </row>
    <row r="45" spans="1:23" s="1255" customFormat="1">
      <c r="A45" s="1266"/>
      <c r="B45" s="1437" t="s">
        <v>3742</v>
      </c>
      <c r="C45" s="1449" t="s">
        <v>2952</v>
      </c>
      <c r="D45" s="1450" t="s">
        <v>40</v>
      </c>
      <c r="E45" s="1451">
        <v>52.5</v>
      </c>
      <c r="F45" s="1452">
        <v>449.17</v>
      </c>
      <c r="G45" s="1530">
        <v>450.19</v>
      </c>
      <c r="H45" s="1453">
        <f t="shared" si="5"/>
        <v>23581.43</v>
      </c>
      <c r="I45" s="1453">
        <f t="shared" si="6"/>
        <v>23634.98</v>
      </c>
      <c r="J45" s="1454">
        <v>52.5</v>
      </c>
      <c r="K45" s="1454">
        <v>23634.974999999999</v>
      </c>
      <c r="L45" s="1666"/>
      <c r="M45" s="1456">
        <f t="shared" si="7"/>
        <v>0</v>
      </c>
      <c r="N45" s="1457">
        <f t="shared" si="2"/>
        <v>52.5</v>
      </c>
      <c r="O45" s="1458">
        <f t="shared" si="8"/>
        <v>23634.974999999999</v>
      </c>
      <c r="P45" s="1459">
        <f t="shared" si="9"/>
        <v>0.9999997884491546</v>
      </c>
      <c r="Q45" s="1460">
        <f t="shared" si="10"/>
        <v>0</v>
      </c>
      <c r="R45" s="1461">
        <f t="shared" si="11"/>
        <v>0</v>
      </c>
      <c r="S45" s="1462">
        <f t="shared" si="12"/>
        <v>0</v>
      </c>
      <c r="T45" s="1260"/>
      <c r="U45" s="1260"/>
      <c r="V45" s="1260"/>
      <c r="W45" s="1270"/>
    </row>
    <row r="46" spans="1:23" s="1255" customFormat="1">
      <c r="B46" s="1437" t="s">
        <v>3743</v>
      </c>
      <c r="C46" s="1449" t="s">
        <v>2953</v>
      </c>
      <c r="D46" s="1450" t="s">
        <v>37</v>
      </c>
      <c r="E46" s="1451">
        <v>508.62</v>
      </c>
      <c r="F46" s="1452">
        <v>67.959999999999994</v>
      </c>
      <c r="G46" s="1530">
        <v>69.680000000000007</v>
      </c>
      <c r="H46" s="1453">
        <f t="shared" si="5"/>
        <v>34565.82</v>
      </c>
      <c r="I46" s="1453">
        <f t="shared" si="6"/>
        <v>35440.639999999999</v>
      </c>
      <c r="J46" s="1454">
        <v>175.54</v>
      </c>
      <c r="K46" s="1454">
        <v>12231.627200000001</v>
      </c>
      <c r="L46" s="1666"/>
      <c r="M46" s="1456">
        <f t="shared" si="7"/>
        <v>0</v>
      </c>
      <c r="N46" s="1457">
        <f t="shared" si="2"/>
        <v>175.54</v>
      </c>
      <c r="O46" s="1458">
        <f t="shared" si="8"/>
        <v>12231.627200000001</v>
      </c>
      <c r="P46" s="1459">
        <f t="shared" si="9"/>
        <v>0.34512997507945681</v>
      </c>
      <c r="Q46" s="1460">
        <f t="shared" si="10"/>
        <v>333.08000000000004</v>
      </c>
      <c r="R46" s="1461">
        <f t="shared" si="11"/>
        <v>23209.01</v>
      </c>
      <c r="S46" s="1462">
        <f t="shared" si="12"/>
        <v>0.65486994591519787</v>
      </c>
      <c r="T46" s="1260"/>
      <c r="U46" s="1260"/>
      <c r="V46" s="1260"/>
      <c r="W46" s="1270"/>
    </row>
    <row r="47" spans="1:23" s="1255" customFormat="1">
      <c r="A47" s="1254"/>
      <c r="B47" s="1437" t="s">
        <v>3744</v>
      </c>
      <c r="C47" s="1449" t="s">
        <v>2954</v>
      </c>
      <c r="D47" s="1450" t="s">
        <v>48</v>
      </c>
      <c r="E47" s="1451">
        <v>12836.96</v>
      </c>
      <c r="F47" s="1452">
        <v>5.05</v>
      </c>
      <c r="G47" s="1530">
        <v>5.1100000000000003</v>
      </c>
      <c r="H47" s="1453">
        <f t="shared" si="5"/>
        <v>64826.65</v>
      </c>
      <c r="I47" s="1453">
        <f t="shared" si="6"/>
        <v>65596.87</v>
      </c>
      <c r="J47" s="1454">
        <v>12836.96</v>
      </c>
      <c r="K47" s="1454">
        <v>65596.865600000005</v>
      </c>
      <c r="L47" s="1666"/>
      <c r="M47" s="1456">
        <f t="shared" si="7"/>
        <v>0</v>
      </c>
      <c r="N47" s="1457">
        <f t="shared" si="2"/>
        <v>12836.96</v>
      </c>
      <c r="O47" s="1458">
        <f t="shared" si="8"/>
        <v>65596.865600000005</v>
      </c>
      <c r="P47" s="1459">
        <f t="shared" si="9"/>
        <v>0.99999993292362899</v>
      </c>
      <c r="Q47" s="1460">
        <f t="shared" si="10"/>
        <v>0</v>
      </c>
      <c r="R47" s="1461">
        <f t="shared" si="11"/>
        <v>0</v>
      </c>
      <c r="S47" s="1462">
        <f t="shared" si="12"/>
        <v>0</v>
      </c>
      <c r="T47" s="1260"/>
      <c r="U47" s="1260"/>
      <c r="V47" s="1260"/>
      <c r="W47" s="1270"/>
    </row>
    <row r="48" spans="1:23" s="1255" customFormat="1">
      <c r="A48" s="1266"/>
      <c r="B48" s="1527" t="s">
        <v>3745</v>
      </c>
      <c r="C48" s="1521" t="s">
        <v>2959</v>
      </c>
      <c r="D48" s="1450"/>
      <c r="E48" s="1451"/>
      <c r="F48" s="1452"/>
      <c r="G48" s="1530"/>
      <c r="H48" s="1453"/>
      <c r="I48" s="1453"/>
      <c r="J48" s="1454"/>
      <c r="K48" s="1454"/>
      <c r="L48" s="1666"/>
      <c r="M48" s="1456"/>
      <c r="N48" s="1457"/>
      <c r="O48" s="1458"/>
      <c r="P48" s="1459"/>
      <c r="Q48" s="1460"/>
      <c r="R48" s="1461"/>
      <c r="S48" s="1462" t="str">
        <f t="shared" si="12"/>
        <v/>
      </c>
      <c r="T48" s="1260"/>
      <c r="U48" s="1260"/>
      <c r="V48" s="1260"/>
      <c r="W48" s="1270"/>
    </row>
    <row r="49" spans="1:23" s="1255" customFormat="1">
      <c r="B49" s="1437" t="s">
        <v>3746</v>
      </c>
      <c r="C49" s="1449" t="s">
        <v>3747</v>
      </c>
      <c r="D49" s="1450" t="s">
        <v>40</v>
      </c>
      <c r="E49" s="1451">
        <v>91.49</v>
      </c>
      <c r="F49" s="1452">
        <v>449.17</v>
      </c>
      <c r="G49" s="1530">
        <v>450.19</v>
      </c>
      <c r="H49" s="1453">
        <f t="shared" si="5"/>
        <v>41094.559999999998</v>
      </c>
      <c r="I49" s="1453">
        <f t="shared" si="6"/>
        <v>41187.879999999997</v>
      </c>
      <c r="J49" s="1454">
        <v>91.49</v>
      </c>
      <c r="K49" s="1454">
        <v>41187.883099999999</v>
      </c>
      <c r="L49" s="1666"/>
      <c r="M49" s="1456">
        <f t="shared" si="7"/>
        <v>0</v>
      </c>
      <c r="N49" s="1457">
        <f t="shared" si="2"/>
        <v>91.49</v>
      </c>
      <c r="O49" s="1458">
        <f t="shared" si="8"/>
        <v>41187.883099999999</v>
      </c>
      <c r="P49" s="1459">
        <f t="shared" si="9"/>
        <v>1.0000000752648595</v>
      </c>
      <c r="Q49" s="1460">
        <f t="shared" si="10"/>
        <v>0</v>
      </c>
      <c r="R49" s="1461">
        <f t="shared" si="11"/>
        <v>0</v>
      </c>
      <c r="S49" s="1462">
        <f t="shared" si="12"/>
        <v>0</v>
      </c>
      <c r="T49" s="1260"/>
      <c r="U49" s="1260"/>
      <c r="V49" s="1260"/>
      <c r="W49" s="1270"/>
    </row>
    <row r="50" spans="1:23" s="1255" customFormat="1">
      <c r="A50" s="1266"/>
      <c r="B50" s="1437" t="s">
        <v>3748</v>
      </c>
      <c r="C50" s="1449" t="s">
        <v>2961</v>
      </c>
      <c r="D50" s="1450" t="s">
        <v>37</v>
      </c>
      <c r="E50" s="1451">
        <v>1092.19</v>
      </c>
      <c r="F50" s="1452">
        <v>75.03</v>
      </c>
      <c r="G50" s="1530">
        <v>76.75</v>
      </c>
      <c r="H50" s="1453">
        <f t="shared" si="5"/>
        <v>81947.02</v>
      </c>
      <c r="I50" s="1453">
        <f t="shared" si="6"/>
        <v>83825.58</v>
      </c>
      <c r="J50" s="1454">
        <v>1092.19</v>
      </c>
      <c r="K50" s="1454">
        <v>83825.582500000004</v>
      </c>
      <c r="L50" s="1666"/>
      <c r="M50" s="1456">
        <f t="shared" si="7"/>
        <v>0</v>
      </c>
      <c r="N50" s="1457">
        <f t="shared" si="2"/>
        <v>1092.19</v>
      </c>
      <c r="O50" s="1458">
        <f t="shared" si="8"/>
        <v>83825.582500000004</v>
      </c>
      <c r="P50" s="1459">
        <f t="shared" si="9"/>
        <v>1.0000000298238318</v>
      </c>
      <c r="Q50" s="1460">
        <f t="shared" si="10"/>
        <v>0</v>
      </c>
      <c r="R50" s="1461">
        <f t="shared" si="11"/>
        <v>0</v>
      </c>
      <c r="S50" s="1462">
        <f t="shared" si="12"/>
        <v>0</v>
      </c>
      <c r="T50" s="1260"/>
      <c r="U50" s="1260"/>
      <c r="V50" s="1260"/>
      <c r="W50" s="1270"/>
    </row>
    <row r="51" spans="1:23" s="1255" customFormat="1">
      <c r="A51" s="1266"/>
      <c r="B51" s="1437" t="s">
        <v>3749</v>
      </c>
      <c r="C51" s="1449" t="s">
        <v>2962</v>
      </c>
      <c r="D51" s="1450" t="s">
        <v>48</v>
      </c>
      <c r="E51" s="1451">
        <v>20543.57</v>
      </c>
      <c r="F51" s="1452">
        <v>5.05</v>
      </c>
      <c r="G51" s="1530">
        <v>5.1100000000000003</v>
      </c>
      <c r="H51" s="1453">
        <f t="shared" si="5"/>
        <v>103745.03</v>
      </c>
      <c r="I51" s="1453">
        <f t="shared" si="6"/>
        <v>104977.64</v>
      </c>
      <c r="J51" s="1454">
        <v>20543.57</v>
      </c>
      <c r="K51" s="1454">
        <v>104977.64270000001</v>
      </c>
      <c r="L51" s="1666"/>
      <c r="M51" s="1456">
        <f t="shared" si="7"/>
        <v>0</v>
      </c>
      <c r="N51" s="1457">
        <f t="shared" si="2"/>
        <v>20543.57</v>
      </c>
      <c r="O51" s="1458">
        <f t="shared" si="8"/>
        <v>104977.64270000001</v>
      </c>
      <c r="P51" s="1459">
        <f t="shared" si="9"/>
        <v>1.000000025719763</v>
      </c>
      <c r="Q51" s="1460">
        <f t="shared" si="10"/>
        <v>0</v>
      </c>
      <c r="R51" s="1461">
        <f t="shared" si="11"/>
        <v>0</v>
      </c>
      <c r="S51" s="1462">
        <f t="shared" si="12"/>
        <v>0</v>
      </c>
      <c r="T51" s="1260"/>
      <c r="U51" s="1260"/>
      <c r="V51" s="1260"/>
      <c r="W51" s="1270"/>
    </row>
    <row r="52" spans="1:23" s="1255" customFormat="1">
      <c r="B52" s="1527" t="s">
        <v>3750</v>
      </c>
      <c r="C52" s="1521" t="s">
        <v>2963</v>
      </c>
      <c r="D52" s="1450"/>
      <c r="E52" s="1451"/>
      <c r="F52" s="1452"/>
      <c r="G52" s="1530"/>
      <c r="H52" s="1453">
        <f t="shared" si="5"/>
        <v>0</v>
      </c>
      <c r="I52" s="1453">
        <f t="shared" si="6"/>
        <v>0</v>
      </c>
      <c r="J52" s="1454"/>
      <c r="K52" s="1454">
        <v>0</v>
      </c>
      <c r="L52" s="1666"/>
      <c r="M52" s="1456">
        <f t="shared" si="7"/>
        <v>0</v>
      </c>
      <c r="N52" s="1457"/>
      <c r="O52" s="1458">
        <f t="shared" si="8"/>
        <v>0</v>
      </c>
      <c r="P52" s="1459" t="str">
        <f t="shared" si="9"/>
        <v/>
      </c>
      <c r="Q52" s="1460"/>
      <c r="R52" s="1461">
        <f t="shared" si="11"/>
        <v>0</v>
      </c>
      <c r="S52" s="1462" t="str">
        <f t="shared" si="12"/>
        <v/>
      </c>
      <c r="T52" s="1260"/>
      <c r="U52" s="1260"/>
      <c r="V52" s="1260"/>
      <c r="W52" s="1270"/>
    </row>
    <row r="53" spans="1:23" s="1255" customFormat="1">
      <c r="A53" s="1254"/>
      <c r="B53" s="1437" t="s">
        <v>3751</v>
      </c>
      <c r="C53" s="1449" t="s">
        <v>3752</v>
      </c>
      <c r="D53" s="1450" t="s">
        <v>40</v>
      </c>
      <c r="E53" s="1451">
        <v>54.07</v>
      </c>
      <c r="F53" s="1452">
        <v>435.75</v>
      </c>
      <c r="G53" s="1530">
        <v>436.26</v>
      </c>
      <c r="H53" s="1453">
        <f t="shared" si="5"/>
        <v>23561</v>
      </c>
      <c r="I53" s="1453">
        <f t="shared" si="6"/>
        <v>23588.58</v>
      </c>
      <c r="J53" s="1454">
        <v>54.069999999999993</v>
      </c>
      <c r="K53" s="1454">
        <v>23588.578199999996</v>
      </c>
      <c r="L53" s="1666"/>
      <c r="M53" s="1456">
        <f t="shared" si="7"/>
        <v>0</v>
      </c>
      <c r="N53" s="1457">
        <f t="shared" si="2"/>
        <v>54.069999999999993</v>
      </c>
      <c r="O53" s="1458">
        <f t="shared" si="8"/>
        <v>23588.578199999996</v>
      </c>
      <c r="P53" s="1459">
        <f t="shared" si="9"/>
        <v>0.99999992369188795</v>
      </c>
      <c r="Q53" s="1460">
        <f t="shared" si="10"/>
        <v>0</v>
      </c>
      <c r="R53" s="1461">
        <f t="shared" si="11"/>
        <v>0</v>
      </c>
      <c r="S53" s="1462">
        <f t="shared" si="12"/>
        <v>0</v>
      </c>
      <c r="T53" s="1260"/>
      <c r="U53" s="1260"/>
      <c r="V53" s="1260"/>
      <c r="W53" s="1270"/>
    </row>
    <row r="54" spans="1:23" s="1255" customFormat="1">
      <c r="A54" s="1266"/>
      <c r="B54" s="1437" t="s">
        <v>3753</v>
      </c>
      <c r="C54" s="1449" t="s">
        <v>2965</v>
      </c>
      <c r="D54" s="1450" t="s">
        <v>37</v>
      </c>
      <c r="E54" s="1451">
        <v>542.76</v>
      </c>
      <c r="F54" s="1452">
        <v>88.96</v>
      </c>
      <c r="G54" s="1530">
        <v>90.87</v>
      </c>
      <c r="H54" s="1453">
        <f t="shared" si="5"/>
        <v>48283.93</v>
      </c>
      <c r="I54" s="1453">
        <f t="shared" si="6"/>
        <v>49320.6</v>
      </c>
      <c r="J54" s="1454">
        <v>120.15</v>
      </c>
      <c r="K54" s="1454">
        <v>10918.030500000001</v>
      </c>
      <c r="L54" s="1666"/>
      <c r="M54" s="1456">
        <f t="shared" si="7"/>
        <v>0</v>
      </c>
      <c r="N54" s="1457">
        <f t="shared" si="2"/>
        <v>120.15</v>
      </c>
      <c r="O54" s="1458">
        <f t="shared" si="8"/>
        <v>10918.030500000001</v>
      </c>
      <c r="P54" s="1459">
        <f t="shared" si="9"/>
        <v>0.22136856607583852</v>
      </c>
      <c r="Q54" s="1460">
        <f t="shared" si="10"/>
        <v>422.61</v>
      </c>
      <c r="R54" s="1461">
        <f t="shared" si="11"/>
        <v>38402.57</v>
      </c>
      <c r="S54" s="1462">
        <f t="shared" si="12"/>
        <v>0.77863144406191331</v>
      </c>
      <c r="T54" s="1260"/>
      <c r="U54" s="1260"/>
      <c r="V54" s="1260"/>
      <c r="W54" s="1270"/>
    </row>
    <row r="55" spans="1:23" s="1255" customFormat="1">
      <c r="B55" s="1437" t="s">
        <v>3754</v>
      </c>
      <c r="C55" s="1449" t="s">
        <v>2966</v>
      </c>
      <c r="D55" s="1450" t="s">
        <v>48</v>
      </c>
      <c r="E55" s="1451">
        <v>17486.73</v>
      </c>
      <c r="F55" s="1452">
        <v>5.05</v>
      </c>
      <c r="G55" s="1530">
        <v>5.1100000000000003</v>
      </c>
      <c r="H55" s="1453">
        <f t="shared" si="5"/>
        <v>88307.99</v>
      </c>
      <c r="I55" s="1453">
        <f t="shared" si="6"/>
        <v>89357.19</v>
      </c>
      <c r="J55" s="1454">
        <v>17486.73</v>
      </c>
      <c r="K55" s="1454">
        <v>89357.190300000002</v>
      </c>
      <c r="L55" s="1666"/>
      <c r="M55" s="1456">
        <f t="shared" si="7"/>
        <v>0</v>
      </c>
      <c r="N55" s="1457">
        <f t="shared" si="2"/>
        <v>17486.73</v>
      </c>
      <c r="O55" s="1458">
        <f t="shared" si="8"/>
        <v>89357.190300000002</v>
      </c>
      <c r="P55" s="1459">
        <f t="shared" si="9"/>
        <v>1.0000000033573124</v>
      </c>
      <c r="Q55" s="1460">
        <f t="shared" si="10"/>
        <v>0</v>
      </c>
      <c r="R55" s="1461">
        <f t="shared" si="11"/>
        <v>0</v>
      </c>
      <c r="S55" s="1462">
        <f t="shared" si="12"/>
        <v>0</v>
      </c>
      <c r="T55" s="1260"/>
      <c r="U55" s="1260"/>
      <c r="V55" s="1260"/>
      <c r="W55" s="1270"/>
    </row>
    <row r="56" spans="1:23" s="1255" customFormat="1">
      <c r="A56" s="1254"/>
      <c r="B56" s="1527" t="s">
        <v>3755</v>
      </c>
      <c r="C56" s="1521" t="s">
        <v>3756</v>
      </c>
      <c r="D56" s="1450"/>
      <c r="E56" s="1451"/>
      <c r="F56" s="1452"/>
      <c r="G56" s="1530"/>
      <c r="H56" s="1453">
        <f t="shared" si="5"/>
        <v>0</v>
      </c>
      <c r="I56" s="1453">
        <f t="shared" si="6"/>
        <v>0</v>
      </c>
      <c r="J56" s="1454"/>
      <c r="K56" s="1454">
        <v>0</v>
      </c>
      <c r="L56" s="1666"/>
      <c r="M56" s="1456">
        <f t="shared" si="7"/>
        <v>0</v>
      </c>
      <c r="N56" s="1457"/>
      <c r="O56" s="1458">
        <f t="shared" si="8"/>
        <v>0</v>
      </c>
      <c r="P56" s="1459" t="str">
        <f t="shared" si="9"/>
        <v/>
      </c>
      <c r="Q56" s="1460"/>
      <c r="R56" s="1461">
        <f t="shared" si="11"/>
        <v>0</v>
      </c>
      <c r="S56" s="1462" t="str">
        <f t="shared" si="12"/>
        <v/>
      </c>
      <c r="T56" s="1260"/>
      <c r="U56" s="1260"/>
      <c r="V56" s="1260"/>
      <c r="W56" s="1270"/>
    </row>
    <row r="57" spans="1:23" s="1255" customFormat="1" ht="25.5">
      <c r="A57" s="1266"/>
      <c r="B57" s="1437" t="s">
        <v>3757</v>
      </c>
      <c r="C57" s="1449" t="s">
        <v>2968</v>
      </c>
      <c r="D57" s="1450" t="s">
        <v>40</v>
      </c>
      <c r="E57" s="1451">
        <v>2.57</v>
      </c>
      <c r="F57" s="1452">
        <v>442.22</v>
      </c>
      <c r="G57" s="1530">
        <v>442.98</v>
      </c>
      <c r="H57" s="1453">
        <f t="shared" si="5"/>
        <v>1136.51</v>
      </c>
      <c r="I57" s="1453">
        <f t="shared" si="6"/>
        <v>1138.46</v>
      </c>
      <c r="J57" s="1454">
        <v>0</v>
      </c>
      <c r="K57" s="1454">
        <v>0</v>
      </c>
      <c r="L57" s="1666"/>
      <c r="M57" s="1456">
        <f t="shared" si="7"/>
        <v>0</v>
      </c>
      <c r="N57" s="1457">
        <f t="shared" si="2"/>
        <v>0</v>
      </c>
      <c r="O57" s="1458">
        <f t="shared" si="8"/>
        <v>0</v>
      </c>
      <c r="P57" s="1459">
        <f t="shared" si="9"/>
        <v>0</v>
      </c>
      <c r="Q57" s="1460">
        <f t="shared" si="10"/>
        <v>2.57</v>
      </c>
      <c r="R57" s="1461">
        <f t="shared" si="11"/>
        <v>1138.46</v>
      </c>
      <c r="S57" s="1462">
        <f t="shared" si="12"/>
        <v>1</v>
      </c>
      <c r="T57" s="1260"/>
      <c r="U57" s="1260"/>
      <c r="V57" s="1260"/>
      <c r="W57" s="1270"/>
    </row>
    <row r="58" spans="1:23" s="1255" customFormat="1">
      <c r="B58" s="1437" t="s">
        <v>3758</v>
      </c>
      <c r="C58" s="1449" t="s">
        <v>2969</v>
      </c>
      <c r="D58" s="1450" t="s">
        <v>37</v>
      </c>
      <c r="E58" s="1451">
        <v>32.06</v>
      </c>
      <c r="F58" s="1452">
        <v>59.89</v>
      </c>
      <c r="G58" s="1530">
        <v>61.03</v>
      </c>
      <c r="H58" s="1453">
        <f t="shared" si="5"/>
        <v>1920.07</v>
      </c>
      <c r="I58" s="1453">
        <f t="shared" si="6"/>
        <v>1956.62</v>
      </c>
      <c r="J58" s="1454">
        <v>0</v>
      </c>
      <c r="K58" s="1454">
        <v>0</v>
      </c>
      <c r="L58" s="1666"/>
      <c r="M58" s="1456">
        <f t="shared" si="7"/>
        <v>0</v>
      </c>
      <c r="N58" s="1457">
        <f t="shared" si="2"/>
        <v>0</v>
      </c>
      <c r="O58" s="1458">
        <f t="shared" si="8"/>
        <v>0</v>
      </c>
      <c r="P58" s="1459">
        <f t="shared" si="9"/>
        <v>0</v>
      </c>
      <c r="Q58" s="1460">
        <f t="shared" si="10"/>
        <v>32.06</v>
      </c>
      <c r="R58" s="1461">
        <f t="shared" si="11"/>
        <v>1956.62</v>
      </c>
      <c r="S58" s="1462">
        <f t="shared" si="12"/>
        <v>1</v>
      </c>
      <c r="T58" s="1260"/>
      <c r="U58" s="1260"/>
      <c r="V58" s="1260"/>
      <c r="W58" s="1270"/>
    </row>
    <row r="59" spans="1:23" s="1255" customFormat="1">
      <c r="A59" s="1266"/>
      <c r="B59" s="1437" t="s">
        <v>3759</v>
      </c>
      <c r="C59" s="1449" t="s">
        <v>2970</v>
      </c>
      <c r="D59" s="1450" t="s">
        <v>48</v>
      </c>
      <c r="E59" s="1451">
        <v>227.36</v>
      </c>
      <c r="F59" s="1452">
        <v>5.05</v>
      </c>
      <c r="G59" s="1530">
        <v>5.1100000000000003</v>
      </c>
      <c r="H59" s="1453">
        <f t="shared" si="5"/>
        <v>1148.17</v>
      </c>
      <c r="I59" s="1453">
        <f t="shared" si="6"/>
        <v>1161.81</v>
      </c>
      <c r="J59" s="1454">
        <v>0</v>
      </c>
      <c r="K59" s="1454">
        <v>0</v>
      </c>
      <c r="L59" s="1666"/>
      <c r="M59" s="1456">
        <f t="shared" si="7"/>
        <v>0</v>
      </c>
      <c r="N59" s="1457">
        <f t="shared" si="2"/>
        <v>0</v>
      </c>
      <c r="O59" s="1458">
        <f t="shared" si="8"/>
        <v>0</v>
      </c>
      <c r="P59" s="1459">
        <f t="shared" si="9"/>
        <v>0</v>
      </c>
      <c r="Q59" s="1460">
        <f t="shared" si="10"/>
        <v>227.36</v>
      </c>
      <c r="R59" s="1461">
        <f t="shared" si="11"/>
        <v>1161.81</v>
      </c>
      <c r="S59" s="1462">
        <f t="shared" si="12"/>
        <v>1</v>
      </c>
      <c r="T59" s="1260"/>
      <c r="U59" s="1260"/>
      <c r="V59" s="1260"/>
      <c r="W59" s="1270"/>
    </row>
    <row r="60" spans="1:23" s="1255" customFormat="1" ht="25.5">
      <c r="A60" s="1266"/>
      <c r="B60" s="1437" t="s">
        <v>3760</v>
      </c>
      <c r="C60" s="1449" t="s">
        <v>2971</v>
      </c>
      <c r="D60" s="1450" t="s">
        <v>36</v>
      </c>
      <c r="E60" s="1451">
        <v>262.14999999999998</v>
      </c>
      <c r="F60" s="1452">
        <v>5.18</v>
      </c>
      <c r="G60" s="1530">
        <v>5.22</v>
      </c>
      <c r="H60" s="1453">
        <f t="shared" si="5"/>
        <v>1357.94</v>
      </c>
      <c r="I60" s="1453">
        <f t="shared" si="6"/>
        <v>1368.42</v>
      </c>
      <c r="J60" s="1454">
        <v>0</v>
      </c>
      <c r="K60" s="1454">
        <v>0</v>
      </c>
      <c r="L60" s="1666"/>
      <c r="M60" s="1456">
        <f t="shared" si="7"/>
        <v>0</v>
      </c>
      <c r="N60" s="1457">
        <f t="shared" si="2"/>
        <v>0</v>
      </c>
      <c r="O60" s="1458">
        <f t="shared" si="8"/>
        <v>0</v>
      </c>
      <c r="P60" s="1459">
        <f t="shared" si="9"/>
        <v>0</v>
      </c>
      <c r="Q60" s="1460">
        <f t="shared" si="10"/>
        <v>262.14999999999998</v>
      </c>
      <c r="R60" s="1461">
        <f t="shared" si="11"/>
        <v>1368.42</v>
      </c>
      <c r="S60" s="1462">
        <f t="shared" si="12"/>
        <v>1</v>
      </c>
      <c r="T60" s="1260"/>
      <c r="U60" s="1260"/>
      <c r="V60" s="1260"/>
      <c r="W60" s="1270"/>
    </row>
    <row r="61" spans="1:23" s="1255" customFormat="1">
      <c r="B61" s="1527" t="s">
        <v>3761</v>
      </c>
      <c r="C61" s="1521" t="s">
        <v>2972</v>
      </c>
      <c r="D61" s="1450"/>
      <c r="E61" s="1451"/>
      <c r="F61" s="1452"/>
      <c r="G61" s="1530"/>
      <c r="H61" s="1453">
        <f t="shared" si="5"/>
        <v>0</v>
      </c>
      <c r="I61" s="1453">
        <f t="shared" si="6"/>
        <v>0</v>
      </c>
      <c r="J61" s="1454"/>
      <c r="K61" s="1454">
        <v>0</v>
      </c>
      <c r="L61" s="1666"/>
      <c r="M61" s="1456">
        <f t="shared" si="7"/>
        <v>0</v>
      </c>
      <c r="N61" s="1457"/>
      <c r="O61" s="1458">
        <f t="shared" si="8"/>
        <v>0</v>
      </c>
      <c r="P61" s="1459" t="str">
        <f t="shared" si="9"/>
        <v/>
      </c>
      <c r="Q61" s="1460"/>
      <c r="R61" s="1461">
        <f t="shared" si="11"/>
        <v>0</v>
      </c>
      <c r="S61" s="1462" t="str">
        <f t="shared" si="12"/>
        <v/>
      </c>
      <c r="T61" s="1260"/>
      <c r="U61" s="1260"/>
      <c r="V61" s="1260"/>
      <c r="W61" s="1270"/>
    </row>
    <row r="62" spans="1:23" s="1255" customFormat="1" ht="25.5">
      <c r="A62" s="1254"/>
      <c r="B62" s="1437" t="s">
        <v>3762</v>
      </c>
      <c r="C62" s="1449" t="s">
        <v>2968</v>
      </c>
      <c r="D62" s="1450" t="s">
        <v>40</v>
      </c>
      <c r="E62" s="1451">
        <v>9.58</v>
      </c>
      <c r="F62" s="1452">
        <v>442.22</v>
      </c>
      <c r="G62" s="1530">
        <v>442.98</v>
      </c>
      <c r="H62" s="1453">
        <f t="shared" si="5"/>
        <v>4236.47</v>
      </c>
      <c r="I62" s="1453">
        <f t="shared" si="6"/>
        <v>4243.75</v>
      </c>
      <c r="J62" s="1454">
        <v>9.58</v>
      </c>
      <c r="K62" s="1454">
        <v>4243.7484000000004</v>
      </c>
      <c r="L62" s="1666"/>
      <c r="M62" s="1456">
        <f t="shared" si="7"/>
        <v>0</v>
      </c>
      <c r="N62" s="1457">
        <f t="shared" si="2"/>
        <v>9.58</v>
      </c>
      <c r="O62" s="1458">
        <f t="shared" si="8"/>
        <v>4243.7484000000004</v>
      </c>
      <c r="P62" s="1459">
        <f t="shared" si="9"/>
        <v>0.99999962297496325</v>
      </c>
      <c r="Q62" s="1460">
        <f t="shared" si="10"/>
        <v>0</v>
      </c>
      <c r="R62" s="1461">
        <f t="shared" si="11"/>
        <v>0</v>
      </c>
      <c r="S62" s="1462">
        <f t="shared" si="12"/>
        <v>0</v>
      </c>
      <c r="T62" s="1260"/>
      <c r="U62" s="1260"/>
      <c r="V62" s="1260"/>
      <c r="W62" s="1270"/>
    </row>
    <row r="63" spans="1:23" s="1255" customFormat="1">
      <c r="A63" s="1266"/>
      <c r="B63" s="1437" t="s">
        <v>3763</v>
      </c>
      <c r="C63" s="1449" t="s">
        <v>2969</v>
      </c>
      <c r="D63" s="1450" t="s">
        <v>37</v>
      </c>
      <c r="E63" s="1451">
        <v>63.84</v>
      </c>
      <c r="F63" s="1452">
        <v>59.89</v>
      </c>
      <c r="G63" s="1530">
        <v>61.03</v>
      </c>
      <c r="H63" s="1453">
        <f t="shared" si="5"/>
        <v>3823.38</v>
      </c>
      <c r="I63" s="1453">
        <f t="shared" si="6"/>
        <v>3896.16</v>
      </c>
      <c r="J63" s="1454">
        <v>63.84</v>
      </c>
      <c r="K63" s="1454">
        <v>3896.1552000000001</v>
      </c>
      <c r="L63" s="1666"/>
      <c r="M63" s="1456">
        <f t="shared" si="7"/>
        <v>0</v>
      </c>
      <c r="N63" s="1457">
        <f t="shared" si="2"/>
        <v>63.84</v>
      </c>
      <c r="O63" s="1458">
        <f t="shared" si="8"/>
        <v>3896.1552000000001</v>
      </c>
      <c r="P63" s="1459">
        <f t="shared" si="9"/>
        <v>0.99999876801774057</v>
      </c>
      <c r="Q63" s="1460">
        <f t="shared" si="10"/>
        <v>0</v>
      </c>
      <c r="R63" s="1461">
        <f t="shared" si="11"/>
        <v>0</v>
      </c>
      <c r="S63" s="1462">
        <f t="shared" si="12"/>
        <v>0</v>
      </c>
      <c r="T63" s="1260"/>
      <c r="U63" s="1260"/>
      <c r="V63" s="1260"/>
      <c r="W63" s="1270"/>
    </row>
    <row r="64" spans="1:23" s="1255" customFormat="1">
      <c r="B64" s="1437" t="s">
        <v>3764</v>
      </c>
      <c r="C64" s="1449" t="s">
        <v>2970</v>
      </c>
      <c r="D64" s="1450" t="s">
        <v>48</v>
      </c>
      <c r="E64" s="1451">
        <v>1130.06</v>
      </c>
      <c r="F64" s="1452">
        <v>5.05</v>
      </c>
      <c r="G64" s="1530">
        <v>5.1100000000000003</v>
      </c>
      <c r="H64" s="1453">
        <f t="shared" si="5"/>
        <v>5706.8</v>
      </c>
      <c r="I64" s="1453">
        <f t="shared" si="6"/>
        <v>5774.61</v>
      </c>
      <c r="J64" s="1454">
        <v>679.07688000000076</v>
      </c>
      <c r="K64" s="1454">
        <v>3470.0828568000043</v>
      </c>
      <c r="L64" s="1666"/>
      <c r="M64" s="1456">
        <f t="shared" si="7"/>
        <v>0</v>
      </c>
      <c r="N64" s="1457">
        <f t="shared" si="2"/>
        <v>679.07688000000076</v>
      </c>
      <c r="O64" s="1458">
        <f t="shared" si="8"/>
        <v>3470.0828568000043</v>
      </c>
      <c r="P64" s="1459">
        <f t="shared" si="9"/>
        <v>0.60092073002332702</v>
      </c>
      <c r="Q64" s="1460">
        <f t="shared" si="10"/>
        <v>450.98311999999919</v>
      </c>
      <c r="R64" s="1461">
        <f t="shared" si="11"/>
        <v>2304.52</v>
      </c>
      <c r="S64" s="1462">
        <f t="shared" si="12"/>
        <v>0.39907803297538708</v>
      </c>
      <c r="T64" s="1260"/>
      <c r="U64" s="1260"/>
      <c r="V64" s="1260"/>
      <c r="W64" s="1270"/>
    </row>
    <row r="65" spans="1:23" s="1255" customFormat="1" ht="25.5">
      <c r="A65" s="1254"/>
      <c r="B65" s="1437" t="s">
        <v>3765</v>
      </c>
      <c r="C65" s="1449" t="s">
        <v>2973</v>
      </c>
      <c r="D65" s="1450" t="s">
        <v>36</v>
      </c>
      <c r="E65" s="1451">
        <v>1241</v>
      </c>
      <c r="F65" s="1452">
        <v>5.52</v>
      </c>
      <c r="G65" s="1530">
        <v>5.56</v>
      </c>
      <c r="H65" s="1453">
        <f t="shared" si="5"/>
        <v>6850.32</v>
      </c>
      <c r="I65" s="1453">
        <f t="shared" si="6"/>
        <v>6899.96</v>
      </c>
      <c r="J65" s="1454">
        <v>1241</v>
      </c>
      <c r="K65" s="1454">
        <v>6899.9599999999991</v>
      </c>
      <c r="L65" s="1666"/>
      <c r="M65" s="1456">
        <f t="shared" si="7"/>
        <v>0</v>
      </c>
      <c r="N65" s="1457">
        <f t="shared" si="2"/>
        <v>1241</v>
      </c>
      <c r="O65" s="1458">
        <f t="shared" si="8"/>
        <v>6899.9599999999991</v>
      </c>
      <c r="P65" s="1459">
        <f t="shared" si="9"/>
        <v>0.99999999999999989</v>
      </c>
      <c r="Q65" s="1460">
        <f t="shared" si="10"/>
        <v>0</v>
      </c>
      <c r="R65" s="1461">
        <f t="shared" si="11"/>
        <v>0</v>
      </c>
      <c r="S65" s="1462">
        <f t="shared" si="12"/>
        <v>0</v>
      </c>
      <c r="T65" s="1260"/>
      <c r="U65" s="1260"/>
      <c r="V65" s="1260"/>
      <c r="W65" s="1270"/>
    </row>
    <row r="66" spans="1:23" s="1255" customFormat="1">
      <c r="A66" s="1266"/>
      <c r="B66" s="1527" t="s">
        <v>3766</v>
      </c>
      <c r="C66" s="1521" t="s">
        <v>2976</v>
      </c>
      <c r="D66" s="1450"/>
      <c r="E66" s="1451"/>
      <c r="F66" s="1452"/>
      <c r="G66" s="1530"/>
      <c r="H66" s="1453">
        <f t="shared" si="5"/>
        <v>0</v>
      </c>
      <c r="I66" s="1453">
        <f t="shared" si="6"/>
        <v>0</v>
      </c>
      <c r="J66" s="1454"/>
      <c r="K66" s="1454">
        <v>0</v>
      </c>
      <c r="L66" s="1666"/>
      <c r="M66" s="1456">
        <f t="shared" si="7"/>
        <v>0</v>
      </c>
      <c r="N66" s="1457"/>
      <c r="O66" s="1458">
        <f t="shared" si="8"/>
        <v>0</v>
      </c>
      <c r="P66" s="1459" t="str">
        <f t="shared" si="9"/>
        <v/>
      </c>
      <c r="Q66" s="1460"/>
      <c r="R66" s="1461">
        <f t="shared" si="11"/>
        <v>0</v>
      </c>
      <c r="S66" s="1462" t="str">
        <f t="shared" si="12"/>
        <v/>
      </c>
      <c r="T66" s="1260"/>
      <c r="U66" s="1260"/>
      <c r="V66" s="1260"/>
      <c r="W66" s="1270"/>
    </row>
    <row r="67" spans="1:23" s="1255" customFormat="1">
      <c r="B67" s="1437" t="s">
        <v>3767</v>
      </c>
      <c r="C67" s="1449" t="s">
        <v>3768</v>
      </c>
      <c r="D67" s="1450" t="s">
        <v>40</v>
      </c>
      <c r="E67" s="1451">
        <v>1.18</v>
      </c>
      <c r="F67" s="1452">
        <v>442.22</v>
      </c>
      <c r="G67" s="1530">
        <v>442.98</v>
      </c>
      <c r="H67" s="1453">
        <f t="shared" si="5"/>
        <v>521.82000000000005</v>
      </c>
      <c r="I67" s="1453">
        <f t="shared" si="6"/>
        <v>522.72</v>
      </c>
      <c r="J67" s="1454">
        <v>1.18</v>
      </c>
      <c r="K67" s="1454">
        <v>522.71640000000002</v>
      </c>
      <c r="L67" s="1666"/>
      <c r="M67" s="1456">
        <f t="shared" si="7"/>
        <v>0</v>
      </c>
      <c r="N67" s="1457">
        <f t="shared" si="2"/>
        <v>1.18</v>
      </c>
      <c r="O67" s="1458">
        <f t="shared" si="8"/>
        <v>522.71640000000002</v>
      </c>
      <c r="P67" s="1459">
        <f t="shared" si="9"/>
        <v>0.99999311294765836</v>
      </c>
      <c r="Q67" s="1460">
        <f t="shared" si="10"/>
        <v>0</v>
      </c>
      <c r="R67" s="1461">
        <f t="shared" si="11"/>
        <v>0</v>
      </c>
      <c r="S67" s="1462">
        <f t="shared" si="12"/>
        <v>0</v>
      </c>
      <c r="T67" s="1260"/>
      <c r="U67" s="1260"/>
      <c r="V67" s="1260"/>
      <c r="W67" s="1270"/>
    </row>
    <row r="68" spans="1:23" s="1255" customFormat="1">
      <c r="A68" s="1266"/>
      <c r="B68" s="1437" t="s">
        <v>3769</v>
      </c>
      <c r="C68" s="1449" t="s">
        <v>2978</v>
      </c>
      <c r="D68" s="1450" t="s">
        <v>37</v>
      </c>
      <c r="E68" s="1451">
        <v>10.47</v>
      </c>
      <c r="F68" s="1452">
        <v>59.89</v>
      </c>
      <c r="G68" s="1530">
        <v>61.03</v>
      </c>
      <c r="H68" s="1453">
        <f t="shared" si="5"/>
        <v>627.04999999999995</v>
      </c>
      <c r="I68" s="1453">
        <f t="shared" si="6"/>
        <v>638.98</v>
      </c>
      <c r="J68" s="1454">
        <v>10.47</v>
      </c>
      <c r="K68" s="1454">
        <v>638.98410000000001</v>
      </c>
      <c r="L68" s="1666"/>
      <c r="M68" s="1456">
        <f t="shared" si="7"/>
        <v>0</v>
      </c>
      <c r="N68" s="1457">
        <f t="shared" si="2"/>
        <v>10.47</v>
      </c>
      <c r="O68" s="1458">
        <f t="shared" si="8"/>
        <v>638.98410000000001</v>
      </c>
      <c r="P68" s="1459">
        <f t="shared" si="9"/>
        <v>1.000006416476259</v>
      </c>
      <c r="Q68" s="1460">
        <f t="shared" si="10"/>
        <v>0</v>
      </c>
      <c r="R68" s="1461">
        <f t="shared" si="11"/>
        <v>0</v>
      </c>
      <c r="S68" s="1462">
        <f t="shared" si="12"/>
        <v>0</v>
      </c>
      <c r="T68" s="1260"/>
      <c r="U68" s="1260"/>
      <c r="V68" s="1260"/>
      <c r="W68" s="1270"/>
    </row>
    <row r="69" spans="1:23" s="1255" customFormat="1">
      <c r="A69" s="1266"/>
      <c r="B69" s="1437" t="s">
        <v>3770</v>
      </c>
      <c r="C69" s="1449" t="s">
        <v>2979</v>
      </c>
      <c r="D69" s="1450" t="s">
        <v>48</v>
      </c>
      <c r="E69" s="1451">
        <v>104.87</v>
      </c>
      <c r="F69" s="1452">
        <v>5.05</v>
      </c>
      <c r="G69" s="1530">
        <v>5.1100000000000003</v>
      </c>
      <c r="H69" s="1453">
        <f t="shared" si="5"/>
        <v>529.59</v>
      </c>
      <c r="I69" s="1453">
        <f t="shared" si="6"/>
        <v>535.89</v>
      </c>
      <c r="J69" s="1454">
        <v>104.87</v>
      </c>
      <c r="K69" s="1454">
        <v>535.88570000000004</v>
      </c>
      <c r="L69" s="1666"/>
      <c r="M69" s="1456">
        <f t="shared" si="7"/>
        <v>0</v>
      </c>
      <c r="N69" s="1457">
        <f t="shared" si="2"/>
        <v>104.87</v>
      </c>
      <c r="O69" s="1458">
        <f t="shared" si="8"/>
        <v>535.88570000000004</v>
      </c>
      <c r="P69" s="1459">
        <f t="shared" si="9"/>
        <v>0.99999197596521683</v>
      </c>
      <c r="Q69" s="1460">
        <f t="shared" si="10"/>
        <v>0</v>
      </c>
      <c r="R69" s="1461">
        <f t="shared" si="11"/>
        <v>0</v>
      </c>
      <c r="S69" s="1462">
        <f t="shared" si="12"/>
        <v>0</v>
      </c>
      <c r="T69" s="1260"/>
      <c r="U69" s="1260"/>
      <c r="V69" s="1260"/>
      <c r="W69" s="1270"/>
    </row>
    <row r="70" spans="1:23" s="1255" customFormat="1" ht="25.5">
      <c r="B70" s="1437" t="s">
        <v>3771</v>
      </c>
      <c r="C70" s="1449" t="s">
        <v>2980</v>
      </c>
      <c r="D70" s="1450" t="s">
        <v>36</v>
      </c>
      <c r="E70" s="1451">
        <v>87</v>
      </c>
      <c r="F70" s="1452">
        <v>6.26</v>
      </c>
      <c r="G70" s="1530">
        <v>6.3</v>
      </c>
      <c r="H70" s="1453">
        <f t="shared" si="5"/>
        <v>544.62</v>
      </c>
      <c r="I70" s="1453">
        <f t="shared" si="6"/>
        <v>548.1</v>
      </c>
      <c r="J70" s="1454">
        <v>87</v>
      </c>
      <c r="K70" s="1454">
        <v>548.1</v>
      </c>
      <c r="L70" s="1666"/>
      <c r="M70" s="1456">
        <f t="shared" si="7"/>
        <v>0</v>
      </c>
      <c r="N70" s="1457">
        <f t="shared" si="2"/>
        <v>87</v>
      </c>
      <c r="O70" s="1458">
        <f t="shared" si="8"/>
        <v>548.1</v>
      </c>
      <c r="P70" s="1459">
        <f t="shared" si="9"/>
        <v>1</v>
      </c>
      <c r="Q70" s="1460">
        <f t="shared" si="10"/>
        <v>0</v>
      </c>
      <c r="R70" s="1461">
        <f t="shared" si="11"/>
        <v>0</v>
      </c>
      <c r="S70" s="1462">
        <f t="shared" si="12"/>
        <v>0</v>
      </c>
      <c r="T70" s="1260"/>
      <c r="U70" s="1260"/>
      <c r="V70" s="1260"/>
      <c r="W70" s="1270"/>
    </row>
    <row r="71" spans="1:23" s="1255" customFormat="1">
      <c r="A71" s="1254"/>
      <c r="B71" s="1527" t="s">
        <v>3772</v>
      </c>
      <c r="C71" s="1521" t="s">
        <v>2981</v>
      </c>
      <c r="D71" s="1450"/>
      <c r="E71" s="1451"/>
      <c r="F71" s="1452"/>
      <c r="G71" s="1530"/>
      <c r="H71" s="1453">
        <f t="shared" si="5"/>
        <v>0</v>
      </c>
      <c r="I71" s="1453">
        <f t="shared" si="6"/>
        <v>0</v>
      </c>
      <c r="J71" s="1454"/>
      <c r="K71" s="1454">
        <v>0</v>
      </c>
      <c r="L71" s="1666"/>
      <c r="M71" s="1456">
        <f t="shared" si="7"/>
        <v>0</v>
      </c>
      <c r="N71" s="1457"/>
      <c r="O71" s="1458">
        <f t="shared" si="8"/>
        <v>0</v>
      </c>
      <c r="P71" s="1459" t="str">
        <f t="shared" si="9"/>
        <v/>
      </c>
      <c r="Q71" s="1460"/>
      <c r="R71" s="1461">
        <f t="shared" si="11"/>
        <v>0</v>
      </c>
      <c r="S71" s="1462" t="str">
        <f t="shared" si="12"/>
        <v/>
      </c>
      <c r="T71" s="1260"/>
      <c r="U71" s="1260"/>
      <c r="V71" s="1260"/>
      <c r="W71" s="1270"/>
    </row>
    <row r="72" spans="1:23" s="1255" customFormat="1">
      <c r="A72" s="1266"/>
      <c r="B72" s="1437" t="s">
        <v>3773</v>
      </c>
      <c r="C72" s="1449" t="s">
        <v>3768</v>
      </c>
      <c r="D72" s="1450" t="s">
        <v>40</v>
      </c>
      <c r="E72" s="1451">
        <v>76.52</v>
      </c>
      <c r="F72" s="1452">
        <v>442.22</v>
      </c>
      <c r="G72" s="1530">
        <v>442.98</v>
      </c>
      <c r="H72" s="1453">
        <f t="shared" si="5"/>
        <v>33838.67</v>
      </c>
      <c r="I72" s="1453">
        <f t="shared" si="6"/>
        <v>33896.83</v>
      </c>
      <c r="J72" s="1454">
        <v>76.52</v>
      </c>
      <c r="K72" s="1454">
        <v>33896.829599999997</v>
      </c>
      <c r="L72" s="1666"/>
      <c r="M72" s="1456">
        <f t="shared" si="7"/>
        <v>0</v>
      </c>
      <c r="N72" s="1457">
        <f t="shared" si="2"/>
        <v>76.52</v>
      </c>
      <c r="O72" s="1458">
        <f t="shared" si="8"/>
        <v>33896.829599999997</v>
      </c>
      <c r="P72" s="1459">
        <f t="shared" si="9"/>
        <v>0.99999998819948632</v>
      </c>
      <c r="Q72" s="1460">
        <f t="shared" si="10"/>
        <v>0</v>
      </c>
      <c r="R72" s="1461">
        <f t="shared" si="11"/>
        <v>0</v>
      </c>
      <c r="S72" s="1462">
        <f t="shared" si="12"/>
        <v>0</v>
      </c>
      <c r="T72" s="1260"/>
      <c r="U72" s="1260"/>
      <c r="V72" s="1260"/>
      <c r="W72" s="1270"/>
    </row>
    <row r="73" spans="1:23" s="1255" customFormat="1">
      <c r="B73" s="1437" t="s">
        <v>3774</v>
      </c>
      <c r="C73" s="1449" t="s">
        <v>2978</v>
      </c>
      <c r="D73" s="1450" t="s">
        <v>37</v>
      </c>
      <c r="E73" s="1451">
        <v>517</v>
      </c>
      <c r="F73" s="1452">
        <v>59.89</v>
      </c>
      <c r="G73" s="1530">
        <v>61.03</v>
      </c>
      <c r="H73" s="1453">
        <f t="shared" si="5"/>
        <v>30963.13</v>
      </c>
      <c r="I73" s="1453">
        <f t="shared" si="6"/>
        <v>31552.51</v>
      </c>
      <c r="J73" s="1454">
        <v>517</v>
      </c>
      <c r="K73" s="1454">
        <v>31552.510000000002</v>
      </c>
      <c r="L73" s="1666"/>
      <c r="M73" s="1456">
        <f t="shared" si="7"/>
        <v>0</v>
      </c>
      <c r="N73" s="1457">
        <f t="shared" si="2"/>
        <v>517</v>
      </c>
      <c r="O73" s="1458">
        <f t="shared" si="8"/>
        <v>31552.510000000002</v>
      </c>
      <c r="P73" s="1459">
        <f t="shared" si="9"/>
        <v>1.0000000000000002</v>
      </c>
      <c r="Q73" s="1460">
        <f t="shared" si="10"/>
        <v>0</v>
      </c>
      <c r="R73" s="1461">
        <f t="shared" si="11"/>
        <v>0</v>
      </c>
      <c r="S73" s="1462">
        <f t="shared" si="12"/>
        <v>0</v>
      </c>
      <c r="T73" s="1260"/>
      <c r="U73" s="1260"/>
      <c r="V73" s="1260"/>
      <c r="W73" s="1270"/>
    </row>
    <row r="74" spans="1:23" s="1255" customFormat="1">
      <c r="A74" s="1254"/>
      <c r="B74" s="1437" t="s">
        <v>3775</v>
      </c>
      <c r="C74" s="1449" t="s">
        <v>2979</v>
      </c>
      <c r="D74" s="1450" t="s">
        <v>48</v>
      </c>
      <c r="E74" s="1451">
        <v>4438.08</v>
      </c>
      <c r="F74" s="1452">
        <v>5.05</v>
      </c>
      <c r="G74" s="1530">
        <v>5.1100000000000003</v>
      </c>
      <c r="H74" s="1453">
        <f t="shared" si="5"/>
        <v>22412.3</v>
      </c>
      <c r="I74" s="1453">
        <f t="shared" si="6"/>
        <v>22678.59</v>
      </c>
      <c r="J74" s="1454">
        <v>4438.08</v>
      </c>
      <c r="K74" s="1454">
        <v>22678.588800000001</v>
      </c>
      <c r="L74" s="1666"/>
      <c r="M74" s="1456">
        <f t="shared" si="7"/>
        <v>0</v>
      </c>
      <c r="N74" s="1457">
        <f t="shared" si="2"/>
        <v>4438.08</v>
      </c>
      <c r="O74" s="1458">
        <f t="shared" si="8"/>
        <v>22678.588800000001</v>
      </c>
      <c r="P74" s="1459">
        <f t="shared" si="9"/>
        <v>0.99999994708665751</v>
      </c>
      <c r="Q74" s="1460">
        <f t="shared" si="10"/>
        <v>0</v>
      </c>
      <c r="R74" s="1461">
        <f t="shared" si="11"/>
        <v>0</v>
      </c>
      <c r="S74" s="1462">
        <f t="shared" si="12"/>
        <v>0</v>
      </c>
      <c r="T74" s="1260"/>
      <c r="U74" s="1260"/>
      <c r="V74" s="1260"/>
      <c r="W74" s="1270"/>
    </row>
    <row r="75" spans="1:23" s="1255" customFormat="1" ht="25.5">
      <c r="A75" s="1266"/>
      <c r="B75" s="1437" t="s">
        <v>3776</v>
      </c>
      <c r="C75" s="1449" t="s">
        <v>3777</v>
      </c>
      <c r="D75" s="1450" t="s">
        <v>36</v>
      </c>
      <c r="E75" s="1451">
        <v>4136</v>
      </c>
      <c r="F75" s="1452">
        <v>24.11</v>
      </c>
      <c r="G75" s="1530">
        <v>24.15</v>
      </c>
      <c r="H75" s="1453">
        <f t="shared" si="5"/>
        <v>99718.96</v>
      </c>
      <c r="I75" s="1453">
        <f t="shared" si="6"/>
        <v>99884.4</v>
      </c>
      <c r="J75" s="1454">
        <v>1520</v>
      </c>
      <c r="K75" s="1454">
        <v>36708</v>
      </c>
      <c r="L75" s="1666"/>
      <c r="M75" s="1456">
        <f t="shared" si="7"/>
        <v>0</v>
      </c>
      <c r="N75" s="1457">
        <f t="shared" si="2"/>
        <v>1520</v>
      </c>
      <c r="O75" s="1458">
        <f t="shared" si="8"/>
        <v>36708</v>
      </c>
      <c r="P75" s="1459">
        <f t="shared" si="9"/>
        <v>0.36750483558994201</v>
      </c>
      <c r="Q75" s="1460">
        <f t="shared" si="10"/>
        <v>2616</v>
      </c>
      <c r="R75" s="1461">
        <f t="shared" si="11"/>
        <v>63176.4</v>
      </c>
      <c r="S75" s="1462">
        <f t="shared" si="12"/>
        <v>0.63249516441005804</v>
      </c>
      <c r="T75" s="1260"/>
      <c r="U75" s="1260"/>
      <c r="V75" s="1260"/>
      <c r="W75" s="1270"/>
    </row>
    <row r="76" spans="1:23" s="1255" customFormat="1">
      <c r="B76" s="1527" t="s">
        <v>3778</v>
      </c>
      <c r="C76" s="1521" t="s">
        <v>2984</v>
      </c>
      <c r="D76" s="1450"/>
      <c r="E76" s="1451"/>
      <c r="F76" s="1452"/>
      <c r="G76" s="1530"/>
      <c r="H76" s="1453">
        <f t="shared" si="5"/>
        <v>0</v>
      </c>
      <c r="I76" s="1453">
        <f t="shared" si="6"/>
        <v>0</v>
      </c>
      <c r="J76" s="1454"/>
      <c r="K76" s="1454">
        <v>0</v>
      </c>
      <c r="L76" s="1666"/>
      <c r="M76" s="1456">
        <f t="shared" si="7"/>
        <v>0</v>
      </c>
      <c r="N76" s="1457"/>
      <c r="O76" s="1458">
        <f t="shared" si="8"/>
        <v>0</v>
      </c>
      <c r="P76" s="1459" t="str">
        <f t="shared" si="9"/>
        <v/>
      </c>
      <c r="Q76" s="1460"/>
      <c r="R76" s="1461">
        <f t="shared" si="11"/>
        <v>0</v>
      </c>
      <c r="S76" s="1462" t="str">
        <f t="shared" si="12"/>
        <v/>
      </c>
      <c r="T76" s="1260"/>
      <c r="U76" s="1260"/>
      <c r="V76" s="1260"/>
      <c r="W76" s="1270"/>
    </row>
    <row r="77" spans="1:23" s="1255" customFormat="1">
      <c r="A77" s="1266"/>
      <c r="B77" s="1437" t="s">
        <v>3779</v>
      </c>
      <c r="C77" s="1449" t="s">
        <v>2985</v>
      </c>
      <c r="D77" s="1450" t="s">
        <v>40</v>
      </c>
      <c r="E77" s="1451">
        <v>47.96</v>
      </c>
      <c r="F77" s="1452">
        <v>442.22</v>
      </c>
      <c r="G77" s="1530">
        <v>442.98</v>
      </c>
      <c r="H77" s="1453">
        <f t="shared" si="5"/>
        <v>21208.87</v>
      </c>
      <c r="I77" s="1453">
        <f t="shared" si="6"/>
        <v>21245.32</v>
      </c>
      <c r="J77" s="1454">
        <v>42.77</v>
      </c>
      <c r="K77" s="1454">
        <v>18946.254600000004</v>
      </c>
      <c r="L77" s="1666"/>
      <c r="M77" s="1456">
        <f t="shared" si="7"/>
        <v>0</v>
      </c>
      <c r="N77" s="1457">
        <f t="shared" si="2"/>
        <v>42.77</v>
      </c>
      <c r="O77" s="1458">
        <f t="shared" si="8"/>
        <v>18946.254600000004</v>
      </c>
      <c r="P77" s="1459">
        <f t="shared" si="9"/>
        <v>0.8917848542643747</v>
      </c>
      <c r="Q77" s="1460">
        <f t="shared" si="10"/>
        <v>5.1899999999999977</v>
      </c>
      <c r="R77" s="1461">
        <f t="shared" si="11"/>
        <v>2299.0700000000002</v>
      </c>
      <c r="S77" s="1462">
        <f t="shared" si="12"/>
        <v>0.10821536225389874</v>
      </c>
      <c r="T77" s="1260"/>
      <c r="U77" s="1260"/>
      <c r="V77" s="1260"/>
      <c r="W77" s="1270"/>
    </row>
    <row r="78" spans="1:23" s="1255" customFormat="1">
      <c r="A78" s="1266"/>
      <c r="B78" s="1437" t="s">
        <v>3780</v>
      </c>
      <c r="C78" s="1449" t="s">
        <v>2986</v>
      </c>
      <c r="D78" s="1450" t="s">
        <v>37</v>
      </c>
      <c r="E78" s="1451">
        <v>242.21</v>
      </c>
      <c r="F78" s="1452">
        <v>71.72</v>
      </c>
      <c r="G78" s="1530">
        <v>73.150000000000006</v>
      </c>
      <c r="H78" s="1453">
        <f t="shared" si="5"/>
        <v>17371.3</v>
      </c>
      <c r="I78" s="1453">
        <f t="shared" si="6"/>
        <v>17717.66</v>
      </c>
      <c r="J78" s="1454">
        <v>169.45</v>
      </c>
      <c r="K78" s="1454">
        <v>12395.2675</v>
      </c>
      <c r="L78" s="1666"/>
      <c r="M78" s="1456">
        <f t="shared" si="7"/>
        <v>0</v>
      </c>
      <c r="N78" s="1457">
        <f t="shared" si="2"/>
        <v>169.45</v>
      </c>
      <c r="O78" s="1458">
        <f t="shared" si="8"/>
        <v>12395.2675</v>
      </c>
      <c r="P78" s="1459">
        <f t="shared" si="9"/>
        <v>0.69959958030575142</v>
      </c>
      <c r="Q78" s="1460">
        <f t="shared" si="10"/>
        <v>72.760000000000019</v>
      </c>
      <c r="R78" s="1461">
        <f t="shared" si="11"/>
        <v>5322.39</v>
      </c>
      <c r="S78" s="1462">
        <f t="shared" si="12"/>
        <v>0.30040027859209401</v>
      </c>
      <c r="T78" s="1260"/>
      <c r="U78" s="1260"/>
      <c r="V78" s="1260"/>
      <c r="W78" s="1270"/>
    </row>
    <row r="79" spans="1:23" s="1255" customFormat="1">
      <c r="B79" s="1437" t="s">
        <v>3781</v>
      </c>
      <c r="C79" s="1449" t="s">
        <v>2987</v>
      </c>
      <c r="D79" s="1450" t="s">
        <v>48</v>
      </c>
      <c r="E79" s="1451">
        <v>5502.15</v>
      </c>
      <c r="F79" s="1452">
        <v>5.05</v>
      </c>
      <c r="G79" s="1530">
        <v>5.1100000000000003</v>
      </c>
      <c r="H79" s="1453">
        <f t="shared" si="5"/>
        <v>27785.86</v>
      </c>
      <c r="I79" s="1453">
        <f t="shared" si="6"/>
        <v>28115.99</v>
      </c>
      <c r="J79" s="1454">
        <v>3078.3244</v>
      </c>
      <c r="K79" s="1454">
        <v>15730.237684000002</v>
      </c>
      <c r="L79" s="1666"/>
      <c r="M79" s="1456">
        <f t="shared" si="7"/>
        <v>0</v>
      </c>
      <c r="N79" s="1457">
        <f t="shared" si="2"/>
        <v>3078.3244</v>
      </c>
      <c r="O79" s="1458">
        <f t="shared" si="8"/>
        <v>15730.237684000002</v>
      </c>
      <c r="P79" s="1459">
        <f t="shared" si="9"/>
        <v>0.5594765713033758</v>
      </c>
      <c r="Q79" s="1460">
        <f t="shared" si="10"/>
        <v>2423.8255999999997</v>
      </c>
      <c r="R79" s="1461">
        <f t="shared" si="11"/>
        <v>12385.75</v>
      </c>
      <c r="S79" s="1462">
        <f t="shared" si="12"/>
        <v>0.44052334632356888</v>
      </c>
      <c r="T79" s="1260"/>
      <c r="U79" s="1260"/>
      <c r="V79" s="1260"/>
      <c r="W79" s="1270"/>
    </row>
    <row r="80" spans="1:23" s="1255" customFormat="1">
      <c r="A80" s="1254"/>
      <c r="B80" s="1527" t="s">
        <v>3782</v>
      </c>
      <c r="C80" s="1521" t="s">
        <v>2992</v>
      </c>
      <c r="D80" s="1450"/>
      <c r="E80" s="1451"/>
      <c r="F80" s="1452"/>
      <c r="G80" s="1530"/>
      <c r="H80" s="1453">
        <f t="shared" si="5"/>
        <v>0</v>
      </c>
      <c r="I80" s="1453">
        <f t="shared" si="6"/>
        <v>0</v>
      </c>
      <c r="J80" s="1454"/>
      <c r="K80" s="1454">
        <v>0</v>
      </c>
      <c r="L80" s="1666"/>
      <c r="M80" s="1456">
        <f t="shared" si="7"/>
        <v>0</v>
      </c>
      <c r="N80" s="1457"/>
      <c r="O80" s="1458">
        <f t="shared" si="8"/>
        <v>0</v>
      </c>
      <c r="P80" s="1459" t="str">
        <f t="shared" si="9"/>
        <v/>
      </c>
      <c r="Q80" s="1460"/>
      <c r="R80" s="1461">
        <f t="shared" si="11"/>
        <v>0</v>
      </c>
      <c r="S80" s="1462" t="str">
        <f t="shared" si="12"/>
        <v/>
      </c>
      <c r="T80" s="1260"/>
      <c r="U80" s="1260"/>
      <c r="V80" s="1260"/>
      <c r="W80" s="1270"/>
    </row>
    <row r="81" spans="1:23" s="1255" customFormat="1">
      <c r="A81" s="1266"/>
      <c r="B81" s="1437" t="s">
        <v>3783</v>
      </c>
      <c r="C81" s="1449" t="s">
        <v>2993</v>
      </c>
      <c r="D81" s="1450" t="s">
        <v>40</v>
      </c>
      <c r="E81" s="1451">
        <v>5.5</v>
      </c>
      <c r="F81" s="1452">
        <v>563.97</v>
      </c>
      <c r="G81" s="1530">
        <v>575.34</v>
      </c>
      <c r="H81" s="1453">
        <f t="shared" si="5"/>
        <v>3101.84</v>
      </c>
      <c r="I81" s="1453">
        <f t="shared" si="6"/>
        <v>3164.37</v>
      </c>
      <c r="J81" s="1454">
        <v>5.5</v>
      </c>
      <c r="K81" s="1454">
        <v>3164.3700000000003</v>
      </c>
      <c r="L81" s="1666"/>
      <c r="M81" s="1456">
        <f t="shared" si="7"/>
        <v>0</v>
      </c>
      <c r="N81" s="1457">
        <f t="shared" ref="N81:N143" si="13">J81+L81</f>
        <v>5.5</v>
      </c>
      <c r="O81" s="1458">
        <f t="shared" si="8"/>
        <v>3164.3700000000003</v>
      </c>
      <c r="P81" s="1459">
        <f t="shared" si="9"/>
        <v>1.0000000000000002</v>
      </c>
      <c r="Q81" s="1460">
        <f t="shared" ref="Q81:Q143" si="14">E81-N81</f>
        <v>0</v>
      </c>
      <c r="R81" s="1461">
        <f t="shared" si="11"/>
        <v>0</v>
      </c>
      <c r="S81" s="1462">
        <f t="shared" si="12"/>
        <v>0</v>
      </c>
      <c r="T81" s="1260"/>
      <c r="U81" s="1260"/>
      <c r="V81" s="1260"/>
      <c r="W81" s="1270"/>
    </row>
    <row r="82" spans="1:23" s="1255" customFormat="1">
      <c r="B82" s="1437" t="s">
        <v>3784</v>
      </c>
      <c r="C82" s="1449" t="s">
        <v>2994</v>
      </c>
      <c r="D82" s="1450" t="s">
        <v>37</v>
      </c>
      <c r="E82" s="1451">
        <v>139.63999999999999</v>
      </c>
      <c r="F82" s="1452">
        <v>75.03</v>
      </c>
      <c r="G82" s="1530">
        <v>76.75</v>
      </c>
      <c r="H82" s="1453">
        <f t="shared" ref="H82:H145" si="15">ROUND(E82*F82,2)</f>
        <v>10477.19</v>
      </c>
      <c r="I82" s="1453">
        <f t="shared" ref="I82:I145" si="16">ROUND(E82*G82,2)</f>
        <v>10717.37</v>
      </c>
      <c r="J82" s="1454">
        <v>46.83</v>
      </c>
      <c r="K82" s="1454">
        <v>3594.2024999999999</v>
      </c>
      <c r="L82" s="1666"/>
      <c r="M82" s="1456">
        <f t="shared" ref="M82:M145" si="17">+L82*G82</f>
        <v>0</v>
      </c>
      <c r="N82" s="1457">
        <f t="shared" si="13"/>
        <v>46.83</v>
      </c>
      <c r="O82" s="1458">
        <f t="shared" ref="O82:O145" si="18">N82*G82</f>
        <v>3594.2024999999999</v>
      </c>
      <c r="P82" s="1459">
        <f t="shared" ref="P82:P145" si="19">+IF(D82=0,"",O82/I82)</f>
        <v>0.33536236035519906</v>
      </c>
      <c r="Q82" s="1460">
        <f t="shared" si="14"/>
        <v>92.809999999999988</v>
      </c>
      <c r="R82" s="1461">
        <f t="shared" ref="R82:R145" si="20">ROUND((Q82*G82),2)</f>
        <v>7123.17</v>
      </c>
      <c r="S82" s="1462">
        <f t="shared" ref="S82:S145" si="21">+IF(I82=0,"",R82/I82)</f>
        <v>0.66463787291098464</v>
      </c>
      <c r="T82" s="1260"/>
      <c r="U82" s="1260"/>
      <c r="V82" s="1260"/>
      <c r="W82" s="1270"/>
    </row>
    <row r="83" spans="1:23" s="1255" customFormat="1">
      <c r="A83" s="1254"/>
      <c r="B83" s="1437" t="s">
        <v>3785</v>
      </c>
      <c r="C83" s="1449" t="s">
        <v>2995</v>
      </c>
      <c r="D83" s="1450" t="s">
        <v>48</v>
      </c>
      <c r="E83" s="1451">
        <v>562.04</v>
      </c>
      <c r="F83" s="1452">
        <v>5.05</v>
      </c>
      <c r="G83" s="1530">
        <v>5.1100000000000003</v>
      </c>
      <c r="H83" s="1453">
        <f t="shared" si="15"/>
        <v>2838.3</v>
      </c>
      <c r="I83" s="1453">
        <f t="shared" si="16"/>
        <v>2872.02</v>
      </c>
      <c r="J83" s="1454">
        <v>562.04</v>
      </c>
      <c r="K83" s="1454">
        <v>2872.0243999999998</v>
      </c>
      <c r="L83" s="1666"/>
      <c r="M83" s="1456">
        <f t="shared" si="17"/>
        <v>0</v>
      </c>
      <c r="N83" s="1457">
        <f t="shared" si="13"/>
        <v>562.04</v>
      </c>
      <c r="O83" s="1458">
        <f t="shared" si="18"/>
        <v>2872.0243999999998</v>
      </c>
      <c r="P83" s="1459">
        <f t="shared" si="19"/>
        <v>1.0000015320227575</v>
      </c>
      <c r="Q83" s="1460">
        <f t="shared" si="14"/>
        <v>0</v>
      </c>
      <c r="R83" s="1461">
        <f t="shared" si="20"/>
        <v>0</v>
      </c>
      <c r="S83" s="1462">
        <f t="shared" si="21"/>
        <v>0</v>
      </c>
      <c r="T83" s="1260"/>
      <c r="U83" s="1260"/>
      <c r="V83" s="1260"/>
      <c r="W83" s="1270"/>
    </row>
    <row r="84" spans="1:23" s="1255" customFormat="1">
      <c r="A84" s="1266"/>
      <c r="B84" s="1527" t="s">
        <v>3786</v>
      </c>
      <c r="C84" s="1521" t="s">
        <v>2996</v>
      </c>
      <c r="D84" s="1450"/>
      <c r="E84" s="1451"/>
      <c r="F84" s="1452"/>
      <c r="G84" s="1530"/>
      <c r="H84" s="1453">
        <f t="shared" si="15"/>
        <v>0</v>
      </c>
      <c r="I84" s="1453">
        <f t="shared" si="16"/>
        <v>0</v>
      </c>
      <c r="J84" s="1454"/>
      <c r="K84" s="1454">
        <v>0</v>
      </c>
      <c r="L84" s="1666"/>
      <c r="M84" s="1456">
        <f t="shared" si="17"/>
        <v>0</v>
      </c>
      <c r="N84" s="1457"/>
      <c r="O84" s="1458">
        <f t="shared" si="18"/>
        <v>0</v>
      </c>
      <c r="P84" s="1459" t="str">
        <f t="shared" si="19"/>
        <v/>
      </c>
      <c r="Q84" s="1460"/>
      <c r="R84" s="1461">
        <f t="shared" si="20"/>
        <v>0</v>
      </c>
      <c r="S84" s="1462" t="str">
        <f t="shared" si="21"/>
        <v/>
      </c>
      <c r="T84" s="1260"/>
      <c r="U84" s="1260"/>
      <c r="V84" s="1260"/>
      <c r="W84" s="1270"/>
    </row>
    <row r="85" spans="1:23" s="1255" customFormat="1">
      <c r="B85" s="1437" t="s">
        <v>3787</v>
      </c>
      <c r="C85" s="1449" t="s">
        <v>3788</v>
      </c>
      <c r="D85" s="1450" t="s">
        <v>40</v>
      </c>
      <c r="E85" s="1451">
        <v>1.38</v>
      </c>
      <c r="F85" s="1452">
        <v>411.38</v>
      </c>
      <c r="G85" s="1530">
        <v>417.07</v>
      </c>
      <c r="H85" s="1453">
        <f t="shared" si="15"/>
        <v>567.70000000000005</v>
      </c>
      <c r="I85" s="1453">
        <f t="shared" si="16"/>
        <v>575.55999999999995</v>
      </c>
      <c r="J85" s="1454">
        <v>1.38</v>
      </c>
      <c r="K85" s="1454">
        <v>575.55659999999989</v>
      </c>
      <c r="L85" s="1666"/>
      <c r="M85" s="1456">
        <f t="shared" si="17"/>
        <v>0</v>
      </c>
      <c r="N85" s="1457">
        <f t="shared" si="13"/>
        <v>1.38</v>
      </c>
      <c r="O85" s="1458">
        <f t="shared" si="18"/>
        <v>575.55659999999989</v>
      </c>
      <c r="P85" s="1459">
        <f t="shared" si="19"/>
        <v>0.99999409270970874</v>
      </c>
      <c r="Q85" s="1460">
        <f t="shared" si="14"/>
        <v>0</v>
      </c>
      <c r="R85" s="1461">
        <f t="shared" si="20"/>
        <v>0</v>
      </c>
      <c r="S85" s="1462">
        <f t="shared" si="21"/>
        <v>0</v>
      </c>
      <c r="T85" s="1260"/>
      <c r="U85" s="1260"/>
      <c r="V85" s="1260"/>
      <c r="W85" s="1270"/>
    </row>
    <row r="86" spans="1:23" s="1255" customFormat="1">
      <c r="A86" s="1266"/>
      <c r="B86" s="1437" t="s">
        <v>3789</v>
      </c>
      <c r="C86" s="1449" t="s">
        <v>2997</v>
      </c>
      <c r="D86" s="1450" t="s">
        <v>37</v>
      </c>
      <c r="E86" s="1451">
        <v>17.66</v>
      </c>
      <c r="F86" s="1452">
        <v>88.92</v>
      </c>
      <c r="G86" s="1530">
        <v>90.83</v>
      </c>
      <c r="H86" s="1453">
        <f t="shared" si="15"/>
        <v>1570.33</v>
      </c>
      <c r="I86" s="1453">
        <f t="shared" si="16"/>
        <v>1604.06</v>
      </c>
      <c r="J86" s="1454">
        <v>11.537699999999898</v>
      </c>
      <c r="K86" s="1454">
        <v>1047.9692909999908</v>
      </c>
      <c r="L86" s="1666"/>
      <c r="M86" s="1456">
        <f t="shared" si="17"/>
        <v>0</v>
      </c>
      <c r="N86" s="1457">
        <f t="shared" si="13"/>
        <v>11.537699999999898</v>
      </c>
      <c r="O86" s="1458">
        <f t="shared" si="18"/>
        <v>1047.9692909999908</v>
      </c>
      <c r="P86" s="1459">
        <f t="shared" si="19"/>
        <v>0.65332299976309538</v>
      </c>
      <c r="Q86" s="1460">
        <f t="shared" si="14"/>
        <v>6.1223000000001022</v>
      </c>
      <c r="R86" s="1461">
        <f t="shared" si="20"/>
        <v>556.09</v>
      </c>
      <c r="S86" s="1462">
        <f t="shared" si="21"/>
        <v>0.34667655823348259</v>
      </c>
      <c r="T86" s="1260"/>
      <c r="U86" s="1260"/>
      <c r="V86" s="1260"/>
      <c r="W86" s="1270"/>
    </row>
    <row r="87" spans="1:23" s="1255" customFormat="1">
      <c r="A87" s="1266"/>
      <c r="B87" s="1437" t="s">
        <v>3790</v>
      </c>
      <c r="C87" s="1449" t="s">
        <v>2998</v>
      </c>
      <c r="D87" s="1450" t="s">
        <v>48</v>
      </c>
      <c r="E87" s="1451">
        <v>358.85</v>
      </c>
      <c r="F87" s="1452">
        <v>5.05</v>
      </c>
      <c r="G87" s="1530">
        <v>5.1100000000000003</v>
      </c>
      <c r="H87" s="1453">
        <f t="shared" si="15"/>
        <v>1812.19</v>
      </c>
      <c r="I87" s="1453">
        <f t="shared" si="16"/>
        <v>1833.72</v>
      </c>
      <c r="J87" s="1454">
        <v>358.85</v>
      </c>
      <c r="K87" s="1454">
        <v>1833.7235000000003</v>
      </c>
      <c r="L87" s="1666"/>
      <c r="M87" s="1456">
        <f t="shared" si="17"/>
        <v>0</v>
      </c>
      <c r="N87" s="1457">
        <f t="shared" si="13"/>
        <v>358.85</v>
      </c>
      <c r="O87" s="1458">
        <f t="shared" si="18"/>
        <v>1833.7235000000003</v>
      </c>
      <c r="P87" s="1459">
        <f t="shared" si="19"/>
        <v>1.0000019086883496</v>
      </c>
      <c r="Q87" s="1460">
        <f t="shared" si="14"/>
        <v>0</v>
      </c>
      <c r="R87" s="1461">
        <f t="shared" si="20"/>
        <v>0</v>
      </c>
      <c r="S87" s="1462">
        <f t="shared" si="21"/>
        <v>0</v>
      </c>
      <c r="T87" s="1260"/>
      <c r="U87" s="1260"/>
      <c r="V87" s="1260"/>
      <c r="W87" s="1270"/>
    </row>
    <row r="88" spans="1:23" s="1255" customFormat="1">
      <c r="B88" s="1527" t="s">
        <v>3791</v>
      </c>
      <c r="C88" s="1521" t="s">
        <v>3022</v>
      </c>
      <c r="D88" s="1450"/>
      <c r="E88" s="1451"/>
      <c r="F88" s="1452"/>
      <c r="G88" s="1530"/>
      <c r="H88" s="1453"/>
      <c r="I88" s="1453"/>
      <c r="J88" s="1454"/>
      <c r="K88" s="1454"/>
      <c r="L88" s="1666"/>
      <c r="M88" s="1456"/>
      <c r="N88" s="1457"/>
      <c r="O88" s="1458"/>
      <c r="P88" s="1459"/>
      <c r="Q88" s="1460"/>
      <c r="R88" s="1461"/>
      <c r="S88" s="1462"/>
      <c r="T88" s="1260"/>
      <c r="U88" s="1260"/>
      <c r="V88" s="1260"/>
      <c r="W88" s="1270"/>
    </row>
    <row r="89" spans="1:23" s="1255" customFormat="1" ht="25.5">
      <c r="A89" s="1254"/>
      <c r="B89" s="1437" t="s">
        <v>3792</v>
      </c>
      <c r="C89" s="1449" t="s">
        <v>3023</v>
      </c>
      <c r="D89" s="1450" t="s">
        <v>2827</v>
      </c>
      <c r="E89" s="1451">
        <v>5</v>
      </c>
      <c r="F89" s="1452">
        <v>998.14</v>
      </c>
      <c r="G89" s="1530">
        <v>1003.91</v>
      </c>
      <c r="H89" s="1453">
        <f t="shared" si="15"/>
        <v>4990.7</v>
      </c>
      <c r="I89" s="1453">
        <f t="shared" si="16"/>
        <v>5019.55</v>
      </c>
      <c r="J89" s="1454">
        <v>5</v>
      </c>
      <c r="K89" s="1454">
        <v>5019.55</v>
      </c>
      <c r="L89" s="1666"/>
      <c r="M89" s="1456">
        <f t="shared" si="17"/>
        <v>0</v>
      </c>
      <c r="N89" s="1457">
        <f t="shared" si="13"/>
        <v>5</v>
      </c>
      <c r="O89" s="1458">
        <f t="shared" si="18"/>
        <v>5019.55</v>
      </c>
      <c r="P89" s="1459">
        <f t="shared" si="19"/>
        <v>1</v>
      </c>
      <c r="Q89" s="1460">
        <f t="shared" si="14"/>
        <v>0</v>
      </c>
      <c r="R89" s="1461">
        <f t="shared" si="20"/>
        <v>0</v>
      </c>
      <c r="S89" s="1462">
        <f t="shared" si="21"/>
        <v>0</v>
      </c>
      <c r="T89" s="1260"/>
      <c r="U89" s="1260"/>
      <c r="V89" s="1260"/>
      <c r="W89" s="1270"/>
    </row>
    <row r="90" spans="1:23" s="1255" customFormat="1">
      <c r="A90" s="1266"/>
      <c r="B90" s="1892" t="s">
        <v>42</v>
      </c>
      <c r="C90" s="1894" t="s">
        <v>1234</v>
      </c>
      <c r="D90" s="1450"/>
      <c r="E90" s="1451"/>
      <c r="F90" s="1452"/>
      <c r="G90" s="1530"/>
      <c r="H90" s="1453">
        <f t="shared" si="15"/>
        <v>0</v>
      </c>
      <c r="I90" s="1453"/>
      <c r="J90" s="1454"/>
      <c r="K90" s="1454"/>
      <c r="L90" s="1666"/>
      <c r="M90" s="1456"/>
      <c r="N90" s="1457"/>
      <c r="O90" s="1458"/>
      <c r="P90" s="1459"/>
      <c r="Q90" s="1460"/>
      <c r="R90" s="1461"/>
      <c r="S90" s="1462"/>
      <c r="T90" s="1260"/>
      <c r="U90" s="1260"/>
      <c r="V90" s="1260"/>
      <c r="W90" s="1270"/>
    </row>
    <row r="91" spans="1:23" s="1255" customFormat="1">
      <c r="B91" s="1527" t="s">
        <v>43</v>
      </c>
      <c r="C91" s="1521" t="s">
        <v>3072</v>
      </c>
      <c r="D91" s="1450"/>
      <c r="E91" s="1451"/>
      <c r="F91" s="1452"/>
      <c r="G91" s="1530"/>
      <c r="H91" s="1453">
        <f t="shared" si="15"/>
        <v>0</v>
      </c>
      <c r="I91" s="1453"/>
      <c r="J91" s="1454"/>
      <c r="K91" s="1454"/>
      <c r="L91" s="1666"/>
      <c r="M91" s="1456"/>
      <c r="N91" s="1457"/>
      <c r="O91" s="1458"/>
      <c r="P91" s="1459"/>
      <c r="Q91" s="1460"/>
      <c r="R91" s="1461"/>
      <c r="S91" s="1462"/>
      <c r="T91" s="1260"/>
      <c r="U91" s="1260"/>
      <c r="V91" s="1260"/>
      <c r="W91" s="1270"/>
    </row>
    <row r="92" spans="1:23" s="1255" customFormat="1">
      <c r="A92" s="1254"/>
      <c r="B92" s="1437" t="s">
        <v>53</v>
      </c>
      <c r="C92" s="1449" t="s">
        <v>3793</v>
      </c>
      <c r="D92" s="1450" t="s">
        <v>37</v>
      </c>
      <c r="E92" s="1451">
        <v>315.95999999999998</v>
      </c>
      <c r="F92" s="1452">
        <v>168.84</v>
      </c>
      <c r="G92" s="1530">
        <v>170.54</v>
      </c>
      <c r="H92" s="1453">
        <f t="shared" si="15"/>
        <v>53346.69</v>
      </c>
      <c r="I92" s="1453">
        <f t="shared" si="16"/>
        <v>53883.82</v>
      </c>
      <c r="J92" s="1454">
        <v>89.858000000000004</v>
      </c>
      <c r="K92" s="1454">
        <v>15324.383320000001</v>
      </c>
      <c r="L92" s="1666"/>
      <c r="M92" s="1456">
        <f t="shared" si="17"/>
        <v>0</v>
      </c>
      <c r="N92" s="1457">
        <f t="shared" si="13"/>
        <v>89.858000000000004</v>
      </c>
      <c r="O92" s="1458">
        <f t="shared" si="18"/>
        <v>15324.383320000001</v>
      </c>
      <c r="P92" s="1459">
        <f t="shared" si="19"/>
        <v>0.28439675063868897</v>
      </c>
      <c r="Q92" s="1460">
        <f t="shared" si="14"/>
        <v>226.10199999999998</v>
      </c>
      <c r="R92" s="1461">
        <f t="shared" si="20"/>
        <v>38559.440000000002</v>
      </c>
      <c r="S92" s="1462">
        <f t="shared" si="21"/>
        <v>0.71560331097535401</v>
      </c>
      <c r="T92" s="1260"/>
      <c r="U92" s="1260"/>
      <c r="V92" s="1260"/>
      <c r="W92" s="1270"/>
    </row>
    <row r="93" spans="1:23" s="1255" customFormat="1">
      <c r="A93" s="1266"/>
      <c r="B93" s="1437" t="s">
        <v>564</v>
      </c>
      <c r="C93" s="1449" t="s">
        <v>3794</v>
      </c>
      <c r="D93" s="1450" t="s">
        <v>37</v>
      </c>
      <c r="E93" s="1451">
        <v>153.54</v>
      </c>
      <c r="F93" s="1452">
        <v>99.19</v>
      </c>
      <c r="G93" s="1530">
        <v>100.36</v>
      </c>
      <c r="H93" s="1453">
        <f t="shared" si="15"/>
        <v>15229.63</v>
      </c>
      <c r="I93" s="1453">
        <f t="shared" si="16"/>
        <v>15409.27</v>
      </c>
      <c r="J93" s="1454">
        <v>153.54</v>
      </c>
      <c r="K93" s="1454">
        <v>15409.274399999998</v>
      </c>
      <c r="L93" s="1666"/>
      <c r="M93" s="1456">
        <f t="shared" si="17"/>
        <v>0</v>
      </c>
      <c r="N93" s="1457">
        <f t="shared" si="13"/>
        <v>153.54</v>
      </c>
      <c r="O93" s="1458">
        <f t="shared" si="18"/>
        <v>15409.274399999998</v>
      </c>
      <c r="P93" s="1459">
        <f t="shared" si="19"/>
        <v>1.0000002855424039</v>
      </c>
      <c r="Q93" s="1460">
        <f t="shared" si="14"/>
        <v>0</v>
      </c>
      <c r="R93" s="1461">
        <f t="shared" si="20"/>
        <v>0</v>
      </c>
      <c r="S93" s="1462">
        <f t="shared" si="21"/>
        <v>0</v>
      </c>
      <c r="T93" s="1260"/>
      <c r="U93" s="1260"/>
      <c r="V93" s="1260"/>
      <c r="W93" s="1270"/>
    </row>
    <row r="94" spans="1:23" s="1255" customFormat="1">
      <c r="B94" s="1437" t="s">
        <v>571</v>
      </c>
      <c r="C94" s="1449" t="s">
        <v>3795</v>
      </c>
      <c r="D94" s="1450" t="s">
        <v>37</v>
      </c>
      <c r="E94" s="1451">
        <v>69.52</v>
      </c>
      <c r="F94" s="1452">
        <v>87.22</v>
      </c>
      <c r="G94" s="1530">
        <v>88.75</v>
      </c>
      <c r="H94" s="1453">
        <f t="shared" si="15"/>
        <v>6063.53</v>
      </c>
      <c r="I94" s="1453">
        <f t="shared" si="16"/>
        <v>6169.9</v>
      </c>
      <c r="J94" s="1454">
        <v>0</v>
      </c>
      <c r="K94" s="1454">
        <v>0</v>
      </c>
      <c r="L94" s="1666"/>
      <c r="M94" s="1456">
        <f t="shared" si="17"/>
        <v>0</v>
      </c>
      <c r="N94" s="1457">
        <f t="shared" si="13"/>
        <v>0</v>
      </c>
      <c r="O94" s="1458">
        <f t="shared" si="18"/>
        <v>0</v>
      </c>
      <c r="P94" s="1459">
        <f t="shared" si="19"/>
        <v>0</v>
      </c>
      <c r="Q94" s="1460">
        <f t="shared" si="14"/>
        <v>69.52</v>
      </c>
      <c r="R94" s="1461">
        <f t="shared" si="20"/>
        <v>6169.9</v>
      </c>
      <c r="S94" s="1462">
        <f t="shared" si="21"/>
        <v>1</v>
      </c>
      <c r="T94" s="1260"/>
      <c r="U94" s="1260"/>
      <c r="V94" s="1260"/>
      <c r="W94" s="1270"/>
    </row>
    <row r="95" spans="1:23" s="1255" customFormat="1">
      <c r="A95" s="1266"/>
      <c r="B95" s="1527" t="s">
        <v>44</v>
      </c>
      <c r="C95" s="1521" t="s">
        <v>3080</v>
      </c>
      <c r="D95" s="1450"/>
      <c r="E95" s="1451"/>
      <c r="F95" s="1452"/>
      <c r="G95" s="1530"/>
      <c r="H95" s="1453">
        <f t="shared" si="15"/>
        <v>0</v>
      </c>
      <c r="I95" s="1453">
        <f t="shared" si="16"/>
        <v>0</v>
      </c>
      <c r="J95" s="1454"/>
      <c r="K95" s="1454">
        <v>0</v>
      </c>
      <c r="L95" s="1666"/>
      <c r="M95" s="1456">
        <f t="shared" si="17"/>
        <v>0</v>
      </c>
      <c r="N95" s="1457"/>
      <c r="O95" s="1458">
        <f t="shared" si="18"/>
        <v>0</v>
      </c>
      <c r="P95" s="1459" t="str">
        <f t="shared" si="19"/>
        <v/>
      </c>
      <c r="Q95" s="1460"/>
      <c r="R95" s="1461">
        <f t="shared" si="20"/>
        <v>0</v>
      </c>
      <c r="S95" s="1462" t="str">
        <f t="shared" si="21"/>
        <v/>
      </c>
      <c r="T95" s="1260"/>
      <c r="U95" s="1260"/>
      <c r="V95" s="1260"/>
      <c r="W95" s="1270"/>
    </row>
    <row r="96" spans="1:23" s="1255" customFormat="1">
      <c r="A96" s="1266"/>
      <c r="B96" s="1437" t="s">
        <v>54</v>
      </c>
      <c r="C96" s="1449" t="s">
        <v>3081</v>
      </c>
      <c r="D96" s="1450" t="s">
        <v>37</v>
      </c>
      <c r="E96" s="1451">
        <v>126.71</v>
      </c>
      <c r="F96" s="1452">
        <v>22.42</v>
      </c>
      <c r="G96" s="1530">
        <v>23.12</v>
      </c>
      <c r="H96" s="1453">
        <f t="shared" si="15"/>
        <v>2840.84</v>
      </c>
      <c r="I96" s="1453">
        <f t="shared" si="16"/>
        <v>2929.54</v>
      </c>
      <c r="J96" s="1454">
        <v>11.975899999999996</v>
      </c>
      <c r="K96" s="1454">
        <v>276.8828079999999</v>
      </c>
      <c r="L96" s="1666">
        <f>+'[45]RESUMEN DE METRADOS '!$H$11</f>
        <v>17.442</v>
      </c>
      <c r="M96" s="1456">
        <f t="shared" si="17"/>
        <v>403.25904000000003</v>
      </c>
      <c r="N96" s="1457">
        <f t="shared" si="13"/>
        <v>29.417899999999996</v>
      </c>
      <c r="O96" s="1458">
        <f t="shared" si="18"/>
        <v>680.14184799999998</v>
      </c>
      <c r="P96" s="1459">
        <f t="shared" si="19"/>
        <v>0.23216677294046165</v>
      </c>
      <c r="Q96" s="1460">
        <f t="shared" si="14"/>
        <v>97.292100000000005</v>
      </c>
      <c r="R96" s="1461">
        <f t="shared" si="20"/>
        <v>2249.39</v>
      </c>
      <c r="S96" s="1462">
        <f t="shared" si="21"/>
        <v>0.76783044437010584</v>
      </c>
      <c r="T96" s="1260"/>
      <c r="U96" s="1260"/>
      <c r="V96" s="1260"/>
      <c r="W96" s="1270"/>
    </row>
    <row r="97" spans="1:23" s="1255" customFormat="1" ht="25.5">
      <c r="B97" s="1437" t="s">
        <v>55</v>
      </c>
      <c r="C97" s="1449" t="s">
        <v>3796</v>
      </c>
      <c r="D97" s="1450" t="s">
        <v>37</v>
      </c>
      <c r="E97" s="1451">
        <v>793.88</v>
      </c>
      <c r="F97" s="1452">
        <v>23.79</v>
      </c>
      <c r="G97" s="1530">
        <v>24.52</v>
      </c>
      <c r="H97" s="1453">
        <f t="shared" si="15"/>
        <v>18886.41</v>
      </c>
      <c r="I97" s="1453">
        <f t="shared" si="16"/>
        <v>19465.939999999999</v>
      </c>
      <c r="J97" s="1454">
        <v>569.58129999999971</v>
      </c>
      <c r="K97" s="1454">
        <v>13966.133475999994</v>
      </c>
      <c r="L97" s="1666">
        <f>+'[45]RESUMEN DE METRADOS '!$H$12</f>
        <v>68.603999999999999</v>
      </c>
      <c r="M97" s="1456">
        <f t="shared" si="17"/>
        <v>1682.1700799999999</v>
      </c>
      <c r="N97" s="1457">
        <f t="shared" si="13"/>
        <v>638.18529999999976</v>
      </c>
      <c r="O97" s="1458">
        <f t="shared" si="18"/>
        <v>15648.303555999993</v>
      </c>
      <c r="P97" s="1459">
        <f t="shared" si="19"/>
        <v>0.80388121796327305</v>
      </c>
      <c r="Q97" s="1460">
        <f t="shared" si="14"/>
        <v>155.69470000000024</v>
      </c>
      <c r="R97" s="1461">
        <f t="shared" si="20"/>
        <v>3817.63</v>
      </c>
      <c r="S97" s="1462">
        <f t="shared" si="21"/>
        <v>0.19611845099697217</v>
      </c>
      <c r="T97" s="1260"/>
      <c r="U97" s="1260"/>
      <c r="V97" s="1260"/>
      <c r="W97" s="1270"/>
    </row>
    <row r="98" spans="1:23" s="1255" customFormat="1" ht="25.5">
      <c r="A98" s="1254"/>
      <c r="B98" s="1437" t="s">
        <v>616</v>
      </c>
      <c r="C98" s="1449" t="s">
        <v>3797</v>
      </c>
      <c r="D98" s="1450" t="s">
        <v>37</v>
      </c>
      <c r="E98" s="1451">
        <v>677.13</v>
      </c>
      <c r="F98" s="1452">
        <v>26.7</v>
      </c>
      <c r="G98" s="1530">
        <v>27.55</v>
      </c>
      <c r="H98" s="1453">
        <f t="shared" si="15"/>
        <v>18079.37</v>
      </c>
      <c r="I98" s="1453">
        <f t="shared" si="16"/>
        <v>18654.93</v>
      </c>
      <c r="J98" s="1454">
        <v>274.30729999999994</v>
      </c>
      <c r="K98" s="1454">
        <v>7557.1661149999982</v>
      </c>
      <c r="L98" s="1666"/>
      <c r="M98" s="1456">
        <f t="shared" si="17"/>
        <v>0</v>
      </c>
      <c r="N98" s="1457">
        <f t="shared" si="13"/>
        <v>274.30729999999994</v>
      </c>
      <c r="O98" s="1458">
        <f t="shared" si="18"/>
        <v>7557.1661149999982</v>
      </c>
      <c r="P98" s="1459">
        <f t="shared" si="19"/>
        <v>0.40510289317622733</v>
      </c>
      <c r="Q98" s="1460">
        <f t="shared" si="14"/>
        <v>402.82270000000005</v>
      </c>
      <c r="R98" s="1461">
        <f t="shared" si="20"/>
        <v>11097.77</v>
      </c>
      <c r="S98" s="1462">
        <f t="shared" si="21"/>
        <v>0.59489743461915967</v>
      </c>
      <c r="T98" s="1260"/>
      <c r="U98" s="1260"/>
      <c r="V98" s="1260"/>
      <c r="W98" s="1270"/>
    </row>
    <row r="99" spans="1:23" s="1255" customFormat="1" ht="25.5">
      <c r="A99" s="1266"/>
      <c r="B99" s="1437" t="s">
        <v>645</v>
      </c>
      <c r="C99" s="1449" t="s">
        <v>3798</v>
      </c>
      <c r="D99" s="1450" t="s">
        <v>37</v>
      </c>
      <c r="E99" s="1451">
        <v>717.55</v>
      </c>
      <c r="F99" s="1452">
        <v>37.56</v>
      </c>
      <c r="G99" s="1530">
        <v>38.869999999999997</v>
      </c>
      <c r="H99" s="1453">
        <f t="shared" si="15"/>
        <v>26951.18</v>
      </c>
      <c r="I99" s="1453">
        <f t="shared" si="16"/>
        <v>27891.17</v>
      </c>
      <c r="J99" s="1454">
        <v>717.55</v>
      </c>
      <c r="K99" s="1454">
        <v>27891.168499999996</v>
      </c>
      <c r="L99" s="1666"/>
      <c r="M99" s="1456">
        <f t="shared" si="17"/>
        <v>0</v>
      </c>
      <c r="N99" s="1457">
        <f t="shared" si="13"/>
        <v>717.55</v>
      </c>
      <c r="O99" s="1458">
        <f t="shared" si="18"/>
        <v>27891.168499999996</v>
      </c>
      <c r="P99" s="1459">
        <f t="shared" si="19"/>
        <v>0.99999994621953825</v>
      </c>
      <c r="Q99" s="1460">
        <f t="shared" si="14"/>
        <v>0</v>
      </c>
      <c r="R99" s="1461">
        <f t="shared" si="20"/>
        <v>0</v>
      </c>
      <c r="S99" s="1462">
        <f t="shared" si="21"/>
        <v>0</v>
      </c>
      <c r="T99" s="1260" t="s">
        <v>4268</v>
      </c>
      <c r="U99" s="1260"/>
      <c r="V99" s="1260"/>
      <c r="W99" s="1270"/>
    </row>
    <row r="100" spans="1:23" s="1255" customFormat="1" ht="25.5">
      <c r="B100" s="1437" t="s">
        <v>647</v>
      </c>
      <c r="C100" s="1449" t="s">
        <v>3799</v>
      </c>
      <c r="D100" s="1450" t="s">
        <v>37</v>
      </c>
      <c r="E100" s="1451">
        <v>217.77</v>
      </c>
      <c r="F100" s="1452">
        <v>44.92</v>
      </c>
      <c r="G100" s="1530">
        <v>46.54</v>
      </c>
      <c r="H100" s="1453">
        <f t="shared" si="15"/>
        <v>9782.23</v>
      </c>
      <c r="I100" s="1453">
        <f t="shared" si="16"/>
        <v>10135.02</v>
      </c>
      <c r="J100" s="1454">
        <v>0</v>
      </c>
      <c r="K100" s="1454">
        <v>0</v>
      </c>
      <c r="L100" s="1666"/>
      <c r="M100" s="1456">
        <f t="shared" si="17"/>
        <v>0</v>
      </c>
      <c r="N100" s="1457">
        <f t="shared" si="13"/>
        <v>0</v>
      </c>
      <c r="O100" s="1458">
        <f t="shared" si="18"/>
        <v>0</v>
      </c>
      <c r="P100" s="1459">
        <f t="shared" si="19"/>
        <v>0</v>
      </c>
      <c r="Q100" s="1460">
        <f t="shared" si="14"/>
        <v>217.77</v>
      </c>
      <c r="R100" s="1461">
        <f t="shared" si="20"/>
        <v>10135.02</v>
      </c>
      <c r="S100" s="1462">
        <f t="shared" si="21"/>
        <v>1</v>
      </c>
      <c r="T100" s="1260"/>
      <c r="U100" s="1260"/>
      <c r="V100" s="1260"/>
      <c r="W100" s="1270"/>
    </row>
    <row r="101" spans="1:23" s="1255" customFormat="1" ht="25.5">
      <c r="A101" s="1254"/>
      <c r="B101" s="1437" t="s">
        <v>275</v>
      </c>
      <c r="C101" s="1449" t="s">
        <v>3800</v>
      </c>
      <c r="D101" s="1450" t="s">
        <v>37</v>
      </c>
      <c r="E101" s="1451">
        <v>645.05999999999995</v>
      </c>
      <c r="F101" s="1452">
        <v>28.23</v>
      </c>
      <c r="G101" s="1530">
        <v>29.14</v>
      </c>
      <c r="H101" s="1453">
        <f t="shared" si="15"/>
        <v>18210.04</v>
      </c>
      <c r="I101" s="1453">
        <f t="shared" si="16"/>
        <v>18797.05</v>
      </c>
      <c r="J101" s="1454">
        <v>355.00749999999999</v>
      </c>
      <c r="K101" s="1454">
        <v>10344.91855</v>
      </c>
      <c r="L101" s="1666">
        <f>+'[45]RESUMEN DE METRADOS '!$H$16</f>
        <v>258.70829999999989</v>
      </c>
      <c r="M101" s="1456">
        <f t="shared" si="17"/>
        <v>7538.7598619999972</v>
      </c>
      <c r="N101" s="1457">
        <f t="shared" si="13"/>
        <v>613.71579999999994</v>
      </c>
      <c r="O101" s="1458">
        <f t="shared" si="18"/>
        <v>17883.678411999997</v>
      </c>
      <c r="P101" s="1459">
        <f t="shared" si="19"/>
        <v>0.9514087802075325</v>
      </c>
      <c r="Q101" s="1460">
        <f t="shared" si="14"/>
        <v>31.344200000000001</v>
      </c>
      <c r="R101" s="1461">
        <f t="shared" si="20"/>
        <v>913.37</v>
      </c>
      <c r="S101" s="1462">
        <f t="shared" si="21"/>
        <v>4.8591135311125952E-2</v>
      </c>
      <c r="T101" s="1260"/>
      <c r="U101" s="1260"/>
      <c r="V101" s="1260"/>
      <c r="W101" s="1270"/>
    </row>
    <row r="102" spans="1:23" s="1255" customFormat="1" ht="25.5">
      <c r="A102" s="1266"/>
      <c r="B102" s="1437" t="s">
        <v>322</v>
      </c>
      <c r="C102" s="1449" t="s">
        <v>3801</v>
      </c>
      <c r="D102" s="1450" t="s">
        <v>37</v>
      </c>
      <c r="E102" s="1451">
        <v>207.1</v>
      </c>
      <c r="F102" s="1452">
        <v>28.23</v>
      </c>
      <c r="G102" s="1530">
        <v>29.14</v>
      </c>
      <c r="H102" s="1453">
        <f t="shared" si="15"/>
        <v>5846.43</v>
      </c>
      <c r="I102" s="1453">
        <f t="shared" si="16"/>
        <v>6034.89</v>
      </c>
      <c r="J102" s="1454">
        <v>0</v>
      </c>
      <c r="K102" s="1454">
        <v>0</v>
      </c>
      <c r="L102" s="1666"/>
      <c r="M102" s="1456">
        <f t="shared" si="17"/>
        <v>0</v>
      </c>
      <c r="N102" s="1457">
        <f t="shared" si="13"/>
        <v>0</v>
      </c>
      <c r="O102" s="1458">
        <f t="shared" si="18"/>
        <v>0</v>
      </c>
      <c r="P102" s="1459">
        <f t="shared" si="19"/>
        <v>0</v>
      </c>
      <c r="Q102" s="1460">
        <f t="shared" si="14"/>
        <v>207.1</v>
      </c>
      <c r="R102" s="1461">
        <f t="shared" si="20"/>
        <v>6034.89</v>
      </c>
      <c r="S102" s="1462">
        <f t="shared" si="21"/>
        <v>1</v>
      </c>
      <c r="T102" s="1260">
        <v>185.05</v>
      </c>
      <c r="U102" s="1260">
        <v>203.42999999999992</v>
      </c>
      <c r="V102" s="1260">
        <f>+U102-T102</f>
        <v>18.37999999999991</v>
      </c>
      <c r="W102" s="1270"/>
    </row>
    <row r="103" spans="1:23" s="1255" customFormat="1" ht="25.5">
      <c r="B103" s="1437" t="s">
        <v>3802</v>
      </c>
      <c r="C103" s="1449" t="s">
        <v>3803</v>
      </c>
      <c r="D103" s="1450" t="s">
        <v>37</v>
      </c>
      <c r="E103" s="1451">
        <v>44.75</v>
      </c>
      <c r="F103" s="1452">
        <v>39.25</v>
      </c>
      <c r="G103" s="1530">
        <v>40.630000000000003</v>
      </c>
      <c r="H103" s="1453">
        <f t="shared" si="15"/>
        <v>1756.44</v>
      </c>
      <c r="I103" s="1453">
        <f t="shared" si="16"/>
        <v>1818.19</v>
      </c>
      <c r="J103" s="1454">
        <v>0</v>
      </c>
      <c r="K103" s="1454">
        <v>0</v>
      </c>
      <c r="L103" s="1666"/>
      <c r="M103" s="1456">
        <f t="shared" si="17"/>
        <v>0</v>
      </c>
      <c r="N103" s="1457">
        <f t="shared" si="13"/>
        <v>0</v>
      </c>
      <c r="O103" s="1458">
        <f t="shared" si="18"/>
        <v>0</v>
      </c>
      <c r="P103" s="1459">
        <f t="shared" si="19"/>
        <v>0</v>
      </c>
      <c r="Q103" s="1460">
        <f t="shared" si="14"/>
        <v>44.75</v>
      </c>
      <c r="R103" s="1461">
        <f t="shared" si="20"/>
        <v>1818.19</v>
      </c>
      <c r="S103" s="1462">
        <f t="shared" si="21"/>
        <v>1</v>
      </c>
      <c r="T103" s="1260"/>
      <c r="U103" s="1260"/>
      <c r="V103" s="1260"/>
      <c r="W103" s="1270"/>
    </row>
    <row r="104" spans="1:23" s="1255" customFormat="1" ht="25.5">
      <c r="A104" s="1266"/>
      <c r="B104" s="1437" t="s">
        <v>2302</v>
      </c>
      <c r="C104" s="1449" t="s">
        <v>3090</v>
      </c>
      <c r="D104" s="1450" t="s">
        <v>37</v>
      </c>
      <c r="E104" s="1451">
        <v>186</v>
      </c>
      <c r="F104" s="1452">
        <v>39.25</v>
      </c>
      <c r="G104" s="1530">
        <v>40.630000000000003</v>
      </c>
      <c r="H104" s="1453">
        <f t="shared" si="15"/>
        <v>7300.5</v>
      </c>
      <c r="I104" s="1453">
        <f t="shared" si="16"/>
        <v>7557.18</v>
      </c>
      <c r="J104" s="1454">
        <v>176.06</v>
      </c>
      <c r="K104" s="1454">
        <v>7153.3178000000007</v>
      </c>
      <c r="L104" s="1666"/>
      <c r="M104" s="1456">
        <f t="shared" si="17"/>
        <v>0</v>
      </c>
      <c r="N104" s="1457">
        <f t="shared" si="13"/>
        <v>176.06</v>
      </c>
      <c r="O104" s="1458">
        <f t="shared" si="18"/>
        <v>7153.3178000000007</v>
      </c>
      <c r="P104" s="1459">
        <f t="shared" si="19"/>
        <v>0.94655913978494632</v>
      </c>
      <c r="Q104" s="1460">
        <f t="shared" si="14"/>
        <v>9.9399999999999977</v>
      </c>
      <c r="R104" s="1461">
        <f t="shared" si="20"/>
        <v>403.86</v>
      </c>
      <c r="S104" s="1462">
        <f t="shared" si="21"/>
        <v>5.3440569101172661E-2</v>
      </c>
      <c r="T104" s="1260"/>
      <c r="U104" s="1260"/>
      <c r="V104" s="1260"/>
      <c r="W104" s="1270"/>
    </row>
    <row r="105" spans="1:23" s="1255" customFormat="1" ht="25.5">
      <c r="A105" s="1266"/>
      <c r="B105" s="1437" t="s">
        <v>2305</v>
      </c>
      <c r="C105" s="1449" t="s">
        <v>3804</v>
      </c>
      <c r="D105" s="1450" t="s">
        <v>37</v>
      </c>
      <c r="E105" s="1451">
        <v>8.81</v>
      </c>
      <c r="F105" s="1452">
        <v>468.16</v>
      </c>
      <c r="G105" s="1530">
        <v>478.93</v>
      </c>
      <c r="H105" s="1453">
        <f t="shared" si="15"/>
        <v>4124.49</v>
      </c>
      <c r="I105" s="1453">
        <f t="shared" si="16"/>
        <v>4219.37</v>
      </c>
      <c r="J105" s="1454">
        <v>8.81</v>
      </c>
      <c r="K105" s="1454">
        <v>4219.3733000000002</v>
      </c>
      <c r="L105" s="1666"/>
      <c r="M105" s="1456">
        <f t="shared" si="17"/>
        <v>0</v>
      </c>
      <c r="N105" s="1457">
        <f t="shared" si="13"/>
        <v>8.81</v>
      </c>
      <c r="O105" s="1458">
        <f t="shared" si="18"/>
        <v>4219.3733000000002</v>
      </c>
      <c r="P105" s="1459">
        <f t="shared" si="19"/>
        <v>1.0000007821072814</v>
      </c>
      <c r="Q105" s="1460">
        <f t="shared" si="14"/>
        <v>0</v>
      </c>
      <c r="R105" s="1461">
        <f t="shared" si="20"/>
        <v>0</v>
      </c>
      <c r="S105" s="1462">
        <f t="shared" si="21"/>
        <v>0</v>
      </c>
      <c r="T105" s="1260"/>
      <c r="U105" s="1260"/>
      <c r="V105" s="1260"/>
      <c r="W105" s="1270"/>
    </row>
    <row r="106" spans="1:23" s="1255" customFormat="1">
      <c r="B106" s="1437" t="s">
        <v>3805</v>
      </c>
      <c r="C106" s="1449" t="s">
        <v>3098</v>
      </c>
      <c r="D106" s="1450" t="s">
        <v>37</v>
      </c>
      <c r="E106" s="1451">
        <v>4.78</v>
      </c>
      <c r="F106" s="1452">
        <v>517.4</v>
      </c>
      <c r="G106" s="1530">
        <v>528.16999999999996</v>
      </c>
      <c r="H106" s="1453">
        <f t="shared" si="15"/>
        <v>2473.17</v>
      </c>
      <c r="I106" s="1453">
        <f t="shared" si="16"/>
        <v>2524.65</v>
      </c>
      <c r="J106" s="1454">
        <v>0</v>
      </c>
      <c r="K106" s="1454">
        <v>0</v>
      </c>
      <c r="L106" s="1666"/>
      <c r="M106" s="1456">
        <f t="shared" si="17"/>
        <v>0</v>
      </c>
      <c r="N106" s="1457">
        <f t="shared" si="13"/>
        <v>0</v>
      </c>
      <c r="O106" s="1458">
        <f t="shared" si="18"/>
        <v>0</v>
      </c>
      <c r="P106" s="1459">
        <f t="shared" si="19"/>
        <v>0</v>
      </c>
      <c r="Q106" s="1460">
        <f t="shared" si="14"/>
        <v>4.78</v>
      </c>
      <c r="R106" s="1461">
        <f t="shared" si="20"/>
        <v>2524.65</v>
      </c>
      <c r="S106" s="1462">
        <f t="shared" si="21"/>
        <v>1</v>
      </c>
      <c r="T106" s="1260"/>
      <c r="U106" s="1260"/>
      <c r="V106" s="1260"/>
      <c r="W106" s="1270"/>
    </row>
    <row r="107" spans="1:23" s="1255" customFormat="1">
      <c r="A107" s="1254"/>
      <c r="B107" s="1437" t="s">
        <v>3806</v>
      </c>
      <c r="C107" s="1449" t="s">
        <v>3807</v>
      </c>
      <c r="D107" s="1450" t="s">
        <v>38</v>
      </c>
      <c r="E107" s="1451">
        <v>437.78</v>
      </c>
      <c r="F107" s="1452">
        <v>14.13</v>
      </c>
      <c r="G107" s="1530">
        <v>14.67</v>
      </c>
      <c r="H107" s="1453">
        <f t="shared" si="15"/>
        <v>6185.83</v>
      </c>
      <c r="I107" s="1453">
        <f t="shared" si="16"/>
        <v>6422.23</v>
      </c>
      <c r="J107" s="1454">
        <v>241.2</v>
      </c>
      <c r="K107" s="1454">
        <v>3538.404</v>
      </c>
      <c r="L107" s="1666"/>
      <c r="M107" s="1456">
        <f t="shared" si="17"/>
        <v>0</v>
      </c>
      <c r="N107" s="1457">
        <f t="shared" si="13"/>
        <v>241.2</v>
      </c>
      <c r="O107" s="1458">
        <f t="shared" si="18"/>
        <v>3538.404</v>
      </c>
      <c r="P107" s="1459">
        <f t="shared" si="19"/>
        <v>0.55096189329874523</v>
      </c>
      <c r="Q107" s="1460">
        <f t="shared" si="14"/>
        <v>196.57999999999998</v>
      </c>
      <c r="R107" s="1461">
        <f t="shared" si="20"/>
        <v>2883.83</v>
      </c>
      <c r="S107" s="1462">
        <f t="shared" si="21"/>
        <v>0.44903872953787083</v>
      </c>
      <c r="T107" s="1260"/>
      <c r="U107" s="1260"/>
      <c r="V107" s="1260"/>
      <c r="W107" s="1270"/>
    </row>
    <row r="108" spans="1:23" s="1255" customFormat="1">
      <c r="A108" s="1266"/>
      <c r="B108" s="1437" t="s">
        <v>3808</v>
      </c>
      <c r="C108" s="1449" t="s">
        <v>3809</v>
      </c>
      <c r="D108" s="1450" t="s">
        <v>38</v>
      </c>
      <c r="E108" s="1451">
        <v>265</v>
      </c>
      <c r="F108" s="1452">
        <v>9.5299999999999994</v>
      </c>
      <c r="G108" s="1530">
        <v>9.92</v>
      </c>
      <c r="H108" s="1453">
        <f t="shared" si="15"/>
        <v>2525.4499999999998</v>
      </c>
      <c r="I108" s="1453">
        <f t="shared" si="16"/>
        <v>2628.8</v>
      </c>
      <c r="J108" s="1454">
        <v>265</v>
      </c>
      <c r="K108" s="1454">
        <v>2628.8</v>
      </c>
      <c r="L108" s="1666"/>
      <c r="M108" s="1456">
        <f t="shared" si="17"/>
        <v>0</v>
      </c>
      <c r="N108" s="1457">
        <f t="shared" si="13"/>
        <v>265</v>
      </c>
      <c r="O108" s="1458">
        <f t="shared" si="18"/>
        <v>2628.8</v>
      </c>
      <c r="P108" s="1459">
        <f t="shared" si="19"/>
        <v>1</v>
      </c>
      <c r="Q108" s="1460">
        <f t="shared" si="14"/>
        <v>0</v>
      </c>
      <c r="R108" s="1461">
        <f t="shared" si="20"/>
        <v>0</v>
      </c>
      <c r="S108" s="1462">
        <f t="shared" si="21"/>
        <v>0</v>
      </c>
      <c r="T108" s="1260"/>
      <c r="U108" s="1260"/>
      <c r="V108" s="1260"/>
      <c r="W108" s="1270"/>
    </row>
    <row r="109" spans="1:23" s="1255" customFormat="1">
      <c r="B109" s="1527" t="s">
        <v>52</v>
      </c>
      <c r="C109" s="1521" t="s">
        <v>3103</v>
      </c>
      <c r="D109" s="1450"/>
      <c r="E109" s="1451"/>
      <c r="F109" s="1452"/>
      <c r="G109" s="1530"/>
      <c r="H109" s="1453">
        <f t="shared" si="15"/>
        <v>0</v>
      </c>
      <c r="I109" s="1453">
        <f t="shared" si="16"/>
        <v>0</v>
      </c>
      <c r="J109" s="1454"/>
      <c r="K109" s="1454">
        <v>0</v>
      </c>
      <c r="L109" s="1666"/>
      <c r="M109" s="1456">
        <f t="shared" si="17"/>
        <v>0</v>
      </c>
      <c r="N109" s="1457"/>
      <c r="O109" s="1458">
        <f t="shared" si="18"/>
        <v>0</v>
      </c>
      <c r="P109" s="1459" t="str">
        <f t="shared" si="19"/>
        <v/>
      </c>
      <c r="Q109" s="1460"/>
      <c r="R109" s="1461">
        <f t="shared" si="20"/>
        <v>0</v>
      </c>
      <c r="S109" s="1462" t="str">
        <f t="shared" si="21"/>
        <v/>
      </c>
      <c r="T109" s="1260"/>
      <c r="U109" s="1260"/>
      <c r="V109" s="1260"/>
      <c r="W109" s="1270"/>
    </row>
    <row r="110" spans="1:23" s="1255" customFormat="1">
      <c r="A110" s="1254"/>
      <c r="B110" s="1437" t="s">
        <v>56</v>
      </c>
      <c r="C110" s="1449" t="s">
        <v>3810</v>
      </c>
      <c r="D110" s="1450" t="s">
        <v>37</v>
      </c>
      <c r="E110" s="1451">
        <v>723.7</v>
      </c>
      <c r="F110" s="1452">
        <v>32.53</v>
      </c>
      <c r="G110" s="1530">
        <v>33.630000000000003</v>
      </c>
      <c r="H110" s="1453">
        <f t="shared" si="15"/>
        <v>23541.96</v>
      </c>
      <c r="I110" s="1453">
        <f t="shared" si="16"/>
        <v>24338.03</v>
      </c>
      <c r="J110" s="1454">
        <v>0</v>
      </c>
      <c r="K110" s="1454">
        <v>0</v>
      </c>
      <c r="L110" s="1666"/>
      <c r="M110" s="1456">
        <f t="shared" si="17"/>
        <v>0</v>
      </c>
      <c r="N110" s="1457">
        <f t="shared" si="13"/>
        <v>0</v>
      </c>
      <c r="O110" s="1458">
        <f t="shared" si="18"/>
        <v>0</v>
      </c>
      <c r="P110" s="1459">
        <f t="shared" si="19"/>
        <v>0</v>
      </c>
      <c r="Q110" s="1460">
        <f t="shared" si="14"/>
        <v>723.7</v>
      </c>
      <c r="R110" s="1461">
        <f t="shared" si="20"/>
        <v>24338.03</v>
      </c>
      <c r="S110" s="1462">
        <f t="shared" si="21"/>
        <v>1</v>
      </c>
      <c r="T110" s="1260"/>
      <c r="U110" s="1260"/>
      <c r="V110" s="1260"/>
      <c r="W110" s="1270"/>
    </row>
    <row r="111" spans="1:23" s="1255" customFormat="1">
      <c r="A111" s="1266"/>
      <c r="B111" s="1527" t="s">
        <v>516</v>
      </c>
      <c r="C111" s="1521" t="s">
        <v>3106</v>
      </c>
      <c r="D111" s="1450"/>
      <c r="E111" s="1451"/>
      <c r="F111" s="1452"/>
      <c r="G111" s="1530"/>
      <c r="H111" s="1453">
        <f t="shared" si="15"/>
        <v>0</v>
      </c>
      <c r="I111" s="1453"/>
      <c r="J111" s="1454"/>
      <c r="K111" s="1454"/>
      <c r="L111" s="1666"/>
      <c r="M111" s="1456"/>
      <c r="N111" s="1457"/>
      <c r="O111" s="1458"/>
      <c r="P111" s="1459"/>
      <c r="Q111" s="1460"/>
      <c r="R111" s="1461"/>
      <c r="S111" s="1462" t="str">
        <f t="shared" si="21"/>
        <v/>
      </c>
      <c r="T111" s="1260"/>
      <c r="U111" s="1260"/>
      <c r="V111" s="1260"/>
      <c r="W111" s="1270"/>
    </row>
    <row r="112" spans="1:23" s="1255" customFormat="1">
      <c r="B112" s="1527" t="s">
        <v>517</v>
      </c>
      <c r="C112" s="1521" t="s">
        <v>3107</v>
      </c>
      <c r="D112" s="1450"/>
      <c r="E112" s="1451"/>
      <c r="F112" s="1452"/>
      <c r="G112" s="1530"/>
      <c r="H112" s="1453">
        <f t="shared" si="15"/>
        <v>0</v>
      </c>
      <c r="I112" s="1453"/>
      <c r="J112" s="1454"/>
      <c r="K112" s="1454"/>
      <c r="L112" s="1666"/>
      <c r="M112" s="1456"/>
      <c r="N112" s="1457"/>
      <c r="O112" s="1458"/>
      <c r="P112" s="1459"/>
      <c r="Q112" s="1460"/>
      <c r="R112" s="1461"/>
      <c r="S112" s="1462" t="str">
        <f t="shared" si="21"/>
        <v/>
      </c>
      <c r="T112" s="1260"/>
      <c r="U112" s="1260"/>
      <c r="V112" s="1260"/>
      <c r="W112" s="1270"/>
    </row>
    <row r="113" spans="1:23" s="1255" customFormat="1">
      <c r="A113" s="1266"/>
      <c r="B113" s="1437" t="s">
        <v>695</v>
      </c>
      <c r="C113" s="1449" t="s">
        <v>3811</v>
      </c>
      <c r="D113" s="1450" t="s">
        <v>37</v>
      </c>
      <c r="E113" s="1451">
        <v>1560.67</v>
      </c>
      <c r="F113" s="1452">
        <v>39.130000000000003</v>
      </c>
      <c r="G113" s="1530">
        <v>40.06</v>
      </c>
      <c r="H113" s="1453">
        <f t="shared" si="15"/>
        <v>61069.02</v>
      </c>
      <c r="I113" s="1453">
        <f t="shared" si="16"/>
        <v>62520.44</v>
      </c>
      <c r="J113" s="1454">
        <v>89.99600000000072</v>
      </c>
      <c r="K113" s="1454">
        <v>3605.239760000029</v>
      </c>
      <c r="L113" s="1666">
        <f>+'[45]RESUMEN DE METRADOS '!$H$32</f>
        <v>586.42000000000007</v>
      </c>
      <c r="M113" s="1456">
        <f t="shared" si="17"/>
        <v>23491.985200000003</v>
      </c>
      <c r="N113" s="1457">
        <f t="shared" si="13"/>
        <v>676.41600000000085</v>
      </c>
      <c r="O113" s="1458">
        <f t="shared" si="18"/>
        <v>27097.224960000036</v>
      </c>
      <c r="P113" s="1459">
        <f t="shared" si="19"/>
        <v>0.43341385569263485</v>
      </c>
      <c r="Q113" s="1460">
        <f t="shared" si="14"/>
        <v>884.25399999999922</v>
      </c>
      <c r="R113" s="1461">
        <f t="shared" si="20"/>
        <v>35423.22</v>
      </c>
      <c r="S113" s="1462">
        <f t="shared" si="21"/>
        <v>0.56658622364142031</v>
      </c>
      <c r="T113" s="1260"/>
      <c r="U113" s="1260"/>
      <c r="V113" s="1260"/>
      <c r="W113" s="1270"/>
    </row>
    <row r="114" spans="1:23" s="1255" customFormat="1">
      <c r="A114" s="1266"/>
      <c r="B114" s="1527" t="s">
        <v>701</v>
      </c>
      <c r="C114" s="1521" t="s">
        <v>3109</v>
      </c>
      <c r="D114" s="1450"/>
      <c r="E114" s="1451"/>
      <c r="F114" s="1452"/>
      <c r="G114" s="1530"/>
      <c r="H114" s="1453">
        <f t="shared" si="15"/>
        <v>0</v>
      </c>
      <c r="I114" s="1453">
        <f t="shared" si="16"/>
        <v>0</v>
      </c>
      <c r="J114" s="1454"/>
      <c r="K114" s="1454">
        <v>0</v>
      </c>
      <c r="L114" s="1666"/>
      <c r="M114" s="1456">
        <f t="shared" si="17"/>
        <v>0</v>
      </c>
      <c r="N114" s="1457"/>
      <c r="O114" s="1458">
        <f t="shared" si="18"/>
        <v>0</v>
      </c>
      <c r="P114" s="1459" t="str">
        <f t="shared" si="19"/>
        <v/>
      </c>
      <c r="Q114" s="1460"/>
      <c r="R114" s="1461">
        <f t="shared" si="20"/>
        <v>0</v>
      </c>
      <c r="S114" s="1462" t="str">
        <f t="shared" si="21"/>
        <v/>
      </c>
      <c r="T114" s="1260"/>
      <c r="U114" s="1260"/>
      <c r="V114" s="1260"/>
      <c r="W114" s="1270"/>
    </row>
    <row r="115" spans="1:23" s="1255" customFormat="1">
      <c r="B115" s="1437" t="s">
        <v>702</v>
      </c>
      <c r="C115" s="1449" t="s">
        <v>3118</v>
      </c>
      <c r="D115" s="1450" t="s">
        <v>37</v>
      </c>
      <c r="E115" s="1451">
        <v>606.48</v>
      </c>
      <c r="F115" s="1452">
        <v>38.880000000000003</v>
      </c>
      <c r="G115" s="1530">
        <v>39.56</v>
      </c>
      <c r="H115" s="1453">
        <f t="shared" si="15"/>
        <v>23579.94</v>
      </c>
      <c r="I115" s="1453">
        <f t="shared" si="16"/>
        <v>23992.35</v>
      </c>
      <c r="J115" s="1454">
        <v>0</v>
      </c>
      <c r="K115" s="1454">
        <v>0</v>
      </c>
      <c r="L115" s="1666"/>
      <c r="M115" s="1456">
        <f t="shared" si="17"/>
        <v>0</v>
      </c>
      <c r="N115" s="1457">
        <f t="shared" si="13"/>
        <v>0</v>
      </c>
      <c r="O115" s="1458">
        <f t="shared" si="18"/>
        <v>0</v>
      </c>
      <c r="P115" s="1459">
        <f t="shared" si="19"/>
        <v>0</v>
      </c>
      <c r="Q115" s="1460">
        <f t="shared" si="14"/>
        <v>606.48</v>
      </c>
      <c r="R115" s="1461">
        <f t="shared" si="20"/>
        <v>23992.35</v>
      </c>
      <c r="S115" s="1462">
        <f t="shared" si="21"/>
        <v>1</v>
      </c>
      <c r="T115" s="1260"/>
      <c r="U115" s="1260"/>
      <c r="V115" s="1260"/>
      <c r="W115" s="1270"/>
    </row>
    <row r="116" spans="1:23" s="1255" customFormat="1">
      <c r="A116" s="1254"/>
      <c r="B116" s="1437" t="s">
        <v>703</v>
      </c>
      <c r="C116" s="1449" t="s">
        <v>3119</v>
      </c>
      <c r="D116" s="1450" t="s">
        <v>37</v>
      </c>
      <c r="E116" s="1451">
        <v>518.78</v>
      </c>
      <c r="F116" s="1452">
        <v>52.43</v>
      </c>
      <c r="G116" s="1530">
        <v>53.05</v>
      </c>
      <c r="H116" s="1453">
        <f t="shared" si="15"/>
        <v>27199.64</v>
      </c>
      <c r="I116" s="1453">
        <f t="shared" si="16"/>
        <v>27521.279999999999</v>
      </c>
      <c r="J116" s="1454">
        <v>0</v>
      </c>
      <c r="K116" s="1454">
        <v>0</v>
      </c>
      <c r="L116" s="1666"/>
      <c r="M116" s="1456">
        <f t="shared" si="17"/>
        <v>0</v>
      </c>
      <c r="N116" s="1457">
        <f t="shared" si="13"/>
        <v>0</v>
      </c>
      <c r="O116" s="1458">
        <f t="shared" si="18"/>
        <v>0</v>
      </c>
      <c r="P116" s="1459">
        <f t="shared" si="19"/>
        <v>0</v>
      </c>
      <c r="Q116" s="1460">
        <f t="shared" si="14"/>
        <v>518.78</v>
      </c>
      <c r="R116" s="1461">
        <f t="shared" si="20"/>
        <v>27521.279999999999</v>
      </c>
      <c r="S116" s="1462">
        <f t="shared" si="21"/>
        <v>1</v>
      </c>
      <c r="T116" s="1260"/>
      <c r="U116" s="1260"/>
      <c r="V116" s="1260"/>
      <c r="W116" s="1270"/>
    </row>
    <row r="117" spans="1:23" s="1255" customFormat="1">
      <c r="A117" s="1266"/>
      <c r="B117" s="1437" t="s">
        <v>704</v>
      </c>
      <c r="C117" s="1449" t="s">
        <v>3122</v>
      </c>
      <c r="D117" s="1450" t="s">
        <v>37</v>
      </c>
      <c r="E117" s="1451">
        <v>268.88</v>
      </c>
      <c r="F117" s="1452">
        <v>62.63</v>
      </c>
      <c r="G117" s="1530">
        <v>63.77</v>
      </c>
      <c r="H117" s="1453">
        <f t="shared" si="15"/>
        <v>16839.95</v>
      </c>
      <c r="I117" s="1453">
        <f t="shared" si="16"/>
        <v>17146.48</v>
      </c>
      <c r="J117" s="1454">
        <v>0</v>
      </c>
      <c r="K117" s="1454">
        <v>0</v>
      </c>
      <c r="L117" s="1666"/>
      <c r="M117" s="1456">
        <f t="shared" si="17"/>
        <v>0</v>
      </c>
      <c r="N117" s="1457">
        <f t="shared" si="13"/>
        <v>0</v>
      </c>
      <c r="O117" s="1458">
        <f t="shared" si="18"/>
        <v>0</v>
      </c>
      <c r="P117" s="1459">
        <f t="shared" si="19"/>
        <v>0</v>
      </c>
      <c r="Q117" s="1460">
        <f t="shared" si="14"/>
        <v>268.88</v>
      </c>
      <c r="R117" s="1461">
        <f t="shared" si="20"/>
        <v>17146.48</v>
      </c>
      <c r="S117" s="1462">
        <f t="shared" si="21"/>
        <v>1</v>
      </c>
      <c r="T117" s="1260"/>
      <c r="U117" s="1260"/>
      <c r="V117" s="1260"/>
      <c r="W117" s="1270"/>
    </row>
    <row r="118" spans="1:23" s="1255" customFormat="1">
      <c r="B118" s="1527" t="s">
        <v>742</v>
      </c>
      <c r="C118" s="1521" t="s">
        <v>3128</v>
      </c>
      <c r="D118" s="1450"/>
      <c r="E118" s="1451"/>
      <c r="F118" s="1452"/>
      <c r="G118" s="1530"/>
      <c r="H118" s="1453">
        <f t="shared" si="15"/>
        <v>0</v>
      </c>
      <c r="I118" s="1453">
        <f t="shared" si="16"/>
        <v>0</v>
      </c>
      <c r="J118" s="1454"/>
      <c r="K118" s="1454">
        <v>0</v>
      </c>
      <c r="L118" s="1666"/>
      <c r="M118" s="1456">
        <f t="shared" si="17"/>
        <v>0</v>
      </c>
      <c r="N118" s="1457"/>
      <c r="O118" s="1458">
        <f t="shared" si="18"/>
        <v>0</v>
      </c>
      <c r="P118" s="1459" t="str">
        <f t="shared" si="19"/>
        <v/>
      </c>
      <c r="Q118" s="1460"/>
      <c r="R118" s="1461">
        <f t="shared" si="20"/>
        <v>0</v>
      </c>
      <c r="S118" s="1462" t="str">
        <f t="shared" si="21"/>
        <v/>
      </c>
      <c r="T118" s="1260"/>
      <c r="U118" s="1260"/>
      <c r="V118" s="1260"/>
      <c r="W118" s="1270"/>
    </row>
    <row r="119" spans="1:23" s="1255" customFormat="1">
      <c r="A119" s="1254"/>
      <c r="B119" s="1527" t="s">
        <v>743</v>
      </c>
      <c r="C119" s="1521" t="s">
        <v>3129</v>
      </c>
      <c r="D119" s="1450"/>
      <c r="E119" s="1451"/>
      <c r="F119" s="1452"/>
      <c r="G119" s="1530"/>
      <c r="H119" s="1453">
        <f t="shared" si="15"/>
        <v>0</v>
      </c>
      <c r="I119" s="1453">
        <f t="shared" si="16"/>
        <v>0</v>
      </c>
      <c r="J119" s="1454"/>
      <c r="K119" s="1454">
        <v>0</v>
      </c>
      <c r="L119" s="1666"/>
      <c r="M119" s="1456">
        <f t="shared" si="17"/>
        <v>0</v>
      </c>
      <c r="N119" s="1457"/>
      <c r="O119" s="1458">
        <f t="shared" si="18"/>
        <v>0</v>
      </c>
      <c r="P119" s="1459" t="str">
        <f t="shared" si="19"/>
        <v/>
      </c>
      <c r="Q119" s="1460"/>
      <c r="R119" s="1461">
        <f t="shared" si="20"/>
        <v>0</v>
      </c>
      <c r="S119" s="1462" t="str">
        <f t="shared" si="21"/>
        <v/>
      </c>
      <c r="T119" s="1260"/>
      <c r="U119" s="1260"/>
      <c r="V119" s="1260"/>
      <c r="W119" s="1270"/>
    </row>
    <row r="120" spans="1:23" s="1255" customFormat="1">
      <c r="A120" s="1266"/>
      <c r="B120" s="1437" t="s">
        <v>744</v>
      </c>
      <c r="C120" s="1449" t="s">
        <v>3812</v>
      </c>
      <c r="D120" s="1450" t="s">
        <v>37</v>
      </c>
      <c r="E120" s="1451">
        <v>1990.29</v>
      </c>
      <c r="F120" s="1452">
        <v>80.709999999999994</v>
      </c>
      <c r="G120" s="1530">
        <v>81.81</v>
      </c>
      <c r="H120" s="1453">
        <f t="shared" si="15"/>
        <v>160636.31</v>
      </c>
      <c r="I120" s="1453">
        <f t="shared" si="16"/>
        <v>162825.62</v>
      </c>
      <c r="J120" s="1454">
        <v>0</v>
      </c>
      <c r="K120" s="1454">
        <v>0</v>
      </c>
      <c r="L120" s="1666"/>
      <c r="M120" s="1456">
        <f t="shared" si="17"/>
        <v>0</v>
      </c>
      <c r="N120" s="1457">
        <f t="shared" si="13"/>
        <v>0</v>
      </c>
      <c r="O120" s="1458">
        <f t="shared" si="18"/>
        <v>0</v>
      </c>
      <c r="P120" s="1459">
        <f t="shared" si="19"/>
        <v>0</v>
      </c>
      <c r="Q120" s="1460">
        <f t="shared" si="14"/>
        <v>1990.29</v>
      </c>
      <c r="R120" s="1461">
        <f t="shared" si="20"/>
        <v>162825.62</v>
      </c>
      <c r="S120" s="1462">
        <f t="shared" si="21"/>
        <v>1</v>
      </c>
      <c r="T120" s="1260"/>
      <c r="U120" s="1260"/>
      <c r="V120" s="1260"/>
      <c r="W120" s="1270"/>
    </row>
    <row r="121" spans="1:23" s="1255" customFormat="1">
      <c r="B121" s="1527" t="s">
        <v>763</v>
      </c>
      <c r="C121" s="1521" t="s">
        <v>3138</v>
      </c>
      <c r="D121" s="1450"/>
      <c r="E121" s="1451"/>
      <c r="F121" s="1452"/>
      <c r="G121" s="1530"/>
      <c r="H121" s="1453">
        <f t="shared" si="15"/>
        <v>0</v>
      </c>
      <c r="I121" s="1453">
        <f t="shared" si="16"/>
        <v>0</v>
      </c>
      <c r="J121" s="1454"/>
      <c r="K121" s="1454">
        <v>0</v>
      </c>
      <c r="L121" s="1666"/>
      <c r="M121" s="1456">
        <f t="shared" si="17"/>
        <v>0</v>
      </c>
      <c r="N121" s="1457"/>
      <c r="O121" s="1458">
        <f t="shared" si="18"/>
        <v>0</v>
      </c>
      <c r="P121" s="1459" t="str">
        <f t="shared" si="19"/>
        <v/>
      </c>
      <c r="Q121" s="1460"/>
      <c r="R121" s="1461">
        <f t="shared" si="20"/>
        <v>0</v>
      </c>
      <c r="S121" s="1462" t="str">
        <f t="shared" si="21"/>
        <v/>
      </c>
      <c r="T121" s="1260"/>
      <c r="U121" s="1260"/>
      <c r="V121" s="1260"/>
      <c r="W121" s="1270"/>
    </row>
    <row r="122" spans="1:23" s="1255" customFormat="1">
      <c r="A122" s="1266"/>
      <c r="B122" s="1437" t="s">
        <v>764</v>
      </c>
      <c r="C122" s="1449" t="s">
        <v>3139</v>
      </c>
      <c r="D122" s="1450" t="s">
        <v>37</v>
      </c>
      <c r="E122" s="1451">
        <v>39.020000000000003</v>
      </c>
      <c r="F122" s="1452">
        <v>434</v>
      </c>
      <c r="G122" s="1530">
        <v>444.73</v>
      </c>
      <c r="H122" s="1453">
        <f t="shared" si="15"/>
        <v>16934.68</v>
      </c>
      <c r="I122" s="1453">
        <f t="shared" si="16"/>
        <v>17353.36</v>
      </c>
      <c r="J122" s="1454">
        <v>29.822000000000024</v>
      </c>
      <c r="K122" s="1454">
        <v>13262.738060000011</v>
      </c>
      <c r="L122" s="1666"/>
      <c r="M122" s="1456">
        <f t="shared" si="17"/>
        <v>0</v>
      </c>
      <c r="N122" s="1457">
        <f t="shared" si="13"/>
        <v>29.822000000000024</v>
      </c>
      <c r="O122" s="1458">
        <f t="shared" si="18"/>
        <v>13262.738060000011</v>
      </c>
      <c r="P122" s="1459">
        <f t="shared" si="19"/>
        <v>0.76427493349991071</v>
      </c>
      <c r="Q122" s="1460">
        <f t="shared" si="14"/>
        <v>9.1979999999999791</v>
      </c>
      <c r="R122" s="1461">
        <f t="shared" si="20"/>
        <v>4090.63</v>
      </c>
      <c r="S122" s="1462">
        <f t="shared" si="21"/>
        <v>0.23572553096345605</v>
      </c>
      <c r="T122" s="1260"/>
      <c r="U122" s="1260"/>
      <c r="V122" s="1260"/>
      <c r="W122" s="1270"/>
    </row>
    <row r="123" spans="1:23" s="1255" customFormat="1" ht="25.5">
      <c r="A123" s="1266"/>
      <c r="B123" s="1437" t="s">
        <v>767</v>
      </c>
      <c r="C123" s="1449" t="s">
        <v>3140</v>
      </c>
      <c r="D123" s="1450" t="s">
        <v>37</v>
      </c>
      <c r="E123" s="1451">
        <v>4.3499999999999996</v>
      </c>
      <c r="F123" s="1452">
        <v>420.24</v>
      </c>
      <c r="G123" s="1530">
        <v>430.97</v>
      </c>
      <c r="H123" s="1453">
        <f t="shared" si="15"/>
        <v>1828.04</v>
      </c>
      <c r="I123" s="1453">
        <f t="shared" si="16"/>
        <v>1874.72</v>
      </c>
      <c r="J123" s="1454">
        <v>0</v>
      </c>
      <c r="K123" s="1454">
        <v>0</v>
      </c>
      <c r="L123" s="1666"/>
      <c r="M123" s="1456">
        <f t="shared" si="17"/>
        <v>0</v>
      </c>
      <c r="N123" s="1457">
        <f t="shared" si="13"/>
        <v>0</v>
      </c>
      <c r="O123" s="1458">
        <f t="shared" si="18"/>
        <v>0</v>
      </c>
      <c r="P123" s="1459">
        <f t="shared" si="19"/>
        <v>0</v>
      </c>
      <c r="Q123" s="1460">
        <f t="shared" si="14"/>
        <v>4.3499999999999996</v>
      </c>
      <c r="R123" s="1461">
        <f t="shared" si="20"/>
        <v>1874.72</v>
      </c>
      <c r="S123" s="1462">
        <f t="shared" si="21"/>
        <v>1</v>
      </c>
      <c r="T123" s="1260"/>
      <c r="U123" s="1260"/>
      <c r="V123" s="1260"/>
      <c r="W123" s="1270"/>
    </row>
    <row r="124" spans="1:23" s="1255" customFormat="1" ht="25.5">
      <c r="B124" s="1437" t="s">
        <v>771</v>
      </c>
      <c r="C124" s="1449" t="s">
        <v>3142</v>
      </c>
      <c r="D124" s="1450" t="s">
        <v>37</v>
      </c>
      <c r="E124" s="1451">
        <v>35.58</v>
      </c>
      <c r="F124" s="1452">
        <v>359.34</v>
      </c>
      <c r="G124" s="1530">
        <v>370.07</v>
      </c>
      <c r="H124" s="1453">
        <f t="shared" si="15"/>
        <v>12785.32</v>
      </c>
      <c r="I124" s="1453">
        <f t="shared" si="16"/>
        <v>13167.09</v>
      </c>
      <c r="J124" s="1454">
        <v>33.399999999999984</v>
      </c>
      <c r="K124" s="1454">
        <v>12360.337999999994</v>
      </c>
      <c r="L124" s="1666"/>
      <c r="M124" s="1456">
        <f t="shared" si="17"/>
        <v>0</v>
      </c>
      <c r="N124" s="1457">
        <f t="shared" si="13"/>
        <v>33.399999999999984</v>
      </c>
      <c r="O124" s="1458">
        <f t="shared" si="18"/>
        <v>12360.337999999994</v>
      </c>
      <c r="P124" s="1459">
        <f t="shared" si="19"/>
        <v>0.93872966616010023</v>
      </c>
      <c r="Q124" s="1460">
        <f t="shared" si="14"/>
        <v>2.1800000000000139</v>
      </c>
      <c r="R124" s="1461">
        <f t="shared" si="20"/>
        <v>806.75</v>
      </c>
      <c r="S124" s="1462">
        <f t="shared" si="21"/>
        <v>6.1270181946048823E-2</v>
      </c>
      <c r="T124" s="1260"/>
      <c r="U124" s="1260"/>
      <c r="V124" s="1260"/>
      <c r="W124" s="1270"/>
    </row>
    <row r="125" spans="1:23" s="1255" customFormat="1" ht="25.5">
      <c r="A125" s="1254"/>
      <c r="B125" s="1437" t="s">
        <v>3813</v>
      </c>
      <c r="C125" s="1449" t="s">
        <v>3814</v>
      </c>
      <c r="D125" s="1450" t="s">
        <v>37</v>
      </c>
      <c r="E125" s="1451">
        <v>2.4700000000000002</v>
      </c>
      <c r="F125" s="1452">
        <v>359.34</v>
      </c>
      <c r="G125" s="1530">
        <v>370.07</v>
      </c>
      <c r="H125" s="1453">
        <f t="shared" si="15"/>
        <v>887.57</v>
      </c>
      <c r="I125" s="1453">
        <f t="shared" si="16"/>
        <v>914.07</v>
      </c>
      <c r="J125" s="1454">
        <v>0</v>
      </c>
      <c r="K125" s="1454">
        <v>0</v>
      </c>
      <c r="L125" s="1666"/>
      <c r="M125" s="1456">
        <f t="shared" si="17"/>
        <v>0</v>
      </c>
      <c r="N125" s="1457">
        <f t="shared" si="13"/>
        <v>0</v>
      </c>
      <c r="O125" s="1458">
        <f t="shared" si="18"/>
        <v>0</v>
      </c>
      <c r="P125" s="1459">
        <f t="shared" si="19"/>
        <v>0</v>
      </c>
      <c r="Q125" s="1460">
        <f t="shared" si="14"/>
        <v>2.4700000000000002</v>
      </c>
      <c r="R125" s="1461">
        <f t="shared" si="20"/>
        <v>914.07</v>
      </c>
      <c r="S125" s="1462">
        <f t="shared" si="21"/>
        <v>1</v>
      </c>
      <c r="T125" s="1260"/>
      <c r="U125" s="1260"/>
      <c r="V125" s="1260"/>
      <c r="W125" s="1270"/>
    </row>
    <row r="126" spans="1:23" s="1255" customFormat="1">
      <c r="A126" s="1266"/>
      <c r="B126" s="1527" t="s">
        <v>774</v>
      </c>
      <c r="C126" s="1521" t="s">
        <v>3815</v>
      </c>
      <c r="D126" s="1450"/>
      <c r="E126" s="1451"/>
      <c r="F126" s="1452"/>
      <c r="G126" s="1530"/>
      <c r="H126" s="1453">
        <f t="shared" si="15"/>
        <v>0</v>
      </c>
      <c r="I126" s="1453">
        <f t="shared" si="16"/>
        <v>0</v>
      </c>
      <c r="J126" s="1454"/>
      <c r="K126" s="1454">
        <v>0</v>
      </c>
      <c r="L126" s="1666"/>
      <c r="M126" s="1456">
        <f t="shared" si="17"/>
        <v>0</v>
      </c>
      <c r="N126" s="1457"/>
      <c r="O126" s="1458">
        <f t="shared" si="18"/>
        <v>0</v>
      </c>
      <c r="P126" s="1459" t="str">
        <f t="shared" si="19"/>
        <v/>
      </c>
      <c r="Q126" s="1460"/>
      <c r="R126" s="1461">
        <f t="shared" si="20"/>
        <v>0</v>
      </c>
      <c r="S126" s="1462" t="str">
        <f t="shared" si="21"/>
        <v/>
      </c>
      <c r="T126" s="1260"/>
      <c r="U126" s="1260"/>
      <c r="V126" s="1260"/>
      <c r="W126" s="1270"/>
    </row>
    <row r="127" spans="1:23" s="1255" customFormat="1">
      <c r="B127" s="1527" t="s">
        <v>775</v>
      </c>
      <c r="C127" s="1521" t="s">
        <v>3816</v>
      </c>
      <c r="D127" s="1450"/>
      <c r="E127" s="1451"/>
      <c r="F127" s="1452"/>
      <c r="G127" s="1530"/>
      <c r="H127" s="1453">
        <f t="shared" si="15"/>
        <v>0</v>
      </c>
      <c r="I127" s="1453">
        <f t="shared" si="16"/>
        <v>0</v>
      </c>
      <c r="J127" s="1454"/>
      <c r="K127" s="1454">
        <v>0</v>
      </c>
      <c r="L127" s="1666"/>
      <c r="M127" s="1456">
        <f t="shared" si="17"/>
        <v>0</v>
      </c>
      <c r="N127" s="1457"/>
      <c r="O127" s="1458">
        <f t="shared" si="18"/>
        <v>0</v>
      </c>
      <c r="P127" s="1459" t="str">
        <f t="shared" si="19"/>
        <v/>
      </c>
      <c r="Q127" s="1460"/>
      <c r="R127" s="1461">
        <f t="shared" si="20"/>
        <v>0</v>
      </c>
      <c r="S127" s="1462" t="str">
        <f t="shared" si="21"/>
        <v/>
      </c>
      <c r="T127" s="1260"/>
      <c r="U127" s="1260"/>
      <c r="V127" s="1260"/>
      <c r="W127" s="1270"/>
    </row>
    <row r="128" spans="1:23" s="1255" customFormat="1">
      <c r="A128" s="1254"/>
      <c r="B128" s="1437" t="s">
        <v>776</v>
      </c>
      <c r="C128" s="1449" t="s">
        <v>3149</v>
      </c>
      <c r="D128" s="1450" t="s">
        <v>36</v>
      </c>
      <c r="E128" s="1451">
        <v>6</v>
      </c>
      <c r="F128" s="1452">
        <v>658.81</v>
      </c>
      <c r="G128" s="1530">
        <v>664.7</v>
      </c>
      <c r="H128" s="1453">
        <f t="shared" si="15"/>
        <v>3952.86</v>
      </c>
      <c r="I128" s="1453">
        <f t="shared" si="16"/>
        <v>3988.2</v>
      </c>
      <c r="J128" s="1454">
        <v>0</v>
      </c>
      <c r="K128" s="1454">
        <v>0</v>
      </c>
      <c r="L128" s="1666"/>
      <c r="M128" s="1456">
        <f t="shared" si="17"/>
        <v>0</v>
      </c>
      <c r="N128" s="1457">
        <f t="shared" si="13"/>
        <v>0</v>
      </c>
      <c r="O128" s="1458">
        <f t="shared" si="18"/>
        <v>0</v>
      </c>
      <c r="P128" s="1459">
        <f t="shared" si="19"/>
        <v>0</v>
      </c>
      <c r="Q128" s="1460">
        <f t="shared" si="14"/>
        <v>6</v>
      </c>
      <c r="R128" s="1461">
        <f t="shared" si="20"/>
        <v>3988.2</v>
      </c>
      <c r="S128" s="1462">
        <f t="shared" si="21"/>
        <v>1</v>
      </c>
      <c r="T128" s="1260"/>
      <c r="U128" s="1260"/>
      <c r="V128" s="1260"/>
      <c r="W128" s="1270"/>
    </row>
    <row r="129" spans="1:23" s="1255" customFormat="1">
      <c r="A129" s="1266"/>
      <c r="B129" s="1527" t="s">
        <v>778</v>
      </c>
      <c r="C129" s="1521" t="s">
        <v>3151</v>
      </c>
      <c r="D129" s="1450"/>
      <c r="E129" s="1451"/>
      <c r="F129" s="1452"/>
      <c r="G129" s="1530"/>
      <c r="H129" s="1453">
        <f t="shared" si="15"/>
        <v>0</v>
      </c>
      <c r="I129" s="1453">
        <f t="shared" si="16"/>
        <v>0</v>
      </c>
      <c r="J129" s="1454"/>
      <c r="K129" s="1454">
        <v>0</v>
      </c>
      <c r="L129" s="1666"/>
      <c r="M129" s="1456">
        <f t="shared" si="17"/>
        <v>0</v>
      </c>
      <c r="N129" s="1457"/>
      <c r="O129" s="1458">
        <f t="shared" si="18"/>
        <v>0</v>
      </c>
      <c r="P129" s="1459" t="str">
        <f t="shared" si="19"/>
        <v/>
      </c>
      <c r="Q129" s="1460"/>
      <c r="R129" s="1461">
        <f t="shared" si="20"/>
        <v>0</v>
      </c>
      <c r="S129" s="1462" t="str">
        <f t="shared" si="21"/>
        <v/>
      </c>
      <c r="T129" s="1260"/>
      <c r="U129" s="1260"/>
      <c r="V129" s="1260"/>
      <c r="W129" s="1270"/>
    </row>
    <row r="130" spans="1:23" s="1255" customFormat="1" ht="25.5">
      <c r="B130" s="1437" t="s">
        <v>779</v>
      </c>
      <c r="C130" s="1449" t="s">
        <v>3152</v>
      </c>
      <c r="D130" s="1450" t="s">
        <v>37</v>
      </c>
      <c r="E130" s="1451">
        <v>22.01</v>
      </c>
      <c r="F130" s="1452">
        <v>180.4</v>
      </c>
      <c r="G130" s="1530">
        <v>180.4</v>
      </c>
      <c r="H130" s="1453">
        <f t="shared" si="15"/>
        <v>3970.6</v>
      </c>
      <c r="I130" s="1453">
        <f t="shared" si="16"/>
        <v>3970.6</v>
      </c>
      <c r="J130" s="1454">
        <v>0</v>
      </c>
      <c r="K130" s="1454">
        <v>0</v>
      </c>
      <c r="L130" s="1666"/>
      <c r="M130" s="1456">
        <f t="shared" si="17"/>
        <v>0</v>
      </c>
      <c r="N130" s="1457">
        <f t="shared" si="13"/>
        <v>0</v>
      </c>
      <c r="O130" s="1458">
        <f t="shared" si="18"/>
        <v>0</v>
      </c>
      <c r="P130" s="1459">
        <f t="shared" si="19"/>
        <v>0</v>
      </c>
      <c r="Q130" s="1460">
        <f t="shared" si="14"/>
        <v>22.01</v>
      </c>
      <c r="R130" s="1461">
        <f t="shared" si="20"/>
        <v>3970.6</v>
      </c>
      <c r="S130" s="1462">
        <f t="shared" si="21"/>
        <v>1</v>
      </c>
      <c r="T130" s="1260"/>
      <c r="U130" s="1260"/>
      <c r="V130" s="1260"/>
      <c r="W130" s="1270"/>
    </row>
    <row r="131" spans="1:23" s="1255" customFormat="1">
      <c r="A131" s="1266"/>
      <c r="B131" s="1527" t="s">
        <v>3817</v>
      </c>
      <c r="C131" s="1521" t="s">
        <v>3156</v>
      </c>
      <c r="D131" s="1450"/>
      <c r="E131" s="1451"/>
      <c r="F131" s="1452"/>
      <c r="G131" s="1530"/>
      <c r="H131" s="1453">
        <f t="shared" si="15"/>
        <v>0</v>
      </c>
      <c r="I131" s="1453">
        <f t="shared" si="16"/>
        <v>0</v>
      </c>
      <c r="J131" s="1454"/>
      <c r="K131" s="1454">
        <v>0</v>
      </c>
      <c r="L131" s="1666"/>
      <c r="M131" s="1456">
        <f t="shared" si="17"/>
        <v>0</v>
      </c>
      <c r="N131" s="1457"/>
      <c r="O131" s="1458">
        <f t="shared" si="18"/>
        <v>0</v>
      </c>
      <c r="P131" s="1459" t="str">
        <f t="shared" si="19"/>
        <v/>
      </c>
      <c r="Q131" s="1460"/>
      <c r="R131" s="1461">
        <f t="shared" si="20"/>
        <v>0</v>
      </c>
      <c r="S131" s="1462" t="str">
        <f t="shared" si="21"/>
        <v/>
      </c>
      <c r="T131" s="1260"/>
      <c r="U131" s="1260"/>
      <c r="V131" s="1260"/>
      <c r="W131" s="1270"/>
    </row>
    <row r="132" spans="1:23" s="1255" customFormat="1">
      <c r="A132" s="1266"/>
      <c r="B132" s="1437" t="s">
        <v>3818</v>
      </c>
      <c r="C132" s="1449" t="s">
        <v>3158</v>
      </c>
      <c r="D132" s="1450" t="s">
        <v>38</v>
      </c>
      <c r="E132" s="1451">
        <v>207.49</v>
      </c>
      <c r="F132" s="1452">
        <v>393.88</v>
      </c>
      <c r="G132" s="1530">
        <v>396.74</v>
      </c>
      <c r="H132" s="1453">
        <f t="shared" si="15"/>
        <v>81726.16</v>
      </c>
      <c r="I132" s="1453">
        <f t="shared" si="16"/>
        <v>82319.58</v>
      </c>
      <c r="J132" s="1454">
        <v>0</v>
      </c>
      <c r="K132" s="1454">
        <v>0</v>
      </c>
      <c r="L132" s="1666"/>
      <c r="M132" s="1456">
        <f t="shared" si="17"/>
        <v>0</v>
      </c>
      <c r="N132" s="1457">
        <f t="shared" si="13"/>
        <v>0</v>
      </c>
      <c r="O132" s="1458">
        <f t="shared" si="18"/>
        <v>0</v>
      </c>
      <c r="P132" s="1459">
        <f t="shared" si="19"/>
        <v>0</v>
      </c>
      <c r="Q132" s="1460">
        <f t="shared" si="14"/>
        <v>207.49</v>
      </c>
      <c r="R132" s="1461">
        <f t="shared" si="20"/>
        <v>82319.58</v>
      </c>
      <c r="S132" s="1462">
        <f t="shared" si="21"/>
        <v>1</v>
      </c>
      <c r="T132" s="1260"/>
      <c r="U132" s="1260"/>
      <c r="V132" s="1260"/>
      <c r="W132" s="1270"/>
    </row>
    <row r="133" spans="1:23" s="1255" customFormat="1">
      <c r="B133" s="1437" t="s">
        <v>3819</v>
      </c>
      <c r="C133" s="1449" t="s">
        <v>3820</v>
      </c>
      <c r="D133" s="1450" t="s">
        <v>38</v>
      </c>
      <c r="E133" s="1451">
        <v>783.79</v>
      </c>
      <c r="F133" s="1452">
        <v>276.77999999999997</v>
      </c>
      <c r="G133" s="1530">
        <v>279.17</v>
      </c>
      <c r="H133" s="1453">
        <f t="shared" si="15"/>
        <v>216937.4</v>
      </c>
      <c r="I133" s="1453">
        <f t="shared" si="16"/>
        <v>218810.65</v>
      </c>
      <c r="J133" s="1454">
        <v>0</v>
      </c>
      <c r="K133" s="1454">
        <v>0</v>
      </c>
      <c r="L133" s="1666"/>
      <c r="M133" s="1456">
        <f t="shared" si="17"/>
        <v>0</v>
      </c>
      <c r="N133" s="1457">
        <f t="shared" si="13"/>
        <v>0</v>
      </c>
      <c r="O133" s="1458">
        <f t="shared" si="18"/>
        <v>0</v>
      </c>
      <c r="P133" s="1459">
        <f t="shared" si="19"/>
        <v>0</v>
      </c>
      <c r="Q133" s="1460">
        <f t="shared" si="14"/>
        <v>783.79</v>
      </c>
      <c r="R133" s="1461">
        <f t="shared" si="20"/>
        <v>218810.65</v>
      </c>
      <c r="S133" s="1462">
        <f t="shared" si="21"/>
        <v>1</v>
      </c>
      <c r="T133" s="1260"/>
      <c r="U133" s="1260"/>
      <c r="V133" s="1260"/>
      <c r="W133" s="1270"/>
    </row>
    <row r="134" spans="1:23" s="1255" customFormat="1">
      <c r="A134" s="1254"/>
      <c r="B134" s="1527" t="s">
        <v>781</v>
      </c>
      <c r="C134" s="1521" t="s">
        <v>3175</v>
      </c>
      <c r="D134" s="1450"/>
      <c r="E134" s="1451"/>
      <c r="F134" s="1452"/>
      <c r="G134" s="1530"/>
      <c r="H134" s="1453">
        <f t="shared" si="15"/>
        <v>0</v>
      </c>
      <c r="I134" s="1453">
        <f t="shared" si="16"/>
        <v>0</v>
      </c>
      <c r="J134" s="1454"/>
      <c r="K134" s="1454">
        <v>0</v>
      </c>
      <c r="L134" s="1666"/>
      <c r="M134" s="1456">
        <f t="shared" si="17"/>
        <v>0</v>
      </c>
      <c r="N134" s="1457"/>
      <c r="O134" s="1458">
        <f t="shared" si="18"/>
        <v>0</v>
      </c>
      <c r="P134" s="1459" t="str">
        <f t="shared" si="19"/>
        <v/>
      </c>
      <c r="Q134" s="1460"/>
      <c r="R134" s="1461">
        <f t="shared" si="20"/>
        <v>0</v>
      </c>
      <c r="S134" s="1462" t="str">
        <f t="shared" si="21"/>
        <v/>
      </c>
      <c r="T134" s="1260"/>
      <c r="U134" s="1260"/>
      <c r="V134" s="1260"/>
      <c r="W134" s="1270"/>
    </row>
    <row r="135" spans="1:23" s="1255" customFormat="1">
      <c r="A135" s="1266"/>
      <c r="B135" s="1437" t="s">
        <v>782</v>
      </c>
      <c r="C135" s="1449" t="s">
        <v>3176</v>
      </c>
      <c r="D135" s="1450" t="s">
        <v>36</v>
      </c>
      <c r="E135" s="1451">
        <v>39</v>
      </c>
      <c r="F135" s="1452">
        <v>29.86</v>
      </c>
      <c r="G135" s="1530">
        <v>29.94</v>
      </c>
      <c r="H135" s="1453">
        <f t="shared" si="15"/>
        <v>1164.54</v>
      </c>
      <c r="I135" s="1453">
        <f t="shared" si="16"/>
        <v>1167.6600000000001</v>
      </c>
      <c r="J135" s="1454">
        <v>0</v>
      </c>
      <c r="K135" s="1454">
        <v>0</v>
      </c>
      <c r="L135" s="1666"/>
      <c r="M135" s="1456">
        <f t="shared" si="17"/>
        <v>0</v>
      </c>
      <c r="N135" s="1457">
        <f t="shared" si="13"/>
        <v>0</v>
      </c>
      <c r="O135" s="1458">
        <f t="shared" si="18"/>
        <v>0</v>
      </c>
      <c r="P135" s="1459">
        <f t="shared" si="19"/>
        <v>0</v>
      </c>
      <c r="Q135" s="1460">
        <f t="shared" si="14"/>
        <v>39</v>
      </c>
      <c r="R135" s="1461">
        <f t="shared" si="20"/>
        <v>1167.6600000000001</v>
      </c>
      <c r="S135" s="1462">
        <f t="shared" si="21"/>
        <v>1</v>
      </c>
      <c r="T135" s="1260"/>
      <c r="U135" s="1260"/>
      <c r="V135" s="1260"/>
      <c r="W135" s="1270"/>
    </row>
    <row r="136" spans="1:23" s="1255" customFormat="1">
      <c r="B136" s="1437" t="s">
        <v>786</v>
      </c>
      <c r="C136" s="1449" t="s">
        <v>3821</v>
      </c>
      <c r="D136" s="1450" t="s">
        <v>36</v>
      </c>
      <c r="E136" s="1451">
        <v>48</v>
      </c>
      <c r="F136" s="1452">
        <v>19.86</v>
      </c>
      <c r="G136" s="1530">
        <v>19.940000000000001</v>
      </c>
      <c r="H136" s="1453">
        <f t="shared" si="15"/>
        <v>953.28</v>
      </c>
      <c r="I136" s="1453">
        <f t="shared" si="16"/>
        <v>957.12</v>
      </c>
      <c r="J136" s="1454">
        <v>0</v>
      </c>
      <c r="K136" s="1454">
        <v>0</v>
      </c>
      <c r="L136" s="1666"/>
      <c r="M136" s="1456">
        <f t="shared" si="17"/>
        <v>0</v>
      </c>
      <c r="N136" s="1457">
        <f t="shared" si="13"/>
        <v>0</v>
      </c>
      <c r="O136" s="1458">
        <f t="shared" si="18"/>
        <v>0</v>
      </c>
      <c r="P136" s="1459">
        <f t="shared" si="19"/>
        <v>0</v>
      </c>
      <c r="Q136" s="1460">
        <f t="shared" si="14"/>
        <v>48</v>
      </c>
      <c r="R136" s="1461">
        <f t="shared" si="20"/>
        <v>957.12</v>
      </c>
      <c r="S136" s="1462">
        <f t="shared" si="21"/>
        <v>1</v>
      </c>
      <c r="T136" s="1260"/>
      <c r="U136" s="1260"/>
      <c r="V136" s="1260"/>
      <c r="W136" s="1270"/>
    </row>
    <row r="137" spans="1:23" s="1255" customFormat="1">
      <c r="A137" s="1254"/>
      <c r="B137" s="1437" t="s">
        <v>789</v>
      </c>
      <c r="C137" s="1449" t="s">
        <v>3179</v>
      </c>
      <c r="D137" s="1450" t="s">
        <v>36</v>
      </c>
      <c r="E137" s="1451">
        <v>13</v>
      </c>
      <c r="F137" s="1452">
        <v>95.4</v>
      </c>
      <c r="G137" s="1530">
        <v>96.42</v>
      </c>
      <c r="H137" s="1453">
        <f t="shared" si="15"/>
        <v>1240.2</v>
      </c>
      <c r="I137" s="1453">
        <f t="shared" si="16"/>
        <v>1253.46</v>
      </c>
      <c r="J137" s="1454">
        <v>0</v>
      </c>
      <c r="K137" s="1454">
        <v>0</v>
      </c>
      <c r="L137" s="1666"/>
      <c r="M137" s="1456">
        <f t="shared" si="17"/>
        <v>0</v>
      </c>
      <c r="N137" s="1457">
        <f t="shared" si="13"/>
        <v>0</v>
      </c>
      <c r="O137" s="1458">
        <f t="shared" si="18"/>
        <v>0</v>
      </c>
      <c r="P137" s="1459">
        <f t="shared" si="19"/>
        <v>0</v>
      </c>
      <c r="Q137" s="1460">
        <f t="shared" si="14"/>
        <v>13</v>
      </c>
      <c r="R137" s="1461">
        <f t="shared" si="20"/>
        <v>1253.46</v>
      </c>
      <c r="S137" s="1462">
        <f t="shared" si="21"/>
        <v>1</v>
      </c>
      <c r="T137" s="1260"/>
      <c r="U137" s="1260"/>
      <c r="V137" s="1260"/>
      <c r="W137" s="1270"/>
    </row>
    <row r="138" spans="1:23" s="1255" customFormat="1">
      <c r="A138" s="1266"/>
      <c r="B138" s="1437" t="s">
        <v>793</v>
      </c>
      <c r="C138" s="1449" t="s">
        <v>3180</v>
      </c>
      <c r="D138" s="1450" t="s">
        <v>36</v>
      </c>
      <c r="E138" s="1451">
        <v>13</v>
      </c>
      <c r="F138" s="1452">
        <v>75.42</v>
      </c>
      <c r="G138" s="1530">
        <v>76.44</v>
      </c>
      <c r="H138" s="1453">
        <f t="shared" si="15"/>
        <v>980.46</v>
      </c>
      <c r="I138" s="1453">
        <f t="shared" si="16"/>
        <v>993.72</v>
      </c>
      <c r="J138" s="1454">
        <v>0</v>
      </c>
      <c r="K138" s="1454">
        <v>0</v>
      </c>
      <c r="L138" s="1666"/>
      <c r="M138" s="1456">
        <f t="shared" si="17"/>
        <v>0</v>
      </c>
      <c r="N138" s="1457">
        <f t="shared" si="13"/>
        <v>0</v>
      </c>
      <c r="O138" s="1458">
        <f t="shared" si="18"/>
        <v>0</v>
      </c>
      <c r="P138" s="1459">
        <f t="shared" si="19"/>
        <v>0</v>
      </c>
      <c r="Q138" s="1460">
        <f t="shared" si="14"/>
        <v>13</v>
      </c>
      <c r="R138" s="1461">
        <f t="shared" si="20"/>
        <v>993.72</v>
      </c>
      <c r="S138" s="1462">
        <f t="shared" si="21"/>
        <v>1</v>
      </c>
      <c r="T138" s="1260"/>
      <c r="U138" s="1260"/>
      <c r="V138" s="1260"/>
      <c r="W138" s="1270"/>
    </row>
    <row r="139" spans="1:23" s="1255" customFormat="1">
      <c r="B139" s="1437" t="s">
        <v>799</v>
      </c>
      <c r="C139" s="1449" t="s">
        <v>3181</v>
      </c>
      <c r="D139" s="1450" t="s">
        <v>36</v>
      </c>
      <c r="E139" s="1451">
        <v>1</v>
      </c>
      <c r="F139" s="1452">
        <v>112.4</v>
      </c>
      <c r="G139" s="1530">
        <v>113.42</v>
      </c>
      <c r="H139" s="1453">
        <f t="shared" si="15"/>
        <v>112.4</v>
      </c>
      <c r="I139" s="1453">
        <f t="shared" si="16"/>
        <v>113.42</v>
      </c>
      <c r="J139" s="1454">
        <v>0</v>
      </c>
      <c r="K139" s="1454">
        <v>0</v>
      </c>
      <c r="L139" s="1666"/>
      <c r="M139" s="1456">
        <f t="shared" si="17"/>
        <v>0</v>
      </c>
      <c r="N139" s="1457">
        <f t="shared" si="13"/>
        <v>0</v>
      </c>
      <c r="O139" s="1458">
        <f t="shared" si="18"/>
        <v>0</v>
      </c>
      <c r="P139" s="1459">
        <f t="shared" si="19"/>
        <v>0</v>
      </c>
      <c r="Q139" s="1460">
        <f t="shared" si="14"/>
        <v>1</v>
      </c>
      <c r="R139" s="1461">
        <f t="shared" si="20"/>
        <v>113.42</v>
      </c>
      <c r="S139" s="1462">
        <f t="shared" si="21"/>
        <v>1</v>
      </c>
      <c r="T139" s="1260"/>
      <c r="U139" s="1260"/>
      <c r="V139" s="1260"/>
      <c r="W139" s="1270"/>
    </row>
    <row r="140" spans="1:23" s="1255" customFormat="1">
      <c r="A140" s="1266"/>
      <c r="B140" s="1437" t="s">
        <v>3822</v>
      </c>
      <c r="C140" s="1449" t="s">
        <v>3184</v>
      </c>
      <c r="D140" s="1450" t="s">
        <v>36</v>
      </c>
      <c r="E140" s="1451">
        <v>18</v>
      </c>
      <c r="F140" s="1452">
        <v>17.68</v>
      </c>
      <c r="G140" s="1530">
        <v>17.940000000000001</v>
      </c>
      <c r="H140" s="1453">
        <f t="shared" si="15"/>
        <v>318.24</v>
      </c>
      <c r="I140" s="1453">
        <f t="shared" si="16"/>
        <v>322.92</v>
      </c>
      <c r="J140" s="1454">
        <v>0</v>
      </c>
      <c r="K140" s="1454">
        <v>0</v>
      </c>
      <c r="L140" s="1666"/>
      <c r="M140" s="1456">
        <f t="shared" si="17"/>
        <v>0</v>
      </c>
      <c r="N140" s="1457">
        <f t="shared" si="13"/>
        <v>0</v>
      </c>
      <c r="O140" s="1458">
        <f t="shared" si="18"/>
        <v>0</v>
      </c>
      <c r="P140" s="1459">
        <f t="shared" si="19"/>
        <v>0</v>
      </c>
      <c r="Q140" s="1460">
        <f t="shared" si="14"/>
        <v>18</v>
      </c>
      <c r="R140" s="1461">
        <f t="shared" si="20"/>
        <v>322.92</v>
      </c>
      <c r="S140" s="1462">
        <f t="shared" si="21"/>
        <v>1</v>
      </c>
      <c r="T140" s="1260"/>
      <c r="U140" s="1260"/>
      <c r="V140" s="1260"/>
      <c r="W140" s="1270"/>
    </row>
    <row r="141" spans="1:23" s="1255" customFormat="1">
      <c r="A141" s="1266"/>
      <c r="B141" s="1527" t="s">
        <v>3823</v>
      </c>
      <c r="C141" s="1521" t="s">
        <v>3186</v>
      </c>
      <c r="D141" s="1450"/>
      <c r="E141" s="1451"/>
      <c r="F141" s="1452"/>
      <c r="G141" s="1530"/>
      <c r="H141" s="1453">
        <f t="shared" si="15"/>
        <v>0</v>
      </c>
      <c r="I141" s="1453">
        <f t="shared" si="16"/>
        <v>0</v>
      </c>
      <c r="J141" s="1454"/>
      <c r="K141" s="1454">
        <v>0</v>
      </c>
      <c r="L141" s="1666"/>
      <c r="M141" s="1456">
        <f t="shared" si="17"/>
        <v>0</v>
      </c>
      <c r="N141" s="1457"/>
      <c r="O141" s="1458">
        <f t="shared" si="18"/>
        <v>0</v>
      </c>
      <c r="P141" s="1459" t="str">
        <f t="shared" si="19"/>
        <v/>
      </c>
      <c r="Q141" s="1460"/>
      <c r="R141" s="1461">
        <f t="shared" si="20"/>
        <v>0</v>
      </c>
      <c r="S141" s="1462" t="str">
        <f t="shared" si="21"/>
        <v/>
      </c>
      <c r="T141" s="1260"/>
      <c r="U141" s="1260"/>
      <c r="V141" s="1260"/>
      <c r="W141" s="1270"/>
    </row>
    <row r="142" spans="1:23" s="1255" customFormat="1">
      <c r="B142" s="1437" t="s">
        <v>3824</v>
      </c>
      <c r="C142" s="1449" t="s">
        <v>3189</v>
      </c>
      <c r="D142" s="1450" t="s">
        <v>36</v>
      </c>
      <c r="E142" s="1451">
        <v>600</v>
      </c>
      <c r="F142" s="1452">
        <v>80.06</v>
      </c>
      <c r="G142" s="1530">
        <v>80.349999999999994</v>
      </c>
      <c r="H142" s="1453">
        <f t="shared" si="15"/>
        <v>48036</v>
      </c>
      <c r="I142" s="1453">
        <f t="shared" si="16"/>
        <v>48210</v>
      </c>
      <c r="J142" s="1454">
        <v>0</v>
      </c>
      <c r="K142" s="1454">
        <v>0</v>
      </c>
      <c r="L142" s="1666"/>
      <c r="M142" s="1456">
        <f t="shared" si="17"/>
        <v>0</v>
      </c>
      <c r="N142" s="1457">
        <f t="shared" si="13"/>
        <v>0</v>
      </c>
      <c r="O142" s="1458">
        <f t="shared" si="18"/>
        <v>0</v>
      </c>
      <c r="P142" s="1459">
        <f t="shared" si="19"/>
        <v>0</v>
      </c>
      <c r="Q142" s="1460">
        <f t="shared" si="14"/>
        <v>600</v>
      </c>
      <c r="R142" s="1461">
        <f t="shared" si="20"/>
        <v>48210</v>
      </c>
      <c r="S142" s="1462">
        <f t="shared" si="21"/>
        <v>1</v>
      </c>
      <c r="T142" s="1260"/>
      <c r="U142" s="1260"/>
      <c r="V142" s="1260"/>
      <c r="W142" s="1270"/>
    </row>
    <row r="143" spans="1:23" s="1255" customFormat="1" ht="25.5">
      <c r="A143" s="1254"/>
      <c r="B143" s="1437" t="s">
        <v>3825</v>
      </c>
      <c r="C143" s="1449" t="s">
        <v>3187</v>
      </c>
      <c r="D143" s="1450" t="s">
        <v>37</v>
      </c>
      <c r="E143" s="1451">
        <v>125.91</v>
      </c>
      <c r="F143" s="1452">
        <v>168</v>
      </c>
      <c r="G143" s="1530">
        <v>168</v>
      </c>
      <c r="H143" s="1453">
        <f t="shared" si="15"/>
        <v>21152.880000000001</v>
      </c>
      <c r="I143" s="1453">
        <f t="shared" si="16"/>
        <v>21152.880000000001</v>
      </c>
      <c r="J143" s="1454">
        <v>0</v>
      </c>
      <c r="K143" s="1454">
        <v>0</v>
      </c>
      <c r="L143" s="1666"/>
      <c r="M143" s="1456">
        <f t="shared" si="17"/>
        <v>0</v>
      </c>
      <c r="N143" s="1457">
        <f t="shared" si="13"/>
        <v>0</v>
      </c>
      <c r="O143" s="1458">
        <f t="shared" si="18"/>
        <v>0</v>
      </c>
      <c r="P143" s="1459">
        <f t="shared" si="19"/>
        <v>0</v>
      </c>
      <c r="Q143" s="1460">
        <f t="shared" si="14"/>
        <v>125.91</v>
      </c>
      <c r="R143" s="1461">
        <f t="shared" si="20"/>
        <v>21152.880000000001</v>
      </c>
      <c r="S143" s="1462">
        <f t="shared" si="21"/>
        <v>1</v>
      </c>
      <c r="T143" s="1260"/>
      <c r="U143" s="1260"/>
      <c r="V143" s="1260"/>
      <c r="W143" s="1270"/>
    </row>
    <row r="144" spans="1:23" s="1255" customFormat="1">
      <c r="A144" s="1266"/>
      <c r="B144" s="1527" t="s">
        <v>3826</v>
      </c>
      <c r="C144" s="1521" t="s">
        <v>3205</v>
      </c>
      <c r="D144" s="1450"/>
      <c r="E144" s="1451"/>
      <c r="F144" s="1452"/>
      <c r="G144" s="1530"/>
      <c r="H144" s="1453">
        <f t="shared" si="15"/>
        <v>0</v>
      </c>
      <c r="I144" s="1453">
        <f t="shared" si="16"/>
        <v>0</v>
      </c>
      <c r="J144" s="1454"/>
      <c r="K144" s="1454">
        <v>0</v>
      </c>
      <c r="L144" s="1666"/>
      <c r="M144" s="1456">
        <f t="shared" si="17"/>
        <v>0</v>
      </c>
      <c r="N144" s="1457"/>
      <c r="O144" s="1458">
        <f t="shared" si="18"/>
        <v>0</v>
      </c>
      <c r="P144" s="1459" t="str">
        <f t="shared" si="19"/>
        <v/>
      </c>
      <c r="Q144" s="1460"/>
      <c r="R144" s="1461">
        <f t="shared" si="20"/>
        <v>0</v>
      </c>
      <c r="S144" s="1462" t="str">
        <f t="shared" si="21"/>
        <v/>
      </c>
      <c r="T144" s="1260"/>
      <c r="U144" s="1260"/>
      <c r="V144" s="1260"/>
      <c r="W144" s="1270"/>
    </row>
    <row r="145" spans="1:23" s="1255" customFormat="1">
      <c r="B145" s="1437" t="s">
        <v>3827</v>
      </c>
      <c r="C145" s="1449" t="s">
        <v>3206</v>
      </c>
      <c r="D145" s="1450" t="s">
        <v>40</v>
      </c>
      <c r="E145" s="1451">
        <v>22.56</v>
      </c>
      <c r="F145" s="1452">
        <v>94.22</v>
      </c>
      <c r="G145" s="1530">
        <v>94.94</v>
      </c>
      <c r="H145" s="1453">
        <f t="shared" si="15"/>
        <v>2125.6</v>
      </c>
      <c r="I145" s="1453">
        <f t="shared" si="16"/>
        <v>2141.85</v>
      </c>
      <c r="J145" s="1454">
        <v>0</v>
      </c>
      <c r="K145" s="1454">
        <v>0</v>
      </c>
      <c r="L145" s="1666"/>
      <c r="M145" s="1456">
        <f t="shared" si="17"/>
        <v>0</v>
      </c>
      <c r="N145" s="1457">
        <f t="shared" ref="N145:N208" si="22">J145+L145</f>
        <v>0</v>
      </c>
      <c r="O145" s="1458">
        <f t="shared" si="18"/>
        <v>0</v>
      </c>
      <c r="P145" s="1459">
        <f t="shared" si="19"/>
        <v>0</v>
      </c>
      <c r="Q145" s="1460">
        <f t="shared" ref="Q145:Q206" si="23">E145-N145</f>
        <v>22.56</v>
      </c>
      <c r="R145" s="1461">
        <f t="shared" si="20"/>
        <v>2141.85</v>
      </c>
      <c r="S145" s="1462">
        <f t="shared" si="21"/>
        <v>1</v>
      </c>
      <c r="T145" s="1260"/>
      <c r="U145" s="1260"/>
      <c r="V145" s="1260"/>
      <c r="W145" s="1270"/>
    </row>
    <row r="146" spans="1:23" s="1255" customFormat="1">
      <c r="A146" s="1254"/>
      <c r="B146" s="1437" t="s">
        <v>3828</v>
      </c>
      <c r="C146" s="1449" t="s">
        <v>3207</v>
      </c>
      <c r="D146" s="1450" t="s">
        <v>37</v>
      </c>
      <c r="E146" s="1451">
        <v>21.5</v>
      </c>
      <c r="F146" s="1452">
        <v>13.95</v>
      </c>
      <c r="G146" s="1530">
        <v>14.06</v>
      </c>
      <c r="H146" s="1453">
        <f t="shared" ref="H146:H209" si="24">ROUND(E146*F146,2)</f>
        <v>299.93</v>
      </c>
      <c r="I146" s="1453">
        <f t="shared" ref="I146:I209" si="25">ROUND(E146*G146,2)</f>
        <v>302.29000000000002</v>
      </c>
      <c r="J146" s="1454">
        <v>0</v>
      </c>
      <c r="K146" s="1454">
        <v>0</v>
      </c>
      <c r="L146" s="1666"/>
      <c r="M146" s="1456">
        <f t="shared" ref="M146:M209" si="26">+L146*G146</f>
        <v>0</v>
      </c>
      <c r="N146" s="1457">
        <f t="shared" si="22"/>
        <v>0</v>
      </c>
      <c r="O146" s="1458">
        <f t="shared" ref="O146:O209" si="27">N146*G146</f>
        <v>0</v>
      </c>
      <c r="P146" s="1459">
        <f t="shared" ref="P146:P209" si="28">+IF(D146=0,"",O146/I146)</f>
        <v>0</v>
      </c>
      <c r="Q146" s="1460">
        <f t="shared" si="23"/>
        <v>21.5</v>
      </c>
      <c r="R146" s="1461">
        <f t="shared" ref="R146:R209" si="29">ROUND((Q146*G146),2)</f>
        <v>302.29000000000002</v>
      </c>
      <c r="S146" s="1462">
        <f t="shared" ref="S146:S209" si="30">+IF(I146=0,"",R146/I146)</f>
        <v>1</v>
      </c>
      <c r="T146" s="1260"/>
      <c r="U146" s="1260"/>
      <c r="V146" s="1260"/>
      <c r="W146" s="1270"/>
    </row>
    <row r="147" spans="1:23" s="1255" customFormat="1">
      <c r="A147" s="1266"/>
      <c r="B147" s="1527" t="s">
        <v>3829</v>
      </c>
      <c r="C147" s="1521" t="s">
        <v>3216</v>
      </c>
      <c r="D147" s="1450"/>
      <c r="E147" s="1451"/>
      <c r="F147" s="1452"/>
      <c r="G147" s="1530"/>
      <c r="H147" s="1453">
        <f t="shared" si="24"/>
        <v>0</v>
      </c>
      <c r="I147" s="1453">
        <f t="shared" si="25"/>
        <v>0</v>
      </c>
      <c r="J147" s="1454"/>
      <c r="K147" s="1454">
        <v>0</v>
      </c>
      <c r="L147" s="1666"/>
      <c r="M147" s="1456">
        <f t="shared" si="26"/>
        <v>0</v>
      </c>
      <c r="N147" s="1457"/>
      <c r="O147" s="1458">
        <f t="shared" si="27"/>
        <v>0</v>
      </c>
      <c r="P147" s="1459" t="str">
        <f t="shared" si="28"/>
        <v/>
      </c>
      <c r="Q147" s="1460"/>
      <c r="R147" s="1461">
        <f t="shared" si="29"/>
        <v>0</v>
      </c>
      <c r="S147" s="1462" t="str">
        <f t="shared" si="30"/>
        <v/>
      </c>
      <c r="T147" s="1260"/>
      <c r="U147" s="1260"/>
      <c r="V147" s="1260"/>
      <c r="W147" s="1270"/>
    </row>
    <row r="148" spans="1:23" s="1255" customFormat="1">
      <c r="B148" s="1437" t="s">
        <v>3830</v>
      </c>
      <c r="C148" s="1449" t="s">
        <v>3218</v>
      </c>
      <c r="D148" s="1450" t="s">
        <v>38</v>
      </c>
      <c r="E148" s="1451">
        <v>10.4</v>
      </c>
      <c r="F148" s="1452">
        <v>31.46</v>
      </c>
      <c r="G148" s="1530">
        <v>32.049999999999997</v>
      </c>
      <c r="H148" s="1453">
        <f t="shared" si="24"/>
        <v>327.18</v>
      </c>
      <c r="I148" s="1453">
        <f t="shared" si="25"/>
        <v>333.32</v>
      </c>
      <c r="J148" s="1454">
        <v>0</v>
      </c>
      <c r="K148" s="1454">
        <v>0</v>
      </c>
      <c r="L148" s="1666"/>
      <c r="M148" s="1456">
        <f t="shared" si="26"/>
        <v>0</v>
      </c>
      <c r="N148" s="1457">
        <f t="shared" si="22"/>
        <v>0</v>
      </c>
      <c r="O148" s="1458">
        <f t="shared" si="27"/>
        <v>0</v>
      </c>
      <c r="P148" s="1459">
        <f t="shared" si="28"/>
        <v>0</v>
      </c>
      <c r="Q148" s="1460">
        <f t="shared" si="23"/>
        <v>10.4</v>
      </c>
      <c r="R148" s="1461">
        <f t="shared" si="29"/>
        <v>333.32</v>
      </c>
      <c r="S148" s="1462">
        <f t="shared" si="30"/>
        <v>1</v>
      </c>
      <c r="T148" s="1260"/>
      <c r="U148" s="1260"/>
      <c r="V148" s="1260"/>
      <c r="W148" s="1270"/>
    </row>
    <row r="149" spans="1:23" s="1255" customFormat="1">
      <c r="A149" s="1266"/>
      <c r="B149" s="1527" t="s">
        <v>3831</v>
      </c>
      <c r="C149" s="1521" t="s">
        <v>3069</v>
      </c>
      <c r="D149" s="1450"/>
      <c r="E149" s="1451"/>
      <c r="F149" s="1452"/>
      <c r="G149" s="1530"/>
      <c r="H149" s="1453">
        <f t="shared" si="24"/>
        <v>0</v>
      </c>
      <c r="I149" s="1453">
        <f t="shared" si="25"/>
        <v>0</v>
      </c>
      <c r="J149" s="1454"/>
      <c r="K149" s="1454">
        <v>0</v>
      </c>
      <c r="L149" s="1666"/>
      <c r="M149" s="1456">
        <f t="shared" si="26"/>
        <v>0</v>
      </c>
      <c r="N149" s="1457"/>
      <c r="O149" s="1458">
        <f t="shared" si="27"/>
        <v>0</v>
      </c>
      <c r="P149" s="1459" t="str">
        <f t="shared" si="28"/>
        <v/>
      </c>
      <c r="Q149" s="1460"/>
      <c r="R149" s="1461">
        <f t="shared" si="29"/>
        <v>0</v>
      </c>
      <c r="S149" s="1462" t="str">
        <f t="shared" si="30"/>
        <v/>
      </c>
      <c r="T149" s="1260"/>
      <c r="U149" s="1260"/>
      <c r="V149" s="1260"/>
      <c r="W149" s="1270"/>
    </row>
    <row r="150" spans="1:23" s="1255" customFormat="1">
      <c r="A150" s="1266"/>
      <c r="B150" s="1437" t="s">
        <v>3832</v>
      </c>
      <c r="C150" s="1449" t="s">
        <v>3833</v>
      </c>
      <c r="D150" s="1450" t="s">
        <v>36</v>
      </c>
      <c r="E150" s="1451">
        <v>10</v>
      </c>
      <c r="F150" s="1452">
        <v>1653.28</v>
      </c>
      <c r="G150" s="1530">
        <v>1668.37</v>
      </c>
      <c r="H150" s="1453">
        <f t="shared" si="24"/>
        <v>16532.8</v>
      </c>
      <c r="I150" s="1453">
        <f t="shared" si="25"/>
        <v>16683.7</v>
      </c>
      <c r="J150" s="1454">
        <v>0</v>
      </c>
      <c r="K150" s="1454">
        <v>0</v>
      </c>
      <c r="L150" s="1666"/>
      <c r="M150" s="1456">
        <f t="shared" si="26"/>
        <v>0</v>
      </c>
      <c r="N150" s="1457">
        <f t="shared" si="22"/>
        <v>0</v>
      </c>
      <c r="O150" s="1458">
        <f t="shared" si="27"/>
        <v>0</v>
      </c>
      <c r="P150" s="1459">
        <f t="shared" si="28"/>
        <v>0</v>
      </c>
      <c r="Q150" s="1460">
        <f t="shared" si="23"/>
        <v>10</v>
      </c>
      <c r="R150" s="1461">
        <f t="shared" si="29"/>
        <v>16683.7</v>
      </c>
      <c r="S150" s="1462">
        <f t="shared" si="30"/>
        <v>1</v>
      </c>
      <c r="T150" s="1260"/>
      <c r="U150" s="1260"/>
      <c r="V150" s="1260"/>
      <c r="W150" s="1270"/>
    </row>
    <row r="151" spans="1:23" s="1255" customFormat="1">
      <c r="B151" s="1892" t="s">
        <v>45</v>
      </c>
      <c r="C151" s="1894" t="s">
        <v>1327</v>
      </c>
      <c r="D151" s="1450"/>
      <c r="E151" s="1451"/>
      <c r="F151" s="1452"/>
      <c r="G151" s="1530"/>
      <c r="H151" s="1453">
        <f t="shared" si="24"/>
        <v>0</v>
      </c>
      <c r="I151" s="1453"/>
      <c r="J151" s="1454"/>
      <c r="K151" s="1454"/>
      <c r="L151" s="1666"/>
      <c r="M151" s="1456"/>
      <c r="N151" s="1457"/>
      <c r="O151" s="1458"/>
      <c r="P151" s="1459"/>
      <c r="Q151" s="1460"/>
      <c r="R151" s="1461"/>
      <c r="S151" s="1462"/>
      <c r="T151" s="1260"/>
      <c r="U151" s="1260"/>
      <c r="V151" s="1260"/>
      <c r="W151" s="1270"/>
    </row>
    <row r="152" spans="1:23" s="1255" customFormat="1">
      <c r="A152" s="1254"/>
      <c r="B152" s="1527" t="s">
        <v>47</v>
      </c>
      <c r="C152" s="1521" t="s">
        <v>3232</v>
      </c>
      <c r="D152" s="1450"/>
      <c r="E152" s="1451"/>
      <c r="F152" s="1452"/>
      <c r="G152" s="1530"/>
      <c r="H152" s="1453">
        <f t="shared" si="24"/>
        <v>0</v>
      </c>
      <c r="I152" s="1453"/>
      <c r="J152" s="1454"/>
      <c r="K152" s="1454"/>
      <c r="L152" s="1666"/>
      <c r="M152" s="1456"/>
      <c r="N152" s="1457"/>
      <c r="O152" s="1458"/>
      <c r="P152" s="1459"/>
      <c r="Q152" s="1460"/>
      <c r="R152" s="1461"/>
      <c r="S152" s="1462"/>
      <c r="T152" s="1260"/>
      <c r="U152" s="1260"/>
      <c r="V152" s="1260"/>
      <c r="W152" s="1270"/>
    </row>
    <row r="153" spans="1:23" s="1255" customFormat="1">
      <c r="A153" s="1266"/>
      <c r="B153" s="1527" t="s">
        <v>49</v>
      </c>
      <c r="C153" s="1521" t="s">
        <v>3233</v>
      </c>
      <c r="D153" s="1450"/>
      <c r="E153" s="1451"/>
      <c r="F153" s="1452"/>
      <c r="G153" s="1530"/>
      <c r="H153" s="1453">
        <f t="shared" si="24"/>
        <v>0</v>
      </c>
      <c r="I153" s="1453"/>
      <c r="J153" s="1454"/>
      <c r="K153" s="1454"/>
      <c r="L153" s="1666"/>
      <c r="M153" s="1456"/>
      <c r="N153" s="1457"/>
      <c r="O153" s="1458"/>
      <c r="P153" s="1459"/>
      <c r="Q153" s="1460"/>
      <c r="R153" s="1461"/>
      <c r="S153" s="1462"/>
      <c r="T153" s="1260"/>
      <c r="U153" s="1260"/>
      <c r="V153" s="1260"/>
      <c r="W153" s="1270"/>
    </row>
    <row r="154" spans="1:23" s="1255" customFormat="1" ht="25.5">
      <c r="B154" s="1437" t="s">
        <v>801</v>
      </c>
      <c r="C154" s="1449" t="s">
        <v>3834</v>
      </c>
      <c r="D154" s="1450" t="s">
        <v>36</v>
      </c>
      <c r="E154" s="1451">
        <v>6</v>
      </c>
      <c r="F154" s="1452">
        <v>254.6</v>
      </c>
      <c r="G154" s="1530">
        <v>254.6</v>
      </c>
      <c r="H154" s="1453">
        <f t="shared" si="24"/>
        <v>1527.6</v>
      </c>
      <c r="I154" s="1453">
        <f t="shared" si="25"/>
        <v>1527.6</v>
      </c>
      <c r="J154" s="1454">
        <v>0</v>
      </c>
      <c r="K154" s="1454">
        <v>0</v>
      </c>
      <c r="L154" s="1666"/>
      <c r="M154" s="1456">
        <f t="shared" si="26"/>
        <v>0</v>
      </c>
      <c r="N154" s="1457">
        <f t="shared" si="22"/>
        <v>0</v>
      </c>
      <c r="O154" s="1458">
        <f t="shared" si="27"/>
        <v>0</v>
      </c>
      <c r="P154" s="1459">
        <f t="shared" si="28"/>
        <v>0</v>
      </c>
      <c r="Q154" s="1460">
        <f t="shared" si="23"/>
        <v>6</v>
      </c>
      <c r="R154" s="1461">
        <f t="shared" si="29"/>
        <v>1527.6</v>
      </c>
      <c r="S154" s="1462">
        <f t="shared" si="30"/>
        <v>1</v>
      </c>
      <c r="T154" s="1260"/>
      <c r="U154" s="1260"/>
      <c r="V154" s="1260"/>
      <c r="W154" s="1270"/>
    </row>
    <row r="155" spans="1:23" s="1255" customFormat="1">
      <c r="A155" s="1254"/>
      <c r="B155" s="1437" t="s">
        <v>802</v>
      </c>
      <c r="C155" s="1449" t="s">
        <v>3235</v>
      </c>
      <c r="D155" s="1450" t="s">
        <v>36</v>
      </c>
      <c r="E155" s="1451">
        <v>3</v>
      </c>
      <c r="F155" s="1452">
        <v>198.5</v>
      </c>
      <c r="G155" s="1530">
        <v>198.5</v>
      </c>
      <c r="H155" s="1453">
        <f t="shared" si="24"/>
        <v>595.5</v>
      </c>
      <c r="I155" s="1453">
        <f t="shared" si="25"/>
        <v>595.5</v>
      </c>
      <c r="J155" s="1454">
        <v>0</v>
      </c>
      <c r="K155" s="1454">
        <v>0</v>
      </c>
      <c r="L155" s="1666"/>
      <c r="M155" s="1456">
        <f t="shared" si="26"/>
        <v>0</v>
      </c>
      <c r="N155" s="1457">
        <f t="shared" si="22"/>
        <v>0</v>
      </c>
      <c r="O155" s="1458">
        <f t="shared" si="27"/>
        <v>0</v>
      </c>
      <c r="P155" s="1459">
        <f t="shared" si="28"/>
        <v>0</v>
      </c>
      <c r="Q155" s="1460">
        <f t="shared" si="23"/>
        <v>3</v>
      </c>
      <c r="R155" s="1461">
        <f t="shared" si="29"/>
        <v>595.5</v>
      </c>
      <c r="S155" s="1462">
        <f t="shared" si="30"/>
        <v>1</v>
      </c>
      <c r="T155" s="1260"/>
      <c r="U155" s="1260"/>
      <c r="V155" s="1260"/>
      <c r="W155" s="1270"/>
    </row>
    <row r="156" spans="1:23" s="1255" customFormat="1" ht="25.5">
      <c r="A156" s="1266"/>
      <c r="B156" s="1437" t="s">
        <v>3835</v>
      </c>
      <c r="C156" s="1449" t="s">
        <v>3836</v>
      </c>
      <c r="D156" s="1450" t="s">
        <v>36</v>
      </c>
      <c r="E156" s="1451">
        <v>5</v>
      </c>
      <c r="F156" s="1452">
        <v>106.79</v>
      </c>
      <c r="G156" s="1530">
        <v>106.79</v>
      </c>
      <c r="H156" s="1453">
        <f t="shared" si="24"/>
        <v>533.95000000000005</v>
      </c>
      <c r="I156" s="1453">
        <f t="shared" si="25"/>
        <v>533.95000000000005</v>
      </c>
      <c r="J156" s="1454">
        <v>0</v>
      </c>
      <c r="K156" s="1454">
        <v>0</v>
      </c>
      <c r="L156" s="1666"/>
      <c r="M156" s="1456">
        <f t="shared" si="26"/>
        <v>0</v>
      </c>
      <c r="N156" s="1457">
        <f t="shared" si="22"/>
        <v>0</v>
      </c>
      <c r="O156" s="1458">
        <f t="shared" si="27"/>
        <v>0</v>
      </c>
      <c r="P156" s="1459">
        <f t="shared" si="28"/>
        <v>0</v>
      </c>
      <c r="Q156" s="1460">
        <f t="shared" si="23"/>
        <v>5</v>
      </c>
      <c r="R156" s="1461">
        <f t="shared" si="29"/>
        <v>533.95000000000005</v>
      </c>
      <c r="S156" s="1462">
        <f t="shared" si="30"/>
        <v>1</v>
      </c>
      <c r="T156" s="1260"/>
      <c r="U156" s="1260"/>
      <c r="V156" s="1260"/>
      <c r="W156" s="1270"/>
    </row>
    <row r="157" spans="1:23" s="1255" customFormat="1" ht="25.5">
      <c r="B157" s="1437" t="s">
        <v>3837</v>
      </c>
      <c r="C157" s="1449" t="s">
        <v>3237</v>
      </c>
      <c r="D157" s="1450" t="s">
        <v>36</v>
      </c>
      <c r="E157" s="1451">
        <v>1</v>
      </c>
      <c r="F157" s="1452">
        <v>143.5</v>
      </c>
      <c r="G157" s="1530">
        <v>143.5</v>
      </c>
      <c r="H157" s="1453">
        <f t="shared" si="24"/>
        <v>143.5</v>
      </c>
      <c r="I157" s="1453">
        <f t="shared" si="25"/>
        <v>143.5</v>
      </c>
      <c r="J157" s="1454">
        <v>0</v>
      </c>
      <c r="K157" s="1454">
        <v>0</v>
      </c>
      <c r="L157" s="1666"/>
      <c r="M157" s="1456">
        <f t="shared" si="26"/>
        <v>0</v>
      </c>
      <c r="N157" s="1457">
        <f t="shared" si="22"/>
        <v>0</v>
      </c>
      <c r="O157" s="1458">
        <f t="shared" si="27"/>
        <v>0</v>
      </c>
      <c r="P157" s="1459">
        <f t="shared" si="28"/>
        <v>0</v>
      </c>
      <c r="Q157" s="1460">
        <f t="shared" si="23"/>
        <v>1</v>
      </c>
      <c r="R157" s="1461">
        <f t="shared" si="29"/>
        <v>143.5</v>
      </c>
      <c r="S157" s="1462">
        <f t="shared" si="30"/>
        <v>1</v>
      </c>
      <c r="T157" s="1260"/>
      <c r="U157" s="1260"/>
      <c r="V157" s="1260"/>
      <c r="W157" s="1270"/>
    </row>
    <row r="158" spans="1:23" s="1255" customFormat="1" ht="25.5">
      <c r="A158" s="1266"/>
      <c r="B158" s="1437" t="s">
        <v>3838</v>
      </c>
      <c r="C158" s="1449" t="s">
        <v>3839</v>
      </c>
      <c r="D158" s="1450" t="s">
        <v>36</v>
      </c>
      <c r="E158" s="1451">
        <v>3</v>
      </c>
      <c r="F158" s="1452">
        <v>170</v>
      </c>
      <c r="G158" s="1530">
        <v>170</v>
      </c>
      <c r="H158" s="1453">
        <f t="shared" si="24"/>
        <v>510</v>
      </c>
      <c r="I158" s="1453">
        <f t="shared" si="25"/>
        <v>510</v>
      </c>
      <c r="J158" s="1454">
        <v>0</v>
      </c>
      <c r="K158" s="1454">
        <v>0</v>
      </c>
      <c r="L158" s="1666"/>
      <c r="M158" s="1456">
        <f t="shared" si="26"/>
        <v>0</v>
      </c>
      <c r="N158" s="1457">
        <f t="shared" si="22"/>
        <v>0</v>
      </c>
      <c r="O158" s="1458">
        <f t="shared" si="27"/>
        <v>0</v>
      </c>
      <c r="P158" s="1459">
        <f t="shared" si="28"/>
        <v>0</v>
      </c>
      <c r="Q158" s="1460">
        <f t="shared" si="23"/>
        <v>3</v>
      </c>
      <c r="R158" s="1461">
        <f t="shared" si="29"/>
        <v>510</v>
      </c>
      <c r="S158" s="1462">
        <f t="shared" si="30"/>
        <v>1</v>
      </c>
      <c r="T158" s="1260"/>
      <c r="U158" s="1260"/>
      <c r="V158" s="1260"/>
      <c r="W158" s="1270"/>
    </row>
    <row r="159" spans="1:23" s="1255" customFormat="1">
      <c r="A159" s="1266"/>
      <c r="B159" s="1527" t="s">
        <v>50</v>
      </c>
      <c r="C159" s="1521" t="s">
        <v>3241</v>
      </c>
      <c r="D159" s="1450"/>
      <c r="E159" s="1451"/>
      <c r="F159" s="1452"/>
      <c r="G159" s="1530"/>
      <c r="H159" s="1453">
        <f t="shared" si="24"/>
        <v>0</v>
      </c>
      <c r="I159" s="1453">
        <f t="shared" si="25"/>
        <v>0</v>
      </c>
      <c r="J159" s="1454"/>
      <c r="K159" s="1454">
        <v>0</v>
      </c>
      <c r="L159" s="1666"/>
      <c r="M159" s="1456">
        <f t="shared" si="26"/>
        <v>0</v>
      </c>
      <c r="N159" s="1457"/>
      <c r="O159" s="1458">
        <f t="shared" si="27"/>
        <v>0</v>
      </c>
      <c r="P159" s="1459" t="str">
        <f t="shared" si="28"/>
        <v/>
      </c>
      <c r="Q159" s="1460"/>
      <c r="R159" s="1461">
        <f t="shared" si="29"/>
        <v>0</v>
      </c>
      <c r="S159" s="1462" t="str">
        <f t="shared" si="30"/>
        <v/>
      </c>
      <c r="T159" s="1260"/>
      <c r="U159" s="1260"/>
      <c r="V159" s="1260"/>
      <c r="W159" s="1270"/>
    </row>
    <row r="160" spans="1:23" s="1255" customFormat="1">
      <c r="B160" s="1437" t="s">
        <v>803</v>
      </c>
      <c r="C160" s="1449" t="s">
        <v>3242</v>
      </c>
      <c r="D160" s="1450" t="s">
        <v>36</v>
      </c>
      <c r="E160" s="1451">
        <v>6</v>
      </c>
      <c r="F160" s="1452">
        <v>100</v>
      </c>
      <c r="G160" s="1530">
        <v>100</v>
      </c>
      <c r="H160" s="1453">
        <f t="shared" si="24"/>
        <v>600</v>
      </c>
      <c r="I160" s="1453">
        <f t="shared" si="25"/>
        <v>600</v>
      </c>
      <c r="J160" s="1454">
        <v>0</v>
      </c>
      <c r="K160" s="1454">
        <v>0</v>
      </c>
      <c r="L160" s="1666"/>
      <c r="M160" s="1456">
        <f t="shared" si="26"/>
        <v>0</v>
      </c>
      <c r="N160" s="1457">
        <f t="shared" si="22"/>
        <v>0</v>
      </c>
      <c r="O160" s="1458">
        <f t="shared" si="27"/>
        <v>0</v>
      </c>
      <c r="P160" s="1459">
        <f t="shared" si="28"/>
        <v>0</v>
      </c>
      <c r="Q160" s="1460">
        <f t="shared" si="23"/>
        <v>6</v>
      </c>
      <c r="R160" s="1461">
        <f t="shared" si="29"/>
        <v>600</v>
      </c>
      <c r="S160" s="1462">
        <f t="shared" si="30"/>
        <v>1</v>
      </c>
      <c r="T160" s="1260"/>
      <c r="U160" s="1260"/>
      <c r="V160" s="1260"/>
      <c r="W160" s="1270"/>
    </row>
    <row r="161" spans="1:23" s="1255" customFormat="1">
      <c r="A161" s="1254"/>
      <c r="B161" s="1437" t="s">
        <v>804</v>
      </c>
      <c r="C161" s="1449" t="s">
        <v>3840</v>
      </c>
      <c r="D161" s="1450" t="s">
        <v>36</v>
      </c>
      <c r="E161" s="1451">
        <v>1</v>
      </c>
      <c r="F161" s="1452">
        <v>25.7</v>
      </c>
      <c r="G161" s="1530">
        <v>25.7</v>
      </c>
      <c r="H161" s="1453">
        <f t="shared" si="24"/>
        <v>25.7</v>
      </c>
      <c r="I161" s="1453">
        <f t="shared" si="25"/>
        <v>25.7</v>
      </c>
      <c r="J161" s="1454">
        <v>0</v>
      </c>
      <c r="K161" s="1454">
        <v>0</v>
      </c>
      <c r="L161" s="1666"/>
      <c r="M161" s="1456">
        <f t="shared" si="26"/>
        <v>0</v>
      </c>
      <c r="N161" s="1457">
        <f t="shared" si="22"/>
        <v>0</v>
      </c>
      <c r="O161" s="1458">
        <f t="shared" si="27"/>
        <v>0</v>
      </c>
      <c r="P161" s="1459">
        <f t="shared" si="28"/>
        <v>0</v>
      </c>
      <c r="Q161" s="1460">
        <f t="shared" si="23"/>
        <v>1</v>
      </c>
      <c r="R161" s="1461">
        <f t="shared" si="29"/>
        <v>25.7</v>
      </c>
      <c r="S161" s="1462">
        <f t="shared" si="30"/>
        <v>1</v>
      </c>
      <c r="T161" s="1260"/>
      <c r="U161" s="1260"/>
      <c r="V161" s="1260"/>
      <c r="W161" s="1270"/>
    </row>
    <row r="162" spans="1:23" s="1255" customFormat="1" ht="25.5">
      <c r="A162" s="1266"/>
      <c r="B162" s="1437" t="s">
        <v>805</v>
      </c>
      <c r="C162" s="1449" t="s">
        <v>3841</v>
      </c>
      <c r="D162" s="1450" t="s">
        <v>36</v>
      </c>
      <c r="E162" s="1451">
        <v>3</v>
      </c>
      <c r="F162" s="1452">
        <v>208.9</v>
      </c>
      <c r="G162" s="1530">
        <v>208.9</v>
      </c>
      <c r="H162" s="1453">
        <f t="shared" si="24"/>
        <v>626.70000000000005</v>
      </c>
      <c r="I162" s="1453">
        <f t="shared" si="25"/>
        <v>626.70000000000005</v>
      </c>
      <c r="J162" s="1454">
        <v>0</v>
      </c>
      <c r="K162" s="1454">
        <v>0</v>
      </c>
      <c r="L162" s="1666"/>
      <c r="M162" s="1456">
        <f t="shared" si="26"/>
        <v>0</v>
      </c>
      <c r="N162" s="1457">
        <f t="shared" si="22"/>
        <v>0</v>
      </c>
      <c r="O162" s="1458">
        <f t="shared" si="27"/>
        <v>0</v>
      </c>
      <c r="P162" s="1459">
        <f t="shared" si="28"/>
        <v>0</v>
      </c>
      <c r="Q162" s="1460">
        <f t="shared" si="23"/>
        <v>3</v>
      </c>
      <c r="R162" s="1461">
        <f t="shared" si="29"/>
        <v>626.70000000000005</v>
      </c>
      <c r="S162" s="1462">
        <f t="shared" si="30"/>
        <v>1</v>
      </c>
      <c r="T162" s="1260"/>
      <c r="U162" s="1260"/>
      <c r="V162" s="1260"/>
      <c r="W162" s="1270"/>
    </row>
    <row r="163" spans="1:23" s="1255" customFormat="1">
      <c r="B163" s="1437" t="s">
        <v>806</v>
      </c>
      <c r="C163" s="1449" t="s">
        <v>3250</v>
      </c>
      <c r="D163" s="1450" t="s">
        <v>36</v>
      </c>
      <c r="E163" s="1451">
        <v>4</v>
      </c>
      <c r="F163" s="1452">
        <v>60.39</v>
      </c>
      <c r="G163" s="1530">
        <v>60.39</v>
      </c>
      <c r="H163" s="1453">
        <f t="shared" si="24"/>
        <v>241.56</v>
      </c>
      <c r="I163" s="1453">
        <f t="shared" si="25"/>
        <v>241.56</v>
      </c>
      <c r="J163" s="1454">
        <v>0</v>
      </c>
      <c r="K163" s="1454">
        <v>0</v>
      </c>
      <c r="L163" s="1666"/>
      <c r="M163" s="1456">
        <f t="shared" si="26"/>
        <v>0</v>
      </c>
      <c r="N163" s="1457">
        <f t="shared" si="22"/>
        <v>0</v>
      </c>
      <c r="O163" s="1458">
        <f t="shared" si="27"/>
        <v>0</v>
      </c>
      <c r="P163" s="1459">
        <f t="shared" si="28"/>
        <v>0</v>
      </c>
      <c r="Q163" s="1460">
        <f t="shared" si="23"/>
        <v>4</v>
      </c>
      <c r="R163" s="1461">
        <f t="shared" si="29"/>
        <v>241.56</v>
      </c>
      <c r="S163" s="1462">
        <f t="shared" si="30"/>
        <v>1</v>
      </c>
      <c r="T163" s="1260"/>
      <c r="U163" s="1260"/>
      <c r="V163" s="1260"/>
      <c r="W163" s="1270"/>
    </row>
    <row r="164" spans="1:23" s="1255" customFormat="1" ht="25.5">
      <c r="A164" s="1254"/>
      <c r="B164" s="1437" t="s">
        <v>807</v>
      </c>
      <c r="C164" s="1449" t="s">
        <v>3251</v>
      </c>
      <c r="D164" s="1450" t="s">
        <v>36</v>
      </c>
      <c r="E164" s="1451">
        <v>6</v>
      </c>
      <c r="F164" s="1452">
        <v>65.89</v>
      </c>
      <c r="G164" s="1530">
        <v>65.89</v>
      </c>
      <c r="H164" s="1453">
        <f t="shared" si="24"/>
        <v>395.34</v>
      </c>
      <c r="I164" s="1453">
        <f t="shared" si="25"/>
        <v>395.34</v>
      </c>
      <c r="J164" s="1454">
        <v>0</v>
      </c>
      <c r="K164" s="1454">
        <v>0</v>
      </c>
      <c r="L164" s="1666"/>
      <c r="M164" s="1456">
        <f t="shared" si="26"/>
        <v>0</v>
      </c>
      <c r="N164" s="1457">
        <f t="shared" si="22"/>
        <v>0</v>
      </c>
      <c r="O164" s="1458">
        <f t="shared" si="27"/>
        <v>0</v>
      </c>
      <c r="P164" s="1459">
        <f t="shared" si="28"/>
        <v>0</v>
      </c>
      <c r="Q164" s="1460">
        <f t="shared" si="23"/>
        <v>6</v>
      </c>
      <c r="R164" s="1461">
        <f t="shared" si="29"/>
        <v>395.34</v>
      </c>
      <c r="S164" s="1462">
        <f t="shared" si="30"/>
        <v>1</v>
      </c>
      <c r="T164" s="1260"/>
      <c r="U164" s="1260"/>
      <c r="V164" s="1260"/>
      <c r="W164" s="1270"/>
    </row>
    <row r="165" spans="1:23" s="1255" customFormat="1" ht="25.5">
      <c r="A165" s="1266"/>
      <c r="B165" s="1437" t="s">
        <v>808</v>
      </c>
      <c r="C165" s="1449" t="s">
        <v>3252</v>
      </c>
      <c r="D165" s="1450" t="s">
        <v>36</v>
      </c>
      <c r="E165" s="1451">
        <v>6</v>
      </c>
      <c r="F165" s="1452">
        <v>163.9</v>
      </c>
      <c r="G165" s="1530">
        <v>163.9</v>
      </c>
      <c r="H165" s="1453">
        <f t="shared" si="24"/>
        <v>983.4</v>
      </c>
      <c r="I165" s="1453">
        <f t="shared" si="25"/>
        <v>983.4</v>
      </c>
      <c r="J165" s="1454">
        <v>0</v>
      </c>
      <c r="K165" s="1454">
        <v>0</v>
      </c>
      <c r="L165" s="1666"/>
      <c r="M165" s="1456">
        <f t="shared" si="26"/>
        <v>0</v>
      </c>
      <c r="N165" s="1457">
        <f t="shared" si="22"/>
        <v>0</v>
      </c>
      <c r="O165" s="1458">
        <f t="shared" si="27"/>
        <v>0</v>
      </c>
      <c r="P165" s="1459">
        <f t="shared" si="28"/>
        <v>0</v>
      </c>
      <c r="Q165" s="1460">
        <f t="shared" si="23"/>
        <v>6</v>
      </c>
      <c r="R165" s="1461">
        <f t="shared" si="29"/>
        <v>983.4</v>
      </c>
      <c r="S165" s="1462">
        <f t="shared" si="30"/>
        <v>1</v>
      </c>
      <c r="T165" s="1260"/>
      <c r="U165" s="1260"/>
      <c r="V165" s="1260"/>
      <c r="W165" s="1270"/>
    </row>
    <row r="166" spans="1:23" s="1255" customFormat="1">
      <c r="B166" s="1437" t="s">
        <v>809</v>
      </c>
      <c r="C166" s="1449" t="s">
        <v>3842</v>
      </c>
      <c r="D166" s="1450" t="s">
        <v>36</v>
      </c>
      <c r="E166" s="1451">
        <v>4</v>
      </c>
      <c r="F166" s="1452">
        <v>66.55</v>
      </c>
      <c r="G166" s="1530">
        <v>66.55</v>
      </c>
      <c r="H166" s="1453">
        <f t="shared" si="24"/>
        <v>266.2</v>
      </c>
      <c r="I166" s="1453">
        <f t="shared" si="25"/>
        <v>266.2</v>
      </c>
      <c r="J166" s="1454">
        <v>0</v>
      </c>
      <c r="K166" s="1454">
        <v>0</v>
      </c>
      <c r="L166" s="1666"/>
      <c r="M166" s="1456">
        <f t="shared" si="26"/>
        <v>0</v>
      </c>
      <c r="N166" s="1457">
        <f t="shared" si="22"/>
        <v>0</v>
      </c>
      <c r="O166" s="1458">
        <f t="shared" si="27"/>
        <v>0</v>
      </c>
      <c r="P166" s="1459">
        <f t="shared" si="28"/>
        <v>0</v>
      </c>
      <c r="Q166" s="1460">
        <f t="shared" si="23"/>
        <v>4</v>
      </c>
      <c r="R166" s="1461">
        <f t="shared" si="29"/>
        <v>266.2</v>
      </c>
      <c r="S166" s="1462">
        <f t="shared" si="30"/>
        <v>1</v>
      </c>
      <c r="T166" s="1260"/>
      <c r="U166" s="1260"/>
      <c r="V166" s="1260"/>
      <c r="W166" s="1270"/>
    </row>
    <row r="167" spans="1:23" s="1255" customFormat="1" ht="25.5">
      <c r="A167" s="1266"/>
      <c r="B167" s="1437" t="s">
        <v>3843</v>
      </c>
      <c r="C167" s="1449" t="s">
        <v>3254</v>
      </c>
      <c r="D167" s="1450" t="s">
        <v>36</v>
      </c>
      <c r="E167" s="1451">
        <v>4</v>
      </c>
      <c r="F167" s="1452">
        <v>825.99</v>
      </c>
      <c r="G167" s="1530">
        <v>825.99</v>
      </c>
      <c r="H167" s="1453">
        <f t="shared" si="24"/>
        <v>3303.96</v>
      </c>
      <c r="I167" s="1453">
        <f t="shared" si="25"/>
        <v>3303.96</v>
      </c>
      <c r="J167" s="1454">
        <v>0</v>
      </c>
      <c r="K167" s="1454">
        <v>0</v>
      </c>
      <c r="L167" s="1666"/>
      <c r="M167" s="1456">
        <f t="shared" si="26"/>
        <v>0</v>
      </c>
      <c r="N167" s="1457">
        <f t="shared" si="22"/>
        <v>0</v>
      </c>
      <c r="O167" s="1458">
        <f t="shared" si="27"/>
        <v>0</v>
      </c>
      <c r="P167" s="1459">
        <f t="shared" si="28"/>
        <v>0</v>
      </c>
      <c r="Q167" s="1460">
        <f t="shared" si="23"/>
        <v>4</v>
      </c>
      <c r="R167" s="1461">
        <f t="shared" si="29"/>
        <v>3303.96</v>
      </c>
      <c r="S167" s="1462">
        <f t="shared" si="30"/>
        <v>1</v>
      </c>
      <c r="T167" s="1260"/>
      <c r="U167" s="1260"/>
      <c r="V167" s="1260"/>
      <c r="W167" s="1270"/>
    </row>
    <row r="168" spans="1:23" s="1255" customFormat="1">
      <c r="A168" s="1266"/>
      <c r="B168" s="1437" t="s">
        <v>3844</v>
      </c>
      <c r="C168" s="1449" t="s">
        <v>3255</v>
      </c>
      <c r="D168" s="1450" t="s">
        <v>36</v>
      </c>
      <c r="E168" s="1451">
        <v>6</v>
      </c>
      <c r="F168" s="1452">
        <v>89.94</v>
      </c>
      <c r="G168" s="1530">
        <v>89.94</v>
      </c>
      <c r="H168" s="1453">
        <f t="shared" si="24"/>
        <v>539.64</v>
      </c>
      <c r="I168" s="1453">
        <f t="shared" si="25"/>
        <v>539.64</v>
      </c>
      <c r="J168" s="1454">
        <v>0</v>
      </c>
      <c r="K168" s="1454">
        <v>0</v>
      </c>
      <c r="L168" s="1666"/>
      <c r="M168" s="1456">
        <f t="shared" si="26"/>
        <v>0</v>
      </c>
      <c r="N168" s="1457">
        <f t="shared" si="22"/>
        <v>0</v>
      </c>
      <c r="O168" s="1458">
        <f t="shared" si="27"/>
        <v>0</v>
      </c>
      <c r="P168" s="1459">
        <f t="shared" si="28"/>
        <v>0</v>
      </c>
      <c r="Q168" s="1460">
        <f t="shared" si="23"/>
        <v>6</v>
      </c>
      <c r="R168" s="1461">
        <f t="shared" si="29"/>
        <v>539.64</v>
      </c>
      <c r="S168" s="1462">
        <f t="shared" si="30"/>
        <v>1</v>
      </c>
      <c r="T168" s="1260"/>
      <c r="U168" s="1260"/>
      <c r="V168" s="1260"/>
      <c r="W168" s="1270"/>
    </row>
    <row r="169" spans="1:23" s="1255" customFormat="1">
      <c r="B169" s="1437" t="s">
        <v>3845</v>
      </c>
      <c r="C169" s="1449" t="s">
        <v>3257</v>
      </c>
      <c r="D169" s="1450" t="s">
        <v>36</v>
      </c>
      <c r="E169" s="1451">
        <v>2</v>
      </c>
      <c r="F169" s="1452">
        <v>133.6</v>
      </c>
      <c r="G169" s="1530">
        <v>133.6</v>
      </c>
      <c r="H169" s="1453">
        <f t="shared" si="24"/>
        <v>267.2</v>
      </c>
      <c r="I169" s="1453">
        <f t="shared" si="25"/>
        <v>267.2</v>
      </c>
      <c r="J169" s="1454">
        <v>0</v>
      </c>
      <c r="K169" s="1454">
        <v>0</v>
      </c>
      <c r="L169" s="1666"/>
      <c r="M169" s="1456">
        <f t="shared" si="26"/>
        <v>0</v>
      </c>
      <c r="N169" s="1457">
        <f t="shared" si="22"/>
        <v>0</v>
      </c>
      <c r="O169" s="1458">
        <f t="shared" si="27"/>
        <v>0</v>
      </c>
      <c r="P169" s="1459">
        <f t="shared" si="28"/>
        <v>0</v>
      </c>
      <c r="Q169" s="1460">
        <f t="shared" si="23"/>
        <v>2</v>
      </c>
      <c r="R169" s="1461">
        <f t="shared" si="29"/>
        <v>267.2</v>
      </c>
      <c r="S169" s="1462">
        <f t="shared" si="30"/>
        <v>1</v>
      </c>
      <c r="T169" s="1260"/>
      <c r="U169" s="1260"/>
      <c r="V169" s="1260"/>
      <c r="W169" s="1270"/>
    </row>
    <row r="170" spans="1:23" s="1255" customFormat="1">
      <c r="A170" s="1254"/>
      <c r="B170" s="1437" t="s">
        <v>3846</v>
      </c>
      <c r="C170" s="1449" t="s">
        <v>3258</v>
      </c>
      <c r="D170" s="1450" t="s">
        <v>36</v>
      </c>
      <c r="E170" s="1451">
        <v>6</v>
      </c>
      <c r="F170" s="1452">
        <v>17.489999999999998</v>
      </c>
      <c r="G170" s="1530">
        <v>17.489999999999998</v>
      </c>
      <c r="H170" s="1453">
        <f t="shared" si="24"/>
        <v>104.94</v>
      </c>
      <c r="I170" s="1453">
        <f t="shared" si="25"/>
        <v>104.94</v>
      </c>
      <c r="J170" s="1454">
        <v>0</v>
      </c>
      <c r="K170" s="1454">
        <v>0</v>
      </c>
      <c r="L170" s="1666"/>
      <c r="M170" s="1456">
        <f t="shared" si="26"/>
        <v>0</v>
      </c>
      <c r="N170" s="1457">
        <f t="shared" si="22"/>
        <v>0</v>
      </c>
      <c r="O170" s="1458">
        <f t="shared" si="27"/>
        <v>0</v>
      </c>
      <c r="P170" s="1459">
        <f t="shared" si="28"/>
        <v>0</v>
      </c>
      <c r="Q170" s="1460">
        <f t="shared" si="23"/>
        <v>6</v>
      </c>
      <c r="R170" s="1461">
        <f t="shared" si="29"/>
        <v>104.94</v>
      </c>
      <c r="S170" s="1462">
        <f t="shared" si="30"/>
        <v>1</v>
      </c>
      <c r="T170" s="1260"/>
      <c r="U170" s="1260"/>
      <c r="V170" s="1260"/>
      <c r="W170" s="1270"/>
    </row>
    <row r="171" spans="1:23" s="1255" customFormat="1">
      <c r="A171" s="1266"/>
      <c r="B171" s="1437" t="s">
        <v>3847</v>
      </c>
      <c r="C171" s="1449" t="s">
        <v>3259</v>
      </c>
      <c r="D171" s="1450" t="s">
        <v>36</v>
      </c>
      <c r="E171" s="1451">
        <v>1</v>
      </c>
      <c r="F171" s="1452">
        <v>142.76</v>
      </c>
      <c r="G171" s="1530">
        <v>142.76</v>
      </c>
      <c r="H171" s="1453">
        <f t="shared" si="24"/>
        <v>142.76</v>
      </c>
      <c r="I171" s="1453">
        <f t="shared" si="25"/>
        <v>142.76</v>
      </c>
      <c r="J171" s="1454">
        <v>0</v>
      </c>
      <c r="K171" s="1454">
        <v>0</v>
      </c>
      <c r="L171" s="1666"/>
      <c r="M171" s="1456">
        <f t="shared" si="26"/>
        <v>0</v>
      </c>
      <c r="N171" s="1457">
        <f t="shared" si="22"/>
        <v>0</v>
      </c>
      <c r="O171" s="1458">
        <f t="shared" si="27"/>
        <v>0</v>
      </c>
      <c r="P171" s="1459">
        <f t="shared" si="28"/>
        <v>0</v>
      </c>
      <c r="Q171" s="1460">
        <f t="shared" si="23"/>
        <v>1</v>
      </c>
      <c r="R171" s="1461">
        <f t="shared" si="29"/>
        <v>142.76</v>
      </c>
      <c r="S171" s="1462">
        <f t="shared" si="30"/>
        <v>1</v>
      </c>
      <c r="T171" s="1260"/>
      <c r="U171" s="1260"/>
      <c r="V171" s="1260"/>
      <c r="W171" s="1270"/>
    </row>
    <row r="172" spans="1:23" s="1255" customFormat="1">
      <c r="B172" s="1527" t="s">
        <v>51</v>
      </c>
      <c r="C172" s="1521" t="s">
        <v>3263</v>
      </c>
      <c r="D172" s="1450"/>
      <c r="E172" s="1451"/>
      <c r="F172" s="1452"/>
      <c r="G172" s="1530"/>
      <c r="H172" s="1453">
        <f t="shared" si="24"/>
        <v>0</v>
      </c>
      <c r="I172" s="1453">
        <f t="shared" si="25"/>
        <v>0</v>
      </c>
      <c r="J172" s="1454"/>
      <c r="K172" s="1454">
        <v>0</v>
      </c>
      <c r="L172" s="1666"/>
      <c r="M172" s="1456">
        <f t="shared" si="26"/>
        <v>0</v>
      </c>
      <c r="N172" s="1457"/>
      <c r="O172" s="1458">
        <f t="shared" si="27"/>
        <v>0</v>
      </c>
      <c r="P172" s="1459" t="str">
        <f t="shared" si="28"/>
        <v/>
      </c>
      <c r="Q172" s="1460"/>
      <c r="R172" s="1461">
        <f t="shared" si="29"/>
        <v>0</v>
      </c>
      <c r="S172" s="1462" t="str">
        <f t="shared" si="30"/>
        <v/>
      </c>
      <c r="T172" s="1260"/>
      <c r="U172" s="1260"/>
      <c r="V172" s="1260"/>
      <c r="W172" s="1270"/>
    </row>
    <row r="173" spans="1:23" s="1255" customFormat="1">
      <c r="A173" s="1254"/>
      <c r="B173" s="1437" t="s">
        <v>810</v>
      </c>
      <c r="C173" s="1449" t="s">
        <v>3264</v>
      </c>
      <c r="D173" s="1450" t="s">
        <v>36</v>
      </c>
      <c r="E173" s="1451">
        <v>19</v>
      </c>
      <c r="F173" s="1452">
        <v>134.51</v>
      </c>
      <c r="G173" s="1530">
        <v>140.08000000000001</v>
      </c>
      <c r="H173" s="1453">
        <f t="shared" si="24"/>
        <v>2555.69</v>
      </c>
      <c r="I173" s="1453">
        <f t="shared" si="25"/>
        <v>2661.52</v>
      </c>
      <c r="J173" s="1454">
        <v>0</v>
      </c>
      <c r="K173" s="1454">
        <v>0</v>
      </c>
      <c r="L173" s="1666"/>
      <c r="M173" s="1456">
        <f t="shared" si="26"/>
        <v>0</v>
      </c>
      <c r="N173" s="1457">
        <f t="shared" si="22"/>
        <v>0</v>
      </c>
      <c r="O173" s="1458">
        <f t="shared" si="27"/>
        <v>0</v>
      </c>
      <c r="P173" s="1459">
        <f t="shared" si="28"/>
        <v>0</v>
      </c>
      <c r="Q173" s="1460">
        <f t="shared" si="23"/>
        <v>19</v>
      </c>
      <c r="R173" s="1461">
        <f t="shared" si="29"/>
        <v>2661.52</v>
      </c>
      <c r="S173" s="1462">
        <f t="shared" si="30"/>
        <v>1</v>
      </c>
      <c r="T173" s="1260"/>
      <c r="U173" s="1260"/>
      <c r="V173" s="1260"/>
      <c r="W173" s="1270"/>
    </row>
    <row r="174" spans="1:23" s="1255" customFormat="1">
      <c r="A174" s="1266"/>
      <c r="B174" s="1527" t="s">
        <v>277</v>
      </c>
      <c r="C174" s="1521" t="s">
        <v>3265</v>
      </c>
      <c r="D174" s="1450"/>
      <c r="E174" s="1451"/>
      <c r="F174" s="1452"/>
      <c r="G174" s="1530"/>
      <c r="H174" s="1453">
        <f t="shared" si="24"/>
        <v>0</v>
      </c>
      <c r="I174" s="1453">
        <f t="shared" si="25"/>
        <v>0</v>
      </c>
      <c r="J174" s="1454"/>
      <c r="K174" s="1454">
        <v>0</v>
      </c>
      <c r="L174" s="1666"/>
      <c r="M174" s="1456">
        <f t="shared" si="26"/>
        <v>0</v>
      </c>
      <c r="N174" s="1457"/>
      <c r="O174" s="1458">
        <f t="shared" si="27"/>
        <v>0</v>
      </c>
      <c r="P174" s="1459" t="str">
        <f t="shared" si="28"/>
        <v/>
      </c>
      <c r="Q174" s="1460"/>
      <c r="R174" s="1461">
        <f t="shared" si="29"/>
        <v>0</v>
      </c>
      <c r="S174" s="1462" t="str">
        <f t="shared" si="30"/>
        <v/>
      </c>
      <c r="T174" s="1260"/>
      <c r="U174" s="1260"/>
      <c r="V174" s="1260"/>
      <c r="W174" s="1270"/>
    </row>
    <row r="175" spans="1:23" s="1255" customFormat="1">
      <c r="B175" s="1437" t="s">
        <v>811</v>
      </c>
      <c r="C175" s="1449" t="s">
        <v>3266</v>
      </c>
      <c r="D175" s="1450" t="s">
        <v>36</v>
      </c>
      <c r="E175" s="1451">
        <v>16</v>
      </c>
      <c r="F175" s="1452">
        <v>37.369999999999997</v>
      </c>
      <c r="G175" s="1530">
        <v>38.909999999999997</v>
      </c>
      <c r="H175" s="1453">
        <f t="shared" si="24"/>
        <v>597.91999999999996</v>
      </c>
      <c r="I175" s="1453">
        <f t="shared" si="25"/>
        <v>622.55999999999995</v>
      </c>
      <c r="J175" s="1454">
        <v>0</v>
      </c>
      <c r="K175" s="1454">
        <v>0</v>
      </c>
      <c r="L175" s="1666"/>
      <c r="M175" s="1456">
        <f t="shared" si="26"/>
        <v>0</v>
      </c>
      <c r="N175" s="1457">
        <f t="shared" si="22"/>
        <v>0</v>
      </c>
      <c r="O175" s="1458">
        <f t="shared" si="27"/>
        <v>0</v>
      </c>
      <c r="P175" s="1459">
        <f t="shared" si="28"/>
        <v>0</v>
      </c>
      <c r="Q175" s="1460">
        <f t="shared" si="23"/>
        <v>16</v>
      </c>
      <c r="R175" s="1461">
        <f t="shared" si="29"/>
        <v>622.55999999999995</v>
      </c>
      <c r="S175" s="1462">
        <f t="shared" si="30"/>
        <v>1</v>
      </c>
      <c r="T175" s="1260"/>
      <c r="U175" s="1260"/>
      <c r="V175" s="1260"/>
      <c r="W175" s="1270"/>
    </row>
    <row r="176" spans="1:23" s="1255" customFormat="1">
      <c r="A176" s="1266"/>
      <c r="B176" s="1999" t="s">
        <v>475</v>
      </c>
      <c r="C176" s="2000" t="s">
        <v>3267</v>
      </c>
      <c r="D176" s="1450"/>
      <c r="E176" s="1451"/>
      <c r="F176" s="1452"/>
      <c r="G176" s="1530"/>
      <c r="H176" s="1453">
        <f t="shared" si="24"/>
        <v>0</v>
      </c>
      <c r="I176" s="1453">
        <f t="shared" si="25"/>
        <v>0</v>
      </c>
      <c r="J176" s="1454"/>
      <c r="K176" s="1454">
        <v>0</v>
      </c>
      <c r="L176" s="1666"/>
      <c r="M176" s="1456">
        <f t="shared" si="26"/>
        <v>0</v>
      </c>
      <c r="N176" s="1457"/>
      <c r="O176" s="1458">
        <f t="shared" si="27"/>
        <v>0</v>
      </c>
      <c r="P176" s="1459" t="str">
        <f t="shared" si="28"/>
        <v/>
      </c>
      <c r="Q176" s="1460"/>
      <c r="R176" s="1461">
        <f t="shared" si="29"/>
        <v>0</v>
      </c>
      <c r="S176" s="1462" t="str">
        <f t="shared" si="30"/>
        <v/>
      </c>
      <c r="T176" s="1260"/>
      <c r="U176" s="1260"/>
      <c r="V176" s="1260"/>
      <c r="W176" s="1270"/>
    </row>
    <row r="177" spans="1:23" s="1255" customFormat="1">
      <c r="A177" s="1266"/>
      <c r="B177" s="1527" t="s">
        <v>476</v>
      </c>
      <c r="C177" s="1521" t="s">
        <v>3268</v>
      </c>
      <c r="D177" s="1450"/>
      <c r="E177" s="1451"/>
      <c r="F177" s="1452"/>
      <c r="G177" s="1530"/>
      <c r="H177" s="1453">
        <f t="shared" si="24"/>
        <v>0</v>
      </c>
      <c r="I177" s="1453">
        <f t="shared" si="25"/>
        <v>0</v>
      </c>
      <c r="J177" s="1454"/>
      <c r="K177" s="1454">
        <v>0</v>
      </c>
      <c r="L177" s="1666"/>
      <c r="M177" s="1456">
        <f t="shared" si="26"/>
        <v>0</v>
      </c>
      <c r="N177" s="1457"/>
      <c r="O177" s="1458">
        <f t="shared" si="27"/>
        <v>0</v>
      </c>
      <c r="P177" s="1459" t="str">
        <f t="shared" si="28"/>
        <v/>
      </c>
      <c r="Q177" s="1460"/>
      <c r="R177" s="1461">
        <f t="shared" si="29"/>
        <v>0</v>
      </c>
      <c r="S177" s="1462" t="str">
        <f t="shared" si="30"/>
        <v/>
      </c>
      <c r="T177" s="1260"/>
      <c r="U177" s="1260"/>
      <c r="V177" s="1260"/>
      <c r="W177" s="1270"/>
    </row>
    <row r="178" spans="1:23" s="1255" customFormat="1" ht="13.9" customHeight="1">
      <c r="B178" s="1437" t="s">
        <v>842</v>
      </c>
      <c r="C178" s="1449" t="s">
        <v>3848</v>
      </c>
      <c r="D178" s="1450" t="s">
        <v>1452</v>
      </c>
      <c r="E178" s="1451">
        <v>27</v>
      </c>
      <c r="F178" s="1452">
        <v>92.74</v>
      </c>
      <c r="G178" s="1530">
        <v>96.22</v>
      </c>
      <c r="H178" s="1453">
        <f t="shared" si="24"/>
        <v>2503.98</v>
      </c>
      <c r="I178" s="1453">
        <f t="shared" si="25"/>
        <v>2597.94</v>
      </c>
      <c r="J178" s="1454">
        <v>27</v>
      </c>
      <c r="K178" s="1454">
        <v>2597.94</v>
      </c>
      <c r="L178" s="1666"/>
      <c r="M178" s="1456">
        <f t="shared" si="26"/>
        <v>0</v>
      </c>
      <c r="N178" s="1457">
        <f t="shared" si="22"/>
        <v>27</v>
      </c>
      <c r="O178" s="1458">
        <f t="shared" si="27"/>
        <v>2597.94</v>
      </c>
      <c r="P178" s="1459">
        <f t="shared" si="28"/>
        <v>1</v>
      </c>
      <c r="Q178" s="1460">
        <f t="shared" si="23"/>
        <v>0</v>
      </c>
      <c r="R178" s="1461">
        <f t="shared" si="29"/>
        <v>0</v>
      </c>
      <c r="S178" s="1462">
        <f t="shared" si="30"/>
        <v>0</v>
      </c>
      <c r="T178" s="1260"/>
      <c r="U178" s="1260"/>
      <c r="V178" s="1260"/>
      <c r="W178" s="1270"/>
    </row>
    <row r="179" spans="1:23" s="1255" customFormat="1">
      <c r="A179" s="1254"/>
      <c r="B179" s="1437" t="s">
        <v>843</v>
      </c>
      <c r="C179" s="1449" t="s">
        <v>3849</v>
      </c>
      <c r="D179" s="1450" t="s">
        <v>1452</v>
      </c>
      <c r="E179" s="1451">
        <v>2</v>
      </c>
      <c r="F179" s="1452">
        <v>96.92</v>
      </c>
      <c r="G179" s="1530">
        <v>100.4</v>
      </c>
      <c r="H179" s="1453">
        <f t="shared" si="24"/>
        <v>193.84</v>
      </c>
      <c r="I179" s="1453">
        <f t="shared" si="25"/>
        <v>200.8</v>
      </c>
      <c r="J179" s="1454">
        <v>2</v>
      </c>
      <c r="K179" s="1454">
        <v>200.8</v>
      </c>
      <c r="L179" s="1666"/>
      <c r="M179" s="1456">
        <f t="shared" si="26"/>
        <v>0</v>
      </c>
      <c r="N179" s="1457">
        <f t="shared" si="22"/>
        <v>2</v>
      </c>
      <c r="O179" s="1458">
        <f t="shared" si="27"/>
        <v>200.8</v>
      </c>
      <c r="P179" s="1459">
        <f t="shared" si="28"/>
        <v>1</v>
      </c>
      <c r="Q179" s="1460">
        <f t="shared" si="23"/>
        <v>0</v>
      </c>
      <c r="R179" s="1461">
        <f t="shared" si="29"/>
        <v>0</v>
      </c>
      <c r="S179" s="1462">
        <f t="shared" si="30"/>
        <v>0</v>
      </c>
      <c r="T179" s="1260"/>
      <c r="U179" s="1260"/>
      <c r="V179" s="1260"/>
      <c r="W179" s="1270"/>
    </row>
    <row r="180" spans="1:23" s="1255" customFormat="1">
      <c r="A180" s="1266"/>
      <c r="B180" s="1527" t="s">
        <v>477</v>
      </c>
      <c r="C180" s="1521" t="s">
        <v>3850</v>
      </c>
      <c r="D180" s="1450"/>
      <c r="E180" s="1451"/>
      <c r="F180" s="1452"/>
      <c r="G180" s="1530"/>
      <c r="H180" s="1453">
        <f t="shared" si="24"/>
        <v>0</v>
      </c>
      <c r="I180" s="1453">
        <f t="shared" si="25"/>
        <v>0</v>
      </c>
      <c r="J180" s="1454"/>
      <c r="K180" s="1454">
        <v>0</v>
      </c>
      <c r="L180" s="1666"/>
      <c r="M180" s="1456">
        <f t="shared" si="26"/>
        <v>0</v>
      </c>
      <c r="N180" s="1457"/>
      <c r="O180" s="1458">
        <f t="shared" si="27"/>
        <v>0</v>
      </c>
      <c r="P180" s="1459" t="str">
        <f t="shared" si="28"/>
        <v/>
      </c>
      <c r="Q180" s="1460"/>
      <c r="R180" s="1461">
        <f t="shared" si="29"/>
        <v>0</v>
      </c>
      <c r="S180" s="1462" t="str">
        <f t="shared" si="30"/>
        <v/>
      </c>
      <c r="T180" s="1260"/>
      <c r="U180" s="1260"/>
      <c r="V180" s="1260"/>
      <c r="W180" s="1270"/>
    </row>
    <row r="181" spans="1:23" s="1255" customFormat="1">
      <c r="B181" s="1437" t="s">
        <v>844</v>
      </c>
      <c r="C181" s="1449" t="s">
        <v>3272</v>
      </c>
      <c r="D181" s="1450" t="s">
        <v>38</v>
      </c>
      <c r="E181" s="1451">
        <v>40</v>
      </c>
      <c r="F181" s="1452">
        <v>18.89</v>
      </c>
      <c r="G181" s="1530">
        <v>19.329999999999998</v>
      </c>
      <c r="H181" s="1453">
        <f t="shared" si="24"/>
        <v>755.6</v>
      </c>
      <c r="I181" s="1453">
        <f t="shared" si="25"/>
        <v>773.2</v>
      </c>
      <c r="J181" s="1454">
        <v>40</v>
      </c>
      <c r="K181" s="1454">
        <v>773.19999999999993</v>
      </c>
      <c r="L181" s="1666"/>
      <c r="M181" s="1456">
        <f t="shared" si="26"/>
        <v>0</v>
      </c>
      <c r="N181" s="1457">
        <f t="shared" si="22"/>
        <v>40</v>
      </c>
      <c r="O181" s="1458">
        <f t="shared" si="27"/>
        <v>773.19999999999993</v>
      </c>
      <c r="P181" s="1459">
        <f t="shared" si="28"/>
        <v>0.99999999999999989</v>
      </c>
      <c r="Q181" s="1460">
        <f t="shared" si="23"/>
        <v>0</v>
      </c>
      <c r="R181" s="1461">
        <f t="shared" si="29"/>
        <v>0</v>
      </c>
      <c r="S181" s="1462">
        <f t="shared" si="30"/>
        <v>0</v>
      </c>
      <c r="T181" s="1260"/>
      <c r="U181" s="1260"/>
      <c r="V181" s="1260"/>
      <c r="W181" s="1270"/>
    </row>
    <row r="182" spans="1:23" s="1255" customFormat="1">
      <c r="A182" s="1254"/>
      <c r="B182" s="1437" t="s">
        <v>845</v>
      </c>
      <c r="C182" s="1449" t="s">
        <v>3273</v>
      </c>
      <c r="D182" s="1450" t="s">
        <v>38</v>
      </c>
      <c r="E182" s="1451">
        <v>50</v>
      </c>
      <c r="F182" s="1452">
        <v>15.08</v>
      </c>
      <c r="G182" s="1530">
        <v>15.52</v>
      </c>
      <c r="H182" s="1453">
        <f t="shared" si="24"/>
        <v>754</v>
      </c>
      <c r="I182" s="1453">
        <f t="shared" si="25"/>
        <v>776</v>
      </c>
      <c r="J182" s="1454">
        <v>50</v>
      </c>
      <c r="K182" s="1454">
        <v>776</v>
      </c>
      <c r="L182" s="1666"/>
      <c r="M182" s="1456">
        <f t="shared" si="26"/>
        <v>0</v>
      </c>
      <c r="N182" s="1457">
        <f t="shared" si="22"/>
        <v>50</v>
      </c>
      <c r="O182" s="1458">
        <f t="shared" si="27"/>
        <v>776</v>
      </c>
      <c r="P182" s="1459">
        <f t="shared" si="28"/>
        <v>1</v>
      </c>
      <c r="Q182" s="1460">
        <f t="shared" si="23"/>
        <v>0</v>
      </c>
      <c r="R182" s="1461">
        <f t="shared" si="29"/>
        <v>0</v>
      </c>
      <c r="S182" s="1462">
        <f t="shared" si="30"/>
        <v>0</v>
      </c>
      <c r="T182" s="1260"/>
      <c r="U182" s="1260"/>
      <c r="V182" s="1260"/>
      <c r="W182" s="1270"/>
    </row>
    <row r="183" spans="1:23" s="1255" customFormat="1">
      <c r="A183" s="1266"/>
      <c r="B183" s="1437" t="s">
        <v>846</v>
      </c>
      <c r="C183" s="1449" t="s">
        <v>3274</v>
      </c>
      <c r="D183" s="1450" t="s">
        <v>38</v>
      </c>
      <c r="E183" s="1451">
        <v>32</v>
      </c>
      <c r="F183" s="1452">
        <v>16.25</v>
      </c>
      <c r="G183" s="1530">
        <v>16.690000000000001</v>
      </c>
      <c r="H183" s="1453">
        <f t="shared" si="24"/>
        <v>520</v>
      </c>
      <c r="I183" s="1453">
        <f t="shared" si="25"/>
        <v>534.08000000000004</v>
      </c>
      <c r="J183" s="1454">
        <v>0</v>
      </c>
      <c r="K183" s="1454">
        <v>0</v>
      </c>
      <c r="L183" s="1666"/>
      <c r="M183" s="1456">
        <f t="shared" si="26"/>
        <v>0</v>
      </c>
      <c r="N183" s="1457">
        <f t="shared" si="22"/>
        <v>0</v>
      </c>
      <c r="O183" s="1458">
        <f t="shared" si="27"/>
        <v>0</v>
      </c>
      <c r="P183" s="1459">
        <f t="shared" si="28"/>
        <v>0</v>
      </c>
      <c r="Q183" s="1460">
        <f t="shared" si="23"/>
        <v>32</v>
      </c>
      <c r="R183" s="1461">
        <f t="shared" si="29"/>
        <v>534.08000000000004</v>
      </c>
      <c r="S183" s="1462">
        <f t="shared" si="30"/>
        <v>1</v>
      </c>
      <c r="T183" s="1260"/>
      <c r="U183" s="1260"/>
      <c r="V183" s="1260"/>
      <c r="W183" s="1270"/>
    </row>
    <row r="184" spans="1:23" s="1255" customFormat="1">
      <c r="B184" s="1437" t="s">
        <v>847</v>
      </c>
      <c r="C184" s="1449" t="s">
        <v>3275</v>
      </c>
      <c r="D184" s="1450" t="s">
        <v>38</v>
      </c>
      <c r="E184" s="1451">
        <v>9</v>
      </c>
      <c r="F184" s="1452">
        <v>14.11</v>
      </c>
      <c r="G184" s="1530">
        <v>14.55</v>
      </c>
      <c r="H184" s="1453">
        <f t="shared" si="24"/>
        <v>126.99</v>
      </c>
      <c r="I184" s="1453">
        <f t="shared" si="25"/>
        <v>130.94999999999999</v>
      </c>
      <c r="J184" s="1454">
        <v>0</v>
      </c>
      <c r="K184" s="1454">
        <v>0</v>
      </c>
      <c r="L184" s="1666">
        <v>9</v>
      </c>
      <c r="M184" s="1456">
        <f t="shared" si="26"/>
        <v>130.95000000000002</v>
      </c>
      <c r="N184" s="1457">
        <f t="shared" si="22"/>
        <v>9</v>
      </c>
      <c r="O184" s="1458">
        <f t="shared" si="27"/>
        <v>130.95000000000002</v>
      </c>
      <c r="P184" s="1459">
        <f t="shared" si="28"/>
        <v>1.0000000000000002</v>
      </c>
      <c r="Q184" s="1460">
        <f t="shared" si="23"/>
        <v>0</v>
      </c>
      <c r="R184" s="1461">
        <f t="shared" si="29"/>
        <v>0</v>
      </c>
      <c r="S184" s="1462">
        <f t="shared" si="30"/>
        <v>0</v>
      </c>
      <c r="T184" s="1260"/>
      <c r="U184" s="1260"/>
      <c r="V184" s="1260"/>
      <c r="W184" s="1270"/>
    </row>
    <row r="185" spans="1:23" s="1255" customFormat="1">
      <c r="A185" s="1266"/>
      <c r="B185" s="1527" t="s">
        <v>478</v>
      </c>
      <c r="C185" s="1521" t="s">
        <v>3851</v>
      </c>
      <c r="D185" s="1450"/>
      <c r="E185" s="1451"/>
      <c r="F185" s="1452"/>
      <c r="G185" s="1530"/>
      <c r="H185" s="1453">
        <f t="shared" si="24"/>
        <v>0</v>
      </c>
      <c r="I185" s="1453">
        <f t="shared" si="25"/>
        <v>0</v>
      </c>
      <c r="J185" s="1454"/>
      <c r="K185" s="1454">
        <v>0</v>
      </c>
      <c r="L185" s="1666"/>
      <c r="M185" s="1456">
        <f t="shared" si="26"/>
        <v>0</v>
      </c>
      <c r="N185" s="1457"/>
      <c r="O185" s="1458">
        <f t="shared" si="27"/>
        <v>0</v>
      </c>
      <c r="P185" s="1459" t="str">
        <f t="shared" si="28"/>
        <v/>
      </c>
      <c r="Q185" s="1460"/>
      <c r="R185" s="1461">
        <f t="shared" si="29"/>
        <v>0</v>
      </c>
      <c r="S185" s="1462" t="str">
        <f t="shared" si="30"/>
        <v/>
      </c>
      <c r="T185" s="1260"/>
      <c r="U185" s="1260"/>
      <c r="V185" s="1260"/>
      <c r="W185" s="1270"/>
    </row>
    <row r="186" spans="1:23" s="1255" customFormat="1">
      <c r="A186" s="1266"/>
      <c r="B186" s="1437" t="s">
        <v>851</v>
      </c>
      <c r="C186" s="1449" t="s">
        <v>3280</v>
      </c>
      <c r="D186" s="1450" t="s">
        <v>36</v>
      </c>
      <c r="E186" s="1451">
        <v>17</v>
      </c>
      <c r="F186" s="1452">
        <v>15.18</v>
      </c>
      <c r="G186" s="1530">
        <v>15.63</v>
      </c>
      <c r="H186" s="1453">
        <f t="shared" si="24"/>
        <v>258.06</v>
      </c>
      <c r="I186" s="1453">
        <f t="shared" si="25"/>
        <v>265.70999999999998</v>
      </c>
      <c r="J186" s="1454">
        <v>17</v>
      </c>
      <c r="K186" s="1454">
        <v>265.71000000000004</v>
      </c>
      <c r="L186" s="1666"/>
      <c r="M186" s="1456">
        <f t="shared" si="26"/>
        <v>0</v>
      </c>
      <c r="N186" s="1457">
        <f t="shared" si="22"/>
        <v>17</v>
      </c>
      <c r="O186" s="1458">
        <f t="shared" si="27"/>
        <v>265.71000000000004</v>
      </c>
      <c r="P186" s="1459">
        <f t="shared" si="28"/>
        <v>1.0000000000000002</v>
      </c>
      <c r="Q186" s="1460">
        <f t="shared" si="23"/>
        <v>0</v>
      </c>
      <c r="R186" s="1461">
        <f t="shared" si="29"/>
        <v>0</v>
      </c>
      <c r="S186" s="1462">
        <f t="shared" si="30"/>
        <v>0</v>
      </c>
      <c r="T186" s="1260"/>
      <c r="U186" s="1260"/>
      <c r="V186" s="1260"/>
      <c r="W186" s="1270"/>
    </row>
    <row r="187" spans="1:23" s="1255" customFormat="1">
      <c r="B187" s="1437" t="s">
        <v>3852</v>
      </c>
      <c r="C187" s="1449" t="s">
        <v>3281</v>
      </c>
      <c r="D187" s="1450" t="s">
        <v>36</v>
      </c>
      <c r="E187" s="1451">
        <v>6</v>
      </c>
      <c r="F187" s="1452">
        <v>15.98</v>
      </c>
      <c r="G187" s="1530">
        <v>16.43</v>
      </c>
      <c r="H187" s="1453">
        <f t="shared" si="24"/>
        <v>95.88</v>
      </c>
      <c r="I187" s="1453">
        <f t="shared" si="25"/>
        <v>98.58</v>
      </c>
      <c r="J187" s="1454">
        <v>6</v>
      </c>
      <c r="K187" s="1454">
        <v>98.58</v>
      </c>
      <c r="L187" s="1666"/>
      <c r="M187" s="1456">
        <f t="shared" si="26"/>
        <v>0</v>
      </c>
      <c r="N187" s="1457">
        <f t="shared" si="22"/>
        <v>6</v>
      </c>
      <c r="O187" s="1458">
        <f t="shared" si="27"/>
        <v>98.58</v>
      </c>
      <c r="P187" s="1459">
        <f t="shared" si="28"/>
        <v>1</v>
      </c>
      <c r="Q187" s="1460">
        <f t="shared" si="23"/>
        <v>0</v>
      </c>
      <c r="R187" s="1461">
        <f t="shared" si="29"/>
        <v>0</v>
      </c>
      <c r="S187" s="1462">
        <f t="shared" si="30"/>
        <v>0</v>
      </c>
      <c r="T187" s="1260"/>
      <c r="U187" s="1260"/>
      <c r="V187" s="1260"/>
      <c r="W187" s="1270"/>
    </row>
    <row r="188" spans="1:23" s="1255" customFormat="1">
      <c r="A188" s="1254"/>
      <c r="B188" s="1437" t="s">
        <v>3853</v>
      </c>
      <c r="C188" s="1449" t="s">
        <v>3282</v>
      </c>
      <c r="D188" s="1450" t="s">
        <v>36</v>
      </c>
      <c r="E188" s="1451">
        <v>6</v>
      </c>
      <c r="F188" s="1452">
        <v>64.319999999999993</v>
      </c>
      <c r="G188" s="1530">
        <v>64.77</v>
      </c>
      <c r="H188" s="1453">
        <f t="shared" si="24"/>
        <v>385.92</v>
      </c>
      <c r="I188" s="1453">
        <f t="shared" si="25"/>
        <v>388.62</v>
      </c>
      <c r="J188" s="1454">
        <v>6</v>
      </c>
      <c r="K188" s="1454">
        <v>388.62</v>
      </c>
      <c r="L188" s="1666"/>
      <c r="M188" s="1456">
        <f t="shared" si="26"/>
        <v>0</v>
      </c>
      <c r="N188" s="1457">
        <f t="shared" si="22"/>
        <v>6</v>
      </c>
      <c r="O188" s="1458">
        <f t="shared" si="27"/>
        <v>388.62</v>
      </c>
      <c r="P188" s="1459">
        <f t="shared" si="28"/>
        <v>1</v>
      </c>
      <c r="Q188" s="1460">
        <f t="shared" si="23"/>
        <v>0</v>
      </c>
      <c r="R188" s="1461">
        <f t="shared" si="29"/>
        <v>0</v>
      </c>
      <c r="S188" s="1462">
        <f t="shared" si="30"/>
        <v>0</v>
      </c>
      <c r="T188" s="1260"/>
      <c r="U188" s="1260"/>
      <c r="V188" s="1260"/>
      <c r="W188" s="1270"/>
    </row>
    <row r="189" spans="1:23" s="1255" customFormat="1">
      <c r="A189" s="1266"/>
      <c r="B189" s="1437" t="s">
        <v>3854</v>
      </c>
      <c r="C189" s="1449" t="s">
        <v>3286</v>
      </c>
      <c r="D189" s="1450" t="s">
        <v>36</v>
      </c>
      <c r="E189" s="1451">
        <v>12</v>
      </c>
      <c r="F189" s="1452">
        <v>15.68</v>
      </c>
      <c r="G189" s="1530">
        <v>16.13</v>
      </c>
      <c r="H189" s="1453">
        <f t="shared" si="24"/>
        <v>188.16</v>
      </c>
      <c r="I189" s="1453">
        <f t="shared" si="25"/>
        <v>193.56</v>
      </c>
      <c r="J189" s="1454">
        <v>12</v>
      </c>
      <c r="K189" s="1454">
        <v>193.56</v>
      </c>
      <c r="L189" s="1666"/>
      <c r="M189" s="1456">
        <f t="shared" si="26"/>
        <v>0</v>
      </c>
      <c r="N189" s="1457">
        <f t="shared" si="22"/>
        <v>12</v>
      </c>
      <c r="O189" s="1458">
        <f t="shared" si="27"/>
        <v>193.56</v>
      </c>
      <c r="P189" s="1459">
        <f t="shared" si="28"/>
        <v>1</v>
      </c>
      <c r="Q189" s="1460">
        <f t="shared" si="23"/>
        <v>0</v>
      </c>
      <c r="R189" s="1461">
        <f t="shared" si="29"/>
        <v>0</v>
      </c>
      <c r="S189" s="1462">
        <f t="shared" si="30"/>
        <v>0</v>
      </c>
      <c r="T189" s="1260"/>
      <c r="U189" s="1260"/>
      <c r="V189" s="1260"/>
      <c r="W189" s="1270"/>
    </row>
    <row r="190" spans="1:23" s="1255" customFormat="1">
      <c r="B190" s="1437" t="s">
        <v>3855</v>
      </c>
      <c r="C190" s="1449" t="s">
        <v>3287</v>
      </c>
      <c r="D190" s="1450" t="s">
        <v>36</v>
      </c>
      <c r="E190" s="1451">
        <v>5</v>
      </c>
      <c r="F190" s="1452">
        <v>16.579999999999998</v>
      </c>
      <c r="G190" s="1530">
        <v>17.03</v>
      </c>
      <c r="H190" s="1453">
        <f t="shared" si="24"/>
        <v>82.9</v>
      </c>
      <c r="I190" s="1453">
        <f t="shared" si="25"/>
        <v>85.15</v>
      </c>
      <c r="J190" s="1454">
        <v>5</v>
      </c>
      <c r="K190" s="1454">
        <v>85.15</v>
      </c>
      <c r="L190" s="1666"/>
      <c r="M190" s="1456">
        <f t="shared" si="26"/>
        <v>0</v>
      </c>
      <c r="N190" s="1457">
        <f t="shared" si="22"/>
        <v>5</v>
      </c>
      <c r="O190" s="1458">
        <f t="shared" si="27"/>
        <v>85.15</v>
      </c>
      <c r="P190" s="1459">
        <f t="shared" si="28"/>
        <v>1</v>
      </c>
      <c r="Q190" s="1460">
        <f t="shared" si="23"/>
        <v>0</v>
      </c>
      <c r="R190" s="1461">
        <f t="shared" si="29"/>
        <v>0</v>
      </c>
      <c r="S190" s="1462">
        <f t="shared" si="30"/>
        <v>0</v>
      </c>
      <c r="T190" s="1260"/>
      <c r="U190" s="1260"/>
      <c r="V190" s="1260"/>
      <c r="W190" s="1270"/>
    </row>
    <row r="191" spans="1:23" s="1255" customFormat="1">
      <c r="A191" s="1254"/>
      <c r="B191" s="1437" t="s">
        <v>3856</v>
      </c>
      <c r="C191" s="1449" t="s">
        <v>3288</v>
      </c>
      <c r="D191" s="1450" t="s">
        <v>36</v>
      </c>
      <c r="E191" s="1451">
        <v>7</v>
      </c>
      <c r="F191" s="1452">
        <v>18.38</v>
      </c>
      <c r="G191" s="1530">
        <v>18.829999999999998</v>
      </c>
      <c r="H191" s="1453">
        <f t="shared" si="24"/>
        <v>128.66</v>
      </c>
      <c r="I191" s="1453">
        <f t="shared" si="25"/>
        <v>131.81</v>
      </c>
      <c r="J191" s="1454">
        <v>0</v>
      </c>
      <c r="K191" s="1454">
        <v>0</v>
      </c>
      <c r="L191" s="1666"/>
      <c r="M191" s="1456">
        <f t="shared" si="26"/>
        <v>0</v>
      </c>
      <c r="N191" s="1457">
        <f t="shared" si="22"/>
        <v>0</v>
      </c>
      <c r="O191" s="1458">
        <f t="shared" si="27"/>
        <v>0</v>
      </c>
      <c r="P191" s="1459">
        <f t="shared" si="28"/>
        <v>0</v>
      </c>
      <c r="Q191" s="1460">
        <f t="shared" si="23"/>
        <v>7</v>
      </c>
      <c r="R191" s="1461">
        <f t="shared" si="29"/>
        <v>131.81</v>
      </c>
      <c r="S191" s="1462">
        <f t="shared" si="30"/>
        <v>1</v>
      </c>
      <c r="T191" s="1260"/>
      <c r="U191" s="1260"/>
      <c r="V191" s="1260"/>
      <c r="W191" s="1270"/>
    </row>
    <row r="192" spans="1:23" s="1255" customFormat="1">
      <c r="A192" s="1266"/>
      <c r="B192" s="1437" t="s">
        <v>3857</v>
      </c>
      <c r="C192" s="1449" t="s">
        <v>3291</v>
      </c>
      <c r="D192" s="1450" t="s">
        <v>36</v>
      </c>
      <c r="E192" s="1451">
        <v>16</v>
      </c>
      <c r="F192" s="1452">
        <v>170.58</v>
      </c>
      <c r="G192" s="1530">
        <v>171.03</v>
      </c>
      <c r="H192" s="1453">
        <f t="shared" si="24"/>
        <v>2729.28</v>
      </c>
      <c r="I192" s="1453">
        <f t="shared" si="25"/>
        <v>2736.48</v>
      </c>
      <c r="J192" s="1454">
        <v>16</v>
      </c>
      <c r="K192" s="1454">
        <v>2736.48</v>
      </c>
      <c r="L192" s="1666"/>
      <c r="M192" s="1456">
        <f t="shared" si="26"/>
        <v>0</v>
      </c>
      <c r="N192" s="1457">
        <f t="shared" si="22"/>
        <v>16</v>
      </c>
      <c r="O192" s="1458">
        <f t="shared" si="27"/>
        <v>2736.48</v>
      </c>
      <c r="P192" s="1459">
        <f t="shared" si="28"/>
        <v>1</v>
      </c>
      <c r="Q192" s="1460">
        <f t="shared" si="23"/>
        <v>0</v>
      </c>
      <c r="R192" s="1461">
        <f t="shared" si="29"/>
        <v>0</v>
      </c>
      <c r="S192" s="1462">
        <f t="shared" si="30"/>
        <v>0</v>
      </c>
      <c r="T192" s="1260"/>
      <c r="U192" s="1260"/>
      <c r="V192" s="1260"/>
      <c r="W192" s="1270"/>
    </row>
    <row r="193" spans="1:23" s="1255" customFormat="1">
      <c r="B193" s="1437" t="s">
        <v>3858</v>
      </c>
      <c r="C193" s="1449" t="s">
        <v>3292</v>
      </c>
      <c r="D193" s="1450" t="s">
        <v>36</v>
      </c>
      <c r="E193" s="1451">
        <v>5</v>
      </c>
      <c r="F193" s="1452">
        <v>29.66</v>
      </c>
      <c r="G193" s="1530">
        <v>30.11</v>
      </c>
      <c r="H193" s="1453">
        <f t="shared" si="24"/>
        <v>148.30000000000001</v>
      </c>
      <c r="I193" s="1453">
        <f t="shared" si="25"/>
        <v>150.55000000000001</v>
      </c>
      <c r="J193" s="1454">
        <v>0</v>
      </c>
      <c r="K193" s="1454">
        <v>0</v>
      </c>
      <c r="L193" s="1666"/>
      <c r="M193" s="1456">
        <f t="shared" si="26"/>
        <v>0</v>
      </c>
      <c r="N193" s="1457">
        <f t="shared" si="22"/>
        <v>0</v>
      </c>
      <c r="O193" s="1458">
        <f t="shared" si="27"/>
        <v>0</v>
      </c>
      <c r="P193" s="1459">
        <f t="shared" si="28"/>
        <v>0</v>
      </c>
      <c r="Q193" s="1460">
        <f t="shared" si="23"/>
        <v>5</v>
      </c>
      <c r="R193" s="1461">
        <f t="shared" si="29"/>
        <v>150.55000000000001</v>
      </c>
      <c r="S193" s="1462">
        <f t="shared" si="30"/>
        <v>1</v>
      </c>
      <c r="T193" s="1260"/>
      <c r="U193" s="1260"/>
      <c r="V193" s="1260"/>
      <c r="W193" s="1270"/>
    </row>
    <row r="194" spans="1:23" s="1255" customFormat="1">
      <c r="A194" s="1266"/>
      <c r="B194" s="1437" t="s">
        <v>3859</v>
      </c>
      <c r="C194" s="1449" t="s">
        <v>3293</v>
      </c>
      <c r="D194" s="1450" t="s">
        <v>36</v>
      </c>
      <c r="E194" s="1451">
        <v>3</v>
      </c>
      <c r="F194" s="1452">
        <v>15.08</v>
      </c>
      <c r="G194" s="1530">
        <v>15.53</v>
      </c>
      <c r="H194" s="1453">
        <f t="shared" si="24"/>
        <v>45.24</v>
      </c>
      <c r="I194" s="1453">
        <f t="shared" si="25"/>
        <v>46.59</v>
      </c>
      <c r="J194" s="1454">
        <v>3</v>
      </c>
      <c r="K194" s="1454">
        <v>46.589999999999996</v>
      </c>
      <c r="L194" s="1666"/>
      <c r="M194" s="1456">
        <f t="shared" si="26"/>
        <v>0</v>
      </c>
      <c r="N194" s="1457">
        <f t="shared" si="22"/>
        <v>3</v>
      </c>
      <c r="O194" s="1458">
        <f t="shared" si="27"/>
        <v>46.589999999999996</v>
      </c>
      <c r="P194" s="1459">
        <f t="shared" si="28"/>
        <v>0.99999999999999989</v>
      </c>
      <c r="Q194" s="1460">
        <f t="shared" si="23"/>
        <v>0</v>
      </c>
      <c r="R194" s="1461">
        <f t="shared" si="29"/>
        <v>0</v>
      </c>
      <c r="S194" s="1462">
        <f t="shared" si="30"/>
        <v>0</v>
      </c>
      <c r="T194" s="1260"/>
      <c r="U194" s="1260"/>
      <c r="V194" s="1260"/>
      <c r="W194" s="1270"/>
    </row>
    <row r="195" spans="1:23" s="1255" customFormat="1">
      <c r="A195" s="1266"/>
      <c r="B195" s="1437" t="s">
        <v>3860</v>
      </c>
      <c r="C195" s="1449" t="s">
        <v>3296</v>
      </c>
      <c r="D195" s="1450" t="s">
        <v>36</v>
      </c>
      <c r="E195" s="1451">
        <v>12</v>
      </c>
      <c r="F195" s="1452">
        <v>78.599999999999994</v>
      </c>
      <c r="G195" s="1530">
        <v>79.05</v>
      </c>
      <c r="H195" s="1453">
        <f t="shared" si="24"/>
        <v>943.2</v>
      </c>
      <c r="I195" s="1453">
        <f t="shared" si="25"/>
        <v>948.6</v>
      </c>
      <c r="J195" s="1454">
        <v>4</v>
      </c>
      <c r="K195" s="1454">
        <v>316.2</v>
      </c>
      <c r="L195" s="1666"/>
      <c r="M195" s="1456">
        <f t="shared" si="26"/>
        <v>0</v>
      </c>
      <c r="N195" s="1457">
        <f t="shared" si="22"/>
        <v>4</v>
      </c>
      <c r="O195" s="1458">
        <f t="shared" si="27"/>
        <v>316.2</v>
      </c>
      <c r="P195" s="1459">
        <f t="shared" si="28"/>
        <v>0.33333333333333331</v>
      </c>
      <c r="Q195" s="1460">
        <f t="shared" si="23"/>
        <v>8</v>
      </c>
      <c r="R195" s="1461">
        <f t="shared" si="29"/>
        <v>632.4</v>
      </c>
      <c r="S195" s="1462">
        <f t="shared" si="30"/>
        <v>0.66666666666666663</v>
      </c>
      <c r="T195" s="1260"/>
      <c r="U195" s="1260"/>
      <c r="V195" s="1260"/>
      <c r="W195" s="1270"/>
    </row>
    <row r="196" spans="1:23" s="1255" customFormat="1">
      <c r="B196" s="1437" t="s">
        <v>3861</v>
      </c>
      <c r="C196" s="1449" t="s">
        <v>3297</v>
      </c>
      <c r="D196" s="1450" t="s">
        <v>36</v>
      </c>
      <c r="E196" s="1451">
        <v>3</v>
      </c>
      <c r="F196" s="1452">
        <v>15.58</v>
      </c>
      <c r="G196" s="1530">
        <v>16.03</v>
      </c>
      <c r="H196" s="1453">
        <f t="shared" si="24"/>
        <v>46.74</v>
      </c>
      <c r="I196" s="1453">
        <f t="shared" si="25"/>
        <v>48.09</v>
      </c>
      <c r="J196" s="1454">
        <v>2</v>
      </c>
      <c r="K196" s="1454">
        <v>32.06</v>
      </c>
      <c r="L196" s="1666"/>
      <c r="M196" s="1456">
        <f t="shared" si="26"/>
        <v>0</v>
      </c>
      <c r="N196" s="1457">
        <f t="shared" si="22"/>
        <v>2</v>
      </c>
      <c r="O196" s="1458">
        <f t="shared" si="27"/>
        <v>32.06</v>
      </c>
      <c r="P196" s="1459">
        <f t="shared" si="28"/>
        <v>0.66666666666666663</v>
      </c>
      <c r="Q196" s="1460">
        <f t="shared" si="23"/>
        <v>1</v>
      </c>
      <c r="R196" s="1461">
        <f t="shared" si="29"/>
        <v>16.03</v>
      </c>
      <c r="S196" s="1462">
        <f t="shared" si="30"/>
        <v>0.33333333333333331</v>
      </c>
      <c r="T196" s="1260"/>
      <c r="U196" s="1260"/>
      <c r="V196" s="1260"/>
      <c r="W196" s="1270"/>
    </row>
    <row r="197" spans="1:23" s="1255" customFormat="1">
      <c r="A197" s="1254"/>
      <c r="B197" s="1527" t="s">
        <v>479</v>
      </c>
      <c r="C197" s="1521" t="s">
        <v>3301</v>
      </c>
      <c r="D197" s="1450"/>
      <c r="E197" s="1451"/>
      <c r="F197" s="1452"/>
      <c r="G197" s="1530"/>
      <c r="H197" s="1453">
        <f t="shared" si="24"/>
        <v>0</v>
      </c>
      <c r="I197" s="1453">
        <f t="shared" si="25"/>
        <v>0</v>
      </c>
      <c r="J197" s="1454"/>
      <c r="K197" s="1454">
        <v>0</v>
      </c>
      <c r="L197" s="1666"/>
      <c r="M197" s="1456">
        <f t="shared" si="26"/>
        <v>0</v>
      </c>
      <c r="N197" s="1457"/>
      <c r="O197" s="1458">
        <f t="shared" si="27"/>
        <v>0</v>
      </c>
      <c r="P197" s="1459" t="str">
        <f t="shared" si="28"/>
        <v/>
      </c>
      <c r="Q197" s="1460"/>
      <c r="R197" s="1461">
        <f t="shared" si="29"/>
        <v>0</v>
      </c>
      <c r="S197" s="1462" t="str">
        <f t="shared" si="30"/>
        <v/>
      </c>
      <c r="T197" s="1260"/>
      <c r="U197" s="1260"/>
      <c r="V197" s="1260"/>
      <c r="W197" s="1270"/>
    </row>
    <row r="198" spans="1:23" s="1255" customFormat="1">
      <c r="A198" s="1266"/>
      <c r="B198" s="1437" t="s">
        <v>852</v>
      </c>
      <c r="C198" s="1449" t="s">
        <v>3302</v>
      </c>
      <c r="D198" s="1450" t="s">
        <v>1451</v>
      </c>
      <c r="E198" s="1451">
        <v>5</v>
      </c>
      <c r="F198" s="1452">
        <v>93.18</v>
      </c>
      <c r="G198" s="1530">
        <v>95.5</v>
      </c>
      <c r="H198" s="1453">
        <f t="shared" si="24"/>
        <v>465.9</v>
      </c>
      <c r="I198" s="1453">
        <f t="shared" si="25"/>
        <v>477.5</v>
      </c>
      <c r="J198" s="1454">
        <v>5</v>
      </c>
      <c r="K198" s="1454">
        <v>477.5</v>
      </c>
      <c r="L198" s="1666"/>
      <c r="M198" s="1456">
        <f t="shared" si="26"/>
        <v>0</v>
      </c>
      <c r="N198" s="1457">
        <f t="shared" si="22"/>
        <v>5</v>
      </c>
      <c r="O198" s="1458">
        <f t="shared" si="27"/>
        <v>477.5</v>
      </c>
      <c r="P198" s="1459">
        <f t="shared" si="28"/>
        <v>1</v>
      </c>
      <c r="Q198" s="1460">
        <f t="shared" si="23"/>
        <v>0</v>
      </c>
      <c r="R198" s="1461">
        <f t="shared" si="29"/>
        <v>0</v>
      </c>
      <c r="S198" s="1462">
        <f t="shared" si="30"/>
        <v>0</v>
      </c>
      <c r="T198" s="1260"/>
      <c r="U198" s="1260"/>
      <c r="V198" s="1260"/>
      <c r="W198" s="1270"/>
    </row>
    <row r="199" spans="1:23" s="1255" customFormat="1">
      <c r="B199" s="1437" t="s">
        <v>853</v>
      </c>
      <c r="C199" s="1449" t="s">
        <v>3303</v>
      </c>
      <c r="D199" s="1450" t="s">
        <v>1451</v>
      </c>
      <c r="E199" s="1451">
        <v>6</v>
      </c>
      <c r="F199" s="1452">
        <v>105.66</v>
      </c>
      <c r="G199" s="1530">
        <v>107.98</v>
      </c>
      <c r="H199" s="1453">
        <f t="shared" si="24"/>
        <v>633.96</v>
      </c>
      <c r="I199" s="1453">
        <f t="shared" si="25"/>
        <v>647.88</v>
      </c>
      <c r="J199" s="1454">
        <v>6</v>
      </c>
      <c r="K199" s="1454">
        <v>647.88</v>
      </c>
      <c r="L199" s="1666"/>
      <c r="M199" s="1456">
        <f t="shared" si="26"/>
        <v>0</v>
      </c>
      <c r="N199" s="1457">
        <f t="shared" si="22"/>
        <v>6</v>
      </c>
      <c r="O199" s="1458">
        <f t="shared" si="27"/>
        <v>647.88</v>
      </c>
      <c r="P199" s="1459">
        <f t="shared" si="28"/>
        <v>1</v>
      </c>
      <c r="Q199" s="1460">
        <f t="shared" si="23"/>
        <v>0</v>
      </c>
      <c r="R199" s="1461">
        <f t="shared" si="29"/>
        <v>0</v>
      </c>
      <c r="S199" s="1462">
        <f t="shared" si="30"/>
        <v>0</v>
      </c>
      <c r="T199" s="1260"/>
      <c r="U199" s="1260"/>
      <c r="V199" s="1260"/>
      <c r="W199" s="1270"/>
    </row>
    <row r="200" spans="1:23" s="1255" customFormat="1">
      <c r="A200" s="1254"/>
      <c r="B200" s="1437" t="s">
        <v>854</v>
      </c>
      <c r="C200" s="1449" t="s">
        <v>3304</v>
      </c>
      <c r="D200" s="1450" t="s">
        <v>1451</v>
      </c>
      <c r="E200" s="1451">
        <v>1</v>
      </c>
      <c r="F200" s="1452">
        <v>118.64</v>
      </c>
      <c r="G200" s="1530">
        <v>120.96</v>
      </c>
      <c r="H200" s="1453">
        <f t="shared" si="24"/>
        <v>118.64</v>
      </c>
      <c r="I200" s="1453">
        <f t="shared" si="25"/>
        <v>120.96</v>
      </c>
      <c r="J200" s="1454">
        <v>1</v>
      </c>
      <c r="K200" s="1454">
        <v>120.96</v>
      </c>
      <c r="L200" s="1666"/>
      <c r="M200" s="1456">
        <f t="shared" si="26"/>
        <v>0</v>
      </c>
      <c r="N200" s="1457">
        <f t="shared" si="22"/>
        <v>1</v>
      </c>
      <c r="O200" s="1458">
        <f t="shared" si="27"/>
        <v>120.96</v>
      </c>
      <c r="P200" s="1459">
        <f t="shared" si="28"/>
        <v>1</v>
      </c>
      <c r="Q200" s="1460">
        <f t="shared" si="23"/>
        <v>0</v>
      </c>
      <c r="R200" s="1461">
        <f t="shared" si="29"/>
        <v>0</v>
      </c>
      <c r="S200" s="1462">
        <f t="shared" si="30"/>
        <v>0</v>
      </c>
      <c r="T200" s="1260"/>
      <c r="U200" s="1260"/>
      <c r="V200" s="1260"/>
      <c r="W200" s="1270"/>
    </row>
    <row r="201" spans="1:23" s="1255" customFormat="1">
      <c r="A201" s="1266"/>
      <c r="B201" s="1892" t="s">
        <v>488</v>
      </c>
      <c r="C201" s="1894" t="s">
        <v>1383</v>
      </c>
      <c r="D201" s="1450"/>
      <c r="E201" s="1451"/>
      <c r="F201" s="1452"/>
      <c r="G201" s="1530"/>
      <c r="H201" s="1453">
        <f t="shared" si="24"/>
        <v>0</v>
      </c>
      <c r="I201" s="1453">
        <f t="shared" si="25"/>
        <v>0</v>
      </c>
      <c r="J201" s="1454"/>
      <c r="K201" s="1454">
        <v>0</v>
      </c>
      <c r="L201" s="1666"/>
      <c r="M201" s="1456">
        <f t="shared" si="26"/>
        <v>0</v>
      </c>
      <c r="N201" s="1457"/>
      <c r="O201" s="1458">
        <f t="shared" si="27"/>
        <v>0</v>
      </c>
      <c r="P201" s="1459" t="str">
        <f t="shared" si="28"/>
        <v/>
      </c>
      <c r="Q201" s="1460"/>
      <c r="R201" s="1461">
        <f t="shared" si="29"/>
        <v>0</v>
      </c>
      <c r="S201" s="1462" t="str">
        <f t="shared" si="30"/>
        <v/>
      </c>
      <c r="T201" s="1260"/>
      <c r="U201" s="1260"/>
      <c r="V201" s="1260"/>
      <c r="W201" s="1270"/>
    </row>
    <row r="202" spans="1:23" s="1255" customFormat="1">
      <c r="B202" s="1527" t="s">
        <v>489</v>
      </c>
      <c r="C202" s="1521" t="s">
        <v>2898</v>
      </c>
      <c r="D202" s="1450"/>
      <c r="E202" s="1451"/>
      <c r="F202" s="1452"/>
      <c r="G202" s="1530"/>
      <c r="H202" s="1453">
        <f t="shared" si="24"/>
        <v>0</v>
      </c>
      <c r="I202" s="1453">
        <f t="shared" si="25"/>
        <v>0</v>
      </c>
      <c r="J202" s="1454"/>
      <c r="K202" s="1454">
        <v>0</v>
      </c>
      <c r="L202" s="1666"/>
      <c r="M202" s="1456">
        <f t="shared" si="26"/>
        <v>0</v>
      </c>
      <c r="N202" s="1457"/>
      <c r="O202" s="1458">
        <f t="shared" si="27"/>
        <v>0</v>
      </c>
      <c r="P202" s="1459" t="str">
        <f t="shared" si="28"/>
        <v/>
      </c>
      <c r="Q202" s="1460"/>
      <c r="R202" s="1461">
        <f t="shared" si="29"/>
        <v>0</v>
      </c>
      <c r="S202" s="1462" t="str">
        <f t="shared" si="30"/>
        <v/>
      </c>
      <c r="T202" s="1260"/>
      <c r="U202" s="1260"/>
      <c r="V202" s="1260"/>
      <c r="W202" s="1270"/>
    </row>
    <row r="203" spans="1:23" s="1255" customFormat="1" ht="25.5">
      <c r="A203" s="1266"/>
      <c r="B203" s="1437" t="s">
        <v>490</v>
      </c>
      <c r="C203" s="1449" t="s">
        <v>3862</v>
      </c>
      <c r="D203" s="1450" t="s">
        <v>40</v>
      </c>
      <c r="E203" s="1451">
        <v>40</v>
      </c>
      <c r="F203" s="1452">
        <v>46.72</v>
      </c>
      <c r="G203" s="1530">
        <v>48.65</v>
      </c>
      <c r="H203" s="1453">
        <f t="shared" si="24"/>
        <v>1868.8</v>
      </c>
      <c r="I203" s="1453">
        <f t="shared" si="25"/>
        <v>1946</v>
      </c>
      <c r="J203" s="1454">
        <v>0</v>
      </c>
      <c r="K203" s="1454">
        <v>0</v>
      </c>
      <c r="L203" s="1666"/>
      <c r="M203" s="1456">
        <f t="shared" si="26"/>
        <v>0</v>
      </c>
      <c r="N203" s="1457">
        <f t="shared" si="22"/>
        <v>0</v>
      </c>
      <c r="O203" s="1458">
        <f t="shared" si="27"/>
        <v>0</v>
      </c>
      <c r="P203" s="1459">
        <f t="shared" si="28"/>
        <v>0</v>
      </c>
      <c r="Q203" s="1460">
        <f t="shared" si="23"/>
        <v>40</v>
      </c>
      <c r="R203" s="1461">
        <f t="shared" si="29"/>
        <v>1946</v>
      </c>
      <c r="S203" s="1462">
        <f t="shared" si="30"/>
        <v>1</v>
      </c>
      <c r="T203" s="1260"/>
      <c r="U203" s="1260"/>
      <c r="V203" s="1260"/>
      <c r="W203" s="1270"/>
    </row>
    <row r="204" spans="1:23" s="1255" customFormat="1" ht="25.5">
      <c r="A204" s="1266"/>
      <c r="B204" s="1437" t="s">
        <v>491</v>
      </c>
      <c r="C204" s="1449" t="s">
        <v>3863</v>
      </c>
      <c r="D204" s="1450" t="s">
        <v>40</v>
      </c>
      <c r="E204" s="1451">
        <v>5</v>
      </c>
      <c r="F204" s="1452">
        <v>20.02</v>
      </c>
      <c r="G204" s="1530">
        <v>20.85</v>
      </c>
      <c r="H204" s="1453">
        <f t="shared" si="24"/>
        <v>100.1</v>
      </c>
      <c r="I204" s="1453">
        <f t="shared" si="25"/>
        <v>104.25</v>
      </c>
      <c r="J204" s="1454">
        <v>0</v>
      </c>
      <c r="K204" s="1454">
        <v>0</v>
      </c>
      <c r="L204" s="1666"/>
      <c r="M204" s="1456">
        <f t="shared" si="26"/>
        <v>0</v>
      </c>
      <c r="N204" s="1457">
        <f t="shared" si="22"/>
        <v>0</v>
      </c>
      <c r="O204" s="1458">
        <f t="shared" si="27"/>
        <v>0</v>
      </c>
      <c r="P204" s="1459">
        <f t="shared" si="28"/>
        <v>0</v>
      </c>
      <c r="Q204" s="1460">
        <f t="shared" si="23"/>
        <v>5</v>
      </c>
      <c r="R204" s="1461">
        <f t="shared" si="29"/>
        <v>104.25</v>
      </c>
      <c r="S204" s="1462">
        <f t="shared" si="30"/>
        <v>1</v>
      </c>
      <c r="T204" s="1260"/>
      <c r="U204" s="1260"/>
      <c r="V204" s="1260"/>
      <c r="W204" s="1270"/>
    </row>
    <row r="205" spans="1:23" s="1255" customFormat="1" ht="25.5">
      <c r="B205" s="1437" t="s">
        <v>492</v>
      </c>
      <c r="C205" s="1449" t="s">
        <v>3864</v>
      </c>
      <c r="D205" s="1450" t="s">
        <v>40</v>
      </c>
      <c r="E205" s="1451">
        <v>10</v>
      </c>
      <c r="F205" s="1452">
        <v>72.819999999999993</v>
      </c>
      <c r="G205" s="1530">
        <v>73.650000000000006</v>
      </c>
      <c r="H205" s="1453">
        <f t="shared" si="24"/>
        <v>728.2</v>
      </c>
      <c r="I205" s="1453">
        <f t="shared" si="25"/>
        <v>736.5</v>
      </c>
      <c r="J205" s="1454">
        <v>0</v>
      </c>
      <c r="K205" s="1454">
        <v>0</v>
      </c>
      <c r="L205" s="1666"/>
      <c r="M205" s="1456">
        <f t="shared" si="26"/>
        <v>0</v>
      </c>
      <c r="N205" s="1457">
        <f t="shared" si="22"/>
        <v>0</v>
      </c>
      <c r="O205" s="1458">
        <f t="shared" si="27"/>
        <v>0</v>
      </c>
      <c r="P205" s="1459">
        <f t="shared" si="28"/>
        <v>0</v>
      </c>
      <c r="Q205" s="1460">
        <f t="shared" si="23"/>
        <v>10</v>
      </c>
      <c r="R205" s="1461">
        <f t="shared" si="29"/>
        <v>736.5</v>
      </c>
      <c r="S205" s="1462">
        <f t="shared" si="30"/>
        <v>1</v>
      </c>
      <c r="T205" s="1260"/>
      <c r="U205" s="1260"/>
      <c r="V205" s="1260"/>
      <c r="W205" s="1270"/>
    </row>
    <row r="206" spans="1:23" s="1255" customFormat="1" ht="25.5">
      <c r="A206" s="1254"/>
      <c r="B206" s="1437" t="s">
        <v>1017</v>
      </c>
      <c r="C206" s="1449" t="s">
        <v>3865</v>
      </c>
      <c r="D206" s="1450" t="s">
        <v>40</v>
      </c>
      <c r="E206" s="1451">
        <v>30</v>
      </c>
      <c r="F206" s="1452">
        <v>20.02</v>
      </c>
      <c r="G206" s="1530">
        <v>20.85</v>
      </c>
      <c r="H206" s="1453">
        <f t="shared" si="24"/>
        <v>600.6</v>
      </c>
      <c r="I206" s="1453">
        <f t="shared" si="25"/>
        <v>625.5</v>
      </c>
      <c r="J206" s="1454">
        <v>0</v>
      </c>
      <c r="K206" s="1454">
        <v>0</v>
      </c>
      <c r="L206" s="1666"/>
      <c r="M206" s="1456">
        <f t="shared" si="26"/>
        <v>0</v>
      </c>
      <c r="N206" s="1457">
        <f t="shared" si="22"/>
        <v>0</v>
      </c>
      <c r="O206" s="1458">
        <f t="shared" si="27"/>
        <v>0</v>
      </c>
      <c r="P206" s="1459">
        <f t="shared" si="28"/>
        <v>0</v>
      </c>
      <c r="Q206" s="1460">
        <f t="shared" si="23"/>
        <v>30</v>
      </c>
      <c r="R206" s="1461">
        <f t="shared" si="29"/>
        <v>625.5</v>
      </c>
      <c r="S206" s="1462">
        <f t="shared" si="30"/>
        <v>1</v>
      </c>
      <c r="T206" s="1260"/>
      <c r="U206" s="1260"/>
      <c r="V206" s="1260"/>
      <c r="W206" s="1270"/>
    </row>
    <row r="207" spans="1:23" s="1255" customFormat="1">
      <c r="A207" s="1266"/>
      <c r="B207" s="1437" t="s">
        <v>493</v>
      </c>
      <c r="C207" s="1449" t="s">
        <v>2905</v>
      </c>
      <c r="D207" s="1450"/>
      <c r="E207" s="1451"/>
      <c r="F207" s="1452"/>
      <c r="G207" s="1530"/>
      <c r="H207" s="1453">
        <f t="shared" si="24"/>
        <v>0</v>
      </c>
      <c r="I207" s="1453">
        <f t="shared" si="25"/>
        <v>0</v>
      </c>
      <c r="J207" s="1454"/>
      <c r="K207" s="1454">
        <v>0</v>
      </c>
      <c r="L207" s="1666"/>
      <c r="M207" s="1456">
        <f t="shared" si="26"/>
        <v>0</v>
      </c>
      <c r="N207" s="1457"/>
      <c r="O207" s="1458">
        <f t="shared" si="27"/>
        <v>0</v>
      </c>
      <c r="P207" s="1459" t="str">
        <f t="shared" si="28"/>
        <v/>
      </c>
      <c r="Q207" s="1460"/>
      <c r="R207" s="1461">
        <f t="shared" si="29"/>
        <v>0</v>
      </c>
      <c r="S207" s="1462" t="str">
        <f t="shared" si="30"/>
        <v/>
      </c>
      <c r="T207" s="1260"/>
      <c r="U207" s="1260"/>
      <c r="V207" s="1260"/>
      <c r="W207" s="1270"/>
    </row>
    <row r="208" spans="1:23" s="1255" customFormat="1">
      <c r="B208" s="1437" t="s">
        <v>494</v>
      </c>
      <c r="C208" s="1449" t="s">
        <v>3396</v>
      </c>
      <c r="D208" s="1450" t="s">
        <v>36</v>
      </c>
      <c r="E208" s="1451">
        <v>6</v>
      </c>
      <c r="F208" s="1452">
        <v>258.86</v>
      </c>
      <c r="G208" s="1530">
        <v>265.82</v>
      </c>
      <c r="H208" s="1453">
        <f t="shared" si="24"/>
        <v>1553.16</v>
      </c>
      <c r="I208" s="1453">
        <f t="shared" si="25"/>
        <v>1594.92</v>
      </c>
      <c r="J208" s="1454">
        <v>0</v>
      </c>
      <c r="K208" s="1454">
        <v>0</v>
      </c>
      <c r="L208" s="1666"/>
      <c r="M208" s="1456">
        <f t="shared" si="26"/>
        <v>0</v>
      </c>
      <c r="N208" s="1457">
        <f t="shared" si="22"/>
        <v>0</v>
      </c>
      <c r="O208" s="1458">
        <f t="shared" si="27"/>
        <v>0</v>
      </c>
      <c r="P208" s="1459">
        <f t="shared" si="28"/>
        <v>0</v>
      </c>
      <c r="Q208" s="1460">
        <f t="shared" ref="Q208:Q266" si="31">E208-N208</f>
        <v>6</v>
      </c>
      <c r="R208" s="1461">
        <f t="shared" si="29"/>
        <v>1594.92</v>
      </c>
      <c r="S208" s="1462">
        <f t="shared" si="30"/>
        <v>1</v>
      </c>
      <c r="T208" s="1260"/>
      <c r="U208" s="1260"/>
      <c r="V208" s="1260"/>
      <c r="W208" s="1270"/>
    </row>
    <row r="209" spans="1:23" s="1255" customFormat="1" ht="25.5">
      <c r="A209" s="1254"/>
      <c r="B209" s="1437" t="s">
        <v>495</v>
      </c>
      <c r="C209" s="1449" t="s">
        <v>3866</v>
      </c>
      <c r="D209" s="1450" t="s">
        <v>36</v>
      </c>
      <c r="E209" s="1451">
        <v>5</v>
      </c>
      <c r="F209" s="1452">
        <v>222.6</v>
      </c>
      <c r="G209" s="1530">
        <v>230.76</v>
      </c>
      <c r="H209" s="1453">
        <f t="shared" si="24"/>
        <v>1113</v>
      </c>
      <c r="I209" s="1453">
        <f t="shared" si="25"/>
        <v>1153.8</v>
      </c>
      <c r="J209" s="1454">
        <v>0</v>
      </c>
      <c r="K209" s="1454">
        <v>0</v>
      </c>
      <c r="L209" s="1666"/>
      <c r="M209" s="1456">
        <f t="shared" si="26"/>
        <v>0</v>
      </c>
      <c r="N209" s="1457">
        <f t="shared" ref="N209:N257" si="32">J209+L209</f>
        <v>0</v>
      </c>
      <c r="O209" s="1458">
        <f t="shared" si="27"/>
        <v>0</v>
      </c>
      <c r="P209" s="1459">
        <f t="shared" si="28"/>
        <v>0</v>
      </c>
      <c r="Q209" s="1460">
        <f t="shared" si="31"/>
        <v>5</v>
      </c>
      <c r="R209" s="1461">
        <f t="shared" si="29"/>
        <v>1153.8</v>
      </c>
      <c r="S209" s="1462">
        <f t="shared" si="30"/>
        <v>1</v>
      </c>
      <c r="T209" s="1260"/>
      <c r="U209" s="1260"/>
      <c r="V209" s="1260"/>
      <c r="W209" s="1270"/>
    </row>
    <row r="210" spans="1:23" s="1255" customFormat="1">
      <c r="A210" s="1266"/>
      <c r="B210" s="1527" t="s">
        <v>497</v>
      </c>
      <c r="C210" s="1521" t="s">
        <v>3867</v>
      </c>
      <c r="D210" s="1450"/>
      <c r="E210" s="1451"/>
      <c r="F210" s="1452"/>
      <c r="G210" s="1530"/>
      <c r="H210" s="1453">
        <f t="shared" ref="H210:H257" si="33">ROUND(E210*F210,2)</f>
        <v>0</v>
      </c>
      <c r="I210" s="1453">
        <f t="shared" ref="I210:I257" si="34">ROUND(E210*G210,2)</f>
        <v>0</v>
      </c>
      <c r="J210" s="1454"/>
      <c r="K210" s="1454">
        <v>0</v>
      </c>
      <c r="L210" s="1666"/>
      <c r="M210" s="1456">
        <f t="shared" ref="M210:M257" si="35">+L210*G210</f>
        <v>0</v>
      </c>
      <c r="N210" s="1457"/>
      <c r="O210" s="1458">
        <f t="shared" ref="O210:O257" si="36">N210*G210</f>
        <v>0</v>
      </c>
      <c r="P210" s="1459" t="str">
        <f t="shared" ref="P210:P257" si="37">+IF(D210=0,"",O210/I210)</f>
        <v/>
      </c>
      <c r="Q210" s="1460"/>
      <c r="R210" s="1461">
        <f t="shared" ref="R210:R257" si="38">ROUND((Q210*G210),2)</f>
        <v>0</v>
      </c>
      <c r="S210" s="1462" t="str">
        <f t="shared" ref="S210:S257" si="39">+IF(I210=0,"",R210/I210)</f>
        <v/>
      </c>
      <c r="T210" s="1260"/>
      <c r="U210" s="1260"/>
      <c r="V210" s="1260"/>
      <c r="W210" s="1270"/>
    </row>
    <row r="211" spans="1:23" s="1255" customFormat="1">
      <c r="B211" s="1437" t="s">
        <v>498</v>
      </c>
      <c r="C211" s="1449" t="s">
        <v>3868</v>
      </c>
      <c r="D211" s="1450"/>
      <c r="E211" s="1451"/>
      <c r="F211" s="1452"/>
      <c r="G211" s="1530"/>
      <c r="H211" s="1453">
        <f t="shared" si="33"/>
        <v>0</v>
      </c>
      <c r="I211" s="1453">
        <f t="shared" si="34"/>
        <v>0</v>
      </c>
      <c r="J211" s="1454"/>
      <c r="K211" s="1454">
        <v>0</v>
      </c>
      <c r="L211" s="1666"/>
      <c r="M211" s="1456">
        <f t="shared" si="35"/>
        <v>0</v>
      </c>
      <c r="N211" s="1457"/>
      <c r="O211" s="1458">
        <f t="shared" si="36"/>
        <v>0</v>
      </c>
      <c r="P211" s="1459" t="str">
        <f t="shared" si="37"/>
        <v/>
      </c>
      <c r="Q211" s="1460"/>
      <c r="R211" s="1461">
        <f t="shared" si="38"/>
        <v>0</v>
      </c>
      <c r="S211" s="1462" t="str">
        <f t="shared" si="39"/>
        <v/>
      </c>
      <c r="T211" s="1260"/>
      <c r="U211" s="1260"/>
      <c r="V211" s="1260"/>
      <c r="W211" s="1270"/>
    </row>
    <row r="212" spans="1:23" s="1255" customFormat="1">
      <c r="A212" s="1266"/>
      <c r="B212" s="1437" t="s">
        <v>2585</v>
      </c>
      <c r="C212" s="1449" t="s">
        <v>3869</v>
      </c>
      <c r="D212" s="1450" t="s">
        <v>2828</v>
      </c>
      <c r="E212" s="1451">
        <v>4</v>
      </c>
      <c r="F212" s="1452">
        <v>530.12</v>
      </c>
      <c r="G212" s="1530">
        <v>534.9</v>
      </c>
      <c r="H212" s="1453">
        <f t="shared" si="33"/>
        <v>2120.48</v>
      </c>
      <c r="I212" s="1453">
        <f t="shared" si="34"/>
        <v>2139.6</v>
      </c>
      <c r="J212" s="1454">
        <v>4</v>
      </c>
      <c r="K212" s="1454">
        <v>2139.6</v>
      </c>
      <c r="L212" s="1666"/>
      <c r="M212" s="1456">
        <f t="shared" si="35"/>
        <v>0</v>
      </c>
      <c r="N212" s="1457">
        <f t="shared" si="32"/>
        <v>4</v>
      </c>
      <c r="O212" s="1458">
        <f t="shared" si="36"/>
        <v>2139.6</v>
      </c>
      <c r="P212" s="1459">
        <f t="shared" si="37"/>
        <v>1</v>
      </c>
      <c r="Q212" s="1460">
        <f t="shared" si="31"/>
        <v>0</v>
      </c>
      <c r="R212" s="1461">
        <f t="shared" si="38"/>
        <v>0</v>
      </c>
      <c r="S212" s="1462">
        <f t="shared" si="39"/>
        <v>0</v>
      </c>
      <c r="T212" s="1260"/>
      <c r="U212" s="1260"/>
      <c r="V212" s="1260"/>
      <c r="W212" s="1270"/>
    </row>
    <row r="213" spans="1:23" s="1255" customFormat="1">
      <c r="A213" s="1266"/>
      <c r="B213" s="1437" t="s">
        <v>499</v>
      </c>
      <c r="C213" s="1449" t="s">
        <v>3429</v>
      </c>
      <c r="D213" s="1450"/>
      <c r="E213" s="1451"/>
      <c r="F213" s="1452"/>
      <c r="G213" s="1530"/>
      <c r="H213" s="1453">
        <f t="shared" si="33"/>
        <v>0</v>
      </c>
      <c r="I213" s="1453">
        <f t="shared" si="34"/>
        <v>0</v>
      </c>
      <c r="J213" s="1454"/>
      <c r="K213" s="1454">
        <v>0</v>
      </c>
      <c r="L213" s="1666"/>
      <c r="M213" s="1456">
        <f t="shared" si="35"/>
        <v>0</v>
      </c>
      <c r="N213" s="1457"/>
      <c r="O213" s="1458">
        <f t="shared" si="36"/>
        <v>0</v>
      </c>
      <c r="P213" s="1459" t="str">
        <f t="shared" si="37"/>
        <v/>
      </c>
      <c r="Q213" s="1460"/>
      <c r="R213" s="1461">
        <f t="shared" si="38"/>
        <v>0</v>
      </c>
      <c r="S213" s="1462" t="str">
        <f t="shared" si="39"/>
        <v/>
      </c>
      <c r="T213" s="1260"/>
      <c r="U213" s="1260"/>
      <c r="V213" s="1260"/>
      <c r="W213" s="1270"/>
    </row>
    <row r="214" spans="1:23" s="1255" customFormat="1">
      <c r="B214" s="1437" t="s">
        <v>2593</v>
      </c>
      <c r="C214" s="1449" t="s">
        <v>3440</v>
      </c>
      <c r="D214" s="1450" t="s">
        <v>2828</v>
      </c>
      <c r="E214" s="1451">
        <v>8</v>
      </c>
      <c r="F214" s="1452">
        <v>41.31</v>
      </c>
      <c r="G214" s="1530">
        <v>41.99</v>
      </c>
      <c r="H214" s="1453">
        <f t="shared" si="33"/>
        <v>330.48</v>
      </c>
      <c r="I214" s="1453">
        <f t="shared" si="34"/>
        <v>335.92</v>
      </c>
      <c r="J214" s="1454">
        <v>0</v>
      </c>
      <c r="K214" s="1454">
        <v>0</v>
      </c>
      <c r="L214" s="1666"/>
      <c r="M214" s="1456">
        <f t="shared" si="35"/>
        <v>0</v>
      </c>
      <c r="N214" s="1457">
        <f t="shared" si="32"/>
        <v>0</v>
      </c>
      <c r="O214" s="1458">
        <f t="shared" si="36"/>
        <v>0</v>
      </c>
      <c r="P214" s="1459">
        <f t="shared" si="37"/>
        <v>0</v>
      </c>
      <c r="Q214" s="1460">
        <f t="shared" si="31"/>
        <v>8</v>
      </c>
      <c r="R214" s="1461">
        <f t="shared" si="38"/>
        <v>335.92</v>
      </c>
      <c r="S214" s="1462">
        <f t="shared" si="39"/>
        <v>1</v>
      </c>
      <c r="T214" s="1260"/>
      <c r="U214" s="1260"/>
      <c r="V214" s="1260"/>
      <c r="W214" s="1270"/>
    </row>
    <row r="215" spans="1:23" s="1255" customFormat="1" ht="25.5">
      <c r="A215" s="1254"/>
      <c r="B215" s="1437" t="s">
        <v>2594</v>
      </c>
      <c r="C215" s="1449" t="s">
        <v>3445</v>
      </c>
      <c r="D215" s="1450" t="s">
        <v>2828</v>
      </c>
      <c r="E215" s="1451">
        <v>22</v>
      </c>
      <c r="F215" s="1452">
        <v>334.95</v>
      </c>
      <c r="G215" s="1530">
        <v>335.63</v>
      </c>
      <c r="H215" s="1453">
        <f t="shared" si="33"/>
        <v>7368.9</v>
      </c>
      <c r="I215" s="1453">
        <f t="shared" si="34"/>
        <v>7383.86</v>
      </c>
      <c r="J215" s="1454">
        <v>0</v>
      </c>
      <c r="K215" s="1454">
        <v>0</v>
      </c>
      <c r="L215" s="1666"/>
      <c r="M215" s="1456">
        <f t="shared" si="35"/>
        <v>0</v>
      </c>
      <c r="N215" s="1457">
        <f t="shared" si="32"/>
        <v>0</v>
      </c>
      <c r="O215" s="1458">
        <f t="shared" si="36"/>
        <v>0</v>
      </c>
      <c r="P215" s="1459">
        <f t="shared" si="37"/>
        <v>0</v>
      </c>
      <c r="Q215" s="1460">
        <f t="shared" si="31"/>
        <v>22</v>
      </c>
      <c r="R215" s="1461">
        <f t="shared" si="38"/>
        <v>7383.86</v>
      </c>
      <c r="S215" s="1462">
        <f t="shared" si="39"/>
        <v>1</v>
      </c>
      <c r="T215" s="1260"/>
      <c r="U215" s="1260"/>
      <c r="V215" s="1260"/>
      <c r="W215" s="1270"/>
    </row>
    <row r="216" spans="1:23" s="1255" customFormat="1">
      <c r="A216" s="1266"/>
      <c r="B216" s="1527" t="s">
        <v>1032</v>
      </c>
      <c r="C216" s="1521" t="s">
        <v>3870</v>
      </c>
      <c r="D216" s="1450"/>
      <c r="E216" s="1451"/>
      <c r="F216" s="1452"/>
      <c r="G216" s="1530"/>
      <c r="H216" s="1453">
        <f t="shared" si="33"/>
        <v>0</v>
      </c>
      <c r="I216" s="1453">
        <f t="shared" si="34"/>
        <v>0</v>
      </c>
      <c r="J216" s="1454"/>
      <c r="K216" s="1454">
        <v>0</v>
      </c>
      <c r="L216" s="1666"/>
      <c r="M216" s="1456">
        <f t="shared" si="35"/>
        <v>0</v>
      </c>
      <c r="N216" s="1457"/>
      <c r="O216" s="1458">
        <f t="shared" si="36"/>
        <v>0</v>
      </c>
      <c r="P216" s="1459" t="str">
        <f t="shared" si="37"/>
        <v/>
      </c>
      <c r="Q216" s="1460"/>
      <c r="R216" s="1461">
        <f t="shared" si="38"/>
        <v>0</v>
      </c>
      <c r="S216" s="1462" t="str">
        <f t="shared" si="39"/>
        <v/>
      </c>
      <c r="T216" s="1260"/>
      <c r="U216" s="1260"/>
      <c r="V216" s="1260"/>
      <c r="W216" s="1270"/>
    </row>
    <row r="217" spans="1:23" s="1255" customFormat="1">
      <c r="B217" s="1437" t="s">
        <v>2608</v>
      </c>
      <c r="C217" s="1449" t="s">
        <v>3449</v>
      </c>
      <c r="D217" s="1450" t="s">
        <v>38</v>
      </c>
      <c r="E217" s="1451">
        <v>135</v>
      </c>
      <c r="F217" s="1452">
        <v>7.31</v>
      </c>
      <c r="G217" s="1530">
        <v>7.49</v>
      </c>
      <c r="H217" s="1453">
        <f t="shared" si="33"/>
        <v>986.85</v>
      </c>
      <c r="I217" s="1453">
        <f t="shared" si="34"/>
        <v>1011.15</v>
      </c>
      <c r="J217" s="1454">
        <v>135</v>
      </c>
      <c r="K217" s="1454">
        <v>1011.15</v>
      </c>
      <c r="L217" s="1666"/>
      <c r="M217" s="1456">
        <f t="shared" si="35"/>
        <v>0</v>
      </c>
      <c r="N217" s="1457">
        <f t="shared" si="32"/>
        <v>135</v>
      </c>
      <c r="O217" s="1458">
        <f t="shared" si="36"/>
        <v>1011.15</v>
      </c>
      <c r="P217" s="1459">
        <f t="shared" si="37"/>
        <v>1</v>
      </c>
      <c r="Q217" s="1460">
        <f t="shared" si="31"/>
        <v>0</v>
      </c>
      <c r="R217" s="1461">
        <f t="shared" si="38"/>
        <v>0</v>
      </c>
      <c r="S217" s="1462">
        <f t="shared" si="39"/>
        <v>0</v>
      </c>
      <c r="T217" s="1260"/>
      <c r="U217" s="1260"/>
      <c r="V217" s="1260"/>
      <c r="W217" s="1270"/>
    </row>
    <row r="218" spans="1:23" s="1255" customFormat="1">
      <c r="A218" s="1254"/>
      <c r="B218" s="1437" t="s">
        <v>2609</v>
      </c>
      <c r="C218" s="1449" t="s">
        <v>3871</v>
      </c>
      <c r="D218" s="1450" t="s">
        <v>36</v>
      </c>
      <c r="E218" s="1451">
        <v>25</v>
      </c>
      <c r="F218" s="1452">
        <v>5.67</v>
      </c>
      <c r="G218" s="1530">
        <v>5.8</v>
      </c>
      <c r="H218" s="1453">
        <f t="shared" si="33"/>
        <v>141.75</v>
      </c>
      <c r="I218" s="1453">
        <f t="shared" si="34"/>
        <v>145</v>
      </c>
      <c r="J218" s="1454">
        <v>25</v>
      </c>
      <c r="K218" s="1454">
        <v>145</v>
      </c>
      <c r="L218" s="1666"/>
      <c r="M218" s="1456">
        <f t="shared" si="35"/>
        <v>0</v>
      </c>
      <c r="N218" s="1457">
        <f t="shared" si="32"/>
        <v>25</v>
      </c>
      <c r="O218" s="1458">
        <f t="shared" si="36"/>
        <v>145</v>
      </c>
      <c r="P218" s="1459">
        <f t="shared" si="37"/>
        <v>1</v>
      </c>
      <c r="Q218" s="1460">
        <f t="shared" si="31"/>
        <v>0</v>
      </c>
      <c r="R218" s="1461">
        <f t="shared" si="38"/>
        <v>0</v>
      </c>
      <c r="S218" s="1462">
        <f t="shared" si="39"/>
        <v>0</v>
      </c>
      <c r="T218" s="1260"/>
      <c r="U218" s="1260"/>
      <c r="V218" s="1260"/>
      <c r="W218" s="1270"/>
    </row>
    <row r="219" spans="1:23" s="1255" customFormat="1">
      <c r="A219" s="1266"/>
      <c r="B219" s="1437" t="s">
        <v>2610</v>
      </c>
      <c r="C219" s="1449" t="s">
        <v>3872</v>
      </c>
      <c r="D219" s="1450" t="s">
        <v>36</v>
      </c>
      <c r="E219" s="1451">
        <v>20</v>
      </c>
      <c r="F219" s="1452">
        <v>5.46</v>
      </c>
      <c r="G219" s="1530">
        <v>5.59</v>
      </c>
      <c r="H219" s="1453">
        <f t="shared" si="33"/>
        <v>109.2</v>
      </c>
      <c r="I219" s="1453">
        <f t="shared" si="34"/>
        <v>111.8</v>
      </c>
      <c r="J219" s="1454">
        <v>20</v>
      </c>
      <c r="K219" s="1454">
        <v>111.8</v>
      </c>
      <c r="L219" s="1666"/>
      <c r="M219" s="1456">
        <f t="shared" si="35"/>
        <v>0</v>
      </c>
      <c r="N219" s="1457">
        <f t="shared" si="32"/>
        <v>20</v>
      </c>
      <c r="O219" s="1458">
        <f t="shared" si="36"/>
        <v>111.8</v>
      </c>
      <c r="P219" s="1459">
        <f t="shared" si="37"/>
        <v>1</v>
      </c>
      <c r="Q219" s="1460">
        <f t="shared" si="31"/>
        <v>0</v>
      </c>
      <c r="R219" s="1461">
        <f t="shared" si="38"/>
        <v>0</v>
      </c>
      <c r="S219" s="1462">
        <f t="shared" si="39"/>
        <v>0</v>
      </c>
      <c r="T219" s="1260"/>
      <c r="U219" s="1260"/>
      <c r="V219" s="1260"/>
      <c r="W219" s="1270"/>
    </row>
    <row r="220" spans="1:23" s="1255" customFormat="1">
      <c r="B220" s="1527" t="s">
        <v>1033</v>
      </c>
      <c r="C220" s="1521" t="s">
        <v>3873</v>
      </c>
      <c r="D220" s="1450"/>
      <c r="E220" s="1451"/>
      <c r="F220" s="1452"/>
      <c r="G220" s="1530"/>
      <c r="H220" s="1453">
        <f t="shared" si="33"/>
        <v>0</v>
      </c>
      <c r="I220" s="1453">
        <f t="shared" si="34"/>
        <v>0</v>
      </c>
      <c r="J220" s="1454"/>
      <c r="K220" s="1454">
        <v>0</v>
      </c>
      <c r="L220" s="1666"/>
      <c r="M220" s="1456">
        <f t="shared" si="35"/>
        <v>0</v>
      </c>
      <c r="N220" s="1457"/>
      <c r="O220" s="1458">
        <f t="shared" si="36"/>
        <v>0</v>
      </c>
      <c r="P220" s="1459" t="str">
        <f t="shared" si="37"/>
        <v/>
      </c>
      <c r="Q220" s="1460"/>
      <c r="R220" s="1461">
        <f t="shared" si="38"/>
        <v>0</v>
      </c>
      <c r="S220" s="1462" t="str">
        <f t="shared" si="39"/>
        <v/>
      </c>
      <c r="T220" s="1260"/>
      <c r="U220" s="1260"/>
      <c r="V220" s="1260"/>
      <c r="W220" s="1270"/>
    </row>
    <row r="221" spans="1:23" s="1255" customFormat="1">
      <c r="A221" s="1266"/>
      <c r="B221" s="1437" t="s">
        <v>3874</v>
      </c>
      <c r="C221" s="1449" t="s">
        <v>3875</v>
      </c>
      <c r="D221" s="1450" t="s">
        <v>3876</v>
      </c>
      <c r="E221" s="1451">
        <v>464</v>
      </c>
      <c r="F221" s="1452">
        <v>8.2100000000000009</v>
      </c>
      <c r="G221" s="1530">
        <v>8.41</v>
      </c>
      <c r="H221" s="1453">
        <f t="shared" si="33"/>
        <v>3809.44</v>
      </c>
      <c r="I221" s="1453">
        <f t="shared" si="34"/>
        <v>3902.24</v>
      </c>
      <c r="J221" s="1454">
        <v>464</v>
      </c>
      <c r="K221" s="1454">
        <v>3902.2400000000002</v>
      </c>
      <c r="L221" s="1666"/>
      <c r="M221" s="1456">
        <f t="shared" si="35"/>
        <v>0</v>
      </c>
      <c r="N221" s="1457">
        <f t="shared" si="32"/>
        <v>464</v>
      </c>
      <c r="O221" s="1458">
        <f t="shared" si="36"/>
        <v>3902.2400000000002</v>
      </c>
      <c r="P221" s="1459">
        <f t="shared" si="37"/>
        <v>1.0000000000000002</v>
      </c>
      <c r="Q221" s="1460">
        <f t="shared" si="31"/>
        <v>0</v>
      </c>
      <c r="R221" s="1461">
        <f t="shared" si="38"/>
        <v>0</v>
      </c>
      <c r="S221" s="1462">
        <f t="shared" si="39"/>
        <v>0</v>
      </c>
      <c r="T221" s="1260"/>
      <c r="U221" s="1260"/>
      <c r="V221" s="1260"/>
      <c r="W221" s="1270"/>
    </row>
    <row r="222" spans="1:23" s="1255" customFormat="1">
      <c r="A222" s="1266"/>
      <c r="B222" s="1437" t="s">
        <v>3877</v>
      </c>
      <c r="C222" s="1449" t="s">
        <v>3878</v>
      </c>
      <c r="D222" s="1450" t="s">
        <v>3876</v>
      </c>
      <c r="E222" s="1451">
        <v>461</v>
      </c>
      <c r="F222" s="1452">
        <v>7.64</v>
      </c>
      <c r="G222" s="1530">
        <v>7.84</v>
      </c>
      <c r="H222" s="1453">
        <f t="shared" si="33"/>
        <v>3522.04</v>
      </c>
      <c r="I222" s="1453">
        <f t="shared" si="34"/>
        <v>3614.24</v>
      </c>
      <c r="J222" s="1454">
        <v>461</v>
      </c>
      <c r="K222" s="1454">
        <v>3614.24</v>
      </c>
      <c r="L222" s="1666"/>
      <c r="M222" s="1456">
        <f t="shared" si="35"/>
        <v>0</v>
      </c>
      <c r="N222" s="1457">
        <f t="shared" si="32"/>
        <v>461</v>
      </c>
      <c r="O222" s="1458">
        <f t="shared" si="36"/>
        <v>3614.24</v>
      </c>
      <c r="P222" s="1459">
        <f t="shared" si="37"/>
        <v>1</v>
      </c>
      <c r="Q222" s="1460">
        <f t="shared" si="31"/>
        <v>0</v>
      </c>
      <c r="R222" s="1461">
        <f t="shared" si="38"/>
        <v>0</v>
      </c>
      <c r="S222" s="1462">
        <f t="shared" si="39"/>
        <v>0</v>
      </c>
      <c r="T222" s="1260"/>
      <c r="U222" s="1260"/>
      <c r="V222" s="1260"/>
      <c r="W222" s="1270"/>
    </row>
    <row r="223" spans="1:23" s="1255" customFormat="1">
      <c r="B223" s="1527" t="s">
        <v>500</v>
      </c>
      <c r="C223" s="1521" t="s">
        <v>3879</v>
      </c>
      <c r="D223" s="1450"/>
      <c r="E223" s="1451"/>
      <c r="F223" s="1452"/>
      <c r="G223" s="1530"/>
      <c r="H223" s="1453">
        <f t="shared" si="33"/>
        <v>0</v>
      </c>
      <c r="I223" s="1453">
        <f t="shared" si="34"/>
        <v>0</v>
      </c>
      <c r="J223" s="1454">
        <v>0</v>
      </c>
      <c r="K223" s="1454">
        <v>0</v>
      </c>
      <c r="L223" s="1666"/>
      <c r="M223" s="1456">
        <f t="shared" si="35"/>
        <v>0</v>
      </c>
      <c r="N223" s="1457">
        <f t="shared" si="32"/>
        <v>0</v>
      </c>
      <c r="O223" s="1458">
        <f t="shared" si="36"/>
        <v>0</v>
      </c>
      <c r="P223" s="1459" t="str">
        <f t="shared" si="37"/>
        <v/>
      </c>
      <c r="Q223" s="1460">
        <f t="shared" si="31"/>
        <v>0</v>
      </c>
      <c r="R223" s="1461">
        <f t="shared" si="38"/>
        <v>0</v>
      </c>
      <c r="S223" s="1462" t="str">
        <f t="shared" si="39"/>
        <v/>
      </c>
      <c r="T223" s="1260"/>
      <c r="U223" s="1260"/>
      <c r="V223" s="1260"/>
      <c r="W223" s="1270"/>
    </row>
    <row r="224" spans="1:23" s="1255" customFormat="1">
      <c r="A224" s="1254"/>
      <c r="B224" s="1527" t="s">
        <v>501</v>
      </c>
      <c r="C224" s="1521" t="s">
        <v>3880</v>
      </c>
      <c r="D224" s="1450"/>
      <c r="E224" s="1451"/>
      <c r="F224" s="1452"/>
      <c r="G224" s="1530"/>
      <c r="H224" s="1453">
        <f t="shared" si="33"/>
        <v>0</v>
      </c>
      <c r="I224" s="1453">
        <f t="shared" si="34"/>
        <v>0</v>
      </c>
      <c r="J224" s="1454"/>
      <c r="K224" s="1454">
        <v>0</v>
      </c>
      <c r="L224" s="1666"/>
      <c r="M224" s="1456">
        <f t="shared" si="35"/>
        <v>0</v>
      </c>
      <c r="N224" s="1457"/>
      <c r="O224" s="1458">
        <f t="shared" si="36"/>
        <v>0</v>
      </c>
      <c r="P224" s="1459" t="str">
        <f t="shared" si="37"/>
        <v/>
      </c>
      <c r="Q224" s="1460"/>
      <c r="R224" s="1461">
        <f t="shared" si="38"/>
        <v>0</v>
      </c>
      <c r="S224" s="1462" t="str">
        <f t="shared" si="39"/>
        <v/>
      </c>
      <c r="T224" s="1260"/>
      <c r="U224" s="1260"/>
      <c r="V224" s="1260"/>
      <c r="W224" s="1270"/>
    </row>
    <row r="225" spans="1:23" s="1255" customFormat="1">
      <c r="A225" s="1266"/>
      <c r="B225" s="1437" t="s">
        <v>2615</v>
      </c>
      <c r="C225" s="1449" t="s">
        <v>3881</v>
      </c>
      <c r="D225" s="1450" t="s">
        <v>36</v>
      </c>
      <c r="E225" s="1451">
        <v>468.34</v>
      </c>
      <c r="F225" s="1452">
        <v>6.34</v>
      </c>
      <c r="G225" s="1530">
        <v>6.46</v>
      </c>
      <c r="H225" s="1453">
        <f t="shared" si="33"/>
        <v>2969.28</v>
      </c>
      <c r="I225" s="1453">
        <f t="shared" si="34"/>
        <v>3025.48</v>
      </c>
      <c r="J225" s="1454">
        <v>468.34</v>
      </c>
      <c r="K225" s="1454">
        <v>3025.4764</v>
      </c>
      <c r="L225" s="1666"/>
      <c r="M225" s="1456">
        <f t="shared" si="35"/>
        <v>0</v>
      </c>
      <c r="N225" s="1457">
        <f t="shared" si="32"/>
        <v>468.34</v>
      </c>
      <c r="O225" s="1458">
        <f t="shared" si="36"/>
        <v>3025.4764</v>
      </c>
      <c r="P225" s="1459">
        <f t="shared" si="37"/>
        <v>0.99999881010616498</v>
      </c>
      <c r="Q225" s="1460">
        <f t="shared" si="31"/>
        <v>0</v>
      </c>
      <c r="R225" s="1461">
        <f t="shared" si="38"/>
        <v>0</v>
      </c>
      <c r="S225" s="1462">
        <f t="shared" si="39"/>
        <v>0</v>
      </c>
      <c r="T225" s="1260"/>
      <c r="U225" s="1260"/>
      <c r="V225" s="1260"/>
      <c r="W225" s="1270"/>
    </row>
    <row r="226" spans="1:23" s="1255" customFormat="1">
      <c r="B226" s="1437" t="s">
        <v>2616</v>
      </c>
      <c r="C226" s="1449" t="s">
        <v>3882</v>
      </c>
      <c r="D226" s="1450" t="s">
        <v>36</v>
      </c>
      <c r="E226" s="1451">
        <v>235</v>
      </c>
      <c r="F226" s="1452">
        <v>3.96</v>
      </c>
      <c r="G226" s="1530">
        <v>4.09</v>
      </c>
      <c r="H226" s="1453">
        <f t="shared" si="33"/>
        <v>930.6</v>
      </c>
      <c r="I226" s="1453">
        <f t="shared" si="34"/>
        <v>961.15</v>
      </c>
      <c r="J226" s="1454">
        <v>235</v>
      </c>
      <c r="K226" s="1454">
        <v>961.15</v>
      </c>
      <c r="L226" s="1666"/>
      <c r="M226" s="1456">
        <f t="shared" si="35"/>
        <v>0</v>
      </c>
      <c r="N226" s="1457">
        <f t="shared" si="32"/>
        <v>235</v>
      </c>
      <c r="O226" s="1458">
        <f t="shared" si="36"/>
        <v>961.15</v>
      </c>
      <c r="P226" s="1459">
        <f t="shared" si="37"/>
        <v>1</v>
      </c>
      <c r="Q226" s="1460">
        <f t="shared" si="31"/>
        <v>0</v>
      </c>
      <c r="R226" s="1461">
        <f t="shared" si="38"/>
        <v>0</v>
      </c>
      <c r="S226" s="1462">
        <f t="shared" si="39"/>
        <v>0</v>
      </c>
      <c r="T226" s="1260"/>
      <c r="U226" s="1260"/>
      <c r="V226" s="1260"/>
      <c r="W226" s="1270"/>
    </row>
    <row r="227" spans="1:23" s="1255" customFormat="1">
      <c r="A227" s="1254"/>
      <c r="B227" s="1527" t="s">
        <v>502</v>
      </c>
      <c r="C227" s="1521" t="s">
        <v>3873</v>
      </c>
      <c r="D227" s="1450"/>
      <c r="E227" s="1451"/>
      <c r="F227" s="1452"/>
      <c r="G227" s="1530"/>
      <c r="H227" s="1453">
        <f t="shared" si="33"/>
        <v>0</v>
      </c>
      <c r="I227" s="1453">
        <f t="shared" si="34"/>
        <v>0</v>
      </c>
      <c r="J227" s="1454"/>
      <c r="K227" s="1454">
        <v>0</v>
      </c>
      <c r="L227" s="1666"/>
      <c r="M227" s="1456">
        <f t="shared" si="35"/>
        <v>0</v>
      </c>
      <c r="N227" s="1457"/>
      <c r="O227" s="1458">
        <f t="shared" si="36"/>
        <v>0</v>
      </c>
      <c r="P227" s="1459" t="str">
        <f t="shared" si="37"/>
        <v/>
      </c>
      <c r="Q227" s="1460"/>
      <c r="R227" s="1461">
        <f t="shared" si="38"/>
        <v>0</v>
      </c>
      <c r="S227" s="1462" t="str">
        <f t="shared" si="39"/>
        <v/>
      </c>
      <c r="T227" s="1260"/>
      <c r="U227" s="1260"/>
      <c r="V227" s="1260"/>
      <c r="W227" s="1270"/>
    </row>
    <row r="228" spans="1:23" s="1255" customFormat="1">
      <c r="A228" s="1266"/>
      <c r="B228" s="1437" t="s">
        <v>2619</v>
      </c>
      <c r="C228" s="1449" t="s">
        <v>3461</v>
      </c>
      <c r="D228" s="1450" t="s">
        <v>3876</v>
      </c>
      <c r="E228" s="1451">
        <v>936.38</v>
      </c>
      <c r="F228" s="1452">
        <v>8.2100000000000009</v>
      </c>
      <c r="G228" s="1530">
        <v>8.4499999999999993</v>
      </c>
      <c r="H228" s="1453">
        <f t="shared" si="33"/>
        <v>7687.68</v>
      </c>
      <c r="I228" s="1453">
        <f t="shared" si="34"/>
        <v>7912.41</v>
      </c>
      <c r="J228" s="1454">
        <v>936.38</v>
      </c>
      <c r="K228" s="1454">
        <v>7912.4109999999991</v>
      </c>
      <c r="L228" s="1666"/>
      <c r="M228" s="1456">
        <f t="shared" si="35"/>
        <v>0</v>
      </c>
      <c r="N228" s="1457">
        <f t="shared" si="32"/>
        <v>936.38</v>
      </c>
      <c r="O228" s="1458">
        <f t="shared" si="36"/>
        <v>7912.4109999999991</v>
      </c>
      <c r="P228" s="1459">
        <f t="shared" si="37"/>
        <v>1.0000001263837439</v>
      </c>
      <c r="Q228" s="1460">
        <f t="shared" si="31"/>
        <v>0</v>
      </c>
      <c r="R228" s="1461">
        <f t="shared" si="38"/>
        <v>0</v>
      </c>
      <c r="S228" s="1462">
        <f t="shared" si="39"/>
        <v>0</v>
      </c>
      <c r="T228" s="1260"/>
      <c r="U228" s="1260"/>
      <c r="V228" s="1260"/>
      <c r="W228" s="1270"/>
    </row>
    <row r="229" spans="1:23" s="1255" customFormat="1">
      <c r="B229" s="1437" t="s">
        <v>2620</v>
      </c>
      <c r="C229" s="1449" t="s">
        <v>3462</v>
      </c>
      <c r="D229" s="1450" t="s">
        <v>3876</v>
      </c>
      <c r="E229" s="1451">
        <v>468.34</v>
      </c>
      <c r="F229" s="1452">
        <v>7.64</v>
      </c>
      <c r="G229" s="1530">
        <v>7.88</v>
      </c>
      <c r="H229" s="1453">
        <f t="shared" si="33"/>
        <v>3578.12</v>
      </c>
      <c r="I229" s="1453">
        <f t="shared" si="34"/>
        <v>3690.52</v>
      </c>
      <c r="J229" s="1454">
        <v>468.34</v>
      </c>
      <c r="K229" s="1454">
        <v>3690.5191999999997</v>
      </c>
      <c r="L229" s="1666"/>
      <c r="M229" s="1456">
        <f t="shared" si="35"/>
        <v>0</v>
      </c>
      <c r="N229" s="1457">
        <f t="shared" si="32"/>
        <v>468.34</v>
      </c>
      <c r="O229" s="1458">
        <f t="shared" si="36"/>
        <v>3690.5191999999997</v>
      </c>
      <c r="P229" s="1459">
        <f t="shared" si="37"/>
        <v>0.99999978322837968</v>
      </c>
      <c r="Q229" s="1460">
        <f t="shared" si="31"/>
        <v>0</v>
      </c>
      <c r="R229" s="1461">
        <f t="shared" si="38"/>
        <v>0</v>
      </c>
      <c r="S229" s="1462">
        <f t="shared" si="39"/>
        <v>0</v>
      </c>
      <c r="T229" s="1260"/>
      <c r="U229" s="1260"/>
      <c r="V229" s="1260"/>
      <c r="W229" s="1270"/>
    </row>
    <row r="230" spans="1:23" s="1255" customFormat="1">
      <c r="A230" s="1266"/>
      <c r="B230" s="1527" t="s">
        <v>503</v>
      </c>
      <c r="C230" s="1521" t="s">
        <v>3883</v>
      </c>
      <c r="D230" s="1450"/>
      <c r="E230" s="1451"/>
      <c r="F230" s="1452"/>
      <c r="G230" s="1530"/>
      <c r="H230" s="1453">
        <f t="shared" si="33"/>
        <v>0</v>
      </c>
      <c r="I230" s="1453">
        <f t="shared" si="34"/>
        <v>0</v>
      </c>
      <c r="J230" s="1454"/>
      <c r="K230" s="1454">
        <v>0</v>
      </c>
      <c r="L230" s="1666"/>
      <c r="M230" s="1456">
        <f t="shared" si="35"/>
        <v>0</v>
      </c>
      <c r="N230" s="1457"/>
      <c r="O230" s="1458">
        <f t="shared" si="36"/>
        <v>0</v>
      </c>
      <c r="P230" s="1459" t="str">
        <f t="shared" si="37"/>
        <v/>
      </c>
      <c r="Q230" s="1460"/>
      <c r="R230" s="1461">
        <f t="shared" si="38"/>
        <v>0</v>
      </c>
      <c r="S230" s="1462" t="str">
        <f t="shared" si="39"/>
        <v/>
      </c>
      <c r="T230" s="1260"/>
      <c r="U230" s="1260"/>
      <c r="V230" s="1260"/>
      <c r="W230" s="1270"/>
    </row>
    <row r="231" spans="1:23" s="1255" customFormat="1">
      <c r="A231" s="1266"/>
      <c r="B231" s="1437" t="s">
        <v>2625</v>
      </c>
      <c r="C231" s="1449" t="s">
        <v>3464</v>
      </c>
      <c r="D231" s="1450" t="s">
        <v>1452</v>
      </c>
      <c r="E231" s="1451">
        <v>97</v>
      </c>
      <c r="F231" s="1452">
        <v>91.08</v>
      </c>
      <c r="G231" s="1530">
        <v>93.13</v>
      </c>
      <c r="H231" s="1453">
        <f t="shared" si="33"/>
        <v>8834.76</v>
      </c>
      <c r="I231" s="1453">
        <f t="shared" si="34"/>
        <v>9033.61</v>
      </c>
      <c r="J231" s="1454">
        <v>97</v>
      </c>
      <c r="K231" s="1454">
        <v>9033.6099999999988</v>
      </c>
      <c r="L231" s="1666"/>
      <c r="M231" s="1456">
        <f t="shared" si="35"/>
        <v>0</v>
      </c>
      <c r="N231" s="1457">
        <f t="shared" si="32"/>
        <v>97</v>
      </c>
      <c r="O231" s="1458">
        <f t="shared" si="36"/>
        <v>9033.6099999999988</v>
      </c>
      <c r="P231" s="1459">
        <f t="shared" si="37"/>
        <v>0.99999999999999978</v>
      </c>
      <c r="Q231" s="1460">
        <f t="shared" si="31"/>
        <v>0</v>
      </c>
      <c r="R231" s="1461">
        <f t="shared" si="38"/>
        <v>0</v>
      </c>
      <c r="S231" s="1462">
        <f t="shared" si="39"/>
        <v>0</v>
      </c>
      <c r="T231" s="1260"/>
      <c r="U231" s="1260"/>
      <c r="V231" s="1260"/>
      <c r="W231" s="1270"/>
    </row>
    <row r="232" spans="1:23" s="1255" customFormat="1">
      <c r="B232" s="1437" t="s">
        <v>2626</v>
      </c>
      <c r="C232" s="1449" t="s">
        <v>3884</v>
      </c>
      <c r="D232" s="1450" t="s">
        <v>36</v>
      </c>
      <c r="E232" s="1451">
        <v>97</v>
      </c>
      <c r="F232" s="1452">
        <v>53.16</v>
      </c>
      <c r="G232" s="1530">
        <v>55.2</v>
      </c>
      <c r="H232" s="1453">
        <f t="shared" si="33"/>
        <v>5156.5200000000004</v>
      </c>
      <c r="I232" s="1453">
        <f t="shared" si="34"/>
        <v>5354.4</v>
      </c>
      <c r="J232" s="1454">
        <v>97</v>
      </c>
      <c r="K232" s="1454">
        <v>5354.4000000000005</v>
      </c>
      <c r="L232" s="1666"/>
      <c r="M232" s="1456">
        <f t="shared" si="35"/>
        <v>0</v>
      </c>
      <c r="N232" s="1457">
        <f t="shared" si="32"/>
        <v>97</v>
      </c>
      <c r="O232" s="1458">
        <f t="shared" si="36"/>
        <v>5354.4000000000005</v>
      </c>
      <c r="P232" s="1459">
        <f t="shared" si="37"/>
        <v>1.0000000000000002</v>
      </c>
      <c r="Q232" s="1460">
        <f t="shared" si="31"/>
        <v>0</v>
      </c>
      <c r="R232" s="1461">
        <f t="shared" si="38"/>
        <v>0</v>
      </c>
      <c r="S232" s="1462">
        <f t="shared" si="39"/>
        <v>0</v>
      </c>
      <c r="T232" s="1260"/>
      <c r="U232" s="1260"/>
      <c r="V232" s="1260"/>
      <c r="W232" s="1270"/>
    </row>
    <row r="233" spans="1:23" s="1255" customFormat="1">
      <c r="A233" s="1254"/>
      <c r="B233" s="1527" t="s">
        <v>505</v>
      </c>
      <c r="C233" s="1521" t="s">
        <v>3885</v>
      </c>
      <c r="D233" s="1450"/>
      <c r="E233" s="1451"/>
      <c r="F233" s="1452"/>
      <c r="G233" s="1530"/>
      <c r="H233" s="1453">
        <f t="shared" si="33"/>
        <v>0</v>
      </c>
      <c r="I233" s="1453">
        <f t="shared" si="34"/>
        <v>0</v>
      </c>
      <c r="J233" s="1454">
        <v>0</v>
      </c>
      <c r="K233" s="1454">
        <v>0</v>
      </c>
      <c r="L233" s="1666"/>
      <c r="M233" s="1456">
        <f t="shared" si="35"/>
        <v>0</v>
      </c>
      <c r="N233" s="1457">
        <f t="shared" si="32"/>
        <v>0</v>
      </c>
      <c r="O233" s="1458">
        <f t="shared" si="36"/>
        <v>0</v>
      </c>
      <c r="P233" s="1459" t="str">
        <f t="shared" si="37"/>
        <v/>
      </c>
      <c r="Q233" s="1460">
        <f t="shared" si="31"/>
        <v>0</v>
      </c>
      <c r="R233" s="1461">
        <f t="shared" si="38"/>
        <v>0</v>
      </c>
      <c r="S233" s="1462" t="str">
        <f t="shared" si="39"/>
        <v/>
      </c>
      <c r="T233" s="1260"/>
      <c r="U233" s="1260"/>
      <c r="V233" s="1260"/>
      <c r="W233" s="1270"/>
    </row>
    <row r="234" spans="1:23" s="1255" customFormat="1">
      <c r="A234" s="1266"/>
      <c r="B234" s="1527" t="s">
        <v>506</v>
      </c>
      <c r="C234" s="1521" t="s">
        <v>3886</v>
      </c>
      <c r="D234" s="1450"/>
      <c r="E234" s="1451"/>
      <c r="F234" s="1452"/>
      <c r="G234" s="1530"/>
      <c r="H234" s="1453">
        <f t="shared" si="33"/>
        <v>0</v>
      </c>
      <c r="I234" s="1453">
        <f t="shared" si="34"/>
        <v>0</v>
      </c>
      <c r="J234" s="1454"/>
      <c r="K234" s="1454">
        <v>0</v>
      </c>
      <c r="L234" s="1666"/>
      <c r="M234" s="1456">
        <f t="shared" si="35"/>
        <v>0</v>
      </c>
      <c r="N234" s="1457"/>
      <c r="O234" s="1458">
        <f t="shared" si="36"/>
        <v>0</v>
      </c>
      <c r="P234" s="1459" t="str">
        <f t="shared" si="37"/>
        <v/>
      </c>
      <c r="Q234" s="1460"/>
      <c r="R234" s="1461">
        <f t="shared" si="38"/>
        <v>0</v>
      </c>
      <c r="S234" s="1462" t="str">
        <f t="shared" si="39"/>
        <v/>
      </c>
      <c r="T234" s="1260"/>
      <c r="U234" s="1260"/>
      <c r="V234" s="1260"/>
      <c r="W234" s="1270"/>
    </row>
    <row r="235" spans="1:23" s="1255" customFormat="1" ht="25.5">
      <c r="B235" s="1437" t="s">
        <v>3887</v>
      </c>
      <c r="C235" s="1449" t="s">
        <v>3888</v>
      </c>
      <c r="D235" s="1450" t="s">
        <v>36</v>
      </c>
      <c r="E235" s="1451">
        <v>465</v>
      </c>
      <c r="F235" s="1452">
        <v>313.39999999999998</v>
      </c>
      <c r="G235" s="1530">
        <v>314.77999999999997</v>
      </c>
      <c r="H235" s="1453">
        <f t="shared" si="33"/>
        <v>145731</v>
      </c>
      <c r="I235" s="1453">
        <f t="shared" si="34"/>
        <v>146372.70000000001</v>
      </c>
      <c r="J235" s="1454">
        <v>0</v>
      </c>
      <c r="K235" s="1454">
        <v>0</v>
      </c>
      <c r="L235" s="1666"/>
      <c r="M235" s="1456">
        <f t="shared" si="35"/>
        <v>0</v>
      </c>
      <c r="N235" s="1457">
        <f t="shared" si="32"/>
        <v>0</v>
      </c>
      <c r="O235" s="1458">
        <f t="shared" si="36"/>
        <v>0</v>
      </c>
      <c r="P235" s="1459">
        <f t="shared" si="37"/>
        <v>0</v>
      </c>
      <c r="Q235" s="1460">
        <f t="shared" si="31"/>
        <v>465</v>
      </c>
      <c r="R235" s="1461">
        <f t="shared" si="38"/>
        <v>146372.70000000001</v>
      </c>
      <c r="S235" s="1462">
        <f t="shared" si="39"/>
        <v>1</v>
      </c>
      <c r="T235" s="1260"/>
      <c r="U235" s="1260"/>
      <c r="V235" s="1260"/>
      <c r="W235" s="1270"/>
    </row>
    <row r="236" spans="1:23" s="1255" customFormat="1" ht="25.5">
      <c r="A236" s="1254"/>
      <c r="B236" s="1437" t="s">
        <v>3889</v>
      </c>
      <c r="C236" s="1449" t="s">
        <v>3890</v>
      </c>
      <c r="D236" s="1450" t="s">
        <v>36</v>
      </c>
      <c r="E236" s="1451">
        <v>243</v>
      </c>
      <c r="F236" s="1452">
        <v>88.17</v>
      </c>
      <c r="G236" s="1530">
        <v>89.55</v>
      </c>
      <c r="H236" s="1453">
        <f t="shared" si="33"/>
        <v>21425.31</v>
      </c>
      <c r="I236" s="1453">
        <f t="shared" si="34"/>
        <v>21760.65</v>
      </c>
      <c r="J236" s="1454">
        <v>0</v>
      </c>
      <c r="K236" s="1454">
        <v>0</v>
      </c>
      <c r="L236" s="1666"/>
      <c r="M236" s="1456">
        <f t="shared" si="35"/>
        <v>0</v>
      </c>
      <c r="N236" s="1457">
        <f t="shared" si="32"/>
        <v>0</v>
      </c>
      <c r="O236" s="1458">
        <f t="shared" si="36"/>
        <v>0</v>
      </c>
      <c r="P236" s="1459">
        <f t="shared" si="37"/>
        <v>0</v>
      </c>
      <c r="Q236" s="1460">
        <f t="shared" si="31"/>
        <v>243</v>
      </c>
      <c r="R236" s="1461">
        <f t="shared" si="38"/>
        <v>21760.65</v>
      </c>
      <c r="S236" s="1462">
        <f t="shared" si="39"/>
        <v>1</v>
      </c>
      <c r="T236" s="1260"/>
      <c r="U236" s="1260"/>
      <c r="V236" s="1260"/>
      <c r="W236" s="1270"/>
    </row>
    <row r="237" spans="1:23" s="1255" customFormat="1" ht="25.5">
      <c r="A237" s="1266"/>
      <c r="B237" s="1437" t="s">
        <v>3891</v>
      </c>
      <c r="C237" s="1449" t="s">
        <v>3892</v>
      </c>
      <c r="D237" s="1450" t="s">
        <v>36</v>
      </c>
      <c r="E237" s="1451">
        <v>51</v>
      </c>
      <c r="F237" s="1452">
        <v>143.16999999999999</v>
      </c>
      <c r="G237" s="1530">
        <v>144.55000000000001</v>
      </c>
      <c r="H237" s="1453">
        <f t="shared" si="33"/>
        <v>7301.67</v>
      </c>
      <c r="I237" s="1453">
        <f t="shared" si="34"/>
        <v>7372.05</v>
      </c>
      <c r="J237" s="1454">
        <v>0</v>
      </c>
      <c r="K237" s="1454">
        <v>0</v>
      </c>
      <c r="L237" s="1666"/>
      <c r="M237" s="1456">
        <f t="shared" si="35"/>
        <v>0</v>
      </c>
      <c r="N237" s="1457">
        <f t="shared" si="32"/>
        <v>0</v>
      </c>
      <c r="O237" s="1458">
        <f t="shared" si="36"/>
        <v>0</v>
      </c>
      <c r="P237" s="1459">
        <f t="shared" si="37"/>
        <v>0</v>
      </c>
      <c r="Q237" s="1460">
        <f t="shared" si="31"/>
        <v>51</v>
      </c>
      <c r="R237" s="1461">
        <f t="shared" si="38"/>
        <v>7372.05</v>
      </c>
      <c r="S237" s="1462">
        <f t="shared" si="39"/>
        <v>1</v>
      </c>
      <c r="T237" s="1260"/>
      <c r="U237" s="1260"/>
      <c r="V237" s="1260"/>
      <c r="W237" s="1270"/>
    </row>
    <row r="238" spans="1:23" s="1255" customFormat="1">
      <c r="B238" s="1437" t="s">
        <v>507</v>
      </c>
      <c r="C238" s="1449" t="s">
        <v>3893</v>
      </c>
      <c r="D238" s="1450"/>
      <c r="E238" s="1451"/>
      <c r="F238" s="1452"/>
      <c r="G238" s="1530"/>
      <c r="H238" s="1453">
        <f t="shared" si="33"/>
        <v>0</v>
      </c>
      <c r="I238" s="1453">
        <f t="shared" si="34"/>
        <v>0</v>
      </c>
      <c r="J238" s="1454"/>
      <c r="K238" s="1454">
        <v>0</v>
      </c>
      <c r="L238" s="1666"/>
      <c r="M238" s="1456">
        <f t="shared" si="35"/>
        <v>0</v>
      </c>
      <c r="N238" s="1457"/>
      <c r="O238" s="1458">
        <f t="shared" si="36"/>
        <v>0</v>
      </c>
      <c r="P238" s="1459" t="str">
        <f t="shared" si="37"/>
        <v/>
      </c>
      <c r="Q238" s="1460"/>
      <c r="R238" s="1461">
        <f t="shared" si="38"/>
        <v>0</v>
      </c>
      <c r="S238" s="1462" t="str">
        <f t="shared" si="39"/>
        <v/>
      </c>
      <c r="T238" s="1260"/>
      <c r="U238" s="1260"/>
      <c r="V238" s="1260"/>
      <c r="W238" s="1270"/>
    </row>
    <row r="239" spans="1:23" s="1255" customFormat="1" ht="25.5">
      <c r="A239" s="1266"/>
      <c r="B239" s="1437" t="s">
        <v>3894</v>
      </c>
      <c r="C239" s="1449" t="s">
        <v>3895</v>
      </c>
      <c r="D239" s="1450" t="s">
        <v>36</v>
      </c>
      <c r="E239" s="1451">
        <v>34</v>
      </c>
      <c r="F239" s="1452">
        <v>145.38</v>
      </c>
      <c r="G239" s="1530">
        <v>146.76</v>
      </c>
      <c r="H239" s="1453">
        <f t="shared" si="33"/>
        <v>4942.92</v>
      </c>
      <c r="I239" s="1453">
        <f t="shared" si="34"/>
        <v>4989.84</v>
      </c>
      <c r="J239" s="1454">
        <v>0</v>
      </c>
      <c r="K239" s="1454">
        <v>0</v>
      </c>
      <c r="L239" s="1666"/>
      <c r="M239" s="1456">
        <f t="shared" si="35"/>
        <v>0</v>
      </c>
      <c r="N239" s="1457">
        <f t="shared" si="32"/>
        <v>0</v>
      </c>
      <c r="O239" s="1458">
        <f t="shared" si="36"/>
        <v>0</v>
      </c>
      <c r="P239" s="1459">
        <f t="shared" si="37"/>
        <v>0</v>
      </c>
      <c r="Q239" s="1460">
        <f t="shared" si="31"/>
        <v>34</v>
      </c>
      <c r="R239" s="1461">
        <f t="shared" si="38"/>
        <v>4989.84</v>
      </c>
      <c r="S239" s="1462">
        <f t="shared" si="39"/>
        <v>1</v>
      </c>
      <c r="T239" s="1260"/>
      <c r="U239" s="1260"/>
      <c r="V239" s="1260"/>
      <c r="W239" s="1270"/>
    </row>
    <row r="240" spans="1:23" s="1255" customFormat="1" ht="25.5">
      <c r="A240" s="1266"/>
      <c r="B240" s="1437" t="s">
        <v>3896</v>
      </c>
      <c r="C240" s="1449" t="s">
        <v>3897</v>
      </c>
      <c r="D240" s="1450" t="s">
        <v>36</v>
      </c>
      <c r="E240" s="1451">
        <v>6</v>
      </c>
      <c r="F240" s="1452">
        <v>143.16999999999999</v>
      </c>
      <c r="G240" s="1530">
        <v>144.55000000000001</v>
      </c>
      <c r="H240" s="1453">
        <f t="shared" si="33"/>
        <v>859.02</v>
      </c>
      <c r="I240" s="1453">
        <f t="shared" si="34"/>
        <v>867.3</v>
      </c>
      <c r="J240" s="1454">
        <v>0</v>
      </c>
      <c r="K240" s="1454">
        <v>0</v>
      </c>
      <c r="L240" s="1666"/>
      <c r="M240" s="1456">
        <f t="shared" si="35"/>
        <v>0</v>
      </c>
      <c r="N240" s="1457">
        <f t="shared" si="32"/>
        <v>0</v>
      </c>
      <c r="O240" s="1458">
        <f t="shared" si="36"/>
        <v>0</v>
      </c>
      <c r="P240" s="1459">
        <f t="shared" si="37"/>
        <v>0</v>
      </c>
      <c r="Q240" s="1460">
        <f t="shared" si="31"/>
        <v>6</v>
      </c>
      <c r="R240" s="1461">
        <f t="shared" si="38"/>
        <v>867.3</v>
      </c>
      <c r="S240" s="1462">
        <f t="shared" si="39"/>
        <v>1</v>
      </c>
      <c r="T240" s="1260"/>
      <c r="U240" s="1260"/>
      <c r="V240" s="1260"/>
      <c r="W240" s="1270"/>
    </row>
    <row r="241" spans="1:23" s="1255" customFormat="1">
      <c r="B241" s="1437" t="s">
        <v>508</v>
      </c>
      <c r="C241" s="1449" t="s">
        <v>3898</v>
      </c>
      <c r="D241" s="1450"/>
      <c r="E241" s="1451"/>
      <c r="F241" s="1452"/>
      <c r="G241" s="1530"/>
      <c r="H241" s="1453">
        <f t="shared" si="33"/>
        <v>0</v>
      </c>
      <c r="I241" s="1453">
        <f t="shared" si="34"/>
        <v>0</v>
      </c>
      <c r="J241" s="1454"/>
      <c r="K241" s="1454">
        <v>0</v>
      </c>
      <c r="L241" s="1666"/>
      <c r="M241" s="1456">
        <f t="shared" si="35"/>
        <v>0</v>
      </c>
      <c r="N241" s="1457"/>
      <c r="O241" s="1458">
        <f t="shared" si="36"/>
        <v>0</v>
      </c>
      <c r="P241" s="1459" t="str">
        <f t="shared" si="37"/>
        <v/>
      </c>
      <c r="Q241" s="1460"/>
      <c r="R241" s="1461">
        <f t="shared" si="38"/>
        <v>0</v>
      </c>
      <c r="S241" s="1462" t="str">
        <f t="shared" si="39"/>
        <v/>
      </c>
      <c r="T241" s="1260"/>
      <c r="U241" s="1260"/>
      <c r="V241" s="1260"/>
      <c r="W241" s="1270"/>
    </row>
    <row r="242" spans="1:23" s="1255" customFormat="1" ht="25.5">
      <c r="A242" s="1254"/>
      <c r="B242" s="1437" t="s">
        <v>3899</v>
      </c>
      <c r="C242" s="1449" t="s">
        <v>3482</v>
      </c>
      <c r="D242" s="1450" t="s">
        <v>1452</v>
      </c>
      <c r="E242" s="1451">
        <v>15</v>
      </c>
      <c r="F242" s="1452">
        <v>91.75</v>
      </c>
      <c r="G242" s="1530">
        <v>93.06</v>
      </c>
      <c r="H242" s="1453">
        <f t="shared" si="33"/>
        <v>1376.25</v>
      </c>
      <c r="I242" s="1453">
        <f t="shared" si="34"/>
        <v>1395.9</v>
      </c>
      <c r="J242" s="1454">
        <v>15</v>
      </c>
      <c r="K242" s="1454">
        <v>1395.9</v>
      </c>
      <c r="L242" s="1666"/>
      <c r="M242" s="1456">
        <f t="shared" si="35"/>
        <v>0</v>
      </c>
      <c r="N242" s="1457">
        <f t="shared" si="32"/>
        <v>15</v>
      </c>
      <c r="O242" s="1458">
        <f t="shared" si="36"/>
        <v>1395.9</v>
      </c>
      <c r="P242" s="1459">
        <f t="shared" si="37"/>
        <v>1</v>
      </c>
      <c r="Q242" s="1460">
        <f t="shared" si="31"/>
        <v>0</v>
      </c>
      <c r="R242" s="1461">
        <f t="shared" si="38"/>
        <v>0</v>
      </c>
      <c r="S242" s="1462">
        <f t="shared" si="39"/>
        <v>0</v>
      </c>
      <c r="T242" s="1260"/>
      <c r="U242" s="1260"/>
      <c r="V242" s="1260"/>
      <c r="W242" s="1270"/>
    </row>
    <row r="243" spans="1:23" s="1255" customFormat="1" ht="25.5">
      <c r="A243" s="1266"/>
      <c r="B243" s="1437" t="s">
        <v>3900</v>
      </c>
      <c r="C243" s="1449" t="s">
        <v>3483</v>
      </c>
      <c r="D243" s="1450" t="s">
        <v>1452</v>
      </c>
      <c r="E243" s="1451">
        <v>15</v>
      </c>
      <c r="F243" s="1452">
        <v>101.54</v>
      </c>
      <c r="G243" s="1530">
        <v>102.85</v>
      </c>
      <c r="H243" s="1453">
        <f t="shared" si="33"/>
        <v>1523.1</v>
      </c>
      <c r="I243" s="1453">
        <f t="shared" si="34"/>
        <v>1542.75</v>
      </c>
      <c r="J243" s="1454">
        <v>10</v>
      </c>
      <c r="K243" s="1454">
        <v>1028.5</v>
      </c>
      <c r="L243" s="1666"/>
      <c r="M243" s="1456">
        <f t="shared" si="35"/>
        <v>0</v>
      </c>
      <c r="N243" s="1457">
        <f t="shared" si="32"/>
        <v>10</v>
      </c>
      <c r="O243" s="1458">
        <f t="shared" si="36"/>
        <v>1028.5</v>
      </c>
      <c r="P243" s="1459">
        <f t="shared" si="37"/>
        <v>0.66666666666666663</v>
      </c>
      <c r="Q243" s="1460">
        <f t="shared" si="31"/>
        <v>5</v>
      </c>
      <c r="R243" s="1461">
        <f t="shared" si="38"/>
        <v>514.25</v>
      </c>
      <c r="S243" s="1462">
        <f t="shared" si="39"/>
        <v>0.33333333333333331</v>
      </c>
      <c r="T243" s="1260"/>
      <c r="U243" s="1260"/>
      <c r="V243" s="1260"/>
      <c r="W243" s="1270"/>
    </row>
    <row r="244" spans="1:23" s="1255" customFormat="1" ht="25.5">
      <c r="B244" s="1437" t="s">
        <v>3901</v>
      </c>
      <c r="C244" s="1449" t="s">
        <v>3484</v>
      </c>
      <c r="D244" s="1450" t="s">
        <v>1452</v>
      </c>
      <c r="E244" s="1451">
        <v>3</v>
      </c>
      <c r="F244" s="1452">
        <v>110.34</v>
      </c>
      <c r="G244" s="1530">
        <v>111.65</v>
      </c>
      <c r="H244" s="1453">
        <f t="shared" si="33"/>
        <v>331.02</v>
      </c>
      <c r="I244" s="1453">
        <f t="shared" si="34"/>
        <v>334.95</v>
      </c>
      <c r="J244" s="1454">
        <v>2</v>
      </c>
      <c r="K244" s="1454">
        <v>223.3</v>
      </c>
      <c r="L244" s="1666"/>
      <c r="M244" s="1456">
        <f t="shared" si="35"/>
        <v>0</v>
      </c>
      <c r="N244" s="1457">
        <f t="shared" si="32"/>
        <v>2</v>
      </c>
      <c r="O244" s="1458">
        <f t="shared" si="36"/>
        <v>223.3</v>
      </c>
      <c r="P244" s="1459">
        <f t="shared" si="37"/>
        <v>0.66666666666666674</v>
      </c>
      <c r="Q244" s="1460">
        <f t="shared" si="31"/>
        <v>1</v>
      </c>
      <c r="R244" s="1461">
        <f t="shared" si="38"/>
        <v>111.65</v>
      </c>
      <c r="S244" s="1462">
        <f t="shared" si="39"/>
        <v>0.33333333333333337</v>
      </c>
      <c r="T244" s="1260"/>
      <c r="U244" s="1260"/>
      <c r="V244" s="1260"/>
      <c r="W244" s="1270"/>
    </row>
    <row r="245" spans="1:23" s="1255" customFormat="1">
      <c r="A245" s="1254"/>
      <c r="B245" s="1527" t="s">
        <v>1038</v>
      </c>
      <c r="C245" s="1521" t="s">
        <v>3902</v>
      </c>
      <c r="D245" s="1450"/>
      <c r="E245" s="1451"/>
      <c r="F245" s="1452"/>
      <c r="G245" s="1530"/>
      <c r="H245" s="1453">
        <f t="shared" si="33"/>
        <v>0</v>
      </c>
      <c r="I245" s="1453">
        <f t="shared" si="34"/>
        <v>0</v>
      </c>
      <c r="J245" s="1454">
        <v>0</v>
      </c>
      <c r="K245" s="1454">
        <v>0</v>
      </c>
      <c r="L245" s="1666"/>
      <c r="M245" s="1456">
        <f t="shared" si="35"/>
        <v>0</v>
      </c>
      <c r="N245" s="1457">
        <f t="shared" si="32"/>
        <v>0</v>
      </c>
      <c r="O245" s="1458">
        <f t="shared" si="36"/>
        <v>0</v>
      </c>
      <c r="P245" s="1459" t="str">
        <f t="shared" si="37"/>
        <v/>
      </c>
      <c r="Q245" s="1460">
        <f t="shared" si="31"/>
        <v>0</v>
      </c>
      <c r="R245" s="1461">
        <f t="shared" si="38"/>
        <v>0</v>
      </c>
      <c r="S245" s="1462" t="str">
        <f t="shared" si="39"/>
        <v/>
      </c>
      <c r="T245" s="1260"/>
      <c r="U245" s="1260"/>
      <c r="V245" s="1260"/>
      <c r="W245" s="1270"/>
    </row>
    <row r="246" spans="1:23" s="1255" customFormat="1">
      <c r="A246" s="1266"/>
      <c r="B246" s="1527" t="s">
        <v>509</v>
      </c>
      <c r="C246" s="1521" t="s">
        <v>3880</v>
      </c>
      <c r="D246" s="1450"/>
      <c r="E246" s="1451"/>
      <c r="F246" s="1452"/>
      <c r="G246" s="1530"/>
      <c r="H246" s="1453">
        <f t="shared" si="33"/>
        <v>0</v>
      </c>
      <c r="I246" s="1453">
        <f t="shared" si="34"/>
        <v>0</v>
      </c>
      <c r="J246" s="1454"/>
      <c r="K246" s="1454">
        <v>0</v>
      </c>
      <c r="L246" s="1666"/>
      <c r="M246" s="1456">
        <f t="shared" si="35"/>
        <v>0</v>
      </c>
      <c r="N246" s="1457"/>
      <c r="O246" s="1458">
        <f t="shared" si="36"/>
        <v>0</v>
      </c>
      <c r="P246" s="1459" t="str">
        <f t="shared" si="37"/>
        <v/>
      </c>
      <c r="Q246" s="1460"/>
      <c r="R246" s="1461">
        <f t="shared" si="38"/>
        <v>0</v>
      </c>
      <c r="S246" s="1462" t="str">
        <f t="shared" si="39"/>
        <v/>
      </c>
      <c r="T246" s="1260"/>
      <c r="U246" s="1260"/>
      <c r="V246" s="1260"/>
      <c r="W246" s="1270"/>
    </row>
    <row r="247" spans="1:23" s="1255" customFormat="1">
      <c r="B247" s="1437" t="s">
        <v>3903</v>
      </c>
      <c r="C247" s="1449" t="s">
        <v>3881</v>
      </c>
      <c r="D247" s="1450" t="s">
        <v>36</v>
      </c>
      <c r="E247" s="1451">
        <v>161</v>
      </c>
      <c r="F247" s="1452">
        <v>6.34</v>
      </c>
      <c r="G247" s="1530">
        <v>6.46</v>
      </c>
      <c r="H247" s="1453">
        <f t="shared" si="33"/>
        <v>1020.74</v>
      </c>
      <c r="I247" s="1453">
        <f t="shared" si="34"/>
        <v>1040.06</v>
      </c>
      <c r="J247" s="1454">
        <v>161</v>
      </c>
      <c r="K247" s="1454">
        <v>1040.06</v>
      </c>
      <c r="L247" s="1666"/>
      <c r="M247" s="1456">
        <f t="shared" si="35"/>
        <v>0</v>
      </c>
      <c r="N247" s="1457">
        <f t="shared" si="32"/>
        <v>161</v>
      </c>
      <c r="O247" s="1458">
        <f t="shared" si="36"/>
        <v>1040.06</v>
      </c>
      <c r="P247" s="1459">
        <f t="shared" si="37"/>
        <v>1</v>
      </c>
      <c r="Q247" s="1460">
        <f t="shared" si="31"/>
        <v>0</v>
      </c>
      <c r="R247" s="1461">
        <f t="shared" si="38"/>
        <v>0</v>
      </c>
      <c r="S247" s="1462">
        <f t="shared" si="39"/>
        <v>0</v>
      </c>
      <c r="T247" s="1260"/>
      <c r="U247" s="1260"/>
      <c r="V247" s="1260"/>
      <c r="W247" s="1270"/>
    </row>
    <row r="248" spans="1:23" s="1255" customFormat="1">
      <c r="A248" s="1266"/>
      <c r="B248" s="1437" t="s">
        <v>3904</v>
      </c>
      <c r="C248" s="1449" t="s">
        <v>3882</v>
      </c>
      <c r="D248" s="1450" t="s">
        <v>36</v>
      </c>
      <c r="E248" s="1451">
        <v>80</v>
      </c>
      <c r="F248" s="1452">
        <v>3.96</v>
      </c>
      <c r="G248" s="1530">
        <v>4.09</v>
      </c>
      <c r="H248" s="1453">
        <f t="shared" si="33"/>
        <v>316.8</v>
      </c>
      <c r="I248" s="1453">
        <f t="shared" si="34"/>
        <v>327.2</v>
      </c>
      <c r="J248" s="1454">
        <v>80</v>
      </c>
      <c r="K248" s="1454">
        <v>327.2</v>
      </c>
      <c r="L248" s="1666"/>
      <c r="M248" s="1456">
        <f t="shared" si="35"/>
        <v>0</v>
      </c>
      <c r="N248" s="1457">
        <f t="shared" si="32"/>
        <v>80</v>
      </c>
      <c r="O248" s="1458">
        <f t="shared" si="36"/>
        <v>327.2</v>
      </c>
      <c r="P248" s="1459">
        <f t="shared" si="37"/>
        <v>1</v>
      </c>
      <c r="Q248" s="1460">
        <f t="shared" si="31"/>
        <v>0</v>
      </c>
      <c r="R248" s="1461">
        <f t="shared" si="38"/>
        <v>0</v>
      </c>
      <c r="S248" s="1462">
        <f t="shared" si="39"/>
        <v>0</v>
      </c>
      <c r="T248" s="1260"/>
      <c r="U248" s="1260"/>
      <c r="V248" s="1260"/>
      <c r="W248" s="1270"/>
    </row>
    <row r="249" spans="1:23" s="1255" customFormat="1">
      <c r="A249" s="1266"/>
      <c r="B249" s="1527" t="s">
        <v>510</v>
      </c>
      <c r="C249" s="1521" t="s">
        <v>3873</v>
      </c>
      <c r="D249" s="1450"/>
      <c r="E249" s="1451"/>
      <c r="F249" s="1452"/>
      <c r="G249" s="1530"/>
      <c r="H249" s="1453">
        <f t="shared" si="33"/>
        <v>0</v>
      </c>
      <c r="I249" s="1453">
        <f t="shared" si="34"/>
        <v>0</v>
      </c>
      <c r="J249" s="1454"/>
      <c r="K249" s="1454">
        <v>0</v>
      </c>
      <c r="L249" s="1666"/>
      <c r="M249" s="1456">
        <f t="shared" si="35"/>
        <v>0</v>
      </c>
      <c r="N249" s="1457"/>
      <c r="O249" s="1458">
        <f t="shared" si="36"/>
        <v>0</v>
      </c>
      <c r="P249" s="1459" t="str">
        <f t="shared" si="37"/>
        <v/>
      </c>
      <c r="Q249" s="1460"/>
      <c r="R249" s="1461">
        <f t="shared" si="38"/>
        <v>0</v>
      </c>
      <c r="S249" s="1462" t="str">
        <f t="shared" si="39"/>
        <v/>
      </c>
      <c r="T249" s="1260"/>
      <c r="U249" s="1260"/>
      <c r="V249" s="1260"/>
      <c r="W249" s="1270"/>
    </row>
    <row r="250" spans="1:23" s="1255" customFormat="1">
      <c r="B250" s="1437" t="s">
        <v>3905</v>
      </c>
      <c r="C250" s="1449" t="s">
        <v>3461</v>
      </c>
      <c r="D250" s="1450" t="s">
        <v>3876</v>
      </c>
      <c r="E250" s="1451">
        <v>322</v>
      </c>
      <c r="F250" s="1452">
        <v>8.2100000000000009</v>
      </c>
      <c r="G250" s="1530">
        <v>8.4499999999999993</v>
      </c>
      <c r="H250" s="1453">
        <f t="shared" si="33"/>
        <v>2643.62</v>
      </c>
      <c r="I250" s="1453">
        <f t="shared" si="34"/>
        <v>2720.9</v>
      </c>
      <c r="J250" s="1454">
        <v>322</v>
      </c>
      <c r="K250" s="1454">
        <v>2720.8999999999996</v>
      </c>
      <c r="L250" s="1666"/>
      <c r="M250" s="1456">
        <f t="shared" si="35"/>
        <v>0</v>
      </c>
      <c r="N250" s="1457">
        <f t="shared" si="32"/>
        <v>322</v>
      </c>
      <c r="O250" s="1458">
        <f t="shared" si="36"/>
        <v>2720.8999999999996</v>
      </c>
      <c r="P250" s="1459">
        <f t="shared" si="37"/>
        <v>0.99999999999999978</v>
      </c>
      <c r="Q250" s="1460">
        <f t="shared" si="31"/>
        <v>0</v>
      </c>
      <c r="R250" s="1461">
        <f t="shared" si="38"/>
        <v>0</v>
      </c>
      <c r="S250" s="1462">
        <f t="shared" si="39"/>
        <v>0</v>
      </c>
      <c r="T250" s="1260"/>
      <c r="U250" s="1260"/>
      <c r="V250" s="1260"/>
      <c r="W250" s="1270"/>
    </row>
    <row r="251" spans="1:23" s="1255" customFormat="1">
      <c r="A251" s="1254"/>
      <c r="B251" s="1437" t="s">
        <v>3906</v>
      </c>
      <c r="C251" s="1449" t="s">
        <v>3462</v>
      </c>
      <c r="D251" s="1450" t="s">
        <v>3876</v>
      </c>
      <c r="E251" s="1451">
        <v>161</v>
      </c>
      <c r="F251" s="1452">
        <v>7.64</v>
      </c>
      <c r="G251" s="1530">
        <v>7.88</v>
      </c>
      <c r="H251" s="1453">
        <f t="shared" si="33"/>
        <v>1230.04</v>
      </c>
      <c r="I251" s="1453">
        <f t="shared" si="34"/>
        <v>1268.68</v>
      </c>
      <c r="J251" s="1454">
        <v>161</v>
      </c>
      <c r="K251" s="1454">
        <v>1268.68</v>
      </c>
      <c r="L251" s="1666"/>
      <c r="M251" s="1456">
        <f t="shared" si="35"/>
        <v>0</v>
      </c>
      <c r="N251" s="1457">
        <f t="shared" si="32"/>
        <v>161</v>
      </c>
      <c r="O251" s="1458">
        <f t="shared" si="36"/>
        <v>1268.68</v>
      </c>
      <c r="P251" s="1459">
        <f t="shared" si="37"/>
        <v>1</v>
      </c>
      <c r="Q251" s="1460">
        <f t="shared" si="31"/>
        <v>0</v>
      </c>
      <c r="R251" s="1461">
        <f t="shared" si="38"/>
        <v>0</v>
      </c>
      <c r="S251" s="1462">
        <f t="shared" si="39"/>
        <v>0</v>
      </c>
      <c r="T251" s="1260"/>
      <c r="U251" s="1260"/>
      <c r="V251" s="1260"/>
      <c r="W251" s="1270"/>
    </row>
    <row r="252" spans="1:23" s="1255" customFormat="1">
      <c r="A252" s="1266"/>
      <c r="B252" s="1437" t="s">
        <v>3907</v>
      </c>
      <c r="C252" s="1449" t="s">
        <v>3908</v>
      </c>
      <c r="D252" s="1450"/>
      <c r="E252" s="1451"/>
      <c r="F252" s="1452"/>
      <c r="G252" s="1530"/>
      <c r="H252" s="1453"/>
      <c r="I252" s="1453"/>
      <c r="J252" s="1454"/>
      <c r="K252" s="1454">
        <v>0</v>
      </c>
      <c r="L252" s="1666"/>
      <c r="M252" s="1456">
        <f t="shared" si="35"/>
        <v>0</v>
      </c>
      <c r="N252" s="1457"/>
      <c r="O252" s="1458">
        <f t="shared" si="36"/>
        <v>0</v>
      </c>
      <c r="P252" s="1459" t="str">
        <f t="shared" si="37"/>
        <v/>
      </c>
      <c r="Q252" s="1460"/>
      <c r="R252" s="1461">
        <f t="shared" si="38"/>
        <v>0</v>
      </c>
      <c r="S252" s="1462" t="str">
        <f t="shared" si="39"/>
        <v/>
      </c>
      <c r="T252" s="1260"/>
      <c r="U252" s="1260"/>
      <c r="V252" s="1260"/>
      <c r="W252" s="1270"/>
    </row>
    <row r="253" spans="1:23" s="1255" customFormat="1">
      <c r="B253" s="1437" t="s">
        <v>3909</v>
      </c>
      <c r="C253" s="1449" t="s">
        <v>3884</v>
      </c>
      <c r="D253" s="1450" t="s">
        <v>36</v>
      </c>
      <c r="E253" s="1451">
        <v>38</v>
      </c>
      <c r="F253" s="1452">
        <v>53.16</v>
      </c>
      <c r="G253" s="1530">
        <v>55.2</v>
      </c>
      <c r="H253" s="1453">
        <f t="shared" si="33"/>
        <v>2020.08</v>
      </c>
      <c r="I253" s="1453">
        <f t="shared" si="34"/>
        <v>2097.6</v>
      </c>
      <c r="J253" s="1454">
        <v>38</v>
      </c>
      <c r="K253" s="1454">
        <v>2097.6</v>
      </c>
      <c r="L253" s="1666"/>
      <c r="M253" s="1456">
        <f t="shared" si="35"/>
        <v>0</v>
      </c>
      <c r="N253" s="1457">
        <f t="shared" si="32"/>
        <v>38</v>
      </c>
      <c r="O253" s="1458">
        <f t="shared" si="36"/>
        <v>2097.6</v>
      </c>
      <c r="P253" s="1459">
        <f t="shared" si="37"/>
        <v>1</v>
      </c>
      <c r="Q253" s="1460">
        <f t="shared" si="31"/>
        <v>0</v>
      </c>
      <c r="R253" s="1461">
        <f t="shared" si="38"/>
        <v>0</v>
      </c>
      <c r="S253" s="1462">
        <f t="shared" si="39"/>
        <v>0</v>
      </c>
      <c r="T253" s="1260"/>
      <c r="U253" s="1260"/>
      <c r="V253" s="1260"/>
      <c r="W253" s="1270"/>
    </row>
    <row r="254" spans="1:23" s="1255" customFormat="1">
      <c r="A254" s="1254"/>
      <c r="B254" s="1527" t="s">
        <v>3910</v>
      </c>
      <c r="C254" s="1521" t="s">
        <v>3911</v>
      </c>
      <c r="D254" s="1450"/>
      <c r="E254" s="1451"/>
      <c r="F254" s="1452"/>
      <c r="G254" s="1530"/>
      <c r="H254" s="1453">
        <f t="shared" si="33"/>
        <v>0</v>
      </c>
      <c r="I254" s="1453">
        <f t="shared" si="34"/>
        <v>0</v>
      </c>
      <c r="J254" s="1454"/>
      <c r="K254" s="1454">
        <v>0</v>
      </c>
      <c r="L254" s="1666"/>
      <c r="M254" s="1456">
        <f t="shared" si="35"/>
        <v>0</v>
      </c>
      <c r="N254" s="1457"/>
      <c r="O254" s="1458">
        <f t="shared" si="36"/>
        <v>0</v>
      </c>
      <c r="P254" s="1459" t="str">
        <f t="shared" si="37"/>
        <v/>
      </c>
      <c r="Q254" s="1460"/>
      <c r="R254" s="1461">
        <f t="shared" si="38"/>
        <v>0</v>
      </c>
      <c r="S254" s="1462" t="str">
        <f t="shared" si="39"/>
        <v/>
      </c>
      <c r="T254" s="1260"/>
      <c r="U254" s="1260"/>
      <c r="V254" s="1260"/>
      <c r="W254" s="1270"/>
    </row>
    <row r="255" spans="1:23" s="1255" customFormat="1" ht="25.5">
      <c r="A255" s="1266"/>
      <c r="B255" s="1437" t="s">
        <v>3912</v>
      </c>
      <c r="C255" s="1449" t="s">
        <v>3913</v>
      </c>
      <c r="D255" s="1450" t="s">
        <v>36</v>
      </c>
      <c r="E255" s="1451">
        <v>38</v>
      </c>
      <c r="F255" s="1452">
        <v>126.39</v>
      </c>
      <c r="G255" s="1530">
        <v>128.44</v>
      </c>
      <c r="H255" s="1453">
        <f t="shared" si="33"/>
        <v>4802.82</v>
      </c>
      <c r="I255" s="1453">
        <f t="shared" si="34"/>
        <v>4880.72</v>
      </c>
      <c r="J255" s="1454">
        <v>38</v>
      </c>
      <c r="K255" s="1454">
        <v>4880.72</v>
      </c>
      <c r="L255" s="1666"/>
      <c r="M255" s="1456">
        <f t="shared" si="35"/>
        <v>0</v>
      </c>
      <c r="N255" s="1457">
        <f t="shared" si="32"/>
        <v>38</v>
      </c>
      <c r="O255" s="1458">
        <f t="shared" si="36"/>
        <v>4880.72</v>
      </c>
      <c r="P255" s="1459">
        <f t="shared" si="37"/>
        <v>1</v>
      </c>
      <c r="Q255" s="1460">
        <f t="shared" si="31"/>
        <v>0</v>
      </c>
      <c r="R255" s="1461">
        <f t="shared" si="38"/>
        <v>0</v>
      </c>
      <c r="S255" s="1462">
        <f t="shared" si="39"/>
        <v>0</v>
      </c>
      <c r="T255" s="1260"/>
      <c r="U255" s="1260"/>
      <c r="V255" s="1260"/>
      <c r="W255" s="1270"/>
    </row>
    <row r="256" spans="1:23" s="1255" customFormat="1">
      <c r="B256" s="1527" t="s">
        <v>3914</v>
      </c>
      <c r="C256" s="1521" t="s">
        <v>3915</v>
      </c>
      <c r="D256" s="1450"/>
      <c r="E256" s="1451"/>
      <c r="F256" s="1452"/>
      <c r="G256" s="1530"/>
      <c r="H256" s="1453"/>
      <c r="I256" s="1453"/>
      <c r="J256" s="1454"/>
      <c r="K256" s="1454">
        <v>0</v>
      </c>
      <c r="L256" s="1666"/>
      <c r="M256" s="1456"/>
      <c r="N256" s="1457"/>
      <c r="O256" s="1458">
        <f t="shared" si="36"/>
        <v>0</v>
      </c>
      <c r="P256" s="1459" t="str">
        <f t="shared" si="37"/>
        <v/>
      </c>
      <c r="Q256" s="1460"/>
      <c r="R256" s="1461">
        <f t="shared" si="38"/>
        <v>0</v>
      </c>
      <c r="S256" s="1462" t="str">
        <f t="shared" si="39"/>
        <v/>
      </c>
      <c r="T256" s="1260"/>
      <c r="U256" s="1260"/>
      <c r="V256" s="1260"/>
      <c r="W256" s="1270"/>
    </row>
    <row r="257" spans="1:24" s="1255" customFormat="1" ht="26.25" thickBot="1">
      <c r="A257" s="1266"/>
      <c r="B257" s="1463" t="s">
        <v>3916</v>
      </c>
      <c r="C257" s="1464" t="s">
        <v>3917</v>
      </c>
      <c r="D257" s="1465" t="s">
        <v>36</v>
      </c>
      <c r="E257" s="1466">
        <v>20</v>
      </c>
      <c r="F257" s="1467">
        <v>53.16</v>
      </c>
      <c r="G257" s="1532">
        <v>55.2</v>
      </c>
      <c r="H257" s="1453">
        <f t="shared" si="33"/>
        <v>1063.2</v>
      </c>
      <c r="I257" s="1453">
        <f t="shared" si="34"/>
        <v>1104</v>
      </c>
      <c r="J257" s="1533">
        <v>20</v>
      </c>
      <c r="K257" s="1533">
        <v>1104</v>
      </c>
      <c r="L257" s="1666"/>
      <c r="M257" s="1456">
        <f t="shared" si="35"/>
        <v>0</v>
      </c>
      <c r="N257" s="1468">
        <f t="shared" si="32"/>
        <v>20</v>
      </c>
      <c r="O257" s="1469">
        <f t="shared" si="36"/>
        <v>1104</v>
      </c>
      <c r="P257" s="1470">
        <f t="shared" si="37"/>
        <v>1</v>
      </c>
      <c r="Q257" s="1471">
        <f t="shared" si="31"/>
        <v>0</v>
      </c>
      <c r="R257" s="1472">
        <f t="shared" si="38"/>
        <v>0</v>
      </c>
      <c r="S257" s="1473">
        <f t="shared" si="39"/>
        <v>0</v>
      </c>
      <c r="T257" s="1260"/>
      <c r="U257" s="1260"/>
      <c r="V257" s="1260"/>
      <c r="W257" s="1270"/>
    </row>
    <row r="258" spans="1:24" s="496" customFormat="1" thickBot="1">
      <c r="B258" s="2074"/>
      <c r="C258" s="2075" t="s">
        <v>59</v>
      </c>
      <c r="D258" s="2110"/>
      <c r="E258" s="2081"/>
      <c r="F258" s="2076"/>
      <c r="G258" s="2076"/>
      <c r="H258" s="2077">
        <f>(SUM(H16:H257))</f>
        <v>3388063.5400000024</v>
      </c>
      <c r="I258" s="2105">
        <f>(SUM(I16:I257))</f>
        <v>3433797.0500000012</v>
      </c>
      <c r="J258" s="2109">
        <f>+K258/I258</f>
        <v>0.58761923630145807</v>
      </c>
      <c r="K258" s="2085">
        <f>SUM(K16:K257)</f>
        <v>2017765.2001352005</v>
      </c>
      <c r="L258" s="2107">
        <f>M258/H258</f>
        <v>2.4706159570578756E-2</v>
      </c>
      <c r="M258" s="2085">
        <f>SUM(M16:M257)</f>
        <v>83706.038454499998</v>
      </c>
      <c r="N258" s="2100">
        <f>+O258/H258</f>
        <v>0.62025732805167488</v>
      </c>
      <c r="O258" s="2078">
        <f>SUM(O16:O257)</f>
        <v>2101471.2385897003</v>
      </c>
      <c r="P258" s="2101" t="str">
        <f t="shared" ref="P258:P264" si="40">+IF(D258=0,"",O258/H258)</f>
        <v/>
      </c>
      <c r="Q258" s="2100">
        <f>+R258/H258</f>
        <v>0.39324110786895067</v>
      </c>
      <c r="R258" s="2077">
        <f>SUM(R16:R257)+0.05</f>
        <v>1332325.8599999999</v>
      </c>
      <c r="S258" s="2079">
        <f>+R258/H258</f>
        <v>0.39324110786895067</v>
      </c>
      <c r="T258" s="497">
        <f>+I258-O258-R258</f>
        <v>-4.8589698970317841E-2</v>
      </c>
      <c r="U258" s="497"/>
      <c r="V258" s="497"/>
      <c r="W258" s="1201">
        <f>+H258</f>
        <v>3388063.5400000024</v>
      </c>
      <c r="X258" s="497">
        <f>+T258-W258</f>
        <v>-3388063.5885897013</v>
      </c>
    </row>
    <row r="259" spans="1:24" s="16" customFormat="1" ht="12.75">
      <c r="B259" s="2088"/>
      <c r="C259" s="2089" t="s">
        <v>256</v>
      </c>
      <c r="D259" s="2090"/>
      <c r="E259" s="2091"/>
      <c r="F259" s="2091"/>
      <c r="G259" s="2091"/>
      <c r="H259" s="2106">
        <v>141516.06656581606</v>
      </c>
      <c r="I259" s="2106">
        <v>141516.06656581606</v>
      </c>
      <c r="J259" s="2093"/>
      <c r="K259" s="2108">
        <v>76566.339453643493</v>
      </c>
      <c r="L259" s="2092"/>
      <c r="M259" s="2072">
        <f>+L258*I259</f>
        <v>3496.3185223756968</v>
      </c>
      <c r="N259" s="2092"/>
      <c r="O259" s="2072">
        <f>K259+M259</f>
        <v>80062.657976019196</v>
      </c>
      <c r="P259" s="1490" t="str">
        <f t="shared" si="40"/>
        <v/>
      </c>
      <c r="Q259" s="2095"/>
      <c r="R259" s="2106">
        <f>H259-O259</f>
        <v>61453.408589796862</v>
      </c>
      <c r="S259" s="2097"/>
      <c r="T259" s="23"/>
      <c r="U259" s="23"/>
      <c r="V259" s="23"/>
      <c r="W259" s="462"/>
    </row>
    <row r="260" spans="1:24" s="496" customFormat="1" ht="12.75">
      <c r="B260" s="1118"/>
      <c r="C260" s="1190" t="s">
        <v>1817</v>
      </c>
      <c r="D260" s="1191"/>
      <c r="E260" s="1185"/>
      <c r="F260" s="1185"/>
      <c r="G260" s="1185"/>
      <c r="H260" s="1186">
        <v>32001.683836142925</v>
      </c>
      <c r="I260" s="1186">
        <v>32001.683836142925</v>
      </c>
      <c r="J260" s="1536"/>
      <c r="K260" s="1535">
        <v>17314.301104791775</v>
      </c>
      <c r="L260" s="1483"/>
      <c r="M260" s="582">
        <f>+L258*I260</f>
        <v>790.63870738295805</v>
      </c>
      <c r="N260" s="1188"/>
      <c r="O260" s="1187">
        <f t="shared" ref="O260:O261" si="41">K260+M260</f>
        <v>18104.939812174733</v>
      </c>
      <c r="P260" s="1480" t="str">
        <f t="shared" si="40"/>
        <v/>
      </c>
      <c r="Q260" s="1481"/>
      <c r="R260" s="1186">
        <f>H260-O260</f>
        <v>13896.744023968193</v>
      </c>
      <c r="S260" s="1189"/>
      <c r="T260" s="497"/>
      <c r="U260" s="497"/>
      <c r="V260" s="497"/>
      <c r="W260" s="1201"/>
    </row>
    <row r="261" spans="1:24" s="496" customFormat="1" ht="12.75">
      <c r="B261" s="1118"/>
      <c r="C261" s="1190" t="s">
        <v>3918</v>
      </c>
      <c r="D261" s="1191"/>
      <c r="E261" s="1185"/>
      <c r="F261" s="1185"/>
      <c r="G261" s="1185"/>
      <c r="H261" s="1186">
        <v>5607.6033818568603</v>
      </c>
      <c r="I261" s="1186">
        <v>5607.6033818568603</v>
      </c>
      <c r="J261" s="1536"/>
      <c r="K261" s="1535">
        <v>3033.9570232258293</v>
      </c>
      <c r="L261" s="1483"/>
      <c r="M261" s="582">
        <f>+L258*I261</f>
        <v>138.54234396067267</v>
      </c>
      <c r="N261" s="1188"/>
      <c r="O261" s="1187">
        <f t="shared" si="41"/>
        <v>3172.4993671865018</v>
      </c>
      <c r="P261" s="1480"/>
      <c r="Q261" s="1481"/>
      <c r="R261" s="1186">
        <f>H261-O261</f>
        <v>2435.1040146703585</v>
      </c>
      <c r="S261" s="1189"/>
      <c r="T261" s="497"/>
      <c r="U261" s="497"/>
      <c r="V261" s="497"/>
      <c r="W261" s="1201"/>
    </row>
    <row r="262" spans="1:24" s="1096" customFormat="1" ht="14.25" thickBot="1">
      <c r="B262" s="1119"/>
      <c r="C262" s="1484" t="s">
        <v>61</v>
      </c>
      <c r="D262" s="1120"/>
      <c r="E262" s="1120"/>
      <c r="F262" s="1120"/>
      <c r="G262" s="1120"/>
      <c r="H262" s="1121">
        <f>SUM(H258:H261)</f>
        <v>3567188.893783818</v>
      </c>
      <c r="I262" s="1121">
        <f>SUM(I258:I261)</f>
        <v>3612922.4037838168</v>
      </c>
      <c r="J262" s="1124">
        <f>+K262/H262</f>
        <v>0.59281407872790304</v>
      </c>
      <c r="K262" s="1122">
        <f>SUM(K258:K261)</f>
        <v>2114679.7977168616</v>
      </c>
      <c r="L262" s="1485">
        <f>M262/H262</f>
        <v>2.4706159570578756E-2</v>
      </c>
      <c r="M262" s="1268">
        <f>SUM(M258:M261)</f>
        <v>88131.538028219322</v>
      </c>
      <c r="N262" s="1124">
        <f>O262/H262</f>
        <v>0.61752023829848168</v>
      </c>
      <c r="O262" s="1122">
        <f>SUM(O258:O261)</f>
        <v>2202811.3357450804</v>
      </c>
      <c r="P262" s="1486" t="str">
        <f t="shared" si="40"/>
        <v/>
      </c>
      <c r="Q262" s="1487">
        <f>+R262/H262</f>
        <v>0.39530037758462816</v>
      </c>
      <c r="R262" s="1121">
        <f>SUM(R258:R261)</f>
        <v>1410111.1166284352</v>
      </c>
      <c r="S262" s="1488">
        <f>+R262/H262</f>
        <v>0.39530037758462816</v>
      </c>
      <c r="T262" s="497">
        <f>+H262</f>
        <v>3567188.893783818</v>
      </c>
      <c r="U262" s="497"/>
      <c r="V262" s="497"/>
      <c r="W262" s="1201">
        <f>+O262+R262</f>
        <v>3612922.4523735158</v>
      </c>
      <c r="X262" s="497">
        <f>+T262-W262</f>
        <v>-45733.558589697815</v>
      </c>
    </row>
    <row r="263" spans="1:24" s="496" customFormat="1">
      <c r="B263" s="1108"/>
      <c r="C263" s="1110"/>
      <c r="D263" s="1111"/>
      <c r="E263" s="563"/>
      <c r="F263" s="1111"/>
      <c r="G263" s="1111"/>
      <c r="H263" s="1113"/>
      <c r="I263" s="1537">
        <f>I258-H258</f>
        <v>45733.509999998845</v>
      </c>
      <c r="J263" s="1114"/>
      <c r="K263" s="1115"/>
      <c r="L263" s="1489"/>
      <c r="M263" s="1269"/>
      <c r="N263" s="1111"/>
      <c r="O263" s="1114"/>
      <c r="P263" s="1490" t="str">
        <f t="shared" si="40"/>
        <v/>
      </c>
      <c r="Q263" s="1491"/>
      <c r="R263" s="1110"/>
      <c r="S263" s="1110"/>
      <c r="T263" s="497"/>
      <c r="U263" s="497"/>
      <c r="V263" s="497"/>
      <c r="W263" s="1054"/>
    </row>
    <row r="264" spans="1:24" s="496" customFormat="1" ht="12.75">
      <c r="B264" s="1492"/>
      <c r="C264" s="1493"/>
      <c r="D264" s="565"/>
      <c r="E264" s="548"/>
      <c r="F264" s="565"/>
      <c r="G264" s="565"/>
      <c r="H264" s="1494"/>
      <c r="I264" s="1494"/>
      <c r="J264" s="1495"/>
      <c r="K264" s="565"/>
      <c r="L264" s="1496"/>
      <c r="M264" s="588"/>
      <c r="N264" s="565"/>
      <c r="O264" s="1495"/>
      <c r="P264" s="1480" t="str">
        <f t="shared" si="40"/>
        <v/>
      </c>
      <c r="Q264" s="1497">
        <f t="shared" si="31"/>
        <v>0</v>
      </c>
      <c r="R264" s="1493"/>
      <c r="S264" s="1493"/>
      <c r="W264" s="1054"/>
    </row>
    <row r="265" spans="1:24" s="496" customFormat="1">
      <c r="B265" s="1498"/>
      <c r="C265" s="1499"/>
      <c r="D265" s="2789" t="s">
        <v>62</v>
      </c>
      <c r="E265" s="2790"/>
      <c r="F265" s="2790"/>
      <c r="G265" s="2790"/>
      <c r="H265" s="2790"/>
      <c r="I265" s="2790"/>
      <c r="J265" s="2791"/>
      <c r="K265" s="1500">
        <f>+K258/H258</f>
        <v>0.59555116848109613</v>
      </c>
      <c r="L265" s="1501"/>
      <c r="M265" s="76">
        <f>+M258/H258</f>
        <v>2.4706159570578756E-2</v>
      </c>
      <c r="N265" s="603"/>
      <c r="O265" s="1502"/>
      <c r="P265" s="1503">
        <f>+O258/H258</f>
        <v>0.62025732805167488</v>
      </c>
      <c r="Q265" s="1497">
        <f t="shared" si="31"/>
        <v>0</v>
      </c>
      <c r="R265" s="1504"/>
      <c r="S265" s="1505">
        <f>+R258/H258</f>
        <v>0.39324110786895067</v>
      </c>
      <c r="T265" s="1506"/>
      <c r="U265" s="1506"/>
      <c r="V265" s="1506"/>
      <c r="W265" s="1054"/>
    </row>
    <row r="266" spans="1:24" s="496" customFormat="1">
      <c r="B266" s="1492"/>
      <c r="C266" s="1493"/>
      <c r="D266" s="603"/>
      <c r="E266" s="1507"/>
      <c r="F266" s="603"/>
      <c r="G266" s="603"/>
      <c r="H266" s="1508"/>
      <c r="I266" s="1508"/>
      <c r="J266" s="603"/>
      <c r="K266" s="603"/>
      <c r="L266" s="1501"/>
      <c r="M266" s="907"/>
      <c r="N266" s="603"/>
      <c r="O266" s="1502"/>
      <c r="P266" s="603"/>
      <c r="Q266" s="1497">
        <f t="shared" si="31"/>
        <v>0</v>
      </c>
      <c r="R266" s="1504"/>
      <c r="S266" s="1509"/>
      <c r="W266" s="1054"/>
    </row>
    <row r="267" spans="1:24" s="16" customFormat="1" ht="12.75">
      <c r="D267" s="74"/>
      <c r="E267" s="23"/>
      <c r="F267" s="462"/>
      <c r="G267" s="462"/>
      <c r="J267" s="1079"/>
      <c r="K267" s="74"/>
      <c r="L267" s="1275"/>
      <c r="M267" s="462"/>
      <c r="N267" s="462"/>
      <c r="O267" s="462"/>
      <c r="P267" s="462"/>
      <c r="Q267" s="1510"/>
      <c r="R267" s="23"/>
    </row>
    <row r="268" spans="1:24" s="16" customFormat="1">
      <c r="D268" s="74"/>
      <c r="E268" s="23"/>
      <c r="F268" s="462"/>
      <c r="G268" s="462"/>
      <c r="H268" s="23"/>
      <c r="I268" s="23"/>
      <c r="J268" s="1079"/>
      <c r="K268" s="1511"/>
      <c r="L268" s="1275"/>
      <c r="M268" s="1287">
        <f>+K258+M258</f>
        <v>2101471.2385897003</v>
      </c>
      <c r="N268" s="462"/>
      <c r="O268" s="462">
        <f>+O258+R258</f>
        <v>3433797.0985897002</v>
      </c>
      <c r="P268" s="462"/>
      <c r="Q268" s="1513"/>
      <c r="R268" s="23">
        <f>+R258+O258</f>
        <v>3433797.0985897002</v>
      </c>
    </row>
    <row r="269" spans="1:24" s="16" customFormat="1">
      <c r="D269" s="1514"/>
      <c r="E269" s="23"/>
      <c r="F269" s="462">
        <v>457948.8995</v>
      </c>
      <c r="G269" s="462"/>
      <c r="H269" s="23">
        <v>15398736.550000001</v>
      </c>
      <c r="I269" s="23"/>
      <c r="J269" s="1080"/>
      <c r="K269" s="1511">
        <v>616776.95999999996</v>
      </c>
      <c r="L269" s="1275"/>
      <c r="M269" s="462"/>
      <c r="N269" s="1512">
        <f>+M270-N258</f>
        <v>-0.32025732805167489</v>
      </c>
      <c r="O269" s="462">
        <f>+N269*H258</f>
        <v>-1085052.1765896997</v>
      </c>
      <c r="P269" s="462"/>
      <c r="Q269" s="1513"/>
      <c r="S269" s="167"/>
    </row>
    <row r="270" spans="1:24" s="16" customFormat="1">
      <c r="D270" s="74"/>
      <c r="E270" s="23"/>
      <c r="F270" s="462"/>
      <c r="G270" s="462"/>
      <c r="H270" s="23"/>
      <c r="I270" s="23"/>
      <c r="J270" s="1080"/>
      <c r="K270" s="1515"/>
      <c r="L270" s="1516"/>
      <c r="M270" s="462">
        <v>0.3</v>
      </c>
      <c r="N270" s="462"/>
      <c r="O270" s="462"/>
      <c r="P270" s="462"/>
      <c r="Q270" s="1513"/>
      <c r="R270" s="23"/>
      <c r="S270" s="1517">
        <f>+R262+H262</f>
        <v>4977300.0104122534</v>
      </c>
    </row>
    <row r="271" spans="1:24" s="16" customFormat="1">
      <c r="D271" s="74"/>
      <c r="F271" s="74"/>
      <c r="G271" s="74"/>
      <c r="H271" s="23">
        <f>+H269-H258</f>
        <v>12010673.009999998</v>
      </c>
      <c r="I271" s="23"/>
      <c r="J271" s="1080"/>
      <c r="K271" s="1253">
        <f>+K269-K259</f>
        <v>540210.62054635643</v>
      </c>
      <c r="L271" s="1275"/>
      <c r="M271" s="462"/>
      <c r="N271" s="462"/>
      <c r="O271" s="462"/>
      <c r="P271" s="462"/>
      <c r="Q271" s="1513"/>
    </row>
    <row r="272" spans="1:24">
      <c r="F272" s="1088">
        <f>+H259/H258</f>
        <v>4.1769011972489736E-2</v>
      </c>
      <c r="H272" s="1518"/>
      <c r="I272" s="1518"/>
      <c r="J272" s="1518"/>
      <c r="K272" s="1178"/>
      <c r="M272" s="1519" t="e">
        <f>SUM(#REF!)</f>
        <v>#REF!</v>
      </c>
      <c r="N272" s="1519" t="e">
        <f>SUM(#REF!)</f>
        <v>#REF!</v>
      </c>
      <c r="O272" s="1519"/>
      <c r="P272" s="1519"/>
      <c r="Q272" s="1513"/>
      <c r="W272" s="1083"/>
    </row>
    <row r="273" spans="4:23">
      <c r="F273" s="1088">
        <f>+H260/H258</f>
        <v>9.4454202107859229E-3</v>
      </c>
      <c r="H273" s="1518"/>
      <c r="I273" s="1518"/>
      <c r="J273" s="1518"/>
      <c r="K273" s="1178">
        <v>3211.18999999994</v>
      </c>
      <c r="L273" s="1276"/>
      <c r="M273" s="1519"/>
      <c r="N273" s="1519"/>
      <c r="O273" s="1519"/>
      <c r="P273" s="1519"/>
      <c r="Q273" s="1513"/>
      <c r="W273" s="1083"/>
    </row>
    <row r="274" spans="4:23">
      <c r="H274" s="1518"/>
      <c r="I274" s="1518"/>
      <c r="J274" s="1518"/>
      <c r="K274" s="1179"/>
      <c r="L274" s="1276"/>
      <c r="M274" s="1519"/>
      <c r="N274" s="1512" t="e">
        <f>+N272/H258</f>
        <v>#REF!</v>
      </c>
      <c r="O274" s="1519"/>
      <c r="P274" s="1519"/>
      <c r="Q274" s="1513"/>
      <c r="W274" s="1083"/>
    </row>
    <row r="275" spans="4:23" ht="15.75">
      <c r="D275" s="1088"/>
      <c r="H275" s="1518"/>
      <c r="I275" s="1518"/>
      <c r="J275" s="1518"/>
      <c r="K275" s="1161"/>
      <c r="L275" s="1276"/>
      <c r="M275" s="1519"/>
      <c r="N275" s="1519"/>
      <c r="O275" s="1519"/>
      <c r="P275" s="1519"/>
      <c r="Q275" s="1513"/>
      <c r="W275" s="1083"/>
    </row>
    <row r="276" spans="4:23">
      <c r="H276" s="1518"/>
      <c r="I276" s="1518"/>
      <c r="J276" s="1518"/>
      <c r="K276" s="16"/>
      <c r="L276" s="1276"/>
      <c r="M276" s="1519"/>
      <c r="N276" s="1519"/>
      <c r="O276" s="1519"/>
      <c r="P276" s="1519"/>
      <c r="Q276" s="1513"/>
      <c r="W276" s="1083"/>
    </row>
    <row r="277" spans="4:23">
      <c r="H277" s="1518"/>
      <c r="I277" s="1518"/>
      <c r="J277" s="1518"/>
      <c r="K277" s="1518"/>
      <c r="L277" s="1276"/>
      <c r="M277" s="1519"/>
      <c r="N277" s="1519"/>
      <c r="O277" s="1519"/>
      <c r="P277" s="1519"/>
      <c r="Q277" s="1513"/>
      <c r="W277" s="1083"/>
    </row>
    <row r="278" spans="4:23">
      <c r="H278" s="1518"/>
      <c r="I278" s="1518"/>
      <c r="J278" s="1518"/>
      <c r="K278" s="1518"/>
      <c r="L278" s="1276"/>
      <c r="M278" s="1519"/>
      <c r="N278" s="1519"/>
      <c r="O278" s="1519"/>
      <c r="P278" s="1519"/>
      <c r="Q278" s="1513"/>
      <c r="W278" s="1083"/>
    </row>
    <row r="279" spans="4:23">
      <c r="H279" s="1518"/>
      <c r="I279" s="1518"/>
      <c r="J279" s="1518"/>
      <c r="K279" s="1518"/>
      <c r="L279" s="1276"/>
      <c r="M279" s="1519"/>
      <c r="N279" s="1519"/>
      <c r="O279" s="1519">
        <f>SUM(M92:M150)</f>
        <v>33116.174182000002</v>
      </c>
      <c r="P279" s="1519"/>
      <c r="Q279" s="1513"/>
      <c r="W279" s="1083"/>
    </row>
    <row r="280" spans="4:23">
      <c r="H280" s="1518"/>
      <c r="I280" s="1518"/>
      <c r="J280" s="1518"/>
      <c r="K280" s="1518"/>
      <c r="L280" s="1276"/>
      <c r="M280" s="1519"/>
      <c r="N280" s="1519"/>
      <c r="O280" s="1519"/>
      <c r="P280" s="1519"/>
      <c r="Q280" s="1513"/>
      <c r="W280" s="1083"/>
    </row>
    <row r="281" spans="4:23">
      <c r="H281" s="1518"/>
      <c r="I281" s="1518"/>
      <c r="J281" s="1518"/>
      <c r="K281" s="1518"/>
      <c r="L281" s="1276"/>
      <c r="M281" s="1519"/>
      <c r="N281" s="1519"/>
      <c r="O281" s="1519"/>
      <c r="P281" s="1519"/>
      <c r="Q281" s="1513"/>
      <c r="W281" s="1083"/>
    </row>
    <row r="282" spans="4:23">
      <c r="H282" s="1518"/>
      <c r="I282" s="1518"/>
      <c r="J282" s="1518"/>
      <c r="K282" s="1520"/>
      <c r="L282" s="1276"/>
      <c r="M282" s="1519"/>
      <c r="N282" s="1519"/>
      <c r="O282" s="1519"/>
      <c r="P282" s="1519"/>
      <c r="Q282" s="1513"/>
      <c r="W282" s="1083"/>
    </row>
    <row r="283" spans="4:23">
      <c r="H283" s="1518"/>
      <c r="I283" s="1518"/>
      <c r="J283" s="1518"/>
      <c r="K283" s="1518"/>
      <c r="L283" s="1276"/>
      <c r="M283" s="1519"/>
      <c r="N283" s="1519"/>
      <c r="O283" s="1519"/>
      <c r="P283" s="1519"/>
      <c r="Q283" s="1513"/>
      <c r="W283" s="1083"/>
    </row>
  </sheetData>
  <autoFilter ref="C1:C283" xr:uid="{00000000-0009-0000-0000-000020000000}"/>
  <mergeCells count="31">
    <mergeCell ref="B9:B12"/>
    <mergeCell ref="C9:C12"/>
    <mergeCell ref="D9:D12"/>
    <mergeCell ref="E9:H10"/>
    <mergeCell ref="J9:P9"/>
    <mergeCell ref="B1:S1"/>
    <mergeCell ref="B2:S2"/>
    <mergeCell ref="B3:S3"/>
    <mergeCell ref="E4:O4"/>
    <mergeCell ref="R4:S4"/>
    <mergeCell ref="Q9:S10"/>
    <mergeCell ref="J10:K10"/>
    <mergeCell ref="L10:M10"/>
    <mergeCell ref="N10:P10"/>
    <mergeCell ref="E11:E12"/>
    <mergeCell ref="F11:F12"/>
    <mergeCell ref="G11:G12"/>
    <mergeCell ref="H11:H12"/>
    <mergeCell ref="I11:I12"/>
    <mergeCell ref="J11:J12"/>
    <mergeCell ref="Q11:Q12"/>
    <mergeCell ref="R11:R12"/>
    <mergeCell ref="S11:S12"/>
    <mergeCell ref="W11:Y11"/>
    <mergeCell ref="D265:J265"/>
    <mergeCell ref="K11:K12"/>
    <mergeCell ref="L11:L12"/>
    <mergeCell ref="M11:M12"/>
    <mergeCell ref="N11:N12"/>
    <mergeCell ref="O11:O12"/>
    <mergeCell ref="P11:P12"/>
  </mergeCells>
  <conditionalFormatting sqref="S263:S1048576 S2:S3 S5:S261">
    <cfRule type="cellIs" dxfId="3" priority="4" operator="lessThan">
      <formula>0</formula>
    </cfRule>
  </conditionalFormatting>
  <conditionalFormatting sqref="Q259:Q261 Q263:Q1048576 Q2:Q257">
    <cfRule type="cellIs" dxfId="2" priority="2" operator="lessThan">
      <formula>0</formula>
    </cfRule>
    <cfRule type="cellIs" dxfId="1" priority="3" operator="lessThan">
      <formula>0</formula>
    </cfRule>
  </conditionalFormatting>
  <conditionalFormatting sqref="S4">
    <cfRule type="cellIs" dxfId="0" priority="1" operator="lessThan">
      <formula>0</formula>
    </cfRule>
  </conditionalFormatting>
  <pageMargins left="3.937007874015748E-2" right="3.937007874015748E-2" top="0.55000000000000004" bottom="0.67" header="0.31496062992125984" footer="0.31496062992125984"/>
  <pageSetup paperSize="9" scale="61" fitToHeight="0" orientation="landscape" r:id="rId1"/>
  <rowBreaks count="7" manualBreakCount="7">
    <brk id="58" min="1" max="18" man="1"/>
    <brk id="98" min="1" max="18" man="1"/>
    <brk id="135" min="1" max="18" man="1"/>
    <brk id="174" min="1" max="18" man="1"/>
    <brk id="214" min="1" max="18" man="1"/>
    <brk id="253" min="1" max="18" man="1"/>
    <brk id="267" min="1" max="17" man="1"/>
  </rowBreak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002060"/>
  </sheetPr>
  <dimension ref="A1:BN54"/>
  <sheetViews>
    <sheetView topLeftCell="A32" workbookViewId="0"/>
  </sheetViews>
  <sheetFormatPr baseColWidth="10" defaultRowHeight="12.75"/>
  <cols>
    <col min="1" max="1" width="3.42578125" style="16" customWidth="1"/>
    <col min="2" max="2" width="5.42578125" style="16" bestFit="1" customWidth="1"/>
    <col min="3" max="3" width="43.42578125" style="16" customWidth="1"/>
    <col min="4" max="4" width="7.5703125" style="16" customWidth="1"/>
    <col min="5" max="5" width="14.42578125" style="16" customWidth="1"/>
    <col min="6" max="6" width="12.42578125" style="23" customWidth="1"/>
    <col min="7" max="7" width="13" style="23" customWidth="1"/>
    <col min="8" max="8" width="11.5703125" style="23" customWidth="1"/>
    <col min="9" max="9" width="11.42578125" style="16" customWidth="1"/>
    <col min="10" max="10" width="14" style="16" customWidth="1"/>
    <col min="11" max="11" width="8.42578125" style="16" customWidth="1"/>
    <col min="12" max="12" width="7.42578125" style="16" bestFit="1" customWidth="1"/>
    <col min="13" max="13" width="5.5703125" style="16" customWidth="1"/>
    <col min="14" max="14" width="19.42578125" style="16" bestFit="1" customWidth="1"/>
    <col min="15" max="256" width="11.5703125" style="16"/>
    <col min="257" max="257" width="3.42578125" style="16" customWidth="1"/>
    <col min="258" max="258" width="5.42578125" style="16" bestFit="1" customWidth="1"/>
    <col min="259" max="259" width="43.42578125" style="16" customWidth="1"/>
    <col min="260" max="260" width="7.5703125" style="16" customWidth="1"/>
    <col min="261" max="261" width="14.42578125" style="16" customWidth="1"/>
    <col min="262" max="262" width="12.42578125" style="16" customWidth="1"/>
    <col min="263" max="263" width="13" style="16" customWidth="1"/>
    <col min="264" max="264" width="11.5703125" style="16" customWidth="1"/>
    <col min="265" max="265" width="11.42578125" style="16" customWidth="1"/>
    <col min="266" max="266" width="14" style="16" customWidth="1"/>
    <col min="267" max="267" width="8.42578125" style="16" customWidth="1"/>
    <col min="268" max="268" width="7.42578125" style="16" bestFit="1" customWidth="1"/>
    <col min="269" max="269" width="5.5703125" style="16" customWidth="1"/>
    <col min="270" max="270" width="19.42578125" style="16" bestFit="1" customWidth="1"/>
    <col min="271" max="512" width="11.5703125" style="16"/>
    <col min="513" max="513" width="3.42578125" style="16" customWidth="1"/>
    <col min="514" max="514" width="5.42578125" style="16" bestFit="1" customWidth="1"/>
    <col min="515" max="515" width="43.42578125" style="16" customWidth="1"/>
    <col min="516" max="516" width="7.5703125" style="16" customWidth="1"/>
    <col min="517" max="517" width="14.42578125" style="16" customWidth="1"/>
    <col min="518" max="518" width="12.42578125" style="16" customWidth="1"/>
    <col min="519" max="519" width="13" style="16" customWidth="1"/>
    <col min="520" max="520" width="11.5703125" style="16" customWidth="1"/>
    <col min="521" max="521" width="11.42578125" style="16" customWidth="1"/>
    <col min="522" max="522" width="14" style="16" customWidth="1"/>
    <col min="523" max="523" width="8.42578125" style="16" customWidth="1"/>
    <col min="524" max="524" width="7.42578125" style="16" bestFit="1" customWidth="1"/>
    <col min="525" max="525" width="5.5703125" style="16" customWidth="1"/>
    <col min="526" max="526" width="19.42578125" style="16" bestFit="1" customWidth="1"/>
    <col min="527" max="768" width="11.5703125" style="16"/>
    <col min="769" max="769" width="3.42578125" style="16" customWidth="1"/>
    <col min="770" max="770" width="5.42578125" style="16" bestFit="1" customWidth="1"/>
    <col min="771" max="771" width="43.42578125" style="16" customWidth="1"/>
    <col min="772" max="772" width="7.5703125" style="16" customWidth="1"/>
    <col min="773" max="773" width="14.42578125" style="16" customWidth="1"/>
    <col min="774" max="774" width="12.42578125" style="16" customWidth="1"/>
    <col min="775" max="775" width="13" style="16" customWidth="1"/>
    <col min="776" max="776" width="11.5703125" style="16" customWidth="1"/>
    <col min="777" max="777" width="11.42578125" style="16" customWidth="1"/>
    <col min="778" max="778" width="14" style="16" customWidth="1"/>
    <col min="779" max="779" width="8.42578125" style="16" customWidth="1"/>
    <col min="780" max="780" width="7.42578125" style="16" bestFit="1" customWidth="1"/>
    <col min="781" max="781" width="5.5703125" style="16" customWidth="1"/>
    <col min="782" max="782" width="19.42578125" style="16" bestFit="1" customWidth="1"/>
    <col min="783" max="1024" width="11.5703125" style="16"/>
    <col min="1025" max="1025" width="3.42578125" style="16" customWidth="1"/>
    <col min="1026" max="1026" width="5.42578125" style="16" bestFit="1" customWidth="1"/>
    <col min="1027" max="1027" width="43.42578125" style="16" customWidth="1"/>
    <col min="1028" max="1028" width="7.5703125" style="16" customWidth="1"/>
    <col min="1029" max="1029" width="14.42578125" style="16" customWidth="1"/>
    <col min="1030" max="1030" width="12.42578125" style="16" customWidth="1"/>
    <col min="1031" max="1031" width="13" style="16" customWidth="1"/>
    <col min="1032" max="1032" width="11.5703125" style="16" customWidth="1"/>
    <col min="1033" max="1033" width="11.42578125" style="16" customWidth="1"/>
    <col min="1034" max="1034" width="14" style="16" customWidth="1"/>
    <col min="1035" max="1035" width="8.42578125" style="16" customWidth="1"/>
    <col min="1036" max="1036" width="7.42578125" style="16" bestFit="1" customWidth="1"/>
    <col min="1037" max="1037" width="5.5703125" style="16" customWidth="1"/>
    <col min="1038" max="1038" width="19.42578125" style="16" bestFit="1" customWidth="1"/>
    <col min="1039" max="1280" width="11.5703125" style="16"/>
    <col min="1281" max="1281" width="3.42578125" style="16" customWidth="1"/>
    <col min="1282" max="1282" width="5.42578125" style="16" bestFit="1" customWidth="1"/>
    <col min="1283" max="1283" width="43.42578125" style="16" customWidth="1"/>
    <col min="1284" max="1284" width="7.5703125" style="16" customWidth="1"/>
    <col min="1285" max="1285" width="14.42578125" style="16" customWidth="1"/>
    <col min="1286" max="1286" width="12.42578125" style="16" customWidth="1"/>
    <col min="1287" max="1287" width="13" style="16" customWidth="1"/>
    <col min="1288" max="1288" width="11.5703125" style="16" customWidth="1"/>
    <col min="1289" max="1289" width="11.42578125" style="16" customWidth="1"/>
    <col min="1290" max="1290" width="14" style="16" customWidth="1"/>
    <col min="1291" max="1291" width="8.42578125" style="16" customWidth="1"/>
    <col min="1292" max="1292" width="7.42578125" style="16" bestFit="1" customWidth="1"/>
    <col min="1293" max="1293" width="5.5703125" style="16" customWidth="1"/>
    <col min="1294" max="1294" width="19.42578125" style="16" bestFit="1" customWidth="1"/>
    <col min="1295" max="1536" width="11.5703125" style="16"/>
    <col min="1537" max="1537" width="3.42578125" style="16" customWidth="1"/>
    <col min="1538" max="1538" width="5.42578125" style="16" bestFit="1" customWidth="1"/>
    <col min="1539" max="1539" width="43.42578125" style="16" customWidth="1"/>
    <col min="1540" max="1540" width="7.5703125" style="16" customWidth="1"/>
    <col min="1541" max="1541" width="14.42578125" style="16" customWidth="1"/>
    <col min="1542" max="1542" width="12.42578125" style="16" customWidth="1"/>
    <col min="1543" max="1543" width="13" style="16" customWidth="1"/>
    <col min="1544" max="1544" width="11.5703125" style="16" customWidth="1"/>
    <col min="1545" max="1545" width="11.42578125" style="16" customWidth="1"/>
    <col min="1546" max="1546" width="14" style="16" customWidth="1"/>
    <col min="1547" max="1547" width="8.42578125" style="16" customWidth="1"/>
    <col min="1548" max="1548" width="7.42578125" style="16" bestFit="1" customWidth="1"/>
    <col min="1549" max="1549" width="5.5703125" style="16" customWidth="1"/>
    <col min="1550" max="1550" width="19.42578125" style="16" bestFit="1" customWidth="1"/>
    <col min="1551" max="1792" width="11.5703125" style="16"/>
    <col min="1793" max="1793" width="3.42578125" style="16" customWidth="1"/>
    <col min="1794" max="1794" width="5.42578125" style="16" bestFit="1" customWidth="1"/>
    <col min="1795" max="1795" width="43.42578125" style="16" customWidth="1"/>
    <col min="1796" max="1796" width="7.5703125" style="16" customWidth="1"/>
    <col min="1797" max="1797" width="14.42578125" style="16" customWidth="1"/>
    <col min="1798" max="1798" width="12.42578125" style="16" customWidth="1"/>
    <col min="1799" max="1799" width="13" style="16" customWidth="1"/>
    <col min="1800" max="1800" width="11.5703125" style="16" customWidth="1"/>
    <col min="1801" max="1801" width="11.42578125" style="16" customWidth="1"/>
    <col min="1802" max="1802" width="14" style="16" customWidth="1"/>
    <col min="1803" max="1803" width="8.42578125" style="16" customWidth="1"/>
    <col min="1804" max="1804" width="7.42578125" style="16" bestFit="1" customWidth="1"/>
    <col min="1805" max="1805" width="5.5703125" style="16" customWidth="1"/>
    <col min="1806" max="1806" width="19.42578125" style="16" bestFit="1" customWidth="1"/>
    <col min="1807" max="2048" width="11.5703125" style="16"/>
    <col min="2049" max="2049" width="3.42578125" style="16" customWidth="1"/>
    <col min="2050" max="2050" width="5.42578125" style="16" bestFit="1" customWidth="1"/>
    <col min="2051" max="2051" width="43.42578125" style="16" customWidth="1"/>
    <col min="2052" max="2052" width="7.5703125" style="16" customWidth="1"/>
    <col min="2053" max="2053" width="14.42578125" style="16" customWidth="1"/>
    <col min="2054" max="2054" width="12.42578125" style="16" customWidth="1"/>
    <col min="2055" max="2055" width="13" style="16" customWidth="1"/>
    <col min="2056" max="2056" width="11.5703125" style="16" customWidth="1"/>
    <col min="2057" max="2057" width="11.42578125" style="16" customWidth="1"/>
    <col min="2058" max="2058" width="14" style="16" customWidth="1"/>
    <col min="2059" max="2059" width="8.42578125" style="16" customWidth="1"/>
    <col min="2060" max="2060" width="7.42578125" style="16" bestFit="1" customWidth="1"/>
    <col min="2061" max="2061" width="5.5703125" style="16" customWidth="1"/>
    <col min="2062" max="2062" width="19.42578125" style="16" bestFit="1" customWidth="1"/>
    <col min="2063" max="2304" width="11.5703125" style="16"/>
    <col min="2305" max="2305" width="3.42578125" style="16" customWidth="1"/>
    <col min="2306" max="2306" width="5.42578125" style="16" bestFit="1" customWidth="1"/>
    <col min="2307" max="2307" width="43.42578125" style="16" customWidth="1"/>
    <col min="2308" max="2308" width="7.5703125" style="16" customWidth="1"/>
    <col min="2309" max="2309" width="14.42578125" style="16" customWidth="1"/>
    <col min="2310" max="2310" width="12.42578125" style="16" customWidth="1"/>
    <col min="2311" max="2311" width="13" style="16" customWidth="1"/>
    <col min="2312" max="2312" width="11.5703125" style="16" customWidth="1"/>
    <col min="2313" max="2313" width="11.42578125" style="16" customWidth="1"/>
    <col min="2314" max="2314" width="14" style="16" customWidth="1"/>
    <col min="2315" max="2315" width="8.42578125" style="16" customWidth="1"/>
    <col min="2316" max="2316" width="7.42578125" style="16" bestFit="1" customWidth="1"/>
    <col min="2317" max="2317" width="5.5703125" style="16" customWidth="1"/>
    <col min="2318" max="2318" width="19.42578125" style="16" bestFit="1" customWidth="1"/>
    <col min="2319" max="2560" width="11.5703125" style="16"/>
    <col min="2561" max="2561" width="3.42578125" style="16" customWidth="1"/>
    <col min="2562" max="2562" width="5.42578125" style="16" bestFit="1" customWidth="1"/>
    <col min="2563" max="2563" width="43.42578125" style="16" customWidth="1"/>
    <col min="2564" max="2564" width="7.5703125" style="16" customWidth="1"/>
    <col min="2565" max="2565" width="14.42578125" style="16" customWidth="1"/>
    <col min="2566" max="2566" width="12.42578125" style="16" customWidth="1"/>
    <col min="2567" max="2567" width="13" style="16" customWidth="1"/>
    <col min="2568" max="2568" width="11.5703125" style="16" customWidth="1"/>
    <col min="2569" max="2569" width="11.42578125" style="16" customWidth="1"/>
    <col min="2570" max="2570" width="14" style="16" customWidth="1"/>
    <col min="2571" max="2571" width="8.42578125" style="16" customWidth="1"/>
    <col min="2572" max="2572" width="7.42578125" style="16" bestFit="1" customWidth="1"/>
    <col min="2573" max="2573" width="5.5703125" style="16" customWidth="1"/>
    <col min="2574" max="2574" width="19.42578125" style="16" bestFit="1" customWidth="1"/>
    <col min="2575" max="2816" width="11.5703125" style="16"/>
    <col min="2817" max="2817" width="3.42578125" style="16" customWidth="1"/>
    <col min="2818" max="2818" width="5.42578125" style="16" bestFit="1" customWidth="1"/>
    <col min="2819" max="2819" width="43.42578125" style="16" customWidth="1"/>
    <col min="2820" max="2820" width="7.5703125" style="16" customWidth="1"/>
    <col min="2821" max="2821" width="14.42578125" style="16" customWidth="1"/>
    <col min="2822" max="2822" width="12.42578125" style="16" customWidth="1"/>
    <col min="2823" max="2823" width="13" style="16" customWidth="1"/>
    <col min="2824" max="2824" width="11.5703125" style="16" customWidth="1"/>
    <col min="2825" max="2825" width="11.42578125" style="16" customWidth="1"/>
    <col min="2826" max="2826" width="14" style="16" customWidth="1"/>
    <col min="2827" max="2827" width="8.42578125" style="16" customWidth="1"/>
    <col min="2828" max="2828" width="7.42578125" style="16" bestFit="1" customWidth="1"/>
    <col min="2829" max="2829" width="5.5703125" style="16" customWidth="1"/>
    <col min="2830" max="2830" width="19.42578125" style="16" bestFit="1" customWidth="1"/>
    <col min="2831" max="3072" width="11.5703125" style="16"/>
    <col min="3073" max="3073" width="3.42578125" style="16" customWidth="1"/>
    <col min="3074" max="3074" width="5.42578125" style="16" bestFit="1" customWidth="1"/>
    <col min="3075" max="3075" width="43.42578125" style="16" customWidth="1"/>
    <col min="3076" max="3076" width="7.5703125" style="16" customWidth="1"/>
    <col min="3077" max="3077" width="14.42578125" style="16" customWidth="1"/>
    <col min="3078" max="3078" width="12.42578125" style="16" customWidth="1"/>
    <col min="3079" max="3079" width="13" style="16" customWidth="1"/>
    <col min="3080" max="3080" width="11.5703125" style="16" customWidth="1"/>
    <col min="3081" max="3081" width="11.42578125" style="16" customWidth="1"/>
    <col min="3082" max="3082" width="14" style="16" customWidth="1"/>
    <col min="3083" max="3083" width="8.42578125" style="16" customWidth="1"/>
    <col min="3084" max="3084" width="7.42578125" style="16" bestFit="1" customWidth="1"/>
    <col min="3085" max="3085" width="5.5703125" style="16" customWidth="1"/>
    <col min="3086" max="3086" width="19.42578125" style="16" bestFit="1" customWidth="1"/>
    <col min="3087" max="3328" width="11.5703125" style="16"/>
    <col min="3329" max="3329" width="3.42578125" style="16" customWidth="1"/>
    <col min="3330" max="3330" width="5.42578125" style="16" bestFit="1" customWidth="1"/>
    <col min="3331" max="3331" width="43.42578125" style="16" customWidth="1"/>
    <col min="3332" max="3332" width="7.5703125" style="16" customWidth="1"/>
    <col min="3333" max="3333" width="14.42578125" style="16" customWidth="1"/>
    <col min="3334" max="3334" width="12.42578125" style="16" customWidth="1"/>
    <col min="3335" max="3335" width="13" style="16" customWidth="1"/>
    <col min="3336" max="3336" width="11.5703125" style="16" customWidth="1"/>
    <col min="3337" max="3337" width="11.42578125" style="16" customWidth="1"/>
    <col min="3338" max="3338" width="14" style="16" customWidth="1"/>
    <col min="3339" max="3339" width="8.42578125" style="16" customWidth="1"/>
    <col min="3340" max="3340" width="7.42578125" style="16" bestFit="1" customWidth="1"/>
    <col min="3341" max="3341" width="5.5703125" style="16" customWidth="1"/>
    <col min="3342" max="3342" width="19.42578125" style="16" bestFit="1" customWidth="1"/>
    <col min="3343" max="3584" width="11.5703125" style="16"/>
    <col min="3585" max="3585" width="3.42578125" style="16" customWidth="1"/>
    <col min="3586" max="3586" width="5.42578125" style="16" bestFit="1" customWidth="1"/>
    <col min="3587" max="3587" width="43.42578125" style="16" customWidth="1"/>
    <col min="3588" max="3588" width="7.5703125" style="16" customWidth="1"/>
    <col min="3589" max="3589" width="14.42578125" style="16" customWidth="1"/>
    <col min="3590" max="3590" width="12.42578125" style="16" customWidth="1"/>
    <col min="3591" max="3591" width="13" style="16" customWidth="1"/>
    <col min="3592" max="3592" width="11.5703125" style="16" customWidth="1"/>
    <col min="3593" max="3593" width="11.42578125" style="16" customWidth="1"/>
    <col min="3594" max="3594" width="14" style="16" customWidth="1"/>
    <col min="3595" max="3595" width="8.42578125" style="16" customWidth="1"/>
    <col min="3596" max="3596" width="7.42578125" style="16" bestFit="1" customWidth="1"/>
    <col min="3597" max="3597" width="5.5703125" style="16" customWidth="1"/>
    <col min="3598" max="3598" width="19.42578125" style="16" bestFit="1" customWidth="1"/>
    <col min="3599" max="3840" width="11.5703125" style="16"/>
    <col min="3841" max="3841" width="3.42578125" style="16" customWidth="1"/>
    <col min="3842" max="3842" width="5.42578125" style="16" bestFit="1" customWidth="1"/>
    <col min="3843" max="3843" width="43.42578125" style="16" customWidth="1"/>
    <col min="3844" max="3844" width="7.5703125" style="16" customWidth="1"/>
    <col min="3845" max="3845" width="14.42578125" style="16" customWidth="1"/>
    <col min="3846" max="3846" width="12.42578125" style="16" customWidth="1"/>
    <col min="3847" max="3847" width="13" style="16" customWidth="1"/>
    <col min="3848" max="3848" width="11.5703125" style="16" customWidth="1"/>
    <col min="3849" max="3849" width="11.42578125" style="16" customWidth="1"/>
    <col min="3850" max="3850" width="14" style="16" customWidth="1"/>
    <col min="3851" max="3851" width="8.42578125" style="16" customWidth="1"/>
    <col min="3852" max="3852" width="7.42578125" style="16" bestFit="1" customWidth="1"/>
    <col min="3853" max="3853" width="5.5703125" style="16" customWidth="1"/>
    <col min="3854" max="3854" width="19.42578125" style="16" bestFit="1" customWidth="1"/>
    <col min="3855" max="4096" width="11.5703125" style="16"/>
    <col min="4097" max="4097" width="3.42578125" style="16" customWidth="1"/>
    <col min="4098" max="4098" width="5.42578125" style="16" bestFit="1" customWidth="1"/>
    <col min="4099" max="4099" width="43.42578125" style="16" customWidth="1"/>
    <col min="4100" max="4100" width="7.5703125" style="16" customWidth="1"/>
    <col min="4101" max="4101" width="14.42578125" style="16" customWidth="1"/>
    <col min="4102" max="4102" width="12.42578125" style="16" customWidth="1"/>
    <col min="4103" max="4103" width="13" style="16" customWidth="1"/>
    <col min="4104" max="4104" width="11.5703125" style="16" customWidth="1"/>
    <col min="4105" max="4105" width="11.42578125" style="16" customWidth="1"/>
    <col min="4106" max="4106" width="14" style="16" customWidth="1"/>
    <col min="4107" max="4107" width="8.42578125" style="16" customWidth="1"/>
    <col min="4108" max="4108" width="7.42578125" style="16" bestFit="1" customWidth="1"/>
    <col min="4109" max="4109" width="5.5703125" style="16" customWidth="1"/>
    <col min="4110" max="4110" width="19.42578125" style="16" bestFit="1" customWidth="1"/>
    <col min="4111" max="4352" width="11.5703125" style="16"/>
    <col min="4353" max="4353" width="3.42578125" style="16" customWidth="1"/>
    <col min="4354" max="4354" width="5.42578125" style="16" bestFit="1" customWidth="1"/>
    <col min="4355" max="4355" width="43.42578125" style="16" customWidth="1"/>
    <col min="4356" max="4356" width="7.5703125" style="16" customWidth="1"/>
    <col min="4357" max="4357" width="14.42578125" style="16" customWidth="1"/>
    <col min="4358" max="4358" width="12.42578125" style="16" customWidth="1"/>
    <col min="4359" max="4359" width="13" style="16" customWidth="1"/>
    <col min="4360" max="4360" width="11.5703125" style="16" customWidth="1"/>
    <col min="4361" max="4361" width="11.42578125" style="16" customWidth="1"/>
    <col min="4362" max="4362" width="14" style="16" customWidth="1"/>
    <col min="4363" max="4363" width="8.42578125" style="16" customWidth="1"/>
    <col min="4364" max="4364" width="7.42578125" style="16" bestFit="1" customWidth="1"/>
    <col min="4365" max="4365" width="5.5703125" style="16" customWidth="1"/>
    <col min="4366" max="4366" width="19.42578125" style="16" bestFit="1" customWidth="1"/>
    <col min="4367" max="4608" width="11.5703125" style="16"/>
    <col min="4609" max="4609" width="3.42578125" style="16" customWidth="1"/>
    <col min="4610" max="4610" width="5.42578125" style="16" bestFit="1" customWidth="1"/>
    <col min="4611" max="4611" width="43.42578125" style="16" customWidth="1"/>
    <col min="4612" max="4612" width="7.5703125" style="16" customWidth="1"/>
    <col min="4613" max="4613" width="14.42578125" style="16" customWidth="1"/>
    <col min="4614" max="4614" width="12.42578125" style="16" customWidth="1"/>
    <col min="4615" max="4615" width="13" style="16" customWidth="1"/>
    <col min="4616" max="4616" width="11.5703125" style="16" customWidth="1"/>
    <col min="4617" max="4617" width="11.42578125" style="16" customWidth="1"/>
    <col min="4618" max="4618" width="14" style="16" customWidth="1"/>
    <col min="4619" max="4619" width="8.42578125" style="16" customWidth="1"/>
    <col min="4620" max="4620" width="7.42578125" style="16" bestFit="1" customWidth="1"/>
    <col min="4621" max="4621" width="5.5703125" style="16" customWidth="1"/>
    <col min="4622" max="4622" width="19.42578125" style="16" bestFit="1" customWidth="1"/>
    <col min="4623" max="4864" width="11.5703125" style="16"/>
    <col min="4865" max="4865" width="3.42578125" style="16" customWidth="1"/>
    <col min="4866" max="4866" width="5.42578125" style="16" bestFit="1" customWidth="1"/>
    <col min="4867" max="4867" width="43.42578125" style="16" customWidth="1"/>
    <col min="4868" max="4868" width="7.5703125" style="16" customWidth="1"/>
    <col min="4869" max="4869" width="14.42578125" style="16" customWidth="1"/>
    <col min="4870" max="4870" width="12.42578125" style="16" customWidth="1"/>
    <col min="4871" max="4871" width="13" style="16" customWidth="1"/>
    <col min="4872" max="4872" width="11.5703125" style="16" customWidth="1"/>
    <col min="4873" max="4873" width="11.42578125" style="16" customWidth="1"/>
    <col min="4874" max="4874" width="14" style="16" customWidth="1"/>
    <col min="4875" max="4875" width="8.42578125" style="16" customWidth="1"/>
    <col min="4876" max="4876" width="7.42578125" style="16" bestFit="1" customWidth="1"/>
    <col min="4877" max="4877" width="5.5703125" style="16" customWidth="1"/>
    <col min="4878" max="4878" width="19.42578125" style="16" bestFit="1" customWidth="1"/>
    <col min="4879" max="5120" width="11.5703125" style="16"/>
    <col min="5121" max="5121" width="3.42578125" style="16" customWidth="1"/>
    <col min="5122" max="5122" width="5.42578125" style="16" bestFit="1" customWidth="1"/>
    <col min="5123" max="5123" width="43.42578125" style="16" customWidth="1"/>
    <col min="5124" max="5124" width="7.5703125" style="16" customWidth="1"/>
    <col min="5125" max="5125" width="14.42578125" style="16" customWidth="1"/>
    <col min="5126" max="5126" width="12.42578125" style="16" customWidth="1"/>
    <col min="5127" max="5127" width="13" style="16" customWidth="1"/>
    <col min="5128" max="5128" width="11.5703125" style="16" customWidth="1"/>
    <col min="5129" max="5129" width="11.42578125" style="16" customWidth="1"/>
    <col min="5130" max="5130" width="14" style="16" customWidth="1"/>
    <col min="5131" max="5131" width="8.42578125" style="16" customWidth="1"/>
    <col min="5132" max="5132" width="7.42578125" style="16" bestFit="1" customWidth="1"/>
    <col min="5133" max="5133" width="5.5703125" style="16" customWidth="1"/>
    <col min="5134" max="5134" width="19.42578125" style="16" bestFit="1" customWidth="1"/>
    <col min="5135" max="5376" width="11.5703125" style="16"/>
    <col min="5377" max="5377" width="3.42578125" style="16" customWidth="1"/>
    <col min="5378" max="5378" width="5.42578125" style="16" bestFit="1" customWidth="1"/>
    <col min="5379" max="5379" width="43.42578125" style="16" customWidth="1"/>
    <col min="5380" max="5380" width="7.5703125" style="16" customWidth="1"/>
    <col min="5381" max="5381" width="14.42578125" style="16" customWidth="1"/>
    <col min="5382" max="5382" width="12.42578125" style="16" customWidth="1"/>
    <col min="5383" max="5383" width="13" style="16" customWidth="1"/>
    <col min="5384" max="5384" width="11.5703125" style="16" customWidth="1"/>
    <col min="5385" max="5385" width="11.42578125" style="16" customWidth="1"/>
    <col min="5386" max="5386" width="14" style="16" customWidth="1"/>
    <col min="5387" max="5387" width="8.42578125" style="16" customWidth="1"/>
    <col min="5388" max="5388" width="7.42578125" style="16" bestFit="1" customWidth="1"/>
    <col min="5389" max="5389" width="5.5703125" style="16" customWidth="1"/>
    <col min="5390" max="5390" width="19.42578125" style="16" bestFit="1" customWidth="1"/>
    <col min="5391" max="5632" width="11.5703125" style="16"/>
    <col min="5633" max="5633" width="3.42578125" style="16" customWidth="1"/>
    <col min="5634" max="5634" width="5.42578125" style="16" bestFit="1" customWidth="1"/>
    <col min="5635" max="5635" width="43.42578125" style="16" customWidth="1"/>
    <col min="5636" max="5636" width="7.5703125" style="16" customWidth="1"/>
    <col min="5637" max="5637" width="14.42578125" style="16" customWidth="1"/>
    <col min="5638" max="5638" width="12.42578125" style="16" customWidth="1"/>
    <col min="5639" max="5639" width="13" style="16" customWidth="1"/>
    <col min="5640" max="5640" width="11.5703125" style="16" customWidth="1"/>
    <col min="5641" max="5641" width="11.42578125" style="16" customWidth="1"/>
    <col min="5642" max="5642" width="14" style="16" customWidth="1"/>
    <col min="5643" max="5643" width="8.42578125" style="16" customWidth="1"/>
    <col min="5644" max="5644" width="7.42578125" style="16" bestFit="1" customWidth="1"/>
    <col min="5645" max="5645" width="5.5703125" style="16" customWidth="1"/>
    <col min="5646" max="5646" width="19.42578125" style="16" bestFit="1" customWidth="1"/>
    <col min="5647" max="5888" width="11.5703125" style="16"/>
    <col min="5889" max="5889" width="3.42578125" style="16" customWidth="1"/>
    <col min="5890" max="5890" width="5.42578125" style="16" bestFit="1" customWidth="1"/>
    <col min="5891" max="5891" width="43.42578125" style="16" customWidth="1"/>
    <col min="5892" max="5892" width="7.5703125" style="16" customWidth="1"/>
    <col min="5893" max="5893" width="14.42578125" style="16" customWidth="1"/>
    <col min="5894" max="5894" width="12.42578125" style="16" customWidth="1"/>
    <col min="5895" max="5895" width="13" style="16" customWidth="1"/>
    <col min="5896" max="5896" width="11.5703125" style="16" customWidth="1"/>
    <col min="5897" max="5897" width="11.42578125" style="16" customWidth="1"/>
    <col min="5898" max="5898" width="14" style="16" customWidth="1"/>
    <col min="5899" max="5899" width="8.42578125" style="16" customWidth="1"/>
    <col min="5900" max="5900" width="7.42578125" style="16" bestFit="1" customWidth="1"/>
    <col min="5901" max="5901" width="5.5703125" style="16" customWidth="1"/>
    <col min="5902" max="5902" width="19.42578125" style="16" bestFit="1" customWidth="1"/>
    <col min="5903" max="6144" width="11.5703125" style="16"/>
    <col min="6145" max="6145" width="3.42578125" style="16" customWidth="1"/>
    <col min="6146" max="6146" width="5.42578125" style="16" bestFit="1" customWidth="1"/>
    <col min="6147" max="6147" width="43.42578125" style="16" customWidth="1"/>
    <col min="6148" max="6148" width="7.5703125" style="16" customWidth="1"/>
    <col min="6149" max="6149" width="14.42578125" style="16" customWidth="1"/>
    <col min="6150" max="6150" width="12.42578125" style="16" customWidth="1"/>
    <col min="6151" max="6151" width="13" style="16" customWidth="1"/>
    <col min="6152" max="6152" width="11.5703125" style="16" customWidth="1"/>
    <col min="6153" max="6153" width="11.42578125" style="16" customWidth="1"/>
    <col min="6154" max="6154" width="14" style="16" customWidth="1"/>
    <col min="6155" max="6155" width="8.42578125" style="16" customWidth="1"/>
    <col min="6156" max="6156" width="7.42578125" style="16" bestFit="1" customWidth="1"/>
    <col min="6157" max="6157" width="5.5703125" style="16" customWidth="1"/>
    <col min="6158" max="6158" width="19.42578125" style="16" bestFit="1" customWidth="1"/>
    <col min="6159" max="6400" width="11.5703125" style="16"/>
    <col min="6401" max="6401" width="3.42578125" style="16" customWidth="1"/>
    <col min="6402" max="6402" width="5.42578125" style="16" bestFit="1" customWidth="1"/>
    <col min="6403" max="6403" width="43.42578125" style="16" customWidth="1"/>
    <col min="6404" max="6404" width="7.5703125" style="16" customWidth="1"/>
    <col min="6405" max="6405" width="14.42578125" style="16" customWidth="1"/>
    <col min="6406" max="6406" width="12.42578125" style="16" customWidth="1"/>
    <col min="6407" max="6407" width="13" style="16" customWidth="1"/>
    <col min="6408" max="6408" width="11.5703125" style="16" customWidth="1"/>
    <col min="6409" max="6409" width="11.42578125" style="16" customWidth="1"/>
    <col min="6410" max="6410" width="14" style="16" customWidth="1"/>
    <col min="6411" max="6411" width="8.42578125" style="16" customWidth="1"/>
    <col min="6412" max="6412" width="7.42578125" style="16" bestFit="1" customWidth="1"/>
    <col min="6413" max="6413" width="5.5703125" style="16" customWidth="1"/>
    <col min="6414" max="6414" width="19.42578125" style="16" bestFit="1" customWidth="1"/>
    <col min="6415" max="6656" width="11.5703125" style="16"/>
    <col min="6657" max="6657" width="3.42578125" style="16" customWidth="1"/>
    <col min="6658" max="6658" width="5.42578125" style="16" bestFit="1" customWidth="1"/>
    <col min="6659" max="6659" width="43.42578125" style="16" customWidth="1"/>
    <col min="6660" max="6660" width="7.5703125" style="16" customWidth="1"/>
    <col min="6661" max="6661" width="14.42578125" style="16" customWidth="1"/>
    <col min="6662" max="6662" width="12.42578125" style="16" customWidth="1"/>
    <col min="6663" max="6663" width="13" style="16" customWidth="1"/>
    <col min="6664" max="6664" width="11.5703125" style="16" customWidth="1"/>
    <col min="6665" max="6665" width="11.42578125" style="16" customWidth="1"/>
    <col min="6666" max="6666" width="14" style="16" customWidth="1"/>
    <col min="6667" max="6667" width="8.42578125" style="16" customWidth="1"/>
    <col min="6668" max="6668" width="7.42578125" style="16" bestFit="1" customWidth="1"/>
    <col min="6669" max="6669" width="5.5703125" style="16" customWidth="1"/>
    <col min="6670" max="6670" width="19.42578125" style="16" bestFit="1" customWidth="1"/>
    <col min="6671" max="6912" width="11.5703125" style="16"/>
    <col min="6913" max="6913" width="3.42578125" style="16" customWidth="1"/>
    <col min="6914" max="6914" width="5.42578125" style="16" bestFit="1" customWidth="1"/>
    <col min="6915" max="6915" width="43.42578125" style="16" customWidth="1"/>
    <col min="6916" max="6916" width="7.5703125" style="16" customWidth="1"/>
    <col min="6917" max="6917" width="14.42578125" style="16" customWidth="1"/>
    <col min="6918" max="6918" width="12.42578125" style="16" customWidth="1"/>
    <col min="6919" max="6919" width="13" style="16" customWidth="1"/>
    <col min="6920" max="6920" width="11.5703125" style="16" customWidth="1"/>
    <col min="6921" max="6921" width="11.42578125" style="16" customWidth="1"/>
    <col min="6922" max="6922" width="14" style="16" customWidth="1"/>
    <col min="6923" max="6923" width="8.42578125" style="16" customWidth="1"/>
    <col min="6924" max="6924" width="7.42578125" style="16" bestFit="1" customWidth="1"/>
    <col min="6925" max="6925" width="5.5703125" style="16" customWidth="1"/>
    <col min="6926" max="6926" width="19.42578125" style="16" bestFit="1" customWidth="1"/>
    <col min="6927" max="7168" width="11.5703125" style="16"/>
    <col min="7169" max="7169" width="3.42578125" style="16" customWidth="1"/>
    <col min="7170" max="7170" width="5.42578125" style="16" bestFit="1" customWidth="1"/>
    <col min="7171" max="7171" width="43.42578125" style="16" customWidth="1"/>
    <col min="7172" max="7172" width="7.5703125" style="16" customWidth="1"/>
    <col min="7173" max="7173" width="14.42578125" style="16" customWidth="1"/>
    <col min="7174" max="7174" width="12.42578125" style="16" customWidth="1"/>
    <col min="7175" max="7175" width="13" style="16" customWidth="1"/>
    <col min="7176" max="7176" width="11.5703125" style="16" customWidth="1"/>
    <col min="7177" max="7177" width="11.42578125" style="16" customWidth="1"/>
    <col min="7178" max="7178" width="14" style="16" customWidth="1"/>
    <col min="7179" max="7179" width="8.42578125" style="16" customWidth="1"/>
    <col min="7180" max="7180" width="7.42578125" style="16" bestFit="1" customWidth="1"/>
    <col min="7181" max="7181" width="5.5703125" style="16" customWidth="1"/>
    <col min="7182" max="7182" width="19.42578125" style="16" bestFit="1" customWidth="1"/>
    <col min="7183" max="7424" width="11.5703125" style="16"/>
    <col min="7425" max="7425" width="3.42578125" style="16" customWidth="1"/>
    <col min="7426" max="7426" width="5.42578125" style="16" bestFit="1" customWidth="1"/>
    <col min="7427" max="7427" width="43.42578125" style="16" customWidth="1"/>
    <col min="7428" max="7428" width="7.5703125" style="16" customWidth="1"/>
    <col min="7429" max="7429" width="14.42578125" style="16" customWidth="1"/>
    <col min="7430" max="7430" width="12.42578125" style="16" customWidth="1"/>
    <col min="7431" max="7431" width="13" style="16" customWidth="1"/>
    <col min="7432" max="7432" width="11.5703125" style="16" customWidth="1"/>
    <col min="7433" max="7433" width="11.42578125" style="16" customWidth="1"/>
    <col min="7434" max="7434" width="14" style="16" customWidth="1"/>
    <col min="7435" max="7435" width="8.42578125" style="16" customWidth="1"/>
    <col min="7436" max="7436" width="7.42578125" style="16" bestFit="1" customWidth="1"/>
    <col min="7437" max="7437" width="5.5703125" style="16" customWidth="1"/>
    <col min="7438" max="7438" width="19.42578125" style="16" bestFit="1" customWidth="1"/>
    <col min="7439" max="7680" width="11.5703125" style="16"/>
    <col min="7681" max="7681" width="3.42578125" style="16" customWidth="1"/>
    <col min="7682" max="7682" width="5.42578125" style="16" bestFit="1" customWidth="1"/>
    <col min="7683" max="7683" width="43.42578125" style="16" customWidth="1"/>
    <col min="7684" max="7684" width="7.5703125" style="16" customWidth="1"/>
    <col min="7685" max="7685" width="14.42578125" style="16" customWidth="1"/>
    <col min="7686" max="7686" width="12.42578125" style="16" customWidth="1"/>
    <col min="7687" max="7687" width="13" style="16" customWidth="1"/>
    <col min="7688" max="7688" width="11.5703125" style="16" customWidth="1"/>
    <col min="7689" max="7689" width="11.42578125" style="16" customWidth="1"/>
    <col min="7690" max="7690" width="14" style="16" customWidth="1"/>
    <col min="7691" max="7691" width="8.42578125" style="16" customWidth="1"/>
    <col min="7692" max="7692" width="7.42578125" style="16" bestFit="1" customWidth="1"/>
    <col min="7693" max="7693" width="5.5703125" style="16" customWidth="1"/>
    <col min="7694" max="7694" width="19.42578125" style="16" bestFit="1" customWidth="1"/>
    <col min="7695" max="7936" width="11.5703125" style="16"/>
    <col min="7937" max="7937" width="3.42578125" style="16" customWidth="1"/>
    <col min="7938" max="7938" width="5.42578125" style="16" bestFit="1" customWidth="1"/>
    <col min="7939" max="7939" width="43.42578125" style="16" customWidth="1"/>
    <col min="7940" max="7940" width="7.5703125" style="16" customWidth="1"/>
    <col min="7941" max="7941" width="14.42578125" style="16" customWidth="1"/>
    <col min="7942" max="7942" width="12.42578125" style="16" customWidth="1"/>
    <col min="7943" max="7943" width="13" style="16" customWidth="1"/>
    <col min="7944" max="7944" width="11.5703125" style="16" customWidth="1"/>
    <col min="7945" max="7945" width="11.42578125" style="16" customWidth="1"/>
    <col min="7946" max="7946" width="14" style="16" customWidth="1"/>
    <col min="7947" max="7947" width="8.42578125" style="16" customWidth="1"/>
    <col min="7948" max="7948" width="7.42578125" style="16" bestFit="1" customWidth="1"/>
    <col min="7949" max="7949" width="5.5703125" style="16" customWidth="1"/>
    <col min="7950" max="7950" width="19.42578125" style="16" bestFit="1" customWidth="1"/>
    <col min="7951" max="8192" width="11.5703125" style="16"/>
    <col min="8193" max="8193" width="3.42578125" style="16" customWidth="1"/>
    <col min="8194" max="8194" width="5.42578125" style="16" bestFit="1" customWidth="1"/>
    <col min="8195" max="8195" width="43.42578125" style="16" customWidth="1"/>
    <col min="8196" max="8196" width="7.5703125" style="16" customWidth="1"/>
    <col min="8197" max="8197" width="14.42578125" style="16" customWidth="1"/>
    <col min="8198" max="8198" width="12.42578125" style="16" customWidth="1"/>
    <col min="8199" max="8199" width="13" style="16" customWidth="1"/>
    <col min="8200" max="8200" width="11.5703125" style="16" customWidth="1"/>
    <col min="8201" max="8201" width="11.42578125" style="16" customWidth="1"/>
    <col min="8202" max="8202" width="14" style="16" customWidth="1"/>
    <col min="8203" max="8203" width="8.42578125" style="16" customWidth="1"/>
    <col min="8204" max="8204" width="7.42578125" style="16" bestFit="1" customWidth="1"/>
    <col min="8205" max="8205" width="5.5703125" style="16" customWidth="1"/>
    <col min="8206" max="8206" width="19.42578125" style="16" bestFit="1" customWidth="1"/>
    <col min="8207" max="8448" width="11.5703125" style="16"/>
    <col min="8449" max="8449" width="3.42578125" style="16" customWidth="1"/>
    <col min="8450" max="8450" width="5.42578125" style="16" bestFit="1" customWidth="1"/>
    <col min="8451" max="8451" width="43.42578125" style="16" customWidth="1"/>
    <col min="8452" max="8452" width="7.5703125" style="16" customWidth="1"/>
    <col min="8453" max="8453" width="14.42578125" style="16" customWidth="1"/>
    <col min="8454" max="8454" width="12.42578125" style="16" customWidth="1"/>
    <col min="8455" max="8455" width="13" style="16" customWidth="1"/>
    <col min="8456" max="8456" width="11.5703125" style="16" customWidth="1"/>
    <col min="8457" max="8457" width="11.42578125" style="16" customWidth="1"/>
    <col min="8458" max="8458" width="14" style="16" customWidth="1"/>
    <col min="8459" max="8459" width="8.42578125" style="16" customWidth="1"/>
    <col min="8460" max="8460" width="7.42578125" style="16" bestFit="1" customWidth="1"/>
    <col min="8461" max="8461" width="5.5703125" style="16" customWidth="1"/>
    <col min="8462" max="8462" width="19.42578125" style="16" bestFit="1" customWidth="1"/>
    <col min="8463" max="8704" width="11.5703125" style="16"/>
    <col min="8705" max="8705" width="3.42578125" style="16" customWidth="1"/>
    <col min="8706" max="8706" width="5.42578125" style="16" bestFit="1" customWidth="1"/>
    <col min="8707" max="8707" width="43.42578125" style="16" customWidth="1"/>
    <col min="8708" max="8708" width="7.5703125" style="16" customWidth="1"/>
    <col min="8709" max="8709" width="14.42578125" style="16" customWidth="1"/>
    <col min="8710" max="8710" width="12.42578125" style="16" customWidth="1"/>
    <col min="8711" max="8711" width="13" style="16" customWidth="1"/>
    <col min="8712" max="8712" width="11.5703125" style="16" customWidth="1"/>
    <col min="8713" max="8713" width="11.42578125" style="16" customWidth="1"/>
    <col min="8714" max="8714" width="14" style="16" customWidth="1"/>
    <col min="8715" max="8715" width="8.42578125" style="16" customWidth="1"/>
    <col min="8716" max="8716" width="7.42578125" style="16" bestFit="1" customWidth="1"/>
    <col min="8717" max="8717" width="5.5703125" style="16" customWidth="1"/>
    <col min="8718" max="8718" width="19.42578125" style="16" bestFit="1" customWidth="1"/>
    <col min="8719" max="8960" width="11.5703125" style="16"/>
    <col min="8961" max="8961" width="3.42578125" style="16" customWidth="1"/>
    <col min="8962" max="8962" width="5.42578125" style="16" bestFit="1" customWidth="1"/>
    <col min="8963" max="8963" width="43.42578125" style="16" customWidth="1"/>
    <col min="8964" max="8964" width="7.5703125" style="16" customWidth="1"/>
    <col min="8965" max="8965" width="14.42578125" style="16" customWidth="1"/>
    <col min="8966" max="8966" width="12.42578125" style="16" customWidth="1"/>
    <col min="8967" max="8967" width="13" style="16" customWidth="1"/>
    <col min="8968" max="8968" width="11.5703125" style="16" customWidth="1"/>
    <col min="8969" max="8969" width="11.42578125" style="16" customWidth="1"/>
    <col min="8970" max="8970" width="14" style="16" customWidth="1"/>
    <col min="8971" max="8971" width="8.42578125" style="16" customWidth="1"/>
    <col min="8972" max="8972" width="7.42578125" style="16" bestFit="1" customWidth="1"/>
    <col min="8973" max="8973" width="5.5703125" style="16" customWidth="1"/>
    <col min="8974" max="8974" width="19.42578125" style="16" bestFit="1" customWidth="1"/>
    <col min="8975" max="9216" width="11.5703125" style="16"/>
    <col min="9217" max="9217" width="3.42578125" style="16" customWidth="1"/>
    <col min="9218" max="9218" width="5.42578125" style="16" bestFit="1" customWidth="1"/>
    <col min="9219" max="9219" width="43.42578125" style="16" customWidth="1"/>
    <col min="9220" max="9220" width="7.5703125" style="16" customWidth="1"/>
    <col min="9221" max="9221" width="14.42578125" style="16" customWidth="1"/>
    <col min="9222" max="9222" width="12.42578125" style="16" customWidth="1"/>
    <col min="9223" max="9223" width="13" style="16" customWidth="1"/>
    <col min="9224" max="9224" width="11.5703125" style="16" customWidth="1"/>
    <col min="9225" max="9225" width="11.42578125" style="16" customWidth="1"/>
    <col min="9226" max="9226" width="14" style="16" customWidth="1"/>
    <col min="9227" max="9227" width="8.42578125" style="16" customWidth="1"/>
    <col min="9228" max="9228" width="7.42578125" style="16" bestFit="1" customWidth="1"/>
    <col min="9229" max="9229" width="5.5703125" style="16" customWidth="1"/>
    <col min="9230" max="9230" width="19.42578125" style="16" bestFit="1" customWidth="1"/>
    <col min="9231" max="9472" width="11.5703125" style="16"/>
    <col min="9473" max="9473" width="3.42578125" style="16" customWidth="1"/>
    <col min="9474" max="9474" width="5.42578125" style="16" bestFit="1" customWidth="1"/>
    <col min="9475" max="9475" width="43.42578125" style="16" customWidth="1"/>
    <col min="9476" max="9476" width="7.5703125" style="16" customWidth="1"/>
    <col min="9477" max="9477" width="14.42578125" style="16" customWidth="1"/>
    <col min="9478" max="9478" width="12.42578125" style="16" customWidth="1"/>
    <col min="9479" max="9479" width="13" style="16" customWidth="1"/>
    <col min="9480" max="9480" width="11.5703125" style="16" customWidth="1"/>
    <col min="9481" max="9481" width="11.42578125" style="16" customWidth="1"/>
    <col min="9482" max="9482" width="14" style="16" customWidth="1"/>
    <col min="9483" max="9483" width="8.42578125" style="16" customWidth="1"/>
    <col min="9484" max="9484" width="7.42578125" style="16" bestFit="1" customWidth="1"/>
    <col min="9485" max="9485" width="5.5703125" style="16" customWidth="1"/>
    <col min="9486" max="9486" width="19.42578125" style="16" bestFit="1" customWidth="1"/>
    <col min="9487" max="9728" width="11.5703125" style="16"/>
    <col min="9729" max="9729" width="3.42578125" style="16" customWidth="1"/>
    <col min="9730" max="9730" width="5.42578125" style="16" bestFit="1" customWidth="1"/>
    <col min="9731" max="9731" width="43.42578125" style="16" customWidth="1"/>
    <col min="9732" max="9732" width="7.5703125" style="16" customWidth="1"/>
    <col min="9733" max="9733" width="14.42578125" style="16" customWidth="1"/>
    <col min="9734" max="9734" width="12.42578125" style="16" customWidth="1"/>
    <col min="9735" max="9735" width="13" style="16" customWidth="1"/>
    <col min="9736" max="9736" width="11.5703125" style="16" customWidth="1"/>
    <col min="9737" max="9737" width="11.42578125" style="16" customWidth="1"/>
    <col min="9738" max="9738" width="14" style="16" customWidth="1"/>
    <col min="9739" max="9739" width="8.42578125" style="16" customWidth="1"/>
    <col min="9740" max="9740" width="7.42578125" style="16" bestFit="1" customWidth="1"/>
    <col min="9741" max="9741" width="5.5703125" style="16" customWidth="1"/>
    <col min="9742" max="9742" width="19.42578125" style="16" bestFit="1" customWidth="1"/>
    <col min="9743" max="9984" width="11.5703125" style="16"/>
    <col min="9985" max="9985" width="3.42578125" style="16" customWidth="1"/>
    <col min="9986" max="9986" width="5.42578125" style="16" bestFit="1" customWidth="1"/>
    <col min="9987" max="9987" width="43.42578125" style="16" customWidth="1"/>
    <col min="9988" max="9988" width="7.5703125" style="16" customWidth="1"/>
    <col min="9989" max="9989" width="14.42578125" style="16" customWidth="1"/>
    <col min="9990" max="9990" width="12.42578125" style="16" customWidth="1"/>
    <col min="9991" max="9991" width="13" style="16" customWidth="1"/>
    <col min="9992" max="9992" width="11.5703125" style="16" customWidth="1"/>
    <col min="9993" max="9993" width="11.42578125" style="16" customWidth="1"/>
    <col min="9994" max="9994" width="14" style="16" customWidth="1"/>
    <col min="9995" max="9995" width="8.42578125" style="16" customWidth="1"/>
    <col min="9996" max="9996" width="7.42578125" style="16" bestFit="1" customWidth="1"/>
    <col min="9997" max="9997" width="5.5703125" style="16" customWidth="1"/>
    <col min="9998" max="9998" width="19.42578125" style="16" bestFit="1" customWidth="1"/>
    <col min="9999" max="10240" width="11.5703125" style="16"/>
    <col min="10241" max="10241" width="3.42578125" style="16" customWidth="1"/>
    <col min="10242" max="10242" width="5.42578125" style="16" bestFit="1" customWidth="1"/>
    <col min="10243" max="10243" width="43.42578125" style="16" customWidth="1"/>
    <col min="10244" max="10244" width="7.5703125" style="16" customWidth="1"/>
    <col min="10245" max="10245" width="14.42578125" style="16" customWidth="1"/>
    <col min="10246" max="10246" width="12.42578125" style="16" customWidth="1"/>
    <col min="10247" max="10247" width="13" style="16" customWidth="1"/>
    <col min="10248" max="10248" width="11.5703125" style="16" customWidth="1"/>
    <col min="10249" max="10249" width="11.42578125" style="16" customWidth="1"/>
    <col min="10250" max="10250" width="14" style="16" customWidth="1"/>
    <col min="10251" max="10251" width="8.42578125" style="16" customWidth="1"/>
    <col min="10252" max="10252" width="7.42578125" style="16" bestFit="1" customWidth="1"/>
    <col min="10253" max="10253" width="5.5703125" style="16" customWidth="1"/>
    <col min="10254" max="10254" width="19.42578125" style="16" bestFit="1" customWidth="1"/>
    <col min="10255" max="10496" width="11.5703125" style="16"/>
    <col min="10497" max="10497" width="3.42578125" style="16" customWidth="1"/>
    <col min="10498" max="10498" width="5.42578125" style="16" bestFit="1" customWidth="1"/>
    <col min="10499" max="10499" width="43.42578125" style="16" customWidth="1"/>
    <col min="10500" max="10500" width="7.5703125" style="16" customWidth="1"/>
    <col min="10501" max="10501" width="14.42578125" style="16" customWidth="1"/>
    <col min="10502" max="10502" width="12.42578125" style="16" customWidth="1"/>
    <col min="10503" max="10503" width="13" style="16" customWidth="1"/>
    <col min="10504" max="10504" width="11.5703125" style="16" customWidth="1"/>
    <col min="10505" max="10505" width="11.42578125" style="16" customWidth="1"/>
    <col min="10506" max="10506" width="14" style="16" customWidth="1"/>
    <col min="10507" max="10507" width="8.42578125" style="16" customWidth="1"/>
    <col min="10508" max="10508" width="7.42578125" style="16" bestFit="1" customWidth="1"/>
    <col min="10509" max="10509" width="5.5703125" style="16" customWidth="1"/>
    <col min="10510" max="10510" width="19.42578125" style="16" bestFit="1" customWidth="1"/>
    <col min="10511" max="10752" width="11.5703125" style="16"/>
    <col min="10753" max="10753" width="3.42578125" style="16" customWidth="1"/>
    <col min="10754" max="10754" width="5.42578125" style="16" bestFit="1" customWidth="1"/>
    <col min="10755" max="10755" width="43.42578125" style="16" customWidth="1"/>
    <col min="10756" max="10756" width="7.5703125" style="16" customWidth="1"/>
    <col min="10757" max="10757" width="14.42578125" style="16" customWidth="1"/>
    <col min="10758" max="10758" width="12.42578125" style="16" customWidth="1"/>
    <col min="10759" max="10759" width="13" style="16" customWidth="1"/>
    <col min="10760" max="10760" width="11.5703125" style="16" customWidth="1"/>
    <col min="10761" max="10761" width="11.42578125" style="16" customWidth="1"/>
    <col min="10762" max="10762" width="14" style="16" customWidth="1"/>
    <col min="10763" max="10763" width="8.42578125" style="16" customWidth="1"/>
    <col min="10764" max="10764" width="7.42578125" style="16" bestFit="1" customWidth="1"/>
    <col min="10765" max="10765" width="5.5703125" style="16" customWidth="1"/>
    <col min="10766" max="10766" width="19.42578125" style="16" bestFit="1" customWidth="1"/>
    <col min="10767" max="11008" width="11.5703125" style="16"/>
    <col min="11009" max="11009" width="3.42578125" style="16" customWidth="1"/>
    <col min="11010" max="11010" width="5.42578125" style="16" bestFit="1" customWidth="1"/>
    <col min="11011" max="11011" width="43.42578125" style="16" customWidth="1"/>
    <col min="11012" max="11012" width="7.5703125" style="16" customWidth="1"/>
    <col min="11013" max="11013" width="14.42578125" style="16" customWidth="1"/>
    <col min="11014" max="11014" width="12.42578125" style="16" customWidth="1"/>
    <col min="11015" max="11015" width="13" style="16" customWidth="1"/>
    <col min="11016" max="11016" width="11.5703125" style="16" customWidth="1"/>
    <col min="11017" max="11017" width="11.42578125" style="16" customWidth="1"/>
    <col min="11018" max="11018" width="14" style="16" customWidth="1"/>
    <col min="11019" max="11019" width="8.42578125" style="16" customWidth="1"/>
    <col min="11020" max="11020" width="7.42578125" style="16" bestFit="1" customWidth="1"/>
    <col min="11021" max="11021" width="5.5703125" style="16" customWidth="1"/>
    <col min="11022" max="11022" width="19.42578125" style="16" bestFit="1" customWidth="1"/>
    <col min="11023" max="11264" width="11.5703125" style="16"/>
    <col min="11265" max="11265" width="3.42578125" style="16" customWidth="1"/>
    <col min="11266" max="11266" width="5.42578125" style="16" bestFit="1" customWidth="1"/>
    <col min="11267" max="11267" width="43.42578125" style="16" customWidth="1"/>
    <col min="11268" max="11268" width="7.5703125" style="16" customWidth="1"/>
    <col min="11269" max="11269" width="14.42578125" style="16" customWidth="1"/>
    <col min="11270" max="11270" width="12.42578125" style="16" customWidth="1"/>
    <col min="11271" max="11271" width="13" style="16" customWidth="1"/>
    <col min="11272" max="11272" width="11.5703125" style="16" customWidth="1"/>
    <col min="11273" max="11273" width="11.42578125" style="16" customWidth="1"/>
    <col min="11274" max="11274" width="14" style="16" customWidth="1"/>
    <col min="11275" max="11275" width="8.42578125" style="16" customWidth="1"/>
    <col min="11276" max="11276" width="7.42578125" style="16" bestFit="1" customWidth="1"/>
    <col min="11277" max="11277" width="5.5703125" style="16" customWidth="1"/>
    <col min="11278" max="11278" width="19.42578125" style="16" bestFit="1" customWidth="1"/>
    <col min="11279" max="11520" width="11.5703125" style="16"/>
    <col min="11521" max="11521" width="3.42578125" style="16" customWidth="1"/>
    <col min="11522" max="11522" width="5.42578125" style="16" bestFit="1" customWidth="1"/>
    <col min="11523" max="11523" width="43.42578125" style="16" customWidth="1"/>
    <col min="11524" max="11524" width="7.5703125" style="16" customWidth="1"/>
    <col min="11525" max="11525" width="14.42578125" style="16" customWidth="1"/>
    <col min="11526" max="11526" width="12.42578125" style="16" customWidth="1"/>
    <col min="11527" max="11527" width="13" style="16" customWidth="1"/>
    <col min="11528" max="11528" width="11.5703125" style="16" customWidth="1"/>
    <col min="11529" max="11529" width="11.42578125" style="16" customWidth="1"/>
    <col min="11530" max="11530" width="14" style="16" customWidth="1"/>
    <col min="11531" max="11531" width="8.42578125" style="16" customWidth="1"/>
    <col min="11532" max="11532" width="7.42578125" style="16" bestFit="1" customWidth="1"/>
    <col min="11533" max="11533" width="5.5703125" style="16" customWidth="1"/>
    <col min="11534" max="11534" width="19.42578125" style="16" bestFit="1" customWidth="1"/>
    <col min="11535" max="11776" width="11.5703125" style="16"/>
    <col min="11777" max="11777" width="3.42578125" style="16" customWidth="1"/>
    <col min="11778" max="11778" width="5.42578125" style="16" bestFit="1" customWidth="1"/>
    <col min="11779" max="11779" width="43.42578125" style="16" customWidth="1"/>
    <col min="11780" max="11780" width="7.5703125" style="16" customWidth="1"/>
    <col min="11781" max="11781" width="14.42578125" style="16" customWidth="1"/>
    <col min="11782" max="11782" width="12.42578125" style="16" customWidth="1"/>
    <col min="11783" max="11783" width="13" style="16" customWidth="1"/>
    <col min="11784" max="11784" width="11.5703125" style="16" customWidth="1"/>
    <col min="11785" max="11785" width="11.42578125" style="16" customWidth="1"/>
    <col min="11786" max="11786" width="14" style="16" customWidth="1"/>
    <col min="11787" max="11787" width="8.42578125" style="16" customWidth="1"/>
    <col min="11788" max="11788" width="7.42578125" style="16" bestFit="1" customWidth="1"/>
    <col min="11789" max="11789" width="5.5703125" style="16" customWidth="1"/>
    <col min="11790" max="11790" width="19.42578125" style="16" bestFit="1" customWidth="1"/>
    <col min="11791" max="12032" width="11.5703125" style="16"/>
    <col min="12033" max="12033" width="3.42578125" style="16" customWidth="1"/>
    <col min="12034" max="12034" width="5.42578125" style="16" bestFit="1" customWidth="1"/>
    <col min="12035" max="12035" width="43.42578125" style="16" customWidth="1"/>
    <col min="12036" max="12036" width="7.5703125" style="16" customWidth="1"/>
    <col min="12037" max="12037" width="14.42578125" style="16" customWidth="1"/>
    <col min="12038" max="12038" width="12.42578125" style="16" customWidth="1"/>
    <col min="12039" max="12039" width="13" style="16" customWidth="1"/>
    <col min="12040" max="12040" width="11.5703125" style="16" customWidth="1"/>
    <col min="12041" max="12041" width="11.42578125" style="16" customWidth="1"/>
    <col min="12042" max="12042" width="14" style="16" customWidth="1"/>
    <col min="12043" max="12043" width="8.42578125" style="16" customWidth="1"/>
    <col min="12044" max="12044" width="7.42578125" style="16" bestFit="1" customWidth="1"/>
    <col min="12045" max="12045" width="5.5703125" style="16" customWidth="1"/>
    <col min="12046" max="12046" width="19.42578125" style="16" bestFit="1" customWidth="1"/>
    <col min="12047" max="12288" width="11.5703125" style="16"/>
    <col min="12289" max="12289" width="3.42578125" style="16" customWidth="1"/>
    <col min="12290" max="12290" width="5.42578125" style="16" bestFit="1" customWidth="1"/>
    <col min="12291" max="12291" width="43.42578125" style="16" customWidth="1"/>
    <col min="12292" max="12292" width="7.5703125" style="16" customWidth="1"/>
    <col min="12293" max="12293" width="14.42578125" style="16" customWidth="1"/>
    <col min="12294" max="12294" width="12.42578125" style="16" customWidth="1"/>
    <col min="12295" max="12295" width="13" style="16" customWidth="1"/>
    <col min="12296" max="12296" width="11.5703125" style="16" customWidth="1"/>
    <col min="12297" max="12297" width="11.42578125" style="16" customWidth="1"/>
    <col min="12298" max="12298" width="14" style="16" customWidth="1"/>
    <col min="12299" max="12299" width="8.42578125" style="16" customWidth="1"/>
    <col min="12300" max="12300" width="7.42578125" style="16" bestFit="1" customWidth="1"/>
    <col min="12301" max="12301" width="5.5703125" style="16" customWidth="1"/>
    <col min="12302" max="12302" width="19.42578125" style="16" bestFit="1" customWidth="1"/>
    <col min="12303" max="12544" width="11.5703125" style="16"/>
    <col min="12545" max="12545" width="3.42578125" style="16" customWidth="1"/>
    <col min="12546" max="12546" width="5.42578125" style="16" bestFit="1" customWidth="1"/>
    <col min="12547" max="12547" width="43.42578125" style="16" customWidth="1"/>
    <col min="12548" max="12548" width="7.5703125" style="16" customWidth="1"/>
    <col min="12549" max="12549" width="14.42578125" style="16" customWidth="1"/>
    <col min="12550" max="12550" width="12.42578125" style="16" customWidth="1"/>
    <col min="12551" max="12551" width="13" style="16" customWidth="1"/>
    <col min="12552" max="12552" width="11.5703125" style="16" customWidth="1"/>
    <col min="12553" max="12553" width="11.42578125" style="16" customWidth="1"/>
    <col min="12554" max="12554" width="14" style="16" customWidth="1"/>
    <col min="12555" max="12555" width="8.42578125" style="16" customWidth="1"/>
    <col min="12556" max="12556" width="7.42578125" style="16" bestFit="1" customWidth="1"/>
    <col min="12557" max="12557" width="5.5703125" style="16" customWidth="1"/>
    <col min="12558" max="12558" width="19.42578125" style="16" bestFit="1" customWidth="1"/>
    <col min="12559" max="12800" width="11.5703125" style="16"/>
    <col min="12801" max="12801" width="3.42578125" style="16" customWidth="1"/>
    <col min="12802" max="12802" width="5.42578125" style="16" bestFit="1" customWidth="1"/>
    <col min="12803" max="12803" width="43.42578125" style="16" customWidth="1"/>
    <col min="12804" max="12804" width="7.5703125" style="16" customWidth="1"/>
    <col min="12805" max="12805" width="14.42578125" style="16" customWidth="1"/>
    <col min="12806" max="12806" width="12.42578125" style="16" customWidth="1"/>
    <col min="12807" max="12807" width="13" style="16" customWidth="1"/>
    <col min="12808" max="12808" width="11.5703125" style="16" customWidth="1"/>
    <col min="12809" max="12809" width="11.42578125" style="16" customWidth="1"/>
    <col min="12810" max="12810" width="14" style="16" customWidth="1"/>
    <col min="12811" max="12811" width="8.42578125" style="16" customWidth="1"/>
    <col min="12812" max="12812" width="7.42578125" style="16" bestFit="1" customWidth="1"/>
    <col min="12813" max="12813" width="5.5703125" style="16" customWidth="1"/>
    <col min="12814" max="12814" width="19.42578125" style="16" bestFit="1" customWidth="1"/>
    <col min="12815" max="13056" width="11.5703125" style="16"/>
    <col min="13057" max="13057" width="3.42578125" style="16" customWidth="1"/>
    <col min="13058" max="13058" width="5.42578125" style="16" bestFit="1" customWidth="1"/>
    <col min="13059" max="13059" width="43.42578125" style="16" customWidth="1"/>
    <col min="13060" max="13060" width="7.5703125" style="16" customWidth="1"/>
    <col min="13061" max="13061" width="14.42578125" style="16" customWidth="1"/>
    <col min="13062" max="13062" width="12.42578125" style="16" customWidth="1"/>
    <col min="13063" max="13063" width="13" style="16" customWidth="1"/>
    <col min="13064" max="13064" width="11.5703125" style="16" customWidth="1"/>
    <col min="13065" max="13065" width="11.42578125" style="16" customWidth="1"/>
    <col min="13066" max="13066" width="14" style="16" customWidth="1"/>
    <col min="13067" max="13067" width="8.42578125" style="16" customWidth="1"/>
    <col min="13068" max="13068" width="7.42578125" style="16" bestFit="1" customWidth="1"/>
    <col min="13069" max="13069" width="5.5703125" style="16" customWidth="1"/>
    <col min="13070" max="13070" width="19.42578125" style="16" bestFit="1" customWidth="1"/>
    <col min="13071" max="13312" width="11.5703125" style="16"/>
    <col min="13313" max="13313" width="3.42578125" style="16" customWidth="1"/>
    <col min="13314" max="13314" width="5.42578125" style="16" bestFit="1" customWidth="1"/>
    <col min="13315" max="13315" width="43.42578125" style="16" customWidth="1"/>
    <col min="13316" max="13316" width="7.5703125" style="16" customWidth="1"/>
    <col min="13317" max="13317" width="14.42578125" style="16" customWidth="1"/>
    <col min="13318" max="13318" width="12.42578125" style="16" customWidth="1"/>
    <col min="13319" max="13319" width="13" style="16" customWidth="1"/>
    <col min="13320" max="13320" width="11.5703125" style="16" customWidth="1"/>
    <col min="13321" max="13321" width="11.42578125" style="16" customWidth="1"/>
    <col min="13322" max="13322" width="14" style="16" customWidth="1"/>
    <col min="13323" max="13323" width="8.42578125" style="16" customWidth="1"/>
    <col min="13324" max="13324" width="7.42578125" style="16" bestFit="1" customWidth="1"/>
    <col min="13325" max="13325" width="5.5703125" style="16" customWidth="1"/>
    <col min="13326" max="13326" width="19.42578125" style="16" bestFit="1" customWidth="1"/>
    <col min="13327" max="13568" width="11.5703125" style="16"/>
    <col min="13569" max="13569" width="3.42578125" style="16" customWidth="1"/>
    <col min="13570" max="13570" width="5.42578125" style="16" bestFit="1" customWidth="1"/>
    <col min="13571" max="13571" width="43.42578125" style="16" customWidth="1"/>
    <col min="13572" max="13572" width="7.5703125" style="16" customWidth="1"/>
    <col min="13573" max="13573" width="14.42578125" style="16" customWidth="1"/>
    <col min="13574" max="13574" width="12.42578125" style="16" customWidth="1"/>
    <col min="13575" max="13575" width="13" style="16" customWidth="1"/>
    <col min="13576" max="13576" width="11.5703125" style="16" customWidth="1"/>
    <col min="13577" max="13577" width="11.42578125" style="16" customWidth="1"/>
    <col min="13578" max="13578" width="14" style="16" customWidth="1"/>
    <col min="13579" max="13579" width="8.42578125" style="16" customWidth="1"/>
    <col min="13580" max="13580" width="7.42578125" style="16" bestFit="1" customWidth="1"/>
    <col min="13581" max="13581" width="5.5703125" style="16" customWidth="1"/>
    <col min="13582" max="13582" width="19.42578125" style="16" bestFit="1" customWidth="1"/>
    <col min="13583" max="13824" width="11.5703125" style="16"/>
    <col min="13825" max="13825" width="3.42578125" style="16" customWidth="1"/>
    <col min="13826" max="13826" width="5.42578125" style="16" bestFit="1" customWidth="1"/>
    <col min="13827" max="13827" width="43.42578125" style="16" customWidth="1"/>
    <col min="13828" max="13828" width="7.5703125" style="16" customWidth="1"/>
    <col min="13829" max="13829" width="14.42578125" style="16" customWidth="1"/>
    <col min="13830" max="13830" width="12.42578125" style="16" customWidth="1"/>
    <col min="13831" max="13831" width="13" style="16" customWidth="1"/>
    <col min="13832" max="13832" width="11.5703125" style="16" customWidth="1"/>
    <col min="13833" max="13833" width="11.42578125" style="16" customWidth="1"/>
    <col min="13834" max="13834" width="14" style="16" customWidth="1"/>
    <col min="13835" max="13835" width="8.42578125" style="16" customWidth="1"/>
    <col min="13836" max="13836" width="7.42578125" style="16" bestFit="1" customWidth="1"/>
    <col min="13837" max="13837" width="5.5703125" style="16" customWidth="1"/>
    <col min="13838" max="13838" width="19.42578125" style="16" bestFit="1" customWidth="1"/>
    <col min="13839" max="14080" width="11.5703125" style="16"/>
    <col min="14081" max="14081" width="3.42578125" style="16" customWidth="1"/>
    <col min="14082" max="14082" width="5.42578125" style="16" bestFit="1" customWidth="1"/>
    <col min="14083" max="14083" width="43.42578125" style="16" customWidth="1"/>
    <col min="14084" max="14084" width="7.5703125" style="16" customWidth="1"/>
    <col min="14085" max="14085" width="14.42578125" style="16" customWidth="1"/>
    <col min="14086" max="14086" width="12.42578125" style="16" customWidth="1"/>
    <col min="14087" max="14087" width="13" style="16" customWidth="1"/>
    <col min="14088" max="14088" width="11.5703125" style="16" customWidth="1"/>
    <col min="14089" max="14089" width="11.42578125" style="16" customWidth="1"/>
    <col min="14090" max="14090" width="14" style="16" customWidth="1"/>
    <col min="14091" max="14091" width="8.42578125" style="16" customWidth="1"/>
    <col min="14092" max="14092" width="7.42578125" style="16" bestFit="1" customWidth="1"/>
    <col min="14093" max="14093" width="5.5703125" style="16" customWidth="1"/>
    <col min="14094" max="14094" width="19.42578125" style="16" bestFit="1" customWidth="1"/>
    <col min="14095" max="14336" width="11.5703125" style="16"/>
    <col min="14337" max="14337" width="3.42578125" style="16" customWidth="1"/>
    <col min="14338" max="14338" width="5.42578125" style="16" bestFit="1" customWidth="1"/>
    <col min="14339" max="14339" width="43.42578125" style="16" customWidth="1"/>
    <col min="14340" max="14340" width="7.5703125" style="16" customWidth="1"/>
    <col min="14341" max="14341" width="14.42578125" style="16" customWidth="1"/>
    <col min="14342" max="14342" width="12.42578125" style="16" customWidth="1"/>
    <col min="14343" max="14343" width="13" style="16" customWidth="1"/>
    <col min="14344" max="14344" width="11.5703125" style="16" customWidth="1"/>
    <col min="14345" max="14345" width="11.42578125" style="16" customWidth="1"/>
    <col min="14346" max="14346" width="14" style="16" customWidth="1"/>
    <col min="14347" max="14347" width="8.42578125" style="16" customWidth="1"/>
    <col min="14348" max="14348" width="7.42578125" style="16" bestFit="1" customWidth="1"/>
    <col min="14349" max="14349" width="5.5703125" style="16" customWidth="1"/>
    <col min="14350" max="14350" width="19.42578125" style="16" bestFit="1" customWidth="1"/>
    <col min="14351" max="14592" width="11.5703125" style="16"/>
    <col min="14593" max="14593" width="3.42578125" style="16" customWidth="1"/>
    <col min="14594" max="14594" width="5.42578125" style="16" bestFit="1" customWidth="1"/>
    <col min="14595" max="14595" width="43.42578125" style="16" customWidth="1"/>
    <col min="14596" max="14596" width="7.5703125" style="16" customWidth="1"/>
    <col min="14597" max="14597" width="14.42578125" style="16" customWidth="1"/>
    <col min="14598" max="14598" width="12.42578125" style="16" customWidth="1"/>
    <col min="14599" max="14599" width="13" style="16" customWidth="1"/>
    <col min="14600" max="14600" width="11.5703125" style="16" customWidth="1"/>
    <col min="14601" max="14601" width="11.42578125" style="16" customWidth="1"/>
    <col min="14602" max="14602" width="14" style="16" customWidth="1"/>
    <col min="14603" max="14603" width="8.42578125" style="16" customWidth="1"/>
    <col min="14604" max="14604" width="7.42578125" style="16" bestFit="1" customWidth="1"/>
    <col min="14605" max="14605" width="5.5703125" style="16" customWidth="1"/>
    <col min="14606" max="14606" width="19.42578125" style="16" bestFit="1" customWidth="1"/>
    <col min="14607" max="14848" width="11.5703125" style="16"/>
    <col min="14849" max="14849" width="3.42578125" style="16" customWidth="1"/>
    <col min="14850" max="14850" width="5.42578125" style="16" bestFit="1" customWidth="1"/>
    <col min="14851" max="14851" width="43.42578125" style="16" customWidth="1"/>
    <col min="14852" max="14852" width="7.5703125" style="16" customWidth="1"/>
    <col min="14853" max="14853" width="14.42578125" style="16" customWidth="1"/>
    <col min="14854" max="14854" width="12.42578125" style="16" customWidth="1"/>
    <col min="14855" max="14855" width="13" style="16" customWidth="1"/>
    <col min="14856" max="14856" width="11.5703125" style="16" customWidth="1"/>
    <col min="14857" max="14857" width="11.42578125" style="16" customWidth="1"/>
    <col min="14858" max="14858" width="14" style="16" customWidth="1"/>
    <col min="14859" max="14859" width="8.42578125" style="16" customWidth="1"/>
    <col min="14860" max="14860" width="7.42578125" style="16" bestFit="1" customWidth="1"/>
    <col min="14861" max="14861" width="5.5703125" style="16" customWidth="1"/>
    <col min="14862" max="14862" width="19.42578125" style="16" bestFit="1" customWidth="1"/>
    <col min="14863" max="15104" width="11.5703125" style="16"/>
    <col min="15105" max="15105" width="3.42578125" style="16" customWidth="1"/>
    <col min="15106" max="15106" width="5.42578125" style="16" bestFit="1" customWidth="1"/>
    <col min="15107" max="15107" width="43.42578125" style="16" customWidth="1"/>
    <col min="15108" max="15108" width="7.5703125" style="16" customWidth="1"/>
    <col min="15109" max="15109" width="14.42578125" style="16" customWidth="1"/>
    <col min="15110" max="15110" width="12.42578125" style="16" customWidth="1"/>
    <col min="15111" max="15111" width="13" style="16" customWidth="1"/>
    <col min="15112" max="15112" width="11.5703125" style="16" customWidth="1"/>
    <col min="15113" max="15113" width="11.42578125" style="16" customWidth="1"/>
    <col min="15114" max="15114" width="14" style="16" customWidth="1"/>
    <col min="15115" max="15115" width="8.42578125" style="16" customWidth="1"/>
    <col min="15116" max="15116" width="7.42578125" style="16" bestFit="1" customWidth="1"/>
    <col min="15117" max="15117" width="5.5703125" style="16" customWidth="1"/>
    <col min="15118" max="15118" width="19.42578125" style="16" bestFit="1" customWidth="1"/>
    <col min="15119" max="15360" width="11.5703125" style="16"/>
    <col min="15361" max="15361" width="3.42578125" style="16" customWidth="1"/>
    <col min="15362" max="15362" width="5.42578125" style="16" bestFit="1" customWidth="1"/>
    <col min="15363" max="15363" width="43.42578125" style="16" customWidth="1"/>
    <col min="15364" max="15364" width="7.5703125" style="16" customWidth="1"/>
    <col min="15365" max="15365" width="14.42578125" style="16" customWidth="1"/>
    <col min="15366" max="15366" width="12.42578125" style="16" customWidth="1"/>
    <col min="15367" max="15367" width="13" style="16" customWidth="1"/>
    <col min="15368" max="15368" width="11.5703125" style="16" customWidth="1"/>
    <col min="15369" max="15369" width="11.42578125" style="16" customWidth="1"/>
    <col min="15370" max="15370" width="14" style="16" customWidth="1"/>
    <col min="15371" max="15371" width="8.42578125" style="16" customWidth="1"/>
    <col min="15372" max="15372" width="7.42578125" style="16" bestFit="1" customWidth="1"/>
    <col min="15373" max="15373" width="5.5703125" style="16" customWidth="1"/>
    <col min="15374" max="15374" width="19.42578125" style="16" bestFit="1" customWidth="1"/>
    <col min="15375" max="15616" width="11.5703125" style="16"/>
    <col min="15617" max="15617" width="3.42578125" style="16" customWidth="1"/>
    <col min="15618" max="15618" width="5.42578125" style="16" bestFit="1" customWidth="1"/>
    <col min="15619" max="15619" width="43.42578125" style="16" customWidth="1"/>
    <col min="15620" max="15620" width="7.5703125" style="16" customWidth="1"/>
    <col min="15621" max="15621" width="14.42578125" style="16" customWidth="1"/>
    <col min="15622" max="15622" width="12.42578125" style="16" customWidth="1"/>
    <col min="15623" max="15623" width="13" style="16" customWidth="1"/>
    <col min="15624" max="15624" width="11.5703125" style="16" customWidth="1"/>
    <col min="15625" max="15625" width="11.42578125" style="16" customWidth="1"/>
    <col min="15626" max="15626" width="14" style="16" customWidth="1"/>
    <col min="15627" max="15627" width="8.42578125" style="16" customWidth="1"/>
    <col min="15628" max="15628" width="7.42578125" style="16" bestFit="1" customWidth="1"/>
    <col min="15629" max="15629" width="5.5703125" style="16" customWidth="1"/>
    <col min="15630" max="15630" width="19.42578125" style="16" bestFit="1" customWidth="1"/>
    <col min="15631" max="15872" width="11.5703125" style="16"/>
    <col min="15873" max="15873" width="3.42578125" style="16" customWidth="1"/>
    <col min="15874" max="15874" width="5.42578125" style="16" bestFit="1" customWidth="1"/>
    <col min="15875" max="15875" width="43.42578125" style="16" customWidth="1"/>
    <col min="15876" max="15876" width="7.5703125" style="16" customWidth="1"/>
    <col min="15877" max="15877" width="14.42578125" style="16" customWidth="1"/>
    <col min="15878" max="15878" width="12.42578125" style="16" customWidth="1"/>
    <col min="15879" max="15879" width="13" style="16" customWidth="1"/>
    <col min="15880" max="15880" width="11.5703125" style="16" customWidth="1"/>
    <col min="15881" max="15881" width="11.42578125" style="16" customWidth="1"/>
    <col min="15882" max="15882" width="14" style="16" customWidth="1"/>
    <col min="15883" max="15883" width="8.42578125" style="16" customWidth="1"/>
    <col min="15884" max="15884" width="7.42578125" style="16" bestFit="1" customWidth="1"/>
    <col min="15885" max="15885" width="5.5703125" style="16" customWidth="1"/>
    <col min="15886" max="15886" width="19.42578125" style="16" bestFit="1" customWidth="1"/>
    <col min="15887" max="16128" width="11.5703125" style="16"/>
    <col min="16129" max="16129" width="3.42578125" style="16" customWidth="1"/>
    <col min="16130" max="16130" width="5.42578125" style="16" bestFit="1" customWidth="1"/>
    <col min="16131" max="16131" width="43.42578125" style="16" customWidth="1"/>
    <col min="16132" max="16132" width="7.5703125" style="16" customWidth="1"/>
    <col min="16133" max="16133" width="14.42578125" style="16" customWidth="1"/>
    <col min="16134" max="16134" width="12.42578125" style="16" customWidth="1"/>
    <col min="16135" max="16135" width="13" style="16" customWidth="1"/>
    <col min="16136" max="16136" width="11.5703125" style="16" customWidth="1"/>
    <col min="16137" max="16137" width="11.42578125" style="16" customWidth="1"/>
    <col min="16138" max="16138" width="14" style="16" customWidth="1"/>
    <col min="16139" max="16139" width="8.42578125" style="16" customWidth="1"/>
    <col min="16140" max="16140" width="7.42578125" style="16" bestFit="1" customWidth="1"/>
    <col min="16141" max="16141" width="5.5703125" style="16" customWidth="1"/>
    <col min="16142" max="16142" width="19.42578125" style="16" bestFit="1" customWidth="1"/>
    <col min="16143" max="16384" width="11.5703125" style="16"/>
  </cols>
  <sheetData>
    <row r="1" spans="2:14" s="4" customFormat="1" ht="13.35" hidden="1" customHeight="1">
      <c r="B1" s="1"/>
      <c r="C1" s="2"/>
      <c r="D1" s="2"/>
      <c r="E1" s="3"/>
      <c r="F1" s="1"/>
      <c r="G1" s="2" t="s">
        <v>65</v>
      </c>
      <c r="H1" s="1"/>
      <c r="I1" s="1"/>
      <c r="J1" s="1"/>
      <c r="K1" s="1"/>
      <c r="L1" s="1"/>
      <c r="M1" s="1"/>
      <c r="N1" s="1"/>
    </row>
    <row r="2" spans="2:14" s="4" customFormat="1" ht="12" hidden="1" customHeight="1">
      <c r="B2" s="2167" t="str">
        <f>'VAL. PRINC'!B3:K3</f>
        <v>INFORME CORRESPONDIENTE AL MES DE SETIEMBRE 2022</v>
      </c>
      <c r="C2" s="2167"/>
      <c r="D2" s="2167"/>
      <c r="E2" s="2167"/>
      <c r="F2" s="2167"/>
      <c r="G2" s="2167"/>
      <c r="H2" s="2167"/>
      <c r="I2" s="2167"/>
      <c r="J2" s="2167"/>
      <c r="K2" s="2167"/>
      <c r="L2" s="2167"/>
      <c r="M2" s="2167"/>
      <c r="N2" s="2167"/>
    </row>
    <row r="3" spans="2:14" s="4" customFormat="1" ht="13.5" hidden="1" customHeight="1">
      <c r="B3" s="5"/>
      <c r="C3" s="5"/>
      <c r="D3" s="5"/>
      <c r="E3" s="5"/>
      <c r="F3" s="5"/>
      <c r="G3" s="5"/>
      <c r="H3" s="5"/>
      <c r="I3" s="5"/>
      <c r="J3" s="2"/>
      <c r="K3" s="5"/>
      <c r="L3" s="5"/>
      <c r="M3" s="5"/>
      <c r="N3" s="5"/>
    </row>
    <row r="4" spans="2:14" s="4" customFormat="1" ht="49.5" hidden="1" customHeight="1">
      <c r="B4" s="5"/>
      <c r="C4" s="6" t="s">
        <v>6</v>
      </c>
      <c r="D4" s="7" t="s">
        <v>4</v>
      </c>
      <c r="E4" s="2758" t="e">
        <f>#REF!</f>
        <v>#REF!</v>
      </c>
      <c r="F4" s="2758"/>
      <c r="G4" s="2758"/>
      <c r="H4" s="2758"/>
      <c r="I4" s="2758"/>
      <c r="J4" s="8" t="s">
        <v>13</v>
      </c>
      <c r="K4" s="39" t="e">
        <f>#REF!</f>
        <v>#REF!</v>
      </c>
      <c r="N4" s="39"/>
    </row>
    <row r="5" spans="2:14" s="4" customFormat="1" ht="12.75" hidden="1" customHeight="1">
      <c r="B5" s="5"/>
      <c r="C5" s="9" t="s">
        <v>5</v>
      </c>
      <c r="D5" s="10" t="s">
        <v>4</v>
      </c>
      <c r="E5" s="11" t="e">
        <f>#REF!</f>
        <v>#REF!</v>
      </c>
      <c r="F5" s="11"/>
      <c r="G5" s="5"/>
      <c r="H5" s="5"/>
      <c r="I5" s="5"/>
      <c r="J5" s="2" t="s">
        <v>14</v>
      </c>
      <c r="K5" s="11" t="e">
        <f>#REF!</f>
        <v>#REF!</v>
      </c>
      <c r="M5" s="5"/>
    </row>
    <row r="6" spans="2:14" s="4" customFormat="1" ht="13.35" hidden="1" customHeight="1">
      <c r="B6" s="1"/>
      <c r="C6" s="9" t="s">
        <v>15</v>
      </c>
      <c r="D6" s="10" t="s">
        <v>4</v>
      </c>
      <c r="E6" s="11" t="e">
        <f>#REF!</f>
        <v>#REF!</v>
      </c>
      <c r="G6" s="1"/>
      <c r="H6" s="1"/>
      <c r="I6" s="1"/>
      <c r="J6" s="2" t="s">
        <v>16</v>
      </c>
      <c r="K6" s="11" t="e">
        <f>#REF!</f>
        <v>#REF!</v>
      </c>
      <c r="M6" s="1"/>
    </row>
    <row r="7" spans="2:14" s="4" customFormat="1" ht="13.35" hidden="1" customHeight="1">
      <c r="B7" s="1"/>
      <c r="C7" s="9" t="s">
        <v>17</v>
      </c>
      <c r="D7" s="10" t="s">
        <v>4</v>
      </c>
      <c r="E7" s="11" t="e">
        <f>#REF!</f>
        <v>#REF!</v>
      </c>
      <c r="G7" s="1"/>
      <c r="H7" s="1"/>
      <c r="I7" s="1"/>
      <c r="J7" s="2" t="s">
        <v>18</v>
      </c>
      <c r="K7" s="11" t="e">
        <f>#REF!</f>
        <v>#REF!</v>
      </c>
      <c r="M7" s="12"/>
    </row>
    <row r="8" spans="2:14" s="4" customFormat="1" ht="13.35" hidden="1" customHeight="1">
      <c r="B8" s="1"/>
      <c r="C8" s="9" t="s">
        <v>19</v>
      </c>
      <c r="D8" s="10" t="s">
        <v>4</v>
      </c>
      <c r="E8" s="13">
        <v>2017</v>
      </c>
      <c r="G8" s="1"/>
      <c r="H8" s="1"/>
      <c r="I8" s="1"/>
      <c r="J8" s="2"/>
      <c r="K8" s="1"/>
      <c r="M8" s="1"/>
      <c r="N8" s="1"/>
    </row>
    <row r="9" spans="2:14" ht="11.1" hidden="1" customHeight="1" thickBot="1"/>
    <row r="10" spans="2:14" ht="13.35" hidden="1" customHeight="1">
      <c r="B10" s="2874" t="s">
        <v>66</v>
      </c>
      <c r="C10" s="2877" t="s">
        <v>21</v>
      </c>
      <c r="D10" s="2878"/>
      <c r="E10" s="2883" t="s">
        <v>23</v>
      </c>
      <c r="F10" s="2886" t="s">
        <v>24</v>
      </c>
      <c r="G10" s="2887"/>
      <c r="H10" s="2887"/>
      <c r="I10" s="2888"/>
      <c r="J10" s="2877" t="s">
        <v>25</v>
      </c>
      <c r="K10" s="2889"/>
    </row>
    <row r="11" spans="2:14" ht="13.35" hidden="1" customHeight="1">
      <c r="B11" s="2875"/>
      <c r="C11" s="2879"/>
      <c r="D11" s="2880"/>
      <c r="E11" s="2884"/>
      <c r="F11" s="624" t="s">
        <v>26</v>
      </c>
      <c r="G11" s="624" t="s">
        <v>27</v>
      </c>
      <c r="H11" s="2892" t="s">
        <v>28</v>
      </c>
      <c r="I11" s="2893"/>
      <c r="J11" s="2890"/>
      <c r="K11" s="2891"/>
    </row>
    <row r="12" spans="2:14" ht="12.75" hidden="1" customHeight="1">
      <c r="B12" s="2875"/>
      <c r="C12" s="2879"/>
      <c r="D12" s="2880"/>
      <c r="E12" s="2884"/>
      <c r="F12" s="2764" t="s">
        <v>32</v>
      </c>
      <c r="G12" s="2764" t="s">
        <v>32</v>
      </c>
      <c r="H12" s="2764" t="s">
        <v>32</v>
      </c>
      <c r="I12" s="2894" t="s">
        <v>0</v>
      </c>
      <c r="J12" s="2894" t="s">
        <v>32</v>
      </c>
      <c r="K12" s="2895" t="s">
        <v>0</v>
      </c>
    </row>
    <row r="13" spans="2:14" ht="11.1" hidden="1" customHeight="1" thickBot="1">
      <c r="B13" s="2876"/>
      <c r="C13" s="2881"/>
      <c r="D13" s="2882"/>
      <c r="E13" s="2885"/>
      <c r="F13" s="2765"/>
      <c r="G13" s="2765"/>
      <c r="H13" s="2765"/>
      <c r="I13" s="2885"/>
      <c r="J13" s="2885"/>
      <c r="K13" s="2896"/>
    </row>
    <row r="14" spans="2:14" ht="25.5" hidden="1" customHeight="1">
      <c r="B14" s="2781">
        <v>1</v>
      </c>
      <c r="C14" s="2777" t="s">
        <v>1132</v>
      </c>
      <c r="D14" s="2778"/>
      <c r="E14" s="2742">
        <v>133745.31</v>
      </c>
      <c r="F14" s="2742">
        <f>'[47]RES. VAL. '!$H$14:$H$15</f>
        <v>74832.791299999997</v>
      </c>
      <c r="G14" s="2742" t="e">
        <f>N14</f>
        <v>#REF!</v>
      </c>
      <c r="H14" s="2742" t="e">
        <f>+F14+G14</f>
        <v>#REF!</v>
      </c>
      <c r="I14" s="2775" t="e">
        <f>+H14/E14</f>
        <v>#REF!</v>
      </c>
      <c r="J14" s="2742" t="e">
        <f>+E14-H14</f>
        <v>#REF!</v>
      </c>
      <c r="K14" s="2897" t="e">
        <f>+J14/E14</f>
        <v>#REF!</v>
      </c>
      <c r="N14" s="23" t="e">
        <f>'VAL. PRINC'!#REF!</f>
        <v>#REF!</v>
      </c>
    </row>
    <row r="15" spans="2:14" ht="10.35" hidden="1" customHeight="1">
      <c r="B15" s="2782"/>
      <c r="C15" s="2779"/>
      <c r="D15" s="2780"/>
      <c r="E15" s="2743"/>
      <c r="F15" s="2743"/>
      <c r="G15" s="2743"/>
      <c r="H15" s="2743"/>
      <c r="I15" s="2776"/>
      <c r="J15" s="2743"/>
      <c r="K15" s="2898"/>
      <c r="N15" s="23" t="e">
        <f>'VAL. PRINC'!#REF!</f>
        <v>#REF!</v>
      </c>
    </row>
    <row r="16" spans="2:14" ht="13.35" hidden="1" customHeight="1">
      <c r="B16" s="621">
        <v>2</v>
      </c>
      <c r="C16" s="623" t="str">
        <f>[43]VAL.PRINC!B38</f>
        <v>ESTRUCTURAS</v>
      </c>
      <c r="D16" s="622"/>
      <c r="E16" s="700">
        <v>680109.61</v>
      </c>
      <c r="F16" s="700">
        <f>'[47]RES. VAL. '!$H$16</f>
        <v>390219.46500000003</v>
      </c>
      <c r="G16" s="700" t="e">
        <f>N15</f>
        <v>#REF!</v>
      </c>
      <c r="H16" s="625" t="e">
        <f>+F16+G16</f>
        <v>#REF!</v>
      </c>
      <c r="I16" s="79" t="e">
        <f>+H16/E16</f>
        <v>#REF!</v>
      </c>
      <c r="J16" s="706" t="e">
        <f>+E16-H16</f>
        <v>#REF!</v>
      </c>
      <c r="K16" s="707" t="e">
        <f>+J16/E16</f>
        <v>#REF!</v>
      </c>
      <c r="N16" s="23" t="e">
        <f>'VAL. PRINC'!#REF!</f>
        <v>#REF!</v>
      </c>
    </row>
    <row r="17" spans="2:14" ht="13.35" hidden="1" customHeight="1">
      <c r="B17" s="621">
        <v>3</v>
      </c>
      <c r="C17" s="623" t="str">
        <f>[43]VAL.PRINC!B292</f>
        <v>ARQUITECTURA</v>
      </c>
      <c r="D17" s="622"/>
      <c r="E17" s="700">
        <v>272988.28000000003</v>
      </c>
      <c r="F17" s="700">
        <f>'[47]RES. VAL. '!$H$17</f>
        <v>72474.674800000008</v>
      </c>
      <c r="G17" s="700" t="e">
        <f>N16</f>
        <v>#REF!</v>
      </c>
      <c r="H17" s="625" t="e">
        <f>+F17+G17</f>
        <v>#REF!</v>
      </c>
      <c r="I17" s="79" t="e">
        <f t="shared" ref="I17:I19" si="0">+H17/E17</f>
        <v>#REF!</v>
      </c>
      <c r="J17" s="706" t="e">
        <f t="shared" ref="J17:J19" si="1">+E17-H17</f>
        <v>#REF!</v>
      </c>
      <c r="K17" s="707" t="e">
        <f t="shared" ref="K17:K19" si="2">+J17/E17</f>
        <v>#REF!</v>
      </c>
      <c r="N17" s="23" t="e">
        <f>'VAL. PRINC'!#REF!</f>
        <v>#REF!</v>
      </c>
    </row>
    <row r="18" spans="2:14" ht="13.35" hidden="1" customHeight="1">
      <c r="B18" s="621">
        <v>4</v>
      </c>
      <c r="C18" s="623" t="str">
        <f>[43]VAL.PRINC!B542</f>
        <v>INSTALACIONES SANITARIAS</v>
      </c>
      <c r="D18" s="622"/>
      <c r="E18" s="700">
        <v>64335.72</v>
      </c>
      <c r="F18" s="700">
        <f>'[47]RES. VAL. '!$H$18</f>
        <v>0</v>
      </c>
      <c r="G18" s="700" t="e">
        <f>N17</f>
        <v>#REF!</v>
      </c>
      <c r="H18" s="625" t="e">
        <f>+F18+G18</f>
        <v>#REF!</v>
      </c>
      <c r="I18" s="79" t="e">
        <f t="shared" si="0"/>
        <v>#REF!</v>
      </c>
      <c r="J18" s="706" t="e">
        <f t="shared" si="1"/>
        <v>#REF!</v>
      </c>
      <c r="K18" s="707" t="e">
        <f t="shared" si="2"/>
        <v>#REF!</v>
      </c>
      <c r="N18" s="23" t="e">
        <f>'VAL. PRINC'!#REF!</f>
        <v>#REF!</v>
      </c>
    </row>
    <row r="19" spans="2:14" ht="13.35" hidden="1" customHeight="1">
      <c r="B19" s="621">
        <v>5</v>
      </c>
      <c r="C19" s="623" t="str">
        <f>[43]VAL.PRINC!B601</f>
        <v>INSTALACIONES ELECTRICAS</v>
      </c>
      <c r="D19" s="622"/>
      <c r="E19" s="700">
        <v>58450.559999999998</v>
      </c>
      <c r="F19" s="700">
        <f>'[47]RES. VAL. '!$H$19</f>
        <v>3211.13</v>
      </c>
      <c r="G19" s="700" t="e">
        <f>N18</f>
        <v>#REF!</v>
      </c>
      <c r="H19" s="630" t="e">
        <f>+F19+G19</f>
        <v>#REF!</v>
      </c>
      <c r="I19" s="79" t="e">
        <f t="shared" si="0"/>
        <v>#REF!</v>
      </c>
      <c r="J19" s="706" t="e">
        <f t="shared" si="1"/>
        <v>#REF!</v>
      </c>
      <c r="K19" s="707" t="e">
        <f t="shared" si="2"/>
        <v>#REF!</v>
      </c>
    </row>
    <row r="20" spans="2:14" ht="14.1" hidden="1" customHeight="1" thickBot="1">
      <c r="B20" s="2899" t="s">
        <v>1928</v>
      </c>
      <c r="C20" s="2900"/>
      <c r="D20" s="2901"/>
      <c r="E20" s="627">
        <f>+SUM(E14:E19)</f>
        <v>1209629.48</v>
      </c>
      <c r="F20" s="628">
        <f>SUM(F14:F19)</f>
        <v>540738.06110000005</v>
      </c>
      <c r="G20" s="628" t="e">
        <f>SUM(G14:G19)</f>
        <v>#REF!</v>
      </c>
      <c r="H20" s="628" t="e">
        <f>SUM(H14:H19)</f>
        <v>#REF!</v>
      </c>
      <c r="I20" s="629" t="e">
        <f>H20/E20</f>
        <v>#REF!</v>
      </c>
      <c r="J20" s="628" t="e">
        <f>SUM(J14:J19)</f>
        <v>#REF!</v>
      </c>
      <c r="K20" s="626" t="e">
        <f>J20/E20</f>
        <v>#REF!</v>
      </c>
    </row>
    <row r="21" spans="2:14" ht="13.5" hidden="1">
      <c r="B21" s="635" t="s">
        <v>256</v>
      </c>
      <c r="C21" s="652"/>
      <c r="D21" s="712">
        <v>0.13514167899999999</v>
      </c>
      <c r="E21" s="653">
        <f>E$20*D21</f>
        <v>163471.3588950969</v>
      </c>
      <c r="F21" s="653">
        <f>F20*D21</f>
        <v>73076.249476258585</v>
      </c>
      <c r="G21" s="653" t="e">
        <f>G20*D21</f>
        <v>#REF!</v>
      </c>
      <c r="H21" s="653" t="e">
        <f>H20*D21</f>
        <v>#REF!</v>
      </c>
      <c r="I21" s="654"/>
      <c r="J21" s="655" t="e">
        <f>E21-H21</f>
        <v>#REF!</v>
      </c>
      <c r="K21" s="707" t="e">
        <f t="shared" ref="K21:K26" si="3">+J21/E21</f>
        <v>#REF!</v>
      </c>
    </row>
    <row r="22" spans="2:14" ht="13.5" hidden="1">
      <c r="B22" s="635" t="s">
        <v>361</v>
      </c>
      <c r="C22" s="632"/>
      <c r="D22" s="713">
        <v>2.5765203E-2</v>
      </c>
      <c r="E22" s="634">
        <f>E$20*D22</f>
        <v>31166.349106984439</v>
      </c>
      <c r="F22" s="653">
        <f>F20*D22</f>
        <v>13932.225914067905</v>
      </c>
      <c r="G22" s="653" t="e">
        <f>G20*D22</f>
        <v>#REF!</v>
      </c>
      <c r="H22" s="653" t="e">
        <f>H20*D22</f>
        <v>#REF!</v>
      </c>
      <c r="I22" s="76"/>
      <c r="J22" s="631" t="e">
        <f>E22-H22</f>
        <v>#REF!</v>
      </c>
      <c r="K22" s="707" t="e">
        <f t="shared" si="3"/>
        <v>#REF!</v>
      </c>
    </row>
    <row r="23" spans="2:14" ht="13.5" hidden="1">
      <c r="B23" s="635" t="s">
        <v>1817</v>
      </c>
      <c r="C23" s="632"/>
      <c r="D23" s="713">
        <v>5.4089901000000003E-2</v>
      </c>
      <c r="E23" s="634">
        <f>E20*D23</f>
        <v>65428.738819881481</v>
      </c>
      <c r="F23" s="653">
        <f>F20*D23</f>
        <v>29248.468191830954</v>
      </c>
      <c r="G23" s="653" t="e">
        <f>G20*D23</f>
        <v>#REF!</v>
      </c>
      <c r="H23" s="653" t="e">
        <f>H20*D23</f>
        <v>#REF!</v>
      </c>
      <c r="I23" s="76"/>
      <c r="J23" s="631" t="e">
        <f>E23-H23</f>
        <v>#REF!</v>
      </c>
      <c r="K23" s="707" t="e">
        <f t="shared" si="3"/>
        <v>#REF!</v>
      </c>
    </row>
    <row r="24" spans="2:14" ht="13.5" hidden="1">
      <c r="B24" s="635" t="s">
        <v>255</v>
      </c>
      <c r="C24" s="632"/>
      <c r="D24" s="713">
        <v>1.4803359E-2</v>
      </c>
      <c r="E24" s="634">
        <f>E20*D24</f>
        <v>17906.57944942332</v>
      </c>
      <c r="F24" s="653">
        <f>F20*D24</f>
        <v>8004.7396434272359</v>
      </c>
      <c r="G24" s="653" t="e">
        <f>G20*D24</f>
        <v>#REF!</v>
      </c>
      <c r="H24" s="653" t="e">
        <f>H20*D24</f>
        <v>#REF!</v>
      </c>
      <c r="I24" s="76"/>
      <c r="J24" s="631" t="e">
        <f>E24-H24</f>
        <v>#REF!</v>
      </c>
      <c r="K24" s="707" t="e">
        <f t="shared" si="3"/>
        <v>#REF!</v>
      </c>
    </row>
    <row r="25" spans="2:14" ht="13.5" hidden="1">
      <c r="B25" s="635" t="s">
        <v>60</v>
      </c>
      <c r="C25" s="632"/>
      <c r="D25" s="713">
        <v>3.2312274000000002E-2</v>
      </c>
      <c r="E25" s="634">
        <f>E20*D25</f>
        <v>39085.879196237525</v>
      </c>
      <c r="F25" s="653">
        <f>F20*D25</f>
        <v>17472.476392491943</v>
      </c>
      <c r="G25" s="653" t="e">
        <f>G20*D25</f>
        <v>#REF!</v>
      </c>
      <c r="H25" s="653" t="e">
        <f>H20*D25</f>
        <v>#REF!</v>
      </c>
      <c r="I25" s="76"/>
      <c r="J25" s="631" t="e">
        <f>E25-H25</f>
        <v>#REF!</v>
      </c>
      <c r="K25" s="707" t="e">
        <f t="shared" si="3"/>
        <v>#REF!</v>
      </c>
    </row>
    <row r="26" spans="2:14" ht="11.25" hidden="1" customHeight="1">
      <c r="B26" s="635" t="s">
        <v>1811</v>
      </c>
      <c r="C26" s="632"/>
      <c r="D26" s="713"/>
      <c r="E26" s="634">
        <f>SUM(E20:E25)</f>
        <v>1526688.3854676238</v>
      </c>
      <c r="F26" s="634">
        <f>SUM(F20:F25)</f>
        <v>682472.22071807669</v>
      </c>
      <c r="G26" s="634" t="e">
        <f>SUM(G20:G25)</f>
        <v>#REF!</v>
      </c>
      <c r="H26" s="634" t="e">
        <f>SUM(H20:H25)</f>
        <v>#REF!</v>
      </c>
      <c r="I26" s="76"/>
      <c r="J26" s="631" t="e">
        <f>SUM(J20:J25)</f>
        <v>#REF!</v>
      </c>
      <c r="K26" s="707" t="e">
        <f t="shared" si="3"/>
        <v>#REF!</v>
      </c>
    </row>
    <row r="27" spans="2:14" ht="11.25" hidden="1" customHeight="1">
      <c r="B27" s="635" t="s">
        <v>1812</v>
      </c>
      <c r="C27" s="632"/>
      <c r="D27" s="633"/>
      <c r="E27" s="634">
        <v>28300.9</v>
      </c>
      <c r="F27" s="634"/>
      <c r="G27" s="634"/>
      <c r="H27" s="634"/>
      <c r="I27" s="76"/>
      <c r="J27" s="631"/>
      <c r="K27" s="285"/>
    </row>
    <row r="28" spans="2:14" ht="13.35" hidden="1" customHeight="1">
      <c r="B28" s="635" t="s">
        <v>1818</v>
      </c>
      <c r="C28" s="632"/>
      <c r="D28" s="633"/>
      <c r="E28" s="634">
        <v>77006.47</v>
      </c>
      <c r="F28" s="634"/>
      <c r="G28" s="634"/>
      <c r="H28" s="634"/>
      <c r="I28" s="76"/>
      <c r="J28" s="631"/>
      <c r="K28" s="285"/>
    </row>
    <row r="29" spans="2:14" ht="13.5" hidden="1">
      <c r="B29" s="635" t="s">
        <v>1814</v>
      </c>
      <c r="C29" s="632"/>
      <c r="D29" s="633"/>
      <c r="E29" s="634">
        <v>26717.1</v>
      </c>
      <c r="F29" s="634"/>
      <c r="G29" s="634"/>
      <c r="H29" s="634"/>
      <c r="I29" s="76"/>
      <c r="J29" s="631"/>
      <c r="K29" s="285"/>
    </row>
    <row r="30" spans="2:14" ht="11.25" hidden="1" customHeight="1" thickBot="1">
      <c r="B30" s="637" t="s">
        <v>1815</v>
      </c>
      <c r="C30" s="638"/>
      <c r="D30" s="639"/>
      <c r="E30" s="640">
        <v>16525.419999999998</v>
      </c>
      <c r="F30" s="640"/>
      <c r="G30" s="640"/>
      <c r="H30" s="640"/>
      <c r="I30" s="641"/>
      <c r="J30" s="642"/>
      <c r="K30" s="643"/>
    </row>
    <row r="31" spans="2:14" ht="11.25" hidden="1" customHeight="1" thickBot="1">
      <c r="B31" s="2902" t="s">
        <v>61</v>
      </c>
      <c r="C31" s="2903"/>
      <c r="D31" s="2904"/>
      <c r="E31" s="644">
        <f>SUM(E26:E30)</f>
        <v>1675238.2754676237</v>
      </c>
      <c r="F31" s="644">
        <f>SUM(F26:F30)</f>
        <v>682472.22071807669</v>
      </c>
      <c r="G31" s="644" t="e">
        <f>SUM(G26:G30)</f>
        <v>#REF!</v>
      </c>
      <c r="H31" s="644" t="e">
        <f>SUM(H26:H30)</f>
        <v>#REF!</v>
      </c>
      <c r="I31" s="645" t="e">
        <f>H31/E31</f>
        <v>#REF!</v>
      </c>
      <c r="J31" s="644" t="e">
        <f>SUM(J26:J30)</f>
        <v>#REF!</v>
      </c>
      <c r="K31" s="646" t="e">
        <f>J31/E31</f>
        <v>#REF!</v>
      </c>
    </row>
    <row r="35" spans="1:66" ht="16.5" thickBot="1">
      <c r="C35" s="2905" t="s">
        <v>2155</v>
      </c>
      <c r="D35" s="2905"/>
      <c r="E35" s="2905"/>
      <c r="F35" s="2905"/>
      <c r="G35" s="2905"/>
      <c r="H35" s="2905"/>
      <c r="I35" s="2905"/>
      <c r="J35" s="2905"/>
      <c r="K35" s="2905"/>
    </row>
    <row r="36" spans="1:66" s="4" customFormat="1">
      <c r="B36" s="2874" t="s">
        <v>66</v>
      </c>
      <c r="C36" s="2877" t="s">
        <v>21</v>
      </c>
      <c r="D36" s="2878"/>
      <c r="E36" s="2883" t="s">
        <v>23</v>
      </c>
      <c r="F36" s="2886" t="s">
        <v>24</v>
      </c>
      <c r="G36" s="2887"/>
      <c r="H36" s="2887"/>
      <c r="I36" s="2888"/>
      <c r="J36" s="2877" t="s">
        <v>25</v>
      </c>
      <c r="K36" s="2889"/>
    </row>
    <row r="37" spans="1:66" s="4" customFormat="1">
      <c r="B37" s="2875"/>
      <c r="C37" s="2879"/>
      <c r="D37" s="2880"/>
      <c r="E37" s="2884"/>
      <c r="F37" s="624" t="s">
        <v>26</v>
      </c>
      <c r="G37" s="624" t="s">
        <v>27</v>
      </c>
      <c r="H37" s="2892" t="s">
        <v>28</v>
      </c>
      <c r="I37" s="2893"/>
      <c r="J37" s="2890"/>
      <c r="K37" s="2891"/>
    </row>
    <row r="38" spans="1:66" s="4" customFormat="1">
      <c r="B38" s="2875"/>
      <c r="C38" s="2879"/>
      <c r="D38" s="2880"/>
      <c r="E38" s="2884"/>
      <c r="F38" s="2764" t="s">
        <v>32</v>
      </c>
      <c r="G38" s="2764" t="s">
        <v>32</v>
      </c>
      <c r="H38" s="2764" t="s">
        <v>32</v>
      </c>
      <c r="I38" s="2894" t="s">
        <v>0</v>
      </c>
      <c r="J38" s="2894" t="s">
        <v>32</v>
      </c>
      <c r="K38" s="2895" t="s">
        <v>0</v>
      </c>
    </row>
    <row r="39" spans="1:66" s="4" customFormat="1" ht="13.5" thickBot="1">
      <c r="B39" s="2876"/>
      <c r="C39" s="2881"/>
      <c r="D39" s="2882"/>
      <c r="E39" s="2885"/>
      <c r="F39" s="2765"/>
      <c r="G39" s="2765"/>
      <c r="H39" s="2765"/>
      <c r="I39" s="2885"/>
      <c r="J39" s="2885"/>
      <c r="K39" s="2896"/>
    </row>
    <row r="40" spans="1:66" s="40" customFormat="1">
      <c r="A40" s="4"/>
      <c r="B40" s="621">
        <v>1</v>
      </c>
      <c r="C40" s="2906" t="s">
        <v>1926</v>
      </c>
      <c r="D40" s="2907"/>
      <c r="E40" s="700">
        <f>(ROUND((E20),2))</f>
        <v>1209629.48</v>
      </c>
      <c r="F40" s="700">
        <f>'[47]RES. VAL. '!$H$38</f>
        <v>540738.0686</v>
      </c>
      <c r="G40" s="700" t="e">
        <f>'VAL. PRINC'!#REF!</f>
        <v>#REF!</v>
      </c>
      <c r="H40" s="700" t="e">
        <f>+F40+G40</f>
        <v>#REF!</v>
      </c>
      <c r="I40" s="704" t="e">
        <f>+H40/E40</f>
        <v>#REF!</v>
      </c>
      <c r="J40" s="700" t="e">
        <f>+E40-H40</f>
        <v>#REF!</v>
      </c>
      <c r="K40" s="705" t="e">
        <f>+J40/E40</f>
        <v>#REF!</v>
      </c>
      <c r="L40" s="4"/>
      <c r="M40" s="4"/>
      <c r="N40" s="168"/>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row>
    <row r="41" spans="1:66" s="4" customFormat="1">
      <c r="B41" s="262">
        <v>2</v>
      </c>
      <c r="C41" s="2908" t="s">
        <v>257</v>
      </c>
      <c r="D41" s="2909"/>
      <c r="E41" s="78" t="e">
        <f>H41</f>
        <v>#REF!</v>
      </c>
      <c r="F41" s="700">
        <f>'[47]RES. VAL. '!$H$39</f>
        <v>55816.822099999998</v>
      </c>
      <c r="G41" s="78" t="e">
        <f>#REF!</f>
        <v>#REF!</v>
      </c>
      <c r="H41" s="78" t="e">
        <f>+F41+G41</f>
        <v>#REF!</v>
      </c>
      <c r="I41" s="79" t="e">
        <f>+H41/E41</f>
        <v>#REF!</v>
      </c>
      <c r="J41" s="78" t="e">
        <f>E41-H41</f>
        <v>#REF!</v>
      </c>
      <c r="K41" s="1055" t="e">
        <f>J41/E41</f>
        <v>#REF!</v>
      </c>
    </row>
    <row r="42" spans="1:66" s="4" customFormat="1">
      <c r="B42" s="262">
        <v>3</v>
      </c>
      <c r="C42" s="2908" t="s">
        <v>258</v>
      </c>
      <c r="D42" s="2909"/>
      <c r="E42" s="78" t="e">
        <f>H42</f>
        <v>#REF!</v>
      </c>
      <c r="F42" s="700">
        <f>'[47]RES. VAL. '!$H$40</f>
        <v>286835.83134454</v>
      </c>
      <c r="G42" s="78" t="e">
        <f>#REF!</f>
        <v>#REF!</v>
      </c>
      <c r="H42" s="78" t="e">
        <f>+F42+G42</f>
        <v>#REF!</v>
      </c>
      <c r="I42" s="79" t="e">
        <f>+H42/E42</f>
        <v>#REF!</v>
      </c>
      <c r="J42" s="78" t="e">
        <f>E42-H42</f>
        <v>#REF!</v>
      </c>
      <c r="K42" s="1055" t="e">
        <f>J42/E42</f>
        <v>#REF!</v>
      </c>
    </row>
    <row r="43" spans="1:66" s="4" customFormat="1" ht="13.5" thickBot="1">
      <c r="B43" s="647"/>
      <c r="C43" s="2910"/>
      <c r="D43" s="2911"/>
      <c r="E43" s="648"/>
      <c r="F43" s="649"/>
      <c r="G43" s="649"/>
      <c r="H43" s="649"/>
      <c r="I43" s="650"/>
      <c r="J43" s="649"/>
      <c r="K43" s="651"/>
    </row>
    <row r="44" spans="1:66" s="4" customFormat="1" ht="13.5" thickBot="1">
      <c r="B44" s="2902" t="s">
        <v>91</v>
      </c>
      <c r="C44" s="2903"/>
      <c r="D44" s="2904"/>
      <c r="E44" s="644" t="e">
        <f>SUM(E40:E43)</f>
        <v>#REF!</v>
      </c>
      <c r="F44" s="656">
        <f>SUM(F40:F43)</f>
        <v>883390.72204453999</v>
      </c>
      <c r="G44" s="656" t="e">
        <f>SUM(G40:G43)</f>
        <v>#REF!</v>
      </c>
      <c r="H44" s="656" t="e">
        <f>SUM(H40:H43)</f>
        <v>#REF!</v>
      </c>
      <c r="I44" s="657" t="e">
        <f>H44/E40</f>
        <v>#REF!</v>
      </c>
      <c r="J44" s="656" t="e">
        <f>SUM(J40:J43)</f>
        <v>#REF!</v>
      </c>
      <c r="K44" s="658" t="e">
        <f>J44/E40</f>
        <v>#REF!</v>
      </c>
      <c r="N44" s="168"/>
    </row>
    <row r="45" spans="1:66" s="4" customFormat="1">
      <c r="C45" s="35"/>
      <c r="D45" s="35"/>
      <c r="F45" s="636"/>
      <c r="H45" s="34"/>
      <c r="I45" s="286"/>
      <c r="J45" s="287"/>
      <c r="K45" s="287"/>
      <c r="L45" s="1"/>
      <c r="M45" s="25"/>
      <c r="N45" s="25"/>
    </row>
    <row r="46" spans="1:66" s="4" customFormat="1" ht="13.5" thickBot="1">
      <c r="C46" s="35"/>
      <c r="D46" s="35"/>
      <c r="F46" s="33"/>
      <c r="H46" s="34"/>
      <c r="I46" s="34"/>
      <c r="J46" s="35"/>
      <c r="K46" s="35"/>
      <c r="L46" s="1"/>
      <c r="M46" s="25"/>
      <c r="N46" s="25"/>
    </row>
    <row r="47" spans="1:66" s="4" customFormat="1" ht="11.25" customHeight="1" thickBot="1">
      <c r="B47" s="2772" t="s">
        <v>92</v>
      </c>
      <c r="C47" s="2773"/>
      <c r="D47" s="2773"/>
      <c r="E47" s="2774"/>
      <c r="F47" s="77">
        <f>+F44/E40</f>
        <v>0.73029860519317036</v>
      </c>
      <c r="G47" s="77" t="e">
        <f>+G44/E40</f>
        <v>#REF!</v>
      </c>
      <c r="H47" s="2768" t="e">
        <f>+H44/E40</f>
        <v>#REF!</v>
      </c>
      <c r="I47" s="2769"/>
      <c r="J47" s="2768" t="e">
        <f>+J44/E40</f>
        <v>#REF!</v>
      </c>
      <c r="K47" s="2769"/>
    </row>
    <row r="48" spans="1:66" s="4" customFormat="1" ht="11.25" customHeight="1" thickBot="1">
      <c r="B48" s="708"/>
      <c r="C48" s="708"/>
      <c r="D48" s="708"/>
      <c r="E48" s="708"/>
      <c r="F48" s="709"/>
      <c r="G48" s="709"/>
      <c r="H48" s="709"/>
      <c r="I48" s="709"/>
      <c r="J48" s="709"/>
      <c r="K48" s="709"/>
    </row>
    <row r="49" spans="2:9" s="4" customFormat="1" ht="13.35" customHeight="1" thickBot="1">
      <c r="B49" s="41"/>
      <c r="C49" s="41"/>
      <c r="D49" s="41"/>
      <c r="E49" s="710" t="s">
        <v>26</v>
      </c>
      <c r="F49" s="710" t="s">
        <v>27</v>
      </c>
      <c r="G49" s="710" t="s">
        <v>304</v>
      </c>
      <c r="I49" s="168"/>
    </row>
    <row r="50" spans="2:9" s="4" customFormat="1" ht="13.5" thickBot="1">
      <c r="B50" s="2772" t="s">
        <v>1927</v>
      </c>
      <c r="C50" s="2773"/>
      <c r="D50" s="2774"/>
      <c r="E50" s="711">
        <f>+F44</f>
        <v>883390.72204453999</v>
      </c>
      <c r="F50" s="711" t="e">
        <f>+G44</f>
        <v>#REF!</v>
      </c>
      <c r="G50" s="711" t="e">
        <f>+H44</f>
        <v>#REF!</v>
      </c>
    </row>
    <row r="51" spans="2:9" s="4" customFormat="1" ht="11.25" customHeight="1" thickBot="1">
      <c r="B51" s="2772" t="s">
        <v>93</v>
      </c>
      <c r="C51" s="2773"/>
      <c r="D51" s="2774"/>
      <c r="E51" s="77">
        <f>+E50/E40</f>
        <v>0.73029860519317036</v>
      </c>
      <c r="F51" s="77" t="e">
        <f>+F50/E40</f>
        <v>#REF!</v>
      </c>
      <c r="G51" s="77" t="e">
        <f>+G50/E40</f>
        <v>#REF!</v>
      </c>
    </row>
    <row r="52" spans="2:9" s="4" customFormat="1" ht="13.35" hidden="1" customHeight="1">
      <c r="C52" s="33"/>
      <c r="E52" s="34"/>
    </row>
    <row r="53" spans="2:9" ht="11.25" customHeight="1"/>
    <row r="54" spans="2:9" ht="11.25" customHeight="1"/>
  </sheetData>
  <mergeCells count="48">
    <mergeCell ref="H47:I47"/>
    <mergeCell ref="J47:K47"/>
    <mergeCell ref="B50:D50"/>
    <mergeCell ref="B51:D51"/>
    <mergeCell ref="C35:K35"/>
    <mergeCell ref="C40:D40"/>
    <mergeCell ref="C41:D41"/>
    <mergeCell ref="C42:D42"/>
    <mergeCell ref="C43:D43"/>
    <mergeCell ref="B44:D44"/>
    <mergeCell ref="B47:E47"/>
    <mergeCell ref="J36:K37"/>
    <mergeCell ref="H37:I37"/>
    <mergeCell ref="F38:F39"/>
    <mergeCell ref="G38:G39"/>
    <mergeCell ref="H38:H39"/>
    <mergeCell ref="I38:I39"/>
    <mergeCell ref="J38:J39"/>
    <mergeCell ref="K38:K39"/>
    <mergeCell ref="B20:D20"/>
    <mergeCell ref="B31:D31"/>
    <mergeCell ref="B36:B39"/>
    <mergeCell ref="C36:D39"/>
    <mergeCell ref="E36:E39"/>
    <mergeCell ref="F36:I36"/>
    <mergeCell ref="H14:H15"/>
    <mergeCell ref="I14:I15"/>
    <mergeCell ref="J14:J15"/>
    <mergeCell ref="K14:K15"/>
    <mergeCell ref="J12:J13"/>
    <mergeCell ref="B14:B15"/>
    <mergeCell ref="C14:D15"/>
    <mergeCell ref="E14:E15"/>
    <mergeCell ref="F14:F15"/>
    <mergeCell ref="G14:G15"/>
    <mergeCell ref="B2:N2"/>
    <mergeCell ref="E4:I4"/>
    <mergeCell ref="B10:B13"/>
    <mergeCell ref="C10:D13"/>
    <mergeCell ref="E10:E13"/>
    <mergeCell ref="F10:I10"/>
    <mergeCell ref="J10:K11"/>
    <mergeCell ref="H11:I11"/>
    <mergeCell ref="F12:F13"/>
    <mergeCell ref="G12:G13"/>
    <mergeCell ref="H12:H13"/>
    <mergeCell ref="I12:I13"/>
    <mergeCell ref="K12:K13"/>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
  <sheetViews>
    <sheetView workbookViewId="0"/>
  </sheetViews>
  <sheetFormatPr baseColWidth="10" defaultRowHeight="12.75"/>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C00000"/>
  </sheetPr>
  <dimension ref="A1:AA67"/>
  <sheetViews>
    <sheetView workbookViewId="0"/>
  </sheetViews>
  <sheetFormatPr baseColWidth="10" defaultRowHeight="15"/>
  <cols>
    <col min="1" max="1" width="10.42578125" style="288" customWidth="1"/>
    <col min="2" max="2" width="62.5703125" style="288" customWidth="1"/>
    <col min="3" max="3" width="6.5703125" style="288" customWidth="1"/>
    <col min="4" max="4" width="8.5703125" style="288" customWidth="1"/>
    <col min="5" max="5" width="7.5703125" style="288" bestFit="1" customWidth="1"/>
    <col min="6" max="6" width="7.42578125" style="288" customWidth="1"/>
    <col min="7" max="7" width="9.5703125" style="288" customWidth="1"/>
    <col min="8" max="8" width="7" style="288" customWidth="1"/>
    <col min="9" max="9" width="9.5703125" style="290" customWidth="1"/>
    <col min="10" max="10" width="10.42578125" style="291" customWidth="1"/>
    <col min="11" max="11" width="14.5703125" style="288" customWidth="1"/>
    <col min="12" max="256" width="11.42578125" style="288"/>
    <col min="257" max="257" width="10.42578125" style="288" customWidth="1"/>
    <col min="258" max="258" width="62.5703125" style="288" customWidth="1"/>
    <col min="259" max="259" width="6.5703125" style="288" customWidth="1"/>
    <col min="260" max="260" width="8.5703125" style="288" customWidth="1"/>
    <col min="261" max="261" width="7.5703125" style="288" bestFit="1" customWidth="1"/>
    <col min="262" max="262" width="7.42578125" style="288" customWidth="1"/>
    <col min="263" max="263" width="9.5703125" style="288" customWidth="1"/>
    <col min="264" max="264" width="7" style="288" customWidth="1"/>
    <col min="265" max="265" width="9.5703125" style="288" customWidth="1"/>
    <col min="266" max="266" width="10.42578125" style="288" customWidth="1"/>
    <col min="267" max="267" width="14.5703125" style="288" customWidth="1"/>
    <col min="268" max="512" width="11.42578125" style="288"/>
    <col min="513" max="513" width="10.42578125" style="288" customWidth="1"/>
    <col min="514" max="514" width="62.5703125" style="288" customWidth="1"/>
    <col min="515" max="515" width="6.5703125" style="288" customWidth="1"/>
    <col min="516" max="516" width="8.5703125" style="288" customWidth="1"/>
    <col min="517" max="517" width="7.5703125" style="288" bestFit="1" customWidth="1"/>
    <col min="518" max="518" width="7.42578125" style="288" customWidth="1"/>
    <col min="519" max="519" width="9.5703125" style="288" customWidth="1"/>
    <col min="520" max="520" width="7" style="288" customWidth="1"/>
    <col min="521" max="521" width="9.5703125" style="288" customWidth="1"/>
    <col min="522" max="522" width="10.42578125" style="288" customWidth="1"/>
    <col min="523" max="523" width="14.5703125" style="288" customWidth="1"/>
    <col min="524" max="768" width="11.42578125" style="288"/>
    <col min="769" max="769" width="10.42578125" style="288" customWidth="1"/>
    <col min="770" max="770" width="62.5703125" style="288" customWidth="1"/>
    <col min="771" max="771" width="6.5703125" style="288" customWidth="1"/>
    <col min="772" max="772" width="8.5703125" style="288" customWidth="1"/>
    <col min="773" max="773" width="7.5703125" style="288" bestFit="1" customWidth="1"/>
    <col min="774" max="774" width="7.42578125" style="288" customWidth="1"/>
    <col min="775" max="775" width="9.5703125" style="288" customWidth="1"/>
    <col min="776" max="776" width="7" style="288" customWidth="1"/>
    <col min="777" max="777" width="9.5703125" style="288" customWidth="1"/>
    <col min="778" max="778" width="10.42578125" style="288" customWidth="1"/>
    <col min="779" max="779" width="14.5703125" style="288" customWidth="1"/>
    <col min="780" max="1024" width="11.42578125" style="288"/>
    <col min="1025" max="1025" width="10.42578125" style="288" customWidth="1"/>
    <col min="1026" max="1026" width="62.5703125" style="288" customWidth="1"/>
    <col min="1027" max="1027" width="6.5703125" style="288" customWidth="1"/>
    <col min="1028" max="1028" width="8.5703125" style="288" customWidth="1"/>
    <col min="1029" max="1029" width="7.5703125" style="288" bestFit="1" customWidth="1"/>
    <col min="1030" max="1030" width="7.42578125" style="288" customWidth="1"/>
    <col min="1031" max="1031" width="9.5703125" style="288" customWidth="1"/>
    <col min="1032" max="1032" width="7" style="288" customWidth="1"/>
    <col min="1033" max="1033" width="9.5703125" style="288" customWidth="1"/>
    <col min="1034" max="1034" width="10.42578125" style="288" customWidth="1"/>
    <col min="1035" max="1035" width="14.5703125" style="288" customWidth="1"/>
    <col min="1036" max="1280" width="11.42578125" style="288"/>
    <col min="1281" max="1281" width="10.42578125" style="288" customWidth="1"/>
    <col min="1282" max="1282" width="62.5703125" style="288" customWidth="1"/>
    <col min="1283" max="1283" width="6.5703125" style="288" customWidth="1"/>
    <col min="1284" max="1284" width="8.5703125" style="288" customWidth="1"/>
    <col min="1285" max="1285" width="7.5703125" style="288" bestFit="1" customWidth="1"/>
    <col min="1286" max="1286" width="7.42578125" style="288" customWidth="1"/>
    <col min="1287" max="1287" width="9.5703125" style="288" customWidth="1"/>
    <col min="1288" max="1288" width="7" style="288" customWidth="1"/>
    <col min="1289" max="1289" width="9.5703125" style="288" customWidth="1"/>
    <col min="1290" max="1290" width="10.42578125" style="288" customWidth="1"/>
    <col min="1291" max="1291" width="14.5703125" style="288" customWidth="1"/>
    <col min="1292" max="1536" width="11.42578125" style="288"/>
    <col min="1537" max="1537" width="10.42578125" style="288" customWidth="1"/>
    <col min="1538" max="1538" width="62.5703125" style="288" customWidth="1"/>
    <col min="1539" max="1539" width="6.5703125" style="288" customWidth="1"/>
    <col min="1540" max="1540" width="8.5703125" style="288" customWidth="1"/>
    <col min="1541" max="1541" width="7.5703125" style="288" bestFit="1" customWidth="1"/>
    <col min="1542" max="1542" width="7.42578125" style="288" customWidth="1"/>
    <col min="1543" max="1543" width="9.5703125" style="288" customWidth="1"/>
    <col min="1544" max="1544" width="7" style="288" customWidth="1"/>
    <col min="1545" max="1545" width="9.5703125" style="288" customWidth="1"/>
    <col min="1546" max="1546" width="10.42578125" style="288" customWidth="1"/>
    <col min="1547" max="1547" width="14.5703125" style="288" customWidth="1"/>
    <col min="1548" max="1792" width="11.42578125" style="288"/>
    <col min="1793" max="1793" width="10.42578125" style="288" customWidth="1"/>
    <col min="1794" max="1794" width="62.5703125" style="288" customWidth="1"/>
    <col min="1795" max="1795" width="6.5703125" style="288" customWidth="1"/>
    <col min="1796" max="1796" width="8.5703125" style="288" customWidth="1"/>
    <col min="1797" max="1797" width="7.5703125" style="288" bestFit="1" customWidth="1"/>
    <col min="1798" max="1798" width="7.42578125" style="288" customWidth="1"/>
    <col min="1799" max="1799" width="9.5703125" style="288" customWidth="1"/>
    <col min="1800" max="1800" width="7" style="288" customWidth="1"/>
    <col min="1801" max="1801" width="9.5703125" style="288" customWidth="1"/>
    <col min="1802" max="1802" width="10.42578125" style="288" customWidth="1"/>
    <col min="1803" max="1803" width="14.5703125" style="288" customWidth="1"/>
    <col min="1804" max="2048" width="11.42578125" style="288"/>
    <col min="2049" max="2049" width="10.42578125" style="288" customWidth="1"/>
    <col min="2050" max="2050" width="62.5703125" style="288" customWidth="1"/>
    <col min="2051" max="2051" width="6.5703125" style="288" customWidth="1"/>
    <col min="2052" max="2052" width="8.5703125" style="288" customWidth="1"/>
    <col min="2053" max="2053" width="7.5703125" style="288" bestFit="1" customWidth="1"/>
    <col min="2054" max="2054" width="7.42578125" style="288" customWidth="1"/>
    <col min="2055" max="2055" width="9.5703125" style="288" customWidth="1"/>
    <col min="2056" max="2056" width="7" style="288" customWidth="1"/>
    <col min="2057" max="2057" width="9.5703125" style="288" customWidth="1"/>
    <col min="2058" max="2058" width="10.42578125" style="288" customWidth="1"/>
    <col min="2059" max="2059" width="14.5703125" style="288" customWidth="1"/>
    <col min="2060" max="2304" width="11.42578125" style="288"/>
    <col min="2305" max="2305" width="10.42578125" style="288" customWidth="1"/>
    <col min="2306" max="2306" width="62.5703125" style="288" customWidth="1"/>
    <col min="2307" max="2307" width="6.5703125" style="288" customWidth="1"/>
    <col min="2308" max="2308" width="8.5703125" style="288" customWidth="1"/>
    <col min="2309" max="2309" width="7.5703125" style="288" bestFit="1" customWidth="1"/>
    <col min="2310" max="2310" width="7.42578125" style="288" customWidth="1"/>
    <col min="2311" max="2311" width="9.5703125" style="288" customWidth="1"/>
    <col min="2312" max="2312" width="7" style="288" customWidth="1"/>
    <col min="2313" max="2313" width="9.5703125" style="288" customWidth="1"/>
    <col min="2314" max="2314" width="10.42578125" style="288" customWidth="1"/>
    <col min="2315" max="2315" width="14.5703125" style="288" customWidth="1"/>
    <col min="2316" max="2560" width="11.42578125" style="288"/>
    <col min="2561" max="2561" width="10.42578125" style="288" customWidth="1"/>
    <col min="2562" max="2562" width="62.5703125" style="288" customWidth="1"/>
    <col min="2563" max="2563" width="6.5703125" style="288" customWidth="1"/>
    <col min="2564" max="2564" width="8.5703125" style="288" customWidth="1"/>
    <col min="2565" max="2565" width="7.5703125" style="288" bestFit="1" customWidth="1"/>
    <col min="2566" max="2566" width="7.42578125" style="288" customWidth="1"/>
    <col min="2567" max="2567" width="9.5703125" style="288" customWidth="1"/>
    <col min="2568" max="2568" width="7" style="288" customWidth="1"/>
    <col min="2569" max="2569" width="9.5703125" style="288" customWidth="1"/>
    <col min="2570" max="2570" width="10.42578125" style="288" customWidth="1"/>
    <col min="2571" max="2571" width="14.5703125" style="288" customWidth="1"/>
    <col min="2572" max="2816" width="11.42578125" style="288"/>
    <col min="2817" max="2817" width="10.42578125" style="288" customWidth="1"/>
    <col min="2818" max="2818" width="62.5703125" style="288" customWidth="1"/>
    <col min="2819" max="2819" width="6.5703125" style="288" customWidth="1"/>
    <col min="2820" max="2820" width="8.5703125" style="288" customWidth="1"/>
    <col min="2821" max="2821" width="7.5703125" style="288" bestFit="1" customWidth="1"/>
    <col min="2822" max="2822" width="7.42578125" style="288" customWidth="1"/>
    <col min="2823" max="2823" width="9.5703125" style="288" customWidth="1"/>
    <col min="2824" max="2824" width="7" style="288" customWidth="1"/>
    <col min="2825" max="2825" width="9.5703125" style="288" customWidth="1"/>
    <col min="2826" max="2826" width="10.42578125" style="288" customWidth="1"/>
    <col min="2827" max="2827" width="14.5703125" style="288" customWidth="1"/>
    <col min="2828" max="3072" width="11.42578125" style="288"/>
    <col min="3073" max="3073" width="10.42578125" style="288" customWidth="1"/>
    <col min="3074" max="3074" width="62.5703125" style="288" customWidth="1"/>
    <col min="3075" max="3075" width="6.5703125" style="288" customWidth="1"/>
    <col min="3076" max="3076" width="8.5703125" style="288" customWidth="1"/>
    <col min="3077" max="3077" width="7.5703125" style="288" bestFit="1" customWidth="1"/>
    <col min="3078" max="3078" width="7.42578125" style="288" customWidth="1"/>
    <col min="3079" max="3079" width="9.5703125" style="288" customWidth="1"/>
    <col min="3080" max="3080" width="7" style="288" customWidth="1"/>
    <col min="3081" max="3081" width="9.5703125" style="288" customWidth="1"/>
    <col min="3082" max="3082" width="10.42578125" style="288" customWidth="1"/>
    <col min="3083" max="3083" width="14.5703125" style="288" customWidth="1"/>
    <col min="3084" max="3328" width="11.42578125" style="288"/>
    <col min="3329" max="3329" width="10.42578125" style="288" customWidth="1"/>
    <col min="3330" max="3330" width="62.5703125" style="288" customWidth="1"/>
    <col min="3331" max="3331" width="6.5703125" style="288" customWidth="1"/>
    <col min="3332" max="3332" width="8.5703125" style="288" customWidth="1"/>
    <col min="3333" max="3333" width="7.5703125" style="288" bestFit="1" customWidth="1"/>
    <col min="3334" max="3334" width="7.42578125" style="288" customWidth="1"/>
    <col min="3335" max="3335" width="9.5703125" style="288" customWidth="1"/>
    <col min="3336" max="3336" width="7" style="288" customWidth="1"/>
    <col min="3337" max="3337" width="9.5703125" style="288" customWidth="1"/>
    <col min="3338" max="3338" width="10.42578125" style="288" customWidth="1"/>
    <col min="3339" max="3339" width="14.5703125" style="288" customWidth="1"/>
    <col min="3340" max="3584" width="11.42578125" style="288"/>
    <col min="3585" max="3585" width="10.42578125" style="288" customWidth="1"/>
    <col min="3586" max="3586" width="62.5703125" style="288" customWidth="1"/>
    <col min="3587" max="3587" width="6.5703125" style="288" customWidth="1"/>
    <col min="3588" max="3588" width="8.5703125" style="288" customWidth="1"/>
    <col min="3589" max="3589" width="7.5703125" style="288" bestFit="1" customWidth="1"/>
    <col min="3590" max="3590" width="7.42578125" style="288" customWidth="1"/>
    <col min="3591" max="3591" width="9.5703125" style="288" customWidth="1"/>
    <col min="3592" max="3592" width="7" style="288" customWidth="1"/>
    <col min="3593" max="3593" width="9.5703125" style="288" customWidth="1"/>
    <col min="3594" max="3594" width="10.42578125" style="288" customWidth="1"/>
    <col min="3595" max="3595" width="14.5703125" style="288" customWidth="1"/>
    <col min="3596" max="3840" width="11.42578125" style="288"/>
    <col min="3841" max="3841" width="10.42578125" style="288" customWidth="1"/>
    <col min="3842" max="3842" width="62.5703125" style="288" customWidth="1"/>
    <col min="3843" max="3843" width="6.5703125" style="288" customWidth="1"/>
    <col min="3844" max="3844" width="8.5703125" style="288" customWidth="1"/>
    <col min="3845" max="3845" width="7.5703125" style="288" bestFit="1" customWidth="1"/>
    <col min="3846" max="3846" width="7.42578125" style="288" customWidth="1"/>
    <col min="3847" max="3847" width="9.5703125" style="288" customWidth="1"/>
    <col min="3848" max="3848" width="7" style="288" customWidth="1"/>
    <col min="3849" max="3849" width="9.5703125" style="288" customWidth="1"/>
    <col min="3850" max="3850" width="10.42578125" style="288" customWidth="1"/>
    <col min="3851" max="3851" width="14.5703125" style="288" customWidth="1"/>
    <col min="3852" max="4096" width="11.42578125" style="288"/>
    <col min="4097" max="4097" width="10.42578125" style="288" customWidth="1"/>
    <col min="4098" max="4098" width="62.5703125" style="288" customWidth="1"/>
    <col min="4099" max="4099" width="6.5703125" style="288" customWidth="1"/>
    <col min="4100" max="4100" width="8.5703125" style="288" customWidth="1"/>
    <col min="4101" max="4101" width="7.5703125" style="288" bestFit="1" customWidth="1"/>
    <col min="4102" max="4102" width="7.42578125" style="288" customWidth="1"/>
    <col min="4103" max="4103" width="9.5703125" style="288" customWidth="1"/>
    <col min="4104" max="4104" width="7" style="288" customWidth="1"/>
    <col min="4105" max="4105" width="9.5703125" style="288" customWidth="1"/>
    <col min="4106" max="4106" width="10.42578125" style="288" customWidth="1"/>
    <col min="4107" max="4107" width="14.5703125" style="288" customWidth="1"/>
    <col min="4108" max="4352" width="11.42578125" style="288"/>
    <col min="4353" max="4353" width="10.42578125" style="288" customWidth="1"/>
    <col min="4354" max="4354" width="62.5703125" style="288" customWidth="1"/>
    <col min="4355" max="4355" width="6.5703125" style="288" customWidth="1"/>
    <col min="4356" max="4356" width="8.5703125" style="288" customWidth="1"/>
    <col min="4357" max="4357" width="7.5703125" style="288" bestFit="1" customWidth="1"/>
    <col min="4358" max="4358" width="7.42578125" style="288" customWidth="1"/>
    <col min="4359" max="4359" width="9.5703125" style="288" customWidth="1"/>
    <col min="4360" max="4360" width="7" style="288" customWidth="1"/>
    <col min="4361" max="4361" width="9.5703125" style="288" customWidth="1"/>
    <col min="4362" max="4362" width="10.42578125" style="288" customWidth="1"/>
    <col min="4363" max="4363" width="14.5703125" style="288" customWidth="1"/>
    <col min="4364" max="4608" width="11.42578125" style="288"/>
    <col min="4609" max="4609" width="10.42578125" style="288" customWidth="1"/>
    <col min="4610" max="4610" width="62.5703125" style="288" customWidth="1"/>
    <col min="4611" max="4611" width="6.5703125" style="288" customWidth="1"/>
    <col min="4612" max="4612" width="8.5703125" style="288" customWidth="1"/>
    <col min="4613" max="4613" width="7.5703125" style="288" bestFit="1" customWidth="1"/>
    <col min="4614" max="4614" width="7.42578125" style="288" customWidth="1"/>
    <col min="4615" max="4615" width="9.5703125" style="288" customWidth="1"/>
    <col min="4616" max="4616" width="7" style="288" customWidth="1"/>
    <col min="4617" max="4617" width="9.5703125" style="288" customWidth="1"/>
    <col min="4618" max="4618" width="10.42578125" style="288" customWidth="1"/>
    <col min="4619" max="4619" width="14.5703125" style="288" customWidth="1"/>
    <col min="4620" max="4864" width="11.42578125" style="288"/>
    <col min="4865" max="4865" width="10.42578125" style="288" customWidth="1"/>
    <col min="4866" max="4866" width="62.5703125" style="288" customWidth="1"/>
    <col min="4867" max="4867" width="6.5703125" style="288" customWidth="1"/>
    <col min="4868" max="4868" width="8.5703125" style="288" customWidth="1"/>
    <col min="4869" max="4869" width="7.5703125" style="288" bestFit="1" customWidth="1"/>
    <col min="4870" max="4870" width="7.42578125" style="288" customWidth="1"/>
    <col min="4871" max="4871" width="9.5703125" style="288" customWidth="1"/>
    <col min="4872" max="4872" width="7" style="288" customWidth="1"/>
    <col min="4873" max="4873" width="9.5703125" style="288" customWidth="1"/>
    <col min="4874" max="4874" width="10.42578125" style="288" customWidth="1"/>
    <col min="4875" max="4875" width="14.5703125" style="288" customWidth="1"/>
    <col min="4876" max="5120" width="11.42578125" style="288"/>
    <col min="5121" max="5121" width="10.42578125" style="288" customWidth="1"/>
    <col min="5122" max="5122" width="62.5703125" style="288" customWidth="1"/>
    <col min="5123" max="5123" width="6.5703125" style="288" customWidth="1"/>
    <col min="5124" max="5124" width="8.5703125" style="288" customWidth="1"/>
    <col min="5125" max="5125" width="7.5703125" style="288" bestFit="1" customWidth="1"/>
    <col min="5126" max="5126" width="7.42578125" style="288" customWidth="1"/>
    <col min="5127" max="5127" width="9.5703125" style="288" customWidth="1"/>
    <col min="5128" max="5128" width="7" style="288" customWidth="1"/>
    <col min="5129" max="5129" width="9.5703125" style="288" customWidth="1"/>
    <col min="5130" max="5130" width="10.42578125" style="288" customWidth="1"/>
    <col min="5131" max="5131" width="14.5703125" style="288" customWidth="1"/>
    <col min="5132" max="5376" width="11.42578125" style="288"/>
    <col min="5377" max="5377" width="10.42578125" style="288" customWidth="1"/>
    <col min="5378" max="5378" width="62.5703125" style="288" customWidth="1"/>
    <col min="5379" max="5379" width="6.5703125" style="288" customWidth="1"/>
    <col min="5380" max="5380" width="8.5703125" style="288" customWidth="1"/>
    <col min="5381" max="5381" width="7.5703125" style="288" bestFit="1" customWidth="1"/>
    <col min="5382" max="5382" width="7.42578125" style="288" customWidth="1"/>
    <col min="5383" max="5383" width="9.5703125" style="288" customWidth="1"/>
    <col min="5384" max="5384" width="7" style="288" customWidth="1"/>
    <col min="5385" max="5385" width="9.5703125" style="288" customWidth="1"/>
    <col min="5386" max="5386" width="10.42578125" style="288" customWidth="1"/>
    <col min="5387" max="5387" width="14.5703125" style="288" customWidth="1"/>
    <col min="5388" max="5632" width="11.42578125" style="288"/>
    <col min="5633" max="5633" width="10.42578125" style="288" customWidth="1"/>
    <col min="5634" max="5634" width="62.5703125" style="288" customWidth="1"/>
    <col min="5635" max="5635" width="6.5703125" style="288" customWidth="1"/>
    <col min="5636" max="5636" width="8.5703125" style="288" customWidth="1"/>
    <col min="5637" max="5637" width="7.5703125" style="288" bestFit="1" customWidth="1"/>
    <col min="5638" max="5638" width="7.42578125" style="288" customWidth="1"/>
    <col min="5639" max="5639" width="9.5703125" style="288" customWidth="1"/>
    <col min="5640" max="5640" width="7" style="288" customWidth="1"/>
    <col min="5641" max="5641" width="9.5703125" style="288" customWidth="1"/>
    <col min="5642" max="5642" width="10.42578125" style="288" customWidth="1"/>
    <col min="5643" max="5643" width="14.5703125" style="288" customWidth="1"/>
    <col min="5644" max="5888" width="11.42578125" style="288"/>
    <col min="5889" max="5889" width="10.42578125" style="288" customWidth="1"/>
    <col min="5890" max="5890" width="62.5703125" style="288" customWidth="1"/>
    <col min="5891" max="5891" width="6.5703125" style="288" customWidth="1"/>
    <col min="5892" max="5892" width="8.5703125" style="288" customWidth="1"/>
    <col min="5893" max="5893" width="7.5703125" style="288" bestFit="1" customWidth="1"/>
    <col min="5894" max="5894" width="7.42578125" style="288" customWidth="1"/>
    <col min="5895" max="5895" width="9.5703125" style="288" customWidth="1"/>
    <col min="5896" max="5896" width="7" style="288" customWidth="1"/>
    <col min="5897" max="5897" width="9.5703125" style="288" customWidth="1"/>
    <col min="5898" max="5898" width="10.42578125" style="288" customWidth="1"/>
    <col min="5899" max="5899" width="14.5703125" style="288" customWidth="1"/>
    <col min="5900" max="6144" width="11.42578125" style="288"/>
    <col min="6145" max="6145" width="10.42578125" style="288" customWidth="1"/>
    <col min="6146" max="6146" width="62.5703125" style="288" customWidth="1"/>
    <col min="6147" max="6147" width="6.5703125" style="288" customWidth="1"/>
    <col min="6148" max="6148" width="8.5703125" style="288" customWidth="1"/>
    <col min="6149" max="6149" width="7.5703125" style="288" bestFit="1" customWidth="1"/>
    <col min="6150" max="6150" width="7.42578125" style="288" customWidth="1"/>
    <col min="6151" max="6151" width="9.5703125" style="288" customWidth="1"/>
    <col min="6152" max="6152" width="7" style="288" customWidth="1"/>
    <col min="6153" max="6153" width="9.5703125" style="288" customWidth="1"/>
    <col min="6154" max="6154" width="10.42578125" style="288" customWidth="1"/>
    <col min="6155" max="6155" width="14.5703125" style="288" customWidth="1"/>
    <col min="6156" max="6400" width="11.42578125" style="288"/>
    <col min="6401" max="6401" width="10.42578125" style="288" customWidth="1"/>
    <col min="6402" max="6402" width="62.5703125" style="288" customWidth="1"/>
    <col min="6403" max="6403" width="6.5703125" style="288" customWidth="1"/>
    <col min="6404" max="6404" width="8.5703125" style="288" customWidth="1"/>
    <col min="6405" max="6405" width="7.5703125" style="288" bestFit="1" customWidth="1"/>
    <col min="6406" max="6406" width="7.42578125" style="288" customWidth="1"/>
    <col min="6407" max="6407" width="9.5703125" style="288" customWidth="1"/>
    <col min="6408" max="6408" width="7" style="288" customWidth="1"/>
    <col min="6409" max="6409" width="9.5703125" style="288" customWidth="1"/>
    <col min="6410" max="6410" width="10.42578125" style="288" customWidth="1"/>
    <col min="6411" max="6411" width="14.5703125" style="288" customWidth="1"/>
    <col min="6412" max="6656" width="11.42578125" style="288"/>
    <col min="6657" max="6657" width="10.42578125" style="288" customWidth="1"/>
    <col min="6658" max="6658" width="62.5703125" style="288" customWidth="1"/>
    <col min="6659" max="6659" width="6.5703125" style="288" customWidth="1"/>
    <col min="6660" max="6660" width="8.5703125" style="288" customWidth="1"/>
    <col min="6661" max="6661" width="7.5703125" style="288" bestFit="1" customWidth="1"/>
    <col min="6662" max="6662" width="7.42578125" style="288" customWidth="1"/>
    <col min="6663" max="6663" width="9.5703125" style="288" customWidth="1"/>
    <col min="6664" max="6664" width="7" style="288" customWidth="1"/>
    <col min="6665" max="6665" width="9.5703125" style="288" customWidth="1"/>
    <col min="6666" max="6666" width="10.42578125" style="288" customWidth="1"/>
    <col min="6667" max="6667" width="14.5703125" style="288" customWidth="1"/>
    <col min="6668" max="6912" width="11.42578125" style="288"/>
    <col min="6913" max="6913" width="10.42578125" style="288" customWidth="1"/>
    <col min="6914" max="6914" width="62.5703125" style="288" customWidth="1"/>
    <col min="6915" max="6915" width="6.5703125" style="288" customWidth="1"/>
    <col min="6916" max="6916" width="8.5703125" style="288" customWidth="1"/>
    <col min="6917" max="6917" width="7.5703125" style="288" bestFit="1" customWidth="1"/>
    <col min="6918" max="6918" width="7.42578125" style="288" customWidth="1"/>
    <col min="6919" max="6919" width="9.5703125" style="288" customWidth="1"/>
    <col min="6920" max="6920" width="7" style="288" customWidth="1"/>
    <col min="6921" max="6921" width="9.5703125" style="288" customWidth="1"/>
    <col min="6922" max="6922" width="10.42578125" style="288" customWidth="1"/>
    <col min="6923" max="6923" width="14.5703125" style="288" customWidth="1"/>
    <col min="6924" max="7168" width="11.42578125" style="288"/>
    <col min="7169" max="7169" width="10.42578125" style="288" customWidth="1"/>
    <col min="7170" max="7170" width="62.5703125" style="288" customWidth="1"/>
    <col min="7171" max="7171" width="6.5703125" style="288" customWidth="1"/>
    <col min="7172" max="7172" width="8.5703125" style="288" customWidth="1"/>
    <col min="7173" max="7173" width="7.5703125" style="288" bestFit="1" customWidth="1"/>
    <col min="7174" max="7174" width="7.42578125" style="288" customWidth="1"/>
    <col min="7175" max="7175" width="9.5703125" style="288" customWidth="1"/>
    <col min="7176" max="7176" width="7" style="288" customWidth="1"/>
    <col min="7177" max="7177" width="9.5703125" style="288" customWidth="1"/>
    <col min="7178" max="7178" width="10.42578125" style="288" customWidth="1"/>
    <col min="7179" max="7179" width="14.5703125" style="288" customWidth="1"/>
    <col min="7180" max="7424" width="11.42578125" style="288"/>
    <col min="7425" max="7425" width="10.42578125" style="288" customWidth="1"/>
    <col min="7426" max="7426" width="62.5703125" style="288" customWidth="1"/>
    <col min="7427" max="7427" width="6.5703125" style="288" customWidth="1"/>
    <col min="7428" max="7428" width="8.5703125" style="288" customWidth="1"/>
    <col min="7429" max="7429" width="7.5703125" style="288" bestFit="1" customWidth="1"/>
    <col min="7430" max="7430" width="7.42578125" style="288" customWidth="1"/>
    <col min="7431" max="7431" width="9.5703125" style="288" customWidth="1"/>
    <col min="7432" max="7432" width="7" style="288" customWidth="1"/>
    <col min="7433" max="7433" width="9.5703125" style="288" customWidth="1"/>
    <col min="7434" max="7434" width="10.42578125" style="288" customWidth="1"/>
    <col min="7435" max="7435" width="14.5703125" style="288" customWidth="1"/>
    <col min="7436" max="7680" width="11.42578125" style="288"/>
    <col min="7681" max="7681" width="10.42578125" style="288" customWidth="1"/>
    <col min="7682" max="7682" width="62.5703125" style="288" customWidth="1"/>
    <col min="7683" max="7683" width="6.5703125" style="288" customWidth="1"/>
    <col min="7684" max="7684" width="8.5703125" style="288" customWidth="1"/>
    <col min="7685" max="7685" width="7.5703125" style="288" bestFit="1" customWidth="1"/>
    <col min="7686" max="7686" width="7.42578125" style="288" customWidth="1"/>
    <col min="7687" max="7687" width="9.5703125" style="288" customWidth="1"/>
    <col min="7688" max="7688" width="7" style="288" customWidth="1"/>
    <col min="7689" max="7689" width="9.5703125" style="288" customWidth="1"/>
    <col min="7690" max="7690" width="10.42578125" style="288" customWidth="1"/>
    <col min="7691" max="7691" width="14.5703125" style="288" customWidth="1"/>
    <col min="7692" max="7936" width="11.42578125" style="288"/>
    <col min="7937" max="7937" width="10.42578125" style="288" customWidth="1"/>
    <col min="7938" max="7938" width="62.5703125" style="288" customWidth="1"/>
    <col min="7939" max="7939" width="6.5703125" style="288" customWidth="1"/>
    <col min="7940" max="7940" width="8.5703125" style="288" customWidth="1"/>
    <col min="7941" max="7941" width="7.5703125" style="288" bestFit="1" customWidth="1"/>
    <col min="7942" max="7942" width="7.42578125" style="288" customWidth="1"/>
    <col min="7943" max="7943" width="9.5703125" style="288" customWidth="1"/>
    <col min="7944" max="7944" width="7" style="288" customWidth="1"/>
    <col min="7945" max="7945" width="9.5703125" style="288" customWidth="1"/>
    <col min="7946" max="7946" width="10.42578125" style="288" customWidth="1"/>
    <col min="7947" max="7947" width="14.5703125" style="288" customWidth="1"/>
    <col min="7948" max="8192" width="11.42578125" style="288"/>
    <col min="8193" max="8193" width="10.42578125" style="288" customWidth="1"/>
    <col min="8194" max="8194" width="62.5703125" style="288" customWidth="1"/>
    <col min="8195" max="8195" width="6.5703125" style="288" customWidth="1"/>
    <col min="8196" max="8196" width="8.5703125" style="288" customWidth="1"/>
    <col min="8197" max="8197" width="7.5703125" style="288" bestFit="1" customWidth="1"/>
    <col min="8198" max="8198" width="7.42578125" style="288" customWidth="1"/>
    <col min="8199" max="8199" width="9.5703125" style="288" customWidth="1"/>
    <col min="8200" max="8200" width="7" style="288" customWidth="1"/>
    <col min="8201" max="8201" width="9.5703125" style="288" customWidth="1"/>
    <col min="8202" max="8202" width="10.42578125" style="288" customWidth="1"/>
    <col min="8203" max="8203" width="14.5703125" style="288" customWidth="1"/>
    <col min="8204" max="8448" width="11.42578125" style="288"/>
    <col min="8449" max="8449" width="10.42578125" style="288" customWidth="1"/>
    <col min="8450" max="8450" width="62.5703125" style="288" customWidth="1"/>
    <col min="8451" max="8451" width="6.5703125" style="288" customWidth="1"/>
    <col min="8452" max="8452" width="8.5703125" style="288" customWidth="1"/>
    <col min="8453" max="8453" width="7.5703125" style="288" bestFit="1" customWidth="1"/>
    <col min="8454" max="8454" width="7.42578125" style="288" customWidth="1"/>
    <col min="8455" max="8455" width="9.5703125" style="288" customWidth="1"/>
    <col min="8456" max="8456" width="7" style="288" customWidth="1"/>
    <col min="8457" max="8457" width="9.5703125" style="288" customWidth="1"/>
    <col min="8458" max="8458" width="10.42578125" style="288" customWidth="1"/>
    <col min="8459" max="8459" width="14.5703125" style="288" customWidth="1"/>
    <col min="8460" max="8704" width="11.42578125" style="288"/>
    <col min="8705" max="8705" width="10.42578125" style="288" customWidth="1"/>
    <col min="8706" max="8706" width="62.5703125" style="288" customWidth="1"/>
    <col min="8707" max="8707" width="6.5703125" style="288" customWidth="1"/>
    <col min="8708" max="8708" width="8.5703125" style="288" customWidth="1"/>
    <col min="8709" max="8709" width="7.5703125" style="288" bestFit="1" customWidth="1"/>
    <col min="8710" max="8710" width="7.42578125" style="288" customWidth="1"/>
    <col min="8711" max="8711" width="9.5703125" style="288" customWidth="1"/>
    <col min="8712" max="8712" width="7" style="288" customWidth="1"/>
    <col min="8713" max="8713" width="9.5703125" style="288" customWidth="1"/>
    <col min="8714" max="8714" width="10.42578125" style="288" customWidth="1"/>
    <col min="8715" max="8715" width="14.5703125" style="288" customWidth="1"/>
    <col min="8716" max="8960" width="11.42578125" style="288"/>
    <col min="8961" max="8961" width="10.42578125" style="288" customWidth="1"/>
    <col min="8962" max="8962" width="62.5703125" style="288" customWidth="1"/>
    <col min="8963" max="8963" width="6.5703125" style="288" customWidth="1"/>
    <col min="8964" max="8964" width="8.5703125" style="288" customWidth="1"/>
    <col min="8965" max="8965" width="7.5703125" style="288" bestFit="1" customWidth="1"/>
    <col min="8966" max="8966" width="7.42578125" style="288" customWidth="1"/>
    <col min="8967" max="8967" width="9.5703125" style="288" customWidth="1"/>
    <col min="8968" max="8968" width="7" style="288" customWidth="1"/>
    <col min="8969" max="8969" width="9.5703125" style="288" customWidth="1"/>
    <col min="8970" max="8970" width="10.42578125" style="288" customWidth="1"/>
    <col min="8971" max="8971" width="14.5703125" style="288" customWidth="1"/>
    <col min="8972" max="9216" width="11.42578125" style="288"/>
    <col min="9217" max="9217" width="10.42578125" style="288" customWidth="1"/>
    <col min="9218" max="9218" width="62.5703125" style="288" customWidth="1"/>
    <col min="9219" max="9219" width="6.5703125" style="288" customWidth="1"/>
    <col min="9220" max="9220" width="8.5703125" style="288" customWidth="1"/>
    <col min="9221" max="9221" width="7.5703125" style="288" bestFit="1" customWidth="1"/>
    <col min="9222" max="9222" width="7.42578125" style="288" customWidth="1"/>
    <col min="9223" max="9223" width="9.5703125" style="288" customWidth="1"/>
    <col min="9224" max="9224" width="7" style="288" customWidth="1"/>
    <col min="9225" max="9225" width="9.5703125" style="288" customWidth="1"/>
    <col min="9226" max="9226" width="10.42578125" style="288" customWidth="1"/>
    <col min="9227" max="9227" width="14.5703125" style="288" customWidth="1"/>
    <col min="9228" max="9472" width="11.42578125" style="288"/>
    <col min="9473" max="9473" width="10.42578125" style="288" customWidth="1"/>
    <col min="9474" max="9474" width="62.5703125" style="288" customWidth="1"/>
    <col min="9475" max="9475" width="6.5703125" style="288" customWidth="1"/>
    <col min="9476" max="9476" width="8.5703125" style="288" customWidth="1"/>
    <col min="9477" max="9477" width="7.5703125" style="288" bestFit="1" customWidth="1"/>
    <col min="9478" max="9478" width="7.42578125" style="288" customWidth="1"/>
    <col min="9479" max="9479" width="9.5703125" style="288" customWidth="1"/>
    <col min="9480" max="9480" width="7" style="288" customWidth="1"/>
    <col min="9481" max="9481" width="9.5703125" style="288" customWidth="1"/>
    <col min="9482" max="9482" width="10.42578125" style="288" customWidth="1"/>
    <col min="9483" max="9483" width="14.5703125" style="288" customWidth="1"/>
    <col min="9484" max="9728" width="11.42578125" style="288"/>
    <col min="9729" max="9729" width="10.42578125" style="288" customWidth="1"/>
    <col min="9730" max="9730" width="62.5703125" style="288" customWidth="1"/>
    <col min="9731" max="9731" width="6.5703125" style="288" customWidth="1"/>
    <col min="9732" max="9732" width="8.5703125" style="288" customWidth="1"/>
    <col min="9733" max="9733" width="7.5703125" style="288" bestFit="1" customWidth="1"/>
    <col min="9734" max="9734" width="7.42578125" style="288" customWidth="1"/>
    <col min="9735" max="9735" width="9.5703125" style="288" customWidth="1"/>
    <col min="9736" max="9736" width="7" style="288" customWidth="1"/>
    <col min="9737" max="9737" width="9.5703125" style="288" customWidth="1"/>
    <col min="9738" max="9738" width="10.42578125" style="288" customWidth="1"/>
    <col min="9739" max="9739" width="14.5703125" style="288" customWidth="1"/>
    <col min="9740" max="9984" width="11.42578125" style="288"/>
    <col min="9985" max="9985" width="10.42578125" style="288" customWidth="1"/>
    <col min="9986" max="9986" width="62.5703125" style="288" customWidth="1"/>
    <col min="9987" max="9987" width="6.5703125" style="288" customWidth="1"/>
    <col min="9988" max="9988" width="8.5703125" style="288" customWidth="1"/>
    <col min="9989" max="9989" width="7.5703125" style="288" bestFit="1" customWidth="1"/>
    <col min="9990" max="9990" width="7.42578125" style="288" customWidth="1"/>
    <col min="9991" max="9991" width="9.5703125" style="288" customWidth="1"/>
    <col min="9992" max="9992" width="7" style="288" customWidth="1"/>
    <col min="9993" max="9993" width="9.5703125" style="288" customWidth="1"/>
    <col min="9994" max="9994" width="10.42578125" style="288" customWidth="1"/>
    <col min="9995" max="9995" width="14.5703125" style="288" customWidth="1"/>
    <col min="9996" max="10240" width="11.42578125" style="288"/>
    <col min="10241" max="10241" width="10.42578125" style="288" customWidth="1"/>
    <col min="10242" max="10242" width="62.5703125" style="288" customWidth="1"/>
    <col min="10243" max="10243" width="6.5703125" style="288" customWidth="1"/>
    <col min="10244" max="10244" width="8.5703125" style="288" customWidth="1"/>
    <col min="10245" max="10245" width="7.5703125" style="288" bestFit="1" customWidth="1"/>
    <col min="10246" max="10246" width="7.42578125" style="288" customWidth="1"/>
    <col min="10247" max="10247" width="9.5703125" style="288" customWidth="1"/>
    <col min="10248" max="10248" width="7" style="288" customWidth="1"/>
    <col min="10249" max="10249" width="9.5703125" style="288" customWidth="1"/>
    <col min="10250" max="10250" width="10.42578125" style="288" customWidth="1"/>
    <col min="10251" max="10251" width="14.5703125" style="288" customWidth="1"/>
    <col min="10252" max="10496" width="11.42578125" style="288"/>
    <col min="10497" max="10497" width="10.42578125" style="288" customWidth="1"/>
    <col min="10498" max="10498" width="62.5703125" style="288" customWidth="1"/>
    <col min="10499" max="10499" width="6.5703125" style="288" customWidth="1"/>
    <col min="10500" max="10500" width="8.5703125" style="288" customWidth="1"/>
    <col min="10501" max="10501" width="7.5703125" style="288" bestFit="1" customWidth="1"/>
    <col min="10502" max="10502" width="7.42578125" style="288" customWidth="1"/>
    <col min="10503" max="10503" width="9.5703125" style="288" customWidth="1"/>
    <col min="10504" max="10504" width="7" style="288" customWidth="1"/>
    <col min="10505" max="10505" width="9.5703125" style="288" customWidth="1"/>
    <col min="10506" max="10506" width="10.42578125" style="288" customWidth="1"/>
    <col min="10507" max="10507" width="14.5703125" style="288" customWidth="1"/>
    <col min="10508" max="10752" width="11.42578125" style="288"/>
    <col min="10753" max="10753" width="10.42578125" style="288" customWidth="1"/>
    <col min="10754" max="10754" width="62.5703125" style="288" customWidth="1"/>
    <col min="10755" max="10755" width="6.5703125" style="288" customWidth="1"/>
    <col min="10756" max="10756" width="8.5703125" style="288" customWidth="1"/>
    <col min="10757" max="10757" width="7.5703125" style="288" bestFit="1" customWidth="1"/>
    <col min="10758" max="10758" width="7.42578125" style="288" customWidth="1"/>
    <col min="10759" max="10759" width="9.5703125" style="288" customWidth="1"/>
    <col min="10760" max="10760" width="7" style="288" customWidth="1"/>
    <col min="10761" max="10761" width="9.5703125" style="288" customWidth="1"/>
    <col min="10762" max="10762" width="10.42578125" style="288" customWidth="1"/>
    <col min="10763" max="10763" width="14.5703125" style="288" customWidth="1"/>
    <col min="10764" max="11008" width="11.42578125" style="288"/>
    <col min="11009" max="11009" width="10.42578125" style="288" customWidth="1"/>
    <col min="11010" max="11010" width="62.5703125" style="288" customWidth="1"/>
    <col min="11011" max="11011" width="6.5703125" style="288" customWidth="1"/>
    <col min="11012" max="11012" width="8.5703125" style="288" customWidth="1"/>
    <col min="11013" max="11013" width="7.5703125" style="288" bestFit="1" customWidth="1"/>
    <col min="11014" max="11014" width="7.42578125" style="288" customWidth="1"/>
    <col min="11015" max="11015" width="9.5703125" style="288" customWidth="1"/>
    <col min="11016" max="11016" width="7" style="288" customWidth="1"/>
    <col min="11017" max="11017" width="9.5703125" style="288" customWidth="1"/>
    <col min="11018" max="11018" width="10.42578125" style="288" customWidth="1"/>
    <col min="11019" max="11019" width="14.5703125" style="288" customWidth="1"/>
    <col min="11020" max="11264" width="11.42578125" style="288"/>
    <col min="11265" max="11265" width="10.42578125" style="288" customWidth="1"/>
    <col min="11266" max="11266" width="62.5703125" style="288" customWidth="1"/>
    <col min="11267" max="11267" width="6.5703125" style="288" customWidth="1"/>
    <col min="11268" max="11268" width="8.5703125" style="288" customWidth="1"/>
    <col min="11269" max="11269" width="7.5703125" style="288" bestFit="1" customWidth="1"/>
    <col min="11270" max="11270" width="7.42578125" style="288" customWidth="1"/>
    <col min="11271" max="11271" width="9.5703125" style="288" customWidth="1"/>
    <col min="11272" max="11272" width="7" style="288" customWidth="1"/>
    <col min="11273" max="11273" width="9.5703125" style="288" customWidth="1"/>
    <col min="11274" max="11274" width="10.42578125" style="288" customWidth="1"/>
    <col min="11275" max="11275" width="14.5703125" style="288" customWidth="1"/>
    <col min="11276" max="11520" width="11.42578125" style="288"/>
    <col min="11521" max="11521" width="10.42578125" style="288" customWidth="1"/>
    <col min="11522" max="11522" width="62.5703125" style="288" customWidth="1"/>
    <col min="11523" max="11523" width="6.5703125" style="288" customWidth="1"/>
    <col min="11524" max="11524" width="8.5703125" style="288" customWidth="1"/>
    <col min="11525" max="11525" width="7.5703125" style="288" bestFit="1" customWidth="1"/>
    <col min="11526" max="11526" width="7.42578125" style="288" customWidth="1"/>
    <col min="11527" max="11527" width="9.5703125" style="288" customWidth="1"/>
    <col min="11528" max="11528" width="7" style="288" customWidth="1"/>
    <col min="11529" max="11529" width="9.5703125" style="288" customWidth="1"/>
    <col min="11530" max="11530" width="10.42578125" style="288" customWidth="1"/>
    <col min="11531" max="11531" width="14.5703125" style="288" customWidth="1"/>
    <col min="11532" max="11776" width="11.42578125" style="288"/>
    <col min="11777" max="11777" width="10.42578125" style="288" customWidth="1"/>
    <col min="11778" max="11778" width="62.5703125" style="288" customWidth="1"/>
    <col min="11779" max="11779" width="6.5703125" style="288" customWidth="1"/>
    <col min="11780" max="11780" width="8.5703125" style="288" customWidth="1"/>
    <col min="11781" max="11781" width="7.5703125" style="288" bestFit="1" customWidth="1"/>
    <col min="11782" max="11782" width="7.42578125" style="288" customWidth="1"/>
    <col min="11783" max="11783" width="9.5703125" style="288" customWidth="1"/>
    <col min="11784" max="11784" width="7" style="288" customWidth="1"/>
    <col min="11785" max="11785" width="9.5703125" style="288" customWidth="1"/>
    <col min="11786" max="11786" width="10.42578125" style="288" customWidth="1"/>
    <col min="11787" max="11787" width="14.5703125" style="288" customWidth="1"/>
    <col min="11788" max="12032" width="11.42578125" style="288"/>
    <col min="12033" max="12033" width="10.42578125" style="288" customWidth="1"/>
    <col min="12034" max="12034" width="62.5703125" style="288" customWidth="1"/>
    <col min="12035" max="12035" width="6.5703125" style="288" customWidth="1"/>
    <col min="12036" max="12036" width="8.5703125" style="288" customWidth="1"/>
    <col min="12037" max="12037" width="7.5703125" style="288" bestFit="1" customWidth="1"/>
    <col min="12038" max="12038" width="7.42578125" style="288" customWidth="1"/>
    <col min="12039" max="12039" width="9.5703125" style="288" customWidth="1"/>
    <col min="12040" max="12040" width="7" style="288" customWidth="1"/>
    <col min="12041" max="12041" width="9.5703125" style="288" customWidth="1"/>
    <col min="12042" max="12042" width="10.42578125" style="288" customWidth="1"/>
    <col min="12043" max="12043" width="14.5703125" style="288" customWidth="1"/>
    <col min="12044" max="12288" width="11.42578125" style="288"/>
    <col min="12289" max="12289" width="10.42578125" style="288" customWidth="1"/>
    <col min="12290" max="12290" width="62.5703125" style="288" customWidth="1"/>
    <col min="12291" max="12291" width="6.5703125" style="288" customWidth="1"/>
    <col min="12292" max="12292" width="8.5703125" style="288" customWidth="1"/>
    <col min="12293" max="12293" width="7.5703125" style="288" bestFit="1" customWidth="1"/>
    <col min="12294" max="12294" width="7.42578125" style="288" customWidth="1"/>
    <col min="12295" max="12295" width="9.5703125" style="288" customWidth="1"/>
    <col min="12296" max="12296" width="7" style="288" customWidth="1"/>
    <col min="12297" max="12297" width="9.5703125" style="288" customWidth="1"/>
    <col min="12298" max="12298" width="10.42578125" style="288" customWidth="1"/>
    <col min="12299" max="12299" width="14.5703125" style="288" customWidth="1"/>
    <col min="12300" max="12544" width="11.42578125" style="288"/>
    <col min="12545" max="12545" width="10.42578125" style="288" customWidth="1"/>
    <col min="12546" max="12546" width="62.5703125" style="288" customWidth="1"/>
    <col min="12547" max="12547" width="6.5703125" style="288" customWidth="1"/>
    <col min="12548" max="12548" width="8.5703125" style="288" customWidth="1"/>
    <col min="12549" max="12549" width="7.5703125" style="288" bestFit="1" customWidth="1"/>
    <col min="12550" max="12550" width="7.42578125" style="288" customWidth="1"/>
    <col min="12551" max="12551" width="9.5703125" style="288" customWidth="1"/>
    <col min="12552" max="12552" width="7" style="288" customWidth="1"/>
    <col min="12553" max="12553" width="9.5703125" style="288" customWidth="1"/>
    <col min="12554" max="12554" width="10.42578125" style="288" customWidth="1"/>
    <col min="12555" max="12555" width="14.5703125" style="288" customWidth="1"/>
    <col min="12556" max="12800" width="11.42578125" style="288"/>
    <col min="12801" max="12801" width="10.42578125" style="288" customWidth="1"/>
    <col min="12802" max="12802" width="62.5703125" style="288" customWidth="1"/>
    <col min="12803" max="12803" width="6.5703125" style="288" customWidth="1"/>
    <col min="12804" max="12804" width="8.5703125" style="288" customWidth="1"/>
    <col min="12805" max="12805" width="7.5703125" style="288" bestFit="1" customWidth="1"/>
    <col min="12806" max="12806" width="7.42578125" style="288" customWidth="1"/>
    <col min="12807" max="12807" width="9.5703125" style="288" customWidth="1"/>
    <col min="12808" max="12808" width="7" style="288" customWidth="1"/>
    <col min="12809" max="12809" width="9.5703125" style="288" customWidth="1"/>
    <col min="12810" max="12810" width="10.42578125" style="288" customWidth="1"/>
    <col min="12811" max="12811" width="14.5703125" style="288" customWidth="1"/>
    <col min="12812" max="13056" width="11.42578125" style="288"/>
    <col min="13057" max="13057" width="10.42578125" style="288" customWidth="1"/>
    <col min="13058" max="13058" width="62.5703125" style="288" customWidth="1"/>
    <col min="13059" max="13059" width="6.5703125" style="288" customWidth="1"/>
    <col min="13060" max="13060" width="8.5703125" style="288" customWidth="1"/>
    <col min="13061" max="13061" width="7.5703125" style="288" bestFit="1" customWidth="1"/>
    <col min="13062" max="13062" width="7.42578125" style="288" customWidth="1"/>
    <col min="13063" max="13063" width="9.5703125" style="288" customWidth="1"/>
    <col min="13064" max="13064" width="7" style="288" customWidth="1"/>
    <col min="13065" max="13065" width="9.5703125" style="288" customWidth="1"/>
    <col min="13066" max="13066" width="10.42578125" style="288" customWidth="1"/>
    <col min="13067" max="13067" width="14.5703125" style="288" customWidth="1"/>
    <col min="13068" max="13312" width="11.42578125" style="288"/>
    <col min="13313" max="13313" width="10.42578125" style="288" customWidth="1"/>
    <col min="13314" max="13314" width="62.5703125" style="288" customWidth="1"/>
    <col min="13315" max="13315" width="6.5703125" style="288" customWidth="1"/>
    <col min="13316" max="13316" width="8.5703125" style="288" customWidth="1"/>
    <col min="13317" max="13317" width="7.5703125" style="288" bestFit="1" customWidth="1"/>
    <col min="13318" max="13318" width="7.42578125" style="288" customWidth="1"/>
    <col min="13319" max="13319" width="9.5703125" style="288" customWidth="1"/>
    <col min="13320" max="13320" width="7" style="288" customWidth="1"/>
    <col min="13321" max="13321" width="9.5703125" style="288" customWidth="1"/>
    <col min="13322" max="13322" width="10.42578125" style="288" customWidth="1"/>
    <col min="13323" max="13323" width="14.5703125" style="288" customWidth="1"/>
    <col min="13324" max="13568" width="11.42578125" style="288"/>
    <col min="13569" max="13569" width="10.42578125" style="288" customWidth="1"/>
    <col min="13570" max="13570" width="62.5703125" style="288" customWidth="1"/>
    <col min="13571" max="13571" width="6.5703125" style="288" customWidth="1"/>
    <col min="13572" max="13572" width="8.5703125" style="288" customWidth="1"/>
    <col min="13573" max="13573" width="7.5703125" style="288" bestFit="1" customWidth="1"/>
    <col min="13574" max="13574" width="7.42578125" style="288" customWidth="1"/>
    <col min="13575" max="13575" width="9.5703125" style="288" customWidth="1"/>
    <col min="13576" max="13576" width="7" style="288" customWidth="1"/>
    <col min="13577" max="13577" width="9.5703125" style="288" customWidth="1"/>
    <col min="13578" max="13578" width="10.42578125" style="288" customWidth="1"/>
    <col min="13579" max="13579" width="14.5703125" style="288" customWidth="1"/>
    <col min="13580" max="13824" width="11.42578125" style="288"/>
    <col min="13825" max="13825" width="10.42578125" style="288" customWidth="1"/>
    <col min="13826" max="13826" width="62.5703125" style="288" customWidth="1"/>
    <col min="13827" max="13827" width="6.5703125" style="288" customWidth="1"/>
    <col min="13828" max="13828" width="8.5703125" style="288" customWidth="1"/>
    <col min="13829" max="13829" width="7.5703125" style="288" bestFit="1" customWidth="1"/>
    <col min="13830" max="13830" width="7.42578125" style="288" customWidth="1"/>
    <col min="13831" max="13831" width="9.5703125" style="288" customWidth="1"/>
    <col min="13832" max="13832" width="7" style="288" customWidth="1"/>
    <col min="13833" max="13833" width="9.5703125" style="288" customWidth="1"/>
    <col min="13834" max="13834" width="10.42578125" style="288" customWidth="1"/>
    <col min="13835" max="13835" width="14.5703125" style="288" customWidth="1"/>
    <col min="13836" max="14080" width="11.42578125" style="288"/>
    <col min="14081" max="14081" width="10.42578125" style="288" customWidth="1"/>
    <col min="14082" max="14082" width="62.5703125" style="288" customWidth="1"/>
    <col min="14083" max="14083" width="6.5703125" style="288" customWidth="1"/>
    <col min="14084" max="14084" width="8.5703125" style="288" customWidth="1"/>
    <col min="14085" max="14085" width="7.5703125" style="288" bestFit="1" customWidth="1"/>
    <col min="14086" max="14086" width="7.42578125" style="288" customWidth="1"/>
    <col min="14087" max="14087" width="9.5703125" style="288" customWidth="1"/>
    <col min="14088" max="14088" width="7" style="288" customWidth="1"/>
    <col min="14089" max="14089" width="9.5703125" style="288" customWidth="1"/>
    <col min="14090" max="14090" width="10.42578125" style="288" customWidth="1"/>
    <col min="14091" max="14091" width="14.5703125" style="288" customWidth="1"/>
    <col min="14092" max="14336" width="11.42578125" style="288"/>
    <col min="14337" max="14337" width="10.42578125" style="288" customWidth="1"/>
    <col min="14338" max="14338" width="62.5703125" style="288" customWidth="1"/>
    <col min="14339" max="14339" width="6.5703125" style="288" customWidth="1"/>
    <col min="14340" max="14340" width="8.5703125" style="288" customWidth="1"/>
    <col min="14341" max="14341" width="7.5703125" style="288" bestFit="1" customWidth="1"/>
    <col min="14342" max="14342" width="7.42578125" style="288" customWidth="1"/>
    <col min="14343" max="14343" width="9.5703125" style="288" customWidth="1"/>
    <col min="14344" max="14344" width="7" style="288" customWidth="1"/>
    <col min="14345" max="14345" width="9.5703125" style="288" customWidth="1"/>
    <col min="14346" max="14346" width="10.42578125" style="288" customWidth="1"/>
    <col min="14347" max="14347" width="14.5703125" style="288" customWidth="1"/>
    <col min="14348" max="14592" width="11.42578125" style="288"/>
    <col min="14593" max="14593" width="10.42578125" style="288" customWidth="1"/>
    <col min="14594" max="14594" width="62.5703125" style="288" customWidth="1"/>
    <col min="14595" max="14595" width="6.5703125" style="288" customWidth="1"/>
    <col min="14596" max="14596" width="8.5703125" style="288" customWidth="1"/>
    <col min="14597" max="14597" width="7.5703125" style="288" bestFit="1" customWidth="1"/>
    <col min="14598" max="14598" width="7.42578125" style="288" customWidth="1"/>
    <col min="14599" max="14599" width="9.5703125" style="288" customWidth="1"/>
    <col min="14600" max="14600" width="7" style="288" customWidth="1"/>
    <col min="14601" max="14601" width="9.5703125" style="288" customWidth="1"/>
    <col min="14602" max="14602" width="10.42578125" style="288" customWidth="1"/>
    <col min="14603" max="14603" width="14.5703125" style="288" customWidth="1"/>
    <col min="14604" max="14848" width="11.42578125" style="288"/>
    <col min="14849" max="14849" width="10.42578125" style="288" customWidth="1"/>
    <col min="14850" max="14850" width="62.5703125" style="288" customWidth="1"/>
    <col min="14851" max="14851" width="6.5703125" style="288" customWidth="1"/>
    <col min="14852" max="14852" width="8.5703125" style="288" customWidth="1"/>
    <col min="14853" max="14853" width="7.5703125" style="288" bestFit="1" customWidth="1"/>
    <col min="14854" max="14854" width="7.42578125" style="288" customWidth="1"/>
    <col min="14855" max="14855" width="9.5703125" style="288" customWidth="1"/>
    <col min="14856" max="14856" width="7" style="288" customWidth="1"/>
    <col min="14857" max="14857" width="9.5703125" style="288" customWidth="1"/>
    <col min="14858" max="14858" width="10.42578125" style="288" customWidth="1"/>
    <col min="14859" max="14859" width="14.5703125" style="288" customWidth="1"/>
    <col min="14860" max="15104" width="11.42578125" style="288"/>
    <col min="15105" max="15105" width="10.42578125" style="288" customWidth="1"/>
    <col min="15106" max="15106" width="62.5703125" style="288" customWidth="1"/>
    <col min="15107" max="15107" width="6.5703125" style="288" customWidth="1"/>
    <col min="15108" max="15108" width="8.5703125" style="288" customWidth="1"/>
    <col min="15109" max="15109" width="7.5703125" style="288" bestFit="1" customWidth="1"/>
    <col min="15110" max="15110" width="7.42578125" style="288" customWidth="1"/>
    <col min="15111" max="15111" width="9.5703125" style="288" customWidth="1"/>
    <col min="15112" max="15112" width="7" style="288" customWidth="1"/>
    <col min="15113" max="15113" width="9.5703125" style="288" customWidth="1"/>
    <col min="15114" max="15114" width="10.42578125" style="288" customWidth="1"/>
    <col min="15115" max="15115" width="14.5703125" style="288" customWidth="1"/>
    <col min="15116" max="15360" width="11.42578125" style="288"/>
    <col min="15361" max="15361" width="10.42578125" style="288" customWidth="1"/>
    <col min="15362" max="15362" width="62.5703125" style="288" customWidth="1"/>
    <col min="15363" max="15363" width="6.5703125" style="288" customWidth="1"/>
    <col min="15364" max="15364" width="8.5703125" style="288" customWidth="1"/>
    <col min="15365" max="15365" width="7.5703125" style="288" bestFit="1" customWidth="1"/>
    <col min="15366" max="15366" width="7.42578125" style="288" customWidth="1"/>
    <col min="15367" max="15367" width="9.5703125" style="288" customWidth="1"/>
    <col min="15368" max="15368" width="7" style="288" customWidth="1"/>
    <col min="15369" max="15369" width="9.5703125" style="288" customWidth="1"/>
    <col min="15370" max="15370" width="10.42578125" style="288" customWidth="1"/>
    <col min="15371" max="15371" width="14.5703125" style="288" customWidth="1"/>
    <col min="15372" max="15616" width="11.42578125" style="288"/>
    <col min="15617" max="15617" width="10.42578125" style="288" customWidth="1"/>
    <col min="15618" max="15618" width="62.5703125" style="288" customWidth="1"/>
    <col min="15619" max="15619" width="6.5703125" style="288" customWidth="1"/>
    <col min="15620" max="15620" width="8.5703125" style="288" customWidth="1"/>
    <col min="15621" max="15621" width="7.5703125" style="288" bestFit="1" customWidth="1"/>
    <col min="15622" max="15622" width="7.42578125" style="288" customWidth="1"/>
    <col min="15623" max="15623" width="9.5703125" style="288" customWidth="1"/>
    <col min="15624" max="15624" width="7" style="288" customWidth="1"/>
    <col min="15625" max="15625" width="9.5703125" style="288" customWidth="1"/>
    <col min="15626" max="15626" width="10.42578125" style="288" customWidth="1"/>
    <col min="15627" max="15627" width="14.5703125" style="288" customWidth="1"/>
    <col min="15628" max="15872" width="11.42578125" style="288"/>
    <col min="15873" max="15873" width="10.42578125" style="288" customWidth="1"/>
    <col min="15874" max="15874" width="62.5703125" style="288" customWidth="1"/>
    <col min="15875" max="15875" width="6.5703125" style="288" customWidth="1"/>
    <col min="15876" max="15876" width="8.5703125" style="288" customWidth="1"/>
    <col min="15877" max="15877" width="7.5703125" style="288" bestFit="1" customWidth="1"/>
    <col min="15878" max="15878" width="7.42578125" style="288" customWidth="1"/>
    <col min="15879" max="15879" width="9.5703125" style="288" customWidth="1"/>
    <col min="15880" max="15880" width="7" style="288" customWidth="1"/>
    <col min="15881" max="15881" width="9.5703125" style="288" customWidth="1"/>
    <col min="15882" max="15882" width="10.42578125" style="288" customWidth="1"/>
    <col min="15883" max="15883" width="14.5703125" style="288" customWidth="1"/>
    <col min="15884" max="16128" width="11.42578125" style="288"/>
    <col min="16129" max="16129" width="10.42578125" style="288" customWidth="1"/>
    <col min="16130" max="16130" width="62.5703125" style="288" customWidth="1"/>
    <col min="16131" max="16131" width="6.5703125" style="288" customWidth="1"/>
    <col min="16132" max="16132" width="8.5703125" style="288" customWidth="1"/>
    <col min="16133" max="16133" width="7.5703125" style="288" bestFit="1" customWidth="1"/>
    <col min="16134" max="16134" width="7.42578125" style="288" customWidth="1"/>
    <col min="16135" max="16135" width="9.5703125" style="288" customWidth="1"/>
    <col min="16136" max="16136" width="7" style="288" customWidth="1"/>
    <col min="16137" max="16137" width="9.5703125" style="288" customWidth="1"/>
    <col min="16138" max="16138" width="10.42578125" style="288" customWidth="1"/>
    <col min="16139" max="16139" width="14.5703125" style="288" customWidth="1"/>
    <col min="16140" max="16384" width="11.42578125" style="288"/>
  </cols>
  <sheetData>
    <row r="1" spans="1:20" ht="12" customHeight="1">
      <c r="A1" s="43" t="s">
        <v>67</v>
      </c>
      <c r="B1" s="44"/>
      <c r="C1" s="269"/>
      <c r="D1" s="45"/>
      <c r="E1" s="269"/>
      <c r="F1" s="46"/>
      <c r="G1" s="46"/>
      <c r="H1" s="46"/>
      <c r="I1" s="47"/>
      <c r="J1" s="48"/>
      <c r="K1" s="46"/>
    </row>
    <row r="2" spans="1:20" ht="12" customHeight="1">
      <c r="A2" s="44" t="s">
        <v>68</v>
      </c>
      <c r="B2" s="43"/>
      <c r="C2" s="269"/>
      <c r="D2" s="45"/>
      <c r="E2" s="269"/>
      <c r="F2" s="46"/>
      <c r="G2" s="46"/>
      <c r="H2" s="46"/>
      <c r="I2" s="47"/>
      <c r="J2" s="48"/>
      <c r="K2" s="46"/>
    </row>
    <row r="3" spans="1:20" ht="12" customHeight="1">
      <c r="A3" s="49" t="s">
        <v>69</v>
      </c>
      <c r="B3" s="43"/>
      <c r="C3" s="269"/>
      <c r="D3" s="45"/>
      <c r="E3" s="269"/>
      <c r="F3" s="46"/>
      <c r="G3" s="46"/>
      <c r="H3" s="46"/>
      <c r="I3" s="47"/>
      <c r="J3" s="48"/>
      <c r="K3" s="46"/>
    </row>
    <row r="4" spans="1:20" ht="15.75">
      <c r="A4" s="2912" t="s">
        <v>70</v>
      </c>
      <c r="B4" s="2912"/>
      <c r="C4" s="2912"/>
      <c r="D4" s="2912"/>
      <c r="E4" s="2912"/>
      <c r="F4" s="2912"/>
      <c r="G4" s="2912"/>
      <c r="H4" s="2912"/>
      <c r="I4" s="2912"/>
      <c r="J4" s="2912"/>
      <c r="K4" s="2912"/>
    </row>
    <row r="5" spans="1:20">
      <c r="B5" s="50" t="s">
        <v>247</v>
      </c>
      <c r="C5" s="269"/>
      <c r="D5" s="45"/>
      <c r="E5" s="269"/>
      <c r="F5" s="46"/>
      <c r="G5" s="46"/>
      <c r="H5" s="46"/>
      <c r="I5" s="47"/>
      <c r="J5" s="48"/>
      <c r="K5" s="46"/>
    </row>
    <row r="6" spans="1:20">
      <c r="A6" s="50"/>
      <c r="B6" s="2913" t="s">
        <v>248</v>
      </c>
      <c r="C6" s="2913"/>
      <c r="D6" s="2913"/>
      <c r="E6" s="2913"/>
      <c r="F6" s="2913"/>
      <c r="G6" s="2913"/>
      <c r="H6" s="2913"/>
      <c r="I6" s="2913"/>
      <c r="J6" s="48"/>
      <c r="K6" s="46"/>
    </row>
    <row r="7" spans="1:20">
      <c r="A7" s="50"/>
      <c r="B7" s="50" t="s">
        <v>71</v>
      </c>
      <c r="C7" s="269"/>
      <c r="D7" s="269"/>
      <c r="E7" s="269"/>
      <c r="F7" s="47"/>
      <c r="G7" s="47"/>
      <c r="H7" s="46"/>
      <c r="I7" s="47"/>
      <c r="J7" s="48"/>
      <c r="K7" s="46"/>
    </row>
    <row r="8" spans="1:20" ht="15.75" thickBot="1">
      <c r="A8" s="51"/>
      <c r="B8" s="52"/>
      <c r="C8" s="53"/>
      <c r="D8" s="54"/>
      <c r="E8" s="53"/>
      <c r="F8" s="55"/>
      <c r="G8" s="55"/>
      <c r="H8" s="55"/>
      <c r="I8" s="56"/>
      <c r="J8" s="57"/>
      <c r="K8" s="47"/>
    </row>
    <row r="9" spans="1:20" ht="24" customHeight="1">
      <c r="A9" s="2914" t="s">
        <v>66</v>
      </c>
      <c r="B9" s="2916" t="s">
        <v>72</v>
      </c>
      <c r="C9" s="270" t="s">
        <v>73</v>
      </c>
      <c r="D9" s="2916" t="s">
        <v>74</v>
      </c>
      <c r="E9" s="2916" t="s">
        <v>75</v>
      </c>
      <c r="F9" s="2918" t="s">
        <v>76</v>
      </c>
      <c r="G9" s="2918"/>
      <c r="H9" s="2918"/>
      <c r="I9" s="2918"/>
      <c r="J9" s="2918"/>
      <c r="K9" s="2919" t="s">
        <v>77</v>
      </c>
    </row>
    <row r="10" spans="1:20" ht="15.75" thickBot="1">
      <c r="A10" s="2915"/>
      <c r="B10" s="2917"/>
      <c r="C10" s="58" t="s">
        <v>78</v>
      </c>
      <c r="D10" s="2917"/>
      <c r="E10" s="2917"/>
      <c r="F10" s="58" t="s">
        <v>79</v>
      </c>
      <c r="G10" s="58" t="s">
        <v>80</v>
      </c>
      <c r="H10" s="58" t="s">
        <v>81</v>
      </c>
      <c r="I10" s="58" t="s">
        <v>82</v>
      </c>
      <c r="J10" s="59" t="s">
        <v>2</v>
      </c>
      <c r="K10" s="2920"/>
    </row>
    <row r="11" spans="1:20" ht="15.75">
      <c r="A11" s="289"/>
      <c r="B11" s="52" t="s">
        <v>63</v>
      </c>
      <c r="K11" s="292"/>
    </row>
    <row r="12" spans="1:20" ht="15.75">
      <c r="A12" s="289"/>
      <c r="B12" s="52"/>
      <c r="K12" s="292"/>
    </row>
    <row r="13" spans="1:20" s="299" customFormat="1" ht="15" customHeight="1">
      <c r="A13" s="293"/>
      <c r="B13" s="294"/>
      <c r="C13" s="295"/>
      <c r="D13" s="60"/>
      <c r="E13" s="296"/>
      <c r="F13" s="296"/>
      <c r="G13" s="61"/>
      <c r="H13" s="296"/>
      <c r="I13" s="296"/>
      <c r="J13" s="297"/>
      <c r="K13" s="298"/>
      <c r="O13" s="300"/>
      <c r="Q13" s="301"/>
      <c r="R13" s="302"/>
      <c r="S13" s="303"/>
      <c r="T13" s="304"/>
    </row>
    <row r="14" spans="1:20" s="299" customFormat="1" ht="15" customHeight="1">
      <c r="A14" s="305"/>
      <c r="B14" s="305"/>
      <c r="C14" s="305"/>
      <c r="D14" s="306"/>
      <c r="E14" s="307"/>
      <c r="F14" s="308"/>
      <c r="G14" s="62"/>
      <c r="H14" s="309"/>
      <c r="I14" s="309"/>
      <c r="J14" s="63"/>
      <c r="K14" s="308"/>
      <c r="L14" s="300"/>
      <c r="M14" s="300"/>
      <c r="N14" s="300"/>
      <c r="O14" s="300"/>
      <c r="Q14" s="301"/>
      <c r="R14" s="302"/>
      <c r="S14" s="303"/>
      <c r="T14" s="304"/>
    </row>
    <row r="15" spans="1:20" s="299" customFormat="1" ht="15" customHeight="1">
      <c r="A15" s="100" t="s">
        <v>95</v>
      </c>
      <c r="B15" s="101" t="s">
        <v>96</v>
      </c>
      <c r="C15" s="90"/>
      <c r="D15" s="306"/>
      <c r="E15" s="307"/>
      <c r="F15" s="309"/>
      <c r="G15" s="62"/>
      <c r="H15" s="309"/>
      <c r="I15" s="309"/>
      <c r="J15" s="63"/>
      <c r="K15" s="308"/>
      <c r="L15" s="300"/>
      <c r="M15" s="300"/>
      <c r="N15" s="300"/>
      <c r="O15" s="300"/>
      <c r="Q15" s="301"/>
      <c r="R15" s="302"/>
      <c r="S15" s="303"/>
      <c r="T15" s="304"/>
    </row>
    <row r="16" spans="1:20" s="299" customFormat="1" ht="15" customHeight="1">
      <c r="A16" s="104" t="s">
        <v>98</v>
      </c>
      <c r="B16" s="105" t="s">
        <v>99</v>
      </c>
      <c r="C16" s="90"/>
      <c r="D16" s="306"/>
      <c r="E16" s="307"/>
      <c r="F16" s="308"/>
      <c r="G16" s="62"/>
      <c r="H16" s="309"/>
      <c r="I16" s="309"/>
      <c r="J16" s="63"/>
      <c r="K16" s="308"/>
      <c r="L16" s="300"/>
      <c r="M16" s="300"/>
      <c r="N16" s="300"/>
      <c r="O16" s="300"/>
      <c r="Q16" s="301"/>
      <c r="R16" s="302"/>
      <c r="S16" s="303"/>
      <c r="T16" s="304"/>
    </row>
    <row r="17" spans="1:20" s="299" customFormat="1" ht="15" customHeight="1">
      <c r="A17" s="104"/>
      <c r="B17" s="103" t="s">
        <v>250</v>
      </c>
      <c r="C17" s="310" t="s">
        <v>58</v>
      </c>
      <c r="D17" s="62"/>
      <c r="E17" s="307"/>
      <c r="F17" s="308"/>
      <c r="G17" s="62"/>
      <c r="H17" s="309"/>
      <c r="I17" s="92"/>
      <c r="J17" s="93">
        <f>I17</f>
        <v>0</v>
      </c>
      <c r="K17" s="308"/>
      <c r="L17" s="300"/>
      <c r="M17" s="300"/>
      <c r="N17" s="300"/>
      <c r="O17" s="300"/>
      <c r="Q17" s="301"/>
      <c r="R17" s="302"/>
      <c r="S17" s="303"/>
      <c r="T17" s="304"/>
    </row>
    <row r="18" spans="1:20" s="299" customFormat="1" ht="15" customHeight="1">
      <c r="A18" s="104"/>
      <c r="B18" s="105"/>
      <c r="C18" s="115"/>
      <c r="D18" s="311"/>
      <c r="E18" s="312"/>
      <c r="F18" s="313"/>
      <c r="G18" s="116"/>
      <c r="H18" s="314"/>
      <c r="I18" s="314"/>
      <c r="J18" s="48"/>
      <c r="K18" s="313"/>
      <c r="L18" s="300"/>
      <c r="M18" s="300"/>
      <c r="N18" s="300"/>
      <c r="O18" s="300"/>
      <c r="Q18" s="301"/>
      <c r="R18" s="302"/>
      <c r="S18" s="303"/>
      <c r="T18" s="304"/>
    </row>
    <row r="19" spans="1:20" s="299" customFormat="1" ht="15" customHeight="1">
      <c r="A19" s="102" t="s">
        <v>98</v>
      </c>
      <c r="B19" s="103" t="s">
        <v>118</v>
      </c>
      <c r="C19" s="310" t="s">
        <v>40</v>
      </c>
      <c r="D19" s="96"/>
      <c r="E19" s="110"/>
      <c r="F19" s="110"/>
      <c r="G19" s="110"/>
      <c r="H19" s="110"/>
      <c r="I19" s="92"/>
      <c r="J19" s="93">
        <f>I19</f>
        <v>0</v>
      </c>
      <c r="K19" s="111"/>
      <c r="L19" s="300"/>
      <c r="M19" s="300"/>
      <c r="N19" s="300"/>
      <c r="O19" s="300"/>
      <c r="Q19" s="301"/>
      <c r="R19" s="302"/>
      <c r="S19" s="303"/>
      <c r="T19" s="304"/>
    </row>
    <row r="20" spans="1:20" s="299" customFormat="1" ht="15" customHeight="1">
      <c r="A20" s="305"/>
      <c r="B20" s="315"/>
      <c r="C20" s="305"/>
      <c r="D20" s="306"/>
      <c r="E20" s="307"/>
      <c r="F20" s="309"/>
      <c r="G20" s="62"/>
      <c r="H20" s="309"/>
      <c r="I20" s="92"/>
      <c r="J20" s="93"/>
      <c r="K20" s="308"/>
      <c r="L20" s="300"/>
      <c r="M20" s="300"/>
      <c r="N20" s="300"/>
      <c r="O20" s="300"/>
      <c r="Q20" s="301"/>
      <c r="R20" s="302"/>
      <c r="S20" s="303"/>
      <c r="T20" s="304"/>
    </row>
    <row r="21" spans="1:20" s="299" customFormat="1" ht="15" customHeight="1">
      <c r="A21" s="100"/>
      <c r="B21" s="101"/>
      <c r="C21" s="17"/>
      <c r="D21" s="75"/>
      <c r="E21" s="307"/>
      <c r="F21" s="309"/>
      <c r="G21" s="62"/>
      <c r="H21" s="309"/>
      <c r="I21" s="309"/>
      <c r="J21" s="63"/>
      <c r="K21" s="308"/>
      <c r="L21" s="300"/>
      <c r="M21" s="300"/>
      <c r="N21" s="300"/>
      <c r="O21" s="300"/>
      <c r="Q21" s="301"/>
      <c r="R21" s="302"/>
      <c r="S21" s="303"/>
      <c r="T21" s="304"/>
    </row>
    <row r="22" spans="1:20" s="299" customFormat="1" ht="15" customHeight="1">
      <c r="A22" s="102"/>
      <c r="B22" s="103"/>
      <c r="C22" s="72"/>
      <c r="D22" s="75"/>
      <c r="E22" s="307"/>
      <c r="F22" s="309"/>
      <c r="G22" s="62"/>
      <c r="H22" s="309"/>
      <c r="I22" s="316"/>
      <c r="J22" s="113"/>
      <c r="K22" s="308"/>
      <c r="L22" s="300"/>
      <c r="M22" s="300"/>
      <c r="N22" s="300"/>
      <c r="O22" s="300"/>
      <c r="Q22" s="301"/>
      <c r="R22" s="302"/>
      <c r="S22" s="303"/>
      <c r="T22" s="304"/>
    </row>
    <row r="23" spans="1:20" s="299" customFormat="1" ht="15" customHeight="1">
      <c r="A23" s="305"/>
      <c r="B23" s="305"/>
      <c r="C23" s="305"/>
      <c r="D23" s="306"/>
      <c r="E23" s="307"/>
      <c r="F23" s="308"/>
      <c r="G23" s="62"/>
      <c r="H23" s="309"/>
      <c r="I23" s="309"/>
      <c r="J23" s="63"/>
      <c r="K23" s="308"/>
      <c r="L23" s="300"/>
      <c r="M23" s="300"/>
      <c r="N23" s="300"/>
      <c r="O23" s="300"/>
      <c r="Q23" s="301"/>
      <c r="R23" s="302"/>
      <c r="S23" s="303"/>
      <c r="T23" s="304"/>
    </row>
    <row r="24" spans="1:20" s="299" customFormat="1" ht="15" customHeight="1">
      <c r="A24" s="106" t="s">
        <v>114</v>
      </c>
      <c r="B24" s="107" t="s">
        <v>244</v>
      </c>
      <c r="C24" s="305"/>
      <c r="D24" s="306"/>
      <c r="E24" s="307"/>
      <c r="F24" s="308"/>
      <c r="G24" s="62"/>
      <c r="H24" s="309"/>
      <c r="I24" s="309"/>
      <c r="J24" s="63"/>
      <c r="K24" s="308"/>
      <c r="L24" s="300"/>
      <c r="M24" s="300"/>
      <c r="N24" s="300"/>
      <c r="O24" s="300"/>
      <c r="Q24" s="301"/>
      <c r="R24" s="302"/>
      <c r="S24" s="303"/>
      <c r="T24" s="304"/>
    </row>
    <row r="25" spans="1:20" s="299" customFormat="1" ht="15" customHeight="1">
      <c r="A25" s="102" t="s">
        <v>114</v>
      </c>
      <c r="B25" s="103" t="s">
        <v>120</v>
      </c>
      <c r="C25" s="310" t="s">
        <v>58</v>
      </c>
      <c r="D25" s="62"/>
      <c r="E25" s="307"/>
      <c r="F25" s="308"/>
      <c r="G25" s="62"/>
      <c r="H25" s="309"/>
      <c r="I25" s="92"/>
      <c r="J25" s="93">
        <f>I25</f>
        <v>0</v>
      </c>
      <c r="K25" s="308"/>
      <c r="L25" s="300"/>
      <c r="M25" s="300"/>
      <c r="N25" s="300"/>
      <c r="O25" s="300"/>
      <c r="Q25" s="301"/>
      <c r="R25" s="302"/>
      <c r="S25" s="303"/>
      <c r="T25" s="304"/>
    </row>
    <row r="26" spans="1:20" s="299" customFormat="1" ht="15" customHeight="1">
      <c r="A26" s="317"/>
      <c r="B26" s="315"/>
      <c r="C26" s="310"/>
      <c r="D26" s="62"/>
      <c r="E26" s="307"/>
      <c r="F26" s="308"/>
      <c r="G26" s="62"/>
      <c r="H26" s="309"/>
      <c r="I26" s="309"/>
      <c r="J26" s="63"/>
      <c r="K26" s="308"/>
      <c r="L26" s="300"/>
      <c r="M26" s="300"/>
      <c r="N26" s="300"/>
      <c r="O26" s="300"/>
      <c r="Q26" s="301"/>
      <c r="R26" s="302"/>
      <c r="S26" s="303"/>
      <c r="T26" s="304"/>
    </row>
    <row r="27" spans="1:20" s="299" customFormat="1" ht="15" customHeight="1">
      <c r="A27" s="315"/>
      <c r="B27" s="315"/>
      <c r="C27" s="310"/>
      <c r="D27" s="62"/>
      <c r="E27" s="307"/>
      <c r="F27" s="308"/>
      <c r="G27" s="62"/>
      <c r="H27" s="309"/>
      <c r="I27" s="309"/>
      <c r="J27" s="63"/>
      <c r="K27" s="308"/>
      <c r="L27" s="300"/>
      <c r="M27" s="300"/>
      <c r="N27" s="300"/>
      <c r="O27" s="300"/>
      <c r="Q27" s="301"/>
      <c r="R27" s="302"/>
      <c r="S27" s="303"/>
      <c r="T27" s="304"/>
    </row>
    <row r="28" spans="1:20" s="299" customFormat="1" ht="15" customHeight="1">
      <c r="A28" s="318"/>
      <c r="B28" s="315"/>
      <c r="C28" s="310"/>
      <c r="D28" s="62"/>
      <c r="E28" s="307"/>
      <c r="F28" s="308"/>
      <c r="G28" s="62"/>
      <c r="H28" s="309"/>
      <c r="I28" s="309"/>
      <c r="J28" s="63"/>
      <c r="K28" s="308"/>
      <c r="M28" s="300"/>
      <c r="N28" s="300"/>
      <c r="O28" s="300"/>
      <c r="Q28" s="301"/>
      <c r="R28" s="302"/>
      <c r="S28" s="303"/>
      <c r="T28" s="304"/>
    </row>
    <row r="29" spans="1:20" s="299" customFormat="1" ht="15" customHeight="1">
      <c r="A29" s="319"/>
      <c r="B29" s="320"/>
      <c r="C29" s="310"/>
      <c r="D29" s="62"/>
      <c r="E29" s="307"/>
      <c r="F29" s="309"/>
      <c r="G29" s="62"/>
      <c r="H29" s="309"/>
      <c r="I29" s="309"/>
      <c r="J29" s="63"/>
      <c r="K29" s="308"/>
      <c r="M29" s="300"/>
      <c r="N29" s="300"/>
      <c r="O29" s="300"/>
      <c r="Q29" s="301"/>
      <c r="R29" s="302"/>
      <c r="S29" s="303"/>
      <c r="T29" s="304"/>
    </row>
    <row r="30" spans="1:20" s="299" customFormat="1" ht="15" customHeight="1">
      <c r="A30" s="321"/>
      <c r="B30" s="315"/>
      <c r="C30" s="322"/>
      <c r="D30" s="64"/>
      <c r="E30" s="307"/>
      <c r="F30" s="309"/>
      <c r="G30" s="62"/>
      <c r="H30" s="309"/>
      <c r="I30" s="309"/>
      <c r="J30" s="63"/>
      <c r="K30" s="308"/>
      <c r="M30" s="300"/>
      <c r="N30" s="300"/>
      <c r="O30" s="300"/>
      <c r="Q30" s="301"/>
      <c r="R30" s="302"/>
      <c r="S30" s="303"/>
      <c r="T30" s="304"/>
    </row>
    <row r="31" spans="1:20" s="299" customFormat="1" ht="15" customHeight="1">
      <c r="A31" s="319"/>
      <c r="B31" s="323"/>
      <c r="C31" s="322"/>
      <c r="D31" s="64"/>
      <c r="E31" s="307"/>
      <c r="F31" s="309"/>
      <c r="G31" s="62"/>
      <c r="H31" s="309"/>
      <c r="I31" s="309"/>
      <c r="J31" s="324"/>
      <c r="K31" s="308"/>
      <c r="M31" s="300"/>
      <c r="N31" s="300"/>
      <c r="O31" s="300"/>
      <c r="Q31" s="301"/>
      <c r="R31" s="302"/>
      <c r="S31" s="303"/>
      <c r="T31" s="304"/>
    </row>
    <row r="32" spans="1:20" s="299" customFormat="1" ht="15" customHeight="1">
      <c r="A32" s="319"/>
      <c r="B32" s="323"/>
      <c r="C32" s="322"/>
      <c r="D32" s="64"/>
      <c r="E32" s="307"/>
      <c r="F32" s="308"/>
      <c r="G32" s="62"/>
      <c r="H32" s="309"/>
      <c r="I32" s="309"/>
      <c r="J32" s="324"/>
      <c r="K32" s="308"/>
      <c r="M32" s="300"/>
      <c r="N32" s="300"/>
      <c r="O32" s="300"/>
      <c r="Q32" s="301"/>
      <c r="R32" s="302"/>
      <c r="S32" s="303"/>
      <c r="T32" s="304"/>
    </row>
    <row r="33" spans="1:27" s="299" customFormat="1" ht="15" customHeight="1">
      <c r="A33" s="325"/>
      <c r="B33" s="323"/>
      <c r="C33" s="322"/>
      <c r="D33" s="64"/>
      <c r="E33" s="307"/>
      <c r="F33" s="308"/>
      <c r="G33" s="62"/>
      <c r="H33" s="309"/>
      <c r="I33" s="309"/>
      <c r="J33" s="324"/>
      <c r="K33" s="308"/>
      <c r="M33" s="300"/>
      <c r="N33" s="300"/>
      <c r="O33" s="300"/>
      <c r="Q33" s="301"/>
      <c r="R33" s="302"/>
      <c r="S33" s="303"/>
      <c r="T33" s="304"/>
    </row>
    <row r="34" spans="1:27" s="328" customFormat="1">
      <c r="A34" s="326"/>
      <c r="B34" s="315"/>
      <c r="C34" s="322"/>
      <c r="D34" s="64"/>
      <c r="E34" s="307"/>
      <c r="F34" s="308"/>
      <c r="G34" s="62"/>
      <c r="H34" s="309"/>
      <c r="I34" s="309"/>
      <c r="J34" s="63"/>
      <c r="K34" s="327"/>
      <c r="M34" s="329"/>
      <c r="N34" s="330"/>
      <c r="O34" s="330"/>
    </row>
    <row r="35" spans="1:27" s="328" customFormat="1">
      <c r="A35" s="315"/>
      <c r="B35" s="315"/>
      <c r="C35" s="322"/>
      <c r="D35" s="64"/>
      <c r="E35" s="307"/>
      <c r="F35" s="308"/>
      <c r="G35" s="62"/>
      <c r="H35" s="309"/>
      <c r="I35" s="309"/>
      <c r="J35" s="63"/>
      <c r="K35" s="306"/>
      <c r="M35" s="331" t="e">
        <f>+'[48]PARTIDAS EJEC. OCTUBRE'!#REF!</f>
        <v>#REF!</v>
      </c>
      <c r="N35" s="332" t="s">
        <v>84</v>
      </c>
      <c r="O35" s="333"/>
      <c r="P35" s="333"/>
      <c r="Q35" s="331"/>
      <c r="R35" s="334"/>
      <c r="S35" s="334"/>
      <c r="T35" s="334"/>
      <c r="U35" s="335"/>
      <c r="V35" s="335"/>
      <c r="W35" s="335"/>
      <c r="X35" s="335"/>
      <c r="Y35" s="335"/>
      <c r="Z35" s="336">
        <f>+Z36+Z40</f>
        <v>0</v>
      </c>
      <c r="AA35" s="337">
        <f>Z35</f>
        <v>0</v>
      </c>
    </row>
    <row r="36" spans="1:27" s="328" customFormat="1">
      <c r="A36" s="315"/>
      <c r="B36" s="315"/>
      <c r="C36" s="322"/>
      <c r="D36" s="64"/>
      <c r="E36" s="307"/>
      <c r="F36" s="308"/>
      <c r="G36" s="62"/>
      <c r="H36" s="309"/>
      <c r="I36" s="309"/>
      <c r="J36" s="63"/>
      <c r="K36" s="306"/>
      <c r="M36" s="331"/>
      <c r="N36" s="338" t="s">
        <v>85</v>
      </c>
      <c r="O36" s="333"/>
      <c r="P36" s="333"/>
      <c r="Q36" s="331"/>
      <c r="R36" s="334"/>
      <c r="S36" s="334"/>
      <c r="T36" s="334"/>
      <c r="U36" s="335"/>
      <c r="V36" s="335"/>
      <c r="W36" s="335"/>
      <c r="X36" s="335"/>
      <c r="Y36" s="335"/>
      <c r="Z36" s="336">
        <f>+Z37+Z38</f>
        <v>0</v>
      </c>
      <c r="AA36" s="339"/>
    </row>
    <row r="37" spans="1:27" s="328" customFormat="1">
      <c r="A37" s="315"/>
      <c r="B37" s="315"/>
      <c r="C37" s="305"/>
      <c r="D37" s="306"/>
      <c r="E37" s="306"/>
      <c r="F37" s="306"/>
      <c r="G37" s="306"/>
      <c r="H37" s="309"/>
      <c r="I37" s="327"/>
      <c r="J37" s="340"/>
      <c r="K37" s="306"/>
      <c r="M37" s="331"/>
      <c r="N37" s="338" t="s">
        <v>85</v>
      </c>
      <c r="O37" s="333"/>
      <c r="P37" s="341" t="s">
        <v>86</v>
      </c>
      <c r="Q37" s="342">
        <v>4</v>
      </c>
      <c r="R37" s="342">
        <v>4</v>
      </c>
      <c r="S37" s="342">
        <v>4.3</v>
      </c>
      <c r="T37" s="342">
        <f>S37*R37*Q37</f>
        <v>68.8</v>
      </c>
      <c r="U37" s="342"/>
      <c r="V37" s="342"/>
      <c r="W37" s="342">
        <f>T37</f>
        <v>68.8</v>
      </c>
      <c r="X37" s="342"/>
      <c r="Y37" s="342"/>
      <c r="Z37" s="342">
        <f>W37*$K$7*1.05</f>
        <v>0</v>
      </c>
      <c r="AA37" s="339"/>
    </row>
    <row r="38" spans="1:27" s="328" customFormat="1">
      <c r="A38" s="343"/>
      <c r="B38" s="315"/>
      <c r="C38" s="305"/>
      <c r="D38" s="306"/>
      <c r="E38" s="306"/>
      <c r="F38" s="306"/>
      <c r="G38" s="306"/>
      <c r="H38" s="309"/>
      <c r="I38" s="327"/>
      <c r="J38" s="340"/>
      <c r="K38" s="306"/>
      <c r="M38" s="344"/>
      <c r="N38" s="331" t="s">
        <v>87</v>
      </c>
      <c r="O38" s="331"/>
      <c r="P38" s="341" t="s">
        <v>88</v>
      </c>
      <c r="Q38" s="342">
        <v>4</v>
      </c>
      <c r="R38" s="342">
        <v>19</v>
      </c>
      <c r="S38" s="342">
        <v>0.9</v>
      </c>
      <c r="T38" s="342">
        <f>S38*R38*Q38</f>
        <v>68.400000000000006</v>
      </c>
      <c r="U38" s="342"/>
      <c r="V38" s="342">
        <f>T38</f>
        <v>68.400000000000006</v>
      </c>
      <c r="W38" s="342"/>
      <c r="X38" s="342"/>
      <c r="Y38" s="345"/>
      <c r="Z38" s="342">
        <f>V38*$J$7*1.05</f>
        <v>0</v>
      </c>
      <c r="AA38" s="339"/>
    </row>
    <row r="39" spans="1:27" s="328" customFormat="1">
      <c r="A39" s="315"/>
      <c r="B39" s="315"/>
      <c r="C39" s="305"/>
      <c r="D39" s="306"/>
      <c r="E39" s="306"/>
      <c r="F39" s="306"/>
      <c r="G39" s="306"/>
      <c r="H39" s="309"/>
      <c r="I39" s="327"/>
      <c r="J39" s="340"/>
      <c r="K39" s="306"/>
      <c r="M39" s="344"/>
      <c r="N39" s="331"/>
      <c r="O39" s="331"/>
      <c r="P39" s="341"/>
      <c r="Q39" s="342"/>
      <c r="R39" s="342"/>
      <c r="S39" s="342"/>
      <c r="T39" s="342"/>
      <c r="U39" s="342"/>
      <c r="V39" s="342"/>
      <c r="W39" s="342"/>
      <c r="X39" s="342"/>
      <c r="Y39" s="345"/>
      <c r="Z39" s="342"/>
      <c r="AA39" s="339"/>
    </row>
    <row r="40" spans="1:27" s="328" customFormat="1">
      <c r="A40" s="315"/>
      <c r="B40" s="315"/>
      <c r="C40" s="305"/>
      <c r="D40" s="306"/>
      <c r="E40" s="306"/>
      <c r="F40" s="306"/>
      <c r="G40" s="306"/>
      <c r="H40" s="309"/>
      <c r="I40" s="327"/>
      <c r="J40" s="340"/>
      <c r="K40" s="306"/>
      <c r="M40" s="344"/>
      <c r="N40" s="331" t="s">
        <v>89</v>
      </c>
      <c r="O40" s="346">
        <v>1</v>
      </c>
      <c r="P40" s="341" t="s">
        <v>90</v>
      </c>
      <c r="Q40" s="342">
        <v>16</v>
      </c>
      <c r="R40" s="342">
        <v>7</v>
      </c>
      <c r="S40" s="342">
        <v>0.85</v>
      </c>
      <c r="T40" s="342">
        <f>S40*R40*Q40*O40</f>
        <v>95.2</v>
      </c>
      <c r="U40" s="342">
        <f>T40</f>
        <v>95.2</v>
      </c>
      <c r="V40" s="347"/>
      <c r="W40" s="342"/>
      <c r="X40" s="342"/>
      <c r="Y40" s="345"/>
      <c r="Z40" s="345">
        <f>U40*$I$7*1.05</f>
        <v>0</v>
      </c>
      <c r="AA40" s="339"/>
    </row>
    <row r="41" spans="1:27" s="328" customFormat="1">
      <c r="A41" s="315"/>
      <c r="B41" s="315"/>
      <c r="C41" s="305"/>
      <c r="D41" s="306"/>
      <c r="E41" s="306"/>
      <c r="F41" s="306"/>
      <c r="G41" s="306"/>
      <c r="H41" s="309"/>
      <c r="I41" s="327"/>
      <c r="J41" s="340"/>
      <c r="K41" s="306"/>
      <c r="M41" s="344"/>
      <c r="N41" s="331"/>
      <c r="O41" s="331"/>
      <c r="P41" s="341"/>
      <c r="Q41" s="342"/>
      <c r="R41" s="342"/>
      <c r="S41" s="342"/>
      <c r="T41" s="342"/>
      <c r="U41" s="342"/>
      <c r="V41" s="342"/>
      <c r="W41" s="342"/>
      <c r="X41" s="342"/>
      <c r="Y41" s="345"/>
      <c r="Z41" s="342"/>
      <c r="AA41" s="339"/>
    </row>
    <row r="42" spans="1:27" s="328" customFormat="1">
      <c r="A42" s="315"/>
      <c r="B42" s="315"/>
      <c r="C42" s="305"/>
      <c r="D42" s="348"/>
      <c r="E42" s="306"/>
      <c r="F42" s="306"/>
      <c r="G42" s="306"/>
      <c r="H42" s="309"/>
      <c r="I42" s="327"/>
      <c r="J42" s="340"/>
      <c r="K42" s="306"/>
      <c r="M42" s="329"/>
      <c r="N42" s="330"/>
      <c r="O42" s="330"/>
    </row>
    <row r="43" spans="1:27" s="328" customFormat="1">
      <c r="A43" s="343"/>
      <c r="B43" s="315"/>
      <c r="C43" s="305"/>
      <c r="D43" s="306"/>
      <c r="E43" s="306"/>
      <c r="F43" s="306"/>
      <c r="G43" s="306"/>
      <c r="H43" s="309"/>
      <c r="I43" s="327"/>
      <c r="J43" s="340"/>
      <c r="K43" s="306"/>
      <c r="M43" s="329"/>
      <c r="N43" s="330"/>
      <c r="O43" s="330"/>
    </row>
    <row r="44" spans="1:27" s="328" customFormat="1">
      <c r="A44" s="343"/>
      <c r="B44" s="315"/>
      <c r="C44" s="305"/>
      <c r="D44" s="306"/>
      <c r="E44" s="306"/>
      <c r="F44" s="306"/>
      <c r="G44" s="306"/>
      <c r="H44" s="309"/>
      <c r="I44" s="327"/>
      <c r="J44" s="340"/>
      <c r="K44" s="306"/>
      <c r="M44" s="329"/>
      <c r="N44" s="330"/>
      <c r="O44" s="330"/>
    </row>
    <row r="45" spans="1:27" s="328" customFormat="1">
      <c r="A45" s="315"/>
      <c r="B45" s="315"/>
      <c r="C45" s="305"/>
      <c r="D45" s="306"/>
      <c r="E45" s="306"/>
      <c r="F45" s="306"/>
      <c r="G45" s="306"/>
      <c r="H45" s="309"/>
      <c r="I45" s="327"/>
      <c r="J45" s="340"/>
      <c r="K45" s="306"/>
      <c r="M45" s="329"/>
      <c r="N45" s="330"/>
      <c r="O45" s="330"/>
    </row>
    <row r="46" spans="1:27" s="328" customFormat="1">
      <c r="A46" s="315"/>
      <c r="B46" s="315"/>
      <c r="C46" s="305"/>
      <c r="D46" s="306"/>
      <c r="E46" s="306"/>
      <c r="F46" s="306"/>
      <c r="G46" s="306"/>
      <c r="H46" s="309"/>
      <c r="I46" s="327"/>
      <c r="J46" s="340"/>
      <c r="K46" s="306"/>
      <c r="M46" s="329"/>
      <c r="N46" s="330"/>
      <c r="O46" s="330"/>
    </row>
    <row r="47" spans="1:27" s="328" customFormat="1">
      <c r="A47" s="315"/>
      <c r="B47" s="315"/>
      <c r="C47" s="305"/>
      <c r="D47" s="306"/>
      <c r="E47" s="306"/>
      <c r="F47" s="306"/>
      <c r="G47" s="306"/>
      <c r="H47" s="309"/>
      <c r="I47" s="327"/>
      <c r="J47" s="340"/>
      <c r="K47" s="306"/>
      <c r="M47" s="329"/>
      <c r="N47" s="330"/>
      <c r="O47" s="330"/>
    </row>
    <row r="48" spans="1:27" s="328" customFormat="1">
      <c r="A48" s="315"/>
      <c r="B48" s="315"/>
      <c r="C48" s="305"/>
      <c r="D48" s="306"/>
      <c r="E48" s="306"/>
      <c r="F48" s="306"/>
      <c r="G48" s="306"/>
      <c r="H48" s="309"/>
      <c r="I48" s="327"/>
      <c r="J48" s="340"/>
      <c r="K48" s="306"/>
      <c r="M48" s="329"/>
      <c r="N48" s="330"/>
      <c r="O48" s="330"/>
    </row>
    <row r="49" spans="1:15" s="328" customFormat="1">
      <c r="A49" s="343"/>
      <c r="B49" s="315"/>
      <c r="C49" s="305"/>
      <c r="D49" s="306"/>
      <c r="E49" s="306"/>
      <c r="F49" s="306"/>
      <c r="G49" s="306"/>
      <c r="H49" s="306"/>
      <c r="I49" s="327"/>
      <c r="J49" s="349"/>
      <c r="K49" s="306"/>
      <c r="M49" s="329"/>
      <c r="N49" s="330"/>
      <c r="O49" s="330"/>
    </row>
    <row r="50" spans="1:15" s="328" customFormat="1">
      <c r="A50" s="305"/>
      <c r="B50" s="305"/>
      <c r="C50" s="305"/>
      <c r="D50" s="306"/>
      <c r="E50" s="306"/>
      <c r="F50" s="306"/>
      <c r="G50" s="306"/>
      <c r="H50" s="306"/>
      <c r="I50" s="327"/>
      <c r="J50" s="349"/>
      <c r="K50" s="306"/>
      <c r="M50" s="329"/>
      <c r="N50" s="330"/>
      <c r="O50" s="330"/>
    </row>
    <row r="51" spans="1:15" s="328" customFormat="1">
      <c r="A51" s="343"/>
      <c r="B51" s="315"/>
      <c r="C51" s="305"/>
      <c r="E51" s="306"/>
      <c r="F51" s="306"/>
      <c r="G51" s="306"/>
      <c r="H51" s="306"/>
      <c r="I51" s="327"/>
      <c r="J51" s="340"/>
      <c r="K51" s="306"/>
      <c r="M51" s="329"/>
      <c r="N51" s="330"/>
      <c r="O51" s="330"/>
    </row>
    <row r="52" spans="1:15" s="328" customFormat="1">
      <c r="A52" s="343"/>
      <c r="B52" s="315"/>
      <c r="C52" s="305"/>
      <c r="D52" s="306"/>
      <c r="E52" s="306"/>
      <c r="F52" s="306"/>
      <c r="G52" s="306"/>
      <c r="H52" s="306"/>
      <c r="I52" s="327"/>
      <c r="J52" s="349"/>
      <c r="K52" s="306"/>
      <c r="M52" s="329"/>
      <c r="N52" s="330"/>
      <c r="O52" s="330"/>
    </row>
    <row r="53" spans="1:15" s="328" customFormat="1">
      <c r="A53" s="343"/>
      <c r="B53" s="315"/>
      <c r="C53" s="305"/>
      <c r="D53" s="306"/>
      <c r="E53" s="306"/>
      <c r="F53" s="306"/>
      <c r="G53" s="306"/>
      <c r="H53" s="306"/>
      <c r="I53" s="327"/>
      <c r="J53" s="349"/>
      <c r="K53" s="306"/>
      <c r="M53" s="329"/>
      <c r="N53" s="330"/>
      <c r="O53" s="330"/>
    </row>
    <row r="54" spans="1:15" s="328" customFormat="1">
      <c r="A54" s="343"/>
      <c r="B54" s="315"/>
      <c r="C54" s="305"/>
      <c r="D54" s="306"/>
      <c r="E54" s="306"/>
      <c r="F54" s="306"/>
      <c r="G54" s="306"/>
      <c r="H54" s="306"/>
      <c r="I54" s="327"/>
      <c r="J54" s="349"/>
      <c r="K54" s="306"/>
      <c r="M54" s="329"/>
      <c r="N54" s="330"/>
      <c r="O54" s="330"/>
    </row>
    <row r="55" spans="1:15" s="328" customFormat="1">
      <c r="A55" s="343"/>
      <c r="B55" s="315"/>
      <c r="C55" s="305"/>
      <c r="D55" s="306"/>
      <c r="E55" s="306"/>
      <c r="F55" s="306"/>
      <c r="G55" s="306"/>
      <c r="H55" s="306"/>
      <c r="I55" s="327"/>
      <c r="J55" s="349"/>
      <c r="K55" s="306"/>
      <c r="M55" s="329"/>
      <c r="N55" s="330"/>
      <c r="O55" s="330"/>
    </row>
    <row r="56" spans="1:15" s="328" customFormat="1">
      <c r="A56" s="343"/>
      <c r="B56" s="315"/>
      <c r="C56" s="305"/>
      <c r="D56" s="306"/>
      <c r="E56" s="306"/>
      <c r="F56" s="306"/>
      <c r="G56" s="306"/>
      <c r="H56" s="306"/>
      <c r="I56" s="327"/>
      <c r="J56" s="340"/>
      <c r="K56" s="306"/>
      <c r="M56" s="329"/>
      <c r="N56" s="330"/>
      <c r="O56" s="330"/>
    </row>
    <row r="57" spans="1:15" s="328" customFormat="1">
      <c r="A57" s="343"/>
      <c r="B57" s="315"/>
      <c r="C57" s="305"/>
      <c r="D57" s="306"/>
      <c r="E57" s="306"/>
      <c r="F57" s="306"/>
      <c r="G57" s="306"/>
      <c r="H57" s="306"/>
      <c r="I57" s="327"/>
      <c r="J57" s="349"/>
      <c r="K57" s="306"/>
      <c r="M57" s="329"/>
      <c r="N57" s="330"/>
      <c r="O57" s="330"/>
    </row>
    <row r="58" spans="1:15" s="328" customFormat="1">
      <c r="A58" s="343"/>
      <c r="B58" s="315"/>
      <c r="C58" s="305"/>
      <c r="D58" s="306"/>
      <c r="E58" s="306"/>
      <c r="F58" s="306"/>
      <c r="G58" s="306"/>
      <c r="H58" s="306"/>
      <c r="I58" s="327"/>
      <c r="J58" s="349"/>
      <c r="K58" s="306"/>
      <c r="M58" s="329"/>
      <c r="N58" s="330"/>
      <c r="O58" s="330"/>
    </row>
    <row r="59" spans="1:15" s="328" customFormat="1">
      <c r="A59" s="343"/>
      <c r="B59" s="315"/>
      <c r="C59" s="305"/>
      <c r="D59" s="306"/>
      <c r="E59" s="306"/>
      <c r="F59" s="306"/>
      <c r="G59" s="306"/>
      <c r="H59" s="306"/>
      <c r="I59" s="327"/>
      <c r="J59" s="349"/>
      <c r="K59" s="306"/>
      <c r="M59" s="329"/>
      <c r="N59" s="330"/>
      <c r="O59" s="330"/>
    </row>
    <row r="60" spans="1:15" s="328" customFormat="1">
      <c r="A60" s="343"/>
      <c r="B60" s="315"/>
      <c r="C60" s="305"/>
      <c r="D60" s="306"/>
      <c r="E60" s="306"/>
      <c r="F60" s="306"/>
      <c r="G60" s="306"/>
      <c r="H60" s="306"/>
      <c r="I60" s="327"/>
      <c r="J60" s="340"/>
      <c r="K60" s="306"/>
      <c r="M60" s="329"/>
      <c r="N60" s="330"/>
      <c r="O60" s="330"/>
    </row>
    <row r="61" spans="1:15" s="328" customFormat="1">
      <c r="A61" s="343"/>
      <c r="B61" s="315"/>
      <c r="C61" s="305"/>
      <c r="D61" s="306"/>
      <c r="E61" s="306"/>
      <c r="F61" s="306"/>
      <c r="G61" s="306"/>
      <c r="H61" s="306"/>
      <c r="I61" s="327"/>
      <c r="J61" s="349"/>
      <c r="K61" s="306"/>
      <c r="M61" s="329"/>
      <c r="N61" s="330"/>
      <c r="O61" s="330"/>
    </row>
    <row r="62" spans="1:15" s="328" customFormat="1">
      <c r="A62" s="343"/>
      <c r="B62" s="315"/>
      <c r="C62" s="305"/>
      <c r="D62" s="306"/>
      <c r="E62" s="306"/>
      <c r="F62" s="306"/>
      <c r="G62" s="306"/>
      <c r="H62" s="306"/>
      <c r="I62" s="327"/>
      <c r="J62" s="349"/>
      <c r="K62" s="306"/>
      <c r="M62" s="329"/>
      <c r="N62" s="330"/>
      <c r="O62" s="330"/>
    </row>
    <row r="63" spans="1:15" s="328" customFormat="1" ht="14.25" customHeight="1">
      <c r="A63" s="343"/>
      <c r="B63" s="315"/>
      <c r="C63" s="305"/>
      <c r="D63" s="306"/>
      <c r="E63" s="306"/>
      <c r="F63" s="306"/>
      <c r="G63" s="306"/>
      <c r="H63" s="306"/>
      <c r="I63" s="327"/>
      <c r="J63" s="349"/>
      <c r="K63" s="306"/>
      <c r="M63" s="329"/>
      <c r="N63" s="330"/>
      <c r="O63" s="330"/>
    </row>
    <row r="64" spans="1:15" s="328" customFormat="1" ht="14.25" customHeight="1">
      <c r="A64" s="305"/>
      <c r="B64" s="305"/>
      <c r="C64" s="305"/>
      <c r="D64" s="306"/>
      <c r="E64" s="306"/>
      <c r="F64" s="306"/>
      <c r="G64" s="327"/>
      <c r="H64" s="309"/>
      <c r="I64" s="327"/>
      <c r="J64" s="349"/>
      <c r="K64" s="327"/>
      <c r="M64" s="329"/>
      <c r="N64" s="330"/>
      <c r="O64" s="330"/>
    </row>
    <row r="65" spans="1:15" s="328" customFormat="1">
      <c r="A65" s="343"/>
      <c r="B65" s="315"/>
      <c r="C65" s="305"/>
      <c r="D65" s="306"/>
      <c r="E65" s="306"/>
      <c r="F65" s="306"/>
      <c r="G65" s="306"/>
      <c r="H65" s="309"/>
      <c r="I65" s="327"/>
      <c r="J65" s="340"/>
      <c r="K65" s="306"/>
      <c r="M65" s="329"/>
      <c r="N65" s="330"/>
      <c r="O65" s="330"/>
    </row>
    <row r="66" spans="1:15" s="328" customFormat="1">
      <c r="A66" s="350"/>
      <c r="B66" s="351"/>
      <c r="C66" s="352"/>
      <c r="D66" s="353"/>
      <c r="E66" s="353"/>
      <c r="F66" s="353"/>
      <c r="G66" s="353"/>
      <c r="H66" s="354"/>
      <c r="I66" s="355"/>
      <c r="J66" s="356"/>
      <c r="K66" s="353"/>
      <c r="M66" s="329"/>
      <c r="N66" s="330"/>
      <c r="O66" s="330"/>
    </row>
    <row r="67" spans="1:15" s="71" customFormat="1" ht="12.75" customHeight="1">
      <c r="A67" s="65"/>
      <c r="B67" s="66"/>
      <c r="C67" s="67"/>
      <c r="D67" s="67"/>
      <c r="E67" s="68"/>
      <c r="F67" s="69"/>
      <c r="G67" s="69"/>
      <c r="H67" s="69"/>
      <c r="I67" s="69"/>
      <c r="J67" s="70"/>
    </row>
  </sheetData>
  <autoFilter ref="A13:K66" xr:uid="{00000000-0009-0000-0000-000023000000}"/>
  <mergeCells count="8">
    <mergeCell ref="A4:K4"/>
    <mergeCell ref="B6:I6"/>
    <mergeCell ref="A9:A10"/>
    <mergeCell ref="B9:B10"/>
    <mergeCell ref="D9:D10"/>
    <mergeCell ref="E9:E10"/>
    <mergeCell ref="F9:J9"/>
    <mergeCell ref="K9:K10"/>
  </mergeCells>
  <pageMargins left="0.55118110236220474" right="0.31496062992125984" top="0.31496062992125984" bottom="0.27559055118110237" header="0.31496062992125984" footer="0.31496062992125984"/>
  <pageSetup paperSize="9" scale="90" orientation="landscape" r:id="rId1"/>
  <drawing r:id="rId2"/>
  <legacyDrawing r:id="rId3"/>
  <oleObjects>
    <mc:AlternateContent xmlns:mc="http://schemas.openxmlformats.org/markup-compatibility/2006">
      <mc:Choice Requires="x14">
        <oleObject progId="Word.Picture.8" shapeId="35841" r:id="rId4">
          <objectPr defaultSize="0" autoPict="0" r:id="rId5">
            <anchor moveWithCells="1" sizeWithCells="1">
              <from>
                <xdr:col>9</xdr:col>
                <xdr:colOff>638175</xdr:colOff>
                <xdr:row>0</xdr:row>
                <xdr:rowOff>104775</xdr:rowOff>
              </from>
              <to>
                <xdr:col>10</xdr:col>
                <xdr:colOff>838200</xdr:colOff>
                <xdr:row>6</xdr:row>
                <xdr:rowOff>104775</xdr:rowOff>
              </to>
            </anchor>
          </objectPr>
        </oleObject>
      </mc:Choice>
      <mc:Fallback>
        <oleObject progId="Word.Picture.8" shapeId="35841" r:id="rId4"/>
      </mc:Fallback>
    </mc:AlternateContent>
  </oleObjects>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C00000"/>
  </sheetPr>
  <dimension ref="A1:FQ171"/>
  <sheetViews>
    <sheetView workbookViewId="0"/>
  </sheetViews>
  <sheetFormatPr baseColWidth="10" defaultRowHeight="12.75"/>
  <cols>
    <col min="1" max="1" width="9.42578125" style="83" bestFit="1" customWidth="1"/>
    <col min="2" max="2" width="48.42578125" style="137" bestFit="1" customWidth="1"/>
    <col min="3" max="3" width="6.42578125" style="98" bestFit="1" customWidth="1"/>
    <col min="4" max="4" width="9.42578125" style="97" bestFit="1" customWidth="1"/>
    <col min="5" max="5" width="7" bestFit="1" customWidth="1"/>
    <col min="6" max="6" width="10" customWidth="1"/>
    <col min="7" max="7" width="7" bestFit="1" customWidth="1"/>
    <col min="8" max="8" width="5.5703125" bestFit="1" customWidth="1"/>
    <col min="9" max="9" width="9.42578125" bestFit="1" customWidth="1"/>
    <col min="10" max="10" width="28.5703125" customWidth="1"/>
    <col min="11" max="11" width="15.42578125" bestFit="1" customWidth="1"/>
    <col min="12" max="12" width="13.5703125" customWidth="1"/>
    <col min="257" max="257" width="9.42578125" bestFit="1" customWidth="1"/>
    <col min="258" max="258" width="48.42578125" bestFit="1" customWidth="1"/>
    <col min="259" max="259" width="6.42578125" bestFit="1" customWidth="1"/>
    <col min="260" max="260" width="9.42578125" bestFit="1" customWidth="1"/>
    <col min="261" max="261" width="7" bestFit="1" customWidth="1"/>
    <col min="262" max="262" width="10" customWidth="1"/>
    <col min="263" max="263" width="7" bestFit="1" customWidth="1"/>
    <col min="264" max="264" width="5.5703125" bestFit="1" customWidth="1"/>
    <col min="265" max="265" width="9.42578125" bestFit="1" customWidth="1"/>
    <col min="266" max="266" width="28.5703125" customWidth="1"/>
    <col min="267" max="267" width="15.42578125" bestFit="1" customWidth="1"/>
    <col min="268" max="268" width="13.5703125" customWidth="1"/>
    <col min="513" max="513" width="9.42578125" bestFit="1" customWidth="1"/>
    <col min="514" max="514" width="48.42578125" bestFit="1" customWidth="1"/>
    <col min="515" max="515" width="6.42578125" bestFit="1" customWidth="1"/>
    <col min="516" max="516" width="9.42578125" bestFit="1" customWidth="1"/>
    <col min="517" max="517" width="7" bestFit="1" customWidth="1"/>
    <col min="518" max="518" width="10" customWidth="1"/>
    <col min="519" max="519" width="7" bestFit="1" customWidth="1"/>
    <col min="520" max="520" width="5.5703125" bestFit="1" customWidth="1"/>
    <col min="521" max="521" width="9.42578125" bestFit="1" customWidth="1"/>
    <col min="522" max="522" width="28.5703125" customWidth="1"/>
    <col min="523" max="523" width="15.42578125" bestFit="1" customWidth="1"/>
    <col min="524" max="524" width="13.5703125" customWidth="1"/>
    <col min="769" max="769" width="9.42578125" bestFit="1" customWidth="1"/>
    <col min="770" max="770" width="48.42578125" bestFit="1" customWidth="1"/>
    <col min="771" max="771" width="6.42578125" bestFit="1" customWidth="1"/>
    <col min="772" max="772" width="9.42578125" bestFit="1" customWidth="1"/>
    <col min="773" max="773" width="7" bestFit="1" customWidth="1"/>
    <col min="774" max="774" width="10" customWidth="1"/>
    <col min="775" max="775" width="7" bestFit="1" customWidth="1"/>
    <col min="776" max="776" width="5.5703125" bestFit="1" customWidth="1"/>
    <col min="777" max="777" width="9.42578125" bestFit="1" customWidth="1"/>
    <col min="778" max="778" width="28.5703125" customWidth="1"/>
    <col min="779" max="779" width="15.42578125" bestFit="1" customWidth="1"/>
    <col min="780" max="780" width="13.5703125" customWidth="1"/>
    <col min="1025" max="1025" width="9.42578125" bestFit="1" customWidth="1"/>
    <col min="1026" max="1026" width="48.42578125" bestFit="1" customWidth="1"/>
    <col min="1027" max="1027" width="6.42578125" bestFit="1" customWidth="1"/>
    <col min="1028" max="1028" width="9.42578125" bestFit="1" customWidth="1"/>
    <col min="1029" max="1029" width="7" bestFit="1" customWidth="1"/>
    <col min="1030" max="1030" width="10" customWidth="1"/>
    <col min="1031" max="1031" width="7" bestFit="1" customWidth="1"/>
    <col min="1032" max="1032" width="5.5703125" bestFit="1" customWidth="1"/>
    <col min="1033" max="1033" width="9.42578125" bestFit="1" customWidth="1"/>
    <col min="1034" max="1034" width="28.5703125" customWidth="1"/>
    <col min="1035" max="1035" width="15.42578125" bestFit="1" customWidth="1"/>
    <col min="1036" max="1036" width="13.5703125" customWidth="1"/>
    <col min="1281" max="1281" width="9.42578125" bestFit="1" customWidth="1"/>
    <col min="1282" max="1282" width="48.42578125" bestFit="1" customWidth="1"/>
    <col min="1283" max="1283" width="6.42578125" bestFit="1" customWidth="1"/>
    <col min="1284" max="1284" width="9.42578125" bestFit="1" customWidth="1"/>
    <col min="1285" max="1285" width="7" bestFit="1" customWidth="1"/>
    <col min="1286" max="1286" width="10" customWidth="1"/>
    <col min="1287" max="1287" width="7" bestFit="1" customWidth="1"/>
    <col min="1288" max="1288" width="5.5703125" bestFit="1" customWidth="1"/>
    <col min="1289" max="1289" width="9.42578125" bestFit="1" customWidth="1"/>
    <col min="1290" max="1290" width="28.5703125" customWidth="1"/>
    <col min="1291" max="1291" width="15.42578125" bestFit="1" customWidth="1"/>
    <col min="1292" max="1292" width="13.5703125" customWidth="1"/>
    <col min="1537" max="1537" width="9.42578125" bestFit="1" customWidth="1"/>
    <col min="1538" max="1538" width="48.42578125" bestFit="1" customWidth="1"/>
    <col min="1539" max="1539" width="6.42578125" bestFit="1" customWidth="1"/>
    <col min="1540" max="1540" width="9.42578125" bestFit="1" customWidth="1"/>
    <col min="1541" max="1541" width="7" bestFit="1" customWidth="1"/>
    <col min="1542" max="1542" width="10" customWidth="1"/>
    <col min="1543" max="1543" width="7" bestFit="1" customWidth="1"/>
    <col min="1544" max="1544" width="5.5703125" bestFit="1" customWidth="1"/>
    <col min="1545" max="1545" width="9.42578125" bestFit="1" customWidth="1"/>
    <col min="1546" max="1546" width="28.5703125" customWidth="1"/>
    <col min="1547" max="1547" width="15.42578125" bestFit="1" customWidth="1"/>
    <col min="1548" max="1548" width="13.5703125" customWidth="1"/>
    <col min="1793" max="1793" width="9.42578125" bestFit="1" customWidth="1"/>
    <col min="1794" max="1794" width="48.42578125" bestFit="1" customWidth="1"/>
    <col min="1795" max="1795" width="6.42578125" bestFit="1" customWidth="1"/>
    <col min="1796" max="1796" width="9.42578125" bestFit="1" customWidth="1"/>
    <col min="1797" max="1797" width="7" bestFit="1" customWidth="1"/>
    <col min="1798" max="1798" width="10" customWidth="1"/>
    <col min="1799" max="1799" width="7" bestFit="1" customWidth="1"/>
    <col min="1800" max="1800" width="5.5703125" bestFit="1" customWidth="1"/>
    <col min="1801" max="1801" width="9.42578125" bestFit="1" customWidth="1"/>
    <col min="1802" max="1802" width="28.5703125" customWidth="1"/>
    <col min="1803" max="1803" width="15.42578125" bestFit="1" customWidth="1"/>
    <col min="1804" max="1804" width="13.5703125" customWidth="1"/>
    <col min="2049" max="2049" width="9.42578125" bestFit="1" customWidth="1"/>
    <col min="2050" max="2050" width="48.42578125" bestFit="1" customWidth="1"/>
    <col min="2051" max="2051" width="6.42578125" bestFit="1" customWidth="1"/>
    <col min="2052" max="2052" width="9.42578125" bestFit="1" customWidth="1"/>
    <col min="2053" max="2053" width="7" bestFit="1" customWidth="1"/>
    <col min="2054" max="2054" width="10" customWidth="1"/>
    <col min="2055" max="2055" width="7" bestFit="1" customWidth="1"/>
    <col min="2056" max="2056" width="5.5703125" bestFit="1" customWidth="1"/>
    <col min="2057" max="2057" width="9.42578125" bestFit="1" customWidth="1"/>
    <col min="2058" max="2058" width="28.5703125" customWidth="1"/>
    <col min="2059" max="2059" width="15.42578125" bestFit="1" customWidth="1"/>
    <col min="2060" max="2060" width="13.5703125" customWidth="1"/>
    <col min="2305" max="2305" width="9.42578125" bestFit="1" customWidth="1"/>
    <col min="2306" max="2306" width="48.42578125" bestFit="1" customWidth="1"/>
    <col min="2307" max="2307" width="6.42578125" bestFit="1" customWidth="1"/>
    <col min="2308" max="2308" width="9.42578125" bestFit="1" customWidth="1"/>
    <col min="2309" max="2309" width="7" bestFit="1" customWidth="1"/>
    <col min="2310" max="2310" width="10" customWidth="1"/>
    <col min="2311" max="2311" width="7" bestFit="1" customWidth="1"/>
    <col min="2312" max="2312" width="5.5703125" bestFit="1" customWidth="1"/>
    <col min="2313" max="2313" width="9.42578125" bestFit="1" customWidth="1"/>
    <col min="2314" max="2314" width="28.5703125" customWidth="1"/>
    <col min="2315" max="2315" width="15.42578125" bestFit="1" customWidth="1"/>
    <col min="2316" max="2316" width="13.5703125" customWidth="1"/>
    <col min="2561" max="2561" width="9.42578125" bestFit="1" customWidth="1"/>
    <col min="2562" max="2562" width="48.42578125" bestFit="1" customWidth="1"/>
    <col min="2563" max="2563" width="6.42578125" bestFit="1" customWidth="1"/>
    <col min="2564" max="2564" width="9.42578125" bestFit="1" customWidth="1"/>
    <col min="2565" max="2565" width="7" bestFit="1" customWidth="1"/>
    <col min="2566" max="2566" width="10" customWidth="1"/>
    <col min="2567" max="2567" width="7" bestFit="1" customWidth="1"/>
    <col min="2568" max="2568" width="5.5703125" bestFit="1" customWidth="1"/>
    <col min="2569" max="2569" width="9.42578125" bestFit="1" customWidth="1"/>
    <col min="2570" max="2570" width="28.5703125" customWidth="1"/>
    <col min="2571" max="2571" width="15.42578125" bestFit="1" customWidth="1"/>
    <col min="2572" max="2572" width="13.5703125" customWidth="1"/>
    <col min="2817" max="2817" width="9.42578125" bestFit="1" customWidth="1"/>
    <col min="2818" max="2818" width="48.42578125" bestFit="1" customWidth="1"/>
    <col min="2819" max="2819" width="6.42578125" bestFit="1" customWidth="1"/>
    <col min="2820" max="2820" width="9.42578125" bestFit="1" customWidth="1"/>
    <col min="2821" max="2821" width="7" bestFit="1" customWidth="1"/>
    <col min="2822" max="2822" width="10" customWidth="1"/>
    <col min="2823" max="2823" width="7" bestFit="1" customWidth="1"/>
    <col min="2824" max="2824" width="5.5703125" bestFit="1" customWidth="1"/>
    <col min="2825" max="2825" width="9.42578125" bestFit="1" customWidth="1"/>
    <col min="2826" max="2826" width="28.5703125" customWidth="1"/>
    <col min="2827" max="2827" width="15.42578125" bestFit="1" customWidth="1"/>
    <col min="2828" max="2828" width="13.5703125" customWidth="1"/>
    <col min="3073" max="3073" width="9.42578125" bestFit="1" customWidth="1"/>
    <col min="3074" max="3074" width="48.42578125" bestFit="1" customWidth="1"/>
    <col min="3075" max="3075" width="6.42578125" bestFit="1" customWidth="1"/>
    <col min="3076" max="3076" width="9.42578125" bestFit="1" customWidth="1"/>
    <col min="3077" max="3077" width="7" bestFit="1" customWidth="1"/>
    <col min="3078" max="3078" width="10" customWidth="1"/>
    <col min="3079" max="3079" width="7" bestFit="1" customWidth="1"/>
    <col min="3080" max="3080" width="5.5703125" bestFit="1" customWidth="1"/>
    <col min="3081" max="3081" width="9.42578125" bestFit="1" customWidth="1"/>
    <col min="3082" max="3082" width="28.5703125" customWidth="1"/>
    <col min="3083" max="3083" width="15.42578125" bestFit="1" customWidth="1"/>
    <col min="3084" max="3084" width="13.5703125" customWidth="1"/>
    <col min="3329" max="3329" width="9.42578125" bestFit="1" customWidth="1"/>
    <col min="3330" max="3330" width="48.42578125" bestFit="1" customWidth="1"/>
    <col min="3331" max="3331" width="6.42578125" bestFit="1" customWidth="1"/>
    <col min="3332" max="3332" width="9.42578125" bestFit="1" customWidth="1"/>
    <col min="3333" max="3333" width="7" bestFit="1" customWidth="1"/>
    <col min="3334" max="3334" width="10" customWidth="1"/>
    <col min="3335" max="3335" width="7" bestFit="1" customWidth="1"/>
    <col min="3336" max="3336" width="5.5703125" bestFit="1" customWidth="1"/>
    <col min="3337" max="3337" width="9.42578125" bestFit="1" customWidth="1"/>
    <col min="3338" max="3338" width="28.5703125" customWidth="1"/>
    <col min="3339" max="3339" width="15.42578125" bestFit="1" customWidth="1"/>
    <col min="3340" max="3340" width="13.5703125" customWidth="1"/>
    <col min="3585" max="3585" width="9.42578125" bestFit="1" customWidth="1"/>
    <col min="3586" max="3586" width="48.42578125" bestFit="1" customWidth="1"/>
    <col min="3587" max="3587" width="6.42578125" bestFit="1" customWidth="1"/>
    <col min="3588" max="3588" width="9.42578125" bestFit="1" customWidth="1"/>
    <col min="3589" max="3589" width="7" bestFit="1" customWidth="1"/>
    <col min="3590" max="3590" width="10" customWidth="1"/>
    <col min="3591" max="3591" width="7" bestFit="1" customWidth="1"/>
    <col min="3592" max="3592" width="5.5703125" bestFit="1" customWidth="1"/>
    <col min="3593" max="3593" width="9.42578125" bestFit="1" customWidth="1"/>
    <col min="3594" max="3594" width="28.5703125" customWidth="1"/>
    <col min="3595" max="3595" width="15.42578125" bestFit="1" customWidth="1"/>
    <col min="3596" max="3596" width="13.5703125" customWidth="1"/>
    <col min="3841" max="3841" width="9.42578125" bestFit="1" customWidth="1"/>
    <col min="3842" max="3842" width="48.42578125" bestFit="1" customWidth="1"/>
    <col min="3843" max="3843" width="6.42578125" bestFit="1" customWidth="1"/>
    <col min="3844" max="3844" width="9.42578125" bestFit="1" customWidth="1"/>
    <col min="3845" max="3845" width="7" bestFit="1" customWidth="1"/>
    <col min="3846" max="3846" width="10" customWidth="1"/>
    <col min="3847" max="3847" width="7" bestFit="1" customWidth="1"/>
    <col min="3848" max="3848" width="5.5703125" bestFit="1" customWidth="1"/>
    <col min="3849" max="3849" width="9.42578125" bestFit="1" customWidth="1"/>
    <col min="3850" max="3850" width="28.5703125" customWidth="1"/>
    <col min="3851" max="3851" width="15.42578125" bestFit="1" customWidth="1"/>
    <col min="3852" max="3852" width="13.5703125" customWidth="1"/>
    <col min="4097" max="4097" width="9.42578125" bestFit="1" customWidth="1"/>
    <col min="4098" max="4098" width="48.42578125" bestFit="1" customWidth="1"/>
    <col min="4099" max="4099" width="6.42578125" bestFit="1" customWidth="1"/>
    <col min="4100" max="4100" width="9.42578125" bestFit="1" customWidth="1"/>
    <col min="4101" max="4101" width="7" bestFit="1" customWidth="1"/>
    <col min="4102" max="4102" width="10" customWidth="1"/>
    <col min="4103" max="4103" width="7" bestFit="1" customWidth="1"/>
    <col min="4104" max="4104" width="5.5703125" bestFit="1" customWidth="1"/>
    <col min="4105" max="4105" width="9.42578125" bestFit="1" customWidth="1"/>
    <col min="4106" max="4106" width="28.5703125" customWidth="1"/>
    <col min="4107" max="4107" width="15.42578125" bestFit="1" customWidth="1"/>
    <col min="4108" max="4108" width="13.5703125" customWidth="1"/>
    <col min="4353" max="4353" width="9.42578125" bestFit="1" customWidth="1"/>
    <col min="4354" max="4354" width="48.42578125" bestFit="1" customWidth="1"/>
    <col min="4355" max="4355" width="6.42578125" bestFit="1" customWidth="1"/>
    <col min="4356" max="4356" width="9.42578125" bestFit="1" customWidth="1"/>
    <col min="4357" max="4357" width="7" bestFit="1" customWidth="1"/>
    <col min="4358" max="4358" width="10" customWidth="1"/>
    <col min="4359" max="4359" width="7" bestFit="1" customWidth="1"/>
    <col min="4360" max="4360" width="5.5703125" bestFit="1" customWidth="1"/>
    <col min="4361" max="4361" width="9.42578125" bestFit="1" customWidth="1"/>
    <col min="4362" max="4362" width="28.5703125" customWidth="1"/>
    <col min="4363" max="4363" width="15.42578125" bestFit="1" customWidth="1"/>
    <col min="4364" max="4364" width="13.5703125" customWidth="1"/>
    <col min="4609" max="4609" width="9.42578125" bestFit="1" customWidth="1"/>
    <col min="4610" max="4610" width="48.42578125" bestFit="1" customWidth="1"/>
    <col min="4611" max="4611" width="6.42578125" bestFit="1" customWidth="1"/>
    <col min="4612" max="4612" width="9.42578125" bestFit="1" customWidth="1"/>
    <col min="4613" max="4613" width="7" bestFit="1" customWidth="1"/>
    <col min="4614" max="4614" width="10" customWidth="1"/>
    <col min="4615" max="4615" width="7" bestFit="1" customWidth="1"/>
    <col min="4616" max="4616" width="5.5703125" bestFit="1" customWidth="1"/>
    <col min="4617" max="4617" width="9.42578125" bestFit="1" customWidth="1"/>
    <col min="4618" max="4618" width="28.5703125" customWidth="1"/>
    <col min="4619" max="4619" width="15.42578125" bestFit="1" customWidth="1"/>
    <col min="4620" max="4620" width="13.5703125" customWidth="1"/>
    <col min="4865" max="4865" width="9.42578125" bestFit="1" customWidth="1"/>
    <col min="4866" max="4866" width="48.42578125" bestFit="1" customWidth="1"/>
    <col min="4867" max="4867" width="6.42578125" bestFit="1" customWidth="1"/>
    <col min="4868" max="4868" width="9.42578125" bestFit="1" customWidth="1"/>
    <col min="4869" max="4869" width="7" bestFit="1" customWidth="1"/>
    <col min="4870" max="4870" width="10" customWidth="1"/>
    <col min="4871" max="4871" width="7" bestFit="1" customWidth="1"/>
    <col min="4872" max="4872" width="5.5703125" bestFit="1" customWidth="1"/>
    <col min="4873" max="4873" width="9.42578125" bestFit="1" customWidth="1"/>
    <col min="4874" max="4874" width="28.5703125" customWidth="1"/>
    <col min="4875" max="4875" width="15.42578125" bestFit="1" customWidth="1"/>
    <col min="4876" max="4876" width="13.5703125" customWidth="1"/>
    <col min="5121" max="5121" width="9.42578125" bestFit="1" customWidth="1"/>
    <col min="5122" max="5122" width="48.42578125" bestFit="1" customWidth="1"/>
    <col min="5123" max="5123" width="6.42578125" bestFit="1" customWidth="1"/>
    <col min="5124" max="5124" width="9.42578125" bestFit="1" customWidth="1"/>
    <col min="5125" max="5125" width="7" bestFit="1" customWidth="1"/>
    <col min="5126" max="5126" width="10" customWidth="1"/>
    <col min="5127" max="5127" width="7" bestFit="1" customWidth="1"/>
    <col min="5128" max="5128" width="5.5703125" bestFit="1" customWidth="1"/>
    <col min="5129" max="5129" width="9.42578125" bestFit="1" customWidth="1"/>
    <col min="5130" max="5130" width="28.5703125" customWidth="1"/>
    <col min="5131" max="5131" width="15.42578125" bestFit="1" customWidth="1"/>
    <col min="5132" max="5132" width="13.5703125" customWidth="1"/>
    <col min="5377" max="5377" width="9.42578125" bestFit="1" customWidth="1"/>
    <col min="5378" max="5378" width="48.42578125" bestFit="1" customWidth="1"/>
    <col min="5379" max="5379" width="6.42578125" bestFit="1" customWidth="1"/>
    <col min="5380" max="5380" width="9.42578125" bestFit="1" customWidth="1"/>
    <col min="5381" max="5381" width="7" bestFit="1" customWidth="1"/>
    <col min="5382" max="5382" width="10" customWidth="1"/>
    <col min="5383" max="5383" width="7" bestFit="1" customWidth="1"/>
    <col min="5384" max="5384" width="5.5703125" bestFit="1" customWidth="1"/>
    <col min="5385" max="5385" width="9.42578125" bestFit="1" customWidth="1"/>
    <col min="5386" max="5386" width="28.5703125" customWidth="1"/>
    <col min="5387" max="5387" width="15.42578125" bestFit="1" customWidth="1"/>
    <col min="5388" max="5388" width="13.5703125" customWidth="1"/>
    <col min="5633" max="5633" width="9.42578125" bestFit="1" customWidth="1"/>
    <col min="5634" max="5634" width="48.42578125" bestFit="1" customWidth="1"/>
    <col min="5635" max="5635" width="6.42578125" bestFit="1" customWidth="1"/>
    <col min="5636" max="5636" width="9.42578125" bestFit="1" customWidth="1"/>
    <col min="5637" max="5637" width="7" bestFit="1" customWidth="1"/>
    <col min="5638" max="5638" width="10" customWidth="1"/>
    <col min="5639" max="5639" width="7" bestFit="1" customWidth="1"/>
    <col min="5640" max="5640" width="5.5703125" bestFit="1" customWidth="1"/>
    <col min="5641" max="5641" width="9.42578125" bestFit="1" customWidth="1"/>
    <col min="5642" max="5642" width="28.5703125" customWidth="1"/>
    <col min="5643" max="5643" width="15.42578125" bestFit="1" customWidth="1"/>
    <col min="5644" max="5644" width="13.5703125" customWidth="1"/>
    <col min="5889" max="5889" width="9.42578125" bestFit="1" customWidth="1"/>
    <col min="5890" max="5890" width="48.42578125" bestFit="1" customWidth="1"/>
    <col min="5891" max="5891" width="6.42578125" bestFit="1" customWidth="1"/>
    <col min="5892" max="5892" width="9.42578125" bestFit="1" customWidth="1"/>
    <col min="5893" max="5893" width="7" bestFit="1" customWidth="1"/>
    <col min="5894" max="5894" width="10" customWidth="1"/>
    <col min="5895" max="5895" width="7" bestFit="1" customWidth="1"/>
    <col min="5896" max="5896" width="5.5703125" bestFit="1" customWidth="1"/>
    <col min="5897" max="5897" width="9.42578125" bestFit="1" customWidth="1"/>
    <col min="5898" max="5898" width="28.5703125" customWidth="1"/>
    <col min="5899" max="5899" width="15.42578125" bestFit="1" customWidth="1"/>
    <col min="5900" max="5900" width="13.5703125" customWidth="1"/>
    <col min="6145" max="6145" width="9.42578125" bestFit="1" customWidth="1"/>
    <col min="6146" max="6146" width="48.42578125" bestFit="1" customWidth="1"/>
    <col min="6147" max="6147" width="6.42578125" bestFit="1" customWidth="1"/>
    <col min="6148" max="6148" width="9.42578125" bestFit="1" customWidth="1"/>
    <col min="6149" max="6149" width="7" bestFit="1" customWidth="1"/>
    <col min="6150" max="6150" width="10" customWidth="1"/>
    <col min="6151" max="6151" width="7" bestFit="1" customWidth="1"/>
    <col min="6152" max="6152" width="5.5703125" bestFit="1" customWidth="1"/>
    <col min="6153" max="6153" width="9.42578125" bestFit="1" customWidth="1"/>
    <col min="6154" max="6154" width="28.5703125" customWidth="1"/>
    <col min="6155" max="6155" width="15.42578125" bestFit="1" customWidth="1"/>
    <col min="6156" max="6156" width="13.5703125" customWidth="1"/>
    <col min="6401" max="6401" width="9.42578125" bestFit="1" customWidth="1"/>
    <col min="6402" max="6402" width="48.42578125" bestFit="1" customWidth="1"/>
    <col min="6403" max="6403" width="6.42578125" bestFit="1" customWidth="1"/>
    <col min="6404" max="6404" width="9.42578125" bestFit="1" customWidth="1"/>
    <col min="6405" max="6405" width="7" bestFit="1" customWidth="1"/>
    <col min="6406" max="6406" width="10" customWidth="1"/>
    <col min="6407" max="6407" width="7" bestFit="1" customWidth="1"/>
    <col min="6408" max="6408" width="5.5703125" bestFit="1" customWidth="1"/>
    <col min="6409" max="6409" width="9.42578125" bestFit="1" customWidth="1"/>
    <col min="6410" max="6410" width="28.5703125" customWidth="1"/>
    <col min="6411" max="6411" width="15.42578125" bestFit="1" customWidth="1"/>
    <col min="6412" max="6412" width="13.5703125" customWidth="1"/>
    <col min="6657" max="6657" width="9.42578125" bestFit="1" customWidth="1"/>
    <col min="6658" max="6658" width="48.42578125" bestFit="1" customWidth="1"/>
    <col min="6659" max="6659" width="6.42578125" bestFit="1" customWidth="1"/>
    <col min="6660" max="6660" width="9.42578125" bestFit="1" customWidth="1"/>
    <col min="6661" max="6661" width="7" bestFit="1" customWidth="1"/>
    <col min="6662" max="6662" width="10" customWidth="1"/>
    <col min="6663" max="6663" width="7" bestFit="1" customWidth="1"/>
    <col min="6664" max="6664" width="5.5703125" bestFit="1" customWidth="1"/>
    <col min="6665" max="6665" width="9.42578125" bestFit="1" customWidth="1"/>
    <col min="6666" max="6666" width="28.5703125" customWidth="1"/>
    <col min="6667" max="6667" width="15.42578125" bestFit="1" customWidth="1"/>
    <col min="6668" max="6668" width="13.5703125" customWidth="1"/>
    <col min="6913" max="6913" width="9.42578125" bestFit="1" customWidth="1"/>
    <col min="6914" max="6914" width="48.42578125" bestFit="1" customWidth="1"/>
    <col min="6915" max="6915" width="6.42578125" bestFit="1" customWidth="1"/>
    <col min="6916" max="6916" width="9.42578125" bestFit="1" customWidth="1"/>
    <col min="6917" max="6917" width="7" bestFit="1" customWidth="1"/>
    <col min="6918" max="6918" width="10" customWidth="1"/>
    <col min="6919" max="6919" width="7" bestFit="1" customWidth="1"/>
    <col min="6920" max="6920" width="5.5703125" bestFit="1" customWidth="1"/>
    <col min="6921" max="6921" width="9.42578125" bestFit="1" customWidth="1"/>
    <col min="6922" max="6922" width="28.5703125" customWidth="1"/>
    <col min="6923" max="6923" width="15.42578125" bestFit="1" customWidth="1"/>
    <col min="6924" max="6924" width="13.5703125" customWidth="1"/>
    <col min="7169" max="7169" width="9.42578125" bestFit="1" customWidth="1"/>
    <col min="7170" max="7170" width="48.42578125" bestFit="1" customWidth="1"/>
    <col min="7171" max="7171" width="6.42578125" bestFit="1" customWidth="1"/>
    <col min="7172" max="7172" width="9.42578125" bestFit="1" customWidth="1"/>
    <col min="7173" max="7173" width="7" bestFit="1" customWidth="1"/>
    <col min="7174" max="7174" width="10" customWidth="1"/>
    <col min="7175" max="7175" width="7" bestFit="1" customWidth="1"/>
    <col min="7176" max="7176" width="5.5703125" bestFit="1" customWidth="1"/>
    <col min="7177" max="7177" width="9.42578125" bestFit="1" customWidth="1"/>
    <col min="7178" max="7178" width="28.5703125" customWidth="1"/>
    <col min="7179" max="7179" width="15.42578125" bestFit="1" customWidth="1"/>
    <col min="7180" max="7180" width="13.5703125" customWidth="1"/>
    <col min="7425" max="7425" width="9.42578125" bestFit="1" customWidth="1"/>
    <col min="7426" max="7426" width="48.42578125" bestFit="1" customWidth="1"/>
    <col min="7427" max="7427" width="6.42578125" bestFit="1" customWidth="1"/>
    <col min="7428" max="7428" width="9.42578125" bestFit="1" customWidth="1"/>
    <col min="7429" max="7429" width="7" bestFit="1" customWidth="1"/>
    <col min="7430" max="7430" width="10" customWidth="1"/>
    <col min="7431" max="7431" width="7" bestFit="1" customWidth="1"/>
    <col min="7432" max="7432" width="5.5703125" bestFit="1" customWidth="1"/>
    <col min="7433" max="7433" width="9.42578125" bestFit="1" customWidth="1"/>
    <col min="7434" max="7434" width="28.5703125" customWidth="1"/>
    <col min="7435" max="7435" width="15.42578125" bestFit="1" customWidth="1"/>
    <col min="7436" max="7436" width="13.5703125" customWidth="1"/>
    <col min="7681" max="7681" width="9.42578125" bestFit="1" customWidth="1"/>
    <col min="7682" max="7682" width="48.42578125" bestFit="1" customWidth="1"/>
    <col min="7683" max="7683" width="6.42578125" bestFit="1" customWidth="1"/>
    <col min="7684" max="7684" width="9.42578125" bestFit="1" customWidth="1"/>
    <col min="7685" max="7685" width="7" bestFit="1" customWidth="1"/>
    <col min="7686" max="7686" width="10" customWidth="1"/>
    <col min="7687" max="7687" width="7" bestFit="1" customWidth="1"/>
    <col min="7688" max="7688" width="5.5703125" bestFit="1" customWidth="1"/>
    <col min="7689" max="7689" width="9.42578125" bestFit="1" customWidth="1"/>
    <col min="7690" max="7690" width="28.5703125" customWidth="1"/>
    <col min="7691" max="7691" width="15.42578125" bestFit="1" customWidth="1"/>
    <col min="7692" max="7692" width="13.5703125" customWidth="1"/>
    <col min="7937" max="7937" width="9.42578125" bestFit="1" customWidth="1"/>
    <col min="7938" max="7938" width="48.42578125" bestFit="1" customWidth="1"/>
    <col min="7939" max="7939" width="6.42578125" bestFit="1" customWidth="1"/>
    <col min="7940" max="7940" width="9.42578125" bestFit="1" customWidth="1"/>
    <col min="7941" max="7941" width="7" bestFit="1" customWidth="1"/>
    <col min="7942" max="7942" width="10" customWidth="1"/>
    <col min="7943" max="7943" width="7" bestFit="1" customWidth="1"/>
    <col min="7944" max="7944" width="5.5703125" bestFit="1" customWidth="1"/>
    <col min="7945" max="7945" width="9.42578125" bestFit="1" customWidth="1"/>
    <col min="7946" max="7946" width="28.5703125" customWidth="1"/>
    <col min="7947" max="7947" width="15.42578125" bestFit="1" customWidth="1"/>
    <col min="7948" max="7948" width="13.5703125" customWidth="1"/>
    <col min="8193" max="8193" width="9.42578125" bestFit="1" customWidth="1"/>
    <col min="8194" max="8194" width="48.42578125" bestFit="1" customWidth="1"/>
    <col min="8195" max="8195" width="6.42578125" bestFit="1" customWidth="1"/>
    <col min="8196" max="8196" width="9.42578125" bestFit="1" customWidth="1"/>
    <col min="8197" max="8197" width="7" bestFit="1" customWidth="1"/>
    <col min="8198" max="8198" width="10" customWidth="1"/>
    <col min="8199" max="8199" width="7" bestFit="1" customWidth="1"/>
    <col min="8200" max="8200" width="5.5703125" bestFit="1" customWidth="1"/>
    <col min="8201" max="8201" width="9.42578125" bestFit="1" customWidth="1"/>
    <col min="8202" max="8202" width="28.5703125" customWidth="1"/>
    <col min="8203" max="8203" width="15.42578125" bestFit="1" customWidth="1"/>
    <col min="8204" max="8204" width="13.5703125" customWidth="1"/>
    <col min="8449" max="8449" width="9.42578125" bestFit="1" customWidth="1"/>
    <col min="8450" max="8450" width="48.42578125" bestFit="1" customWidth="1"/>
    <col min="8451" max="8451" width="6.42578125" bestFit="1" customWidth="1"/>
    <col min="8452" max="8452" width="9.42578125" bestFit="1" customWidth="1"/>
    <col min="8453" max="8453" width="7" bestFit="1" customWidth="1"/>
    <col min="8454" max="8454" width="10" customWidth="1"/>
    <col min="8455" max="8455" width="7" bestFit="1" customWidth="1"/>
    <col min="8456" max="8456" width="5.5703125" bestFit="1" customWidth="1"/>
    <col min="8457" max="8457" width="9.42578125" bestFit="1" customWidth="1"/>
    <col min="8458" max="8458" width="28.5703125" customWidth="1"/>
    <col min="8459" max="8459" width="15.42578125" bestFit="1" customWidth="1"/>
    <col min="8460" max="8460" width="13.5703125" customWidth="1"/>
    <col min="8705" max="8705" width="9.42578125" bestFit="1" customWidth="1"/>
    <col min="8706" max="8706" width="48.42578125" bestFit="1" customWidth="1"/>
    <col min="8707" max="8707" width="6.42578125" bestFit="1" customWidth="1"/>
    <col min="8708" max="8708" width="9.42578125" bestFit="1" customWidth="1"/>
    <col min="8709" max="8709" width="7" bestFit="1" customWidth="1"/>
    <col min="8710" max="8710" width="10" customWidth="1"/>
    <col min="8711" max="8711" width="7" bestFit="1" customWidth="1"/>
    <col min="8712" max="8712" width="5.5703125" bestFit="1" customWidth="1"/>
    <col min="8713" max="8713" width="9.42578125" bestFit="1" customWidth="1"/>
    <col min="8714" max="8714" width="28.5703125" customWidth="1"/>
    <col min="8715" max="8715" width="15.42578125" bestFit="1" customWidth="1"/>
    <col min="8716" max="8716" width="13.5703125" customWidth="1"/>
    <col min="8961" max="8961" width="9.42578125" bestFit="1" customWidth="1"/>
    <col min="8962" max="8962" width="48.42578125" bestFit="1" customWidth="1"/>
    <col min="8963" max="8963" width="6.42578125" bestFit="1" customWidth="1"/>
    <col min="8964" max="8964" width="9.42578125" bestFit="1" customWidth="1"/>
    <col min="8965" max="8965" width="7" bestFit="1" customWidth="1"/>
    <col min="8966" max="8966" width="10" customWidth="1"/>
    <col min="8967" max="8967" width="7" bestFit="1" customWidth="1"/>
    <col min="8968" max="8968" width="5.5703125" bestFit="1" customWidth="1"/>
    <col min="8969" max="8969" width="9.42578125" bestFit="1" customWidth="1"/>
    <col min="8970" max="8970" width="28.5703125" customWidth="1"/>
    <col min="8971" max="8971" width="15.42578125" bestFit="1" customWidth="1"/>
    <col min="8972" max="8972" width="13.5703125" customWidth="1"/>
    <col min="9217" max="9217" width="9.42578125" bestFit="1" customWidth="1"/>
    <col min="9218" max="9218" width="48.42578125" bestFit="1" customWidth="1"/>
    <col min="9219" max="9219" width="6.42578125" bestFit="1" customWidth="1"/>
    <col min="9220" max="9220" width="9.42578125" bestFit="1" customWidth="1"/>
    <col min="9221" max="9221" width="7" bestFit="1" customWidth="1"/>
    <col min="9222" max="9222" width="10" customWidth="1"/>
    <col min="9223" max="9223" width="7" bestFit="1" customWidth="1"/>
    <col min="9224" max="9224" width="5.5703125" bestFit="1" customWidth="1"/>
    <col min="9225" max="9225" width="9.42578125" bestFit="1" customWidth="1"/>
    <col min="9226" max="9226" width="28.5703125" customWidth="1"/>
    <col min="9227" max="9227" width="15.42578125" bestFit="1" customWidth="1"/>
    <col min="9228" max="9228" width="13.5703125" customWidth="1"/>
    <col min="9473" max="9473" width="9.42578125" bestFit="1" customWidth="1"/>
    <col min="9474" max="9474" width="48.42578125" bestFit="1" customWidth="1"/>
    <col min="9475" max="9475" width="6.42578125" bestFit="1" customWidth="1"/>
    <col min="9476" max="9476" width="9.42578125" bestFit="1" customWidth="1"/>
    <col min="9477" max="9477" width="7" bestFit="1" customWidth="1"/>
    <col min="9478" max="9478" width="10" customWidth="1"/>
    <col min="9479" max="9479" width="7" bestFit="1" customWidth="1"/>
    <col min="9480" max="9480" width="5.5703125" bestFit="1" customWidth="1"/>
    <col min="9481" max="9481" width="9.42578125" bestFit="1" customWidth="1"/>
    <col min="9482" max="9482" width="28.5703125" customWidth="1"/>
    <col min="9483" max="9483" width="15.42578125" bestFit="1" customWidth="1"/>
    <col min="9484" max="9484" width="13.5703125" customWidth="1"/>
    <col min="9729" max="9729" width="9.42578125" bestFit="1" customWidth="1"/>
    <col min="9730" max="9730" width="48.42578125" bestFit="1" customWidth="1"/>
    <col min="9731" max="9731" width="6.42578125" bestFit="1" customWidth="1"/>
    <col min="9732" max="9732" width="9.42578125" bestFit="1" customWidth="1"/>
    <col min="9733" max="9733" width="7" bestFit="1" customWidth="1"/>
    <col min="9734" max="9734" width="10" customWidth="1"/>
    <col min="9735" max="9735" width="7" bestFit="1" customWidth="1"/>
    <col min="9736" max="9736" width="5.5703125" bestFit="1" customWidth="1"/>
    <col min="9737" max="9737" width="9.42578125" bestFit="1" customWidth="1"/>
    <col min="9738" max="9738" width="28.5703125" customWidth="1"/>
    <col min="9739" max="9739" width="15.42578125" bestFit="1" customWidth="1"/>
    <col min="9740" max="9740" width="13.5703125" customWidth="1"/>
    <col min="9985" max="9985" width="9.42578125" bestFit="1" customWidth="1"/>
    <col min="9986" max="9986" width="48.42578125" bestFit="1" customWidth="1"/>
    <col min="9987" max="9987" width="6.42578125" bestFit="1" customWidth="1"/>
    <col min="9988" max="9988" width="9.42578125" bestFit="1" customWidth="1"/>
    <col min="9989" max="9989" width="7" bestFit="1" customWidth="1"/>
    <col min="9990" max="9990" width="10" customWidth="1"/>
    <col min="9991" max="9991" width="7" bestFit="1" customWidth="1"/>
    <col min="9992" max="9992" width="5.5703125" bestFit="1" customWidth="1"/>
    <col min="9993" max="9993" width="9.42578125" bestFit="1" customWidth="1"/>
    <col min="9994" max="9994" width="28.5703125" customWidth="1"/>
    <col min="9995" max="9995" width="15.42578125" bestFit="1" customWidth="1"/>
    <col min="9996" max="9996" width="13.5703125" customWidth="1"/>
    <col min="10241" max="10241" width="9.42578125" bestFit="1" customWidth="1"/>
    <col min="10242" max="10242" width="48.42578125" bestFit="1" customWidth="1"/>
    <col min="10243" max="10243" width="6.42578125" bestFit="1" customWidth="1"/>
    <col min="10244" max="10244" width="9.42578125" bestFit="1" customWidth="1"/>
    <col min="10245" max="10245" width="7" bestFit="1" customWidth="1"/>
    <col min="10246" max="10246" width="10" customWidth="1"/>
    <col min="10247" max="10247" width="7" bestFit="1" customWidth="1"/>
    <col min="10248" max="10248" width="5.5703125" bestFit="1" customWidth="1"/>
    <col min="10249" max="10249" width="9.42578125" bestFit="1" customWidth="1"/>
    <col min="10250" max="10250" width="28.5703125" customWidth="1"/>
    <col min="10251" max="10251" width="15.42578125" bestFit="1" customWidth="1"/>
    <col min="10252" max="10252" width="13.5703125" customWidth="1"/>
    <col min="10497" max="10497" width="9.42578125" bestFit="1" customWidth="1"/>
    <col min="10498" max="10498" width="48.42578125" bestFit="1" customWidth="1"/>
    <col min="10499" max="10499" width="6.42578125" bestFit="1" customWidth="1"/>
    <col min="10500" max="10500" width="9.42578125" bestFit="1" customWidth="1"/>
    <col min="10501" max="10501" width="7" bestFit="1" customWidth="1"/>
    <col min="10502" max="10502" width="10" customWidth="1"/>
    <col min="10503" max="10503" width="7" bestFit="1" customWidth="1"/>
    <col min="10504" max="10504" width="5.5703125" bestFit="1" customWidth="1"/>
    <col min="10505" max="10505" width="9.42578125" bestFit="1" customWidth="1"/>
    <col min="10506" max="10506" width="28.5703125" customWidth="1"/>
    <col min="10507" max="10507" width="15.42578125" bestFit="1" customWidth="1"/>
    <col min="10508" max="10508" width="13.5703125" customWidth="1"/>
    <col min="10753" max="10753" width="9.42578125" bestFit="1" customWidth="1"/>
    <col min="10754" max="10754" width="48.42578125" bestFit="1" customWidth="1"/>
    <col min="10755" max="10755" width="6.42578125" bestFit="1" customWidth="1"/>
    <col min="10756" max="10756" width="9.42578125" bestFit="1" customWidth="1"/>
    <col min="10757" max="10757" width="7" bestFit="1" customWidth="1"/>
    <col min="10758" max="10758" width="10" customWidth="1"/>
    <col min="10759" max="10759" width="7" bestFit="1" customWidth="1"/>
    <col min="10760" max="10760" width="5.5703125" bestFit="1" customWidth="1"/>
    <col min="10761" max="10761" width="9.42578125" bestFit="1" customWidth="1"/>
    <col min="10762" max="10762" width="28.5703125" customWidth="1"/>
    <col min="10763" max="10763" width="15.42578125" bestFit="1" customWidth="1"/>
    <col min="10764" max="10764" width="13.5703125" customWidth="1"/>
    <col min="11009" max="11009" width="9.42578125" bestFit="1" customWidth="1"/>
    <col min="11010" max="11010" width="48.42578125" bestFit="1" customWidth="1"/>
    <col min="11011" max="11011" width="6.42578125" bestFit="1" customWidth="1"/>
    <col min="11012" max="11012" width="9.42578125" bestFit="1" customWidth="1"/>
    <col min="11013" max="11013" width="7" bestFit="1" customWidth="1"/>
    <col min="11014" max="11014" width="10" customWidth="1"/>
    <col min="11015" max="11015" width="7" bestFit="1" customWidth="1"/>
    <col min="11016" max="11016" width="5.5703125" bestFit="1" customWidth="1"/>
    <col min="11017" max="11017" width="9.42578125" bestFit="1" customWidth="1"/>
    <col min="11018" max="11018" width="28.5703125" customWidth="1"/>
    <col min="11019" max="11019" width="15.42578125" bestFit="1" customWidth="1"/>
    <col min="11020" max="11020" width="13.5703125" customWidth="1"/>
    <col min="11265" max="11265" width="9.42578125" bestFit="1" customWidth="1"/>
    <col min="11266" max="11266" width="48.42578125" bestFit="1" customWidth="1"/>
    <col min="11267" max="11267" width="6.42578125" bestFit="1" customWidth="1"/>
    <col min="11268" max="11268" width="9.42578125" bestFit="1" customWidth="1"/>
    <col min="11269" max="11269" width="7" bestFit="1" customWidth="1"/>
    <col min="11270" max="11270" width="10" customWidth="1"/>
    <col min="11271" max="11271" width="7" bestFit="1" customWidth="1"/>
    <col min="11272" max="11272" width="5.5703125" bestFit="1" customWidth="1"/>
    <col min="11273" max="11273" width="9.42578125" bestFit="1" customWidth="1"/>
    <col min="11274" max="11274" width="28.5703125" customWidth="1"/>
    <col min="11275" max="11275" width="15.42578125" bestFit="1" customWidth="1"/>
    <col min="11276" max="11276" width="13.5703125" customWidth="1"/>
    <col min="11521" max="11521" width="9.42578125" bestFit="1" customWidth="1"/>
    <col min="11522" max="11522" width="48.42578125" bestFit="1" customWidth="1"/>
    <col min="11523" max="11523" width="6.42578125" bestFit="1" customWidth="1"/>
    <col min="11524" max="11524" width="9.42578125" bestFit="1" customWidth="1"/>
    <col min="11525" max="11525" width="7" bestFit="1" customWidth="1"/>
    <col min="11526" max="11526" width="10" customWidth="1"/>
    <col min="11527" max="11527" width="7" bestFit="1" customWidth="1"/>
    <col min="11528" max="11528" width="5.5703125" bestFit="1" customWidth="1"/>
    <col min="11529" max="11529" width="9.42578125" bestFit="1" customWidth="1"/>
    <col min="11530" max="11530" width="28.5703125" customWidth="1"/>
    <col min="11531" max="11531" width="15.42578125" bestFit="1" customWidth="1"/>
    <col min="11532" max="11532" width="13.5703125" customWidth="1"/>
    <col min="11777" max="11777" width="9.42578125" bestFit="1" customWidth="1"/>
    <col min="11778" max="11778" width="48.42578125" bestFit="1" customWidth="1"/>
    <col min="11779" max="11779" width="6.42578125" bestFit="1" customWidth="1"/>
    <col min="11780" max="11780" width="9.42578125" bestFit="1" customWidth="1"/>
    <col min="11781" max="11781" width="7" bestFit="1" customWidth="1"/>
    <col min="11782" max="11782" width="10" customWidth="1"/>
    <col min="11783" max="11783" width="7" bestFit="1" customWidth="1"/>
    <col min="11784" max="11784" width="5.5703125" bestFit="1" customWidth="1"/>
    <col min="11785" max="11785" width="9.42578125" bestFit="1" customWidth="1"/>
    <col min="11786" max="11786" width="28.5703125" customWidth="1"/>
    <col min="11787" max="11787" width="15.42578125" bestFit="1" customWidth="1"/>
    <col min="11788" max="11788" width="13.5703125" customWidth="1"/>
    <col min="12033" max="12033" width="9.42578125" bestFit="1" customWidth="1"/>
    <col min="12034" max="12034" width="48.42578125" bestFit="1" customWidth="1"/>
    <col min="12035" max="12035" width="6.42578125" bestFit="1" customWidth="1"/>
    <col min="12036" max="12036" width="9.42578125" bestFit="1" customWidth="1"/>
    <col min="12037" max="12037" width="7" bestFit="1" customWidth="1"/>
    <col min="12038" max="12038" width="10" customWidth="1"/>
    <col min="12039" max="12039" width="7" bestFit="1" customWidth="1"/>
    <col min="12040" max="12040" width="5.5703125" bestFit="1" customWidth="1"/>
    <col min="12041" max="12041" width="9.42578125" bestFit="1" customWidth="1"/>
    <col min="12042" max="12042" width="28.5703125" customWidth="1"/>
    <col min="12043" max="12043" width="15.42578125" bestFit="1" customWidth="1"/>
    <col min="12044" max="12044" width="13.5703125" customWidth="1"/>
    <col min="12289" max="12289" width="9.42578125" bestFit="1" customWidth="1"/>
    <col min="12290" max="12290" width="48.42578125" bestFit="1" customWidth="1"/>
    <col min="12291" max="12291" width="6.42578125" bestFit="1" customWidth="1"/>
    <col min="12292" max="12292" width="9.42578125" bestFit="1" customWidth="1"/>
    <col min="12293" max="12293" width="7" bestFit="1" customWidth="1"/>
    <col min="12294" max="12294" width="10" customWidth="1"/>
    <col min="12295" max="12295" width="7" bestFit="1" customWidth="1"/>
    <col min="12296" max="12296" width="5.5703125" bestFit="1" customWidth="1"/>
    <col min="12297" max="12297" width="9.42578125" bestFit="1" customWidth="1"/>
    <col min="12298" max="12298" width="28.5703125" customWidth="1"/>
    <col min="12299" max="12299" width="15.42578125" bestFit="1" customWidth="1"/>
    <col min="12300" max="12300" width="13.5703125" customWidth="1"/>
    <col min="12545" max="12545" width="9.42578125" bestFit="1" customWidth="1"/>
    <col min="12546" max="12546" width="48.42578125" bestFit="1" customWidth="1"/>
    <col min="12547" max="12547" width="6.42578125" bestFit="1" customWidth="1"/>
    <col min="12548" max="12548" width="9.42578125" bestFit="1" customWidth="1"/>
    <col min="12549" max="12549" width="7" bestFit="1" customWidth="1"/>
    <col min="12550" max="12550" width="10" customWidth="1"/>
    <col min="12551" max="12551" width="7" bestFit="1" customWidth="1"/>
    <col min="12552" max="12552" width="5.5703125" bestFit="1" customWidth="1"/>
    <col min="12553" max="12553" width="9.42578125" bestFit="1" customWidth="1"/>
    <col min="12554" max="12554" width="28.5703125" customWidth="1"/>
    <col min="12555" max="12555" width="15.42578125" bestFit="1" customWidth="1"/>
    <col min="12556" max="12556" width="13.5703125" customWidth="1"/>
    <col min="12801" max="12801" width="9.42578125" bestFit="1" customWidth="1"/>
    <col min="12802" max="12802" width="48.42578125" bestFit="1" customWidth="1"/>
    <col min="12803" max="12803" width="6.42578125" bestFit="1" customWidth="1"/>
    <col min="12804" max="12804" width="9.42578125" bestFit="1" customWidth="1"/>
    <col min="12805" max="12805" width="7" bestFit="1" customWidth="1"/>
    <col min="12806" max="12806" width="10" customWidth="1"/>
    <col min="12807" max="12807" width="7" bestFit="1" customWidth="1"/>
    <col min="12808" max="12808" width="5.5703125" bestFit="1" customWidth="1"/>
    <col min="12809" max="12809" width="9.42578125" bestFit="1" customWidth="1"/>
    <col min="12810" max="12810" width="28.5703125" customWidth="1"/>
    <col min="12811" max="12811" width="15.42578125" bestFit="1" customWidth="1"/>
    <col min="12812" max="12812" width="13.5703125" customWidth="1"/>
    <col min="13057" max="13057" width="9.42578125" bestFit="1" customWidth="1"/>
    <col min="13058" max="13058" width="48.42578125" bestFit="1" customWidth="1"/>
    <col min="13059" max="13059" width="6.42578125" bestFit="1" customWidth="1"/>
    <col min="13060" max="13060" width="9.42578125" bestFit="1" customWidth="1"/>
    <col min="13061" max="13061" width="7" bestFit="1" customWidth="1"/>
    <col min="13062" max="13062" width="10" customWidth="1"/>
    <col min="13063" max="13063" width="7" bestFit="1" customWidth="1"/>
    <col min="13064" max="13064" width="5.5703125" bestFit="1" customWidth="1"/>
    <col min="13065" max="13065" width="9.42578125" bestFit="1" customWidth="1"/>
    <col min="13066" max="13066" width="28.5703125" customWidth="1"/>
    <col min="13067" max="13067" width="15.42578125" bestFit="1" customWidth="1"/>
    <col min="13068" max="13068" width="13.5703125" customWidth="1"/>
    <col min="13313" max="13313" width="9.42578125" bestFit="1" customWidth="1"/>
    <col min="13314" max="13314" width="48.42578125" bestFit="1" customWidth="1"/>
    <col min="13315" max="13315" width="6.42578125" bestFit="1" customWidth="1"/>
    <col min="13316" max="13316" width="9.42578125" bestFit="1" customWidth="1"/>
    <col min="13317" max="13317" width="7" bestFit="1" customWidth="1"/>
    <col min="13318" max="13318" width="10" customWidth="1"/>
    <col min="13319" max="13319" width="7" bestFit="1" customWidth="1"/>
    <col min="13320" max="13320" width="5.5703125" bestFit="1" customWidth="1"/>
    <col min="13321" max="13321" width="9.42578125" bestFit="1" customWidth="1"/>
    <col min="13322" max="13322" width="28.5703125" customWidth="1"/>
    <col min="13323" max="13323" width="15.42578125" bestFit="1" customWidth="1"/>
    <col min="13324" max="13324" width="13.5703125" customWidth="1"/>
    <col min="13569" max="13569" width="9.42578125" bestFit="1" customWidth="1"/>
    <col min="13570" max="13570" width="48.42578125" bestFit="1" customWidth="1"/>
    <col min="13571" max="13571" width="6.42578125" bestFit="1" customWidth="1"/>
    <col min="13572" max="13572" width="9.42578125" bestFit="1" customWidth="1"/>
    <col min="13573" max="13573" width="7" bestFit="1" customWidth="1"/>
    <col min="13574" max="13574" width="10" customWidth="1"/>
    <col min="13575" max="13575" width="7" bestFit="1" customWidth="1"/>
    <col min="13576" max="13576" width="5.5703125" bestFit="1" customWidth="1"/>
    <col min="13577" max="13577" width="9.42578125" bestFit="1" customWidth="1"/>
    <col min="13578" max="13578" width="28.5703125" customWidth="1"/>
    <col min="13579" max="13579" width="15.42578125" bestFit="1" customWidth="1"/>
    <col min="13580" max="13580" width="13.5703125" customWidth="1"/>
    <col min="13825" max="13825" width="9.42578125" bestFit="1" customWidth="1"/>
    <col min="13826" max="13826" width="48.42578125" bestFit="1" customWidth="1"/>
    <col min="13827" max="13827" width="6.42578125" bestFit="1" customWidth="1"/>
    <col min="13828" max="13828" width="9.42578125" bestFit="1" customWidth="1"/>
    <col min="13829" max="13829" width="7" bestFit="1" customWidth="1"/>
    <col min="13830" max="13830" width="10" customWidth="1"/>
    <col min="13831" max="13831" width="7" bestFit="1" customWidth="1"/>
    <col min="13832" max="13832" width="5.5703125" bestFit="1" customWidth="1"/>
    <col min="13833" max="13833" width="9.42578125" bestFit="1" customWidth="1"/>
    <col min="13834" max="13834" width="28.5703125" customWidth="1"/>
    <col min="13835" max="13835" width="15.42578125" bestFit="1" customWidth="1"/>
    <col min="13836" max="13836" width="13.5703125" customWidth="1"/>
    <col min="14081" max="14081" width="9.42578125" bestFit="1" customWidth="1"/>
    <col min="14082" max="14082" width="48.42578125" bestFit="1" customWidth="1"/>
    <col min="14083" max="14083" width="6.42578125" bestFit="1" customWidth="1"/>
    <col min="14084" max="14084" width="9.42578125" bestFit="1" customWidth="1"/>
    <col min="14085" max="14085" width="7" bestFit="1" customWidth="1"/>
    <col min="14086" max="14086" width="10" customWidth="1"/>
    <col min="14087" max="14087" width="7" bestFit="1" customWidth="1"/>
    <col min="14088" max="14088" width="5.5703125" bestFit="1" customWidth="1"/>
    <col min="14089" max="14089" width="9.42578125" bestFit="1" customWidth="1"/>
    <col min="14090" max="14090" width="28.5703125" customWidth="1"/>
    <col min="14091" max="14091" width="15.42578125" bestFit="1" customWidth="1"/>
    <col min="14092" max="14092" width="13.5703125" customWidth="1"/>
    <col min="14337" max="14337" width="9.42578125" bestFit="1" customWidth="1"/>
    <col min="14338" max="14338" width="48.42578125" bestFit="1" customWidth="1"/>
    <col min="14339" max="14339" width="6.42578125" bestFit="1" customWidth="1"/>
    <col min="14340" max="14340" width="9.42578125" bestFit="1" customWidth="1"/>
    <col min="14341" max="14341" width="7" bestFit="1" customWidth="1"/>
    <col min="14342" max="14342" width="10" customWidth="1"/>
    <col min="14343" max="14343" width="7" bestFit="1" customWidth="1"/>
    <col min="14344" max="14344" width="5.5703125" bestFit="1" customWidth="1"/>
    <col min="14345" max="14345" width="9.42578125" bestFit="1" customWidth="1"/>
    <col min="14346" max="14346" width="28.5703125" customWidth="1"/>
    <col min="14347" max="14347" width="15.42578125" bestFit="1" customWidth="1"/>
    <col min="14348" max="14348" width="13.5703125" customWidth="1"/>
    <col min="14593" max="14593" width="9.42578125" bestFit="1" customWidth="1"/>
    <col min="14594" max="14594" width="48.42578125" bestFit="1" customWidth="1"/>
    <col min="14595" max="14595" width="6.42578125" bestFit="1" customWidth="1"/>
    <col min="14596" max="14596" width="9.42578125" bestFit="1" customWidth="1"/>
    <col min="14597" max="14597" width="7" bestFit="1" customWidth="1"/>
    <col min="14598" max="14598" width="10" customWidth="1"/>
    <col min="14599" max="14599" width="7" bestFit="1" customWidth="1"/>
    <col min="14600" max="14600" width="5.5703125" bestFit="1" customWidth="1"/>
    <col min="14601" max="14601" width="9.42578125" bestFit="1" customWidth="1"/>
    <col min="14602" max="14602" width="28.5703125" customWidth="1"/>
    <col min="14603" max="14603" width="15.42578125" bestFit="1" customWidth="1"/>
    <col min="14604" max="14604" width="13.5703125" customWidth="1"/>
    <col min="14849" max="14849" width="9.42578125" bestFit="1" customWidth="1"/>
    <col min="14850" max="14850" width="48.42578125" bestFit="1" customWidth="1"/>
    <col min="14851" max="14851" width="6.42578125" bestFit="1" customWidth="1"/>
    <col min="14852" max="14852" width="9.42578125" bestFit="1" customWidth="1"/>
    <col min="14853" max="14853" width="7" bestFit="1" customWidth="1"/>
    <col min="14854" max="14854" width="10" customWidth="1"/>
    <col min="14855" max="14855" width="7" bestFit="1" customWidth="1"/>
    <col min="14856" max="14856" width="5.5703125" bestFit="1" customWidth="1"/>
    <col min="14857" max="14857" width="9.42578125" bestFit="1" customWidth="1"/>
    <col min="14858" max="14858" width="28.5703125" customWidth="1"/>
    <col min="14859" max="14859" width="15.42578125" bestFit="1" customWidth="1"/>
    <col min="14860" max="14860" width="13.5703125" customWidth="1"/>
    <col min="15105" max="15105" width="9.42578125" bestFit="1" customWidth="1"/>
    <col min="15106" max="15106" width="48.42578125" bestFit="1" customWidth="1"/>
    <col min="15107" max="15107" width="6.42578125" bestFit="1" customWidth="1"/>
    <col min="15108" max="15108" width="9.42578125" bestFit="1" customWidth="1"/>
    <col min="15109" max="15109" width="7" bestFit="1" customWidth="1"/>
    <col min="15110" max="15110" width="10" customWidth="1"/>
    <col min="15111" max="15111" width="7" bestFit="1" customWidth="1"/>
    <col min="15112" max="15112" width="5.5703125" bestFit="1" customWidth="1"/>
    <col min="15113" max="15113" width="9.42578125" bestFit="1" customWidth="1"/>
    <col min="15114" max="15114" width="28.5703125" customWidth="1"/>
    <col min="15115" max="15115" width="15.42578125" bestFit="1" customWidth="1"/>
    <col min="15116" max="15116" width="13.5703125" customWidth="1"/>
    <col min="15361" max="15361" width="9.42578125" bestFit="1" customWidth="1"/>
    <col min="15362" max="15362" width="48.42578125" bestFit="1" customWidth="1"/>
    <col min="15363" max="15363" width="6.42578125" bestFit="1" customWidth="1"/>
    <col min="15364" max="15364" width="9.42578125" bestFit="1" customWidth="1"/>
    <col min="15365" max="15365" width="7" bestFit="1" customWidth="1"/>
    <col min="15366" max="15366" width="10" customWidth="1"/>
    <col min="15367" max="15367" width="7" bestFit="1" customWidth="1"/>
    <col min="15368" max="15368" width="5.5703125" bestFit="1" customWidth="1"/>
    <col min="15369" max="15369" width="9.42578125" bestFit="1" customWidth="1"/>
    <col min="15370" max="15370" width="28.5703125" customWidth="1"/>
    <col min="15371" max="15371" width="15.42578125" bestFit="1" customWidth="1"/>
    <col min="15372" max="15372" width="13.5703125" customWidth="1"/>
    <col min="15617" max="15617" width="9.42578125" bestFit="1" customWidth="1"/>
    <col min="15618" max="15618" width="48.42578125" bestFit="1" customWidth="1"/>
    <col min="15619" max="15619" width="6.42578125" bestFit="1" customWidth="1"/>
    <col min="15620" max="15620" width="9.42578125" bestFit="1" customWidth="1"/>
    <col min="15621" max="15621" width="7" bestFit="1" customWidth="1"/>
    <col min="15622" max="15622" width="10" customWidth="1"/>
    <col min="15623" max="15623" width="7" bestFit="1" customWidth="1"/>
    <col min="15624" max="15624" width="5.5703125" bestFit="1" customWidth="1"/>
    <col min="15625" max="15625" width="9.42578125" bestFit="1" customWidth="1"/>
    <col min="15626" max="15626" width="28.5703125" customWidth="1"/>
    <col min="15627" max="15627" width="15.42578125" bestFit="1" customWidth="1"/>
    <col min="15628" max="15628" width="13.5703125" customWidth="1"/>
    <col min="15873" max="15873" width="9.42578125" bestFit="1" customWidth="1"/>
    <col min="15874" max="15874" width="48.42578125" bestFit="1" customWidth="1"/>
    <col min="15875" max="15875" width="6.42578125" bestFit="1" customWidth="1"/>
    <col min="15876" max="15876" width="9.42578125" bestFit="1" customWidth="1"/>
    <col min="15877" max="15877" width="7" bestFit="1" customWidth="1"/>
    <col min="15878" max="15878" width="10" customWidth="1"/>
    <col min="15879" max="15879" width="7" bestFit="1" customWidth="1"/>
    <col min="15880" max="15880" width="5.5703125" bestFit="1" customWidth="1"/>
    <col min="15881" max="15881" width="9.42578125" bestFit="1" customWidth="1"/>
    <col min="15882" max="15882" width="28.5703125" customWidth="1"/>
    <col min="15883" max="15883" width="15.42578125" bestFit="1" customWidth="1"/>
    <col min="15884" max="15884" width="13.5703125" customWidth="1"/>
    <col min="16129" max="16129" width="9.42578125" bestFit="1" customWidth="1"/>
    <col min="16130" max="16130" width="48.42578125" bestFit="1" customWidth="1"/>
    <col min="16131" max="16131" width="6.42578125" bestFit="1" customWidth="1"/>
    <col min="16132" max="16132" width="9.42578125" bestFit="1" customWidth="1"/>
    <col min="16133" max="16133" width="7" bestFit="1" customWidth="1"/>
    <col min="16134" max="16134" width="10" customWidth="1"/>
    <col min="16135" max="16135" width="7" bestFit="1" customWidth="1"/>
    <col min="16136" max="16136" width="5.5703125" bestFit="1" customWidth="1"/>
    <col min="16137" max="16137" width="9.42578125" bestFit="1" customWidth="1"/>
    <col min="16138" max="16138" width="28.5703125" customWidth="1"/>
    <col min="16139" max="16139" width="15.42578125" bestFit="1" customWidth="1"/>
    <col min="16140" max="16140" width="13.5703125" customWidth="1"/>
  </cols>
  <sheetData>
    <row r="1" spans="1:173" s="288" customFormat="1" ht="12" customHeight="1">
      <c r="A1" s="43" t="s">
        <v>67</v>
      </c>
      <c r="B1" s="134"/>
      <c r="C1" s="269"/>
      <c r="D1" s="94"/>
      <c r="E1" s="269"/>
      <c r="F1" s="46"/>
      <c r="G1" s="46"/>
      <c r="H1" s="46"/>
      <c r="I1" s="47"/>
      <c r="J1" s="48"/>
      <c r="K1" s="46"/>
    </row>
    <row r="2" spans="1:173" s="288" customFormat="1" ht="12" customHeight="1">
      <c r="A2" s="44" t="s">
        <v>68</v>
      </c>
      <c r="B2" s="135"/>
      <c r="C2" s="269"/>
      <c r="D2" s="94"/>
      <c r="E2" s="269"/>
      <c r="F2" s="46"/>
      <c r="G2" s="46"/>
      <c r="H2" s="46"/>
      <c r="I2" s="47"/>
      <c r="J2" s="48"/>
      <c r="K2" s="46"/>
    </row>
    <row r="3" spans="1:173" s="288" customFormat="1" ht="12" customHeight="1">
      <c r="A3" s="49" t="s">
        <v>69</v>
      </c>
      <c r="B3" s="135"/>
      <c r="C3" s="269"/>
      <c r="D3" s="94"/>
      <c r="E3" s="269"/>
      <c r="F3" s="46"/>
      <c r="G3" s="46"/>
      <c r="H3" s="46"/>
      <c r="I3" s="47"/>
      <c r="J3" s="48"/>
      <c r="K3" s="46"/>
    </row>
    <row r="4" spans="1:173" s="288" customFormat="1" ht="15.75">
      <c r="A4" s="2912" t="s">
        <v>474</v>
      </c>
      <c r="B4" s="2912"/>
      <c r="C4" s="2912"/>
      <c r="D4" s="2912"/>
      <c r="E4" s="2912"/>
      <c r="F4" s="2912"/>
      <c r="G4" s="2912"/>
      <c r="H4" s="2912"/>
      <c r="I4" s="2912"/>
      <c r="J4" s="2912"/>
      <c r="K4" s="2912"/>
    </row>
    <row r="5" spans="1:173" s="288" customFormat="1" ht="15">
      <c r="B5" s="136" t="s">
        <v>247</v>
      </c>
      <c r="C5" s="269"/>
      <c r="D5" s="45"/>
      <c r="E5" s="269"/>
      <c r="F5" s="46"/>
      <c r="G5" s="46"/>
      <c r="H5" s="46"/>
      <c r="I5" s="47"/>
      <c r="J5" s="48"/>
      <c r="K5" s="46"/>
    </row>
    <row r="6" spans="1:173" s="288" customFormat="1" ht="15">
      <c r="A6" s="50"/>
      <c r="B6" s="2913" t="s">
        <v>248</v>
      </c>
      <c r="C6" s="2913"/>
      <c r="D6" s="2913"/>
      <c r="E6" s="2913"/>
      <c r="F6" s="2913"/>
      <c r="G6" s="2913"/>
      <c r="H6" s="2913"/>
      <c r="I6" s="2913"/>
      <c r="J6" s="48"/>
      <c r="K6" s="46"/>
    </row>
    <row r="7" spans="1:173" s="288" customFormat="1" ht="15.75" thickBot="1">
      <c r="A7" s="50"/>
      <c r="B7" s="136" t="s">
        <v>71</v>
      </c>
      <c r="C7" s="269"/>
      <c r="D7" s="269"/>
      <c r="E7" s="269"/>
      <c r="F7" s="47"/>
      <c r="G7" s="47"/>
      <c r="H7" s="46"/>
      <c r="I7" s="47"/>
      <c r="J7" s="48"/>
      <c r="K7" s="46"/>
    </row>
    <row r="8" spans="1:173" s="99" customFormat="1" ht="15.75">
      <c r="A8" s="229" t="s">
        <v>66</v>
      </c>
      <c r="B8" s="230" t="s">
        <v>72</v>
      </c>
      <c r="C8" s="231" t="s">
        <v>73</v>
      </c>
      <c r="D8" s="230" t="s">
        <v>270</v>
      </c>
      <c r="E8" s="232" t="s">
        <v>271</v>
      </c>
      <c r="F8" s="230"/>
      <c r="G8" s="230" t="s">
        <v>272</v>
      </c>
      <c r="H8" s="232"/>
      <c r="I8" s="230" t="s">
        <v>82</v>
      </c>
      <c r="J8" s="233" t="s">
        <v>2</v>
      </c>
      <c r="K8" s="122"/>
    </row>
    <row r="9" spans="1:173" s="99" customFormat="1" ht="16.5" thickBot="1">
      <c r="A9" s="234"/>
      <c r="B9" s="235"/>
      <c r="C9" s="236"/>
      <c r="D9" s="235"/>
      <c r="E9" s="237" t="s">
        <v>273</v>
      </c>
      <c r="F9" s="235" t="s">
        <v>80</v>
      </c>
      <c r="G9" s="235" t="s">
        <v>79</v>
      </c>
      <c r="H9" s="237" t="s">
        <v>81</v>
      </c>
      <c r="I9" s="235"/>
      <c r="J9" s="238"/>
      <c r="K9" s="122"/>
      <c r="L9" s="138">
        <f>[49]VAL.PRINC!I15</f>
        <v>0</v>
      </c>
    </row>
    <row r="10" spans="1:173" s="99" customFormat="1" ht="15.75">
      <c r="A10" s="357" t="s">
        <v>33</v>
      </c>
      <c r="B10" s="358" t="s">
        <v>311</v>
      </c>
      <c r="C10" s="239"/>
      <c r="D10" s="240"/>
      <c r="E10" s="241"/>
      <c r="F10" s="240"/>
      <c r="G10" s="240"/>
      <c r="H10" s="241"/>
      <c r="I10" s="240"/>
      <c r="J10" s="242"/>
      <c r="K10" s="122"/>
      <c r="L10" s="138"/>
    </row>
    <row r="11" spans="1:173" s="82" customFormat="1" ht="15.75" thickBot="1">
      <c r="A11" s="243" t="s">
        <v>35</v>
      </c>
      <c r="B11" s="244" t="s">
        <v>312</v>
      </c>
      <c r="C11" s="245" t="s">
        <v>41</v>
      </c>
      <c r="D11" s="245">
        <v>0.1</v>
      </c>
      <c r="E11" s="271"/>
      <c r="F11" s="245"/>
      <c r="G11" s="245"/>
      <c r="H11" s="271"/>
      <c r="I11" s="246">
        <f>PRODUCT(D11:H11)</f>
        <v>0.1</v>
      </c>
      <c r="J11" s="247">
        <f>I11</f>
        <v>0.1</v>
      </c>
      <c r="K11" s="123"/>
      <c r="L11" s="138">
        <f>[49]VAL.PRINC!I16</f>
        <v>0</v>
      </c>
      <c r="M11" s="81"/>
      <c r="N11" s="81"/>
      <c r="O11" s="81"/>
      <c r="P11" s="81"/>
      <c r="Q11" s="81"/>
      <c r="R11" s="81"/>
      <c r="S11" s="81"/>
      <c r="T11" s="81"/>
      <c r="U11" s="81"/>
      <c r="V11" s="81"/>
      <c r="W11" s="81"/>
      <c r="X11" s="81"/>
      <c r="Y11" s="81"/>
      <c r="Z11" s="81"/>
      <c r="AA11" s="81"/>
      <c r="AB11" s="81"/>
      <c r="AC11" s="81"/>
      <c r="AD11" s="81"/>
      <c r="AE11" s="81"/>
      <c r="AF11" s="81"/>
      <c r="AG11" s="81"/>
      <c r="AH11" s="81"/>
      <c r="AI11" s="81"/>
      <c r="AJ11" s="81"/>
      <c r="AK11" s="81"/>
      <c r="AL11" s="81"/>
      <c r="AM11" s="81"/>
      <c r="AN11" s="81"/>
      <c r="AO11" s="81"/>
      <c r="AP11" s="81"/>
      <c r="AQ11" s="81"/>
      <c r="AR11" s="81"/>
      <c r="AS11" s="81"/>
      <c r="AT11" s="81"/>
      <c r="AU11" s="81"/>
      <c r="AV11" s="81"/>
      <c r="AW11" s="81"/>
      <c r="AX11" s="81"/>
      <c r="AY11" s="81"/>
      <c r="AZ11" s="81"/>
      <c r="BA11" s="81"/>
      <c r="BB11" s="81"/>
      <c r="BC11" s="81"/>
      <c r="BD11" s="81"/>
      <c r="BE11" s="81"/>
      <c r="BF11" s="81"/>
      <c r="BG11" s="81"/>
      <c r="BH11" s="81"/>
      <c r="BI11" s="81"/>
      <c r="BJ11" s="81"/>
      <c r="BK11" s="81"/>
      <c r="BL11" s="81"/>
      <c r="BM11" s="81"/>
      <c r="BN11" s="81"/>
      <c r="BO11" s="81"/>
      <c r="BP11" s="81"/>
      <c r="BQ11" s="81"/>
      <c r="BR11" s="81"/>
      <c r="BS11" s="81"/>
      <c r="BT11" s="81"/>
      <c r="BU11" s="81"/>
      <c r="BV11" s="81"/>
      <c r="BW11" s="81"/>
      <c r="BX11" s="81"/>
      <c r="BY11" s="81"/>
      <c r="BZ11" s="81"/>
      <c r="CA11" s="81"/>
      <c r="CB11" s="81"/>
      <c r="CC11" s="81"/>
      <c r="CD11" s="81"/>
      <c r="CE11" s="81"/>
      <c r="CF11" s="81"/>
      <c r="CG11" s="81"/>
      <c r="CH11" s="81"/>
      <c r="CI11" s="81"/>
      <c r="CJ11" s="81"/>
      <c r="CK11" s="81"/>
      <c r="CL11" s="81"/>
      <c r="CM11" s="81"/>
      <c r="CN11" s="81"/>
      <c r="CO11" s="81"/>
      <c r="CP11" s="81"/>
      <c r="CQ11" s="81"/>
      <c r="CR11" s="81"/>
      <c r="CS11" s="81"/>
      <c r="CT11" s="81"/>
      <c r="CU11" s="81"/>
      <c r="CV11" s="81"/>
      <c r="CW11" s="81"/>
      <c r="CX11" s="81"/>
      <c r="CY11" s="81"/>
      <c r="CZ11" s="81"/>
      <c r="DA11" s="81"/>
      <c r="DB11" s="81"/>
      <c r="DC11" s="81"/>
      <c r="DD11" s="81"/>
      <c r="DE11" s="81"/>
      <c r="DF11" s="81"/>
      <c r="DG11" s="81"/>
      <c r="DH11" s="81"/>
      <c r="DI11" s="81"/>
      <c r="DJ11" s="81"/>
      <c r="DK11" s="81"/>
      <c r="DL11" s="81"/>
      <c r="DM11" s="81"/>
      <c r="DN11" s="81"/>
      <c r="DO11" s="81"/>
      <c r="DP11" s="81"/>
      <c r="DQ11" s="81"/>
      <c r="DR11" s="81"/>
      <c r="DS11" s="81"/>
      <c r="DT11" s="81"/>
      <c r="DU11" s="81"/>
      <c r="DV11" s="81"/>
      <c r="DW11" s="81"/>
      <c r="DX11" s="81"/>
      <c r="DY11" s="81"/>
      <c r="DZ11" s="81"/>
      <c r="EA11" s="81"/>
      <c r="EB11" s="81"/>
      <c r="EC11" s="81"/>
      <c r="ED11" s="81"/>
      <c r="EE11" s="81"/>
      <c r="EF11" s="81"/>
      <c r="EG11" s="81"/>
      <c r="EH11" s="81"/>
      <c r="EI11" s="81"/>
      <c r="EJ11" s="81"/>
      <c r="EK11" s="81"/>
      <c r="EL11" s="81"/>
      <c r="EM11" s="81"/>
      <c r="EN11" s="81"/>
      <c r="EO11" s="81"/>
      <c r="EP11" s="81"/>
      <c r="EQ11" s="81"/>
      <c r="ER11" s="81"/>
      <c r="ES11" s="81"/>
      <c r="ET11" s="81"/>
      <c r="EU11" s="81"/>
      <c r="EV11" s="81"/>
      <c r="EW11" s="81"/>
      <c r="EX11" s="81"/>
      <c r="EY11" s="81"/>
      <c r="EZ11" s="81"/>
      <c r="FA11" s="81"/>
      <c r="FB11" s="81"/>
      <c r="FC11" s="81"/>
      <c r="FD11" s="81"/>
      <c r="FE11" s="81"/>
      <c r="FF11" s="81"/>
      <c r="FG11" s="81"/>
      <c r="FH11" s="81"/>
      <c r="FI11" s="81"/>
      <c r="FJ11" s="81"/>
      <c r="FK11" s="81"/>
      <c r="FL11" s="81"/>
      <c r="FM11" s="81"/>
      <c r="FN11" s="81"/>
      <c r="FO11" s="81"/>
      <c r="FP11" s="81"/>
      <c r="FQ11" s="81"/>
    </row>
    <row r="12" spans="1:173" ht="15" hidden="1">
      <c r="A12" s="243" t="s">
        <v>39</v>
      </c>
      <c r="B12" s="244" t="s">
        <v>313</v>
      </c>
      <c r="C12" s="245" t="s">
        <v>314</v>
      </c>
      <c r="D12" s="245">
        <v>1</v>
      </c>
      <c r="E12" s="271"/>
      <c r="F12" s="245">
        <v>0.5</v>
      </c>
      <c r="G12" s="245"/>
      <c r="H12" s="271"/>
      <c r="I12" s="246">
        <f>+D12*F12</f>
        <v>0.5</v>
      </c>
      <c r="J12" s="247">
        <f>+I12+0</f>
        <v>0.5</v>
      </c>
      <c r="K12" s="124"/>
      <c r="L12" s="138">
        <f>[49]VAL.PRINC!I17</f>
        <v>0</v>
      </c>
    </row>
    <row r="13" spans="1:173" ht="15">
      <c r="A13" s="248" t="s">
        <v>42</v>
      </c>
      <c r="B13" s="359" t="s">
        <v>315</v>
      </c>
      <c r="C13" s="245"/>
      <c r="D13" s="249"/>
      <c r="E13" s="250"/>
      <c r="F13" s="249"/>
      <c r="G13" s="249"/>
      <c r="H13" s="250"/>
      <c r="I13" s="360"/>
      <c r="J13" s="247"/>
      <c r="K13" s="124"/>
      <c r="L13" s="138">
        <f>[49]VAL.PRINC!I18</f>
        <v>0</v>
      </c>
    </row>
    <row r="14" spans="1:173" ht="15">
      <c r="A14" s="248" t="s">
        <v>43</v>
      </c>
      <c r="B14" s="359" t="s">
        <v>34</v>
      </c>
      <c r="C14" s="245"/>
      <c r="D14" s="249"/>
      <c r="E14" s="250"/>
      <c r="F14" s="249"/>
      <c r="G14" s="249"/>
      <c r="H14" s="250"/>
      <c r="I14" s="360"/>
      <c r="J14" s="247"/>
      <c r="K14" s="124"/>
      <c r="L14" s="138">
        <f>[49]VAL.PRINC!I19</f>
        <v>0</v>
      </c>
    </row>
    <row r="15" spans="1:173" ht="15">
      <c r="A15" s="243" t="s">
        <v>53</v>
      </c>
      <c r="B15" s="244" t="s">
        <v>316</v>
      </c>
      <c r="C15" s="245" t="s">
        <v>314</v>
      </c>
      <c r="D15" s="245">
        <v>1</v>
      </c>
      <c r="E15" s="271"/>
      <c r="F15" s="271">
        <v>13113</v>
      </c>
      <c r="G15" s="245"/>
      <c r="H15" s="271"/>
      <c r="I15" s="246">
        <f>+F15/1000</f>
        <v>13.113</v>
      </c>
      <c r="J15" s="247">
        <f>+I15+0</f>
        <v>13.113</v>
      </c>
      <c r="K15" s="124"/>
      <c r="L15" s="138">
        <f>[49]VAL.PRINC!I20</f>
        <v>0</v>
      </c>
    </row>
    <row r="16" spans="1:173" s="99" customFormat="1" ht="15">
      <c r="A16" s="248" t="s">
        <v>44</v>
      </c>
      <c r="B16" s="251" t="s">
        <v>317</v>
      </c>
      <c r="C16" s="361"/>
      <c r="D16" s="362"/>
      <c r="E16" s="252"/>
      <c r="F16" s="252"/>
      <c r="G16" s="253"/>
      <c r="H16" s="271"/>
      <c r="I16" s="252"/>
      <c r="J16" s="254"/>
      <c r="K16" s="124"/>
      <c r="L16" s="138">
        <f>[49]VAL.PRINC!I21</f>
        <v>0</v>
      </c>
    </row>
    <row r="17" spans="1:12" s="99" customFormat="1" ht="15" hidden="1">
      <c r="A17" s="243" t="s">
        <v>54</v>
      </c>
      <c r="B17" s="255" t="s">
        <v>318</v>
      </c>
      <c r="C17" s="361" t="s">
        <v>58</v>
      </c>
      <c r="D17" s="363" t="s">
        <v>274</v>
      </c>
      <c r="E17" s="252"/>
      <c r="F17" s="252"/>
      <c r="G17" s="253"/>
      <c r="H17" s="271"/>
      <c r="I17" s="252">
        <v>149325.91016447352</v>
      </c>
      <c r="J17" s="254">
        <f>I17</f>
        <v>149325.91016447352</v>
      </c>
      <c r="K17" s="125"/>
      <c r="L17" s="138">
        <f>[49]VAL.PRINC!I22</f>
        <v>0</v>
      </c>
    </row>
    <row r="18" spans="1:12" s="99" customFormat="1" ht="15" hidden="1">
      <c r="A18" s="243" t="s">
        <v>55</v>
      </c>
      <c r="B18" s="255" t="s">
        <v>319</v>
      </c>
      <c r="C18" s="361" t="s">
        <v>58</v>
      </c>
      <c r="D18" s="363" t="s">
        <v>274</v>
      </c>
      <c r="E18" s="252"/>
      <c r="F18" s="252"/>
      <c r="G18" s="253"/>
      <c r="H18" s="271"/>
      <c r="I18" s="252">
        <v>31607.950181052624</v>
      </c>
      <c r="J18" s="254">
        <f>I18</f>
        <v>31607.950181052624</v>
      </c>
      <c r="K18" s="125"/>
      <c r="L18" s="138">
        <f>[49]VAL.PRINC!I23</f>
        <v>0</v>
      </c>
    </row>
    <row r="19" spans="1:12" s="99" customFormat="1" ht="15" hidden="1">
      <c r="A19" s="243" t="s">
        <v>320</v>
      </c>
      <c r="B19" s="255" t="s">
        <v>321</v>
      </c>
      <c r="C19" s="361" t="s">
        <v>58</v>
      </c>
      <c r="D19" s="363" t="s">
        <v>274</v>
      </c>
      <c r="E19" s="252"/>
      <c r="F19" s="252"/>
      <c r="G19" s="253"/>
      <c r="H19" s="271"/>
      <c r="I19" s="252">
        <v>24567.562276315799</v>
      </c>
      <c r="J19" s="254">
        <f>I19</f>
        <v>24567.562276315799</v>
      </c>
      <c r="K19" s="125"/>
      <c r="L19" s="138">
        <f>[49]VAL.PRINC!I24</f>
        <v>0</v>
      </c>
    </row>
    <row r="20" spans="1:12" s="84" customFormat="1" ht="15" hidden="1">
      <c r="A20" s="243" t="s">
        <v>275</v>
      </c>
      <c r="B20" s="255" t="s">
        <v>119</v>
      </c>
      <c r="C20" s="361" t="s">
        <v>58</v>
      </c>
      <c r="D20" s="363" t="s">
        <v>274</v>
      </c>
      <c r="E20" s="252"/>
      <c r="F20" s="252"/>
      <c r="G20" s="253"/>
      <c r="H20" s="271"/>
      <c r="I20" s="252">
        <v>228.77620000000002</v>
      </c>
      <c r="J20" s="254">
        <f>I20</f>
        <v>228.77620000000002</v>
      </c>
      <c r="K20" s="125"/>
      <c r="L20" s="138">
        <f>[49]VAL.PRINC!I25</f>
        <v>0</v>
      </c>
    </row>
    <row r="21" spans="1:12" s="85" customFormat="1" ht="15" hidden="1">
      <c r="A21" s="243" t="s">
        <v>322</v>
      </c>
      <c r="B21" s="255" t="s">
        <v>323</v>
      </c>
      <c r="C21" s="256" t="s">
        <v>276</v>
      </c>
      <c r="D21" s="363" t="s">
        <v>274</v>
      </c>
      <c r="E21" s="252"/>
      <c r="F21" s="252"/>
      <c r="G21" s="271"/>
      <c r="H21" s="271"/>
      <c r="I21" s="252">
        <v>44389.869999999995</v>
      </c>
      <c r="J21" s="254">
        <f>+I21</f>
        <v>44389.869999999995</v>
      </c>
      <c r="K21" s="125"/>
      <c r="L21" s="138">
        <f>[49]VAL.PRINC!I26</f>
        <v>0</v>
      </c>
    </row>
    <row r="22" spans="1:12" s="87" customFormat="1" ht="15" hidden="1">
      <c r="A22" s="248" t="s">
        <v>52</v>
      </c>
      <c r="B22" s="251" t="s">
        <v>249</v>
      </c>
      <c r="C22" s="256"/>
      <c r="D22" s="363"/>
      <c r="E22" s="252"/>
      <c r="F22" s="252"/>
      <c r="G22" s="271"/>
      <c r="H22" s="271"/>
      <c r="I22" s="252"/>
      <c r="J22" s="254"/>
      <c r="K22" s="125"/>
      <c r="L22" s="138">
        <f>[49]VAL.PRINC!I27</f>
        <v>0</v>
      </c>
    </row>
    <row r="23" spans="1:12" s="87" customFormat="1" ht="15" hidden="1">
      <c r="A23" s="243" t="s">
        <v>56</v>
      </c>
      <c r="B23" s="255" t="s">
        <v>324</v>
      </c>
      <c r="C23" s="361" t="s">
        <v>58</v>
      </c>
      <c r="D23" s="363" t="s">
        <v>274</v>
      </c>
      <c r="E23" s="252"/>
      <c r="F23" s="252"/>
      <c r="G23" s="253"/>
      <c r="H23" s="271"/>
      <c r="I23" s="252">
        <v>115495.85</v>
      </c>
      <c r="J23" s="254">
        <f>I23</f>
        <v>115495.85</v>
      </c>
      <c r="K23" s="123"/>
      <c r="L23" s="138">
        <f>[49]VAL.PRINC!I28</f>
        <v>0</v>
      </c>
    </row>
    <row r="24" spans="1:12" ht="15" hidden="1">
      <c r="A24" s="243" t="s">
        <v>57</v>
      </c>
      <c r="B24" s="255" t="s">
        <v>325</v>
      </c>
      <c r="C24" s="361" t="s">
        <v>58</v>
      </c>
      <c r="D24" s="363" t="s">
        <v>274</v>
      </c>
      <c r="E24" s="252"/>
      <c r="F24" s="252"/>
      <c r="G24" s="253"/>
      <c r="H24" s="271"/>
      <c r="I24" s="252">
        <v>13323.83</v>
      </c>
      <c r="J24" s="254">
        <f>I24</f>
        <v>13323.83</v>
      </c>
      <c r="K24" s="123"/>
      <c r="L24" s="138">
        <f>[49]VAL.PRINC!I29</f>
        <v>0</v>
      </c>
    </row>
    <row r="25" spans="1:12" s="84" customFormat="1" ht="15">
      <c r="A25" s="248" t="s">
        <v>45</v>
      </c>
      <c r="B25" s="251" t="s">
        <v>326</v>
      </c>
      <c r="C25" s="256"/>
      <c r="D25" s="252"/>
      <c r="E25" s="364"/>
      <c r="F25" s="252"/>
      <c r="G25" s="257"/>
      <c r="H25" s="257"/>
      <c r="I25" s="252"/>
      <c r="J25" s="254"/>
      <c r="K25" s="123"/>
      <c r="L25" s="138">
        <f>[49]VAL.PRINC!I30</f>
        <v>0</v>
      </c>
    </row>
    <row r="26" spans="1:12" ht="15">
      <c r="A26" s="248" t="s">
        <v>47</v>
      </c>
      <c r="B26" s="251" t="s">
        <v>327</v>
      </c>
      <c r="C26" s="256"/>
      <c r="D26" s="252"/>
      <c r="E26" s="364"/>
      <c r="F26" s="252"/>
      <c r="G26" s="257"/>
      <c r="H26" s="257"/>
      <c r="I26" s="252"/>
      <c r="J26" s="254"/>
      <c r="K26" s="123"/>
      <c r="L26" s="138">
        <f>[49]VAL.PRINC!I31</f>
        <v>24.0306</v>
      </c>
    </row>
    <row r="27" spans="1:12" ht="15">
      <c r="A27" s="243" t="s">
        <v>49</v>
      </c>
      <c r="B27" s="255" t="s">
        <v>121</v>
      </c>
      <c r="C27" s="256" t="s">
        <v>276</v>
      </c>
      <c r="D27" s="252"/>
      <c r="E27" s="364"/>
      <c r="F27" s="252"/>
      <c r="G27" s="257"/>
      <c r="H27" s="257"/>
      <c r="I27" s="252"/>
      <c r="J27" s="254">
        <f>SUM(I28:I31)</f>
        <v>62.176499999999997</v>
      </c>
      <c r="K27" s="123"/>
      <c r="L27" s="138"/>
    </row>
    <row r="28" spans="1:12" ht="15">
      <c r="A28" s="243"/>
      <c r="B28" s="255"/>
      <c r="C28" s="256"/>
      <c r="D28" s="252">
        <v>5</v>
      </c>
      <c r="E28" s="364">
        <v>1</v>
      </c>
      <c r="F28" s="252">
        <v>4.2</v>
      </c>
      <c r="G28" s="257">
        <v>1.4</v>
      </c>
      <c r="H28" s="257"/>
      <c r="I28" s="252">
        <f>+G28*F28*E28*D28</f>
        <v>29.4</v>
      </c>
      <c r="J28" s="254"/>
      <c r="K28" s="123"/>
      <c r="L28" s="138"/>
    </row>
    <row r="29" spans="1:12" ht="15">
      <c r="A29" s="243"/>
      <c r="B29" s="255" t="s">
        <v>328</v>
      </c>
      <c r="C29" s="256"/>
      <c r="D29" s="252">
        <v>5</v>
      </c>
      <c r="E29" s="364">
        <v>1</v>
      </c>
      <c r="F29" s="252">
        <v>1.21</v>
      </c>
      <c r="G29" s="257">
        <v>2.93</v>
      </c>
      <c r="H29" s="257"/>
      <c r="I29" s="252">
        <f>+G29*F29*E29*D29</f>
        <v>17.726500000000001</v>
      </c>
      <c r="J29" s="254"/>
      <c r="K29" s="123"/>
      <c r="L29" s="138">
        <f>[49]VAL.PRINC!I32</f>
        <v>12.784000000000001</v>
      </c>
    </row>
    <row r="30" spans="1:12" ht="15">
      <c r="A30" s="243"/>
      <c r="B30" s="255" t="s">
        <v>329</v>
      </c>
      <c r="C30" s="256"/>
      <c r="D30" s="252">
        <v>5</v>
      </c>
      <c r="E30" s="364">
        <v>1</v>
      </c>
      <c r="F30" s="252">
        <v>2.11</v>
      </c>
      <c r="G30" s="257">
        <v>1</v>
      </c>
      <c r="H30" s="257"/>
      <c r="I30" s="252">
        <f>+G30*F30*E30*D30</f>
        <v>10.549999999999999</v>
      </c>
      <c r="J30" s="254"/>
      <c r="K30" s="123"/>
      <c r="L30" s="138"/>
    </row>
    <row r="31" spans="1:12" ht="15">
      <c r="A31" s="243"/>
      <c r="B31" s="255" t="s">
        <v>330</v>
      </c>
      <c r="C31" s="256"/>
      <c r="D31" s="252">
        <v>5</v>
      </c>
      <c r="E31" s="364">
        <v>1</v>
      </c>
      <c r="F31" s="252">
        <v>0.9</v>
      </c>
      <c r="G31" s="257">
        <v>1</v>
      </c>
      <c r="H31" s="257"/>
      <c r="I31" s="252">
        <f>+G31*F31*E31*D31</f>
        <v>4.5</v>
      </c>
      <c r="J31" s="254"/>
      <c r="K31" s="123"/>
      <c r="L31" s="138"/>
    </row>
    <row r="32" spans="1:12" ht="15">
      <c r="A32" s="243" t="s">
        <v>50</v>
      </c>
      <c r="B32" s="255" t="s">
        <v>331</v>
      </c>
      <c r="C32" s="256" t="s">
        <v>58</v>
      </c>
      <c r="D32" s="252"/>
      <c r="E32" s="364"/>
      <c r="F32" s="252"/>
      <c r="G32" s="257"/>
      <c r="H32" s="257"/>
      <c r="I32" s="252"/>
      <c r="J32" s="254">
        <f>SUM(I33:I36)</f>
        <v>54.160000000000011</v>
      </c>
      <c r="K32" s="123"/>
      <c r="L32" s="138"/>
    </row>
    <row r="33" spans="1:12" ht="15">
      <c r="A33" s="243"/>
      <c r="B33" s="255" t="s">
        <v>332</v>
      </c>
      <c r="C33" s="256"/>
      <c r="D33" s="252">
        <v>8</v>
      </c>
      <c r="E33" s="365">
        <v>1</v>
      </c>
      <c r="F33" s="258">
        <v>4.2</v>
      </c>
      <c r="G33" s="259">
        <v>1.4</v>
      </c>
      <c r="H33" s="259">
        <v>0.9</v>
      </c>
      <c r="I33" s="258">
        <f>+H33*G33*F33*E33*D33</f>
        <v>42.336000000000006</v>
      </c>
      <c r="J33" s="254"/>
      <c r="K33" s="123"/>
      <c r="L33" s="138"/>
    </row>
    <row r="34" spans="1:12" s="84" customFormat="1" ht="15">
      <c r="A34" s="243"/>
      <c r="B34" s="255" t="s">
        <v>333</v>
      </c>
      <c r="C34" s="256"/>
      <c r="D34" s="252">
        <v>8</v>
      </c>
      <c r="E34" s="365">
        <v>1</v>
      </c>
      <c r="F34" s="258" t="s">
        <v>334</v>
      </c>
      <c r="G34" s="259">
        <v>0.53</v>
      </c>
      <c r="H34" s="259">
        <v>0.8</v>
      </c>
      <c r="I34" s="258">
        <f>+H34*G34*E34*D34</f>
        <v>3.3920000000000003</v>
      </c>
      <c r="J34" s="254"/>
      <c r="K34" s="123"/>
      <c r="L34" s="138">
        <f>[49]VAL.PRINC!I33</f>
        <v>9.1212800000000005</v>
      </c>
    </row>
    <row r="35" spans="1:12" s="84" customFormat="1" ht="15">
      <c r="A35" s="243"/>
      <c r="B35" s="255" t="s">
        <v>335</v>
      </c>
      <c r="C35" s="256"/>
      <c r="D35" s="252">
        <v>8</v>
      </c>
      <c r="E35" s="365">
        <v>1</v>
      </c>
      <c r="F35" s="258" t="s">
        <v>334</v>
      </c>
      <c r="G35" s="259">
        <v>0.53</v>
      </c>
      <c r="H35" s="259">
        <v>0.8</v>
      </c>
      <c r="I35" s="258">
        <f>+H35*G35*E35*D35</f>
        <v>3.3920000000000003</v>
      </c>
      <c r="J35" s="254"/>
      <c r="K35" s="123"/>
      <c r="L35" s="138"/>
    </row>
    <row r="36" spans="1:12" s="84" customFormat="1" ht="15">
      <c r="A36" s="243"/>
      <c r="B36" s="255" t="s">
        <v>336</v>
      </c>
      <c r="C36" s="256"/>
      <c r="D36" s="252">
        <v>8</v>
      </c>
      <c r="E36" s="365">
        <v>1</v>
      </c>
      <c r="F36" s="258">
        <v>0.9</v>
      </c>
      <c r="G36" s="259">
        <v>1</v>
      </c>
      <c r="H36" s="259">
        <v>0.7</v>
      </c>
      <c r="I36" s="258">
        <f>+H36*G36*F36*E36*D36</f>
        <v>5.04</v>
      </c>
      <c r="J36" s="254"/>
      <c r="K36" s="123"/>
      <c r="L36" s="138"/>
    </row>
    <row r="37" spans="1:12" s="84" customFormat="1" ht="15">
      <c r="A37" s="243" t="s">
        <v>51</v>
      </c>
      <c r="B37" s="255" t="s">
        <v>337</v>
      </c>
      <c r="C37" s="256" t="s">
        <v>58</v>
      </c>
      <c r="D37" s="252"/>
      <c r="E37" s="365"/>
      <c r="F37" s="258"/>
      <c r="G37" s="259"/>
      <c r="H37" s="259"/>
      <c r="I37" s="258"/>
      <c r="J37" s="254">
        <f>SUM(I38:I45)</f>
        <v>31.721940000000004</v>
      </c>
      <c r="K37" s="123"/>
      <c r="L37" s="138"/>
    </row>
    <row r="38" spans="1:12" s="84" customFormat="1" ht="15">
      <c r="A38" s="243"/>
      <c r="B38" s="255" t="s">
        <v>338</v>
      </c>
      <c r="C38" s="256"/>
      <c r="D38" s="252">
        <v>5</v>
      </c>
      <c r="E38" s="365">
        <v>2</v>
      </c>
      <c r="F38" s="258">
        <v>1.34</v>
      </c>
      <c r="G38" s="259">
        <v>0.46</v>
      </c>
      <c r="H38" s="259">
        <v>0.41</v>
      </c>
      <c r="I38" s="258">
        <f>+H38*G38*F38*E38*D38</f>
        <v>2.5272399999999999</v>
      </c>
      <c r="J38" s="254"/>
      <c r="K38" s="123"/>
      <c r="L38" s="138"/>
    </row>
    <row r="39" spans="1:12" s="84" customFormat="1" ht="15">
      <c r="A39" s="243"/>
      <c r="B39" s="255" t="s">
        <v>339</v>
      </c>
      <c r="C39" s="256"/>
      <c r="D39" s="252">
        <v>5</v>
      </c>
      <c r="E39" s="365">
        <v>2</v>
      </c>
      <c r="F39" s="258">
        <v>1.21</v>
      </c>
      <c r="G39" s="259">
        <v>0.46</v>
      </c>
      <c r="H39" s="259">
        <v>0.45</v>
      </c>
      <c r="I39" s="258">
        <f>+H39*G39*F39*E39*D39</f>
        <v>2.5047000000000001</v>
      </c>
      <c r="J39" s="254"/>
      <c r="K39" s="123"/>
      <c r="L39" s="138"/>
    </row>
    <row r="40" spans="1:12" s="84" customFormat="1" ht="15">
      <c r="A40" s="243"/>
      <c r="B40" s="255" t="s">
        <v>340</v>
      </c>
      <c r="C40" s="256"/>
      <c r="D40" s="252">
        <v>5</v>
      </c>
      <c r="E40" s="365">
        <v>1</v>
      </c>
      <c r="F40" s="258" t="s">
        <v>334</v>
      </c>
      <c r="G40" s="259">
        <v>0.53</v>
      </c>
      <c r="H40" s="259">
        <v>0.2</v>
      </c>
      <c r="I40" s="258">
        <f>+H40*G40*E40*D40</f>
        <v>0.53</v>
      </c>
      <c r="J40" s="254"/>
      <c r="K40" s="123"/>
      <c r="L40" s="138">
        <f>[49]VAL.PRINC!I34</f>
        <v>385.34240000000005</v>
      </c>
    </row>
    <row r="41" spans="1:12" s="84" customFormat="1" ht="15">
      <c r="A41" s="243"/>
      <c r="B41" s="255" t="s">
        <v>341</v>
      </c>
      <c r="C41" s="256"/>
      <c r="D41" s="252">
        <v>5</v>
      </c>
      <c r="E41" s="365">
        <v>1</v>
      </c>
      <c r="F41" s="258" t="s">
        <v>334</v>
      </c>
      <c r="G41" s="259">
        <v>0.53</v>
      </c>
      <c r="H41" s="259">
        <v>0.2</v>
      </c>
      <c r="I41" s="258">
        <f>+H41*G41*E41*D41</f>
        <v>0.53</v>
      </c>
      <c r="J41" s="254"/>
      <c r="K41" s="123"/>
      <c r="L41" s="138"/>
    </row>
    <row r="42" spans="1:12" s="84" customFormat="1" ht="15">
      <c r="A42" s="243"/>
      <c r="B42" s="255" t="s">
        <v>342</v>
      </c>
      <c r="C42" s="256"/>
      <c r="D42" s="252">
        <v>5</v>
      </c>
      <c r="E42" s="365">
        <v>1</v>
      </c>
      <c r="F42" s="258">
        <v>4.5</v>
      </c>
      <c r="G42" s="259">
        <v>1.4</v>
      </c>
      <c r="H42" s="259">
        <v>0.2</v>
      </c>
      <c r="I42" s="258">
        <f>+H42*G42*F42*E42*D42</f>
        <v>6.2999999999999989</v>
      </c>
      <c r="J42" s="254"/>
      <c r="K42" s="123"/>
      <c r="L42" s="138"/>
    </row>
    <row r="43" spans="1:12" s="84" customFormat="1" ht="15">
      <c r="A43" s="243"/>
      <c r="B43" s="255" t="s">
        <v>343</v>
      </c>
      <c r="C43" s="256"/>
      <c r="D43" s="252">
        <v>5</v>
      </c>
      <c r="E43" s="365">
        <v>2</v>
      </c>
      <c r="F43" s="258">
        <v>4.5</v>
      </c>
      <c r="G43" s="259">
        <v>0.3</v>
      </c>
      <c r="H43" s="259">
        <v>0.8</v>
      </c>
      <c r="I43" s="258">
        <f>+H43*G43*F43*E43*D43</f>
        <v>10.8</v>
      </c>
      <c r="J43" s="254"/>
      <c r="K43" s="123"/>
      <c r="L43" s="138"/>
    </row>
    <row r="44" spans="1:12" ht="15">
      <c r="A44" s="243"/>
      <c r="B44" s="255" t="s">
        <v>344</v>
      </c>
      <c r="C44" s="256"/>
      <c r="D44" s="252">
        <v>5</v>
      </c>
      <c r="E44" s="365">
        <v>1</v>
      </c>
      <c r="F44" s="258">
        <v>1</v>
      </c>
      <c r="G44" s="259">
        <v>0.9</v>
      </c>
      <c r="H44" s="259">
        <v>0.9</v>
      </c>
      <c r="I44" s="258">
        <f>+H44*G44*F44*E44*D44</f>
        <v>4.0500000000000007</v>
      </c>
      <c r="J44" s="254"/>
      <c r="K44" s="123"/>
      <c r="L44" s="138">
        <f>[49]VAL.PRINC!I35</f>
        <v>7.8</v>
      </c>
    </row>
    <row r="45" spans="1:12" ht="15">
      <c r="A45" s="243"/>
      <c r="B45" s="255" t="s">
        <v>345</v>
      </c>
      <c r="C45" s="256"/>
      <c r="D45" s="252">
        <v>5</v>
      </c>
      <c r="E45" s="365">
        <v>2</v>
      </c>
      <c r="F45" s="258">
        <v>2.8</v>
      </c>
      <c r="G45" s="259">
        <v>0.2</v>
      </c>
      <c r="H45" s="259">
        <v>0.8</v>
      </c>
      <c r="I45" s="258">
        <f>+H45*G45*F45*E45*D45</f>
        <v>4.4800000000000004</v>
      </c>
      <c r="J45" s="254"/>
      <c r="K45" s="123"/>
      <c r="L45" s="138"/>
    </row>
    <row r="46" spans="1:12" ht="15">
      <c r="A46" s="243" t="s">
        <v>277</v>
      </c>
      <c r="B46" s="255" t="s">
        <v>346</v>
      </c>
      <c r="C46" s="256" t="s">
        <v>278</v>
      </c>
      <c r="D46" s="252"/>
      <c r="E46" s="364"/>
      <c r="F46" s="252"/>
      <c r="G46" s="260"/>
      <c r="H46" s="257"/>
      <c r="I46" s="252"/>
      <c r="J46" s="254">
        <f>+I47*D47</f>
        <v>2895</v>
      </c>
      <c r="K46" s="123"/>
      <c r="L46" s="138"/>
    </row>
    <row r="47" spans="1:12" ht="15">
      <c r="A47" s="243"/>
      <c r="B47" s="255"/>
      <c r="C47" s="256"/>
      <c r="D47" s="252">
        <v>15</v>
      </c>
      <c r="E47" s="364"/>
      <c r="F47" s="2921" t="s">
        <v>347</v>
      </c>
      <c r="G47" s="2921"/>
      <c r="H47" s="2921"/>
      <c r="I47" s="246">
        <v>193</v>
      </c>
      <c r="J47" s="254"/>
      <c r="K47" s="123"/>
      <c r="L47" s="138"/>
    </row>
    <row r="48" spans="1:12" s="99" customFormat="1" ht="15">
      <c r="A48" s="243" t="s">
        <v>279</v>
      </c>
      <c r="B48" s="255" t="s">
        <v>126</v>
      </c>
      <c r="C48" s="256" t="s">
        <v>276</v>
      </c>
      <c r="D48" s="252"/>
      <c r="E48" s="364"/>
      <c r="F48" s="252"/>
      <c r="G48" s="257"/>
      <c r="H48" s="257"/>
      <c r="I48" s="252"/>
      <c r="J48" s="254">
        <f>+I49</f>
        <v>16</v>
      </c>
      <c r="K48" s="123"/>
      <c r="L48" s="138">
        <f>[49]VAL.PRINC!I36</f>
        <v>2.1840000000000002</v>
      </c>
    </row>
    <row r="49" spans="1:13" s="99" customFormat="1" ht="15">
      <c r="A49" s="243"/>
      <c r="B49" s="255" t="s">
        <v>348</v>
      </c>
      <c r="C49" s="256"/>
      <c r="D49" s="252">
        <v>4</v>
      </c>
      <c r="E49" s="365">
        <v>2</v>
      </c>
      <c r="F49" s="258">
        <v>4</v>
      </c>
      <c r="G49" s="259"/>
      <c r="H49" s="259">
        <v>0.5</v>
      </c>
      <c r="I49" s="258">
        <f>E49*F49*H49*D49</f>
        <v>16</v>
      </c>
      <c r="J49" s="254"/>
      <c r="K49" s="123"/>
      <c r="L49" s="138"/>
    </row>
    <row r="50" spans="1:13" s="99" customFormat="1" ht="15">
      <c r="A50" s="243" t="s">
        <v>280</v>
      </c>
      <c r="B50" s="255" t="s">
        <v>349</v>
      </c>
      <c r="C50" s="256" t="s">
        <v>58</v>
      </c>
      <c r="D50" s="252"/>
      <c r="E50" s="365"/>
      <c r="F50" s="258"/>
      <c r="G50" s="259"/>
      <c r="H50" s="259"/>
      <c r="I50" s="258"/>
      <c r="J50" s="254">
        <f>SUM(I51)</f>
        <v>4.4799999999999995</v>
      </c>
      <c r="K50" s="123"/>
      <c r="L50" s="138"/>
    </row>
    <row r="51" spans="1:13" s="99" customFormat="1" ht="15">
      <c r="A51" s="261"/>
      <c r="B51" s="255" t="s">
        <v>350</v>
      </c>
      <c r="C51" s="256"/>
      <c r="D51" s="252">
        <v>4</v>
      </c>
      <c r="E51" s="365">
        <v>1</v>
      </c>
      <c r="F51" s="258">
        <v>4</v>
      </c>
      <c r="G51" s="259">
        <v>1.4</v>
      </c>
      <c r="H51" s="259">
        <v>0.2</v>
      </c>
      <c r="I51" s="258">
        <f>+H51*G51*F51*E51*D51</f>
        <v>4.4799999999999995</v>
      </c>
      <c r="J51" s="254"/>
      <c r="K51" s="123"/>
      <c r="L51" s="138"/>
    </row>
    <row r="52" spans="1:13" s="99" customFormat="1" ht="15">
      <c r="A52" s="243" t="s">
        <v>281</v>
      </c>
      <c r="B52" s="255" t="s">
        <v>351</v>
      </c>
      <c r="C52" s="256" t="s">
        <v>58</v>
      </c>
      <c r="D52" s="252"/>
      <c r="E52" s="365"/>
      <c r="F52" s="258"/>
      <c r="G52" s="259"/>
      <c r="H52" s="259"/>
      <c r="I52" s="258"/>
      <c r="J52" s="254">
        <f>SUM(I53:I55)</f>
        <v>4.1375999999999999</v>
      </c>
      <c r="K52" s="123"/>
      <c r="L52" s="138"/>
    </row>
    <row r="53" spans="1:13" s="80" customFormat="1" ht="15">
      <c r="A53" s="243"/>
      <c r="B53" s="255" t="s">
        <v>352</v>
      </c>
      <c r="C53" s="256"/>
      <c r="D53" s="252">
        <v>4</v>
      </c>
      <c r="E53" s="365">
        <v>2</v>
      </c>
      <c r="F53" s="258">
        <v>1.21</v>
      </c>
      <c r="G53" s="259">
        <v>0.2</v>
      </c>
      <c r="H53" s="259">
        <v>0.6</v>
      </c>
      <c r="I53" s="258">
        <f>+H53*G53*F53*E53*D53</f>
        <v>1.1616</v>
      </c>
      <c r="J53" s="254"/>
      <c r="K53" s="123"/>
      <c r="L53" s="138">
        <f>[49]VAL.PRINC!I37</f>
        <v>1.9296</v>
      </c>
    </row>
    <row r="54" spans="1:13" s="80" customFormat="1" ht="15">
      <c r="A54" s="243"/>
      <c r="B54" s="255" t="s">
        <v>353</v>
      </c>
      <c r="C54" s="256"/>
      <c r="D54" s="252">
        <v>4</v>
      </c>
      <c r="E54" s="365">
        <v>2</v>
      </c>
      <c r="F54" s="258">
        <v>1</v>
      </c>
      <c r="G54" s="259">
        <v>0.2</v>
      </c>
      <c r="H54" s="259">
        <v>0.6</v>
      </c>
      <c r="I54" s="258">
        <f>+H54*G54*F54*E54*D54</f>
        <v>0.96</v>
      </c>
      <c r="J54" s="254"/>
      <c r="K54" s="123"/>
      <c r="L54" s="138"/>
    </row>
    <row r="55" spans="1:13" s="80" customFormat="1" ht="15">
      <c r="A55" s="243"/>
      <c r="B55" s="255" t="s">
        <v>354</v>
      </c>
      <c r="C55" s="256"/>
      <c r="D55" s="252">
        <v>4</v>
      </c>
      <c r="E55" s="365">
        <v>2</v>
      </c>
      <c r="F55" s="258">
        <v>1.8</v>
      </c>
      <c r="G55" s="259">
        <v>0.2</v>
      </c>
      <c r="H55" s="259">
        <v>0.7</v>
      </c>
      <c r="I55" s="258">
        <f>+H55*G55*F55*E55*D55</f>
        <v>2.016</v>
      </c>
      <c r="J55" s="254"/>
      <c r="K55" s="123"/>
      <c r="L55" s="138"/>
    </row>
    <row r="56" spans="1:13" s="80" customFormat="1" ht="15">
      <c r="A56" s="243" t="s">
        <v>282</v>
      </c>
      <c r="B56" s="255" t="s">
        <v>355</v>
      </c>
      <c r="C56" s="256" t="s">
        <v>58</v>
      </c>
      <c r="D56" s="252"/>
      <c r="E56" s="365"/>
      <c r="F56" s="258"/>
      <c r="G56" s="259"/>
      <c r="H56" s="259"/>
      <c r="I56" s="258"/>
      <c r="J56" s="254">
        <f>SUM(I57:I60)</f>
        <v>0</v>
      </c>
      <c r="K56" s="123"/>
      <c r="L56" s="138"/>
    </row>
    <row r="57" spans="1:13" s="80" customFormat="1" ht="15">
      <c r="A57" s="243"/>
      <c r="B57" s="255" t="s">
        <v>348</v>
      </c>
      <c r="C57" s="256"/>
      <c r="D57" s="252">
        <v>4</v>
      </c>
      <c r="E57" s="365">
        <v>0</v>
      </c>
      <c r="F57" s="258">
        <v>3.9</v>
      </c>
      <c r="G57" s="259">
        <v>0.15</v>
      </c>
      <c r="H57" s="259">
        <v>0.8</v>
      </c>
      <c r="I57" s="258">
        <f>+H57*G57*F57*E57*D57</f>
        <v>0</v>
      </c>
      <c r="J57" s="254"/>
      <c r="K57" s="123"/>
      <c r="L57" s="138">
        <f>[49]VAL.PRINC!I38</f>
        <v>3.3521999999999998</v>
      </c>
      <c r="M57" s="86"/>
    </row>
    <row r="58" spans="1:13" s="80" customFormat="1" ht="15">
      <c r="A58" s="243"/>
      <c r="B58" s="255" t="s">
        <v>356</v>
      </c>
      <c r="C58" s="256"/>
      <c r="D58" s="252">
        <v>4</v>
      </c>
      <c r="E58" s="365">
        <v>0</v>
      </c>
      <c r="F58" s="258">
        <v>1.21</v>
      </c>
      <c r="G58" s="259">
        <v>0.15</v>
      </c>
      <c r="H58" s="259">
        <v>0.7</v>
      </c>
      <c r="I58" s="258">
        <f>+H58*G58*F58*E58*D58</f>
        <v>0</v>
      </c>
      <c r="J58" s="254"/>
      <c r="K58" s="123"/>
      <c r="L58" s="138"/>
      <c r="M58" s="86"/>
    </row>
    <row r="59" spans="1:13" s="80" customFormat="1" ht="15">
      <c r="A59" s="243"/>
      <c r="B59" s="255" t="s">
        <v>357</v>
      </c>
      <c r="C59" s="256"/>
      <c r="D59" s="252">
        <v>4</v>
      </c>
      <c r="E59" s="365">
        <v>0</v>
      </c>
      <c r="F59" s="258">
        <v>1</v>
      </c>
      <c r="G59" s="259">
        <v>0.15</v>
      </c>
      <c r="H59" s="259">
        <v>0.7</v>
      </c>
      <c r="I59" s="258">
        <f>+H59*G59*F59*E59*D59</f>
        <v>0</v>
      </c>
      <c r="J59" s="254"/>
      <c r="K59" s="123"/>
      <c r="L59" s="138"/>
      <c r="M59" s="86"/>
    </row>
    <row r="60" spans="1:13" s="80" customFormat="1" ht="15">
      <c r="A60" s="243"/>
      <c r="B60" s="255" t="s">
        <v>358</v>
      </c>
      <c r="C60" s="256"/>
      <c r="D60" s="252">
        <v>4</v>
      </c>
      <c r="E60" s="365">
        <v>0</v>
      </c>
      <c r="F60" s="258">
        <v>2.2999999999999998</v>
      </c>
      <c r="G60" s="259">
        <v>0.15</v>
      </c>
      <c r="H60" s="259">
        <v>0.8</v>
      </c>
      <c r="I60" s="258">
        <f>+H60*G60*F60*E60*D60</f>
        <v>0</v>
      </c>
      <c r="J60" s="254"/>
      <c r="K60" s="123"/>
      <c r="L60" s="138"/>
      <c r="M60" s="86"/>
    </row>
    <row r="61" spans="1:13" s="80" customFormat="1" ht="15.75">
      <c r="A61" s="145"/>
      <c r="B61" s="150"/>
      <c r="C61" s="156"/>
      <c r="D61" s="96"/>
      <c r="E61" s="89"/>
      <c r="F61" s="89"/>
      <c r="G61" s="89"/>
      <c r="H61" s="92"/>
      <c r="I61" s="114"/>
      <c r="J61" s="117"/>
      <c r="K61" s="123"/>
      <c r="L61" s="138"/>
      <c r="M61" s="86"/>
    </row>
    <row r="62" spans="1:13" s="80" customFormat="1" ht="15.75" hidden="1">
      <c r="A62" s="147" t="s">
        <v>104</v>
      </c>
      <c r="B62" s="151" t="s">
        <v>124</v>
      </c>
      <c r="C62" s="157"/>
      <c r="D62" s="96"/>
      <c r="E62" s="89"/>
      <c r="F62" s="89"/>
      <c r="G62" s="89"/>
      <c r="H62" s="92"/>
      <c r="I62" s="114">
        <f t="shared" ref="I62:I125" si="0">PRODUCT(D62:H62)</f>
        <v>0</v>
      </c>
      <c r="J62" s="117"/>
      <c r="K62" s="123"/>
      <c r="L62" s="138">
        <f>[49]VAL.PRINC!I39</f>
        <v>0</v>
      </c>
      <c r="M62" s="86"/>
    </row>
    <row r="63" spans="1:13" s="80" customFormat="1" ht="15" hidden="1">
      <c r="A63" s="145" t="s">
        <v>104</v>
      </c>
      <c r="B63" s="150" t="s">
        <v>121</v>
      </c>
      <c r="C63" s="157" t="s">
        <v>37</v>
      </c>
      <c r="D63" s="96"/>
      <c r="E63" s="89"/>
      <c r="F63" s="89"/>
      <c r="G63" s="89"/>
      <c r="H63" s="92"/>
      <c r="I63" s="114">
        <f t="shared" si="0"/>
        <v>0</v>
      </c>
      <c r="J63" s="93"/>
      <c r="K63" s="123"/>
      <c r="L63" s="138">
        <f>[49]VAL.PRINC!I40</f>
        <v>0</v>
      </c>
      <c r="M63" s="86"/>
    </row>
    <row r="64" spans="1:13" s="80" customFormat="1" ht="15" hidden="1">
      <c r="A64" s="145" t="s">
        <v>104</v>
      </c>
      <c r="B64" s="150" t="s">
        <v>125</v>
      </c>
      <c r="C64" s="157" t="s">
        <v>40</v>
      </c>
      <c r="D64" s="96"/>
      <c r="E64" s="92"/>
      <c r="F64" s="92"/>
      <c r="G64" s="92"/>
      <c r="H64" s="92"/>
      <c r="I64" s="114">
        <f t="shared" si="0"/>
        <v>0</v>
      </c>
      <c r="J64" s="93"/>
      <c r="K64" s="126"/>
      <c r="L64" s="138">
        <f>[49]VAL.PRINC!I41</f>
        <v>0</v>
      </c>
      <c r="M64" s="86"/>
    </row>
    <row r="65" spans="1:13" s="80" customFormat="1" ht="15" hidden="1">
      <c r="A65" s="145" t="s">
        <v>104</v>
      </c>
      <c r="B65" s="150" t="s">
        <v>126</v>
      </c>
      <c r="C65" s="157" t="s">
        <v>37</v>
      </c>
      <c r="D65" s="96"/>
      <c r="E65" s="92"/>
      <c r="F65" s="92"/>
      <c r="G65" s="92"/>
      <c r="H65" s="92"/>
      <c r="I65" s="114">
        <f t="shared" si="0"/>
        <v>0</v>
      </c>
      <c r="J65" s="91"/>
      <c r="K65" s="123"/>
      <c r="L65" s="138">
        <f>[49]VAL.PRINC!I42</f>
        <v>0</v>
      </c>
      <c r="M65" s="86"/>
    </row>
    <row r="66" spans="1:13" s="80" customFormat="1" ht="15" hidden="1">
      <c r="A66" s="145" t="s">
        <v>104</v>
      </c>
      <c r="B66" s="150" t="s">
        <v>127</v>
      </c>
      <c r="C66" s="157" t="s">
        <v>40</v>
      </c>
      <c r="D66" s="96"/>
      <c r="E66" s="92"/>
      <c r="F66" s="92"/>
      <c r="G66" s="92"/>
      <c r="H66" s="92"/>
      <c r="I66" s="114">
        <f t="shared" si="0"/>
        <v>0</v>
      </c>
      <c r="J66" s="91"/>
      <c r="K66" s="123"/>
      <c r="L66" s="138">
        <f>[49]VAL.PRINC!I43</f>
        <v>0</v>
      </c>
    </row>
    <row r="67" spans="1:13" s="80" customFormat="1" ht="15" hidden="1">
      <c r="A67" s="145" t="s">
        <v>104</v>
      </c>
      <c r="B67" s="150" t="s">
        <v>128</v>
      </c>
      <c r="C67" s="156" t="s">
        <v>38</v>
      </c>
      <c r="D67" s="96"/>
      <c r="E67" s="89"/>
      <c r="F67" s="89"/>
      <c r="G67" s="89"/>
      <c r="H67" s="89"/>
      <c r="I67" s="114">
        <f t="shared" si="0"/>
        <v>0</v>
      </c>
      <c r="J67" s="93"/>
      <c r="K67" s="123"/>
      <c r="L67" s="138">
        <f>[49]VAL.PRINC!I44</f>
        <v>0</v>
      </c>
      <c r="M67" s="86"/>
    </row>
    <row r="68" spans="1:13" s="88" customFormat="1" ht="15" hidden="1">
      <c r="A68" s="145" t="s">
        <v>104</v>
      </c>
      <c r="B68" s="150" t="s">
        <v>129</v>
      </c>
      <c r="C68" s="156" t="s">
        <v>38</v>
      </c>
      <c r="D68" s="95"/>
      <c r="E68" s="92"/>
      <c r="F68" s="92"/>
      <c r="G68" s="92"/>
      <c r="H68" s="92"/>
      <c r="I68" s="114">
        <f t="shared" si="0"/>
        <v>0</v>
      </c>
      <c r="J68" s="93"/>
      <c r="K68" s="127"/>
      <c r="L68" s="138">
        <f>[49]VAL.PRINC!I45</f>
        <v>0</v>
      </c>
    </row>
    <row r="69" spans="1:13" s="88" customFormat="1" ht="15" hidden="1">
      <c r="A69" s="145" t="s">
        <v>104</v>
      </c>
      <c r="B69" s="150" t="s">
        <v>242</v>
      </c>
      <c r="C69" s="159" t="s">
        <v>37</v>
      </c>
      <c r="D69" s="95"/>
      <c r="E69" s="92"/>
      <c r="F69" s="92"/>
      <c r="G69" s="92"/>
      <c r="H69" s="92"/>
      <c r="I69" s="114">
        <f t="shared" si="0"/>
        <v>0</v>
      </c>
      <c r="J69" s="93"/>
      <c r="K69" s="127"/>
      <c r="L69" s="138">
        <f>[49]VAL.PRINC!I46</f>
        <v>0</v>
      </c>
    </row>
    <row r="70" spans="1:13" s="88" customFormat="1" ht="15" hidden="1">
      <c r="A70" s="145" t="s">
        <v>104</v>
      </c>
      <c r="B70" s="150" t="s">
        <v>123</v>
      </c>
      <c r="C70" s="157" t="s">
        <v>40</v>
      </c>
      <c r="D70" s="95"/>
      <c r="E70" s="92"/>
      <c r="F70" s="92"/>
      <c r="G70" s="92"/>
      <c r="H70" s="92"/>
      <c r="I70" s="114">
        <f t="shared" si="0"/>
        <v>0</v>
      </c>
      <c r="J70" s="93"/>
      <c r="K70" s="127"/>
      <c r="L70" s="138">
        <f>[49]VAL.PRINC!I47</f>
        <v>0</v>
      </c>
    </row>
    <row r="71" spans="1:13" ht="15" hidden="1">
      <c r="A71" s="147" t="s">
        <v>105</v>
      </c>
      <c r="B71" s="151" t="s">
        <v>106</v>
      </c>
      <c r="C71" s="158"/>
      <c r="D71" s="95"/>
      <c r="E71" s="92"/>
      <c r="F71" s="92"/>
      <c r="G71" s="92"/>
      <c r="H71" s="92"/>
      <c r="I71" s="114">
        <f t="shared" si="0"/>
        <v>0</v>
      </c>
      <c r="J71" s="93"/>
      <c r="K71" s="127"/>
      <c r="L71" s="138">
        <f>[49]VAL.PRINC!I48</f>
        <v>0</v>
      </c>
    </row>
    <row r="72" spans="1:13" ht="15" hidden="1">
      <c r="A72" s="145" t="s">
        <v>105</v>
      </c>
      <c r="B72" s="150" t="s">
        <v>130</v>
      </c>
      <c r="C72" s="157" t="s">
        <v>38</v>
      </c>
      <c r="D72" s="95"/>
      <c r="E72" s="92"/>
      <c r="F72" s="92"/>
      <c r="G72" s="92"/>
      <c r="H72" s="92"/>
      <c r="I72" s="114">
        <f t="shared" si="0"/>
        <v>0</v>
      </c>
      <c r="J72" s="93"/>
      <c r="K72" s="127"/>
      <c r="L72" s="138">
        <f>[49]VAL.PRINC!I49</f>
        <v>0</v>
      </c>
    </row>
    <row r="73" spans="1:13" ht="15" hidden="1">
      <c r="A73" s="145" t="s">
        <v>105</v>
      </c>
      <c r="B73" s="150" t="s">
        <v>131</v>
      </c>
      <c r="C73" s="156" t="s">
        <v>38</v>
      </c>
      <c r="D73" s="95"/>
      <c r="E73" s="92"/>
      <c r="F73" s="92"/>
      <c r="G73" s="92"/>
      <c r="H73" s="92"/>
      <c r="I73" s="114">
        <f t="shared" si="0"/>
        <v>0</v>
      </c>
      <c r="J73" s="93"/>
      <c r="K73" s="127"/>
      <c r="L73" s="138">
        <f>[49]VAL.PRINC!I50</f>
        <v>0</v>
      </c>
    </row>
    <row r="74" spans="1:13" ht="15" hidden="1">
      <c r="A74" s="145" t="s">
        <v>105</v>
      </c>
      <c r="B74" s="150" t="s">
        <v>132</v>
      </c>
      <c r="C74" s="157" t="s">
        <v>38</v>
      </c>
      <c r="D74" s="95"/>
      <c r="E74" s="92"/>
      <c r="F74" s="92"/>
      <c r="G74" s="92"/>
      <c r="H74" s="92"/>
      <c r="I74" s="114">
        <f t="shared" si="0"/>
        <v>0</v>
      </c>
      <c r="J74" s="93"/>
      <c r="K74" s="127"/>
      <c r="L74" s="138">
        <f>[49]VAL.PRINC!I51</f>
        <v>0</v>
      </c>
    </row>
    <row r="75" spans="1:13" ht="15" hidden="1">
      <c r="A75" s="146" t="s">
        <v>107</v>
      </c>
      <c r="B75" s="152" t="s">
        <v>108</v>
      </c>
      <c r="C75" s="158"/>
      <c r="D75" s="95"/>
      <c r="E75" s="92"/>
      <c r="F75" s="92"/>
      <c r="G75" s="92"/>
      <c r="H75" s="92"/>
      <c r="I75" s="114">
        <f t="shared" si="0"/>
        <v>0</v>
      </c>
      <c r="J75" s="93"/>
      <c r="K75" s="127"/>
      <c r="L75" s="138">
        <f>[49]VAL.PRINC!I52</f>
        <v>0</v>
      </c>
    </row>
    <row r="76" spans="1:13" ht="15" hidden="1">
      <c r="A76" s="147" t="s">
        <v>109</v>
      </c>
      <c r="B76" s="151" t="s">
        <v>97</v>
      </c>
      <c r="C76" s="157"/>
      <c r="D76" s="95"/>
      <c r="E76" s="92"/>
      <c r="F76" s="92"/>
      <c r="G76" s="109"/>
      <c r="H76" s="92"/>
      <c r="I76" s="114">
        <f t="shared" si="0"/>
        <v>0</v>
      </c>
      <c r="J76" s="93"/>
      <c r="K76" s="128"/>
      <c r="L76" s="138">
        <f>[49]VAL.PRINC!I53</f>
        <v>0</v>
      </c>
    </row>
    <row r="77" spans="1:13" ht="15" hidden="1">
      <c r="A77" s="145" t="s">
        <v>109</v>
      </c>
      <c r="B77" s="150" t="s">
        <v>133</v>
      </c>
      <c r="C77" s="157" t="s">
        <v>37</v>
      </c>
      <c r="D77" s="95"/>
      <c r="E77" s="92"/>
      <c r="F77" s="92"/>
      <c r="G77" s="109"/>
      <c r="H77" s="92"/>
      <c r="I77" s="114">
        <f t="shared" si="0"/>
        <v>0</v>
      </c>
      <c r="J77" s="93"/>
      <c r="K77" s="128"/>
      <c r="L77" s="138">
        <f>[49]VAL.PRINC!I54</f>
        <v>0</v>
      </c>
    </row>
    <row r="78" spans="1:13" ht="15" hidden="1">
      <c r="A78" s="145" t="s">
        <v>109</v>
      </c>
      <c r="B78" s="150" t="s">
        <v>121</v>
      </c>
      <c r="C78" s="157" t="s">
        <v>37</v>
      </c>
      <c r="D78" s="95"/>
      <c r="E78" s="92"/>
      <c r="F78" s="92"/>
      <c r="G78" s="109"/>
      <c r="H78" s="92"/>
      <c r="I78" s="114">
        <f t="shared" si="0"/>
        <v>0</v>
      </c>
      <c r="J78" s="93"/>
      <c r="K78" s="128"/>
      <c r="L78" s="138">
        <f>[49]VAL.PRINC!I55</f>
        <v>0</v>
      </c>
    </row>
    <row r="79" spans="1:13" ht="15" hidden="1">
      <c r="A79" s="145" t="s">
        <v>109</v>
      </c>
      <c r="B79" s="150" t="s">
        <v>134</v>
      </c>
      <c r="C79" s="157" t="s">
        <v>243</v>
      </c>
      <c r="D79" s="95"/>
      <c r="E79" s="92"/>
      <c r="F79" s="92"/>
      <c r="G79" s="109"/>
      <c r="H79" s="92"/>
      <c r="I79" s="114">
        <f t="shared" si="0"/>
        <v>0</v>
      </c>
      <c r="J79" s="91"/>
      <c r="K79" s="128"/>
      <c r="L79" s="138">
        <f>[49]VAL.PRINC!I56</f>
        <v>0</v>
      </c>
    </row>
    <row r="80" spans="1:13" ht="15" hidden="1">
      <c r="A80" s="147" t="s">
        <v>110</v>
      </c>
      <c r="B80" s="151" t="s">
        <v>99</v>
      </c>
      <c r="C80" s="157"/>
      <c r="D80" s="95"/>
      <c r="E80" s="92"/>
      <c r="F80" s="92"/>
      <c r="G80" s="109"/>
      <c r="H80" s="92"/>
      <c r="I80" s="114">
        <f t="shared" si="0"/>
        <v>0</v>
      </c>
      <c r="J80" s="91"/>
      <c r="K80" s="128"/>
      <c r="L80" s="138">
        <f>[49]VAL.PRINC!I57</f>
        <v>0</v>
      </c>
    </row>
    <row r="81" spans="1:12" ht="15" hidden="1">
      <c r="A81" s="148" t="s">
        <v>111</v>
      </c>
      <c r="B81" s="153" t="s">
        <v>135</v>
      </c>
      <c r="C81" s="156"/>
      <c r="D81" s="95"/>
      <c r="E81" s="92"/>
      <c r="F81" s="92"/>
      <c r="G81" s="109"/>
      <c r="H81" s="92"/>
      <c r="I81" s="114">
        <f t="shared" si="0"/>
        <v>0</v>
      </c>
      <c r="J81" s="91"/>
      <c r="K81" s="128"/>
      <c r="L81" s="138">
        <f>[49]VAL.PRINC!I58</f>
        <v>0</v>
      </c>
    </row>
    <row r="82" spans="1:12" ht="15" hidden="1">
      <c r="A82" s="145" t="s">
        <v>111</v>
      </c>
      <c r="B82" s="150" t="s">
        <v>136</v>
      </c>
      <c r="C82" s="157" t="s">
        <v>40</v>
      </c>
      <c r="D82" s="95"/>
      <c r="E82" s="92"/>
      <c r="F82" s="92"/>
      <c r="G82" s="109"/>
      <c r="H82" s="92"/>
      <c r="I82" s="114">
        <f t="shared" si="0"/>
        <v>0</v>
      </c>
      <c r="J82" s="91"/>
      <c r="K82" s="128"/>
      <c r="L82" s="138">
        <f>[49]VAL.PRINC!I59</f>
        <v>0</v>
      </c>
    </row>
    <row r="83" spans="1:12" ht="15" hidden="1">
      <c r="A83" s="145" t="s">
        <v>111</v>
      </c>
      <c r="B83" s="150" t="s">
        <v>137</v>
      </c>
      <c r="C83" s="157" t="s">
        <v>40</v>
      </c>
      <c r="D83" s="95"/>
      <c r="E83" s="92"/>
      <c r="F83" s="92"/>
      <c r="G83" s="109"/>
      <c r="H83" s="92"/>
      <c r="I83" s="114">
        <f t="shared" si="0"/>
        <v>0</v>
      </c>
      <c r="J83" s="91"/>
      <c r="K83" s="128"/>
      <c r="L83" s="138">
        <f>[49]VAL.PRINC!I60</f>
        <v>0</v>
      </c>
    </row>
    <row r="84" spans="1:12" ht="15" hidden="1">
      <c r="A84" s="145" t="s">
        <v>111</v>
      </c>
      <c r="B84" s="150" t="s">
        <v>138</v>
      </c>
      <c r="C84" s="157" t="s">
        <v>40</v>
      </c>
      <c r="D84" s="95"/>
      <c r="E84" s="92"/>
      <c r="F84" s="92"/>
      <c r="G84" s="109"/>
      <c r="H84" s="92"/>
      <c r="I84" s="114">
        <f t="shared" si="0"/>
        <v>0</v>
      </c>
      <c r="J84" s="91"/>
      <c r="K84" s="128"/>
      <c r="L84" s="138">
        <f>[49]VAL.PRINC!I61</f>
        <v>0</v>
      </c>
    </row>
    <row r="85" spans="1:12" ht="15" hidden="1">
      <c r="A85" s="148" t="s">
        <v>112</v>
      </c>
      <c r="B85" s="153" t="s">
        <v>113</v>
      </c>
      <c r="C85" s="160"/>
      <c r="D85" s="95"/>
      <c r="E85" s="92"/>
      <c r="F85" s="92"/>
      <c r="G85" s="109"/>
      <c r="H85" s="92"/>
      <c r="I85" s="114">
        <f t="shared" si="0"/>
        <v>0</v>
      </c>
      <c r="J85" s="91"/>
      <c r="K85" s="128"/>
      <c r="L85" s="138">
        <f>[49]VAL.PRINC!I62</f>
        <v>0</v>
      </c>
    </row>
    <row r="86" spans="1:12" ht="15" hidden="1">
      <c r="A86" s="145" t="s">
        <v>112</v>
      </c>
      <c r="B86" s="150" t="s">
        <v>123</v>
      </c>
      <c r="C86" s="161" t="s">
        <v>40</v>
      </c>
      <c r="D86" s="95"/>
      <c r="E86" s="92"/>
      <c r="F86" s="92"/>
      <c r="G86" s="109"/>
      <c r="H86" s="92"/>
      <c r="I86" s="114">
        <f t="shared" si="0"/>
        <v>0</v>
      </c>
      <c r="J86" s="91"/>
      <c r="K86" s="128"/>
      <c r="L86" s="138">
        <f>[49]VAL.PRINC!I63</f>
        <v>0</v>
      </c>
    </row>
    <row r="87" spans="1:12" ht="15" hidden="1">
      <c r="A87" s="148" t="s">
        <v>114</v>
      </c>
      <c r="B87" s="153" t="s">
        <v>244</v>
      </c>
      <c r="C87" s="162"/>
      <c r="D87" s="95"/>
      <c r="E87" s="92"/>
      <c r="F87" s="92"/>
      <c r="G87" s="109"/>
      <c r="H87" s="92"/>
      <c r="I87" s="114">
        <f t="shared" si="0"/>
        <v>0</v>
      </c>
      <c r="J87" s="91"/>
      <c r="K87" s="128"/>
      <c r="L87" s="138">
        <f>[49]VAL.PRINC!I64</f>
        <v>0</v>
      </c>
    </row>
    <row r="88" spans="1:12" ht="15" hidden="1">
      <c r="A88" s="145" t="s">
        <v>114</v>
      </c>
      <c r="B88" s="150" t="s">
        <v>120</v>
      </c>
      <c r="C88" s="156" t="s">
        <v>241</v>
      </c>
      <c r="D88" s="95"/>
      <c r="E88" s="92"/>
      <c r="F88" s="92"/>
      <c r="G88" s="109"/>
      <c r="H88" s="92"/>
      <c r="I88" s="114">
        <f t="shared" si="0"/>
        <v>0</v>
      </c>
      <c r="J88" s="91"/>
      <c r="K88" s="128"/>
      <c r="L88" s="138">
        <f>[49]VAL.PRINC!I65</f>
        <v>0</v>
      </c>
    </row>
    <row r="89" spans="1:12" ht="15" hidden="1">
      <c r="A89" s="147" t="s">
        <v>115</v>
      </c>
      <c r="B89" s="151" t="s">
        <v>116</v>
      </c>
      <c r="C89" s="157"/>
      <c r="D89" s="95"/>
      <c r="E89" s="92"/>
      <c r="F89" s="92"/>
      <c r="G89" s="109"/>
      <c r="H89" s="92"/>
      <c r="I89" s="114">
        <f t="shared" si="0"/>
        <v>0</v>
      </c>
      <c r="J89" s="91"/>
      <c r="K89" s="128"/>
      <c r="L89" s="138">
        <f>[49]VAL.PRINC!I66</f>
        <v>0</v>
      </c>
    </row>
    <row r="90" spans="1:12" ht="15" hidden="1">
      <c r="A90" s="148" t="s">
        <v>117</v>
      </c>
      <c r="B90" s="153" t="s">
        <v>139</v>
      </c>
      <c r="C90" s="157"/>
      <c r="D90" s="95"/>
      <c r="E90" s="92"/>
      <c r="F90" s="92"/>
      <c r="G90" s="109"/>
      <c r="H90" s="92"/>
      <c r="I90" s="114">
        <f t="shared" si="0"/>
        <v>0</v>
      </c>
      <c r="J90" s="91"/>
      <c r="K90" s="128"/>
      <c r="L90" s="138">
        <f>[49]VAL.PRINC!I67</f>
        <v>0</v>
      </c>
    </row>
    <row r="91" spans="1:12" ht="15" hidden="1">
      <c r="A91" s="145" t="s">
        <v>117</v>
      </c>
      <c r="B91" s="150" t="s">
        <v>140</v>
      </c>
      <c r="C91" s="159" t="s">
        <v>37</v>
      </c>
      <c r="D91" s="95"/>
      <c r="E91" s="92"/>
      <c r="F91" s="92"/>
      <c r="G91" s="109"/>
      <c r="H91" s="92"/>
      <c r="I91" s="114">
        <f t="shared" si="0"/>
        <v>0</v>
      </c>
      <c r="J91" s="112"/>
      <c r="K91" s="127"/>
      <c r="L91" s="138">
        <f>[49]VAL.PRINC!I68</f>
        <v>0</v>
      </c>
    </row>
    <row r="92" spans="1:12" ht="15.75" hidden="1">
      <c r="A92" s="145" t="s">
        <v>117</v>
      </c>
      <c r="B92" s="150" t="s">
        <v>163</v>
      </c>
      <c r="C92" s="157" t="s">
        <v>37</v>
      </c>
      <c r="D92" s="95"/>
      <c r="E92" s="92"/>
      <c r="F92" s="92"/>
      <c r="G92" s="109"/>
      <c r="H92" s="92"/>
      <c r="I92" s="114">
        <f t="shared" si="0"/>
        <v>0</v>
      </c>
      <c r="J92" s="112"/>
      <c r="K92" s="129"/>
      <c r="L92" s="138">
        <f>[49]VAL.PRINC!I69</f>
        <v>0</v>
      </c>
    </row>
    <row r="93" spans="1:12" ht="15" hidden="1">
      <c r="A93" s="145" t="s">
        <v>117</v>
      </c>
      <c r="B93" s="150" t="s">
        <v>164</v>
      </c>
      <c r="C93" s="156" t="s">
        <v>37</v>
      </c>
      <c r="D93" s="95"/>
      <c r="E93" s="92"/>
      <c r="F93" s="92"/>
      <c r="G93" s="109"/>
      <c r="H93" s="92"/>
      <c r="I93" s="114">
        <f t="shared" si="0"/>
        <v>0</v>
      </c>
      <c r="J93" s="93"/>
      <c r="K93" s="124"/>
      <c r="L93" s="138">
        <f>[49]VAL.PRINC!I70</f>
        <v>0</v>
      </c>
    </row>
    <row r="94" spans="1:12" ht="15" hidden="1">
      <c r="A94" s="148" t="s">
        <v>141</v>
      </c>
      <c r="B94" s="153" t="s">
        <v>165</v>
      </c>
      <c r="C94" s="156"/>
      <c r="D94" s="95"/>
      <c r="E94" s="92"/>
      <c r="F94" s="92"/>
      <c r="G94" s="109"/>
      <c r="H94" s="92"/>
      <c r="I94" s="114">
        <f t="shared" si="0"/>
        <v>0</v>
      </c>
      <c r="J94" s="93"/>
      <c r="K94" s="124"/>
      <c r="L94" s="138">
        <f>[49]VAL.PRINC!I71</f>
        <v>0</v>
      </c>
    </row>
    <row r="95" spans="1:12" ht="15" hidden="1">
      <c r="A95" s="145" t="s">
        <v>141</v>
      </c>
      <c r="B95" s="150" t="s">
        <v>166</v>
      </c>
      <c r="C95" s="156" t="s">
        <v>37</v>
      </c>
      <c r="D95" s="95"/>
      <c r="E95" s="92"/>
      <c r="F95" s="92"/>
      <c r="G95" s="109"/>
      <c r="H95" s="92"/>
      <c r="I95" s="114">
        <f t="shared" si="0"/>
        <v>0</v>
      </c>
      <c r="J95" s="93"/>
      <c r="K95" s="124"/>
      <c r="L95" s="138">
        <f>[49]VAL.PRINC!I72</f>
        <v>0</v>
      </c>
    </row>
    <row r="96" spans="1:12" ht="15" hidden="1">
      <c r="A96" s="147" t="s">
        <v>142</v>
      </c>
      <c r="B96" s="151" t="s">
        <v>143</v>
      </c>
      <c r="C96" s="163"/>
      <c r="D96" s="95"/>
      <c r="E96" s="92"/>
      <c r="F96" s="92"/>
      <c r="G96" s="109"/>
      <c r="H96" s="92"/>
      <c r="I96" s="114">
        <f t="shared" si="0"/>
        <v>0</v>
      </c>
      <c r="J96" s="93"/>
      <c r="K96" s="124"/>
      <c r="L96" s="138">
        <f>[49]VAL.PRINC!I73</f>
        <v>0</v>
      </c>
    </row>
    <row r="97" spans="1:12" ht="15" hidden="1">
      <c r="A97" s="145" t="s">
        <v>142</v>
      </c>
      <c r="B97" s="150" t="s">
        <v>167</v>
      </c>
      <c r="C97" s="157" t="s">
        <v>40</v>
      </c>
      <c r="D97" s="95"/>
      <c r="E97" s="92"/>
      <c r="F97" s="92"/>
      <c r="G97" s="109"/>
      <c r="H97" s="92"/>
      <c r="I97" s="114">
        <f t="shared" si="0"/>
        <v>0</v>
      </c>
      <c r="J97" s="93"/>
      <c r="K97" s="124"/>
      <c r="L97" s="138">
        <f>[49]VAL.PRINC!I74</f>
        <v>0</v>
      </c>
    </row>
    <row r="98" spans="1:12" ht="15" hidden="1">
      <c r="A98" s="145" t="s">
        <v>142</v>
      </c>
      <c r="B98" s="150" t="s">
        <v>168</v>
      </c>
      <c r="C98" s="157" t="s">
        <v>40</v>
      </c>
      <c r="D98" s="95"/>
      <c r="E98" s="92"/>
      <c r="F98" s="92"/>
      <c r="G98" s="109"/>
      <c r="H98" s="92"/>
      <c r="I98" s="114">
        <f t="shared" si="0"/>
        <v>0</v>
      </c>
      <c r="J98" s="93"/>
      <c r="K98" s="124"/>
      <c r="L98" s="138">
        <f>[49]VAL.PRINC!I75</f>
        <v>0</v>
      </c>
    </row>
    <row r="99" spans="1:12" ht="15" hidden="1">
      <c r="A99" s="145" t="s">
        <v>142</v>
      </c>
      <c r="B99" s="150" t="s">
        <v>103</v>
      </c>
      <c r="C99" s="156" t="s">
        <v>40</v>
      </c>
      <c r="D99" s="95"/>
      <c r="E99" s="92"/>
      <c r="F99" s="92"/>
      <c r="G99" s="109"/>
      <c r="H99" s="92"/>
      <c r="I99" s="114">
        <f t="shared" si="0"/>
        <v>0</v>
      </c>
      <c r="J99" s="93"/>
      <c r="K99" s="124"/>
      <c r="L99" s="138">
        <f>[49]VAL.PRINC!I76</f>
        <v>0</v>
      </c>
    </row>
    <row r="100" spans="1:12" ht="15" hidden="1">
      <c r="A100" s="145" t="s">
        <v>142</v>
      </c>
      <c r="B100" s="150" t="s">
        <v>144</v>
      </c>
      <c r="C100" s="157" t="s">
        <v>40</v>
      </c>
      <c r="D100" s="95"/>
      <c r="E100" s="92"/>
      <c r="F100" s="92"/>
      <c r="G100" s="109"/>
      <c r="H100" s="92"/>
      <c r="I100" s="114">
        <f t="shared" si="0"/>
        <v>0</v>
      </c>
      <c r="J100" s="93"/>
      <c r="K100" s="124"/>
      <c r="L100" s="138">
        <f>[49]VAL.PRINC!I77</f>
        <v>0</v>
      </c>
    </row>
    <row r="101" spans="1:12" ht="15" hidden="1">
      <c r="A101" s="147" t="s">
        <v>145</v>
      </c>
      <c r="B101" s="151" t="s">
        <v>146</v>
      </c>
      <c r="C101" s="155"/>
      <c r="D101" s="95"/>
      <c r="E101" s="92"/>
      <c r="F101" s="92"/>
      <c r="G101" s="109"/>
      <c r="H101" s="92"/>
      <c r="I101" s="114">
        <f t="shared" si="0"/>
        <v>0</v>
      </c>
      <c r="J101" s="93"/>
      <c r="K101" s="127"/>
      <c r="L101" s="138">
        <f>[49]VAL.PRINC!I78</f>
        <v>0</v>
      </c>
    </row>
    <row r="102" spans="1:12" ht="15" hidden="1">
      <c r="A102" s="148" t="s">
        <v>147</v>
      </c>
      <c r="B102" s="153" t="s">
        <v>148</v>
      </c>
      <c r="C102" s="157"/>
      <c r="D102" s="95"/>
      <c r="E102" s="92"/>
      <c r="F102" s="92"/>
      <c r="G102" s="109"/>
      <c r="H102" s="92"/>
      <c r="I102" s="114">
        <f t="shared" si="0"/>
        <v>0</v>
      </c>
      <c r="J102" s="93"/>
      <c r="K102" s="130"/>
      <c r="L102" s="138">
        <f>[49]VAL.PRINC!I79</f>
        <v>0</v>
      </c>
    </row>
    <row r="103" spans="1:12" ht="15" hidden="1">
      <c r="A103" s="145" t="s">
        <v>147</v>
      </c>
      <c r="B103" s="150" t="s">
        <v>149</v>
      </c>
      <c r="C103" s="156" t="s">
        <v>40</v>
      </c>
      <c r="D103" s="95"/>
      <c r="E103" s="92"/>
      <c r="F103" s="92"/>
      <c r="G103" s="109"/>
      <c r="H103" s="92"/>
      <c r="I103" s="114">
        <f t="shared" si="0"/>
        <v>0</v>
      </c>
      <c r="J103" s="93"/>
      <c r="K103" s="130"/>
      <c r="L103" s="138">
        <f>[49]VAL.PRINC!I80</f>
        <v>0</v>
      </c>
    </row>
    <row r="104" spans="1:12" ht="15" hidden="1">
      <c r="A104" s="145" t="s">
        <v>147</v>
      </c>
      <c r="B104" s="150" t="s">
        <v>150</v>
      </c>
      <c r="C104" s="157" t="s">
        <v>40</v>
      </c>
      <c r="D104" s="95"/>
      <c r="E104" s="92"/>
      <c r="F104" s="92"/>
      <c r="G104" s="109"/>
      <c r="H104" s="92"/>
      <c r="I104" s="114">
        <f t="shared" si="0"/>
        <v>0</v>
      </c>
      <c r="J104" s="93"/>
      <c r="K104" s="127"/>
      <c r="L104" s="138">
        <f>[49]VAL.PRINC!I81</f>
        <v>0</v>
      </c>
    </row>
    <row r="105" spans="1:12" ht="15" hidden="1">
      <c r="A105" s="145" t="s">
        <v>147</v>
      </c>
      <c r="B105" s="150" t="s">
        <v>151</v>
      </c>
      <c r="C105" s="157" t="s">
        <v>37</v>
      </c>
      <c r="D105" s="95"/>
      <c r="E105" s="92"/>
      <c r="F105" s="92"/>
      <c r="G105" s="109"/>
      <c r="H105" s="92"/>
      <c r="I105" s="114">
        <f t="shared" si="0"/>
        <v>0</v>
      </c>
      <c r="J105" s="93"/>
      <c r="K105" s="131"/>
      <c r="L105" s="138">
        <f>[49]VAL.PRINC!I82</f>
        <v>0</v>
      </c>
    </row>
    <row r="106" spans="1:12" ht="15" hidden="1">
      <c r="A106" s="148" t="s">
        <v>152</v>
      </c>
      <c r="B106" s="153" t="s">
        <v>153</v>
      </c>
      <c r="C106" s="164"/>
      <c r="D106" s="118"/>
      <c r="E106" s="119"/>
      <c r="F106" s="119"/>
      <c r="G106" s="119"/>
      <c r="H106" s="119"/>
      <c r="I106" s="114">
        <f t="shared" si="0"/>
        <v>0</v>
      </c>
      <c r="J106" s="119"/>
      <c r="K106" s="132"/>
      <c r="L106" s="138">
        <f>[49]VAL.PRINC!I83</f>
        <v>0</v>
      </c>
    </row>
    <row r="107" spans="1:12" ht="15" hidden="1">
      <c r="A107" s="145" t="s">
        <v>152</v>
      </c>
      <c r="B107" s="150" t="s">
        <v>169</v>
      </c>
      <c r="C107" s="157" t="s">
        <v>48</v>
      </c>
      <c r="D107" s="118"/>
      <c r="E107" s="119"/>
      <c r="F107" s="119"/>
      <c r="G107" s="119"/>
      <c r="H107" s="119"/>
      <c r="I107" s="114">
        <f t="shared" si="0"/>
        <v>0</v>
      </c>
      <c r="J107" s="119"/>
      <c r="K107" s="132"/>
      <c r="L107" s="138">
        <f>[49]VAL.PRINC!I84</f>
        <v>0</v>
      </c>
    </row>
    <row r="108" spans="1:12" ht="15" hidden="1">
      <c r="A108" s="145" t="s">
        <v>152</v>
      </c>
      <c r="B108" s="150" t="s">
        <v>170</v>
      </c>
      <c r="C108" s="159" t="s">
        <v>48</v>
      </c>
      <c r="D108" s="118"/>
      <c r="E108" s="119"/>
      <c r="F108" s="119"/>
      <c r="G108" s="119"/>
      <c r="H108" s="119"/>
      <c r="I108" s="114">
        <f t="shared" si="0"/>
        <v>0</v>
      </c>
      <c r="J108" s="119"/>
      <c r="K108" s="132"/>
      <c r="L108" s="138">
        <f>[49]VAL.PRINC!I85</f>
        <v>0</v>
      </c>
    </row>
    <row r="109" spans="1:12" ht="15" hidden="1">
      <c r="A109" s="145" t="s">
        <v>152</v>
      </c>
      <c r="B109" s="150" t="s">
        <v>171</v>
      </c>
      <c r="C109" s="157" t="s">
        <v>48</v>
      </c>
      <c r="D109" s="118"/>
      <c r="E109" s="119"/>
      <c r="F109" s="119"/>
      <c r="G109" s="119"/>
      <c r="H109" s="119"/>
      <c r="I109" s="114">
        <f t="shared" si="0"/>
        <v>0</v>
      </c>
      <c r="J109" s="119"/>
      <c r="K109" s="132"/>
      <c r="L109" s="138">
        <f>[49]VAL.PRINC!I86</f>
        <v>0</v>
      </c>
    </row>
    <row r="110" spans="1:12" ht="15" hidden="1">
      <c r="A110" s="148" t="s">
        <v>154</v>
      </c>
      <c r="B110" s="153" t="s">
        <v>172</v>
      </c>
      <c r="C110" s="158"/>
      <c r="D110" s="118"/>
      <c r="E110" s="119"/>
      <c r="F110" s="119"/>
      <c r="G110" s="119"/>
      <c r="H110" s="119"/>
      <c r="I110" s="114">
        <f t="shared" si="0"/>
        <v>0</v>
      </c>
      <c r="J110" s="119"/>
      <c r="K110" s="132"/>
      <c r="L110" s="138">
        <f>[49]VAL.PRINC!I87</f>
        <v>0</v>
      </c>
    </row>
    <row r="111" spans="1:12" ht="15" hidden="1">
      <c r="A111" s="145" t="s">
        <v>154</v>
      </c>
      <c r="B111" s="150" t="s">
        <v>173</v>
      </c>
      <c r="C111" s="157" t="s">
        <v>245</v>
      </c>
      <c r="D111" s="118"/>
      <c r="E111" s="119"/>
      <c r="F111" s="119"/>
      <c r="G111" s="119"/>
      <c r="H111" s="119"/>
      <c r="I111" s="114">
        <f t="shared" si="0"/>
        <v>0</v>
      </c>
      <c r="J111" s="119"/>
      <c r="K111" s="132"/>
      <c r="L111" s="138">
        <f>[49]VAL.PRINC!I88</f>
        <v>0</v>
      </c>
    </row>
    <row r="112" spans="1:12" ht="15" hidden="1">
      <c r="A112" s="145" t="s">
        <v>154</v>
      </c>
      <c r="B112" s="150" t="s">
        <v>174</v>
      </c>
      <c r="C112" s="157" t="s">
        <v>245</v>
      </c>
      <c r="D112" s="118"/>
      <c r="E112" s="119"/>
      <c r="F112" s="119"/>
      <c r="G112" s="119"/>
      <c r="H112" s="119"/>
      <c r="I112" s="114">
        <f t="shared" si="0"/>
        <v>0</v>
      </c>
      <c r="J112" s="119"/>
      <c r="K112" s="132"/>
      <c r="L112" s="138">
        <f>[49]VAL.PRINC!I89</f>
        <v>0</v>
      </c>
    </row>
    <row r="113" spans="1:12" ht="15" hidden="1">
      <c r="A113" s="145" t="s">
        <v>154</v>
      </c>
      <c r="B113" s="150" t="s">
        <v>175</v>
      </c>
      <c r="C113" s="156" t="s">
        <v>245</v>
      </c>
      <c r="D113" s="118"/>
      <c r="E113" s="119"/>
      <c r="F113" s="119"/>
      <c r="G113" s="119"/>
      <c r="H113" s="119"/>
      <c r="I113" s="114">
        <f t="shared" si="0"/>
        <v>0</v>
      </c>
      <c r="J113" s="119"/>
      <c r="K113" s="132"/>
      <c r="L113" s="138">
        <f>[49]VAL.PRINC!I90</f>
        <v>0</v>
      </c>
    </row>
    <row r="114" spans="1:12" ht="15" hidden="1">
      <c r="A114" s="145" t="s">
        <v>154</v>
      </c>
      <c r="B114" s="150" t="s">
        <v>176</v>
      </c>
      <c r="C114" s="157" t="s">
        <v>245</v>
      </c>
      <c r="D114" s="118"/>
      <c r="E114" s="119"/>
      <c r="F114" s="119"/>
      <c r="G114" s="119"/>
      <c r="H114" s="119"/>
      <c r="I114" s="114">
        <f t="shared" si="0"/>
        <v>0</v>
      </c>
      <c r="J114" s="119"/>
      <c r="K114" s="132"/>
      <c r="L114" s="138">
        <f>[49]VAL.PRINC!I91</f>
        <v>0</v>
      </c>
    </row>
    <row r="115" spans="1:12" ht="15" hidden="1">
      <c r="A115" s="147" t="s">
        <v>155</v>
      </c>
      <c r="B115" s="151" t="s">
        <v>156</v>
      </c>
      <c r="C115" s="155"/>
      <c r="D115" s="118"/>
      <c r="E115" s="119"/>
      <c r="F115" s="119"/>
      <c r="G115" s="119"/>
      <c r="H115" s="119"/>
      <c r="I115" s="114">
        <f t="shared" si="0"/>
        <v>0</v>
      </c>
      <c r="J115" s="119"/>
      <c r="K115" s="132"/>
      <c r="L115" s="138">
        <f>[49]VAL.PRINC!I92</f>
        <v>0</v>
      </c>
    </row>
    <row r="116" spans="1:12" ht="15" hidden="1">
      <c r="A116" s="148" t="s">
        <v>157</v>
      </c>
      <c r="B116" s="153" t="s">
        <v>158</v>
      </c>
      <c r="C116" s="157"/>
      <c r="D116" s="118"/>
      <c r="E116" s="119"/>
      <c r="F116" s="119"/>
      <c r="G116" s="119"/>
      <c r="H116" s="119"/>
      <c r="I116" s="114">
        <f t="shared" si="0"/>
        <v>0</v>
      </c>
      <c r="J116" s="119"/>
      <c r="K116" s="132"/>
      <c r="L116" s="138">
        <f>[49]VAL.PRINC!I93</f>
        <v>0</v>
      </c>
    </row>
    <row r="117" spans="1:12" ht="15" hidden="1">
      <c r="A117" s="145" t="s">
        <v>157</v>
      </c>
      <c r="B117" s="150" t="s">
        <v>177</v>
      </c>
      <c r="C117" s="156" t="s">
        <v>38</v>
      </c>
      <c r="D117" s="118"/>
      <c r="E117" s="119"/>
      <c r="F117" s="119"/>
      <c r="G117" s="119"/>
      <c r="H117" s="119"/>
      <c r="I117" s="114">
        <f t="shared" si="0"/>
        <v>0</v>
      </c>
      <c r="J117" s="119"/>
      <c r="K117" s="132"/>
      <c r="L117" s="138">
        <f>[49]VAL.PRINC!I94</f>
        <v>0</v>
      </c>
    </row>
    <row r="118" spans="1:12" ht="15" hidden="1">
      <c r="A118" s="148" t="s">
        <v>159</v>
      </c>
      <c r="B118" s="153" t="s">
        <v>160</v>
      </c>
      <c r="C118" s="157"/>
      <c r="D118" s="118"/>
      <c r="E118" s="119"/>
      <c r="F118" s="119"/>
      <c r="G118" s="119"/>
      <c r="H118" s="119"/>
      <c r="I118" s="114">
        <f t="shared" si="0"/>
        <v>0</v>
      </c>
      <c r="J118" s="119"/>
      <c r="K118" s="132"/>
      <c r="L118" s="138">
        <f>[49]VAL.PRINC!I95</f>
        <v>0</v>
      </c>
    </row>
    <row r="119" spans="1:12" ht="15" hidden="1">
      <c r="A119" s="145" t="s">
        <v>159</v>
      </c>
      <c r="B119" s="150" t="s">
        <v>178</v>
      </c>
      <c r="C119" s="157" t="s">
        <v>38</v>
      </c>
      <c r="D119" s="118"/>
      <c r="E119" s="119"/>
      <c r="F119" s="119"/>
      <c r="G119" s="119"/>
      <c r="H119" s="119"/>
      <c r="I119" s="114">
        <f t="shared" si="0"/>
        <v>0</v>
      </c>
      <c r="J119" s="119"/>
      <c r="K119" s="132"/>
      <c r="L119" s="138">
        <f>[49]VAL.PRINC!I96</f>
        <v>0</v>
      </c>
    </row>
    <row r="120" spans="1:12" ht="15" hidden="1">
      <c r="A120" s="148" t="s">
        <v>161</v>
      </c>
      <c r="B120" s="153" t="s">
        <v>162</v>
      </c>
      <c r="C120" s="158"/>
      <c r="D120" s="118"/>
      <c r="E120" s="119"/>
      <c r="F120" s="119"/>
      <c r="G120" s="119"/>
      <c r="H120" s="119"/>
      <c r="I120" s="114">
        <f t="shared" si="0"/>
        <v>0</v>
      </c>
      <c r="J120" s="119"/>
      <c r="K120" s="132"/>
      <c r="L120" s="138">
        <f>[49]VAL.PRINC!I97</f>
        <v>0</v>
      </c>
    </row>
    <row r="121" spans="1:12" ht="15" hidden="1">
      <c r="A121" s="145" t="s">
        <v>161</v>
      </c>
      <c r="B121" s="150" t="s">
        <v>216</v>
      </c>
      <c r="C121" s="157" t="s">
        <v>37</v>
      </c>
      <c r="D121" s="118"/>
      <c r="E121" s="119"/>
      <c r="F121" s="119"/>
      <c r="G121" s="119"/>
      <c r="H121" s="119"/>
      <c r="I121" s="114">
        <f t="shared" si="0"/>
        <v>0</v>
      </c>
      <c r="J121" s="119"/>
      <c r="K121" s="132"/>
      <c r="L121" s="138">
        <f>[49]VAL.PRINC!I98</f>
        <v>0</v>
      </c>
    </row>
    <row r="122" spans="1:12" ht="15" hidden="1">
      <c r="A122" s="148" t="s">
        <v>179</v>
      </c>
      <c r="B122" s="153" t="s">
        <v>180</v>
      </c>
      <c r="C122" s="157"/>
      <c r="D122" s="118"/>
      <c r="E122" s="119"/>
      <c r="F122" s="119"/>
      <c r="G122" s="119"/>
      <c r="H122" s="119"/>
      <c r="I122" s="114">
        <f t="shared" si="0"/>
        <v>0</v>
      </c>
      <c r="J122" s="119"/>
      <c r="K122" s="132"/>
      <c r="L122" s="138">
        <f>[49]VAL.PRINC!I99</f>
        <v>0</v>
      </c>
    </row>
    <row r="123" spans="1:12" ht="15" hidden="1">
      <c r="A123" s="145" t="s">
        <v>179</v>
      </c>
      <c r="B123" s="150" t="s">
        <v>217</v>
      </c>
      <c r="C123" s="159" t="s">
        <v>36</v>
      </c>
      <c r="D123" s="118"/>
      <c r="E123" s="119"/>
      <c r="F123" s="119"/>
      <c r="G123" s="119"/>
      <c r="H123" s="119"/>
      <c r="I123" s="114">
        <f t="shared" si="0"/>
        <v>0</v>
      </c>
      <c r="J123" s="119"/>
      <c r="K123" s="132"/>
      <c r="L123" s="138">
        <f>[49]VAL.PRINC!I100</f>
        <v>0</v>
      </c>
    </row>
    <row r="124" spans="1:12" ht="15" hidden="1">
      <c r="A124" s="145" t="s">
        <v>179</v>
      </c>
      <c r="B124" s="150" t="s">
        <v>218</v>
      </c>
      <c r="C124" s="157" t="s">
        <v>36</v>
      </c>
      <c r="D124" s="118"/>
      <c r="E124" s="119"/>
      <c r="F124" s="119"/>
      <c r="G124" s="119"/>
      <c r="H124" s="119"/>
      <c r="I124" s="114">
        <f t="shared" si="0"/>
        <v>0</v>
      </c>
      <c r="J124" s="119"/>
      <c r="K124" s="132"/>
      <c r="L124" s="138">
        <f>[49]VAL.PRINC!I101</f>
        <v>0</v>
      </c>
    </row>
    <row r="125" spans="1:12" ht="15" hidden="1">
      <c r="A125" s="148" t="s">
        <v>181</v>
      </c>
      <c r="B125" s="153" t="s">
        <v>182</v>
      </c>
      <c r="C125" s="158"/>
      <c r="D125" s="118"/>
      <c r="E125" s="119"/>
      <c r="F125" s="119"/>
      <c r="G125" s="119"/>
      <c r="H125" s="119"/>
      <c r="I125" s="114">
        <f t="shared" si="0"/>
        <v>0</v>
      </c>
      <c r="J125" s="119"/>
      <c r="K125" s="132"/>
      <c r="L125" s="138">
        <f>[49]VAL.PRINC!I102</f>
        <v>0</v>
      </c>
    </row>
    <row r="126" spans="1:12" ht="15" hidden="1">
      <c r="A126" s="145" t="s">
        <v>181</v>
      </c>
      <c r="B126" s="150" t="s">
        <v>219</v>
      </c>
      <c r="C126" s="157" t="s">
        <v>245</v>
      </c>
      <c r="D126" s="118"/>
      <c r="E126" s="119"/>
      <c r="F126" s="119"/>
      <c r="G126" s="119"/>
      <c r="H126" s="119"/>
      <c r="I126" s="114">
        <f t="shared" ref="I126:I171" si="1">PRODUCT(D126:H126)</f>
        <v>0</v>
      </c>
      <c r="J126" s="119"/>
      <c r="K126" s="132"/>
      <c r="L126" s="138">
        <f>[49]VAL.PRINC!I103</f>
        <v>0</v>
      </c>
    </row>
    <row r="127" spans="1:12" ht="15" hidden="1">
      <c r="A127" s="148" t="s">
        <v>183</v>
      </c>
      <c r="B127" s="153" t="s">
        <v>184</v>
      </c>
      <c r="C127" s="160"/>
      <c r="D127" s="118"/>
      <c r="E127" s="119"/>
      <c r="F127" s="119"/>
      <c r="G127" s="119"/>
      <c r="H127" s="119"/>
      <c r="I127" s="114">
        <f t="shared" si="1"/>
        <v>0</v>
      </c>
      <c r="J127" s="119"/>
      <c r="K127" s="132"/>
      <c r="L127" s="138">
        <f>[49]VAL.PRINC!I104</f>
        <v>0</v>
      </c>
    </row>
    <row r="128" spans="1:12" ht="15" hidden="1">
      <c r="A128" s="145" t="s">
        <v>183</v>
      </c>
      <c r="B128" s="150" t="s">
        <v>220</v>
      </c>
      <c r="C128" s="157" t="s">
        <v>36</v>
      </c>
      <c r="D128" s="118"/>
      <c r="E128" s="119"/>
      <c r="F128" s="119"/>
      <c r="G128" s="119"/>
      <c r="H128" s="119"/>
      <c r="I128" s="114">
        <f t="shared" si="1"/>
        <v>0</v>
      </c>
      <c r="J128" s="119"/>
      <c r="K128" s="132"/>
      <c r="L128" s="138">
        <f>[49]VAL.PRINC!I105</f>
        <v>0</v>
      </c>
    </row>
    <row r="129" spans="1:12" ht="15" hidden="1">
      <c r="A129" s="148" t="s">
        <v>185</v>
      </c>
      <c r="B129" s="153" t="s">
        <v>186</v>
      </c>
      <c r="C129" s="160"/>
      <c r="D129" s="118"/>
      <c r="E129" s="119"/>
      <c r="F129" s="119"/>
      <c r="G129" s="119"/>
      <c r="H129" s="119"/>
      <c r="I129" s="114">
        <f t="shared" si="1"/>
        <v>0</v>
      </c>
      <c r="J129" s="119"/>
      <c r="K129" s="132"/>
      <c r="L129" s="138">
        <f>[49]VAL.PRINC!I106</f>
        <v>0</v>
      </c>
    </row>
    <row r="130" spans="1:12" ht="15" hidden="1">
      <c r="A130" s="145" t="s">
        <v>185</v>
      </c>
      <c r="B130" s="150" t="s">
        <v>221</v>
      </c>
      <c r="C130" s="162" t="s">
        <v>48</v>
      </c>
      <c r="D130" s="118"/>
      <c r="E130" s="119"/>
      <c r="F130" s="119"/>
      <c r="G130" s="119"/>
      <c r="H130" s="119"/>
      <c r="I130" s="114">
        <f t="shared" si="1"/>
        <v>0</v>
      </c>
      <c r="J130" s="119"/>
      <c r="K130" s="132"/>
      <c r="L130" s="138">
        <f>[49]VAL.PRINC!I107</f>
        <v>0</v>
      </c>
    </row>
    <row r="131" spans="1:12" ht="15" hidden="1">
      <c r="A131" s="145" t="s">
        <v>185</v>
      </c>
      <c r="B131" s="150" t="s">
        <v>126</v>
      </c>
      <c r="C131" s="155" t="s">
        <v>37</v>
      </c>
      <c r="D131" s="118"/>
      <c r="E131" s="119"/>
      <c r="F131" s="119"/>
      <c r="G131" s="119"/>
      <c r="H131" s="119"/>
      <c r="I131" s="114">
        <f t="shared" si="1"/>
        <v>0</v>
      </c>
      <c r="J131" s="119"/>
      <c r="K131" s="132"/>
      <c r="L131" s="138">
        <f>[49]VAL.PRINC!I108</f>
        <v>0</v>
      </c>
    </row>
    <row r="132" spans="1:12" ht="15" hidden="1">
      <c r="A132" s="145" t="s">
        <v>185</v>
      </c>
      <c r="B132" s="150" t="s">
        <v>122</v>
      </c>
      <c r="C132" s="157" t="s">
        <v>40</v>
      </c>
      <c r="D132" s="118"/>
      <c r="E132" s="119"/>
      <c r="F132" s="119"/>
      <c r="G132" s="119"/>
      <c r="H132" s="119"/>
      <c r="I132" s="114">
        <f t="shared" si="1"/>
        <v>0</v>
      </c>
      <c r="J132" s="119"/>
      <c r="K132" s="132"/>
      <c r="L132" s="138">
        <f>[49]VAL.PRINC!I109</f>
        <v>0</v>
      </c>
    </row>
    <row r="133" spans="1:12" ht="15" hidden="1">
      <c r="A133" s="145" t="s">
        <v>185</v>
      </c>
      <c r="B133" s="150" t="s">
        <v>222</v>
      </c>
      <c r="C133" s="156" t="s">
        <v>37</v>
      </c>
      <c r="D133" s="118"/>
      <c r="E133" s="119"/>
      <c r="F133" s="119"/>
      <c r="G133" s="119"/>
      <c r="H133" s="119"/>
      <c r="I133" s="114">
        <f t="shared" si="1"/>
        <v>0</v>
      </c>
      <c r="J133" s="119"/>
      <c r="K133" s="132"/>
      <c r="L133" s="138">
        <f>[49]VAL.PRINC!I110</f>
        <v>0</v>
      </c>
    </row>
    <row r="134" spans="1:12" ht="15" hidden="1">
      <c r="A134" s="146" t="s">
        <v>187</v>
      </c>
      <c r="B134" s="152" t="s">
        <v>188</v>
      </c>
      <c r="C134" s="157"/>
      <c r="D134" s="118"/>
      <c r="E134" s="119"/>
      <c r="F134" s="119"/>
      <c r="G134" s="119"/>
      <c r="H134" s="119"/>
      <c r="I134" s="114">
        <f t="shared" si="1"/>
        <v>0</v>
      </c>
      <c r="J134" s="119"/>
      <c r="K134" s="132"/>
      <c r="L134" s="138">
        <f>[49]VAL.PRINC!I111</f>
        <v>0</v>
      </c>
    </row>
    <row r="135" spans="1:12" ht="15" hidden="1">
      <c r="A135" s="145" t="s">
        <v>187</v>
      </c>
      <c r="B135" s="150" t="s">
        <v>223</v>
      </c>
      <c r="C135" s="157" t="s">
        <v>36</v>
      </c>
      <c r="D135" s="118"/>
      <c r="E135" s="119"/>
      <c r="F135" s="119"/>
      <c r="G135" s="119"/>
      <c r="H135" s="119"/>
      <c r="I135" s="114">
        <f t="shared" si="1"/>
        <v>0</v>
      </c>
      <c r="J135" s="119"/>
      <c r="K135" s="132"/>
      <c r="L135" s="138">
        <f>[49]VAL.PRINC!I112</f>
        <v>0</v>
      </c>
    </row>
    <row r="136" spans="1:12" ht="15" hidden="1">
      <c r="A136" s="145" t="s">
        <v>187</v>
      </c>
      <c r="B136" s="150" t="s">
        <v>224</v>
      </c>
      <c r="C136" s="157" t="s">
        <v>36</v>
      </c>
      <c r="D136" s="118"/>
      <c r="E136" s="119"/>
      <c r="F136" s="119"/>
      <c r="G136" s="119"/>
      <c r="H136" s="119"/>
      <c r="I136" s="114">
        <f t="shared" si="1"/>
        <v>0</v>
      </c>
      <c r="J136" s="119"/>
      <c r="K136" s="132"/>
      <c r="L136" s="138">
        <f>[49]VAL.PRINC!I113</f>
        <v>0</v>
      </c>
    </row>
    <row r="137" spans="1:12" ht="15" hidden="1">
      <c r="A137" s="145" t="s">
        <v>187</v>
      </c>
      <c r="B137" s="150" t="s">
        <v>225</v>
      </c>
      <c r="C137" s="163" t="s">
        <v>36</v>
      </c>
      <c r="D137" s="118"/>
      <c r="E137" s="119"/>
      <c r="F137" s="119"/>
      <c r="G137" s="119"/>
      <c r="H137" s="119"/>
      <c r="I137" s="114">
        <f t="shared" si="1"/>
        <v>0</v>
      </c>
      <c r="J137" s="119"/>
      <c r="K137" s="132"/>
      <c r="L137" s="138">
        <f>[49]VAL.PRINC!I114</f>
        <v>0</v>
      </c>
    </row>
    <row r="138" spans="1:12" ht="15" hidden="1">
      <c r="A138" s="145" t="s">
        <v>187</v>
      </c>
      <c r="B138" s="150" t="s">
        <v>226</v>
      </c>
      <c r="C138" s="157" t="s">
        <v>36</v>
      </c>
      <c r="D138" s="118"/>
      <c r="E138" s="119"/>
      <c r="F138" s="119"/>
      <c r="G138" s="119"/>
      <c r="H138" s="119"/>
      <c r="I138" s="114">
        <f t="shared" si="1"/>
        <v>0</v>
      </c>
      <c r="J138" s="119"/>
      <c r="K138" s="132"/>
      <c r="L138" s="138">
        <f>[49]VAL.PRINC!I115</f>
        <v>0</v>
      </c>
    </row>
    <row r="139" spans="1:12" ht="15" hidden="1">
      <c r="A139" s="145" t="s">
        <v>187</v>
      </c>
      <c r="B139" s="150" t="s">
        <v>227</v>
      </c>
      <c r="C139" s="159" t="s">
        <v>36</v>
      </c>
      <c r="D139" s="118"/>
      <c r="E139" s="119"/>
      <c r="F139" s="119"/>
      <c r="G139" s="119"/>
      <c r="H139" s="119"/>
      <c r="I139" s="114">
        <f t="shared" si="1"/>
        <v>0</v>
      </c>
      <c r="J139" s="119"/>
      <c r="K139" s="132"/>
      <c r="L139" s="138">
        <f>[49]VAL.PRINC!I116</f>
        <v>0</v>
      </c>
    </row>
    <row r="140" spans="1:12" ht="15" hidden="1">
      <c r="A140" s="145" t="s">
        <v>187</v>
      </c>
      <c r="B140" s="150" t="s">
        <v>228</v>
      </c>
      <c r="C140" s="157" t="s">
        <v>64</v>
      </c>
      <c r="D140" s="118"/>
      <c r="E140" s="119"/>
      <c r="F140" s="119"/>
      <c r="G140" s="119"/>
      <c r="H140" s="119"/>
      <c r="I140" s="114">
        <f t="shared" si="1"/>
        <v>0</v>
      </c>
      <c r="J140" s="119"/>
      <c r="K140" s="132"/>
      <c r="L140" s="138">
        <f>[49]VAL.PRINC!I117</f>
        <v>0</v>
      </c>
    </row>
    <row r="141" spans="1:12" ht="15" hidden="1">
      <c r="A141" s="145" t="s">
        <v>187</v>
      </c>
      <c r="B141" s="150" t="s">
        <v>229</v>
      </c>
      <c r="C141" s="156" t="s">
        <v>36</v>
      </c>
      <c r="D141" s="118"/>
      <c r="E141" s="119"/>
      <c r="F141" s="119"/>
      <c r="G141" s="119"/>
      <c r="H141" s="119"/>
      <c r="I141" s="114">
        <f t="shared" si="1"/>
        <v>0</v>
      </c>
      <c r="J141" s="119"/>
      <c r="K141" s="132"/>
      <c r="L141" s="138">
        <f>[49]VAL.PRINC!I118</f>
        <v>0</v>
      </c>
    </row>
    <row r="142" spans="1:12" ht="15" hidden="1">
      <c r="A142" s="146" t="s">
        <v>189</v>
      </c>
      <c r="B142" s="152" t="s">
        <v>190</v>
      </c>
      <c r="C142" s="157"/>
      <c r="D142" s="118"/>
      <c r="E142" s="119"/>
      <c r="F142" s="119"/>
      <c r="G142" s="119"/>
      <c r="H142" s="119"/>
      <c r="I142" s="114">
        <f t="shared" si="1"/>
        <v>0</v>
      </c>
      <c r="J142" s="119"/>
      <c r="K142" s="132"/>
      <c r="L142" s="138">
        <f>[49]VAL.PRINC!I119</f>
        <v>0</v>
      </c>
    </row>
    <row r="143" spans="1:12" ht="15" hidden="1">
      <c r="A143" s="145" t="s">
        <v>189</v>
      </c>
      <c r="B143" s="150" t="s">
        <v>191</v>
      </c>
      <c r="C143" s="156" t="s">
        <v>36</v>
      </c>
      <c r="D143" s="118"/>
      <c r="E143" s="119"/>
      <c r="F143" s="119"/>
      <c r="G143" s="119"/>
      <c r="H143" s="119"/>
      <c r="I143" s="114">
        <f t="shared" si="1"/>
        <v>0</v>
      </c>
      <c r="J143" s="119"/>
      <c r="K143" s="132"/>
      <c r="L143" s="138">
        <f>[49]VAL.PRINC!I120</f>
        <v>0</v>
      </c>
    </row>
    <row r="144" spans="1:12" ht="15" hidden="1">
      <c r="A144" s="145" t="s">
        <v>189</v>
      </c>
      <c r="B144" s="150" t="s">
        <v>192</v>
      </c>
      <c r="C144" s="156" t="s">
        <v>36</v>
      </c>
      <c r="D144" s="118"/>
      <c r="E144" s="119"/>
      <c r="F144" s="119"/>
      <c r="G144" s="119"/>
      <c r="H144" s="119"/>
      <c r="I144" s="114">
        <f t="shared" si="1"/>
        <v>0</v>
      </c>
      <c r="J144" s="119"/>
      <c r="K144" s="132"/>
      <c r="L144" s="138">
        <f>[49]VAL.PRINC!I121</f>
        <v>0</v>
      </c>
    </row>
    <row r="145" spans="1:12" ht="15" hidden="1">
      <c r="A145" s="145" t="s">
        <v>189</v>
      </c>
      <c r="B145" s="150" t="s">
        <v>193</v>
      </c>
      <c r="C145" s="156" t="s">
        <v>36</v>
      </c>
      <c r="D145" s="118"/>
      <c r="E145" s="119"/>
      <c r="F145" s="119"/>
      <c r="G145" s="119"/>
      <c r="H145" s="119"/>
      <c r="I145" s="114">
        <f t="shared" si="1"/>
        <v>0</v>
      </c>
      <c r="J145" s="119"/>
      <c r="K145" s="132"/>
      <c r="L145" s="138">
        <f>[49]VAL.PRINC!I122</f>
        <v>0</v>
      </c>
    </row>
    <row r="146" spans="1:12" ht="15" hidden="1">
      <c r="A146" s="145" t="s">
        <v>189</v>
      </c>
      <c r="B146" s="150" t="s">
        <v>194</v>
      </c>
      <c r="C146" s="156" t="s">
        <v>36</v>
      </c>
      <c r="D146" s="118"/>
      <c r="E146" s="119"/>
      <c r="F146" s="119"/>
      <c r="G146" s="119"/>
      <c r="H146" s="119"/>
      <c r="I146" s="114">
        <f t="shared" si="1"/>
        <v>0</v>
      </c>
      <c r="J146" s="119"/>
      <c r="K146" s="132"/>
      <c r="L146" s="138">
        <f>[49]VAL.PRINC!I123</f>
        <v>0</v>
      </c>
    </row>
    <row r="147" spans="1:12" ht="15">
      <c r="A147" s="146" t="s">
        <v>195</v>
      </c>
      <c r="B147" s="152" t="s">
        <v>196</v>
      </c>
      <c r="C147" s="157"/>
      <c r="D147" s="118"/>
      <c r="E147" s="119"/>
      <c r="F147" s="119"/>
      <c r="G147" s="119"/>
      <c r="H147" s="119"/>
      <c r="I147" s="114">
        <f t="shared" si="1"/>
        <v>0</v>
      </c>
      <c r="J147" s="119"/>
      <c r="K147" s="132"/>
      <c r="L147" s="138">
        <f>[49]VAL.PRINC!I124</f>
        <v>0</v>
      </c>
    </row>
    <row r="148" spans="1:12" ht="15">
      <c r="A148" s="145" t="s">
        <v>195</v>
      </c>
      <c r="B148" s="150" t="s">
        <v>197</v>
      </c>
      <c r="C148" s="156" t="s">
        <v>64</v>
      </c>
      <c r="D148" s="118"/>
      <c r="E148" s="119"/>
      <c r="F148" s="119"/>
      <c r="G148" s="119"/>
      <c r="H148" s="119"/>
      <c r="I148" s="114">
        <f t="shared" si="1"/>
        <v>0</v>
      </c>
      <c r="J148" s="119"/>
      <c r="K148" s="132"/>
      <c r="L148" s="138">
        <f>[49]VAL.PRINC!I125</f>
        <v>0</v>
      </c>
    </row>
    <row r="149" spans="1:12" ht="15" hidden="1">
      <c r="A149" s="146" t="s">
        <v>198</v>
      </c>
      <c r="B149" s="152" t="s">
        <v>199</v>
      </c>
      <c r="C149" s="157"/>
      <c r="D149" s="118"/>
      <c r="E149" s="119"/>
      <c r="F149" s="119"/>
      <c r="G149" s="119"/>
      <c r="H149" s="119"/>
      <c r="I149" s="114">
        <f t="shared" si="1"/>
        <v>0</v>
      </c>
      <c r="J149" s="119"/>
      <c r="K149" s="132"/>
      <c r="L149" s="138">
        <f>[49]VAL.PRINC!I126</f>
        <v>0</v>
      </c>
    </row>
    <row r="150" spans="1:12" ht="15" hidden="1">
      <c r="A150" s="147" t="s">
        <v>200</v>
      </c>
      <c r="B150" s="151" t="s">
        <v>230</v>
      </c>
      <c r="C150" s="157"/>
      <c r="D150" s="118"/>
      <c r="E150" s="119"/>
      <c r="F150" s="119"/>
      <c r="G150" s="119"/>
      <c r="H150" s="119"/>
      <c r="I150" s="114">
        <f t="shared" si="1"/>
        <v>0</v>
      </c>
      <c r="J150" s="119"/>
      <c r="K150" s="132"/>
      <c r="L150" s="138">
        <f>[49]VAL.PRINC!I127</f>
        <v>0</v>
      </c>
    </row>
    <row r="151" spans="1:12" ht="15" hidden="1">
      <c r="A151" s="145" t="s">
        <v>200</v>
      </c>
      <c r="B151" s="150" t="s">
        <v>231</v>
      </c>
      <c r="C151" s="156" t="s">
        <v>40</v>
      </c>
      <c r="D151" s="118"/>
      <c r="E151" s="119"/>
      <c r="F151" s="119"/>
      <c r="G151" s="119"/>
      <c r="H151" s="119"/>
      <c r="I151" s="114">
        <f t="shared" si="1"/>
        <v>0</v>
      </c>
      <c r="J151" s="119"/>
      <c r="K151" s="132"/>
      <c r="L151" s="138">
        <f>[49]VAL.PRINC!I128</f>
        <v>0</v>
      </c>
    </row>
    <row r="152" spans="1:12" ht="15" hidden="1">
      <c r="A152" s="145" t="s">
        <v>200</v>
      </c>
      <c r="B152" s="150" t="s">
        <v>232</v>
      </c>
      <c r="C152" s="156" t="s">
        <v>40</v>
      </c>
      <c r="D152" s="118"/>
      <c r="E152" s="119"/>
      <c r="F152" s="119"/>
      <c r="G152" s="119"/>
      <c r="H152" s="119"/>
      <c r="I152" s="114">
        <f t="shared" si="1"/>
        <v>0</v>
      </c>
      <c r="J152" s="119"/>
      <c r="K152" s="132"/>
      <c r="L152" s="138">
        <f>[49]VAL.PRINC!I129</f>
        <v>0</v>
      </c>
    </row>
    <row r="153" spans="1:12" ht="15" hidden="1">
      <c r="A153" s="145" t="s">
        <v>200</v>
      </c>
      <c r="B153" s="150" t="s">
        <v>233</v>
      </c>
      <c r="C153" s="156" t="s">
        <v>246</v>
      </c>
      <c r="D153" s="118"/>
      <c r="E153" s="119"/>
      <c r="F153" s="119"/>
      <c r="G153" s="119"/>
      <c r="H153" s="119"/>
      <c r="I153" s="114">
        <f>PRODUCT(D153:H153)</f>
        <v>0</v>
      </c>
      <c r="J153" s="119"/>
      <c r="K153" s="132"/>
      <c r="L153" s="138">
        <f>[49]VAL.PRINC!I130</f>
        <v>0</v>
      </c>
    </row>
    <row r="154" spans="1:12" ht="15" hidden="1">
      <c r="A154" s="145" t="s">
        <v>200</v>
      </c>
      <c r="B154" s="150" t="s">
        <v>234</v>
      </c>
      <c r="C154" s="156" t="s">
        <v>40</v>
      </c>
      <c r="D154" s="118"/>
      <c r="E154" s="119"/>
      <c r="F154" s="119"/>
      <c r="G154" s="119"/>
      <c r="H154" s="119"/>
      <c r="I154" s="114">
        <f t="shared" si="1"/>
        <v>0</v>
      </c>
      <c r="J154" s="119"/>
      <c r="K154" s="132"/>
      <c r="L154" s="138">
        <f>[49]VAL.PRINC!I131</f>
        <v>0</v>
      </c>
    </row>
    <row r="155" spans="1:12" ht="15" hidden="1">
      <c r="A155" s="145" t="s">
        <v>200</v>
      </c>
      <c r="B155" s="150" t="s">
        <v>235</v>
      </c>
      <c r="C155" s="156" t="s">
        <v>37</v>
      </c>
      <c r="D155" s="118"/>
      <c r="E155" s="119"/>
      <c r="F155" s="119"/>
      <c r="G155" s="119"/>
      <c r="H155" s="119"/>
      <c r="I155" s="114">
        <f t="shared" si="1"/>
        <v>0</v>
      </c>
      <c r="J155" s="119"/>
      <c r="K155" s="132"/>
      <c r="L155" s="138">
        <f>[49]VAL.PRINC!I132</f>
        <v>0</v>
      </c>
    </row>
    <row r="156" spans="1:12" ht="15" hidden="1">
      <c r="A156" s="145" t="s">
        <v>200</v>
      </c>
      <c r="B156" s="150" t="s">
        <v>236</v>
      </c>
      <c r="C156" s="159" t="s">
        <v>37</v>
      </c>
      <c r="D156" s="118"/>
      <c r="E156" s="119"/>
      <c r="F156" s="119"/>
      <c r="G156" s="119"/>
      <c r="H156" s="119"/>
      <c r="I156" s="114">
        <f t="shared" si="1"/>
        <v>0</v>
      </c>
      <c r="J156" s="119"/>
      <c r="K156" s="132"/>
      <c r="L156" s="138">
        <f>[49]VAL.PRINC!I133</f>
        <v>0</v>
      </c>
    </row>
    <row r="157" spans="1:12" ht="15" hidden="1">
      <c r="A157" s="147" t="s">
        <v>201</v>
      </c>
      <c r="B157" s="151" t="s">
        <v>202</v>
      </c>
      <c r="C157" s="157"/>
      <c r="D157" s="118"/>
      <c r="E157" s="119"/>
      <c r="F157" s="119"/>
      <c r="G157" s="119"/>
      <c r="H157" s="119"/>
      <c r="I157" s="114">
        <f t="shared" si="1"/>
        <v>0</v>
      </c>
      <c r="J157" s="119"/>
      <c r="K157" s="132"/>
      <c r="L157" s="138">
        <f>[49]VAL.PRINC!I134</f>
        <v>0</v>
      </c>
    </row>
    <row r="158" spans="1:12" ht="15" hidden="1">
      <c r="A158" s="145" t="s">
        <v>201</v>
      </c>
      <c r="B158" s="150" t="s">
        <v>203</v>
      </c>
      <c r="C158" s="156" t="s">
        <v>64</v>
      </c>
      <c r="D158" s="118"/>
      <c r="E158" s="119"/>
      <c r="F158" s="119"/>
      <c r="G158" s="119"/>
      <c r="H158" s="119"/>
      <c r="I158" s="114">
        <f t="shared" si="1"/>
        <v>0</v>
      </c>
      <c r="J158" s="119"/>
      <c r="K158" s="132"/>
      <c r="L158" s="138">
        <f>[49]VAL.PRINC!I135</f>
        <v>0</v>
      </c>
    </row>
    <row r="159" spans="1:12" ht="15" hidden="1">
      <c r="A159" s="145" t="s">
        <v>201</v>
      </c>
      <c r="B159" s="150" t="s">
        <v>204</v>
      </c>
      <c r="C159" s="156" t="s">
        <v>64</v>
      </c>
      <c r="D159" s="118"/>
      <c r="E159" s="119"/>
      <c r="F159" s="119"/>
      <c r="G159" s="119"/>
      <c r="H159" s="119"/>
      <c r="I159" s="114">
        <f t="shared" si="1"/>
        <v>0</v>
      </c>
      <c r="J159" s="119"/>
      <c r="K159" s="132"/>
      <c r="L159" s="138">
        <f>[49]VAL.PRINC!I136</f>
        <v>0</v>
      </c>
    </row>
    <row r="160" spans="1:12" ht="15" hidden="1">
      <c r="A160" s="145" t="s">
        <v>201</v>
      </c>
      <c r="B160" s="150" t="s">
        <v>205</v>
      </c>
      <c r="C160" s="159" t="s">
        <v>64</v>
      </c>
      <c r="D160" s="118"/>
      <c r="E160" s="119"/>
      <c r="F160" s="119"/>
      <c r="G160" s="119"/>
      <c r="H160" s="119"/>
      <c r="I160" s="114">
        <f t="shared" si="1"/>
        <v>0</v>
      </c>
      <c r="J160" s="119"/>
      <c r="K160" s="132"/>
      <c r="L160" s="138">
        <f>[49]VAL.PRINC!I137</f>
        <v>0</v>
      </c>
    </row>
    <row r="161" spans="1:12" ht="15" hidden="1">
      <c r="A161" s="147" t="s">
        <v>206</v>
      </c>
      <c r="B161" s="151" t="s">
        <v>207</v>
      </c>
      <c r="C161" s="156"/>
      <c r="D161" s="118"/>
      <c r="E161" s="119"/>
      <c r="F161" s="119"/>
      <c r="G161" s="119"/>
      <c r="H161" s="119"/>
      <c r="I161" s="114">
        <f t="shared" si="1"/>
        <v>0</v>
      </c>
      <c r="J161" s="119"/>
      <c r="K161" s="132"/>
      <c r="L161" s="138">
        <f>[49]VAL.PRINC!I138</f>
        <v>0</v>
      </c>
    </row>
    <row r="162" spans="1:12" ht="15" hidden="1">
      <c r="A162" s="145" t="s">
        <v>206</v>
      </c>
      <c r="B162" s="150" t="s">
        <v>240</v>
      </c>
      <c r="C162" s="156" t="s">
        <v>64</v>
      </c>
      <c r="D162" s="118"/>
      <c r="E162" s="119"/>
      <c r="F162" s="119"/>
      <c r="G162" s="119"/>
      <c r="H162" s="119"/>
      <c r="I162" s="114">
        <f t="shared" si="1"/>
        <v>0</v>
      </c>
      <c r="J162" s="119"/>
      <c r="K162" s="132"/>
      <c r="L162" s="138">
        <f>[49]VAL.PRINC!I139</f>
        <v>0</v>
      </c>
    </row>
    <row r="163" spans="1:12" ht="15" hidden="1">
      <c r="A163" s="145" t="s">
        <v>206</v>
      </c>
      <c r="B163" s="150" t="s">
        <v>237</v>
      </c>
      <c r="C163" s="156" t="s">
        <v>64</v>
      </c>
      <c r="D163" s="118"/>
      <c r="E163" s="119"/>
      <c r="F163" s="119"/>
      <c r="G163" s="119"/>
      <c r="H163" s="119"/>
      <c r="I163" s="114">
        <f t="shared" si="1"/>
        <v>0</v>
      </c>
      <c r="J163" s="119"/>
      <c r="K163" s="132"/>
      <c r="L163" s="138">
        <f>[49]VAL.PRINC!I140</f>
        <v>0</v>
      </c>
    </row>
    <row r="164" spans="1:12" ht="15" hidden="1">
      <c r="A164" s="145" t="s">
        <v>206</v>
      </c>
      <c r="B164" s="150" t="s">
        <v>238</v>
      </c>
      <c r="C164" s="156" t="s">
        <v>64</v>
      </c>
      <c r="D164" s="118"/>
      <c r="E164" s="119"/>
      <c r="F164" s="119"/>
      <c r="G164" s="119"/>
      <c r="H164" s="119"/>
      <c r="I164" s="114">
        <f t="shared" si="1"/>
        <v>0</v>
      </c>
      <c r="J164" s="119"/>
      <c r="K164" s="132"/>
      <c r="L164" s="138">
        <f>[49]VAL.PRINC!I141</f>
        <v>0</v>
      </c>
    </row>
    <row r="165" spans="1:12" ht="15" hidden="1">
      <c r="A165" s="145" t="s">
        <v>206</v>
      </c>
      <c r="B165" s="150" t="s">
        <v>239</v>
      </c>
      <c r="C165" s="156" t="s">
        <v>64</v>
      </c>
      <c r="D165" s="118"/>
      <c r="E165" s="119"/>
      <c r="F165" s="119"/>
      <c r="G165" s="119"/>
      <c r="H165" s="119"/>
      <c r="I165" s="114">
        <f t="shared" si="1"/>
        <v>0</v>
      </c>
      <c r="J165" s="119"/>
      <c r="K165" s="132"/>
      <c r="L165" s="138">
        <f>[49]VAL.PRINC!I142</f>
        <v>0</v>
      </c>
    </row>
    <row r="166" spans="1:12" ht="15">
      <c r="A166" s="146" t="s">
        <v>208</v>
      </c>
      <c r="B166" s="152" t="s">
        <v>209</v>
      </c>
      <c r="C166" s="157"/>
      <c r="D166" s="118"/>
      <c r="E166" s="119"/>
      <c r="F166" s="119"/>
      <c r="G166" s="119"/>
      <c r="H166" s="119"/>
      <c r="I166" s="114">
        <f t="shared" si="1"/>
        <v>0</v>
      </c>
      <c r="J166" s="119"/>
      <c r="K166" s="132"/>
      <c r="L166" s="138">
        <f>[49]VAL.PRINC!I143</f>
        <v>0</v>
      </c>
    </row>
    <row r="167" spans="1:12" ht="15">
      <c r="A167" s="145" t="s">
        <v>208</v>
      </c>
      <c r="B167" s="150" t="s">
        <v>210</v>
      </c>
      <c r="C167" s="157" t="s">
        <v>64</v>
      </c>
      <c r="D167" s="118"/>
      <c r="E167" s="119"/>
      <c r="F167" s="119"/>
      <c r="G167" s="119"/>
      <c r="H167" s="119"/>
      <c r="I167" s="114">
        <f t="shared" si="1"/>
        <v>0</v>
      </c>
      <c r="J167" s="119"/>
      <c r="K167" s="132"/>
      <c r="L167" s="138">
        <f>[49]VAL.PRINC!I144</f>
        <v>0</v>
      </c>
    </row>
    <row r="168" spans="1:12" ht="15">
      <c r="A168" s="145" t="s">
        <v>208</v>
      </c>
      <c r="B168" s="150" t="s">
        <v>211</v>
      </c>
      <c r="C168" s="159" t="s">
        <v>64</v>
      </c>
      <c r="D168" s="118"/>
      <c r="E168" s="119"/>
      <c r="F168" s="119"/>
      <c r="G168" s="119"/>
      <c r="H168" s="119"/>
      <c r="I168" s="114">
        <f t="shared" si="1"/>
        <v>0</v>
      </c>
      <c r="J168" s="119"/>
      <c r="K168" s="132"/>
      <c r="L168" s="138">
        <f>[49]VAL.PRINC!I145</f>
        <v>0</v>
      </c>
    </row>
    <row r="169" spans="1:12" ht="15">
      <c r="A169" s="145" t="s">
        <v>208</v>
      </c>
      <c r="B169" s="150" t="s">
        <v>212</v>
      </c>
      <c r="C169" s="157" t="s">
        <v>64</v>
      </c>
      <c r="D169" s="118"/>
      <c r="E169" s="119"/>
      <c r="F169" s="119"/>
      <c r="G169" s="119"/>
      <c r="H169" s="119"/>
      <c r="I169" s="114">
        <f t="shared" si="1"/>
        <v>0</v>
      </c>
      <c r="J169" s="119"/>
      <c r="K169" s="132"/>
      <c r="L169" s="138">
        <f>[49]VAL.PRINC!I146</f>
        <v>0</v>
      </c>
    </row>
    <row r="170" spans="1:12" ht="15" hidden="1">
      <c r="A170" s="146" t="s">
        <v>213</v>
      </c>
      <c r="B170" s="152" t="s">
        <v>214</v>
      </c>
      <c r="C170" s="158"/>
      <c r="D170" s="118"/>
      <c r="E170" s="119"/>
      <c r="F170" s="119"/>
      <c r="G170" s="119"/>
      <c r="H170" s="119"/>
      <c r="I170" s="114">
        <f t="shared" si="1"/>
        <v>0</v>
      </c>
      <c r="J170" s="119"/>
      <c r="K170" s="132"/>
      <c r="L170" s="138">
        <f>[49]VAL.PRINC!I147</f>
        <v>0</v>
      </c>
    </row>
    <row r="171" spans="1:12" ht="15.75" hidden="1" thickBot="1">
      <c r="A171" s="149" t="s">
        <v>213</v>
      </c>
      <c r="B171" s="154" t="s">
        <v>215</v>
      </c>
      <c r="C171" s="165" t="s">
        <v>64</v>
      </c>
      <c r="D171" s="120"/>
      <c r="E171" s="121"/>
      <c r="F171" s="121"/>
      <c r="G171" s="121"/>
      <c r="H171" s="121"/>
      <c r="I171" s="114">
        <f t="shared" si="1"/>
        <v>0</v>
      </c>
      <c r="J171" s="121"/>
      <c r="K171" s="133"/>
      <c r="L171" s="138">
        <f>[49]VAL.PRINC!I148</f>
        <v>0</v>
      </c>
    </row>
  </sheetData>
  <mergeCells count="3">
    <mergeCell ref="A4:K4"/>
    <mergeCell ref="B6:I6"/>
    <mergeCell ref="F47:H47"/>
  </mergeCells>
  <pageMargins left="0.70866141732283472" right="0.70866141732283472" top="0.74803149606299213" bottom="0.74803149606299213" header="0.31496062992125984" footer="0.31496062992125984"/>
  <pageSetup scale="61" orientation="landscape" r:id="rId1"/>
  <rowBreaks count="2" manualBreakCount="2">
    <brk id="125" max="10" man="1"/>
    <brk id="171" max="10" man="1"/>
  </rowBreaks>
  <colBreaks count="2" manualBreakCount="2">
    <brk id="15" max="1048575" man="1"/>
    <brk id="22" max="84" man="1"/>
  </colBreaks>
  <drawing r:id="rId2"/>
  <legacyDrawing r:id="rId3"/>
  <oleObjects>
    <mc:AlternateContent xmlns:mc="http://schemas.openxmlformats.org/markup-compatibility/2006">
      <mc:Choice Requires="x14">
        <oleObject progId="Word.Picture.8" shapeId="36865" r:id="rId4">
          <objectPr defaultSize="0" autoPict="0" r:id="rId5">
            <anchor moveWithCells="1" sizeWithCells="1">
              <from>
                <xdr:col>10</xdr:col>
                <xdr:colOff>0</xdr:colOff>
                <xdr:row>0</xdr:row>
                <xdr:rowOff>104775</xdr:rowOff>
              </from>
              <to>
                <xdr:col>10</xdr:col>
                <xdr:colOff>790575</xdr:colOff>
                <xdr:row>6</xdr:row>
                <xdr:rowOff>0</xdr:rowOff>
              </to>
            </anchor>
          </objectPr>
        </oleObject>
      </mc:Choice>
      <mc:Fallback>
        <oleObject progId="Word.Picture.8" shapeId="36865" r:id="rId4"/>
      </mc:Fallback>
    </mc:AlternateContent>
  </oleObject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002060"/>
  </sheetPr>
  <dimension ref="A1:N178"/>
  <sheetViews>
    <sheetView workbookViewId="0"/>
  </sheetViews>
  <sheetFormatPr baseColWidth="10" defaultColWidth="11.42578125" defaultRowHeight="15"/>
  <cols>
    <col min="1" max="1" width="11.42578125" style="366"/>
    <col min="2" max="2" width="9.5703125" style="366" customWidth="1"/>
    <col min="3" max="3" width="68.5703125" style="366" customWidth="1"/>
    <col min="4" max="4" width="11.42578125" style="366" bestFit="1" customWidth="1"/>
    <col min="5" max="5" width="8" style="366" bestFit="1" customWidth="1"/>
    <col min="6" max="6" width="14.42578125" style="366" customWidth="1"/>
    <col min="7" max="11" width="13.5703125" style="366" customWidth="1"/>
    <col min="12" max="14" width="16.5703125" style="366" customWidth="1"/>
    <col min="15" max="16384" width="11.42578125" style="366"/>
  </cols>
  <sheetData>
    <row r="1" spans="1:11">
      <c r="A1" s="366" t="s">
        <v>473</v>
      </c>
    </row>
    <row r="6" spans="1:11" ht="24.75">
      <c r="B6" s="2930" t="s">
        <v>472</v>
      </c>
      <c r="C6" s="2930"/>
      <c r="D6" s="2930"/>
      <c r="E6" s="2930"/>
      <c r="F6" s="2930"/>
      <c r="G6" s="2930"/>
      <c r="H6" s="2930"/>
      <c r="I6" s="2930"/>
      <c r="J6" s="454"/>
      <c r="K6" s="454"/>
    </row>
    <row r="7" spans="1:11">
      <c r="B7" s="431"/>
      <c r="C7" s="431"/>
      <c r="D7" s="431"/>
      <c r="E7" s="431"/>
      <c r="F7" s="432"/>
      <c r="G7" s="431"/>
      <c r="H7" s="431"/>
    </row>
    <row r="8" spans="1:11">
      <c r="B8" s="427"/>
      <c r="C8" s="429" t="s">
        <v>471</v>
      </c>
      <c r="D8" s="428" t="s">
        <v>470</v>
      </c>
      <c r="E8" s="428" t="s">
        <v>534</v>
      </c>
      <c r="F8" s="430"/>
      <c r="G8" s="430"/>
      <c r="H8" s="430"/>
    </row>
    <row r="9" spans="1:11">
      <c r="B9" s="427"/>
      <c r="C9" s="429" t="s">
        <v>7</v>
      </c>
      <c r="D9" s="428" t="s">
        <v>469</v>
      </c>
      <c r="E9" s="428" t="s">
        <v>468</v>
      </c>
      <c r="F9" s="427"/>
      <c r="G9" s="427"/>
      <c r="H9" s="428"/>
    </row>
    <row r="10" spans="1:11">
      <c r="B10" s="427"/>
      <c r="C10" s="429" t="s">
        <v>467</v>
      </c>
      <c r="D10" s="428" t="s">
        <v>466</v>
      </c>
      <c r="E10" s="428" t="s">
        <v>465</v>
      </c>
      <c r="F10" s="427"/>
      <c r="G10" s="427"/>
      <c r="H10" s="428"/>
    </row>
    <row r="11" spans="1:11">
      <c r="B11" s="427"/>
      <c r="C11" s="429" t="s">
        <v>464</v>
      </c>
      <c r="D11" s="428" t="s">
        <v>1795</v>
      </c>
      <c r="E11" s="428" t="s">
        <v>463</v>
      </c>
      <c r="F11" s="427"/>
      <c r="G11" s="427"/>
      <c r="H11" s="428"/>
    </row>
    <row r="12" spans="1:11">
      <c r="B12" s="427"/>
      <c r="C12" s="429" t="s">
        <v>8</v>
      </c>
      <c r="D12" s="428" t="s">
        <v>1796</v>
      </c>
      <c r="E12" s="428" t="s">
        <v>1797</v>
      </c>
      <c r="F12" s="427"/>
      <c r="G12" s="427"/>
      <c r="H12" s="428"/>
    </row>
    <row r="13" spans="1:11">
      <c r="B13" s="427"/>
      <c r="C13" s="429" t="s">
        <v>462</v>
      </c>
      <c r="D13" s="428" t="s">
        <v>461</v>
      </c>
      <c r="E13" s="428" t="s">
        <v>460</v>
      </c>
      <c r="F13" s="427"/>
      <c r="G13" s="427"/>
      <c r="H13" s="428" t="s">
        <v>9</v>
      </c>
    </row>
    <row r="14" spans="1:11">
      <c r="B14" s="427"/>
      <c r="C14" s="429" t="s">
        <v>459</v>
      </c>
      <c r="D14" s="428" t="s">
        <v>458</v>
      </c>
      <c r="E14" s="428" t="s">
        <v>457</v>
      </c>
      <c r="F14" s="427"/>
      <c r="G14" s="427"/>
      <c r="H14" s="428"/>
    </row>
    <row r="15" spans="1:11">
      <c r="B15" s="427"/>
      <c r="C15" s="429" t="s">
        <v>6</v>
      </c>
      <c r="D15" s="428" t="s">
        <v>456</v>
      </c>
      <c r="E15" s="428"/>
      <c r="F15" s="427"/>
      <c r="G15" s="427"/>
      <c r="H15" s="427"/>
    </row>
    <row r="16" spans="1:11" ht="15.75" thickBot="1"/>
    <row r="17" spans="2:14" ht="15.75" thickBot="1">
      <c r="B17" s="2928" t="s">
        <v>455</v>
      </c>
      <c r="C17" s="2928" t="s">
        <v>454</v>
      </c>
      <c r="D17" s="2928" t="s">
        <v>453</v>
      </c>
      <c r="E17" s="2928" t="s">
        <v>452</v>
      </c>
      <c r="F17" s="2928" t="s">
        <v>451</v>
      </c>
      <c r="G17" s="2931" t="s">
        <v>450</v>
      </c>
      <c r="H17" s="2932"/>
      <c r="I17" s="2932"/>
      <c r="J17" s="478"/>
      <c r="K17" s="478"/>
      <c r="L17" s="2926"/>
      <c r="M17" s="2926"/>
    </row>
    <row r="18" spans="2:14" ht="15.75" customHeight="1" thickBot="1">
      <c r="B18" s="2928"/>
      <c r="C18" s="2928"/>
      <c r="D18" s="2928"/>
      <c r="E18" s="2928"/>
      <c r="F18" s="2928"/>
      <c r="G18" s="2926" t="s">
        <v>1798</v>
      </c>
      <c r="H18" s="2926" t="s">
        <v>449</v>
      </c>
      <c r="I18" s="2926" t="s">
        <v>448</v>
      </c>
      <c r="J18" s="2926" t="s">
        <v>529</v>
      </c>
      <c r="K18" s="2926" t="s">
        <v>531</v>
      </c>
      <c r="L18" s="2927"/>
      <c r="M18" s="2927"/>
    </row>
    <row r="19" spans="2:14">
      <c r="B19" s="2929"/>
      <c r="C19" s="2929"/>
      <c r="D19" s="2929"/>
      <c r="E19" s="2929"/>
      <c r="F19" s="2929"/>
      <c r="G19" s="2927"/>
      <c r="H19" s="2927"/>
      <c r="I19" s="2927"/>
      <c r="J19" s="2927"/>
      <c r="K19" s="2927"/>
      <c r="L19" s="2927"/>
      <c r="M19" s="2927"/>
    </row>
    <row r="20" spans="2:14" s="400" customFormat="1" ht="22.5">
      <c r="B20" s="426" t="s">
        <v>447</v>
      </c>
      <c r="C20" s="425" t="s">
        <v>446</v>
      </c>
      <c r="D20" s="396"/>
      <c r="E20" s="396"/>
      <c r="F20" s="423">
        <f t="shared" ref="F20:K20" si="0">F21</f>
        <v>1289323.9083465999</v>
      </c>
      <c r="G20" s="423">
        <f t="shared" si="0"/>
        <v>511408.48900410003</v>
      </c>
      <c r="H20" s="423">
        <f t="shared" si="0"/>
        <v>606219.67934249993</v>
      </c>
      <c r="I20" s="423">
        <f t="shared" si="0"/>
        <v>93536.22</v>
      </c>
      <c r="J20" s="423">
        <f t="shared" si="0"/>
        <v>78159.520000000004</v>
      </c>
      <c r="K20" s="423">
        <f t="shared" si="0"/>
        <v>78183.520000000004</v>
      </c>
      <c r="L20" s="424"/>
      <c r="M20" s="423"/>
      <c r="N20" s="401"/>
    </row>
    <row r="21" spans="2:14" s="400" customFormat="1">
      <c r="B21" s="422" t="s">
        <v>445</v>
      </c>
      <c r="C21" s="421" t="s">
        <v>444</v>
      </c>
      <c r="D21" s="396"/>
      <c r="E21" s="396"/>
      <c r="F21" s="419">
        <f t="shared" ref="F21:K21" si="1">F22+F25+F37+F60+F119+F127+F132+F134+F151+F155</f>
        <v>1289323.9083465999</v>
      </c>
      <c r="G21" s="419">
        <f t="shared" si="1"/>
        <v>511408.48900410003</v>
      </c>
      <c r="H21" s="419">
        <f t="shared" si="1"/>
        <v>606219.67934249993</v>
      </c>
      <c r="I21" s="419">
        <f t="shared" si="1"/>
        <v>93536.22</v>
      </c>
      <c r="J21" s="419">
        <f t="shared" si="1"/>
        <v>78159.520000000004</v>
      </c>
      <c r="K21" s="419">
        <f t="shared" si="1"/>
        <v>78183.520000000004</v>
      </c>
      <c r="L21" s="420"/>
      <c r="M21" s="419"/>
      <c r="N21" s="401"/>
    </row>
    <row r="22" spans="2:14" s="400" customFormat="1">
      <c r="B22" s="409" t="s">
        <v>306</v>
      </c>
      <c r="C22" s="408" t="s">
        <v>94</v>
      </c>
      <c r="D22" s="396"/>
      <c r="E22" s="396"/>
      <c r="F22" s="406">
        <f t="shared" ref="F22:K22" si="2">SUM(F23:F24)</f>
        <v>19848.202499999999</v>
      </c>
      <c r="G22" s="406">
        <f t="shared" si="2"/>
        <v>9924.1012499999997</v>
      </c>
      <c r="H22" s="406">
        <f t="shared" si="2"/>
        <v>9924.1012499999997</v>
      </c>
      <c r="I22" s="406">
        <f t="shared" si="2"/>
        <v>0</v>
      </c>
      <c r="J22" s="406">
        <f t="shared" si="2"/>
        <v>0</v>
      </c>
      <c r="K22" s="406">
        <f t="shared" si="2"/>
        <v>0</v>
      </c>
      <c r="L22" s="373">
        <f>SUM(G22:J22)</f>
        <v>19848.202499999999</v>
      </c>
      <c r="M22" s="396">
        <f t="shared" ref="M22:M85" si="3">F22-L22</f>
        <v>0</v>
      </c>
      <c r="N22" s="401"/>
    </row>
    <row r="23" spans="2:14" s="400" customFormat="1">
      <c r="B23" s="411" t="s">
        <v>306</v>
      </c>
      <c r="C23" s="410" t="s">
        <v>443</v>
      </c>
      <c r="D23" s="402">
        <f>[50]VAL.PRINC!N15</f>
        <v>0.25</v>
      </c>
      <c r="E23" s="402">
        <v>79392.81</v>
      </c>
      <c r="F23" s="402">
        <f>D23*E23</f>
        <v>19848.202499999999</v>
      </c>
      <c r="G23" s="402">
        <v>9924.1012499999997</v>
      </c>
      <c r="H23" s="402">
        <f>F23/2</f>
        <v>9924.1012499999997</v>
      </c>
      <c r="I23" s="402"/>
      <c r="J23" s="402"/>
      <c r="K23" s="402"/>
      <c r="L23" s="373">
        <f t="shared" ref="L23:L86" si="4">SUM(G23:J23)</f>
        <v>19848.202499999999</v>
      </c>
      <c r="M23" s="396">
        <f t="shared" si="3"/>
        <v>0</v>
      </c>
      <c r="N23" s="401"/>
    </row>
    <row r="24" spans="2:14" s="400" customFormat="1">
      <c r="B24" s="411" t="s">
        <v>306</v>
      </c>
      <c r="C24" s="410" t="s">
        <v>442</v>
      </c>
      <c r="D24" s="402">
        <f>[50]VAL.PRINC!N16</f>
        <v>0</v>
      </c>
      <c r="E24" s="402">
        <v>23856</v>
      </c>
      <c r="F24" s="402"/>
      <c r="G24" s="402"/>
      <c r="H24" s="412"/>
      <c r="I24" s="412"/>
      <c r="J24" s="412"/>
      <c r="K24" s="412"/>
      <c r="L24" s="373">
        <f t="shared" si="4"/>
        <v>0</v>
      </c>
      <c r="M24" s="396">
        <f t="shared" si="3"/>
        <v>0</v>
      </c>
      <c r="N24" s="401"/>
    </row>
    <row r="25" spans="2:14" s="400" customFormat="1">
      <c r="B25" s="409" t="s">
        <v>95</v>
      </c>
      <c r="C25" s="408" t="s">
        <v>96</v>
      </c>
      <c r="D25" s="407"/>
      <c r="E25" s="396"/>
      <c r="F25" s="406">
        <f t="shared" ref="F25:K25" si="5">F26+F28+F34</f>
        <v>1004862.5031450001</v>
      </c>
      <c r="G25" s="406">
        <f t="shared" si="5"/>
        <v>501479.57705250004</v>
      </c>
      <c r="H25" s="406">
        <f t="shared" si="5"/>
        <v>503382.92609249998</v>
      </c>
      <c r="I25" s="406">
        <f t="shared" si="5"/>
        <v>0</v>
      </c>
      <c r="J25" s="406">
        <f t="shared" si="5"/>
        <v>0</v>
      </c>
      <c r="K25" s="406">
        <f t="shared" si="5"/>
        <v>1</v>
      </c>
      <c r="L25" s="373">
        <f t="shared" si="4"/>
        <v>1004862.503145</v>
      </c>
      <c r="M25" s="396">
        <f t="shared" si="3"/>
        <v>0</v>
      </c>
      <c r="N25" s="401"/>
    </row>
    <row r="26" spans="2:14" s="400" customFormat="1">
      <c r="B26" s="415" t="s">
        <v>307</v>
      </c>
      <c r="C26" s="414" t="s">
        <v>97</v>
      </c>
      <c r="D26" s="407"/>
      <c r="E26" s="396"/>
      <c r="F26" s="413">
        <f t="shared" ref="F26:K26" si="6">SUM(F27)</f>
        <v>0</v>
      </c>
      <c r="G26" s="413">
        <f t="shared" si="6"/>
        <v>0</v>
      </c>
      <c r="H26" s="413">
        <f t="shared" si="6"/>
        <v>0</v>
      </c>
      <c r="I26" s="413">
        <f t="shared" si="6"/>
        <v>0</v>
      </c>
      <c r="J26" s="413">
        <f t="shared" si="6"/>
        <v>0</v>
      </c>
      <c r="K26" s="413">
        <f t="shared" si="6"/>
        <v>0</v>
      </c>
      <c r="L26" s="373">
        <f t="shared" si="4"/>
        <v>0</v>
      </c>
      <c r="M26" s="396">
        <f t="shared" si="3"/>
        <v>0</v>
      </c>
      <c r="N26" s="401"/>
    </row>
    <row r="27" spans="2:14" s="400" customFormat="1">
      <c r="B27" s="411" t="s">
        <v>307</v>
      </c>
      <c r="C27" s="410" t="s">
        <v>441</v>
      </c>
      <c r="D27" s="402">
        <f>[50]VAL.PRINC!N19</f>
        <v>0</v>
      </c>
      <c r="E27" s="402">
        <v>2433.71</v>
      </c>
      <c r="F27" s="402">
        <f>D27*E27</f>
        <v>0</v>
      </c>
      <c r="G27" s="402"/>
      <c r="H27" s="412"/>
      <c r="I27" s="412"/>
      <c r="J27" s="412"/>
      <c r="K27" s="412"/>
      <c r="L27" s="373">
        <f t="shared" si="4"/>
        <v>0</v>
      </c>
      <c r="M27" s="396">
        <f t="shared" si="3"/>
        <v>0</v>
      </c>
      <c r="N27" s="401"/>
    </row>
    <row r="28" spans="2:14" s="400" customFormat="1">
      <c r="B28" s="415" t="s">
        <v>98</v>
      </c>
      <c r="C28" s="414" t="s">
        <v>99</v>
      </c>
      <c r="D28" s="407"/>
      <c r="E28" s="396"/>
      <c r="F28" s="413">
        <f t="shared" ref="F28:K28" si="7">SUM(F29:F33)</f>
        <v>436654.90912500012</v>
      </c>
      <c r="G28" s="413">
        <f t="shared" si="7"/>
        <v>213964.87956250005</v>
      </c>
      <c r="H28" s="413">
        <f t="shared" si="7"/>
        <v>222690.02956250004</v>
      </c>
      <c r="I28" s="413">
        <f t="shared" si="7"/>
        <v>0</v>
      </c>
      <c r="J28" s="413">
        <f t="shared" si="7"/>
        <v>0</v>
      </c>
      <c r="K28" s="413">
        <f t="shared" si="7"/>
        <v>0</v>
      </c>
      <c r="L28" s="373">
        <f>SUM(G28:J28)</f>
        <v>436654.90912500012</v>
      </c>
      <c r="M28" s="396">
        <f t="shared" si="3"/>
        <v>0</v>
      </c>
      <c r="N28" s="401"/>
    </row>
    <row r="29" spans="2:14" s="400" customFormat="1">
      <c r="B29" s="411" t="s">
        <v>98</v>
      </c>
      <c r="C29" s="410" t="s">
        <v>440</v>
      </c>
      <c r="D29" s="402">
        <f>[50]VAL.PRINC!N21</f>
        <v>0</v>
      </c>
      <c r="E29" s="402">
        <v>4.71</v>
      </c>
      <c r="F29" s="402">
        <f>D29*E29</f>
        <v>0</v>
      </c>
      <c r="G29" s="402"/>
      <c r="H29" s="402"/>
      <c r="I29" s="402"/>
      <c r="J29" s="402"/>
      <c r="K29" s="402"/>
      <c r="L29" s="373">
        <f t="shared" si="4"/>
        <v>0</v>
      </c>
      <c r="M29" s="396">
        <f t="shared" si="3"/>
        <v>0</v>
      </c>
      <c r="N29" s="401"/>
    </row>
    <row r="30" spans="2:14" s="400" customFormat="1">
      <c r="B30" s="411" t="s">
        <v>98</v>
      </c>
      <c r="C30" s="410" t="s">
        <v>439</v>
      </c>
      <c r="D30" s="402">
        <f>[50]VAL.PRINC!N22</f>
        <v>6806.6327500000007</v>
      </c>
      <c r="E30" s="402">
        <v>34.4</v>
      </c>
      <c r="F30" s="402">
        <f>D30*E30</f>
        <v>234148.16660000003</v>
      </c>
      <c r="G30" s="402">
        <f>F30/2</f>
        <v>117074.08330000001</v>
      </c>
      <c r="H30" s="402">
        <f>F30/2</f>
        <v>117074.08330000001</v>
      </c>
      <c r="I30" s="402"/>
      <c r="J30" s="402"/>
      <c r="K30" s="402"/>
      <c r="L30" s="373">
        <f t="shared" si="4"/>
        <v>234148.16660000003</v>
      </c>
      <c r="M30" s="396">
        <f t="shared" si="3"/>
        <v>0</v>
      </c>
      <c r="N30" s="401"/>
    </row>
    <row r="31" spans="2:14" s="400" customFormat="1">
      <c r="B31" s="411" t="s">
        <v>98</v>
      </c>
      <c r="C31" s="410" t="s">
        <v>438</v>
      </c>
      <c r="D31" s="402">
        <f>[50]VAL.PRINC!N23</f>
        <v>9640.875250000001</v>
      </c>
      <c r="E31" s="402">
        <v>20.100000000000001</v>
      </c>
      <c r="F31" s="402">
        <f>D31*E31</f>
        <v>193781.59252500004</v>
      </c>
      <c r="G31" s="402">
        <v>96890.796262500022</v>
      </c>
      <c r="H31" s="402">
        <f>F31/2</f>
        <v>96890.796262500022</v>
      </c>
      <c r="I31" s="402"/>
      <c r="J31" s="402"/>
      <c r="K31" s="402"/>
      <c r="L31" s="373">
        <f t="shared" si="4"/>
        <v>193781.59252500004</v>
      </c>
      <c r="M31" s="396">
        <f t="shared" si="3"/>
        <v>0</v>
      </c>
      <c r="N31" s="401"/>
    </row>
    <row r="32" spans="2:14" s="400" customFormat="1">
      <c r="B32" s="411" t="s">
        <v>98</v>
      </c>
      <c r="C32" s="410" t="s">
        <v>437</v>
      </c>
      <c r="D32" s="402">
        <f>[50]VAL.PRINC!N24</f>
        <v>0</v>
      </c>
      <c r="E32" s="402">
        <v>7.74</v>
      </c>
      <c r="F32" s="402">
        <f>D32*E32</f>
        <v>0</v>
      </c>
      <c r="G32" s="412"/>
      <c r="H32" s="412"/>
      <c r="I32" s="412"/>
      <c r="J32" s="412"/>
      <c r="K32" s="412"/>
      <c r="L32" s="373">
        <f t="shared" si="4"/>
        <v>0</v>
      </c>
      <c r="M32" s="396">
        <f t="shared" si="3"/>
        <v>0</v>
      </c>
      <c r="N32" s="401"/>
    </row>
    <row r="33" spans="2:14" s="400" customFormat="1">
      <c r="B33" s="411" t="s">
        <v>98</v>
      </c>
      <c r="C33" s="410" t="s">
        <v>436</v>
      </c>
      <c r="D33" s="402">
        <f>[50]VAL.PRINC!N25</f>
        <v>4497.5</v>
      </c>
      <c r="E33" s="402">
        <v>1.94</v>
      </c>
      <c r="F33" s="402">
        <f>D33*E33</f>
        <v>8725.15</v>
      </c>
      <c r="G33" s="412"/>
      <c r="H33" s="402">
        <f>F33</f>
        <v>8725.15</v>
      </c>
      <c r="I33" s="412"/>
      <c r="J33" s="412"/>
      <c r="K33" s="412"/>
      <c r="L33" s="373">
        <f t="shared" si="4"/>
        <v>8725.15</v>
      </c>
      <c r="M33" s="396">
        <f t="shared" si="3"/>
        <v>0</v>
      </c>
      <c r="N33" s="401"/>
    </row>
    <row r="34" spans="2:14" s="400" customFormat="1">
      <c r="B34" s="415" t="s">
        <v>308</v>
      </c>
      <c r="C34" s="414" t="s">
        <v>100</v>
      </c>
      <c r="D34" s="407"/>
      <c r="E34" s="396"/>
      <c r="F34" s="413">
        <f t="shared" ref="F34:K34" si="8">SUM(F35:F36)</f>
        <v>568207.59401999996</v>
      </c>
      <c r="G34" s="413">
        <f t="shared" si="8"/>
        <v>287514.69748999999</v>
      </c>
      <c r="H34" s="413">
        <f t="shared" si="8"/>
        <v>280692.89652999997</v>
      </c>
      <c r="I34" s="413">
        <f t="shared" si="8"/>
        <v>0</v>
      </c>
      <c r="J34" s="413">
        <f t="shared" si="8"/>
        <v>0</v>
      </c>
      <c r="K34" s="413">
        <f t="shared" si="8"/>
        <v>1</v>
      </c>
      <c r="L34" s="373">
        <f t="shared" si="4"/>
        <v>568207.59401999996</v>
      </c>
      <c r="M34" s="396">
        <f t="shared" si="3"/>
        <v>0</v>
      </c>
      <c r="N34" s="401"/>
    </row>
    <row r="35" spans="2:14" s="400" customFormat="1">
      <c r="B35" s="411" t="s">
        <v>308</v>
      </c>
      <c r="C35" s="410" t="s">
        <v>435</v>
      </c>
      <c r="D35" s="402">
        <f>[50]VAL.PRINC!N27</f>
        <v>86102.1155</v>
      </c>
      <c r="E35" s="402">
        <v>6.52</v>
      </c>
      <c r="F35" s="402">
        <f>D35*E35</f>
        <v>561385.79305999994</v>
      </c>
      <c r="G35" s="402">
        <f>F35/2</f>
        <v>280692.89652999997</v>
      </c>
      <c r="H35" s="402">
        <v>280692.89652999997</v>
      </c>
      <c r="I35" s="402">
        <v>0</v>
      </c>
      <c r="J35" s="402">
        <v>0</v>
      </c>
      <c r="K35" s="402">
        <v>1</v>
      </c>
      <c r="L35" s="373">
        <f t="shared" si="4"/>
        <v>561385.79305999994</v>
      </c>
      <c r="M35" s="396">
        <f t="shared" si="3"/>
        <v>0</v>
      </c>
      <c r="N35" s="401"/>
    </row>
    <row r="36" spans="2:14" s="400" customFormat="1">
      <c r="B36" s="411" t="s">
        <v>308</v>
      </c>
      <c r="C36" s="410" t="s">
        <v>434</v>
      </c>
      <c r="D36" s="402">
        <f>[50]VAL.PRINC!N28</f>
        <v>5329.5320000000002</v>
      </c>
      <c r="E36" s="402">
        <v>1.28</v>
      </c>
      <c r="F36" s="402">
        <f>D36*E36</f>
        <v>6821.8009600000005</v>
      </c>
      <c r="G36" s="402">
        <v>6821.8009600000005</v>
      </c>
      <c r="H36" s="412"/>
      <c r="I36" s="412"/>
      <c r="J36" s="412"/>
      <c r="K36" s="412"/>
      <c r="L36" s="373">
        <f t="shared" si="4"/>
        <v>6821.8009600000005</v>
      </c>
      <c r="M36" s="396">
        <f t="shared" si="3"/>
        <v>0</v>
      </c>
      <c r="N36" s="401"/>
    </row>
    <row r="37" spans="2:14" s="400" customFormat="1">
      <c r="B37" s="409" t="s">
        <v>309</v>
      </c>
      <c r="C37" s="408" t="s">
        <v>101</v>
      </c>
      <c r="D37" s="407"/>
      <c r="E37" s="396"/>
      <c r="F37" s="406">
        <f t="shared" ref="F37:K37" si="9">F38+F47+F56</f>
        <v>84916.562701599993</v>
      </c>
      <c r="G37" s="406">
        <f t="shared" si="9"/>
        <v>4.8107016000057499</v>
      </c>
      <c r="H37" s="406">
        <f t="shared" si="9"/>
        <v>79058.652000000002</v>
      </c>
      <c r="I37" s="406">
        <f t="shared" si="9"/>
        <v>2926.55</v>
      </c>
      <c r="J37" s="406">
        <f t="shared" si="9"/>
        <v>2926.55</v>
      </c>
      <c r="K37" s="406">
        <f t="shared" si="9"/>
        <v>2929.55</v>
      </c>
      <c r="L37" s="373">
        <f>SUM(G37:J37)</f>
        <v>84916.562701600007</v>
      </c>
      <c r="M37" s="396">
        <f t="shared" si="3"/>
        <v>0</v>
      </c>
      <c r="N37" s="401"/>
    </row>
    <row r="38" spans="2:14" s="400" customFormat="1">
      <c r="B38" s="415" t="s">
        <v>310</v>
      </c>
      <c r="C38" s="414" t="s">
        <v>102</v>
      </c>
      <c r="D38" s="407"/>
      <c r="E38" s="396"/>
      <c r="F38" s="413">
        <f t="shared" ref="F38:K38" si="10">SUM(F39:F46)</f>
        <v>4.8107016000057499</v>
      </c>
      <c r="G38" s="413">
        <f t="shared" si="10"/>
        <v>4.8107016000057499</v>
      </c>
      <c r="H38" s="413">
        <f t="shared" si="10"/>
        <v>0</v>
      </c>
      <c r="I38" s="413">
        <f t="shared" si="10"/>
        <v>0</v>
      </c>
      <c r="J38" s="413">
        <f t="shared" si="10"/>
        <v>0</v>
      </c>
      <c r="K38" s="413">
        <f t="shared" si="10"/>
        <v>0</v>
      </c>
      <c r="L38" s="373">
        <f t="shared" si="4"/>
        <v>4.8107016000057499</v>
      </c>
      <c r="M38" s="396">
        <f t="shared" si="3"/>
        <v>0</v>
      </c>
      <c r="N38" s="401"/>
    </row>
    <row r="39" spans="2:14" s="400" customFormat="1">
      <c r="B39" s="411" t="s">
        <v>310</v>
      </c>
      <c r="C39" s="410" t="s">
        <v>419</v>
      </c>
      <c r="D39" s="402">
        <f>[50]VAL.PRINC!N31</f>
        <v>2.7999999999792635E-3</v>
      </c>
      <c r="E39" s="402">
        <v>3.39</v>
      </c>
      <c r="F39" s="402">
        <f t="shared" ref="F39:F46" si="11">D39*E39</f>
        <v>9.4919999999297042E-3</v>
      </c>
      <c r="G39" s="402">
        <v>9.4919999999297042E-3</v>
      </c>
      <c r="H39" s="402"/>
      <c r="I39" s="402"/>
      <c r="J39" s="402"/>
      <c r="K39" s="402"/>
      <c r="L39" s="373">
        <f t="shared" si="4"/>
        <v>9.4919999999297042E-3</v>
      </c>
      <c r="M39" s="396">
        <f t="shared" si="3"/>
        <v>0</v>
      </c>
      <c r="N39" s="401"/>
    </row>
    <row r="40" spans="2:14" s="400" customFormat="1">
      <c r="B40" s="411" t="s">
        <v>310</v>
      </c>
      <c r="C40" s="410" t="s">
        <v>430</v>
      </c>
      <c r="D40" s="402">
        <f>[50]VAL.PRINC!N32</f>
        <v>2.0000000000095497E-3</v>
      </c>
      <c r="E40" s="402">
        <v>10.07</v>
      </c>
      <c r="F40" s="402">
        <f t="shared" si="11"/>
        <v>2.0140000000096164E-2</v>
      </c>
      <c r="G40" s="402">
        <v>2.0140000000096164E-2</v>
      </c>
      <c r="H40" s="402"/>
      <c r="I40" s="402"/>
      <c r="J40" s="402"/>
      <c r="K40" s="402"/>
      <c r="L40" s="373">
        <f t="shared" si="4"/>
        <v>2.0140000000096164E-2</v>
      </c>
      <c r="M40" s="396">
        <f t="shared" si="3"/>
        <v>0</v>
      </c>
      <c r="N40" s="401"/>
    </row>
    <row r="41" spans="2:14" s="400" customFormat="1">
      <c r="B41" s="411" t="s">
        <v>310</v>
      </c>
      <c r="C41" s="410" t="s">
        <v>428</v>
      </c>
      <c r="D41" s="402">
        <f>[50]VAL.PRINC!N33</f>
        <v>4.6400000000090813E-3</v>
      </c>
      <c r="E41" s="402">
        <v>351.94</v>
      </c>
      <c r="F41" s="402">
        <f t="shared" si="11"/>
        <v>1.6330016000031962</v>
      </c>
      <c r="G41" s="402">
        <v>1.6330016000031962</v>
      </c>
      <c r="H41" s="402"/>
      <c r="I41" s="402"/>
      <c r="J41" s="402"/>
      <c r="K41" s="402"/>
      <c r="L41" s="373">
        <f t="shared" si="4"/>
        <v>1.6330016000031962</v>
      </c>
      <c r="M41" s="396">
        <f t="shared" si="3"/>
        <v>0</v>
      </c>
      <c r="N41" s="401"/>
    </row>
    <row r="42" spans="2:14" s="400" customFormat="1">
      <c r="B42" s="411" t="s">
        <v>310</v>
      </c>
      <c r="C42" s="410" t="s">
        <v>433</v>
      </c>
      <c r="D42" s="402">
        <f>[50]VAL.PRINC!N34</f>
        <v>0</v>
      </c>
      <c r="E42" s="402">
        <v>5.58</v>
      </c>
      <c r="F42" s="402">
        <f t="shared" si="11"/>
        <v>0</v>
      </c>
      <c r="G42" s="402">
        <v>0</v>
      </c>
      <c r="H42" s="402"/>
      <c r="I42" s="402"/>
      <c r="J42" s="402"/>
      <c r="K42" s="402"/>
      <c r="L42" s="373">
        <f t="shared" si="4"/>
        <v>0</v>
      </c>
      <c r="M42" s="396">
        <f t="shared" si="3"/>
        <v>0</v>
      </c>
      <c r="N42" s="401"/>
    </row>
    <row r="43" spans="2:14" s="400" customFormat="1">
      <c r="B43" s="411" t="s">
        <v>310</v>
      </c>
      <c r="C43" s="410" t="s">
        <v>429</v>
      </c>
      <c r="D43" s="402">
        <f>[50]VAL.PRINC!N35</f>
        <v>0</v>
      </c>
      <c r="E43" s="402">
        <v>65.95</v>
      </c>
      <c r="F43" s="402">
        <f t="shared" si="11"/>
        <v>0</v>
      </c>
      <c r="G43" s="402">
        <v>0</v>
      </c>
      <c r="H43" s="402"/>
      <c r="I43" s="402"/>
      <c r="J43" s="402"/>
      <c r="K43" s="402"/>
      <c r="L43" s="373">
        <f t="shared" si="4"/>
        <v>0</v>
      </c>
      <c r="M43" s="396">
        <f t="shared" si="3"/>
        <v>0</v>
      </c>
      <c r="N43" s="401"/>
    </row>
    <row r="44" spans="2:14" s="400" customFormat="1">
      <c r="B44" s="411" t="s">
        <v>310</v>
      </c>
      <c r="C44" s="410" t="s">
        <v>103</v>
      </c>
      <c r="D44" s="402">
        <f>[50]VAL.PRINC!N36</f>
        <v>2.000000000005997E-3</v>
      </c>
      <c r="E44" s="402">
        <v>465.78</v>
      </c>
      <c r="F44" s="402">
        <f t="shared" si="11"/>
        <v>0.93156000000279326</v>
      </c>
      <c r="G44" s="402">
        <v>0.93156000000279326</v>
      </c>
      <c r="H44" s="402"/>
      <c r="I44" s="402"/>
      <c r="J44" s="402"/>
      <c r="K44" s="402"/>
      <c r="L44" s="373">
        <f t="shared" si="4"/>
        <v>0.93156000000279326</v>
      </c>
      <c r="M44" s="396">
        <f t="shared" si="3"/>
        <v>0</v>
      </c>
      <c r="N44" s="401"/>
    </row>
    <row r="45" spans="2:14" s="400" customFormat="1">
      <c r="B45" s="411" t="s">
        <v>310</v>
      </c>
      <c r="C45" s="410" t="s">
        <v>432</v>
      </c>
      <c r="D45" s="402">
        <f>[50]VAL.PRINC!N37</f>
        <v>4.7999999999994714E-3</v>
      </c>
      <c r="E45" s="402">
        <v>443.87</v>
      </c>
      <c r="F45" s="402">
        <f t="shared" si="11"/>
        <v>2.1305759999997655</v>
      </c>
      <c r="G45" s="402">
        <v>2.1305759999997655</v>
      </c>
      <c r="H45" s="402"/>
      <c r="I45" s="402"/>
      <c r="J45" s="402"/>
      <c r="K45" s="402"/>
      <c r="L45" s="373">
        <f t="shared" si="4"/>
        <v>2.1305759999997655</v>
      </c>
      <c r="M45" s="396">
        <f t="shared" si="3"/>
        <v>0</v>
      </c>
      <c r="N45" s="401"/>
    </row>
    <row r="46" spans="2:14" s="400" customFormat="1">
      <c r="B46" s="411" t="s">
        <v>310</v>
      </c>
      <c r="C46" s="410" t="s">
        <v>424</v>
      </c>
      <c r="D46" s="402">
        <f>[50]VAL.PRINC!N38</f>
        <v>3.5999999999987153E-3</v>
      </c>
      <c r="E46" s="402">
        <v>23.87</v>
      </c>
      <c r="F46" s="402">
        <f t="shared" si="11"/>
        <v>8.5931999999969338E-2</v>
      </c>
      <c r="G46" s="402">
        <v>8.5931999999969338E-2</v>
      </c>
      <c r="H46" s="402"/>
      <c r="I46" s="402"/>
      <c r="J46" s="402"/>
      <c r="K46" s="402"/>
      <c r="L46" s="373">
        <f t="shared" si="4"/>
        <v>8.5931999999969338E-2</v>
      </c>
      <c r="M46" s="396">
        <f t="shared" si="3"/>
        <v>0</v>
      </c>
      <c r="N46" s="401"/>
    </row>
    <row r="47" spans="2:14" s="400" customFormat="1">
      <c r="B47" s="415" t="s">
        <v>104</v>
      </c>
      <c r="C47" s="414" t="s">
        <v>431</v>
      </c>
      <c r="D47" s="407"/>
      <c r="E47" s="396"/>
      <c r="F47" s="413">
        <f t="shared" ref="F47:K47" si="12">SUM(F48:F55)</f>
        <v>73205.551999999996</v>
      </c>
      <c r="G47" s="413">
        <f t="shared" si="12"/>
        <v>0</v>
      </c>
      <c r="H47" s="413">
        <f t="shared" si="12"/>
        <v>73205.551999999996</v>
      </c>
      <c r="I47" s="413">
        <f t="shared" si="12"/>
        <v>0</v>
      </c>
      <c r="J47" s="413">
        <f t="shared" si="12"/>
        <v>0</v>
      </c>
      <c r="K47" s="413">
        <f t="shared" si="12"/>
        <v>0</v>
      </c>
      <c r="L47" s="373">
        <f t="shared" si="4"/>
        <v>73205.551999999996</v>
      </c>
      <c r="M47" s="396">
        <f t="shared" si="3"/>
        <v>0</v>
      </c>
      <c r="N47" s="401"/>
    </row>
    <row r="48" spans="2:14" s="400" customFormat="1">
      <c r="B48" s="411" t="s">
        <v>104</v>
      </c>
      <c r="C48" s="410" t="s">
        <v>419</v>
      </c>
      <c r="D48" s="402">
        <f>[50]VAL.PRINC!N40</f>
        <v>120</v>
      </c>
      <c r="E48" s="402">
        <v>3.39</v>
      </c>
      <c r="F48" s="402">
        <f t="shared" ref="F48:F55" si="13">D48*E48</f>
        <v>406.8</v>
      </c>
      <c r="G48" s="412"/>
      <c r="H48" s="402">
        <f>F48</f>
        <v>406.8</v>
      </c>
      <c r="I48" s="402"/>
      <c r="J48" s="402"/>
      <c r="K48" s="402"/>
      <c r="L48" s="373">
        <f t="shared" si="4"/>
        <v>406.8</v>
      </c>
      <c r="M48" s="396">
        <f t="shared" si="3"/>
        <v>0</v>
      </c>
      <c r="N48" s="401"/>
    </row>
    <row r="49" spans="2:14" s="400" customFormat="1">
      <c r="B49" s="411" t="s">
        <v>104</v>
      </c>
      <c r="C49" s="410" t="s">
        <v>430</v>
      </c>
      <c r="D49" s="402">
        <f>[50]VAL.PRINC!N41</f>
        <v>145</v>
      </c>
      <c r="E49" s="402">
        <v>10.07</v>
      </c>
      <c r="F49" s="402">
        <f t="shared" si="13"/>
        <v>1460.15</v>
      </c>
      <c r="G49" s="412"/>
      <c r="H49" s="402">
        <f t="shared" ref="H49:H55" si="14">F49</f>
        <v>1460.15</v>
      </c>
      <c r="I49" s="402"/>
      <c r="J49" s="402"/>
      <c r="K49" s="402"/>
      <c r="L49" s="373">
        <f t="shared" si="4"/>
        <v>1460.15</v>
      </c>
      <c r="M49" s="396">
        <f t="shared" si="3"/>
        <v>0</v>
      </c>
      <c r="N49" s="401"/>
    </row>
    <row r="50" spans="2:14" s="400" customFormat="1">
      <c r="B50" s="411" t="s">
        <v>104</v>
      </c>
      <c r="C50" s="410" t="s">
        <v>429</v>
      </c>
      <c r="D50" s="402">
        <f>[50]VAL.PRINC!N42</f>
        <v>170</v>
      </c>
      <c r="E50" s="402">
        <v>65.95</v>
      </c>
      <c r="F50" s="402">
        <f t="shared" si="13"/>
        <v>11211.5</v>
      </c>
      <c r="G50" s="412"/>
      <c r="H50" s="402">
        <f t="shared" si="14"/>
        <v>11211.5</v>
      </c>
      <c r="I50" s="402"/>
      <c r="J50" s="402"/>
      <c r="K50" s="402"/>
      <c r="L50" s="373">
        <f t="shared" si="4"/>
        <v>11211.5</v>
      </c>
      <c r="M50" s="396">
        <f t="shared" si="3"/>
        <v>0</v>
      </c>
      <c r="N50" s="401"/>
    </row>
    <row r="51" spans="2:14" s="400" customFormat="1">
      <c r="B51" s="411" t="s">
        <v>104</v>
      </c>
      <c r="C51" s="410" t="s">
        <v>428</v>
      </c>
      <c r="D51" s="402">
        <f>[50]VAL.PRINC!N43</f>
        <v>156</v>
      </c>
      <c r="E51" s="402">
        <v>351.94</v>
      </c>
      <c r="F51" s="402">
        <f t="shared" si="13"/>
        <v>54902.64</v>
      </c>
      <c r="G51" s="412"/>
      <c r="H51" s="402">
        <f t="shared" si="14"/>
        <v>54902.64</v>
      </c>
      <c r="I51" s="402"/>
      <c r="J51" s="402"/>
      <c r="K51" s="402"/>
      <c r="L51" s="373">
        <f t="shared" si="4"/>
        <v>54902.64</v>
      </c>
      <c r="M51" s="396">
        <f t="shared" si="3"/>
        <v>0</v>
      </c>
      <c r="N51" s="401"/>
    </row>
    <row r="52" spans="2:14" s="400" customFormat="1">
      <c r="B52" s="411" t="s">
        <v>104</v>
      </c>
      <c r="C52" s="410" t="s">
        <v>427</v>
      </c>
      <c r="D52" s="402">
        <f>[50]VAL.PRINC!N44</f>
        <v>50</v>
      </c>
      <c r="E52" s="402">
        <v>10.93</v>
      </c>
      <c r="F52" s="402">
        <f t="shared" si="13"/>
        <v>546.5</v>
      </c>
      <c r="G52" s="412"/>
      <c r="H52" s="402">
        <f t="shared" si="14"/>
        <v>546.5</v>
      </c>
      <c r="I52" s="402"/>
      <c r="J52" s="402"/>
      <c r="K52" s="402"/>
      <c r="L52" s="373">
        <f t="shared" si="4"/>
        <v>546.5</v>
      </c>
      <c r="M52" s="396">
        <f t="shared" si="3"/>
        <v>0</v>
      </c>
      <c r="N52" s="401"/>
    </row>
    <row r="53" spans="2:14" s="400" customFormat="1">
      <c r="B53" s="411" t="s">
        <v>104</v>
      </c>
      <c r="C53" s="410" t="s">
        <v>426</v>
      </c>
      <c r="D53" s="402">
        <f>[50]VAL.PRINC!N45</f>
        <v>100</v>
      </c>
      <c r="E53" s="402">
        <v>33.619999999999997</v>
      </c>
      <c r="F53" s="402">
        <f t="shared" si="13"/>
        <v>3361.9999999999995</v>
      </c>
      <c r="G53" s="412"/>
      <c r="H53" s="402">
        <f t="shared" si="14"/>
        <v>3361.9999999999995</v>
      </c>
      <c r="I53" s="402"/>
      <c r="J53" s="402"/>
      <c r="K53" s="402"/>
      <c r="L53" s="373">
        <f t="shared" si="4"/>
        <v>3361.9999999999995</v>
      </c>
      <c r="M53" s="396">
        <f t="shared" si="3"/>
        <v>0</v>
      </c>
      <c r="N53" s="401"/>
    </row>
    <row r="54" spans="2:14" s="400" customFormat="1">
      <c r="B54" s="411" t="s">
        <v>104</v>
      </c>
      <c r="C54" s="410" t="s">
        <v>425</v>
      </c>
      <c r="D54" s="402">
        <f>[50]VAL.PRINC!N46</f>
        <v>7.8</v>
      </c>
      <c r="E54" s="402">
        <v>12.64</v>
      </c>
      <c r="F54" s="402">
        <f t="shared" si="13"/>
        <v>98.591999999999999</v>
      </c>
      <c r="G54" s="412"/>
      <c r="H54" s="402">
        <f t="shared" si="14"/>
        <v>98.591999999999999</v>
      </c>
      <c r="I54" s="402"/>
      <c r="J54" s="402"/>
      <c r="K54" s="402"/>
      <c r="L54" s="373">
        <f t="shared" si="4"/>
        <v>98.591999999999999</v>
      </c>
      <c r="M54" s="396">
        <f t="shared" si="3"/>
        <v>0</v>
      </c>
      <c r="N54" s="401"/>
    </row>
    <row r="55" spans="2:14" s="400" customFormat="1">
      <c r="B55" s="411" t="s">
        <v>104</v>
      </c>
      <c r="C55" s="410" t="s">
        <v>424</v>
      </c>
      <c r="D55" s="402">
        <f>[50]VAL.PRINC!N47</f>
        <v>51</v>
      </c>
      <c r="E55" s="402">
        <v>23.87</v>
      </c>
      <c r="F55" s="402">
        <f t="shared" si="13"/>
        <v>1217.3700000000001</v>
      </c>
      <c r="G55" s="412"/>
      <c r="H55" s="402">
        <f t="shared" si="14"/>
        <v>1217.3700000000001</v>
      </c>
      <c r="I55" s="412"/>
      <c r="J55" s="412"/>
      <c r="K55" s="412"/>
      <c r="L55" s="373">
        <f t="shared" si="4"/>
        <v>1217.3700000000001</v>
      </c>
      <c r="M55" s="396">
        <f t="shared" si="3"/>
        <v>0</v>
      </c>
      <c r="N55" s="401"/>
    </row>
    <row r="56" spans="2:14" s="400" customFormat="1">
      <c r="B56" s="415" t="s">
        <v>105</v>
      </c>
      <c r="C56" s="414" t="s">
        <v>106</v>
      </c>
      <c r="D56" s="407"/>
      <c r="E56" s="396"/>
      <c r="F56" s="413">
        <f t="shared" ref="F56:K56" si="15">SUM(F57:F59)</f>
        <v>11706.2</v>
      </c>
      <c r="G56" s="413">
        <f t="shared" si="15"/>
        <v>0</v>
      </c>
      <c r="H56" s="413">
        <f t="shared" si="15"/>
        <v>5853.1</v>
      </c>
      <c r="I56" s="413">
        <f t="shared" si="15"/>
        <v>2926.55</v>
      </c>
      <c r="J56" s="413">
        <f t="shared" si="15"/>
        <v>2926.55</v>
      </c>
      <c r="K56" s="413">
        <f t="shared" si="15"/>
        <v>2929.55</v>
      </c>
      <c r="L56" s="373">
        <f>SUM(G56:J56)</f>
        <v>11706.2</v>
      </c>
      <c r="M56" s="396">
        <f t="shared" si="3"/>
        <v>0</v>
      </c>
      <c r="N56" s="401"/>
    </row>
    <row r="57" spans="2:14" s="400" customFormat="1">
      <c r="B57" s="411" t="s">
        <v>105</v>
      </c>
      <c r="C57" s="410" t="s">
        <v>423</v>
      </c>
      <c r="D57" s="402">
        <f>[50]VAL.PRINC!N49</f>
        <v>9852</v>
      </c>
      <c r="E57" s="402">
        <v>0.83</v>
      </c>
      <c r="F57" s="402">
        <f>D57*E57</f>
        <v>8177.16</v>
      </c>
      <c r="G57" s="412"/>
      <c r="H57" s="402">
        <f>F57/2</f>
        <v>4088.58</v>
      </c>
      <c r="I57" s="402">
        <f>4088.58/2</f>
        <v>2044.29</v>
      </c>
      <c r="J57" s="402">
        <v>2044.29</v>
      </c>
      <c r="K57" s="402">
        <v>2045.29</v>
      </c>
      <c r="L57" s="373">
        <f>SUM(G57:J57)</f>
        <v>8177.16</v>
      </c>
      <c r="M57" s="396">
        <f t="shared" si="3"/>
        <v>0</v>
      </c>
      <c r="N57" s="401"/>
    </row>
    <row r="58" spans="2:14" s="400" customFormat="1">
      <c r="B58" s="411" t="s">
        <v>105</v>
      </c>
      <c r="C58" s="410" t="s">
        <v>422</v>
      </c>
      <c r="D58" s="402">
        <f>[50]VAL.PRINC!N50</f>
        <v>1576</v>
      </c>
      <c r="E58" s="402">
        <v>1.04</v>
      </c>
      <c r="F58" s="402">
        <f>D58*E58</f>
        <v>1639.04</v>
      </c>
      <c r="G58" s="412"/>
      <c r="H58" s="402">
        <f t="shared" ref="H58:H59" si="16">F58/2</f>
        <v>819.52</v>
      </c>
      <c r="I58" s="402">
        <f>819.52/2</f>
        <v>409.76</v>
      </c>
      <c r="J58" s="402">
        <v>409.76</v>
      </c>
      <c r="K58" s="402">
        <v>410.76</v>
      </c>
      <c r="L58" s="373">
        <f t="shared" si="4"/>
        <v>1639.04</v>
      </c>
      <c r="M58" s="396">
        <f t="shared" si="3"/>
        <v>0</v>
      </c>
      <c r="N58" s="401"/>
    </row>
    <row r="59" spans="2:14" s="400" customFormat="1">
      <c r="B59" s="411" t="s">
        <v>105</v>
      </c>
      <c r="C59" s="410" t="s">
        <v>421</v>
      </c>
      <c r="D59" s="402">
        <f>[50]VAL.PRINC!N51</f>
        <v>1000</v>
      </c>
      <c r="E59" s="402">
        <v>1.89</v>
      </c>
      <c r="F59" s="402">
        <f>D59*E59</f>
        <v>1890</v>
      </c>
      <c r="G59" s="412"/>
      <c r="H59" s="402">
        <f t="shared" si="16"/>
        <v>945</v>
      </c>
      <c r="I59" s="402">
        <f>945/2</f>
        <v>472.5</v>
      </c>
      <c r="J59" s="402">
        <v>472.5</v>
      </c>
      <c r="K59" s="402">
        <v>473.5</v>
      </c>
      <c r="L59" s="373">
        <f t="shared" si="4"/>
        <v>1890</v>
      </c>
      <c r="M59" s="396">
        <f t="shared" si="3"/>
        <v>0</v>
      </c>
      <c r="N59" s="401"/>
    </row>
    <row r="60" spans="2:14" s="400" customFormat="1" hidden="1">
      <c r="B60" s="409" t="s">
        <v>107</v>
      </c>
      <c r="C60" s="408" t="s">
        <v>108</v>
      </c>
      <c r="D60" s="407">
        <v>0</v>
      </c>
      <c r="E60" s="396"/>
      <c r="F60" s="406">
        <f t="shared" ref="F60:K60" si="17">F61+F65+F74+F81+F86+F100</f>
        <v>0</v>
      </c>
      <c r="G60" s="406">
        <f t="shared" si="17"/>
        <v>0</v>
      </c>
      <c r="H60" s="406">
        <f t="shared" si="17"/>
        <v>0</v>
      </c>
      <c r="I60" s="406">
        <f t="shared" si="17"/>
        <v>0</v>
      </c>
      <c r="J60" s="406">
        <f t="shared" si="17"/>
        <v>0</v>
      </c>
      <c r="K60" s="406">
        <f t="shared" si="17"/>
        <v>0</v>
      </c>
      <c r="L60" s="373">
        <f t="shared" si="4"/>
        <v>0</v>
      </c>
      <c r="M60" s="396">
        <f t="shared" si="3"/>
        <v>0</v>
      </c>
      <c r="N60" s="401"/>
    </row>
    <row r="61" spans="2:14" s="400" customFormat="1" hidden="1">
      <c r="B61" s="415" t="s">
        <v>109</v>
      </c>
      <c r="C61" s="414" t="s">
        <v>97</v>
      </c>
      <c r="D61" s="407">
        <v>0</v>
      </c>
      <c r="E61" s="396"/>
      <c r="F61" s="413">
        <f t="shared" ref="F61:K61" si="18">SUM(F62:F64)</f>
        <v>0</v>
      </c>
      <c r="G61" s="413">
        <f t="shared" si="18"/>
        <v>0</v>
      </c>
      <c r="H61" s="413">
        <f t="shared" si="18"/>
        <v>0</v>
      </c>
      <c r="I61" s="413">
        <f t="shared" si="18"/>
        <v>0</v>
      </c>
      <c r="J61" s="413">
        <f t="shared" si="18"/>
        <v>0</v>
      </c>
      <c r="K61" s="413">
        <f t="shared" si="18"/>
        <v>0</v>
      </c>
      <c r="L61" s="373">
        <f t="shared" si="4"/>
        <v>0</v>
      </c>
      <c r="M61" s="396">
        <f t="shared" si="3"/>
        <v>0</v>
      </c>
      <c r="N61" s="401"/>
    </row>
    <row r="62" spans="2:14" s="400" customFormat="1" hidden="1">
      <c r="B62" s="411" t="s">
        <v>109</v>
      </c>
      <c r="C62" s="410" t="s">
        <v>420</v>
      </c>
      <c r="D62" s="402">
        <v>0</v>
      </c>
      <c r="E62" s="402">
        <v>2.69</v>
      </c>
      <c r="F62" s="402">
        <f>D62*E62</f>
        <v>0</v>
      </c>
      <c r="G62" s="402"/>
      <c r="H62" s="412"/>
      <c r="I62" s="412"/>
      <c r="J62" s="412"/>
      <c r="K62" s="412"/>
      <c r="L62" s="373">
        <f t="shared" si="4"/>
        <v>0</v>
      </c>
      <c r="M62" s="396">
        <f t="shared" si="3"/>
        <v>0</v>
      </c>
      <c r="N62" s="401"/>
    </row>
    <row r="63" spans="2:14" s="400" customFormat="1" hidden="1">
      <c r="B63" s="411" t="s">
        <v>109</v>
      </c>
      <c r="C63" s="410" t="s">
        <v>419</v>
      </c>
      <c r="D63" s="402">
        <v>0</v>
      </c>
      <c r="E63" s="402">
        <v>3.39</v>
      </c>
      <c r="F63" s="402">
        <f>D63*E63</f>
        <v>0</v>
      </c>
      <c r="G63" s="402"/>
      <c r="H63" s="412"/>
      <c r="I63" s="412"/>
      <c r="J63" s="412"/>
      <c r="K63" s="412"/>
      <c r="L63" s="373">
        <f t="shared" si="4"/>
        <v>0</v>
      </c>
      <c r="M63" s="396">
        <f t="shared" si="3"/>
        <v>0</v>
      </c>
      <c r="N63" s="401"/>
    </row>
    <row r="64" spans="2:14" s="400" customFormat="1" hidden="1">
      <c r="B64" s="411" t="s">
        <v>109</v>
      </c>
      <c r="C64" s="410" t="s">
        <v>418</v>
      </c>
      <c r="D64" s="402">
        <v>0</v>
      </c>
      <c r="E64" s="402">
        <v>101.65</v>
      </c>
      <c r="F64" s="402">
        <f>D64*E64</f>
        <v>0</v>
      </c>
      <c r="G64" s="402"/>
      <c r="H64" s="412"/>
      <c r="I64" s="412"/>
      <c r="J64" s="412"/>
      <c r="K64" s="412"/>
      <c r="L64" s="373">
        <f t="shared" si="4"/>
        <v>0</v>
      </c>
      <c r="M64" s="396">
        <f t="shared" si="3"/>
        <v>0</v>
      </c>
      <c r="N64" s="401"/>
    </row>
    <row r="65" spans="2:14" s="400" customFormat="1" hidden="1">
      <c r="B65" s="415" t="s">
        <v>110</v>
      </c>
      <c r="C65" s="414" t="s">
        <v>99</v>
      </c>
      <c r="D65" s="407">
        <v>0</v>
      </c>
      <c r="E65" s="396"/>
      <c r="F65" s="413">
        <f t="shared" ref="F65:K65" si="19">F66+F70+F72</f>
        <v>0</v>
      </c>
      <c r="G65" s="413">
        <f t="shared" si="19"/>
        <v>0</v>
      </c>
      <c r="H65" s="413">
        <f t="shared" si="19"/>
        <v>0</v>
      </c>
      <c r="I65" s="413">
        <f t="shared" si="19"/>
        <v>0</v>
      </c>
      <c r="J65" s="413">
        <f t="shared" si="19"/>
        <v>0</v>
      </c>
      <c r="K65" s="413">
        <f t="shared" si="19"/>
        <v>0</v>
      </c>
      <c r="L65" s="373">
        <f t="shared" si="4"/>
        <v>0</v>
      </c>
      <c r="M65" s="396">
        <f t="shared" si="3"/>
        <v>0</v>
      </c>
      <c r="N65" s="401"/>
    </row>
    <row r="66" spans="2:14" s="400" customFormat="1" hidden="1">
      <c r="B66" s="418" t="s">
        <v>111</v>
      </c>
      <c r="C66" s="417" t="s">
        <v>417</v>
      </c>
      <c r="D66" s="407">
        <v>0</v>
      </c>
      <c r="E66" s="396"/>
      <c r="F66" s="416">
        <f t="shared" ref="F66:K66" si="20">SUM(F67:F69)</f>
        <v>0</v>
      </c>
      <c r="G66" s="416">
        <f t="shared" si="20"/>
        <v>0</v>
      </c>
      <c r="H66" s="416">
        <f t="shared" si="20"/>
        <v>0</v>
      </c>
      <c r="I66" s="416">
        <f t="shared" si="20"/>
        <v>0</v>
      </c>
      <c r="J66" s="416">
        <f t="shared" si="20"/>
        <v>0</v>
      </c>
      <c r="K66" s="416">
        <f t="shared" si="20"/>
        <v>0</v>
      </c>
      <c r="L66" s="373">
        <f t="shared" si="4"/>
        <v>0</v>
      </c>
      <c r="M66" s="396">
        <f t="shared" si="3"/>
        <v>0</v>
      </c>
      <c r="N66" s="401"/>
    </row>
    <row r="67" spans="2:14" s="400" customFormat="1" hidden="1">
      <c r="B67" s="411" t="s">
        <v>111</v>
      </c>
      <c r="C67" s="410" t="s">
        <v>416</v>
      </c>
      <c r="D67" s="402">
        <v>0</v>
      </c>
      <c r="E67" s="402">
        <v>6.48</v>
      </c>
      <c r="F67" s="402">
        <f>D67*E67</f>
        <v>0</v>
      </c>
      <c r="G67" s="402"/>
      <c r="H67" s="412"/>
      <c r="I67" s="412"/>
      <c r="J67" s="412"/>
      <c r="K67" s="412"/>
      <c r="L67" s="373">
        <f t="shared" si="4"/>
        <v>0</v>
      </c>
      <c r="M67" s="396">
        <f t="shared" si="3"/>
        <v>0</v>
      </c>
      <c r="N67" s="401"/>
    </row>
    <row r="68" spans="2:14" s="400" customFormat="1" hidden="1">
      <c r="B68" s="411" t="s">
        <v>111</v>
      </c>
      <c r="C68" s="410" t="s">
        <v>415</v>
      </c>
      <c r="D68" s="402">
        <v>0</v>
      </c>
      <c r="E68" s="402">
        <v>8.27</v>
      </c>
      <c r="F68" s="402">
        <f>D68*E68</f>
        <v>0</v>
      </c>
      <c r="G68" s="402"/>
      <c r="H68" s="402"/>
      <c r="I68" s="402"/>
      <c r="J68" s="402"/>
      <c r="K68" s="402"/>
      <c r="L68" s="373">
        <f t="shared" si="4"/>
        <v>0</v>
      </c>
      <c r="M68" s="396">
        <f t="shared" si="3"/>
        <v>0</v>
      </c>
      <c r="N68" s="401"/>
    </row>
    <row r="69" spans="2:14" s="400" customFormat="1" hidden="1">
      <c r="B69" s="411" t="s">
        <v>111</v>
      </c>
      <c r="C69" s="410" t="s">
        <v>414</v>
      </c>
      <c r="D69" s="402">
        <v>0</v>
      </c>
      <c r="E69" s="402">
        <v>120.86</v>
      </c>
      <c r="F69" s="402">
        <f>D69*E69</f>
        <v>0</v>
      </c>
      <c r="G69" s="402"/>
      <c r="H69" s="402"/>
      <c r="I69" s="412"/>
      <c r="J69" s="412"/>
      <c r="K69" s="412"/>
      <c r="L69" s="373">
        <f t="shared" si="4"/>
        <v>0</v>
      </c>
      <c r="M69" s="396">
        <f t="shared" si="3"/>
        <v>0</v>
      </c>
      <c r="N69" s="401"/>
    </row>
    <row r="70" spans="2:14" s="400" customFormat="1" hidden="1">
      <c r="B70" s="418" t="s">
        <v>112</v>
      </c>
      <c r="C70" s="417" t="s">
        <v>113</v>
      </c>
      <c r="D70" s="407">
        <v>0</v>
      </c>
      <c r="E70" s="396"/>
      <c r="F70" s="416">
        <f t="shared" ref="F70:K70" si="21">SUM(F71)</f>
        <v>0</v>
      </c>
      <c r="G70" s="416">
        <f t="shared" si="21"/>
        <v>0</v>
      </c>
      <c r="H70" s="416">
        <f t="shared" si="21"/>
        <v>0</v>
      </c>
      <c r="I70" s="416">
        <f t="shared" si="21"/>
        <v>0</v>
      </c>
      <c r="J70" s="416">
        <f t="shared" si="21"/>
        <v>0</v>
      </c>
      <c r="K70" s="416">
        <f t="shared" si="21"/>
        <v>0</v>
      </c>
      <c r="L70" s="373">
        <f t="shared" si="4"/>
        <v>0</v>
      </c>
      <c r="M70" s="396">
        <f t="shared" si="3"/>
        <v>0</v>
      </c>
      <c r="N70" s="401"/>
    </row>
    <row r="71" spans="2:14" s="400" customFormat="1" hidden="1">
      <c r="B71" s="411" t="s">
        <v>112</v>
      </c>
      <c r="C71" s="410" t="s">
        <v>413</v>
      </c>
      <c r="D71" s="402">
        <v>0</v>
      </c>
      <c r="E71" s="402">
        <v>23.87</v>
      </c>
      <c r="F71" s="402">
        <f>D71*E71</f>
        <v>0</v>
      </c>
      <c r="G71" s="412"/>
      <c r="H71" s="412"/>
      <c r="I71" s="412"/>
      <c r="J71" s="412"/>
      <c r="K71" s="412"/>
      <c r="L71" s="373">
        <f t="shared" si="4"/>
        <v>0</v>
      </c>
      <c r="M71" s="396">
        <f t="shared" si="3"/>
        <v>0</v>
      </c>
      <c r="N71" s="401"/>
    </row>
    <row r="72" spans="2:14" s="400" customFormat="1" hidden="1">
      <c r="B72" s="418" t="s">
        <v>114</v>
      </c>
      <c r="C72" s="417" t="s">
        <v>412</v>
      </c>
      <c r="D72" s="407">
        <v>0</v>
      </c>
      <c r="E72" s="396"/>
      <c r="F72" s="416">
        <f>SUM(F73)</f>
        <v>0</v>
      </c>
      <c r="G72" s="416"/>
      <c r="H72" s="416"/>
      <c r="I72" s="396"/>
      <c r="J72" s="396"/>
      <c r="K72" s="396"/>
      <c r="L72" s="373">
        <f t="shared" si="4"/>
        <v>0</v>
      </c>
      <c r="M72" s="396">
        <f t="shared" si="3"/>
        <v>0</v>
      </c>
      <c r="N72" s="401"/>
    </row>
    <row r="73" spans="2:14" s="400" customFormat="1" hidden="1">
      <c r="B73" s="411" t="s">
        <v>114</v>
      </c>
      <c r="C73" s="410" t="s">
        <v>411</v>
      </c>
      <c r="D73" s="402">
        <v>0</v>
      </c>
      <c r="E73" s="402">
        <v>6.52</v>
      </c>
      <c r="F73" s="402">
        <f>D73*E73</f>
        <v>0</v>
      </c>
      <c r="G73" s="402"/>
      <c r="H73" s="402"/>
      <c r="I73" s="412"/>
      <c r="J73" s="412"/>
      <c r="K73" s="412"/>
      <c r="L73" s="373">
        <f t="shared" si="4"/>
        <v>0</v>
      </c>
      <c r="M73" s="396">
        <f t="shared" si="3"/>
        <v>0</v>
      </c>
      <c r="N73" s="401"/>
    </row>
    <row r="74" spans="2:14" s="400" customFormat="1" hidden="1">
      <c r="B74" s="415" t="s">
        <v>115</v>
      </c>
      <c r="C74" s="414" t="s">
        <v>116</v>
      </c>
      <c r="D74" s="407">
        <v>0</v>
      </c>
      <c r="E74" s="396"/>
      <c r="F74" s="413">
        <f t="shared" ref="F74:K74" si="22">F75+F79</f>
        <v>0</v>
      </c>
      <c r="G74" s="413">
        <f t="shared" si="22"/>
        <v>0</v>
      </c>
      <c r="H74" s="413">
        <f t="shared" si="22"/>
        <v>0</v>
      </c>
      <c r="I74" s="413">
        <f t="shared" si="22"/>
        <v>0</v>
      </c>
      <c r="J74" s="413">
        <f t="shared" si="22"/>
        <v>0</v>
      </c>
      <c r="K74" s="413">
        <f t="shared" si="22"/>
        <v>0</v>
      </c>
      <c r="L74" s="373">
        <f t="shared" si="4"/>
        <v>0</v>
      </c>
      <c r="M74" s="396">
        <f t="shared" si="3"/>
        <v>0</v>
      </c>
      <c r="N74" s="401"/>
    </row>
    <row r="75" spans="2:14" s="400" customFormat="1" hidden="1">
      <c r="B75" s="418" t="s">
        <v>117</v>
      </c>
      <c r="C75" s="417" t="s">
        <v>410</v>
      </c>
      <c r="D75" s="407">
        <v>0</v>
      </c>
      <c r="E75" s="396"/>
      <c r="F75" s="416">
        <f t="shared" ref="F75:K75" si="23">SUM(F76:F78)</f>
        <v>0</v>
      </c>
      <c r="G75" s="416">
        <f t="shared" si="23"/>
        <v>0</v>
      </c>
      <c r="H75" s="416">
        <f t="shared" si="23"/>
        <v>0</v>
      </c>
      <c r="I75" s="416">
        <f t="shared" si="23"/>
        <v>0</v>
      </c>
      <c r="J75" s="416">
        <f t="shared" si="23"/>
        <v>0</v>
      </c>
      <c r="K75" s="416">
        <f t="shared" si="23"/>
        <v>0</v>
      </c>
      <c r="L75" s="373">
        <f t="shared" si="4"/>
        <v>0</v>
      </c>
      <c r="M75" s="396">
        <f t="shared" si="3"/>
        <v>0</v>
      </c>
      <c r="N75" s="401"/>
    </row>
    <row r="76" spans="2:14" s="400" customFormat="1" hidden="1">
      <c r="B76" s="411" t="s">
        <v>117</v>
      </c>
      <c r="C76" s="410" t="s">
        <v>409</v>
      </c>
      <c r="D76" s="402">
        <v>0</v>
      </c>
      <c r="E76" s="402">
        <v>71.7</v>
      </c>
      <c r="F76" s="402">
        <f>D76*E76</f>
        <v>0</v>
      </c>
      <c r="G76" s="412"/>
      <c r="H76" s="402"/>
      <c r="I76" s="402"/>
      <c r="J76" s="402"/>
      <c r="K76" s="402"/>
      <c r="L76" s="373">
        <f t="shared" si="4"/>
        <v>0</v>
      </c>
      <c r="M76" s="396">
        <f t="shared" si="3"/>
        <v>0</v>
      </c>
      <c r="N76" s="401"/>
    </row>
    <row r="77" spans="2:14" s="400" customFormat="1" hidden="1">
      <c r="B77" s="411" t="s">
        <v>117</v>
      </c>
      <c r="C77" s="410" t="s">
        <v>408</v>
      </c>
      <c r="D77" s="402">
        <v>0</v>
      </c>
      <c r="E77" s="402">
        <v>50.81</v>
      </c>
      <c r="F77" s="402">
        <f>D77*E77</f>
        <v>0</v>
      </c>
      <c r="G77" s="412"/>
      <c r="H77" s="402"/>
      <c r="I77" s="402"/>
      <c r="J77" s="402"/>
      <c r="K77" s="402"/>
      <c r="L77" s="373">
        <f t="shared" si="4"/>
        <v>0</v>
      </c>
      <c r="M77" s="396">
        <f t="shared" si="3"/>
        <v>0</v>
      </c>
      <c r="N77" s="401"/>
    </row>
    <row r="78" spans="2:14" s="400" customFormat="1" hidden="1">
      <c r="B78" s="411" t="s">
        <v>117</v>
      </c>
      <c r="C78" s="410" t="s">
        <v>407</v>
      </c>
      <c r="D78" s="402">
        <v>0</v>
      </c>
      <c r="E78" s="402">
        <v>103.06</v>
      </c>
      <c r="F78" s="402">
        <f>D78*E78</f>
        <v>0</v>
      </c>
      <c r="G78" s="412"/>
      <c r="H78" s="402"/>
      <c r="I78" s="402"/>
      <c r="J78" s="402"/>
      <c r="K78" s="402"/>
      <c r="L78" s="373">
        <f t="shared" si="4"/>
        <v>0</v>
      </c>
      <c r="M78" s="396">
        <f t="shared" si="3"/>
        <v>0</v>
      </c>
      <c r="N78" s="401"/>
    </row>
    <row r="79" spans="2:14" s="400" customFormat="1" hidden="1">
      <c r="B79" s="418" t="s">
        <v>141</v>
      </c>
      <c r="C79" s="417" t="s">
        <v>406</v>
      </c>
      <c r="D79" s="407">
        <v>0</v>
      </c>
      <c r="E79" s="396"/>
      <c r="F79" s="416">
        <f t="shared" ref="F79:K79" si="24">SUM(F80)</f>
        <v>0</v>
      </c>
      <c r="G79" s="416">
        <f t="shared" si="24"/>
        <v>0</v>
      </c>
      <c r="H79" s="416">
        <f t="shared" si="24"/>
        <v>0</v>
      </c>
      <c r="I79" s="416">
        <f t="shared" si="24"/>
        <v>0</v>
      </c>
      <c r="J79" s="416">
        <f t="shared" si="24"/>
        <v>0</v>
      </c>
      <c r="K79" s="416">
        <f t="shared" si="24"/>
        <v>0</v>
      </c>
      <c r="L79" s="373">
        <f t="shared" si="4"/>
        <v>0</v>
      </c>
      <c r="M79" s="396">
        <f t="shared" si="3"/>
        <v>0</v>
      </c>
      <c r="N79" s="401"/>
    </row>
    <row r="80" spans="2:14" s="400" customFormat="1" hidden="1">
      <c r="B80" s="411" t="s">
        <v>141</v>
      </c>
      <c r="C80" s="410" t="s">
        <v>405</v>
      </c>
      <c r="D80" s="402">
        <v>0</v>
      </c>
      <c r="E80" s="402">
        <v>113.91</v>
      </c>
      <c r="F80" s="402">
        <f>D80*E80</f>
        <v>0</v>
      </c>
      <c r="G80" s="412"/>
      <c r="H80" s="412"/>
      <c r="I80" s="402"/>
      <c r="J80" s="402"/>
      <c r="K80" s="402"/>
      <c r="L80" s="373">
        <f t="shared" si="4"/>
        <v>0</v>
      </c>
      <c r="M80" s="396">
        <f t="shared" si="3"/>
        <v>0</v>
      </c>
      <c r="N80" s="401"/>
    </row>
    <row r="81" spans="2:14" s="400" customFormat="1" hidden="1">
      <c r="B81" s="415" t="s">
        <v>142</v>
      </c>
      <c r="C81" s="414" t="s">
        <v>143</v>
      </c>
      <c r="D81" s="407">
        <v>0</v>
      </c>
      <c r="E81" s="396"/>
      <c r="F81" s="413">
        <f t="shared" ref="F81:K81" si="25">SUM(F82:F85)</f>
        <v>0</v>
      </c>
      <c r="G81" s="413">
        <f t="shared" si="25"/>
        <v>0</v>
      </c>
      <c r="H81" s="413">
        <f t="shared" si="25"/>
        <v>0</v>
      </c>
      <c r="I81" s="413">
        <f t="shared" si="25"/>
        <v>0</v>
      </c>
      <c r="J81" s="413">
        <f t="shared" si="25"/>
        <v>0</v>
      </c>
      <c r="K81" s="413">
        <f t="shared" si="25"/>
        <v>0</v>
      </c>
      <c r="L81" s="373">
        <f t="shared" si="4"/>
        <v>0</v>
      </c>
      <c r="M81" s="396">
        <f t="shared" si="3"/>
        <v>0</v>
      </c>
      <c r="N81" s="401"/>
    </row>
    <row r="82" spans="2:14" s="400" customFormat="1" hidden="1">
      <c r="B82" s="411" t="s">
        <v>142</v>
      </c>
      <c r="C82" s="410" t="s">
        <v>404</v>
      </c>
      <c r="D82" s="402">
        <v>0</v>
      </c>
      <c r="E82" s="402">
        <v>331.52</v>
      </c>
      <c r="F82" s="402">
        <f>D82*E82</f>
        <v>0</v>
      </c>
      <c r="G82" s="412"/>
      <c r="H82" s="402"/>
      <c r="I82" s="412"/>
      <c r="J82" s="412"/>
      <c r="K82" s="412"/>
      <c r="L82" s="373">
        <f t="shared" si="4"/>
        <v>0</v>
      </c>
      <c r="M82" s="396">
        <f t="shared" si="3"/>
        <v>0</v>
      </c>
      <c r="N82" s="401"/>
    </row>
    <row r="83" spans="2:14" s="400" customFormat="1" hidden="1">
      <c r="B83" s="411" t="s">
        <v>142</v>
      </c>
      <c r="C83" s="410" t="s">
        <v>403</v>
      </c>
      <c r="D83" s="402">
        <v>0</v>
      </c>
      <c r="E83" s="402">
        <v>351.94</v>
      </c>
      <c r="F83" s="402">
        <f>D83*E83</f>
        <v>0</v>
      </c>
      <c r="G83" s="412"/>
      <c r="H83" s="412"/>
      <c r="I83" s="416"/>
      <c r="J83" s="416"/>
      <c r="K83" s="416"/>
      <c r="L83" s="373">
        <f t="shared" si="4"/>
        <v>0</v>
      </c>
      <c r="M83" s="396">
        <f t="shared" si="3"/>
        <v>0</v>
      </c>
      <c r="N83" s="401"/>
    </row>
    <row r="84" spans="2:14" s="400" customFormat="1" hidden="1">
      <c r="B84" s="411" t="s">
        <v>142</v>
      </c>
      <c r="C84" s="410" t="s">
        <v>103</v>
      </c>
      <c r="D84" s="402">
        <v>0</v>
      </c>
      <c r="E84" s="402">
        <v>465.78</v>
      </c>
      <c r="F84" s="402">
        <f>D84*E84</f>
        <v>0</v>
      </c>
      <c r="G84" s="412"/>
      <c r="H84" s="412"/>
      <c r="I84" s="416"/>
      <c r="J84" s="416"/>
      <c r="K84" s="416"/>
      <c r="L84" s="373">
        <f t="shared" si="4"/>
        <v>0</v>
      </c>
      <c r="M84" s="396">
        <f t="shared" si="3"/>
        <v>0</v>
      </c>
      <c r="N84" s="401"/>
    </row>
    <row r="85" spans="2:14" s="400" customFormat="1" hidden="1">
      <c r="B85" s="411" t="s">
        <v>142</v>
      </c>
      <c r="C85" s="410" t="s">
        <v>144</v>
      </c>
      <c r="D85" s="402">
        <v>0</v>
      </c>
      <c r="E85" s="402">
        <v>540.86</v>
      </c>
      <c r="F85" s="402">
        <f>D85*E85</f>
        <v>0</v>
      </c>
      <c r="G85" s="412"/>
      <c r="H85" s="412"/>
      <c r="I85" s="416"/>
      <c r="J85" s="416"/>
      <c r="K85" s="416"/>
      <c r="L85" s="373">
        <f t="shared" si="4"/>
        <v>0</v>
      </c>
      <c r="M85" s="396">
        <f t="shared" si="3"/>
        <v>0</v>
      </c>
      <c r="N85" s="401"/>
    </row>
    <row r="86" spans="2:14" s="400" customFormat="1" hidden="1">
      <c r="B86" s="415" t="s">
        <v>145</v>
      </c>
      <c r="C86" s="414" t="s">
        <v>146</v>
      </c>
      <c r="D86" s="407">
        <v>0</v>
      </c>
      <c r="E86" s="396"/>
      <c r="F86" s="413">
        <f t="shared" ref="F86:K86" si="26">F87+F91+F95</f>
        <v>0</v>
      </c>
      <c r="G86" s="413">
        <f t="shared" si="26"/>
        <v>0</v>
      </c>
      <c r="H86" s="413">
        <f t="shared" si="26"/>
        <v>0</v>
      </c>
      <c r="I86" s="413">
        <f t="shared" si="26"/>
        <v>0</v>
      </c>
      <c r="J86" s="413">
        <f t="shared" si="26"/>
        <v>0</v>
      </c>
      <c r="K86" s="413">
        <f t="shared" si="26"/>
        <v>0</v>
      </c>
      <c r="L86" s="373">
        <f t="shared" si="4"/>
        <v>0</v>
      </c>
      <c r="M86" s="396">
        <f t="shared" ref="M86:M149" si="27">F86-L86</f>
        <v>0</v>
      </c>
      <c r="N86" s="401"/>
    </row>
    <row r="87" spans="2:14" s="400" customFormat="1" hidden="1">
      <c r="B87" s="418" t="s">
        <v>147</v>
      </c>
      <c r="C87" s="417" t="s">
        <v>148</v>
      </c>
      <c r="D87" s="407">
        <v>0</v>
      </c>
      <c r="E87" s="396"/>
      <c r="F87" s="416">
        <f t="shared" ref="F87:K87" si="28">SUM(F88:F90)</f>
        <v>0</v>
      </c>
      <c r="G87" s="416">
        <f t="shared" si="28"/>
        <v>0</v>
      </c>
      <c r="H87" s="416">
        <f t="shared" si="28"/>
        <v>0</v>
      </c>
      <c r="I87" s="416">
        <f t="shared" si="28"/>
        <v>0</v>
      </c>
      <c r="J87" s="416">
        <f t="shared" si="28"/>
        <v>0</v>
      </c>
      <c r="K87" s="416">
        <f t="shared" si="28"/>
        <v>0</v>
      </c>
      <c r="L87" s="373">
        <f t="shared" ref="L87:L150" si="29">SUM(G87:J87)</f>
        <v>0</v>
      </c>
      <c r="M87" s="396">
        <f t="shared" si="27"/>
        <v>0</v>
      </c>
      <c r="N87" s="401"/>
    </row>
    <row r="88" spans="2:14" s="400" customFormat="1" hidden="1">
      <c r="B88" s="411" t="s">
        <v>147</v>
      </c>
      <c r="C88" s="410" t="s">
        <v>149</v>
      </c>
      <c r="D88" s="402">
        <v>0</v>
      </c>
      <c r="E88" s="402">
        <v>465.78</v>
      </c>
      <c r="F88" s="402">
        <f>D88*E88</f>
        <v>0</v>
      </c>
      <c r="G88" s="412"/>
      <c r="H88" s="412"/>
      <c r="I88" s="412"/>
      <c r="J88" s="412"/>
      <c r="K88" s="412"/>
      <c r="L88" s="373">
        <f t="shared" si="29"/>
        <v>0</v>
      </c>
      <c r="M88" s="396">
        <f t="shared" si="27"/>
        <v>0</v>
      </c>
      <c r="N88" s="401"/>
    </row>
    <row r="89" spans="2:14" s="400" customFormat="1" hidden="1">
      <c r="B89" s="411" t="s">
        <v>147</v>
      </c>
      <c r="C89" s="410" t="s">
        <v>150</v>
      </c>
      <c r="D89" s="402">
        <v>0</v>
      </c>
      <c r="E89" s="402">
        <v>540.86</v>
      </c>
      <c r="F89" s="402">
        <f>D89*E89</f>
        <v>0</v>
      </c>
      <c r="G89" s="412"/>
      <c r="H89" s="412"/>
      <c r="I89" s="412"/>
      <c r="J89" s="412"/>
      <c r="K89" s="412"/>
      <c r="L89" s="373">
        <f t="shared" si="29"/>
        <v>0</v>
      </c>
      <c r="M89" s="396">
        <f t="shared" si="27"/>
        <v>0</v>
      </c>
      <c r="N89" s="401"/>
    </row>
    <row r="90" spans="2:14" s="400" customFormat="1" hidden="1">
      <c r="B90" s="411" t="s">
        <v>147</v>
      </c>
      <c r="C90" s="410" t="s">
        <v>151</v>
      </c>
      <c r="D90" s="402">
        <v>0</v>
      </c>
      <c r="E90" s="402">
        <v>0.68</v>
      </c>
      <c r="F90" s="402">
        <f>D90*E90</f>
        <v>0</v>
      </c>
      <c r="G90" s="412"/>
      <c r="H90" s="412"/>
      <c r="I90" s="412"/>
      <c r="J90" s="412"/>
      <c r="K90" s="412"/>
      <c r="L90" s="373">
        <f t="shared" si="29"/>
        <v>0</v>
      </c>
      <c r="M90" s="396">
        <f t="shared" si="27"/>
        <v>0</v>
      </c>
      <c r="N90" s="401"/>
    </row>
    <row r="91" spans="2:14" s="400" customFormat="1" hidden="1">
      <c r="B91" s="418" t="s">
        <v>152</v>
      </c>
      <c r="C91" s="417" t="s">
        <v>153</v>
      </c>
      <c r="D91" s="407">
        <v>0</v>
      </c>
      <c r="E91" s="396"/>
      <c r="F91" s="416">
        <f t="shared" ref="F91:K91" si="30">SUM(F92:F94)</f>
        <v>0</v>
      </c>
      <c r="G91" s="416">
        <f t="shared" si="30"/>
        <v>0</v>
      </c>
      <c r="H91" s="416">
        <f t="shared" si="30"/>
        <v>0</v>
      </c>
      <c r="I91" s="416">
        <f t="shared" si="30"/>
        <v>0</v>
      </c>
      <c r="J91" s="416">
        <f t="shared" si="30"/>
        <v>0</v>
      </c>
      <c r="K91" s="416">
        <f t="shared" si="30"/>
        <v>0</v>
      </c>
      <c r="L91" s="373">
        <f t="shared" si="29"/>
        <v>0</v>
      </c>
      <c r="M91" s="396">
        <f t="shared" si="27"/>
        <v>0</v>
      </c>
      <c r="N91" s="401"/>
    </row>
    <row r="92" spans="2:14" s="400" customFormat="1" hidden="1">
      <c r="B92" s="411" t="s">
        <v>152</v>
      </c>
      <c r="C92" s="410" t="s">
        <v>402</v>
      </c>
      <c r="D92" s="402">
        <v>0</v>
      </c>
      <c r="E92" s="402">
        <v>5.58</v>
      </c>
      <c r="F92" s="402">
        <f>D92*E92</f>
        <v>0</v>
      </c>
      <c r="G92" s="402"/>
      <c r="H92" s="402"/>
      <c r="I92" s="402"/>
      <c r="J92" s="402"/>
      <c r="K92" s="402"/>
      <c r="L92" s="373">
        <f t="shared" si="29"/>
        <v>0</v>
      </c>
      <c r="M92" s="396">
        <f t="shared" si="27"/>
        <v>0</v>
      </c>
      <c r="N92" s="401"/>
    </row>
    <row r="93" spans="2:14" s="400" customFormat="1" hidden="1">
      <c r="B93" s="411" t="s">
        <v>152</v>
      </c>
      <c r="C93" s="410" t="s">
        <v>401</v>
      </c>
      <c r="D93" s="402">
        <v>0</v>
      </c>
      <c r="E93" s="402">
        <v>5.58</v>
      </c>
      <c r="F93" s="402">
        <f>D93*E93</f>
        <v>0</v>
      </c>
      <c r="G93" s="402"/>
      <c r="H93" s="402"/>
      <c r="I93" s="402"/>
      <c r="J93" s="402"/>
      <c r="K93" s="402"/>
      <c r="L93" s="373">
        <f t="shared" si="29"/>
        <v>0</v>
      </c>
      <c r="M93" s="396">
        <f t="shared" si="27"/>
        <v>0</v>
      </c>
      <c r="N93" s="401"/>
    </row>
    <row r="94" spans="2:14" s="400" customFormat="1" hidden="1">
      <c r="B94" s="411" t="s">
        <v>152</v>
      </c>
      <c r="C94" s="410" t="s">
        <v>400</v>
      </c>
      <c r="D94" s="402">
        <v>0</v>
      </c>
      <c r="E94" s="402">
        <v>5.58</v>
      </c>
      <c r="F94" s="402">
        <f>D94*E94</f>
        <v>0</v>
      </c>
      <c r="G94" s="402"/>
      <c r="H94" s="402"/>
      <c r="I94" s="402"/>
      <c r="J94" s="402"/>
      <c r="K94" s="402"/>
      <c r="L94" s="373">
        <f t="shared" si="29"/>
        <v>0</v>
      </c>
      <c r="M94" s="396">
        <f t="shared" si="27"/>
        <v>0</v>
      </c>
      <c r="N94" s="401"/>
    </row>
    <row r="95" spans="2:14" s="400" customFormat="1" hidden="1">
      <c r="B95" s="418" t="s">
        <v>154</v>
      </c>
      <c r="C95" s="417" t="s">
        <v>399</v>
      </c>
      <c r="D95" s="407">
        <v>0</v>
      </c>
      <c r="E95" s="396"/>
      <c r="F95" s="416">
        <f t="shared" ref="F95:K95" si="31">SUM(F96:F99)</f>
        <v>0</v>
      </c>
      <c r="G95" s="416">
        <f t="shared" si="31"/>
        <v>0</v>
      </c>
      <c r="H95" s="416">
        <f t="shared" si="31"/>
        <v>0</v>
      </c>
      <c r="I95" s="416">
        <f t="shared" si="31"/>
        <v>0</v>
      </c>
      <c r="J95" s="416">
        <f t="shared" si="31"/>
        <v>0</v>
      </c>
      <c r="K95" s="416">
        <f t="shared" si="31"/>
        <v>0</v>
      </c>
      <c r="L95" s="373">
        <f t="shared" si="29"/>
        <v>0</v>
      </c>
      <c r="M95" s="396">
        <f t="shared" si="27"/>
        <v>0</v>
      </c>
      <c r="N95" s="401"/>
    </row>
    <row r="96" spans="2:14" s="400" customFormat="1" hidden="1">
      <c r="B96" s="411" t="s">
        <v>154</v>
      </c>
      <c r="C96" s="410" t="s">
        <v>398</v>
      </c>
      <c r="D96" s="402">
        <v>0</v>
      </c>
      <c r="E96" s="402">
        <v>9153.2999999999993</v>
      </c>
      <c r="F96" s="402">
        <f>D96*E96</f>
        <v>0</v>
      </c>
      <c r="G96" s="412"/>
      <c r="H96" s="402"/>
      <c r="I96" s="402"/>
      <c r="J96" s="402"/>
      <c r="K96" s="402"/>
      <c r="L96" s="373">
        <f t="shared" si="29"/>
        <v>0</v>
      </c>
      <c r="M96" s="396">
        <f t="shared" si="27"/>
        <v>0</v>
      </c>
      <c r="N96" s="401"/>
    </row>
    <row r="97" spans="2:14" s="400" customFormat="1" hidden="1">
      <c r="B97" s="411" t="s">
        <v>154</v>
      </c>
      <c r="C97" s="410" t="s">
        <v>397</v>
      </c>
      <c r="D97" s="402">
        <v>0</v>
      </c>
      <c r="E97" s="402">
        <v>1762.86</v>
      </c>
      <c r="F97" s="402">
        <f>D97*E97</f>
        <v>0</v>
      </c>
      <c r="G97" s="412"/>
      <c r="H97" s="412"/>
      <c r="I97" s="412"/>
      <c r="J97" s="412"/>
      <c r="K97" s="412"/>
      <c r="L97" s="373">
        <f t="shared" si="29"/>
        <v>0</v>
      </c>
      <c r="M97" s="396">
        <f t="shared" si="27"/>
        <v>0</v>
      </c>
      <c r="N97" s="401"/>
    </row>
    <row r="98" spans="2:14" s="400" customFormat="1" hidden="1">
      <c r="B98" s="411" t="s">
        <v>154</v>
      </c>
      <c r="C98" s="410" t="s">
        <v>396</v>
      </c>
      <c r="D98" s="402">
        <v>0</v>
      </c>
      <c r="E98" s="402">
        <v>644.89</v>
      </c>
      <c r="F98" s="402">
        <f>D98*E98</f>
        <v>0</v>
      </c>
      <c r="G98" s="402"/>
      <c r="H98" s="412"/>
      <c r="I98" s="412"/>
      <c r="J98" s="412"/>
      <c r="K98" s="412"/>
      <c r="L98" s="373">
        <f t="shared" si="29"/>
        <v>0</v>
      </c>
      <c r="M98" s="396">
        <f t="shared" si="27"/>
        <v>0</v>
      </c>
      <c r="N98" s="401"/>
    </row>
    <row r="99" spans="2:14" s="400" customFormat="1" hidden="1">
      <c r="B99" s="411" t="s">
        <v>154</v>
      </c>
      <c r="C99" s="410" t="s">
        <v>395</v>
      </c>
      <c r="D99" s="402">
        <v>0</v>
      </c>
      <c r="E99" s="402">
        <v>4216.37</v>
      </c>
      <c r="F99" s="402">
        <f>D99*E99</f>
        <v>0</v>
      </c>
      <c r="G99" s="412"/>
      <c r="H99" s="412"/>
      <c r="I99" s="412"/>
      <c r="J99" s="412"/>
      <c r="K99" s="412"/>
      <c r="L99" s="373">
        <f t="shared" si="29"/>
        <v>0</v>
      </c>
      <c r="M99" s="396">
        <f t="shared" si="27"/>
        <v>0</v>
      </c>
      <c r="N99" s="401"/>
    </row>
    <row r="100" spans="2:14" s="400" customFormat="1" hidden="1">
      <c r="B100" s="415" t="s">
        <v>155</v>
      </c>
      <c r="C100" s="414" t="s">
        <v>156</v>
      </c>
      <c r="D100" s="407">
        <v>0</v>
      </c>
      <c r="E100" s="396"/>
      <c r="F100" s="413">
        <f t="shared" ref="F100:K100" si="32">F101+F103+F105+F107+F110+F112+F114</f>
        <v>0</v>
      </c>
      <c r="G100" s="413">
        <f t="shared" si="32"/>
        <v>0</v>
      </c>
      <c r="H100" s="413">
        <f t="shared" si="32"/>
        <v>0</v>
      </c>
      <c r="I100" s="413">
        <f t="shared" si="32"/>
        <v>0</v>
      </c>
      <c r="J100" s="413">
        <f t="shared" si="32"/>
        <v>0</v>
      </c>
      <c r="K100" s="413">
        <f t="shared" si="32"/>
        <v>0</v>
      </c>
      <c r="L100" s="373">
        <f t="shared" si="29"/>
        <v>0</v>
      </c>
      <c r="M100" s="396">
        <f t="shared" si="27"/>
        <v>0</v>
      </c>
      <c r="N100" s="401"/>
    </row>
    <row r="101" spans="2:14" s="400" customFormat="1" hidden="1">
      <c r="B101" s="418" t="s">
        <v>157</v>
      </c>
      <c r="C101" s="417" t="s">
        <v>158</v>
      </c>
      <c r="D101" s="407">
        <v>0</v>
      </c>
      <c r="E101" s="396"/>
      <c r="F101" s="416">
        <f t="shared" ref="F101:K101" si="33">SUM(F102)</f>
        <v>0</v>
      </c>
      <c r="G101" s="416">
        <f t="shared" si="33"/>
        <v>0</v>
      </c>
      <c r="H101" s="416">
        <f t="shared" si="33"/>
        <v>0</v>
      </c>
      <c r="I101" s="416">
        <f t="shared" si="33"/>
        <v>0</v>
      </c>
      <c r="J101" s="416">
        <f t="shared" si="33"/>
        <v>0</v>
      </c>
      <c r="K101" s="416">
        <f t="shared" si="33"/>
        <v>0</v>
      </c>
      <c r="L101" s="373">
        <f t="shared" si="29"/>
        <v>0</v>
      </c>
      <c r="M101" s="396">
        <f t="shared" si="27"/>
        <v>0</v>
      </c>
      <c r="N101" s="401"/>
    </row>
    <row r="102" spans="2:14" s="400" customFormat="1" hidden="1">
      <c r="B102" s="411" t="s">
        <v>157</v>
      </c>
      <c r="C102" s="410" t="s">
        <v>394</v>
      </c>
      <c r="D102" s="402">
        <v>0</v>
      </c>
      <c r="E102" s="402">
        <v>21.2</v>
      </c>
      <c r="F102" s="402">
        <f>D102*E102</f>
        <v>0</v>
      </c>
      <c r="G102" s="412"/>
      <c r="H102" s="412"/>
      <c r="I102" s="412"/>
      <c r="J102" s="412"/>
      <c r="K102" s="412"/>
      <c r="L102" s="373">
        <f t="shared" si="29"/>
        <v>0</v>
      </c>
      <c r="M102" s="396">
        <f t="shared" si="27"/>
        <v>0</v>
      </c>
      <c r="N102" s="401"/>
    </row>
    <row r="103" spans="2:14" s="400" customFormat="1" hidden="1">
      <c r="B103" s="418" t="s">
        <v>159</v>
      </c>
      <c r="C103" s="417" t="s">
        <v>160</v>
      </c>
      <c r="D103" s="407">
        <v>0</v>
      </c>
      <c r="E103" s="396"/>
      <c r="F103" s="416">
        <f t="shared" ref="F103:K103" si="34">SUM(F104)</f>
        <v>0</v>
      </c>
      <c r="G103" s="416">
        <f t="shared" si="34"/>
        <v>0</v>
      </c>
      <c r="H103" s="416">
        <f t="shared" si="34"/>
        <v>0</v>
      </c>
      <c r="I103" s="416">
        <f t="shared" si="34"/>
        <v>0</v>
      </c>
      <c r="J103" s="416">
        <f t="shared" si="34"/>
        <v>0</v>
      </c>
      <c r="K103" s="416">
        <f t="shared" si="34"/>
        <v>0</v>
      </c>
      <c r="L103" s="373">
        <f t="shared" si="29"/>
        <v>0</v>
      </c>
      <c r="M103" s="396">
        <f t="shared" si="27"/>
        <v>0</v>
      </c>
      <c r="N103" s="401"/>
    </row>
    <row r="104" spans="2:14" s="400" customFormat="1" hidden="1">
      <c r="B104" s="411" t="s">
        <v>159</v>
      </c>
      <c r="C104" s="410" t="s">
        <v>393</v>
      </c>
      <c r="D104" s="402">
        <v>0</v>
      </c>
      <c r="E104" s="402">
        <v>430.6</v>
      </c>
      <c r="F104" s="402">
        <f>D104*E104</f>
        <v>0</v>
      </c>
      <c r="G104" s="412"/>
      <c r="H104" s="412"/>
      <c r="I104" s="412"/>
      <c r="J104" s="412"/>
      <c r="K104" s="412"/>
      <c r="L104" s="373">
        <f t="shared" si="29"/>
        <v>0</v>
      </c>
      <c r="M104" s="396">
        <f t="shared" si="27"/>
        <v>0</v>
      </c>
      <c r="N104" s="401"/>
    </row>
    <row r="105" spans="2:14" s="400" customFormat="1" hidden="1">
      <c r="B105" s="418" t="s">
        <v>161</v>
      </c>
      <c r="C105" s="417" t="s">
        <v>162</v>
      </c>
      <c r="D105" s="407">
        <v>0</v>
      </c>
      <c r="E105" s="396"/>
      <c r="F105" s="416">
        <f t="shared" ref="F105:K105" si="35">SUM(F106)</f>
        <v>0</v>
      </c>
      <c r="G105" s="416">
        <f t="shared" si="35"/>
        <v>0</v>
      </c>
      <c r="H105" s="416">
        <f t="shared" si="35"/>
        <v>0</v>
      </c>
      <c r="I105" s="416">
        <f t="shared" si="35"/>
        <v>0</v>
      </c>
      <c r="J105" s="416">
        <f t="shared" si="35"/>
        <v>0</v>
      </c>
      <c r="K105" s="416">
        <f t="shared" si="35"/>
        <v>0</v>
      </c>
      <c r="L105" s="373">
        <f t="shared" si="29"/>
        <v>0</v>
      </c>
      <c r="M105" s="396">
        <f t="shared" si="27"/>
        <v>0</v>
      </c>
      <c r="N105" s="401"/>
    </row>
    <row r="106" spans="2:14" s="400" customFormat="1" hidden="1">
      <c r="B106" s="411" t="s">
        <v>161</v>
      </c>
      <c r="C106" s="410" t="s">
        <v>392</v>
      </c>
      <c r="D106" s="402">
        <v>0</v>
      </c>
      <c r="E106" s="402">
        <v>22.43</v>
      </c>
      <c r="F106" s="402">
        <f>D106*E106</f>
        <v>0</v>
      </c>
      <c r="G106" s="412"/>
      <c r="H106" s="412"/>
      <c r="I106" s="412"/>
      <c r="J106" s="412"/>
      <c r="K106" s="412"/>
      <c r="L106" s="373">
        <f t="shared" si="29"/>
        <v>0</v>
      </c>
      <c r="M106" s="396">
        <f t="shared" si="27"/>
        <v>0</v>
      </c>
      <c r="N106" s="401"/>
    </row>
    <row r="107" spans="2:14" s="400" customFormat="1" hidden="1">
      <c r="B107" s="418" t="s">
        <v>179</v>
      </c>
      <c r="C107" s="417" t="s">
        <v>180</v>
      </c>
      <c r="D107" s="407">
        <v>0</v>
      </c>
      <c r="E107" s="396"/>
      <c r="F107" s="416">
        <f t="shared" ref="F107:K107" si="36">F108+F109</f>
        <v>0</v>
      </c>
      <c r="G107" s="416">
        <f t="shared" si="36"/>
        <v>0</v>
      </c>
      <c r="H107" s="416">
        <f t="shared" si="36"/>
        <v>0</v>
      </c>
      <c r="I107" s="416">
        <f t="shared" si="36"/>
        <v>0</v>
      </c>
      <c r="J107" s="416">
        <f t="shared" si="36"/>
        <v>0</v>
      </c>
      <c r="K107" s="416">
        <f t="shared" si="36"/>
        <v>0</v>
      </c>
      <c r="L107" s="373">
        <f t="shared" si="29"/>
        <v>0</v>
      </c>
      <c r="M107" s="396">
        <f t="shared" si="27"/>
        <v>0</v>
      </c>
      <c r="N107" s="401"/>
    </row>
    <row r="108" spans="2:14" s="400" customFormat="1" hidden="1">
      <c r="B108" s="411" t="s">
        <v>179</v>
      </c>
      <c r="C108" s="410" t="s">
        <v>391</v>
      </c>
      <c r="D108" s="402">
        <v>0</v>
      </c>
      <c r="E108" s="402">
        <v>5774.64</v>
      </c>
      <c r="F108" s="402">
        <f>D108*E108</f>
        <v>0</v>
      </c>
      <c r="G108" s="412"/>
      <c r="H108" s="412"/>
      <c r="I108" s="402"/>
      <c r="J108" s="402"/>
      <c r="K108" s="402"/>
      <c r="L108" s="373">
        <f t="shared" si="29"/>
        <v>0</v>
      </c>
      <c r="M108" s="396">
        <f t="shared" si="27"/>
        <v>0</v>
      </c>
      <c r="N108" s="401"/>
    </row>
    <row r="109" spans="2:14" s="400" customFormat="1" hidden="1">
      <c r="B109" s="411" t="s">
        <v>179</v>
      </c>
      <c r="C109" s="410" t="s">
        <v>390</v>
      </c>
      <c r="D109" s="402">
        <v>0</v>
      </c>
      <c r="E109" s="402">
        <v>5026.6400000000003</v>
      </c>
      <c r="F109" s="402">
        <f>D109*E109</f>
        <v>0</v>
      </c>
      <c r="G109" s="412"/>
      <c r="H109" s="412"/>
      <c r="I109" s="402"/>
      <c r="J109" s="402"/>
      <c r="K109" s="402"/>
      <c r="L109" s="373">
        <f t="shared" si="29"/>
        <v>0</v>
      </c>
      <c r="M109" s="396">
        <f t="shared" si="27"/>
        <v>0</v>
      </c>
      <c r="N109" s="401"/>
    </row>
    <row r="110" spans="2:14" s="400" customFormat="1" hidden="1">
      <c r="B110" s="418" t="s">
        <v>181</v>
      </c>
      <c r="C110" s="417" t="s">
        <v>182</v>
      </c>
      <c r="D110" s="407">
        <v>0</v>
      </c>
      <c r="E110" s="396"/>
      <c r="F110" s="416">
        <f t="shared" ref="F110:K110" si="37">SUM(F111)</f>
        <v>0</v>
      </c>
      <c r="G110" s="416">
        <f t="shared" si="37"/>
        <v>0</v>
      </c>
      <c r="H110" s="416">
        <f t="shared" si="37"/>
        <v>0</v>
      </c>
      <c r="I110" s="416">
        <f t="shared" si="37"/>
        <v>0</v>
      </c>
      <c r="J110" s="416">
        <f t="shared" si="37"/>
        <v>0</v>
      </c>
      <c r="K110" s="416">
        <f t="shared" si="37"/>
        <v>0</v>
      </c>
      <c r="L110" s="373">
        <f t="shared" si="29"/>
        <v>0</v>
      </c>
      <c r="M110" s="396">
        <f t="shared" si="27"/>
        <v>0</v>
      </c>
      <c r="N110" s="401"/>
    </row>
    <row r="111" spans="2:14" s="400" customFormat="1" hidden="1">
      <c r="B111" s="411" t="s">
        <v>181</v>
      </c>
      <c r="C111" s="410" t="s">
        <v>389</v>
      </c>
      <c r="D111" s="402">
        <v>0</v>
      </c>
      <c r="E111" s="402">
        <v>7178.78</v>
      </c>
      <c r="F111" s="402">
        <f>D111*E111</f>
        <v>0</v>
      </c>
      <c r="G111" s="412"/>
      <c r="H111" s="412"/>
      <c r="I111" s="402"/>
      <c r="J111" s="402"/>
      <c r="K111" s="402"/>
      <c r="L111" s="373">
        <f t="shared" si="29"/>
        <v>0</v>
      </c>
      <c r="M111" s="396">
        <f t="shared" si="27"/>
        <v>0</v>
      </c>
      <c r="N111" s="401"/>
    </row>
    <row r="112" spans="2:14" s="400" customFormat="1" hidden="1">
      <c r="B112" s="418" t="s">
        <v>183</v>
      </c>
      <c r="C112" s="417" t="s">
        <v>184</v>
      </c>
      <c r="D112" s="407">
        <v>0</v>
      </c>
      <c r="E112" s="396"/>
      <c r="F112" s="416">
        <f>SUM(F113)</f>
        <v>0</v>
      </c>
      <c r="G112" s="396"/>
      <c r="H112" s="396"/>
      <c r="I112" s="416"/>
      <c r="J112" s="416"/>
      <c r="K112" s="416"/>
      <c r="L112" s="373">
        <f t="shared" si="29"/>
        <v>0</v>
      </c>
      <c r="M112" s="396">
        <f t="shared" si="27"/>
        <v>0</v>
      </c>
      <c r="N112" s="401"/>
    </row>
    <row r="113" spans="2:14" s="400" customFormat="1" hidden="1">
      <c r="B113" s="411" t="s">
        <v>183</v>
      </c>
      <c r="C113" s="410" t="s">
        <v>388</v>
      </c>
      <c r="D113" s="402">
        <v>0</v>
      </c>
      <c r="E113" s="402">
        <v>419.59</v>
      </c>
      <c r="F113" s="402">
        <f>D113*E113</f>
        <v>0</v>
      </c>
      <c r="G113" s="412"/>
      <c r="H113" s="412"/>
      <c r="I113" s="402"/>
      <c r="J113" s="402"/>
      <c r="K113" s="402"/>
      <c r="L113" s="373">
        <f t="shared" si="29"/>
        <v>0</v>
      </c>
      <c r="M113" s="396">
        <f t="shared" si="27"/>
        <v>0</v>
      </c>
      <c r="N113" s="401"/>
    </row>
    <row r="114" spans="2:14" s="400" customFormat="1" hidden="1">
      <c r="B114" s="418" t="s">
        <v>185</v>
      </c>
      <c r="C114" s="417" t="s">
        <v>186</v>
      </c>
      <c r="D114" s="407">
        <v>0</v>
      </c>
      <c r="E114" s="396"/>
      <c r="F114" s="416">
        <f t="shared" ref="F114:K114" si="38">SUM(F115:F118)</f>
        <v>0</v>
      </c>
      <c r="G114" s="416">
        <f t="shared" si="38"/>
        <v>0</v>
      </c>
      <c r="H114" s="416">
        <f t="shared" si="38"/>
        <v>0</v>
      </c>
      <c r="I114" s="416">
        <f t="shared" si="38"/>
        <v>0</v>
      </c>
      <c r="J114" s="416">
        <f t="shared" si="38"/>
        <v>0</v>
      </c>
      <c r="K114" s="416">
        <f t="shared" si="38"/>
        <v>0</v>
      </c>
      <c r="L114" s="373">
        <f t="shared" si="29"/>
        <v>0</v>
      </c>
      <c r="M114" s="396">
        <f t="shared" si="27"/>
        <v>0</v>
      </c>
      <c r="N114" s="401"/>
    </row>
    <row r="115" spans="2:14" s="400" customFormat="1" hidden="1">
      <c r="B115" s="411" t="s">
        <v>185</v>
      </c>
      <c r="C115" s="410" t="s">
        <v>387</v>
      </c>
      <c r="D115" s="402">
        <v>0</v>
      </c>
      <c r="E115" s="402">
        <v>5.58</v>
      </c>
      <c r="F115" s="402">
        <f>D115*E115</f>
        <v>0</v>
      </c>
      <c r="G115" s="412"/>
      <c r="H115" s="412"/>
      <c r="I115" s="412"/>
      <c r="J115" s="412"/>
      <c r="K115" s="412"/>
      <c r="L115" s="373">
        <f t="shared" si="29"/>
        <v>0</v>
      </c>
      <c r="M115" s="396">
        <f t="shared" si="27"/>
        <v>0</v>
      </c>
      <c r="N115" s="401"/>
    </row>
    <row r="116" spans="2:14" s="400" customFormat="1" hidden="1">
      <c r="B116" s="411" t="s">
        <v>185</v>
      </c>
      <c r="C116" s="410" t="s">
        <v>386</v>
      </c>
      <c r="D116" s="402">
        <v>0</v>
      </c>
      <c r="E116" s="402">
        <v>65.95</v>
      </c>
      <c r="F116" s="402">
        <f>D116*E116</f>
        <v>0</v>
      </c>
      <c r="G116" s="412"/>
      <c r="H116" s="412"/>
      <c r="I116" s="412"/>
      <c r="J116" s="412"/>
      <c r="K116" s="412"/>
      <c r="L116" s="373">
        <f t="shared" si="29"/>
        <v>0</v>
      </c>
      <c r="M116" s="396">
        <f t="shared" si="27"/>
        <v>0</v>
      </c>
      <c r="N116" s="401"/>
    </row>
    <row r="117" spans="2:14" s="400" customFormat="1" hidden="1">
      <c r="B117" s="411" t="s">
        <v>185</v>
      </c>
      <c r="C117" s="410" t="s">
        <v>149</v>
      </c>
      <c r="D117" s="402">
        <v>0</v>
      </c>
      <c r="E117" s="402">
        <v>465.78</v>
      </c>
      <c r="F117" s="402">
        <f>D117*E117</f>
        <v>0</v>
      </c>
      <c r="G117" s="412"/>
      <c r="H117" s="412"/>
      <c r="I117" s="412"/>
      <c r="J117" s="412"/>
      <c r="K117" s="412"/>
      <c r="L117" s="373">
        <f t="shared" si="29"/>
        <v>0</v>
      </c>
      <c r="M117" s="396">
        <f t="shared" si="27"/>
        <v>0</v>
      </c>
      <c r="N117" s="401"/>
    </row>
    <row r="118" spans="2:14" s="400" customFormat="1" hidden="1">
      <c r="B118" s="411" t="s">
        <v>185</v>
      </c>
      <c r="C118" s="410" t="s">
        <v>151</v>
      </c>
      <c r="D118" s="402">
        <v>0</v>
      </c>
      <c r="E118" s="402">
        <v>0.68</v>
      </c>
      <c r="F118" s="402">
        <f>D118*E118</f>
        <v>0</v>
      </c>
      <c r="G118" s="412"/>
      <c r="H118" s="412"/>
      <c r="I118" s="412"/>
      <c r="J118" s="412"/>
      <c r="K118" s="412"/>
      <c r="L118" s="373">
        <f t="shared" si="29"/>
        <v>0</v>
      </c>
      <c r="M118" s="396">
        <f t="shared" si="27"/>
        <v>0</v>
      </c>
      <c r="N118" s="401"/>
    </row>
    <row r="119" spans="2:14" s="400" customFormat="1">
      <c r="B119" s="409" t="s">
        <v>187</v>
      </c>
      <c r="C119" s="408" t="s">
        <v>188</v>
      </c>
      <c r="D119" s="407"/>
      <c r="E119" s="396"/>
      <c r="F119" s="406">
        <f t="shared" ref="F119:K119" si="39">SUM(F120:F126)</f>
        <v>15376.7</v>
      </c>
      <c r="G119" s="406">
        <f t="shared" si="39"/>
        <v>0</v>
      </c>
      <c r="H119" s="406">
        <f t="shared" si="39"/>
        <v>0</v>
      </c>
      <c r="I119" s="406">
        <f t="shared" si="39"/>
        <v>15376.7</v>
      </c>
      <c r="J119" s="406">
        <f t="shared" si="39"/>
        <v>0</v>
      </c>
      <c r="K119" s="406">
        <f t="shared" si="39"/>
        <v>0</v>
      </c>
      <c r="L119" s="373">
        <f t="shared" si="29"/>
        <v>15376.7</v>
      </c>
      <c r="M119" s="396">
        <f t="shared" si="27"/>
        <v>0</v>
      </c>
      <c r="N119" s="401"/>
    </row>
    <row r="120" spans="2:14" s="400" customFormat="1">
      <c r="B120" s="411" t="s">
        <v>187</v>
      </c>
      <c r="C120" s="410" t="s">
        <v>385</v>
      </c>
      <c r="D120" s="402">
        <f>[50]VAL.PRINC!N112</f>
        <v>1</v>
      </c>
      <c r="E120" s="402">
        <v>450</v>
      </c>
      <c r="F120" s="402">
        <f t="shared" ref="F120:F126" si="40">D120*E120</f>
        <v>450</v>
      </c>
      <c r="G120" s="402"/>
      <c r="H120" s="402"/>
      <c r="I120" s="402">
        <f t="shared" ref="I120:K126" si="41">F120</f>
        <v>450</v>
      </c>
      <c r="J120" s="402">
        <f t="shared" si="41"/>
        <v>0</v>
      </c>
      <c r="K120" s="402">
        <f t="shared" si="41"/>
        <v>0</v>
      </c>
      <c r="L120" s="373">
        <f t="shared" si="29"/>
        <v>450</v>
      </c>
      <c r="M120" s="396">
        <f t="shared" si="27"/>
        <v>0</v>
      </c>
      <c r="N120" s="401"/>
    </row>
    <row r="121" spans="2:14" s="400" customFormat="1">
      <c r="B121" s="411" t="s">
        <v>187</v>
      </c>
      <c r="C121" s="410" t="s">
        <v>384</v>
      </c>
      <c r="D121" s="402">
        <f>[50]VAL.PRINC!N113</f>
        <v>40</v>
      </c>
      <c r="E121" s="402">
        <v>24.03</v>
      </c>
      <c r="F121" s="402">
        <f t="shared" si="40"/>
        <v>961.2</v>
      </c>
      <c r="G121" s="412"/>
      <c r="H121" s="402"/>
      <c r="I121" s="402">
        <f t="shared" si="41"/>
        <v>961.2</v>
      </c>
      <c r="J121" s="402">
        <f t="shared" si="41"/>
        <v>0</v>
      </c>
      <c r="K121" s="402">
        <f t="shared" si="41"/>
        <v>0</v>
      </c>
      <c r="L121" s="373">
        <f t="shared" si="29"/>
        <v>961.2</v>
      </c>
      <c r="M121" s="396">
        <f t="shared" si="27"/>
        <v>0</v>
      </c>
      <c r="N121" s="401"/>
    </row>
    <row r="122" spans="2:14" s="400" customFormat="1">
      <c r="B122" s="411" t="s">
        <v>187</v>
      </c>
      <c r="C122" s="410" t="s">
        <v>383</v>
      </c>
      <c r="D122" s="402">
        <f>[50]VAL.PRINC!N114</f>
        <v>40</v>
      </c>
      <c r="E122" s="402">
        <v>80</v>
      </c>
      <c r="F122" s="402">
        <f t="shared" si="40"/>
        <v>3200</v>
      </c>
      <c r="G122" s="412"/>
      <c r="H122" s="412"/>
      <c r="I122" s="402">
        <f t="shared" si="41"/>
        <v>3200</v>
      </c>
      <c r="J122" s="402">
        <f t="shared" si="41"/>
        <v>0</v>
      </c>
      <c r="K122" s="402">
        <f t="shared" si="41"/>
        <v>0</v>
      </c>
      <c r="L122" s="373">
        <f t="shared" si="29"/>
        <v>3200</v>
      </c>
      <c r="M122" s="396">
        <f t="shared" si="27"/>
        <v>0</v>
      </c>
      <c r="N122" s="401"/>
    </row>
    <row r="123" spans="2:14" s="400" customFormat="1">
      <c r="B123" s="411" t="s">
        <v>187</v>
      </c>
      <c r="C123" s="410" t="s">
        <v>382</v>
      </c>
      <c r="D123" s="402">
        <f>[50]VAL.PRINC!N115</f>
        <v>10</v>
      </c>
      <c r="E123" s="402">
        <v>250</v>
      </c>
      <c r="F123" s="402">
        <f t="shared" si="40"/>
        <v>2500</v>
      </c>
      <c r="G123" s="412"/>
      <c r="H123" s="412"/>
      <c r="I123" s="402">
        <f t="shared" si="41"/>
        <v>2500</v>
      </c>
      <c r="J123" s="402">
        <f t="shared" si="41"/>
        <v>0</v>
      </c>
      <c r="K123" s="402">
        <f t="shared" si="41"/>
        <v>0</v>
      </c>
      <c r="L123" s="373">
        <f t="shared" si="29"/>
        <v>2500</v>
      </c>
      <c r="M123" s="396">
        <f t="shared" si="27"/>
        <v>0</v>
      </c>
      <c r="N123" s="401"/>
    </row>
    <row r="124" spans="2:14" s="400" customFormat="1">
      <c r="B124" s="411" t="s">
        <v>187</v>
      </c>
      <c r="C124" s="410" t="s">
        <v>381</v>
      </c>
      <c r="D124" s="402">
        <f>[50]VAL.PRINC!N116</f>
        <v>14</v>
      </c>
      <c r="E124" s="402">
        <v>250</v>
      </c>
      <c r="F124" s="402">
        <f t="shared" si="40"/>
        <v>3500</v>
      </c>
      <c r="G124" s="412"/>
      <c r="H124" s="412"/>
      <c r="I124" s="402">
        <f t="shared" si="41"/>
        <v>3500</v>
      </c>
      <c r="J124" s="402">
        <f t="shared" si="41"/>
        <v>0</v>
      </c>
      <c r="K124" s="402">
        <f t="shared" si="41"/>
        <v>0</v>
      </c>
      <c r="L124" s="373">
        <f t="shared" si="29"/>
        <v>3500</v>
      </c>
      <c r="M124" s="396">
        <f t="shared" si="27"/>
        <v>0</v>
      </c>
      <c r="N124" s="401"/>
    </row>
    <row r="125" spans="2:14" s="400" customFormat="1">
      <c r="B125" s="411" t="s">
        <v>187</v>
      </c>
      <c r="C125" s="410" t="s">
        <v>380</v>
      </c>
      <c r="D125" s="402">
        <f>[50]VAL.PRINC!N117</f>
        <v>1</v>
      </c>
      <c r="E125" s="402">
        <v>4222.3500000000004</v>
      </c>
      <c r="F125" s="402">
        <f t="shared" si="40"/>
        <v>4222.3500000000004</v>
      </c>
      <c r="G125" s="412"/>
      <c r="H125" s="412"/>
      <c r="I125" s="402">
        <f t="shared" si="41"/>
        <v>4222.3500000000004</v>
      </c>
      <c r="J125" s="402">
        <f t="shared" si="41"/>
        <v>0</v>
      </c>
      <c r="K125" s="402">
        <f t="shared" si="41"/>
        <v>0</v>
      </c>
      <c r="L125" s="373">
        <f t="shared" si="29"/>
        <v>4222.3500000000004</v>
      </c>
      <c r="M125" s="396">
        <f t="shared" si="27"/>
        <v>0</v>
      </c>
      <c r="N125" s="401"/>
    </row>
    <row r="126" spans="2:14" s="400" customFormat="1">
      <c r="B126" s="411" t="s">
        <v>187</v>
      </c>
      <c r="C126" s="410" t="s">
        <v>379</v>
      </c>
      <c r="D126" s="402">
        <f>[50]VAL.PRINC!N118</f>
        <v>1</v>
      </c>
      <c r="E126" s="402">
        <v>543.15</v>
      </c>
      <c r="F126" s="402">
        <f t="shared" si="40"/>
        <v>543.15</v>
      </c>
      <c r="G126" s="412"/>
      <c r="H126" s="412"/>
      <c r="I126" s="402">
        <f t="shared" si="41"/>
        <v>543.15</v>
      </c>
      <c r="J126" s="402">
        <f t="shared" si="41"/>
        <v>0</v>
      </c>
      <c r="K126" s="402">
        <f t="shared" si="41"/>
        <v>0</v>
      </c>
      <c r="L126" s="373">
        <f t="shared" si="29"/>
        <v>543.15</v>
      </c>
      <c r="M126" s="396">
        <f t="shared" si="27"/>
        <v>0</v>
      </c>
      <c r="N126" s="401"/>
    </row>
    <row r="127" spans="2:14" s="400" customFormat="1">
      <c r="B127" s="409" t="s">
        <v>189</v>
      </c>
      <c r="C127" s="408" t="s">
        <v>190</v>
      </c>
      <c r="D127" s="407"/>
      <c r="E127" s="396"/>
      <c r="F127" s="406">
        <f t="shared" ref="F127:K127" si="42">SUM(F128:F131)</f>
        <v>66102.7</v>
      </c>
      <c r="G127" s="406">
        <f t="shared" si="42"/>
        <v>0</v>
      </c>
      <c r="H127" s="406">
        <f t="shared" si="42"/>
        <v>0</v>
      </c>
      <c r="I127" s="406">
        <f t="shared" si="42"/>
        <v>33051.35</v>
      </c>
      <c r="J127" s="406">
        <f t="shared" si="42"/>
        <v>33051.35</v>
      </c>
      <c r="K127" s="406">
        <f t="shared" si="42"/>
        <v>33055.35</v>
      </c>
      <c r="L127" s="373">
        <f>SUM(G127:J127)</f>
        <v>66102.7</v>
      </c>
      <c r="M127" s="396">
        <f t="shared" si="27"/>
        <v>0</v>
      </c>
      <c r="N127" s="401"/>
    </row>
    <row r="128" spans="2:14" s="400" customFormat="1">
      <c r="B128" s="411" t="s">
        <v>189</v>
      </c>
      <c r="C128" s="410" t="s">
        <v>191</v>
      </c>
      <c r="D128" s="402">
        <f>[50]VAL.PRINC!N120</f>
        <v>26</v>
      </c>
      <c r="E128" s="402">
        <v>527.94000000000005</v>
      </c>
      <c r="F128" s="402">
        <f>D128*E128</f>
        <v>13726.440000000002</v>
      </c>
      <c r="G128" s="412"/>
      <c r="H128" s="412"/>
      <c r="I128" s="402">
        <v>6863.2200000000012</v>
      </c>
      <c r="J128" s="402">
        <v>6863.2200000000012</v>
      </c>
      <c r="K128" s="402">
        <v>6864.22</v>
      </c>
      <c r="L128" s="373">
        <f t="shared" si="29"/>
        <v>13726.440000000002</v>
      </c>
      <c r="M128" s="396">
        <f t="shared" si="27"/>
        <v>0</v>
      </c>
      <c r="N128" s="401"/>
    </row>
    <row r="129" spans="2:14" s="400" customFormat="1">
      <c r="B129" s="411" t="s">
        <v>189</v>
      </c>
      <c r="C129" s="410" t="s">
        <v>192</v>
      </c>
      <c r="D129" s="402">
        <f>[50]VAL.PRINC!N121</f>
        <v>6</v>
      </c>
      <c r="E129" s="402">
        <v>800.31</v>
      </c>
      <c r="F129" s="402">
        <f>D129*E129</f>
        <v>4801.8599999999997</v>
      </c>
      <c r="G129" s="412"/>
      <c r="H129" s="412"/>
      <c r="I129" s="402">
        <v>2400.9299999999998</v>
      </c>
      <c r="J129" s="402">
        <v>2400.9299999999998</v>
      </c>
      <c r="K129" s="402">
        <v>2401.9299999999998</v>
      </c>
      <c r="L129" s="373">
        <f t="shared" si="29"/>
        <v>4801.8599999999997</v>
      </c>
      <c r="M129" s="396">
        <f t="shared" si="27"/>
        <v>0</v>
      </c>
      <c r="N129" s="401"/>
    </row>
    <row r="130" spans="2:14" s="400" customFormat="1">
      <c r="B130" s="411" t="s">
        <v>189</v>
      </c>
      <c r="C130" s="410" t="s">
        <v>193</v>
      </c>
      <c r="D130" s="402">
        <f>[50]VAL.PRINC!N122</f>
        <v>32</v>
      </c>
      <c r="E130" s="402">
        <v>1422.74</v>
      </c>
      <c r="F130" s="402">
        <f>D130*E130</f>
        <v>45527.68</v>
      </c>
      <c r="G130" s="412"/>
      <c r="H130" s="412"/>
      <c r="I130" s="402">
        <v>22763.84</v>
      </c>
      <c r="J130" s="402">
        <v>22763.84</v>
      </c>
      <c r="K130" s="402">
        <v>22764.84</v>
      </c>
      <c r="L130" s="373">
        <f t="shared" si="29"/>
        <v>45527.68</v>
      </c>
      <c r="M130" s="396">
        <f t="shared" si="27"/>
        <v>0</v>
      </c>
      <c r="N130" s="401"/>
    </row>
    <row r="131" spans="2:14" s="400" customFormat="1">
      <c r="B131" s="411" t="s">
        <v>189</v>
      </c>
      <c r="C131" s="410" t="s">
        <v>194</v>
      </c>
      <c r="D131" s="402">
        <f>[50]VAL.PRINC!N123</f>
        <v>13</v>
      </c>
      <c r="E131" s="402">
        <v>157.44</v>
      </c>
      <c r="F131" s="402">
        <f>D131*E131</f>
        <v>2046.72</v>
      </c>
      <c r="G131" s="412"/>
      <c r="H131" s="412"/>
      <c r="I131" s="402">
        <v>1023.36</v>
      </c>
      <c r="J131" s="402">
        <v>1023.36</v>
      </c>
      <c r="K131" s="402">
        <v>1024.3599999999999</v>
      </c>
      <c r="L131" s="373">
        <f t="shared" si="29"/>
        <v>2046.72</v>
      </c>
      <c r="M131" s="396">
        <f t="shared" si="27"/>
        <v>0</v>
      </c>
      <c r="N131" s="401"/>
    </row>
    <row r="132" spans="2:14" s="400" customFormat="1">
      <c r="B132" s="409" t="s">
        <v>195</v>
      </c>
      <c r="C132" s="408" t="s">
        <v>196</v>
      </c>
      <c r="D132" s="407"/>
      <c r="E132" s="396"/>
      <c r="F132" s="406">
        <f t="shared" ref="F132:K132" si="43">SUM(F133)</f>
        <v>0</v>
      </c>
      <c r="G132" s="406">
        <f t="shared" si="43"/>
        <v>0</v>
      </c>
      <c r="H132" s="406">
        <f t="shared" si="43"/>
        <v>0</v>
      </c>
      <c r="I132" s="406">
        <f t="shared" si="43"/>
        <v>0</v>
      </c>
      <c r="J132" s="406">
        <f t="shared" si="43"/>
        <v>0</v>
      </c>
      <c r="K132" s="406">
        <f t="shared" si="43"/>
        <v>1</v>
      </c>
      <c r="L132" s="373">
        <f t="shared" si="29"/>
        <v>0</v>
      </c>
      <c r="M132" s="396">
        <f t="shared" si="27"/>
        <v>0</v>
      </c>
      <c r="N132" s="401"/>
    </row>
    <row r="133" spans="2:14" s="400" customFormat="1">
      <c r="B133" s="411" t="s">
        <v>195</v>
      </c>
      <c r="C133" s="410" t="s">
        <v>197</v>
      </c>
      <c r="D133" s="402">
        <f>[50]VAL.PRINC!N125</f>
        <v>0</v>
      </c>
      <c r="E133" s="402">
        <v>56946.47</v>
      </c>
      <c r="F133" s="402">
        <f>D133*E133</f>
        <v>0</v>
      </c>
      <c r="G133" s="402">
        <f>F133/5</f>
        <v>0</v>
      </c>
      <c r="H133" s="402">
        <v>0</v>
      </c>
      <c r="I133" s="402">
        <v>0</v>
      </c>
      <c r="J133" s="402">
        <v>0</v>
      </c>
      <c r="K133" s="402">
        <v>1</v>
      </c>
      <c r="L133" s="373">
        <f t="shared" si="29"/>
        <v>0</v>
      </c>
      <c r="M133" s="396">
        <f t="shared" si="27"/>
        <v>0</v>
      </c>
      <c r="N133" s="401"/>
    </row>
    <row r="134" spans="2:14" s="400" customFormat="1">
      <c r="B134" s="409" t="s">
        <v>198</v>
      </c>
      <c r="C134" s="408" t="s">
        <v>199</v>
      </c>
      <c r="D134" s="407"/>
      <c r="E134" s="396"/>
      <c r="F134" s="406">
        <f t="shared" ref="F134:K134" si="44">F135+F142+F146</f>
        <v>75717.239999999991</v>
      </c>
      <c r="G134" s="406">
        <f t="shared" si="44"/>
        <v>0</v>
      </c>
      <c r="H134" s="406">
        <f t="shared" si="44"/>
        <v>13854</v>
      </c>
      <c r="I134" s="406">
        <f t="shared" si="44"/>
        <v>30931.62</v>
      </c>
      <c r="J134" s="406">
        <f t="shared" si="44"/>
        <v>30931.62</v>
      </c>
      <c r="K134" s="406">
        <f t="shared" si="44"/>
        <v>30944.62</v>
      </c>
      <c r="L134" s="373">
        <f>SUM(G134:J134)</f>
        <v>75717.239999999991</v>
      </c>
      <c r="M134" s="396">
        <f t="shared" si="27"/>
        <v>0</v>
      </c>
      <c r="N134" s="401"/>
    </row>
    <row r="135" spans="2:14" s="400" customFormat="1">
      <c r="B135" s="415" t="s">
        <v>200</v>
      </c>
      <c r="C135" s="414" t="s">
        <v>378</v>
      </c>
      <c r="D135" s="407"/>
      <c r="E135" s="396"/>
      <c r="F135" s="413">
        <f>SUM(F136:F141)</f>
        <v>14318.92</v>
      </c>
      <c r="G135" s="396"/>
      <c r="H135" s="413">
        <f>SUM(H136:H141)</f>
        <v>0</v>
      </c>
      <c r="I135" s="413">
        <f>SUM(I136:I141)</f>
        <v>7159.46</v>
      </c>
      <c r="J135" s="413">
        <f>SUM(J136:J141)</f>
        <v>7159.46</v>
      </c>
      <c r="K135" s="413">
        <f>SUM(K136:K141)</f>
        <v>7165.46</v>
      </c>
      <c r="L135" s="373">
        <f t="shared" si="29"/>
        <v>14318.92</v>
      </c>
      <c r="M135" s="396">
        <f t="shared" si="27"/>
        <v>0</v>
      </c>
      <c r="N135" s="401"/>
    </row>
    <row r="136" spans="2:14" s="400" customFormat="1">
      <c r="B136" s="411" t="s">
        <v>200</v>
      </c>
      <c r="C136" s="410" t="s">
        <v>377</v>
      </c>
      <c r="D136" s="402">
        <f>[50]VAL.PRINC!N128</f>
        <v>240</v>
      </c>
      <c r="E136" s="402">
        <v>11.71</v>
      </c>
      <c r="F136" s="402">
        <f t="shared" ref="F136:F141" si="45">D136*E136</f>
        <v>2810.4</v>
      </c>
      <c r="G136" s="412"/>
      <c r="H136" s="412"/>
      <c r="I136" s="402">
        <v>1405.2</v>
      </c>
      <c r="J136" s="402">
        <v>1405.2</v>
      </c>
      <c r="K136" s="402">
        <v>1406.2</v>
      </c>
      <c r="L136" s="373">
        <f t="shared" si="29"/>
        <v>2810.4</v>
      </c>
      <c r="M136" s="396">
        <f t="shared" si="27"/>
        <v>0</v>
      </c>
      <c r="N136" s="401"/>
    </row>
    <row r="137" spans="2:14" s="400" customFormat="1">
      <c r="B137" s="411" t="s">
        <v>200</v>
      </c>
      <c r="C137" s="410" t="s">
        <v>376</v>
      </c>
      <c r="D137" s="402">
        <f>[50]VAL.PRINC!N129</f>
        <v>240</v>
      </c>
      <c r="E137" s="402">
        <v>1.33</v>
      </c>
      <c r="F137" s="402">
        <f t="shared" si="45"/>
        <v>319.20000000000005</v>
      </c>
      <c r="G137" s="412"/>
      <c r="H137" s="412"/>
      <c r="I137" s="402">
        <v>159.60000000000002</v>
      </c>
      <c r="J137" s="402">
        <v>159.60000000000002</v>
      </c>
      <c r="K137" s="402">
        <v>160.6</v>
      </c>
      <c r="L137" s="373">
        <f t="shared" si="29"/>
        <v>319.20000000000005</v>
      </c>
      <c r="M137" s="396">
        <f t="shared" si="27"/>
        <v>0</v>
      </c>
      <c r="N137" s="401"/>
    </row>
    <row r="138" spans="2:14" s="400" customFormat="1">
      <c r="B138" s="411" t="s">
        <v>200</v>
      </c>
      <c r="C138" s="410" t="s">
        <v>375</v>
      </c>
      <c r="D138" s="402">
        <f>[50]VAL.PRINC!N130</f>
        <v>0.16</v>
      </c>
      <c r="E138" s="402">
        <v>7293.25</v>
      </c>
      <c r="F138" s="402">
        <f t="shared" si="45"/>
        <v>1166.92</v>
      </c>
      <c r="G138" s="412"/>
      <c r="H138" s="412"/>
      <c r="I138" s="402">
        <v>583.46</v>
      </c>
      <c r="J138" s="402">
        <v>583.46</v>
      </c>
      <c r="K138" s="402">
        <v>584.46</v>
      </c>
      <c r="L138" s="373">
        <f t="shared" si="29"/>
        <v>1166.92</v>
      </c>
      <c r="M138" s="396">
        <f t="shared" si="27"/>
        <v>0</v>
      </c>
      <c r="N138" s="401"/>
    </row>
    <row r="139" spans="2:14" s="400" customFormat="1">
      <c r="B139" s="411" t="s">
        <v>200</v>
      </c>
      <c r="C139" s="410" t="s">
        <v>374</v>
      </c>
      <c r="D139" s="402">
        <f>[50]VAL.PRINC!N131</f>
        <v>2880</v>
      </c>
      <c r="E139" s="402">
        <v>2.98</v>
      </c>
      <c r="F139" s="402">
        <f t="shared" si="45"/>
        <v>8582.4</v>
      </c>
      <c r="G139" s="412"/>
      <c r="H139" s="412"/>
      <c r="I139" s="402">
        <v>4291.2</v>
      </c>
      <c r="J139" s="402">
        <v>4291.2</v>
      </c>
      <c r="K139" s="402">
        <v>4292.2</v>
      </c>
      <c r="L139" s="373">
        <f t="shared" si="29"/>
        <v>8582.4</v>
      </c>
      <c r="M139" s="396">
        <f t="shared" si="27"/>
        <v>0</v>
      </c>
      <c r="N139" s="401"/>
    </row>
    <row r="140" spans="2:14" s="400" customFormat="1">
      <c r="B140" s="411" t="s">
        <v>200</v>
      </c>
      <c r="C140" s="410" t="s">
        <v>373</v>
      </c>
      <c r="D140" s="402">
        <f>[50]VAL.PRINC!N132</f>
        <v>400</v>
      </c>
      <c r="E140" s="402">
        <v>0.9</v>
      </c>
      <c r="F140" s="402">
        <f t="shared" si="45"/>
        <v>360</v>
      </c>
      <c r="G140" s="412"/>
      <c r="H140" s="412"/>
      <c r="I140" s="402">
        <v>180</v>
      </c>
      <c r="J140" s="402">
        <v>180</v>
      </c>
      <c r="K140" s="402">
        <v>181</v>
      </c>
      <c r="L140" s="373">
        <f t="shared" si="29"/>
        <v>360</v>
      </c>
      <c r="M140" s="396">
        <f t="shared" si="27"/>
        <v>0</v>
      </c>
      <c r="N140" s="401"/>
    </row>
    <row r="141" spans="2:14" s="400" customFormat="1">
      <c r="B141" s="411" t="s">
        <v>200</v>
      </c>
      <c r="C141" s="410" t="s">
        <v>372</v>
      </c>
      <c r="D141" s="402">
        <f>[50]VAL.PRINC!N133</f>
        <v>1200</v>
      </c>
      <c r="E141" s="402">
        <v>0.9</v>
      </c>
      <c r="F141" s="402">
        <f t="shared" si="45"/>
        <v>1080</v>
      </c>
      <c r="G141" s="412"/>
      <c r="H141" s="412"/>
      <c r="I141" s="402">
        <v>540</v>
      </c>
      <c r="J141" s="402">
        <v>540</v>
      </c>
      <c r="K141" s="402">
        <v>541</v>
      </c>
      <c r="L141" s="373">
        <f t="shared" si="29"/>
        <v>1080</v>
      </c>
      <c r="M141" s="396">
        <f t="shared" si="27"/>
        <v>0</v>
      </c>
      <c r="N141" s="401"/>
    </row>
    <row r="142" spans="2:14" s="400" customFormat="1">
      <c r="B142" s="415" t="s">
        <v>201</v>
      </c>
      <c r="C142" s="414" t="s">
        <v>202</v>
      </c>
      <c r="D142" s="407"/>
      <c r="E142" s="396"/>
      <c r="F142" s="413">
        <f t="shared" ref="F142:K142" si="46">SUM(F143:F145)</f>
        <v>19836.32</v>
      </c>
      <c r="G142" s="413">
        <f t="shared" si="46"/>
        <v>0</v>
      </c>
      <c r="H142" s="413">
        <f t="shared" si="46"/>
        <v>0</v>
      </c>
      <c r="I142" s="413">
        <f t="shared" si="46"/>
        <v>9918.16</v>
      </c>
      <c r="J142" s="413">
        <f t="shared" si="46"/>
        <v>9918.16</v>
      </c>
      <c r="K142" s="413">
        <f t="shared" si="46"/>
        <v>9921.16</v>
      </c>
      <c r="L142" s="373">
        <f t="shared" si="29"/>
        <v>19836.32</v>
      </c>
      <c r="M142" s="396">
        <f t="shared" si="27"/>
        <v>0</v>
      </c>
      <c r="N142" s="401"/>
    </row>
    <row r="143" spans="2:14" s="400" customFormat="1">
      <c r="B143" s="411" t="s">
        <v>201</v>
      </c>
      <c r="C143" s="410" t="s">
        <v>203</v>
      </c>
      <c r="D143" s="402">
        <f>[50]VAL.PRINC!N135</f>
        <v>1</v>
      </c>
      <c r="E143" s="402">
        <v>8858.32</v>
      </c>
      <c r="F143" s="402">
        <f>D143*E143</f>
        <v>8858.32</v>
      </c>
      <c r="G143" s="402"/>
      <c r="H143" s="402"/>
      <c r="I143" s="402">
        <v>4429.16</v>
      </c>
      <c r="J143" s="402">
        <v>4429.16</v>
      </c>
      <c r="K143" s="402">
        <v>4430.16</v>
      </c>
      <c r="L143" s="373">
        <f t="shared" si="29"/>
        <v>8858.32</v>
      </c>
      <c r="M143" s="396">
        <f t="shared" si="27"/>
        <v>0</v>
      </c>
      <c r="N143" s="401"/>
    </row>
    <row r="144" spans="2:14" s="400" customFormat="1">
      <c r="B144" s="411" t="s">
        <v>201</v>
      </c>
      <c r="C144" s="410" t="s">
        <v>204</v>
      </c>
      <c r="D144" s="402">
        <f>[50]VAL.PRINC!N136</f>
        <v>1</v>
      </c>
      <c r="E144" s="402">
        <v>7378</v>
      </c>
      <c r="F144" s="402">
        <f>D144*E144</f>
        <v>7378</v>
      </c>
      <c r="G144" s="402"/>
      <c r="H144" s="402"/>
      <c r="I144" s="402">
        <v>3689</v>
      </c>
      <c r="J144" s="402">
        <v>3689</v>
      </c>
      <c r="K144" s="402">
        <v>3690</v>
      </c>
      <c r="L144" s="373">
        <f t="shared" si="29"/>
        <v>7378</v>
      </c>
      <c r="M144" s="396">
        <f t="shared" si="27"/>
        <v>0</v>
      </c>
      <c r="N144" s="401"/>
    </row>
    <row r="145" spans="2:14" s="400" customFormat="1">
      <c r="B145" s="411" t="s">
        <v>201</v>
      </c>
      <c r="C145" s="410" t="s">
        <v>205</v>
      </c>
      <c r="D145" s="402">
        <f>[50]VAL.PRINC!N137</f>
        <v>1</v>
      </c>
      <c r="E145" s="402">
        <v>3600</v>
      </c>
      <c r="F145" s="402">
        <f>D145*E145</f>
        <v>3600</v>
      </c>
      <c r="G145" s="402"/>
      <c r="H145" s="402"/>
      <c r="I145" s="402">
        <v>1800</v>
      </c>
      <c r="J145" s="402">
        <v>1800</v>
      </c>
      <c r="K145" s="402">
        <v>1801</v>
      </c>
      <c r="L145" s="373">
        <f t="shared" si="29"/>
        <v>3600</v>
      </c>
      <c r="M145" s="396">
        <f t="shared" si="27"/>
        <v>0</v>
      </c>
      <c r="N145" s="401"/>
    </row>
    <row r="146" spans="2:14" s="400" customFormat="1">
      <c r="B146" s="415" t="s">
        <v>206</v>
      </c>
      <c r="C146" s="414" t="s">
        <v>207</v>
      </c>
      <c r="D146" s="407"/>
      <c r="E146" s="396"/>
      <c r="F146" s="413">
        <f t="shared" ref="F146:K146" si="47">SUM(F147:F150)</f>
        <v>41562</v>
      </c>
      <c r="G146" s="413">
        <f t="shared" si="47"/>
        <v>0</v>
      </c>
      <c r="H146" s="413">
        <f t="shared" si="47"/>
        <v>13854</v>
      </c>
      <c r="I146" s="413">
        <f t="shared" si="47"/>
        <v>13854</v>
      </c>
      <c r="J146" s="413">
        <f t="shared" si="47"/>
        <v>13854</v>
      </c>
      <c r="K146" s="413">
        <f t="shared" si="47"/>
        <v>13858</v>
      </c>
      <c r="L146" s="373">
        <f>SUM(G146:J146)</f>
        <v>41562</v>
      </c>
      <c r="M146" s="396">
        <f t="shared" si="27"/>
        <v>0</v>
      </c>
      <c r="N146" s="401"/>
    </row>
    <row r="147" spans="2:14" s="400" customFormat="1">
      <c r="B147" s="411" t="s">
        <v>206</v>
      </c>
      <c r="C147" s="410" t="s">
        <v>371</v>
      </c>
      <c r="D147" s="402">
        <f>[50]VAL.PRINC!N139</f>
        <v>1</v>
      </c>
      <c r="E147" s="402">
        <v>14884</v>
      </c>
      <c r="F147" s="402">
        <v>7442</v>
      </c>
      <c r="G147" s="402"/>
      <c r="H147" s="402">
        <v>2480.6666666666665</v>
      </c>
      <c r="I147" s="402">
        <v>2480.6666666666665</v>
      </c>
      <c r="J147" s="402">
        <v>2480.6666666666665</v>
      </c>
      <c r="K147" s="402">
        <v>2481.6666666666702</v>
      </c>
      <c r="L147" s="373">
        <f t="shared" si="29"/>
        <v>7442</v>
      </c>
      <c r="M147" s="396">
        <f t="shared" si="27"/>
        <v>0</v>
      </c>
      <c r="N147" s="401"/>
    </row>
    <row r="148" spans="2:14" s="400" customFormat="1">
      <c r="B148" s="411" t="s">
        <v>206</v>
      </c>
      <c r="C148" s="410" t="s">
        <v>370</v>
      </c>
      <c r="D148" s="402">
        <f>[50]VAL.PRINC!N140</f>
        <v>1</v>
      </c>
      <c r="E148" s="402">
        <v>16800</v>
      </c>
      <c r="F148" s="402">
        <v>8400</v>
      </c>
      <c r="G148" s="402"/>
      <c r="H148" s="402">
        <v>2800</v>
      </c>
      <c r="I148" s="402">
        <v>2800</v>
      </c>
      <c r="J148" s="402">
        <v>2800</v>
      </c>
      <c r="K148" s="402">
        <v>2801</v>
      </c>
      <c r="L148" s="373">
        <f t="shared" si="29"/>
        <v>8400</v>
      </c>
      <c r="M148" s="396">
        <f t="shared" si="27"/>
        <v>0</v>
      </c>
      <c r="N148" s="401"/>
    </row>
    <row r="149" spans="2:14" s="400" customFormat="1">
      <c r="B149" s="411" t="s">
        <v>206</v>
      </c>
      <c r="C149" s="410" t="s">
        <v>369</v>
      </c>
      <c r="D149" s="402">
        <f>[50]VAL.PRINC!N141</f>
        <v>1</v>
      </c>
      <c r="E149" s="402">
        <v>9720</v>
      </c>
      <c r="F149" s="402">
        <v>4860</v>
      </c>
      <c r="G149" s="402"/>
      <c r="H149" s="402">
        <v>1620</v>
      </c>
      <c r="I149" s="402">
        <v>1620</v>
      </c>
      <c r="J149" s="402">
        <v>1620</v>
      </c>
      <c r="K149" s="402">
        <v>1621</v>
      </c>
      <c r="L149" s="373">
        <f t="shared" si="29"/>
        <v>4860</v>
      </c>
      <c r="M149" s="396">
        <f t="shared" si="27"/>
        <v>0</v>
      </c>
      <c r="N149" s="401"/>
    </row>
    <row r="150" spans="2:14" s="400" customFormat="1">
      <c r="B150" s="411" t="s">
        <v>206</v>
      </c>
      <c r="C150" s="410" t="s">
        <v>368</v>
      </c>
      <c r="D150" s="402">
        <f>[50]VAL.PRINC!N142</f>
        <v>1</v>
      </c>
      <c r="E150" s="402">
        <v>41720</v>
      </c>
      <c r="F150" s="402">
        <v>20860</v>
      </c>
      <c r="G150" s="402"/>
      <c r="H150" s="402">
        <v>6953.333333333333</v>
      </c>
      <c r="I150" s="402">
        <v>6953.333333333333</v>
      </c>
      <c r="J150" s="402">
        <v>6953.333333333333</v>
      </c>
      <c r="K150" s="402">
        <v>6954.3333333333303</v>
      </c>
      <c r="L150" s="373">
        <f t="shared" si="29"/>
        <v>20860</v>
      </c>
      <c r="M150" s="396">
        <f t="shared" ref="M150:M156" si="48">F150-L150</f>
        <v>0</v>
      </c>
      <c r="N150" s="401"/>
    </row>
    <row r="151" spans="2:14" s="400" customFormat="1">
      <c r="B151" s="409" t="s">
        <v>208</v>
      </c>
      <c r="C151" s="408" t="s">
        <v>209</v>
      </c>
      <c r="D151" s="407"/>
      <c r="E151" s="396"/>
      <c r="F151" s="406">
        <f t="shared" ref="F151:K151" si="49">SUM(F152:F154)</f>
        <v>0</v>
      </c>
      <c r="G151" s="406">
        <f t="shared" si="49"/>
        <v>0</v>
      </c>
      <c r="H151" s="406">
        <f t="shared" si="49"/>
        <v>0</v>
      </c>
      <c r="I151" s="406">
        <f t="shared" si="49"/>
        <v>0</v>
      </c>
      <c r="J151" s="406">
        <f t="shared" si="49"/>
        <v>0</v>
      </c>
      <c r="K151" s="406">
        <f t="shared" si="49"/>
        <v>1</v>
      </c>
      <c r="L151" s="373">
        <f t="shared" ref="L151:L161" si="50">SUM(G151:J151)</f>
        <v>0</v>
      </c>
      <c r="M151" s="396">
        <f t="shared" si="48"/>
        <v>0</v>
      </c>
      <c r="N151" s="401"/>
    </row>
    <row r="152" spans="2:14" s="400" customFormat="1">
      <c r="B152" s="411" t="s">
        <v>208</v>
      </c>
      <c r="C152" s="410" t="s">
        <v>210</v>
      </c>
      <c r="D152" s="402">
        <f>[50]VAL.PRINC!N144</f>
        <v>0</v>
      </c>
      <c r="E152" s="402">
        <v>8060</v>
      </c>
      <c r="F152" s="402">
        <f>D152*E152</f>
        <v>0</v>
      </c>
      <c r="G152" s="402"/>
      <c r="H152" s="402">
        <v>0</v>
      </c>
      <c r="I152" s="412"/>
      <c r="J152" s="412"/>
      <c r="K152" s="412"/>
      <c r="L152" s="373">
        <f t="shared" si="50"/>
        <v>0</v>
      </c>
      <c r="M152" s="396">
        <f t="shared" si="48"/>
        <v>0</v>
      </c>
      <c r="N152" s="401"/>
    </row>
    <row r="153" spans="2:14" s="400" customFormat="1">
      <c r="B153" s="411" t="s">
        <v>208</v>
      </c>
      <c r="C153" s="410" t="s">
        <v>211</v>
      </c>
      <c r="D153" s="402">
        <f>[50]VAL.PRINC!N145</f>
        <v>0</v>
      </c>
      <c r="E153" s="402">
        <v>3400</v>
      </c>
      <c r="F153" s="402">
        <f>D153*E153</f>
        <v>0</v>
      </c>
      <c r="G153" s="402"/>
      <c r="H153" s="402">
        <v>0</v>
      </c>
      <c r="I153" s="412"/>
      <c r="J153" s="412"/>
      <c r="K153" s="412"/>
      <c r="L153" s="373">
        <f t="shared" si="50"/>
        <v>0</v>
      </c>
      <c r="M153" s="396">
        <f t="shared" si="48"/>
        <v>0</v>
      </c>
      <c r="N153" s="401"/>
    </row>
    <row r="154" spans="2:14" s="400" customFormat="1">
      <c r="B154" s="411" t="s">
        <v>208</v>
      </c>
      <c r="C154" s="410" t="s">
        <v>212</v>
      </c>
      <c r="D154" s="402">
        <f>[50]VAL.PRINC!N146</f>
        <v>0</v>
      </c>
      <c r="E154" s="402">
        <v>7807.6</v>
      </c>
      <c r="F154" s="402">
        <f>D154*E154</f>
        <v>0</v>
      </c>
      <c r="G154" s="402">
        <f>F154/5</f>
        <v>0</v>
      </c>
      <c r="H154" s="402">
        <v>0</v>
      </c>
      <c r="I154" s="402">
        <v>0</v>
      </c>
      <c r="J154" s="402">
        <v>0</v>
      </c>
      <c r="K154" s="402">
        <v>1</v>
      </c>
      <c r="L154" s="373">
        <f t="shared" si="50"/>
        <v>0</v>
      </c>
      <c r="M154" s="396">
        <f t="shared" si="48"/>
        <v>0</v>
      </c>
      <c r="N154" s="401"/>
    </row>
    <row r="155" spans="2:14" s="400" customFormat="1">
      <c r="B155" s="409" t="s">
        <v>213</v>
      </c>
      <c r="C155" s="408" t="s">
        <v>214</v>
      </c>
      <c r="D155" s="407"/>
      <c r="E155" s="396"/>
      <c r="F155" s="406">
        <f t="shared" ref="F155:K155" si="51">SUM(F156)</f>
        <v>22500</v>
      </c>
      <c r="G155" s="406">
        <f t="shared" si="51"/>
        <v>0</v>
      </c>
      <c r="H155" s="406">
        <f t="shared" si="51"/>
        <v>0</v>
      </c>
      <c r="I155" s="406">
        <f t="shared" si="51"/>
        <v>11250</v>
      </c>
      <c r="J155" s="406">
        <f t="shared" si="51"/>
        <v>11250</v>
      </c>
      <c r="K155" s="406">
        <f t="shared" si="51"/>
        <v>11251</v>
      </c>
      <c r="L155" s="373">
        <f t="shared" si="50"/>
        <v>22500</v>
      </c>
      <c r="M155" s="396">
        <f t="shared" si="48"/>
        <v>0</v>
      </c>
      <c r="N155" s="401"/>
    </row>
    <row r="156" spans="2:14" s="400" customFormat="1" ht="15.75" thickBot="1">
      <c r="B156" s="405" t="s">
        <v>213</v>
      </c>
      <c r="C156" s="404" t="s">
        <v>215</v>
      </c>
      <c r="D156" s="403">
        <f>[50]VAL.PRINC!N148</f>
        <v>0.5</v>
      </c>
      <c r="E156" s="403">
        <v>45000</v>
      </c>
      <c r="F156" s="402">
        <f>D156*E156</f>
        <v>22500</v>
      </c>
      <c r="G156" s="403"/>
      <c r="H156" s="403"/>
      <c r="I156" s="403">
        <v>11250</v>
      </c>
      <c r="J156" s="403">
        <v>11250</v>
      </c>
      <c r="K156" s="403">
        <v>11251</v>
      </c>
      <c r="L156" s="373">
        <f t="shared" si="50"/>
        <v>22500</v>
      </c>
      <c r="M156" s="396">
        <f t="shared" si="48"/>
        <v>0</v>
      </c>
      <c r="N156" s="401"/>
    </row>
    <row r="157" spans="2:14" s="384" customFormat="1">
      <c r="C157" s="399" t="s">
        <v>59</v>
      </c>
      <c r="D157" s="398"/>
      <c r="E157" s="2922">
        <f>F155+F151+F134+F132+F127+F119+F60+F37+F25+F22</f>
        <v>1289323.9083466001</v>
      </c>
      <c r="F157" s="2923"/>
      <c r="G157" s="397">
        <f>G155+G151+G134+G132+G127+G119+G60+G37+G25+G22</f>
        <v>511408.48900410003</v>
      </c>
      <c r="H157" s="397">
        <f>H155+H151+H134+H132+H127+H119+H60+H37+H25+H22</f>
        <v>606219.67934249993</v>
      </c>
      <c r="I157" s="397">
        <f>I155+I151+I134+I132+I127+I119+I60+I37+I25+I22</f>
        <v>93536.22</v>
      </c>
      <c r="J157" s="397">
        <f>J155+J151+J134+J132+J127+J119+J60+J37+J25+J22</f>
        <v>78159.520000000004</v>
      </c>
      <c r="K157" s="397">
        <f>K155+K151+K134+K132+K127+K119+K60+K37+K25+K22</f>
        <v>78183.520000000004</v>
      </c>
      <c r="L157" s="373">
        <f t="shared" si="50"/>
        <v>1289323.9083465999</v>
      </c>
      <c r="M157" s="396">
        <f>E157-L157</f>
        <v>0</v>
      </c>
    </row>
    <row r="158" spans="2:14" s="388" customFormat="1">
      <c r="C158" s="383" t="s">
        <v>256</v>
      </c>
      <c r="D158" s="382">
        <v>0.1037</v>
      </c>
      <c r="E158" s="2924">
        <f>SUM(G158:I158)</f>
        <v>125597.74707154241</v>
      </c>
      <c r="F158" s="2925"/>
      <c r="G158" s="381">
        <f>$D158*G157</f>
        <v>53033.060309725173</v>
      </c>
      <c r="H158" s="381">
        <f>$D158*H157</f>
        <v>62864.980747817244</v>
      </c>
      <c r="I158" s="381">
        <f>$D158*I157</f>
        <v>9699.7060139999994</v>
      </c>
      <c r="J158" s="381">
        <f>$D158*J157</f>
        <v>8105.1422240000002</v>
      </c>
      <c r="K158" s="381">
        <f>$D158*K157</f>
        <v>8107.6310240000003</v>
      </c>
      <c r="L158" s="373">
        <f t="shared" si="50"/>
        <v>133702.88929554241</v>
      </c>
    </row>
    <row r="159" spans="2:14" s="384" customFormat="1">
      <c r="C159" s="387" t="s">
        <v>367</v>
      </c>
      <c r="D159" s="386"/>
      <c r="E159" s="2924">
        <f>SUM(G159:I159)</f>
        <v>1336762.1354181424</v>
      </c>
      <c r="F159" s="2925"/>
      <c r="G159" s="385">
        <f>G157+G158</f>
        <v>564441.54931382521</v>
      </c>
      <c r="H159" s="385">
        <f>H157+H158</f>
        <v>669084.66009031713</v>
      </c>
      <c r="I159" s="385">
        <f>I157+I158</f>
        <v>103235.926014</v>
      </c>
      <c r="J159" s="385">
        <f>J157+J158</f>
        <v>86264.662224</v>
      </c>
      <c r="K159" s="385">
        <f>K157+K158</f>
        <v>86291.151024000006</v>
      </c>
      <c r="L159" s="373">
        <f t="shared" si="50"/>
        <v>1423026.7976421425</v>
      </c>
    </row>
    <row r="160" spans="2:14" s="388" customFormat="1">
      <c r="C160" s="395" t="s">
        <v>366</v>
      </c>
      <c r="D160" s="394"/>
      <c r="E160" s="2938">
        <f>SUM(G160:I160)</f>
        <v>0.93937945345306584</v>
      </c>
      <c r="F160" s="2939"/>
      <c r="G160" s="394">
        <f>G157/$E$157</f>
        <v>0.39664857348369403</v>
      </c>
      <c r="H160" s="394">
        <f>H157/$E$157</f>
        <v>0.47018416041001082</v>
      </c>
      <c r="I160" s="394">
        <f>I157/$E$157</f>
        <v>7.2546719559360956E-2</v>
      </c>
      <c r="J160" s="394">
        <f>J157/$E$157</f>
        <v>6.0620546546934051E-2</v>
      </c>
      <c r="K160" s="394">
        <f>K157/$E$157</f>
        <v>6.0639160953945843E-2</v>
      </c>
      <c r="L160" s="373">
        <f t="shared" si="50"/>
        <v>0.99999999999999989</v>
      </c>
    </row>
    <row r="161" spans="3:13" s="388" customFormat="1" ht="15.75" thickBot="1">
      <c r="C161" s="393" t="s">
        <v>365</v>
      </c>
      <c r="D161" s="392"/>
      <c r="E161" s="2940"/>
      <c r="F161" s="2941"/>
      <c r="G161" s="392">
        <f>G160</f>
        <v>0.39664857348369403</v>
      </c>
      <c r="H161" s="392">
        <f>G161+H160</f>
        <v>0.86683273389370485</v>
      </c>
      <c r="I161" s="392">
        <f>H161+I160</f>
        <v>0.93937945345306584</v>
      </c>
      <c r="J161" s="392">
        <f>I161+J160</f>
        <v>0.99999999999999989</v>
      </c>
      <c r="K161" s="392">
        <f>J161+K160</f>
        <v>1.0606391609539458</v>
      </c>
      <c r="L161" s="373">
        <f t="shared" si="50"/>
        <v>3.2028607608304647</v>
      </c>
    </row>
    <row r="162" spans="3:13" s="388" customFormat="1">
      <c r="C162" s="391" t="s">
        <v>364</v>
      </c>
      <c r="D162" s="390">
        <v>4.867316975427044E-2</v>
      </c>
      <c r="E162" s="2924">
        <f t="shared" ref="E162:E168" si="52">SUM(G162:I162)</f>
        <v>58951.209874321183</v>
      </c>
      <c r="F162" s="2933"/>
      <c r="G162" s="389">
        <f>G157*$D162</f>
        <v>24891.872199071509</v>
      </c>
      <c r="H162" s="389">
        <f>H157*$D162</f>
        <v>29506.633361016891</v>
      </c>
      <c r="I162" s="389">
        <f>I157*$D162</f>
        <v>4552.7043142327857</v>
      </c>
      <c r="J162" s="479"/>
      <c r="K162" s="479"/>
      <c r="L162" s="373">
        <f t="shared" ref="L162:L168" si="53">SUM(G162:I162)</f>
        <v>58951.209874321183</v>
      </c>
    </row>
    <row r="163" spans="3:13" s="388" customFormat="1">
      <c r="C163" s="383" t="s">
        <v>363</v>
      </c>
      <c r="D163" s="382">
        <v>3.2295075957423222E-3</v>
      </c>
      <c r="E163" s="2924">
        <f t="shared" si="52"/>
        <v>3911.4645918579486</v>
      </c>
      <c r="F163" s="2933"/>
      <c r="G163" s="381">
        <f>$D163*G157</f>
        <v>1651.597599765845</v>
      </c>
      <c r="H163" s="381">
        <f>$D163*H157</f>
        <v>1957.7910591250784</v>
      </c>
      <c r="I163" s="381">
        <f>$D163*I157</f>
        <v>302.07593296702493</v>
      </c>
      <c r="J163" s="480"/>
      <c r="K163" s="480"/>
      <c r="L163" s="373">
        <f t="shared" si="53"/>
        <v>3911.4645918579486</v>
      </c>
    </row>
    <row r="164" spans="3:13" s="384" customFormat="1">
      <c r="C164" s="387" t="s">
        <v>362</v>
      </c>
      <c r="D164" s="386"/>
      <c r="E164" s="2942">
        <f t="shared" si="52"/>
        <v>1399624.8098843214</v>
      </c>
      <c r="F164" s="2943"/>
      <c r="G164" s="385">
        <f>G159+G162+G163</f>
        <v>590985.01911266253</v>
      </c>
      <c r="H164" s="385">
        <f>H159+H162+H163</f>
        <v>700549.0845104591</v>
      </c>
      <c r="I164" s="385">
        <f>I159+I162+I163</f>
        <v>108090.70626119981</v>
      </c>
      <c r="J164" s="481"/>
      <c r="K164" s="481"/>
      <c r="L164" s="373">
        <f t="shared" si="53"/>
        <v>1399624.8098843214</v>
      </c>
    </row>
    <row r="165" spans="3:13" s="380" customFormat="1">
      <c r="C165" s="383" t="s">
        <v>60</v>
      </c>
      <c r="D165" s="382">
        <v>2.9134033342151949E-2</v>
      </c>
      <c r="E165" s="2924">
        <f t="shared" si="52"/>
        <v>0</v>
      </c>
      <c r="F165" s="2933"/>
      <c r="G165" s="381"/>
      <c r="H165" s="381"/>
      <c r="I165" s="381"/>
      <c r="J165" s="480"/>
      <c r="K165" s="480"/>
      <c r="L165" s="373">
        <f t="shared" si="53"/>
        <v>0</v>
      </c>
    </row>
    <row r="166" spans="3:13">
      <c r="C166" s="379" t="s">
        <v>361</v>
      </c>
      <c r="D166" s="378">
        <v>1.5387795225407752E-2</v>
      </c>
      <c r="E166" s="2934">
        <f t="shared" si="52"/>
        <v>0</v>
      </c>
      <c r="F166" s="2935"/>
      <c r="G166" s="377"/>
      <c r="H166" s="377"/>
      <c r="I166" s="377"/>
      <c r="J166" s="482"/>
      <c r="K166" s="482"/>
      <c r="L166" s="373">
        <f t="shared" si="53"/>
        <v>0</v>
      </c>
    </row>
    <row r="167" spans="3:13">
      <c r="C167" s="379" t="s">
        <v>255</v>
      </c>
      <c r="D167" s="378">
        <v>5.9362432020489322E-3</v>
      </c>
      <c r="E167" s="2934">
        <f t="shared" si="52"/>
        <v>0</v>
      </c>
      <c r="F167" s="2935"/>
      <c r="G167" s="377"/>
      <c r="H167" s="377"/>
      <c r="I167" s="377"/>
      <c r="J167" s="482"/>
      <c r="K167" s="482"/>
      <c r="L167" s="373">
        <f t="shared" si="53"/>
        <v>0</v>
      </c>
    </row>
    <row r="168" spans="3:13" s="372" customFormat="1">
      <c r="C168" s="376" t="s">
        <v>360</v>
      </c>
      <c r="D168" s="375"/>
      <c r="E168" s="2936">
        <f t="shared" si="52"/>
        <v>1399624.8098843214</v>
      </c>
      <c r="F168" s="2937"/>
      <c r="G168" s="374">
        <f>SUM(G164:G167)</f>
        <v>590985.01911266253</v>
      </c>
      <c r="H168" s="374">
        <f>SUM(H164:H167)</f>
        <v>700549.0845104591</v>
      </c>
      <c r="I168" s="374">
        <f>SUM(I164:I167)</f>
        <v>108090.70626119981</v>
      </c>
      <c r="J168" s="483"/>
      <c r="K168" s="483"/>
      <c r="L168" s="373">
        <f t="shared" si="53"/>
        <v>1399624.8098843214</v>
      </c>
    </row>
    <row r="169" spans="3:13">
      <c r="G169" s="371"/>
      <c r="H169" s="371"/>
      <c r="I169" s="371"/>
      <c r="J169" s="371"/>
      <c r="K169" s="371"/>
      <c r="M169" s="370"/>
    </row>
    <row r="170" spans="3:13">
      <c r="E170" s="366" t="s">
        <v>25</v>
      </c>
      <c r="F170" s="367">
        <f>[50]VAL.PRINC!O149</f>
        <v>2880901.1635466004</v>
      </c>
      <c r="G170" s="367"/>
      <c r="H170" s="367"/>
      <c r="I170" s="367"/>
      <c r="J170" s="367"/>
      <c r="K170" s="367"/>
    </row>
    <row r="171" spans="3:13">
      <c r="E171" s="366" t="s">
        <v>530</v>
      </c>
      <c r="F171" s="370">
        <f>[50]VAL.PRINC!O52</f>
        <v>1550015.2552</v>
      </c>
      <c r="G171" s="367"/>
      <c r="H171" s="367"/>
    </row>
    <row r="172" spans="3:13">
      <c r="F172" s="367">
        <f>F170-F171</f>
        <v>1330885.9083466004</v>
      </c>
    </row>
    <row r="173" spans="3:13">
      <c r="F173" s="370">
        <f>F172-E157</f>
        <v>41562.000000000233</v>
      </c>
    </row>
    <row r="174" spans="3:13" ht="18">
      <c r="D174" s="367"/>
      <c r="F174" s="369"/>
      <c r="G174" s="367"/>
      <c r="H174" s="368"/>
    </row>
    <row r="175" spans="3:13">
      <c r="F175" s="367"/>
    </row>
    <row r="176" spans="3:13">
      <c r="F176" s="367"/>
    </row>
    <row r="178" spans="6:6">
      <c r="F178" s="367"/>
    </row>
  </sheetData>
  <autoFilter ref="A1:N168" xr:uid="{00000000-0009-0000-0000-000025000000}"/>
  <mergeCells count="26">
    <mergeCell ref="E165:F165"/>
    <mergeCell ref="E166:F166"/>
    <mergeCell ref="E167:F167"/>
    <mergeCell ref="E168:F168"/>
    <mergeCell ref="E160:F160"/>
    <mergeCell ref="E161:F161"/>
    <mergeCell ref="E162:F162"/>
    <mergeCell ref="E163:F163"/>
    <mergeCell ref="E164:F164"/>
    <mergeCell ref="M17:M19"/>
    <mergeCell ref="G18:G19"/>
    <mergeCell ref="H18:H19"/>
    <mergeCell ref="I18:I19"/>
    <mergeCell ref="J18:J19"/>
    <mergeCell ref="B6:I6"/>
    <mergeCell ref="B17:B19"/>
    <mergeCell ref="D17:D19"/>
    <mergeCell ref="E17:E19"/>
    <mergeCell ref="F17:F19"/>
    <mergeCell ref="G17:I17"/>
    <mergeCell ref="E157:F157"/>
    <mergeCell ref="E158:F158"/>
    <mergeCell ref="E159:F159"/>
    <mergeCell ref="L17:L19"/>
    <mergeCell ref="C17:C19"/>
    <mergeCell ref="K18:K19"/>
  </mergeCells>
  <printOptions horizontalCentered="1"/>
  <pageMargins left="0.59055118110236227" right="0.59055118110236227" top="0.98425196850393704" bottom="0.98425196850393704" header="0.31496062992125984" footer="0.31496062992125984"/>
  <pageSetup paperSize="9" scale="74" orientation="landscape" horizontalDpi="4294967295" verticalDpi="4294967295" r:id="rId1"/>
  <rowBreaks count="4" manualBreakCount="4">
    <brk id="36" min="1" max="10" man="1"/>
    <brk id="118" min="1" max="10" man="1"/>
    <brk id="133" min="1" max="10" man="1"/>
    <brk id="150" min="1" max="10" man="1"/>
  </rowBreaks>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9" tint="-0.249977111117893"/>
  </sheetPr>
  <dimension ref="A1:Q261"/>
  <sheetViews>
    <sheetView workbookViewId="0">
      <selection sqref="A1:G1"/>
    </sheetView>
  </sheetViews>
  <sheetFormatPr baseColWidth="10" defaultRowHeight="11.25"/>
  <cols>
    <col min="1" max="1" width="2.42578125" style="171" customWidth="1"/>
    <col min="2" max="2" width="52.42578125" style="171" customWidth="1"/>
    <col min="3" max="3" width="12.5703125" style="171" hidden="1" customWidth="1"/>
    <col min="4" max="4" width="14.5703125" style="171" hidden="1" customWidth="1"/>
    <col min="5" max="9" width="25.5703125" style="171" customWidth="1"/>
    <col min="10" max="11" width="2.5703125" style="171" customWidth="1"/>
    <col min="12" max="12" width="13.42578125" style="203" bestFit="1" customWidth="1"/>
    <col min="13" max="257" width="11.42578125" style="171"/>
    <col min="258" max="258" width="2.42578125" style="171" customWidth="1"/>
    <col min="259" max="259" width="52.42578125" style="171" customWidth="1"/>
    <col min="260" max="261" width="0" style="171" hidden="1" customWidth="1"/>
    <col min="262" max="265" width="18.5703125" style="171" customWidth="1"/>
    <col min="266" max="267" width="2.5703125" style="171" customWidth="1"/>
    <col min="268" max="268" width="13.42578125" style="171" bestFit="1" customWidth="1"/>
    <col min="269" max="513" width="11.42578125" style="171"/>
    <col min="514" max="514" width="2.42578125" style="171" customWidth="1"/>
    <col min="515" max="515" width="52.42578125" style="171" customWidth="1"/>
    <col min="516" max="517" width="0" style="171" hidden="1" customWidth="1"/>
    <col min="518" max="521" width="18.5703125" style="171" customWidth="1"/>
    <col min="522" max="523" width="2.5703125" style="171" customWidth="1"/>
    <col min="524" max="524" width="13.42578125" style="171" bestFit="1" customWidth="1"/>
    <col min="525" max="769" width="11.42578125" style="171"/>
    <col min="770" max="770" width="2.42578125" style="171" customWidth="1"/>
    <col min="771" max="771" width="52.42578125" style="171" customWidth="1"/>
    <col min="772" max="773" width="0" style="171" hidden="1" customWidth="1"/>
    <col min="774" max="777" width="18.5703125" style="171" customWidth="1"/>
    <col min="778" max="779" width="2.5703125" style="171" customWidth="1"/>
    <col min="780" max="780" width="13.42578125" style="171" bestFit="1" customWidth="1"/>
    <col min="781" max="1025" width="11.42578125" style="171"/>
    <col min="1026" max="1026" width="2.42578125" style="171" customWidth="1"/>
    <col min="1027" max="1027" width="52.42578125" style="171" customWidth="1"/>
    <col min="1028" max="1029" width="0" style="171" hidden="1" customWidth="1"/>
    <col min="1030" max="1033" width="18.5703125" style="171" customWidth="1"/>
    <col min="1034" max="1035" width="2.5703125" style="171" customWidth="1"/>
    <col min="1036" max="1036" width="13.42578125" style="171" bestFit="1" customWidth="1"/>
    <col min="1037" max="1281" width="11.42578125" style="171"/>
    <col min="1282" max="1282" width="2.42578125" style="171" customWidth="1"/>
    <col min="1283" max="1283" width="52.42578125" style="171" customWidth="1"/>
    <col min="1284" max="1285" width="0" style="171" hidden="1" customWidth="1"/>
    <col min="1286" max="1289" width="18.5703125" style="171" customWidth="1"/>
    <col min="1290" max="1291" width="2.5703125" style="171" customWidth="1"/>
    <col min="1292" max="1292" width="13.42578125" style="171" bestFit="1" customWidth="1"/>
    <col min="1293" max="1537" width="11.42578125" style="171"/>
    <col min="1538" max="1538" width="2.42578125" style="171" customWidth="1"/>
    <col min="1539" max="1539" width="52.42578125" style="171" customWidth="1"/>
    <col min="1540" max="1541" width="0" style="171" hidden="1" customWidth="1"/>
    <col min="1542" max="1545" width="18.5703125" style="171" customWidth="1"/>
    <col min="1546" max="1547" width="2.5703125" style="171" customWidth="1"/>
    <col min="1548" max="1548" width="13.42578125" style="171" bestFit="1" customWidth="1"/>
    <col min="1549" max="1793" width="11.42578125" style="171"/>
    <col min="1794" max="1794" width="2.42578125" style="171" customWidth="1"/>
    <col min="1795" max="1795" width="52.42578125" style="171" customWidth="1"/>
    <col min="1796" max="1797" width="0" style="171" hidden="1" customWidth="1"/>
    <col min="1798" max="1801" width="18.5703125" style="171" customWidth="1"/>
    <col min="1802" max="1803" width="2.5703125" style="171" customWidth="1"/>
    <col min="1804" max="1804" width="13.42578125" style="171" bestFit="1" customWidth="1"/>
    <col min="1805" max="2049" width="11.42578125" style="171"/>
    <col min="2050" max="2050" width="2.42578125" style="171" customWidth="1"/>
    <col min="2051" max="2051" width="52.42578125" style="171" customWidth="1"/>
    <col min="2052" max="2053" width="0" style="171" hidden="1" customWidth="1"/>
    <col min="2054" max="2057" width="18.5703125" style="171" customWidth="1"/>
    <col min="2058" max="2059" width="2.5703125" style="171" customWidth="1"/>
    <col min="2060" max="2060" width="13.42578125" style="171" bestFit="1" customWidth="1"/>
    <col min="2061" max="2305" width="11.42578125" style="171"/>
    <col min="2306" max="2306" width="2.42578125" style="171" customWidth="1"/>
    <col min="2307" max="2307" width="52.42578125" style="171" customWidth="1"/>
    <col min="2308" max="2309" width="0" style="171" hidden="1" customWidth="1"/>
    <col min="2310" max="2313" width="18.5703125" style="171" customWidth="1"/>
    <col min="2314" max="2315" width="2.5703125" style="171" customWidth="1"/>
    <col min="2316" max="2316" width="13.42578125" style="171" bestFit="1" customWidth="1"/>
    <col min="2317" max="2561" width="11.42578125" style="171"/>
    <col min="2562" max="2562" width="2.42578125" style="171" customWidth="1"/>
    <col min="2563" max="2563" width="52.42578125" style="171" customWidth="1"/>
    <col min="2564" max="2565" width="0" style="171" hidden="1" customWidth="1"/>
    <col min="2566" max="2569" width="18.5703125" style="171" customWidth="1"/>
    <col min="2570" max="2571" width="2.5703125" style="171" customWidth="1"/>
    <col min="2572" max="2572" width="13.42578125" style="171" bestFit="1" customWidth="1"/>
    <col min="2573" max="2817" width="11.42578125" style="171"/>
    <col min="2818" max="2818" width="2.42578125" style="171" customWidth="1"/>
    <col min="2819" max="2819" width="52.42578125" style="171" customWidth="1"/>
    <col min="2820" max="2821" width="0" style="171" hidden="1" customWidth="1"/>
    <col min="2822" max="2825" width="18.5703125" style="171" customWidth="1"/>
    <col min="2826" max="2827" width="2.5703125" style="171" customWidth="1"/>
    <col min="2828" max="2828" width="13.42578125" style="171" bestFit="1" customWidth="1"/>
    <col min="2829" max="3073" width="11.42578125" style="171"/>
    <col min="3074" max="3074" width="2.42578125" style="171" customWidth="1"/>
    <col min="3075" max="3075" width="52.42578125" style="171" customWidth="1"/>
    <col min="3076" max="3077" width="0" style="171" hidden="1" customWidth="1"/>
    <col min="3078" max="3081" width="18.5703125" style="171" customWidth="1"/>
    <col min="3082" max="3083" width="2.5703125" style="171" customWidth="1"/>
    <col min="3084" max="3084" width="13.42578125" style="171" bestFit="1" customWidth="1"/>
    <col min="3085" max="3329" width="11.42578125" style="171"/>
    <col min="3330" max="3330" width="2.42578125" style="171" customWidth="1"/>
    <col min="3331" max="3331" width="52.42578125" style="171" customWidth="1"/>
    <col min="3332" max="3333" width="0" style="171" hidden="1" customWidth="1"/>
    <col min="3334" max="3337" width="18.5703125" style="171" customWidth="1"/>
    <col min="3338" max="3339" width="2.5703125" style="171" customWidth="1"/>
    <col min="3340" max="3340" width="13.42578125" style="171" bestFit="1" customWidth="1"/>
    <col min="3341" max="3585" width="11.42578125" style="171"/>
    <col min="3586" max="3586" width="2.42578125" style="171" customWidth="1"/>
    <col min="3587" max="3587" width="52.42578125" style="171" customWidth="1"/>
    <col min="3588" max="3589" width="0" style="171" hidden="1" customWidth="1"/>
    <col min="3590" max="3593" width="18.5703125" style="171" customWidth="1"/>
    <col min="3594" max="3595" width="2.5703125" style="171" customWidth="1"/>
    <col min="3596" max="3596" width="13.42578125" style="171" bestFit="1" customWidth="1"/>
    <col min="3597" max="3841" width="11.42578125" style="171"/>
    <col min="3842" max="3842" width="2.42578125" style="171" customWidth="1"/>
    <col min="3843" max="3843" width="52.42578125" style="171" customWidth="1"/>
    <col min="3844" max="3845" width="0" style="171" hidden="1" customWidth="1"/>
    <col min="3846" max="3849" width="18.5703125" style="171" customWidth="1"/>
    <col min="3850" max="3851" width="2.5703125" style="171" customWidth="1"/>
    <col min="3852" max="3852" width="13.42578125" style="171" bestFit="1" customWidth="1"/>
    <col min="3853" max="4097" width="11.42578125" style="171"/>
    <col min="4098" max="4098" width="2.42578125" style="171" customWidth="1"/>
    <col min="4099" max="4099" width="52.42578125" style="171" customWidth="1"/>
    <col min="4100" max="4101" width="0" style="171" hidden="1" customWidth="1"/>
    <col min="4102" max="4105" width="18.5703125" style="171" customWidth="1"/>
    <col min="4106" max="4107" width="2.5703125" style="171" customWidth="1"/>
    <col min="4108" max="4108" width="13.42578125" style="171" bestFit="1" customWidth="1"/>
    <col min="4109" max="4353" width="11.42578125" style="171"/>
    <col min="4354" max="4354" width="2.42578125" style="171" customWidth="1"/>
    <col min="4355" max="4355" width="52.42578125" style="171" customWidth="1"/>
    <col min="4356" max="4357" width="0" style="171" hidden="1" customWidth="1"/>
    <col min="4358" max="4361" width="18.5703125" style="171" customWidth="1"/>
    <col min="4362" max="4363" width="2.5703125" style="171" customWidth="1"/>
    <col min="4364" max="4364" width="13.42578125" style="171" bestFit="1" customWidth="1"/>
    <col min="4365" max="4609" width="11.42578125" style="171"/>
    <col min="4610" max="4610" width="2.42578125" style="171" customWidth="1"/>
    <col min="4611" max="4611" width="52.42578125" style="171" customWidth="1"/>
    <col min="4612" max="4613" width="0" style="171" hidden="1" customWidth="1"/>
    <col min="4614" max="4617" width="18.5703125" style="171" customWidth="1"/>
    <col min="4618" max="4619" width="2.5703125" style="171" customWidth="1"/>
    <col min="4620" max="4620" width="13.42578125" style="171" bestFit="1" customWidth="1"/>
    <col min="4621" max="4865" width="11.42578125" style="171"/>
    <col min="4866" max="4866" width="2.42578125" style="171" customWidth="1"/>
    <col min="4867" max="4867" width="52.42578125" style="171" customWidth="1"/>
    <col min="4868" max="4869" width="0" style="171" hidden="1" customWidth="1"/>
    <col min="4870" max="4873" width="18.5703125" style="171" customWidth="1"/>
    <col min="4874" max="4875" width="2.5703125" style="171" customWidth="1"/>
    <col min="4876" max="4876" width="13.42578125" style="171" bestFit="1" customWidth="1"/>
    <col min="4877" max="5121" width="11.42578125" style="171"/>
    <col min="5122" max="5122" width="2.42578125" style="171" customWidth="1"/>
    <col min="5123" max="5123" width="52.42578125" style="171" customWidth="1"/>
    <col min="5124" max="5125" width="0" style="171" hidden="1" customWidth="1"/>
    <col min="5126" max="5129" width="18.5703125" style="171" customWidth="1"/>
    <col min="5130" max="5131" width="2.5703125" style="171" customWidth="1"/>
    <col min="5132" max="5132" width="13.42578125" style="171" bestFit="1" customWidth="1"/>
    <col min="5133" max="5377" width="11.42578125" style="171"/>
    <col min="5378" max="5378" width="2.42578125" style="171" customWidth="1"/>
    <col min="5379" max="5379" width="52.42578125" style="171" customWidth="1"/>
    <col min="5380" max="5381" width="0" style="171" hidden="1" customWidth="1"/>
    <col min="5382" max="5385" width="18.5703125" style="171" customWidth="1"/>
    <col min="5386" max="5387" width="2.5703125" style="171" customWidth="1"/>
    <col min="5388" max="5388" width="13.42578125" style="171" bestFit="1" customWidth="1"/>
    <col min="5389" max="5633" width="11.42578125" style="171"/>
    <col min="5634" max="5634" width="2.42578125" style="171" customWidth="1"/>
    <col min="5635" max="5635" width="52.42578125" style="171" customWidth="1"/>
    <col min="5636" max="5637" width="0" style="171" hidden="1" customWidth="1"/>
    <col min="5638" max="5641" width="18.5703125" style="171" customWidth="1"/>
    <col min="5642" max="5643" width="2.5703125" style="171" customWidth="1"/>
    <col min="5644" max="5644" width="13.42578125" style="171" bestFit="1" customWidth="1"/>
    <col min="5645" max="5889" width="11.42578125" style="171"/>
    <col min="5890" max="5890" width="2.42578125" style="171" customWidth="1"/>
    <col min="5891" max="5891" width="52.42578125" style="171" customWidth="1"/>
    <col min="5892" max="5893" width="0" style="171" hidden="1" customWidth="1"/>
    <col min="5894" max="5897" width="18.5703125" style="171" customWidth="1"/>
    <col min="5898" max="5899" width="2.5703125" style="171" customWidth="1"/>
    <col min="5900" max="5900" width="13.42578125" style="171" bestFit="1" customWidth="1"/>
    <col min="5901" max="6145" width="11.42578125" style="171"/>
    <col min="6146" max="6146" width="2.42578125" style="171" customWidth="1"/>
    <col min="6147" max="6147" width="52.42578125" style="171" customWidth="1"/>
    <col min="6148" max="6149" width="0" style="171" hidden="1" customWidth="1"/>
    <col min="6150" max="6153" width="18.5703125" style="171" customWidth="1"/>
    <col min="6154" max="6155" width="2.5703125" style="171" customWidth="1"/>
    <col min="6156" max="6156" width="13.42578125" style="171" bestFit="1" customWidth="1"/>
    <col min="6157" max="6401" width="11.42578125" style="171"/>
    <col min="6402" max="6402" width="2.42578125" style="171" customWidth="1"/>
    <col min="6403" max="6403" width="52.42578125" style="171" customWidth="1"/>
    <col min="6404" max="6405" width="0" style="171" hidden="1" customWidth="1"/>
    <col min="6406" max="6409" width="18.5703125" style="171" customWidth="1"/>
    <col min="6410" max="6411" width="2.5703125" style="171" customWidth="1"/>
    <col min="6412" max="6412" width="13.42578125" style="171" bestFit="1" customWidth="1"/>
    <col min="6413" max="6657" width="11.42578125" style="171"/>
    <col min="6658" max="6658" width="2.42578125" style="171" customWidth="1"/>
    <col min="6659" max="6659" width="52.42578125" style="171" customWidth="1"/>
    <col min="6660" max="6661" width="0" style="171" hidden="1" customWidth="1"/>
    <col min="6662" max="6665" width="18.5703125" style="171" customWidth="1"/>
    <col min="6666" max="6667" width="2.5703125" style="171" customWidth="1"/>
    <col min="6668" max="6668" width="13.42578125" style="171" bestFit="1" customWidth="1"/>
    <col min="6669" max="6913" width="11.42578125" style="171"/>
    <col min="6914" max="6914" width="2.42578125" style="171" customWidth="1"/>
    <col min="6915" max="6915" width="52.42578125" style="171" customWidth="1"/>
    <col min="6916" max="6917" width="0" style="171" hidden="1" customWidth="1"/>
    <col min="6918" max="6921" width="18.5703125" style="171" customWidth="1"/>
    <col min="6922" max="6923" width="2.5703125" style="171" customWidth="1"/>
    <col min="6924" max="6924" width="13.42578125" style="171" bestFit="1" customWidth="1"/>
    <col min="6925" max="7169" width="11.42578125" style="171"/>
    <col min="7170" max="7170" width="2.42578125" style="171" customWidth="1"/>
    <col min="7171" max="7171" width="52.42578125" style="171" customWidth="1"/>
    <col min="7172" max="7173" width="0" style="171" hidden="1" customWidth="1"/>
    <col min="7174" max="7177" width="18.5703125" style="171" customWidth="1"/>
    <col min="7178" max="7179" width="2.5703125" style="171" customWidth="1"/>
    <col min="7180" max="7180" width="13.42578125" style="171" bestFit="1" customWidth="1"/>
    <col min="7181" max="7425" width="11.42578125" style="171"/>
    <col min="7426" max="7426" width="2.42578125" style="171" customWidth="1"/>
    <col min="7427" max="7427" width="52.42578125" style="171" customWidth="1"/>
    <col min="7428" max="7429" width="0" style="171" hidden="1" customWidth="1"/>
    <col min="7430" max="7433" width="18.5703125" style="171" customWidth="1"/>
    <col min="7434" max="7435" width="2.5703125" style="171" customWidth="1"/>
    <col min="7436" max="7436" width="13.42578125" style="171" bestFit="1" customWidth="1"/>
    <col min="7437" max="7681" width="11.42578125" style="171"/>
    <col min="7682" max="7682" width="2.42578125" style="171" customWidth="1"/>
    <col min="7683" max="7683" width="52.42578125" style="171" customWidth="1"/>
    <col min="7684" max="7685" width="0" style="171" hidden="1" customWidth="1"/>
    <col min="7686" max="7689" width="18.5703125" style="171" customWidth="1"/>
    <col min="7690" max="7691" width="2.5703125" style="171" customWidth="1"/>
    <col min="7692" max="7692" width="13.42578125" style="171" bestFit="1" customWidth="1"/>
    <col min="7693" max="7937" width="11.42578125" style="171"/>
    <col min="7938" max="7938" width="2.42578125" style="171" customWidth="1"/>
    <col min="7939" max="7939" width="52.42578125" style="171" customWidth="1"/>
    <col min="7940" max="7941" width="0" style="171" hidden="1" customWidth="1"/>
    <col min="7942" max="7945" width="18.5703125" style="171" customWidth="1"/>
    <col min="7946" max="7947" width="2.5703125" style="171" customWidth="1"/>
    <col min="7948" max="7948" width="13.42578125" style="171" bestFit="1" customWidth="1"/>
    <col min="7949" max="8193" width="11.42578125" style="171"/>
    <col min="8194" max="8194" width="2.42578125" style="171" customWidth="1"/>
    <col min="8195" max="8195" width="52.42578125" style="171" customWidth="1"/>
    <col min="8196" max="8197" width="0" style="171" hidden="1" customWidth="1"/>
    <col min="8198" max="8201" width="18.5703125" style="171" customWidth="1"/>
    <col min="8202" max="8203" width="2.5703125" style="171" customWidth="1"/>
    <col min="8204" max="8204" width="13.42578125" style="171" bestFit="1" customWidth="1"/>
    <col min="8205" max="8449" width="11.42578125" style="171"/>
    <col min="8450" max="8450" width="2.42578125" style="171" customWidth="1"/>
    <col min="8451" max="8451" width="52.42578125" style="171" customWidth="1"/>
    <col min="8452" max="8453" width="0" style="171" hidden="1" customWidth="1"/>
    <col min="8454" max="8457" width="18.5703125" style="171" customWidth="1"/>
    <col min="8458" max="8459" width="2.5703125" style="171" customWidth="1"/>
    <col min="8460" max="8460" width="13.42578125" style="171" bestFit="1" customWidth="1"/>
    <col min="8461" max="8705" width="11.42578125" style="171"/>
    <col min="8706" max="8706" width="2.42578125" style="171" customWidth="1"/>
    <col min="8707" max="8707" width="52.42578125" style="171" customWidth="1"/>
    <col min="8708" max="8709" width="0" style="171" hidden="1" customWidth="1"/>
    <col min="8710" max="8713" width="18.5703125" style="171" customWidth="1"/>
    <col min="8714" max="8715" width="2.5703125" style="171" customWidth="1"/>
    <col min="8716" max="8716" width="13.42578125" style="171" bestFit="1" customWidth="1"/>
    <col min="8717" max="8961" width="11.42578125" style="171"/>
    <col min="8962" max="8962" width="2.42578125" style="171" customWidth="1"/>
    <col min="8963" max="8963" width="52.42578125" style="171" customWidth="1"/>
    <col min="8964" max="8965" width="0" style="171" hidden="1" customWidth="1"/>
    <col min="8966" max="8969" width="18.5703125" style="171" customWidth="1"/>
    <col min="8970" max="8971" width="2.5703125" style="171" customWidth="1"/>
    <col min="8972" max="8972" width="13.42578125" style="171" bestFit="1" customWidth="1"/>
    <col min="8973" max="9217" width="11.42578125" style="171"/>
    <col min="9218" max="9218" width="2.42578125" style="171" customWidth="1"/>
    <col min="9219" max="9219" width="52.42578125" style="171" customWidth="1"/>
    <col min="9220" max="9221" width="0" style="171" hidden="1" customWidth="1"/>
    <col min="9222" max="9225" width="18.5703125" style="171" customWidth="1"/>
    <col min="9226" max="9227" width="2.5703125" style="171" customWidth="1"/>
    <col min="9228" max="9228" width="13.42578125" style="171" bestFit="1" customWidth="1"/>
    <col min="9229" max="9473" width="11.42578125" style="171"/>
    <col min="9474" max="9474" width="2.42578125" style="171" customWidth="1"/>
    <col min="9475" max="9475" width="52.42578125" style="171" customWidth="1"/>
    <col min="9476" max="9477" width="0" style="171" hidden="1" customWidth="1"/>
    <col min="9478" max="9481" width="18.5703125" style="171" customWidth="1"/>
    <col min="9482" max="9483" width="2.5703125" style="171" customWidth="1"/>
    <col min="9484" max="9484" width="13.42578125" style="171" bestFit="1" customWidth="1"/>
    <col min="9485" max="9729" width="11.42578125" style="171"/>
    <col min="9730" max="9730" width="2.42578125" style="171" customWidth="1"/>
    <col min="9731" max="9731" width="52.42578125" style="171" customWidth="1"/>
    <col min="9732" max="9733" width="0" style="171" hidden="1" customWidth="1"/>
    <col min="9734" max="9737" width="18.5703125" style="171" customWidth="1"/>
    <col min="9738" max="9739" width="2.5703125" style="171" customWidth="1"/>
    <col min="9740" max="9740" width="13.42578125" style="171" bestFit="1" customWidth="1"/>
    <col min="9741" max="9985" width="11.42578125" style="171"/>
    <col min="9986" max="9986" width="2.42578125" style="171" customWidth="1"/>
    <col min="9987" max="9987" width="52.42578125" style="171" customWidth="1"/>
    <col min="9988" max="9989" width="0" style="171" hidden="1" customWidth="1"/>
    <col min="9990" max="9993" width="18.5703125" style="171" customWidth="1"/>
    <col min="9994" max="9995" width="2.5703125" style="171" customWidth="1"/>
    <col min="9996" max="9996" width="13.42578125" style="171" bestFit="1" customWidth="1"/>
    <col min="9997" max="10241" width="11.42578125" style="171"/>
    <col min="10242" max="10242" width="2.42578125" style="171" customWidth="1"/>
    <col min="10243" max="10243" width="52.42578125" style="171" customWidth="1"/>
    <col min="10244" max="10245" width="0" style="171" hidden="1" customWidth="1"/>
    <col min="10246" max="10249" width="18.5703125" style="171" customWidth="1"/>
    <col min="10250" max="10251" width="2.5703125" style="171" customWidth="1"/>
    <col min="10252" max="10252" width="13.42578125" style="171" bestFit="1" customWidth="1"/>
    <col min="10253" max="10497" width="11.42578125" style="171"/>
    <col min="10498" max="10498" width="2.42578125" style="171" customWidth="1"/>
    <col min="10499" max="10499" width="52.42578125" style="171" customWidth="1"/>
    <col min="10500" max="10501" width="0" style="171" hidden="1" customWidth="1"/>
    <col min="10502" max="10505" width="18.5703125" style="171" customWidth="1"/>
    <col min="10506" max="10507" width="2.5703125" style="171" customWidth="1"/>
    <col min="10508" max="10508" width="13.42578125" style="171" bestFit="1" customWidth="1"/>
    <col min="10509" max="10753" width="11.42578125" style="171"/>
    <col min="10754" max="10754" width="2.42578125" style="171" customWidth="1"/>
    <col min="10755" max="10755" width="52.42578125" style="171" customWidth="1"/>
    <col min="10756" max="10757" width="0" style="171" hidden="1" customWidth="1"/>
    <col min="10758" max="10761" width="18.5703125" style="171" customWidth="1"/>
    <col min="10762" max="10763" width="2.5703125" style="171" customWidth="1"/>
    <col min="10764" max="10764" width="13.42578125" style="171" bestFit="1" customWidth="1"/>
    <col min="10765" max="11009" width="11.42578125" style="171"/>
    <col min="11010" max="11010" width="2.42578125" style="171" customWidth="1"/>
    <col min="11011" max="11011" width="52.42578125" style="171" customWidth="1"/>
    <col min="11012" max="11013" width="0" style="171" hidden="1" customWidth="1"/>
    <col min="11014" max="11017" width="18.5703125" style="171" customWidth="1"/>
    <col min="11018" max="11019" width="2.5703125" style="171" customWidth="1"/>
    <col min="11020" max="11020" width="13.42578125" style="171" bestFit="1" customWidth="1"/>
    <col min="11021" max="11265" width="11.42578125" style="171"/>
    <col min="11266" max="11266" width="2.42578125" style="171" customWidth="1"/>
    <col min="11267" max="11267" width="52.42578125" style="171" customWidth="1"/>
    <col min="11268" max="11269" width="0" style="171" hidden="1" customWidth="1"/>
    <col min="11270" max="11273" width="18.5703125" style="171" customWidth="1"/>
    <col min="11274" max="11275" width="2.5703125" style="171" customWidth="1"/>
    <col min="11276" max="11276" width="13.42578125" style="171" bestFit="1" customWidth="1"/>
    <col min="11277" max="11521" width="11.42578125" style="171"/>
    <col min="11522" max="11522" width="2.42578125" style="171" customWidth="1"/>
    <col min="11523" max="11523" width="52.42578125" style="171" customWidth="1"/>
    <col min="11524" max="11525" width="0" style="171" hidden="1" customWidth="1"/>
    <col min="11526" max="11529" width="18.5703125" style="171" customWidth="1"/>
    <col min="11530" max="11531" width="2.5703125" style="171" customWidth="1"/>
    <col min="11532" max="11532" width="13.42578125" style="171" bestFit="1" customWidth="1"/>
    <col min="11533" max="11777" width="11.42578125" style="171"/>
    <col min="11778" max="11778" width="2.42578125" style="171" customWidth="1"/>
    <col min="11779" max="11779" width="52.42578125" style="171" customWidth="1"/>
    <col min="11780" max="11781" width="0" style="171" hidden="1" customWidth="1"/>
    <col min="11782" max="11785" width="18.5703125" style="171" customWidth="1"/>
    <col min="11786" max="11787" width="2.5703125" style="171" customWidth="1"/>
    <col min="11788" max="11788" width="13.42578125" style="171" bestFit="1" customWidth="1"/>
    <col min="11789" max="12033" width="11.42578125" style="171"/>
    <col min="12034" max="12034" width="2.42578125" style="171" customWidth="1"/>
    <col min="12035" max="12035" width="52.42578125" style="171" customWidth="1"/>
    <col min="12036" max="12037" width="0" style="171" hidden="1" customWidth="1"/>
    <col min="12038" max="12041" width="18.5703125" style="171" customWidth="1"/>
    <col min="12042" max="12043" width="2.5703125" style="171" customWidth="1"/>
    <col min="12044" max="12044" width="13.42578125" style="171" bestFit="1" customWidth="1"/>
    <col min="12045" max="12289" width="11.42578125" style="171"/>
    <col min="12290" max="12290" width="2.42578125" style="171" customWidth="1"/>
    <col min="12291" max="12291" width="52.42578125" style="171" customWidth="1"/>
    <col min="12292" max="12293" width="0" style="171" hidden="1" customWidth="1"/>
    <col min="12294" max="12297" width="18.5703125" style="171" customWidth="1"/>
    <col min="12298" max="12299" width="2.5703125" style="171" customWidth="1"/>
    <col min="12300" max="12300" width="13.42578125" style="171" bestFit="1" customWidth="1"/>
    <col min="12301" max="12545" width="11.42578125" style="171"/>
    <col min="12546" max="12546" width="2.42578125" style="171" customWidth="1"/>
    <col min="12547" max="12547" width="52.42578125" style="171" customWidth="1"/>
    <col min="12548" max="12549" width="0" style="171" hidden="1" customWidth="1"/>
    <col min="12550" max="12553" width="18.5703125" style="171" customWidth="1"/>
    <col min="12554" max="12555" width="2.5703125" style="171" customWidth="1"/>
    <col min="12556" max="12556" width="13.42578125" style="171" bestFit="1" customWidth="1"/>
    <col min="12557" max="12801" width="11.42578125" style="171"/>
    <col min="12802" max="12802" width="2.42578125" style="171" customWidth="1"/>
    <col min="12803" max="12803" width="52.42578125" style="171" customWidth="1"/>
    <col min="12804" max="12805" width="0" style="171" hidden="1" customWidth="1"/>
    <col min="12806" max="12809" width="18.5703125" style="171" customWidth="1"/>
    <col min="12810" max="12811" width="2.5703125" style="171" customWidth="1"/>
    <col min="12812" max="12812" width="13.42578125" style="171" bestFit="1" customWidth="1"/>
    <col min="12813" max="13057" width="11.42578125" style="171"/>
    <col min="13058" max="13058" width="2.42578125" style="171" customWidth="1"/>
    <col min="13059" max="13059" width="52.42578125" style="171" customWidth="1"/>
    <col min="13060" max="13061" width="0" style="171" hidden="1" customWidth="1"/>
    <col min="13062" max="13065" width="18.5703125" style="171" customWidth="1"/>
    <col min="13066" max="13067" width="2.5703125" style="171" customWidth="1"/>
    <col min="13068" max="13068" width="13.42578125" style="171" bestFit="1" customWidth="1"/>
    <col min="13069" max="13313" width="11.42578125" style="171"/>
    <col min="13314" max="13314" width="2.42578125" style="171" customWidth="1"/>
    <col min="13315" max="13315" width="52.42578125" style="171" customWidth="1"/>
    <col min="13316" max="13317" width="0" style="171" hidden="1" customWidth="1"/>
    <col min="13318" max="13321" width="18.5703125" style="171" customWidth="1"/>
    <col min="13322" max="13323" width="2.5703125" style="171" customWidth="1"/>
    <col min="13324" max="13324" width="13.42578125" style="171" bestFit="1" customWidth="1"/>
    <col min="13325" max="13569" width="11.42578125" style="171"/>
    <col min="13570" max="13570" width="2.42578125" style="171" customWidth="1"/>
    <col min="13571" max="13571" width="52.42578125" style="171" customWidth="1"/>
    <col min="13572" max="13573" width="0" style="171" hidden="1" customWidth="1"/>
    <col min="13574" max="13577" width="18.5703125" style="171" customWidth="1"/>
    <col min="13578" max="13579" width="2.5703125" style="171" customWidth="1"/>
    <col min="13580" max="13580" width="13.42578125" style="171" bestFit="1" customWidth="1"/>
    <col min="13581" max="13825" width="11.42578125" style="171"/>
    <col min="13826" max="13826" width="2.42578125" style="171" customWidth="1"/>
    <col min="13827" max="13827" width="52.42578125" style="171" customWidth="1"/>
    <col min="13828" max="13829" width="0" style="171" hidden="1" customWidth="1"/>
    <col min="13830" max="13833" width="18.5703125" style="171" customWidth="1"/>
    <col min="13834" max="13835" width="2.5703125" style="171" customWidth="1"/>
    <col min="13836" max="13836" width="13.42578125" style="171" bestFit="1" customWidth="1"/>
    <col min="13837" max="14081" width="11.42578125" style="171"/>
    <col min="14082" max="14082" width="2.42578125" style="171" customWidth="1"/>
    <col min="14083" max="14083" width="52.42578125" style="171" customWidth="1"/>
    <col min="14084" max="14085" width="0" style="171" hidden="1" customWidth="1"/>
    <col min="14086" max="14089" width="18.5703125" style="171" customWidth="1"/>
    <col min="14090" max="14091" width="2.5703125" style="171" customWidth="1"/>
    <col min="14092" max="14092" width="13.42578125" style="171" bestFit="1" customWidth="1"/>
    <col min="14093" max="14337" width="11.42578125" style="171"/>
    <col min="14338" max="14338" width="2.42578125" style="171" customWidth="1"/>
    <col min="14339" max="14339" width="52.42578125" style="171" customWidth="1"/>
    <col min="14340" max="14341" width="0" style="171" hidden="1" customWidth="1"/>
    <col min="14342" max="14345" width="18.5703125" style="171" customWidth="1"/>
    <col min="14346" max="14347" width="2.5703125" style="171" customWidth="1"/>
    <col min="14348" max="14348" width="13.42578125" style="171" bestFit="1" customWidth="1"/>
    <col min="14349" max="14593" width="11.42578125" style="171"/>
    <col min="14594" max="14594" width="2.42578125" style="171" customWidth="1"/>
    <col min="14595" max="14595" width="52.42578125" style="171" customWidth="1"/>
    <col min="14596" max="14597" width="0" style="171" hidden="1" customWidth="1"/>
    <col min="14598" max="14601" width="18.5703125" style="171" customWidth="1"/>
    <col min="14602" max="14603" width="2.5703125" style="171" customWidth="1"/>
    <col min="14604" max="14604" width="13.42578125" style="171" bestFit="1" customWidth="1"/>
    <col min="14605" max="14849" width="11.42578125" style="171"/>
    <col min="14850" max="14850" width="2.42578125" style="171" customWidth="1"/>
    <col min="14851" max="14851" width="52.42578125" style="171" customWidth="1"/>
    <col min="14852" max="14853" width="0" style="171" hidden="1" customWidth="1"/>
    <col min="14854" max="14857" width="18.5703125" style="171" customWidth="1"/>
    <col min="14858" max="14859" width="2.5703125" style="171" customWidth="1"/>
    <col min="14860" max="14860" width="13.42578125" style="171" bestFit="1" customWidth="1"/>
    <col min="14861" max="15105" width="11.42578125" style="171"/>
    <col min="15106" max="15106" width="2.42578125" style="171" customWidth="1"/>
    <col min="15107" max="15107" width="52.42578125" style="171" customWidth="1"/>
    <col min="15108" max="15109" width="0" style="171" hidden="1" customWidth="1"/>
    <col min="15110" max="15113" width="18.5703125" style="171" customWidth="1"/>
    <col min="15114" max="15115" width="2.5703125" style="171" customWidth="1"/>
    <col min="15116" max="15116" width="13.42578125" style="171" bestFit="1" customWidth="1"/>
    <col min="15117" max="15361" width="11.42578125" style="171"/>
    <col min="15362" max="15362" width="2.42578125" style="171" customWidth="1"/>
    <col min="15363" max="15363" width="52.42578125" style="171" customWidth="1"/>
    <col min="15364" max="15365" width="0" style="171" hidden="1" customWidth="1"/>
    <col min="15366" max="15369" width="18.5703125" style="171" customWidth="1"/>
    <col min="15370" max="15371" width="2.5703125" style="171" customWidth="1"/>
    <col min="15372" max="15372" width="13.42578125" style="171" bestFit="1" customWidth="1"/>
    <col min="15373" max="15617" width="11.42578125" style="171"/>
    <col min="15618" max="15618" width="2.42578125" style="171" customWidth="1"/>
    <col min="15619" max="15619" width="52.42578125" style="171" customWidth="1"/>
    <col min="15620" max="15621" width="0" style="171" hidden="1" customWidth="1"/>
    <col min="15622" max="15625" width="18.5703125" style="171" customWidth="1"/>
    <col min="15626" max="15627" width="2.5703125" style="171" customWidth="1"/>
    <col min="15628" max="15628" width="13.42578125" style="171" bestFit="1" customWidth="1"/>
    <col min="15629" max="15873" width="11.42578125" style="171"/>
    <col min="15874" max="15874" width="2.42578125" style="171" customWidth="1"/>
    <col min="15875" max="15875" width="52.42578125" style="171" customWidth="1"/>
    <col min="15876" max="15877" width="0" style="171" hidden="1" customWidth="1"/>
    <col min="15878" max="15881" width="18.5703125" style="171" customWidth="1"/>
    <col min="15882" max="15883" width="2.5703125" style="171" customWidth="1"/>
    <col min="15884" max="15884" width="13.42578125" style="171" bestFit="1" customWidth="1"/>
    <col min="15885" max="16129" width="11.42578125" style="171"/>
    <col min="16130" max="16130" width="2.42578125" style="171" customWidth="1"/>
    <col min="16131" max="16131" width="52.42578125" style="171" customWidth="1"/>
    <col min="16132" max="16133" width="0" style="171" hidden="1" customWidth="1"/>
    <col min="16134" max="16137" width="18.5703125" style="171" customWidth="1"/>
    <col min="16138" max="16139" width="2.5703125" style="171" customWidth="1"/>
    <col min="16140" max="16140" width="13.42578125" style="171" bestFit="1" customWidth="1"/>
    <col min="16141" max="16384" width="11.42578125" style="171"/>
  </cols>
  <sheetData>
    <row r="1" spans="1:17" ht="18">
      <c r="A1" s="2946" t="s">
        <v>259</v>
      </c>
      <c r="B1" s="2946"/>
      <c r="C1" s="2946"/>
      <c r="D1" s="2946"/>
      <c r="E1" s="2946"/>
      <c r="F1" s="2946"/>
      <c r="G1" s="2946"/>
      <c r="H1" s="477"/>
      <c r="I1" s="477"/>
      <c r="J1" s="477"/>
      <c r="K1" s="169"/>
      <c r="L1" s="170"/>
    </row>
    <row r="2" spans="1:17" ht="12" thickBot="1">
      <c r="A2" s="169"/>
      <c r="B2" s="169"/>
      <c r="C2" s="169"/>
      <c r="D2" s="169"/>
      <c r="E2" s="172"/>
      <c r="F2" s="169"/>
      <c r="G2" s="169"/>
      <c r="H2" s="169"/>
      <c r="I2" s="169"/>
      <c r="J2" s="169"/>
      <c r="K2" s="169"/>
      <c r="L2" s="170"/>
    </row>
    <row r="3" spans="1:17" ht="31.5" customHeight="1">
      <c r="A3" s="173"/>
      <c r="B3" s="204" t="s">
        <v>261</v>
      </c>
      <c r="C3" s="2951" t="e">
        <f>#REF!</f>
        <v>#REF!</v>
      </c>
      <c r="D3" s="2951"/>
      <c r="E3" s="2951"/>
      <c r="F3" s="2951"/>
      <c r="G3" s="2951"/>
      <c r="H3" s="2952"/>
      <c r="I3" s="536"/>
      <c r="J3" s="169"/>
      <c r="K3" s="169"/>
      <c r="L3" s="174"/>
    </row>
    <row r="4" spans="1:17">
      <c r="A4" s="173"/>
      <c r="B4" s="205" t="s">
        <v>262</v>
      </c>
      <c r="C4" s="206" t="str">
        <f>[51]VALORIZACION!P5</f>
        <v>PACHACONAS</v>
      </c>
      <c r="D4" s="207"/>
      <c r="E4" s="208" t="s">
        <v>1799</v>
      </c>
      <c r="F4" s="209"/>
      <c r="G4" s="209"/>
      <c r="H4" s="484"/>
      <c r="I4" s="484"/>
      <c r="J4" s="169"/>
      <c r="K4" s="169"/>
      <c r="L4" s="174"/>
    </row>
    <row r="5" spans="1:17" ht="12" thickBot="1">
      <c r="A5" s="173"/>
      <c r="B5" s="210" t="s">
        <v>263</v>
      </c>
      <c r="C5" s="211" t="str">
        <f>[51]VALORIZACION!D7</f>
        <v>ADMINISTRACION DIRECTA</v>
      </c>
      <c r="D5" s="212"/>
      <c r="E5" s="213" t="str">
        <f>[51]VALORIZACION!D7</f>
        <v>ADMINISTRACION DIRECTA</v>
      </c>
      <c r="F5" s="214"/>
      <c r="G5" s="214"/>
      <c r="H5" s="485"/>
      <c r="I5" s="485"/>
      <c r="J5" s="169"/>
      <c r="K5" s="169"/>
      <c r="L5" s="174"/>
    </row>
    <row r="6" spans="1:17" ht="12" thickBot="1">
      <c r="A6" s="172"/>
      <c r="B6" s="169"/>
      <c r="C6" s="169"/>
      <c r="D6" s="169"/>
      <c r="E6" s="169"/>
      <c r="F6" s="169"/>
      <c r="G6" s="169"/>
      <c r="H6" s="169"/>
      <c r="I6" s="169"/>
      <c r="J6" s="169"/>
      <c r="K6" s="169"/>
      <c r="L6" s="170"/>
    </row>
    <row r="7" spans="1:17" ht="15.75">
      <c r="A7" s="486"/>
      <c r="B7" s="2947" t="s">
        <v>260</v>
      </c>
      <c r="C7" s="487"/>
      <c r="D7" s="2949" t="s">
        <v>251</v>
      </c>
      <c r="E7" s="2944" t="s">
        <v>1798</v>
      </c>
      <c r="F7" s="2944" t="s">
        <v>449</v>
      </c>
      <c r="G7" s="2944" t="s">
        <v>448</v>
      </c>
      <c r="H7" s="2944" t="s">
        <v>529</v>
      </c>
      <c r="I7" s="2944" t="s">
        <v>531</v>
      </c>
      <c r="J7" s="488"/>
      <c r="K7" s="489"/>
      <c r="L7" s="490"/>
    </row>
    <row r="8" spans="1:17" ht="15.75" customHeight="1" thickBot="1">
      <c r="A8" s="491"/>
      <c r="B8" s="2948"/>
      <c r="C8" s="492"/>
      <c r="D8" s="2950"/>
      <c r="E8" s="2945"/>
      <c r="F8" s="2945"/>
      <c r="G8" s="2945"/>
      <c r="H8" s="2945"/>
      <c r="I8" s="2945"/>
      <c r="J8" s="493"/>
      <c r="K8" s="494"/>
      <c r="L8" s="490"/>
    </row>
    <row r="9" spans="1:17">
      <c r="A9" s="178"/>
      <c r="B9" s="215" t="str">
        <f>[51]VALORIZACION!B14</f>
        <v xml:space="preserve">            OBRAS PROVISIONALES.</v>
      </c>
      <c r="C9" s="216"/>
      <c r="D9" s="217"/>
      <c r="E9" s="217"/>
      <c r="F9" s="217"/>
      <c r="G9" s="218"/>
      <c r="H9" s="218"/>
      <c r="I9" s="218"/>
      <c r="J9" s="177"/>
      <c r="K9" s="169"/>
      <c r="L9" s="170"/>
    </row>
    <row r="10" spans="1:17">
      <c r="A10" s="179"/>
      <c r="B10" s="180"/>
      <c r="C10" s="186"/>
      <c r="D10" s="181"/>
      <c r="E10" s="219"/>
      <c r="F10" s="182"/>
      <c r="G10" s="183"/>
      <c r="H10" s="183"/>
      <c r="I10" s="183"/>
      <c r="J10" s="184"/>
      <c r="K10" s="169"/>
      <c r="L10" s="185">
        <f>SUM(E10:G10)</f>
        <v>0</v>
      </c>
    </row>
    <row r="11" spans="1:17" ht="12.75">
      <c r="A11" s="176"/>
      <c r="B11" s="180" t="str">
        <f>[51]VALORIZACION!B15</f>
        <v xml:space="preserve">  MOVILIZACIÓN Y DESMOVILIZACIÓN DE MAQUINARIA, EQUIPO Y H.</v>
      </c>
      <c r="C11" s="186"/>
      <c r="D11" s="220">
        <f>[51]VALORIZACION!J15</f>
        <v>39696.404999999999</v>
      </c>
      <c r="E11" s="221"/>
      <c r="F11" s="221"/>
      <c r="G11" s="187"/>
      <c r="H11" s="187"/>
      <c r="I11" s="187"/>
      <c r="J11" s="169"/>
      <c r="K11" s="188" t="str">
        <f>IF(L11=D11,"ok","falso")</f>
        <v>falso</v>
      </c>
      <c r="L11" s="185">
        <f>SUM(E11:G11)</f>
        <v>0</v>
      </c>
      <c r="M11" s="189">
        <f>E11/D11</f>
        <v>0</v>
      </c>
      <c r="N11" s="189">
        <f>F11/D11</f>
        <v>0</v>
      </c>
      <c r="O11" s="189">
        <f>M11+N11</f>
        <v>0</v>
      </c>
      <c r="P11" s="171">
        <f>E11+F11+G11</f>
        <v>0</v>
      </c>
      <c r="Q11" s="190">
        <f>P11/D11</f>
        <v>0</v>
      </c>
    </row>
    <row r="12" spans="1:17" ht="5.25" customHeight="1">
      <c r="A12" s="179"/>
      <c r="B12" s="180"/>
      <c r="C12" s="186"/>
      <c r="D12" s="181"/>
      <c r="E12" s="219"/>
      <c r="F12" s="182"/>
      <c r="G12" s="183"/>
      <c r="H12" s="183"/>
      <c r="I12" s="183"/>
      <c r="J12" s="184"/>
      <c r="K12" s="169"/>
      <c r="L12" s="185">
        <f>SUM(E12:G12)</f>
        <v>0</v>
      </c>
      <c r="M12" s="189" t="e">
        <f>E12/D12</f>
        <v>#DIV/0!</v>
      </c>
      <c r="N12" s="189" t="e">
        <f>F12/D12</f>
        <v>#DIV/0!</v>
      </c>
      <c r="O12" s="189" t="e">
        <f>M12+N12</f>
        <v>#DIV/0!</v>
      </c>
      <c r="P12" s="171">
        <f>E12+F12+G12</f>
        <v>0</v>
      </c>
      <c r="Q12" s="189" t="e">
        <f>P12/D12</f>
        <v>#DIV/0!</v>
      </c>
    </row>
    <row r="13" spans="1:17" ht="12.75">
      <c r="A13" s="176"/>
      <c r="B13" s="180" t="str">
        <f>[51]VALORIZACION!B16</f>
        <v xml:space="preserve"> ACCESO A CANTERAS, DME Y FUENTES DE AGUA</v>
      </c>
      <c r="C13" s="186"/>
      <c r="D13" s="220">
        <f>[51]VALORIZACION!J16</f>
        <v>11928</v>
      </c>
      <c r="E13" s="186"/>
      <c r="F13" s="186"/>
      <c r="G13" s="187"/>
      <c r="H13" s="187"/>
      <c r="I13" s="187"/>
      <c r="J13" s="169"/>
      <c r="K13" s="188" t="str">
        <f>IF(L13=D13,"ok","falso")</f>
        <v>falso</v>
      </c>
      <c r="L13" s="185">
        <f>SUM(E13:G13)</f>
        <v>0</v>
      </c>
      <c r="M13" s="189">
        <f>E13/D13</f>
        <v>0</v>
      </c>
      <c r="N13" s="189">
        <f>F13/D13</f>
        <v>0</v>
      </c>
      <c r="O13" s="189">
        <f>M13+N13</f>
        <v>0</v>
      </c>
      <c r="P13" s="171">
        <f>E13+F13+G13</f>
        <v>0</v>
      </c>
      <c r="Q13" s="190">
        <f>P13/D13</f>
        <v>0</v>
      </c>
    </row>
    <row r="14" spans="1:17" ht="5.25" customHeight="1">
      <c r="A14" s="179"/>
      <c r="B14" s="180"/>
      <c r="C14" s="186"/>
      <c r="D14" s="181"/>
      <c r="E14" s="219"/>
      <c r="F14" s="182"/>
      <c r="G14" s="183"/>
      <c r="H14" s="183"/>
      <c r="I14" s="183"/>
      <c r="J14" s="184"/>
      <c r="K14" s="169"/>
      <c r="L14" s="185"/>
      <c r="M14" s="189"/>
      <c r="N14" s="189"/>
      <c r="O14" s="189"/>
      <c r="Q14" s="189"/>
    </row>
    <row r="15" spans="1:17" ht="12.75">
      <c r="A15" s="178"/>
      <c r="B15" s="191" t="str">
        <f>[51]VALORIZACION!B17</f>
        <v xml:space="preserve">            CONSTRUCCIÓN PLATAFORMA DE VIA.</v>
      </c>
      <c r="C15" s="222"/>
      <c r="D15" s="220"/>
      <c r="E15" s="186"/>
      <c r="F15" s="186"/>
      <c r="G15" s="187"/>
      <c r="H15" s="187"/>
      <c r="I15" s="187"/>
      <c r="J15" s="169"/>
      <c r="K15" s="188"/>
      <c r="L15" s="185"/>
      <c r="M15" s="189"/>
      <c r="N15" s="189"/>
      <c r="O15" s="189"/>
      <c r="Q15" s="190"/>
    </row>
    <row r="16" spans="1:17" ht="12.75">
      <c r="A16" s="178"/>
      <c r="B16" s="192" t="str">
        <f>[51]VALORIZACION!B18</f>
        <v xml:space="preserve">                TRABAJOS PRELIMINARES.</v>
      </c>
      <c r="C16" s="223"/>
      <c r="D16" s="220"/>
      <c r="E16" s="186"/>
      <c r="F16" s="186"/>
      <c r="G16" s="187"/>
      <c r="H16" s="187"/>
      <c r="I16" s="187"/>
      <c r="J16" s="169"/>
      <c r="K16" s="188"/>
      <c r="L16" s="185"/>
      <c r="M16" s="189"/>
      <c r="N16" s="189"/>
      <c r="O16" s="189"/>
      <c r="Q16" s="190"/>
    </row>
    <row r="17" spans="1:17" ht="5.25" customHeight="1">
      <c r="A17" s="179"/>
      <c r="B17" s="180"/>
      <c r="C17" s="186"/>
      <c r="D17" s="181"/>
      <c r="E17" s="219"/>
      <c r="F17" s="182"/>
      <c r="G17" s="183"/>
      <c r="H17" s="183"/>
      <c r="I17" s="183"/>
      <c r="J17" s="184"/>
      <c r="K17" s="169"/>
      <c r="L17" s="185">
        <f>SUM(F17:G17)</f>
        <v>0</v>
      </c>
      <c r="M17" s="189" t="e">
        <f>F17/D17</f>
        <v>#DIV/0!</v>
      </c>
      <c r="N17" s="189" t="e">
        <f>G17/D17</f>
        <v>#DIV/0!</v>
      </c>
      <c r="O17" s="189" t="e">
        <f>M17+N17</f>
        <v>#DIV/0!</v>
      </c>
      <c r="P17" s="171" t="e">
        <f>F17+G17+#REF!</f>
        <v>#REF!</v>
      </c>
      <c r="Q17" s="189" t="e">
        <f>P17/D17</f>
        <v>#REF!</v>
      </c>
    </row>
    <row r="18" spans="1:17" ht="12.75">
      <c r="A18" s="176"/>
      <c r="B18" s="180" t="str">
        <f>[51]VALORIZACION!B19</f>
        <v>TOPOGRAFÍA Y GEOREFERENCIACIÓN</v>
      </c>
      <c r="C18" s="186"/>
      <c r="D18" s="220">
        <f>[51]VALORIZACION!L19</f>
        <v>27890.316600000002</v>
      </c>
      <c r="E18" s="186"/>
      <c r="F18" s="186"/>
      <c r="G18" s="187"/>
      <c r="H18" s="187"/>
      <c r="I18" s="187"/>
      <c r="J18" s="169"/>
      <c r="K18" s="188" t="str">
        <f>IF(L18=D18,"ok","falso")</f>
        <v>falso</v>
      </c>
      <c r="L18" s="185">
        <f>SUM(F18:G18)</f>
        <v>0</v>
      </c>
      <c r="M18" s="189">
        <f>F18/D18</f>
        <v>0</v>
      </c>
      <c r="N18" s="189">
        <f>G18/D18</f>
        <v>0</v>
      </c>
      <c r="O18" s="189">
        <f>M18+N18</f>
        <v>0</v>
      </c>
      <c r="P18" s="171" t="e">
        <f>F18+G18+#REF!</f>
        <v>#REF!</v>
      </c>
      <c r="Q18" s="190" t="e">
        <f>P18/D18</f>
        <v>#REF!</v>
      </c>
    </row>
    <row r="19" spans="1:17" ht="12.75">
      <c r="A19" s="178"/>
      <c r="B19" s="192" t="str">
        <f>[51]VALORIZACION!B20</f>
        <v xml:space="preserve">                MOVIMIENTO DE TIERRAS</v>
      </c>
      <c r="C19" s="223"/>
      <c r="D19" s="220"/>
      <c r="E19" s="193"/>
      <c r="F19" s="186"/>
      <c r="G19" s="187"/>
      <c r="H19" s="187"/>
      <c r="I19" s="187"/>
      <c r="J19" s="169"/>
      <c r="K19" s="188"/>
      <c r="L19" s="185"/>
      <c r="M19" s="189"/>
      <c r="N19" s="189"/>
      <c r="O19" s="189"/>
      <c r="Q19" s="190"/>
    </row>
    <row r="20" spans="1:17" ht="5.25" customHeight="1">
      <c r="A20" s="179"/>
      <c r="B20" s="180"/>
      <c r="C20" s="186"/>
      <c r="D20" s="181"/>
      <c r="E20" s="219"/>
      <c r="F20" s="182"/>
      <c r="G20" s="183"/>
      <c r="H20" s="183"/>
      <c r="I20" s="183"/>
      <c r="J20" s="184"/>
      <c r="K20" s="169"/>
      <c r="L20" s="185">
        <f t="shared" ref="L20:L29" si="0">SUM(E20:G20)</f>
        <v>0</v>
      </c>
      <c r="M20" s="189" t="e">
        <f t="shared" ref="M20:M29" si="1">E20/D20</f>
        <v>#DIV/0!</v>
      </c>
      <c r="N20" s="189" t="e">
        <f>F20/D20</f>
        <v>#DIV/0!</v>
      </c>
      <c r="O20" s="189" t="e">
        <f t="shared" ref="O20:O29" si="2">M20+N20</f>
        <v>#DIV/0!</v>
      </c>
      <c r="P20" s="171">
        <f>E20+F20+G20</f>
        <v>0</v>
      </c>
      <c r="Q20" s="189" t="e">
        <f t="shared" ref="Q20:Q29" si="3">P20/D20</f>
        <v>#DIV/0!</v>
      </c>
    </row>
    <row r="21" spans="1:17" ht="12.75">
      <c r="A21" s="176"/>
      <c r="B21" s="180" t="str">
        <f>[51]VALORIZACION!B21</f>
        <v xml:space="preserve"> CORTE DE MATERIAL SUELTO</v>
      </c>
      <c r="C21" s="186"/>
      <c r="D21" s="220">
        <f>[51]VALORIZACION!L21</f>
        <v>703325.0368746703</v>
      </c>
      <c r="E21" s="221"/>
      <c r="F21" s="221"/>
      <c r="G21" s="187"/>
      <c r="H21" s="187"/>
      <c r="I21" s="187"/>
      <c r="J21" s="169"/>
      <c r="K21" s="188" t="str">
        <f>IF(L21=D21,"ok","falso")</f>
        <v>falso</v>
      </c>
      <c r="L21" s="185">
        <f t="shared" si="0"/>
        <v>0</v>
      </c>
      <c r="M21" s="189">
        <f t="shared" si="1"/>
        <v>0</v>
      </c>
      <c r="N21" s="189">
        <f>F21/D21</f>
        <v>0</v>
      </c>
      <c r="O21" s="189">
        <f t="shared" si="2"/>
        <v>0</v>
      </c>
      <c r="P21" s="171">
        <f>E21+F21+G21</f>
        <v>0</v>
      </c>
      <c r="Q21" s="190">
        <f t="shared" si="3"/>
        <v>0</v>
      </c>
    </row>
    <row r="22" spans="1:17" ht="5.25" customHeight="1">
      <c r="A22" s="179"/>
      <c r="B22" s="180"/>
      <c r="C22" s="186"/>
      <c r="D22" s="181"/>
      <c r="E22" s="219"/>
      <c r="F22" s="182"/>
      <c r="G22" s="183"/>
      <c r="H22" s="183"/>
      <c r="I22" s="183"/>
      <c r="J22" s="184"/>
      <c r="K22" s="169"/>
      <c r="L22" s="185">
        <f t="shared" si="0"/>
        <v>0</v>
      </c>
      <c r="M22" s="189" t="e">
        <f t="shared" si="1"/>
        <v>#DIV/0!</v>
      </c>
      <c r="N22" s="189" t="e">
        <f>F22/D22</f>
        <v>#DIV/0!</v>
      </c>
      <c r="O22" s="189" t="e">
        <f t="shared" si="2"/>
        <v>#DIV/0!</v>
      </c>
      <c r="P22" s="171">
        <f>E22+F22+G22</f>
        <v>0</v>
      </c>
      <c r="Q22" s="189" t="e">
        <f t="shared" si="3"/>
        <v>#DIV/0!</v>
      </c>
    </row>
    <row r="23" spans="1:17" ht="12.75">
      <c r="A23" s="176"/>
      <c r="B23" s="180" t="str">
        <f>[51]VALORIZACION!B22</f>
        <v xml:space="preserve"> EXCAVACIÓN EN EXPLANACIONES EN ROCA FIJA</v>
      </c>
      <c r="C23" s="186"/>
      <c r="D23" s="220">
        <f>[51]VALORIZACION!L22</f>
        <v>845124.14230526343</v>
      </c>
      <c r="E23" s="221"/>
      <c r="F23" s="221"/>
      <c r="G23" s="187"/>
      <c r="H23" s="187"/>
      <c r="I23" s="187"/>
      <c r="J23" s="169"/>
      <c r="K23" s="188" t="str">
        <f>IF(L23=D23,"ok","falso")</f>
        <v>falso</v>
      </c>
      <c r="L23" s="185">
        <f t="shared" si="0"/>
        <v>0</v>
      </c>
      <c r="M23" s="189">
        <f t="shared" si="1"/>
        <v>0</v>
      </c>
      <c r="N23" s="189">
        <f>G23/D23</f>
        <v>0</v>
      </c>
      <c r="O23" s="189">
        <f t="shared" si="2"/>
        <v>0</v>
      </c>
      <c r="P23" s="171" t="e">
        <f>E23+G23+#REF!</f>
        <v>#REF!</v>
      </c>
      <c r="Q23" s="190" t="e">
        <f t="shared" si="3"/>
        <v>#REF!</v>
      </c>
    </row>
    <row r="24" spans="1:17" ht="5.25" customHeight="1">
      <c r="A24" s="179"/>
      <c r="B24" s="180"/>
      <c r="C24" s="186"/>
      <c r="D24" s="181"/>
      <c r="E24" s="219"/>
      <c r="F24" s="182"/>
      <c r="G24" s="183"/>
      <c r="H24" s="183"/>
      <c r="I24" s="183"/>
      <c r="J24" s="184"/>
      <c r="K24" s="169"/>
      <c r="L24" s="185">
        <f t="shared" si="0"/>
        <v>0</v>
      </c>
      <c r="M24" s="189" t="e">
        <f t="shared" si="1"/>
        <v>#DIV/0!</v>
      </c>
      <c r="N24" s="189" t="e">
        <f t="shared" ref="N24:N29" si="4">F24/D24</f>
        <v>#DIV/0!</v>
      </c>
      <c r="O24" s="189" t="e">
        <f t="shared" si="2"/>
        <v>#DIV/0!</v>
      </c>
      <c r="P24" s="171">
        <f t="shared" ref="P24:P29" si="5">E24+F24+G24</f>
        <v>0</v>
      </c>
      <c r="Q24" s="189" t="e">
        <f t="shared" si="3"/>
        <v>#DIV/0!</v>
      </c>
    </row>
    <row r="25" spans="1:17" ht="12.75">
      <c r="A25" s="176"/>
      <c r="B25" s="180" t="str">
        <f>[51]VALORIZACION!B23</f>
        <v>EXCAVACIÓN EN EXPLANACIONES EN ROCA SUELTA</v>
      </c>
      <c r="C25" s="186">
        <f>[51]VALORIZACION!D23</f>
        <v>27759.46</v>
      </c>
      <c r="D25" s="220">
        <f>+[51]RESUMEN!G20</f>
        <v>224193.1</v>
      </c>
      <c r="E25" s="221"/>
      <c r="F25" s="221"/>
      <c r="G25" s="187"/>
      <c r="H25" s="187"/>
      <c r="I25" s="187"/>
      <c r="J25" s="169"/>
      <c r="K25" s="188" t="str">
        <f>IF(L25=D25,"ok","falso")</f>
        <v>falso</v>
      </c>
      <c r="L25" s="185">
        <f t="shared" si="0"/>
        <v>0</v>
      </c>
      <c r="M25" s="189">
        <f t="shared" si="1"/>
        <v>0</v>
      </c>
      <c r="N25" s="189">
        <f t="shared" si="4"/>
        <v>0</v>
      </c>
      <c r="O25" s="189">
        <f t="shared" si="2"/>
        <v>0</v>
      </c>
      <c r="P25" s="171">
        <f t="shared" si="5"/>
        <v>0</v>
      </c>
      <c r="Q25" s="189">
        <f t="shared" si="3"/>
        <v>0</v>
      </c>
    </row>
    <row r="26" spans="1:17" ht="5.25" customHeight="1">
      <c r="A26" s="179"/>
      <c r="B26" s="180"/>
      <c r="C26" s="186"/>
      <c r="D26" s="181"/>
      <c r="E26" s="219"/>
      <c r="F26" s="182"/>
      <c r="G26" s="183"/>
      <c r="H26" s="183"/>
      <c r="I26" s="183"/>
      <c r="J26" s="184"/>
      <c r="K26" s="169"/>
      <c r="L26" s="185">
        <f t="shared" si="0"/>
        <v>0</v>
      </c>
      <c r="M26" s="189" t="e">
        <f t="shared" si="1"/>
        <v>#DIV/0!</v>
      </c>
      <c r="N26" s="189" t="e">
        <f t="shared" si="4"/>
        <v>#DIV/0!</v>
      </c>
      <c r="O26" s="189" t="e">
        <f t="shared" si="2"/>
        <v>#DIV/0!</v>
      </c>
      <c r="P26" s="171">
        <f t="shared" si="5"/>
        <v>0</v>
      </c>
      <c r="Q26" s="189" t="e">
        <f t="shared" si="3"/>
        <v>#DIV/0!</v>
      </c>
    </row>
    <row r="27" spans="1:17" ht="12.75">
      <c r="A27" s="176"/>
      <c r="B27" s="180" t="str">
        <f>[51]VALORIZACION!B24</f>
        <v>CONFORMACION DE TERRAPLENES</v>
      </c>
      <c r="C27" s="186">
        <f>[51]VALORIZACION!F24</f>
        <v>3112.5636</v>
      </c>
      <c r="D27" s="220">
        <f>+[51]RESUMEN!G22</f>
        <v>118992.08</v>
      </c>
      <c r="E27" s="186"/>
      <c r="F27" s="221"/>
      <c r="G27" s="187"/>
      <c r="H27" s="187"/>
      <c r="I27" s="187"/>
      <c r="J27" s="169"/>
      <c r="K27" s="188" t="str">
        <f>IF(L27=D27,"ok","falso")</f>
        <v>falso</v>
      </c>
      <c r="L27" s="185">
        <f t="shared" si="0"/>
        <v>0</v>
      </c>
      <c r="M27" s="189">
        <f t="shared" si="1"/>
        <v>0</v>
      </c>
      <c r="N27" s="189">
        <f t="shared" si="4"/>
        <v>0</v>
      </c>
      <c r="O27" s="189">
        <f t="shared" si="2"/>
        <v>0</v>
      </c>
      <c r="P27" s="171">
        <f t="shared" si="5"/>
        <v>0</v>
      </c>
      <c r="Q27" s="190">
        <f t="shared" si="3"/>
        <v>0</v>
      </c>
    </row>
    <row r="28" spans="1:17" ht="5.25" customHeight="1">
      <c r="A28" s="179"/>
      <c r="B28" s="180"/>
      <c r="C28" s="186"/>
      <c r="D28" s="181"/>
      <c r="E28" s="219"/>
      <c r="F28" s="182"/>
      <c r="G28" s="183"/>
      <c r="H28" s="183"/>
      <c r="I28" s="183"/>
      <c r="J28" s="184"/>
      <c r="K28" s="169"/>
      <c r="L28" s="185">
        <f t="shared" si="0"/>
        <v>0</v>
      </c>
      <c r="M28" s="189" t="e">
        <f t="shared" si="1"/>
        <v>#DIV/0!</v>
      </c>
      <c r="N28" s="189" t="e">
        <f t="shared" si="4"/>
        <v>#DIV/0!</v>
      </c>
      <c r="O28" s="189" t="e">
        <f t="shared" si="2"/>
        <v>#DIV/0!</v>
      </c>
      <c r="P28" s="171">
        <f t="shared" si="5"/>
        <v>0</v>
      </c>
      <c r="Q28" s="189" t="e">
        <f t="shared" si="3"/>
        <v>#DIV/0!</v>
      </c>
    </row>
    <row r="29" spans="1:17" ht="12.75">
      <c r="A29" s="176"/>
      <c r="B29" s="194" t="str">
        <f>[51]VALORIZACION!B25</f>
        <v>PERFILADO Y COMPACTADO EN ZONA DE CORTE</v>
      </c>
      <c r="C29" s="186">
        <f>[51]VALORIZACION!F25</f>
        <v>79753.399999999994</v>
      </c>
      <c r="D29" s="220">
        <f>+[51]RESUMEN!G24</f>
        <v>297472</v>
      </c>
      <c r="E29" s="186"/>
      <c r="F29" s="186"/>
      <c r="G29" s="187"/>
      <c r="H29" s="187"/>
      <c r="I29" s="187"/>
      <c r="J29" s="169"/>
      <c r="K29" s="188" t="str">
        <f>IF(L29=D29,"ok","falso")</f>
        <v>falso</v>
      </c>
      <c r="L29" s="185">
        <f t="shared" si="0"/>
        <v>0</v>
      </c>
      <c r="M29" s="189">
        <f t="shared" si="1"/>
        <v>0</v>
      </c>
      <c r="N29" s="189">
        <f t="shared" si="4"/>
        <v>0</v>
      </c>
      <c r="O29" s="189">
        <f t="shared" si="2"/>
        <v>0</v>
      </c>
      <c r="P29" s="171">
        <f t="shared" si="5"/>
        <v>0</v>
      </c>
      <c r="Q29" s="189">
        <f t="shared" si="3"/>
        <v>0</v>
      </c>
    </row>
    <row r="30" spans="1:17" ht="5.25" customHeight="1">
      <c r="A30" s="179"/>
      <c r="B30" s="180"/>
      <c r="C30" s="186"/>
      <c r="D30" s="181"/>
      <c r="E30" s="219"/>
      <c r="F30" s="182"/>
      <c r="G30" s="183"/>
      <c r="H30" s="183"/>
      <c r="I30" s="183"/>
      <c r="J30" s="184"/>
      <c r="K30" s="169"/>
      <c r="L30" s="185"/>
      <c r="M30" s="189"/>
      <c r="N30" s="189"/>
      <c r="O30" s="189"/>
      <c r="Q30" s="189"/>
    </row>
    <row r="31" spans="1:17" ht="12.75">
      <c r="A31" s="178"/>
      <c r="B31" s="192" t="str">
        <f>[51]VALORIZACION!B26</f>
        <v xml:space="preserve">                TRANSPORTE</v>
      </c>
      <c r="C31" s="186"/>
      <c r="D31" s="220"/>
      <c r="E31" s="186"/>
      <c r="F31" s="186"/>
      <c r="G31" s="187"/>
      <c r="H31" s="187"/>
      <c r="I31" s="187"/>
      <c r="J31" s="169"/>
      <c r="K31" s="188"/>
      <c r="L31" s="185"/>
      <c r="M31" s="189"/>
      <c r="N31" s="189"/>
      <c r="O31" s="189"/>
      <c r="Q31" s="189"/>
    </row>
    <row r="32" spans="1:17" ht="5.25" customHeight="1">
      <c r="A32" s="179"/>
      <c r="B32" s="180"/>
      <c r="C32" s="186"/>
      <c r="D32" s="181"/>
      <c r="E32" s="219"/>
      <c r="F32" s="182"/>
      <c r="G32" s="183"/>
      <c r="H32" s="183"/>
      <c r="I32" s="183"/>
      <c r="J32" s="184"/>
      <c r="K32" s="169"/>
      <c r="L32" s="185">
        <f>SUM(E32:G32)</f>
        <v>0</v>
      </c>
      <c r="M32" s="189" t="e">
        <f>E32/D32</f>
        <v>#DIV/0!</v>
      </c>
      <c r="N32" s="189" t="e">
        <f>F32/D32</f>
        <v>#DIV/0!</v>
      </c>
      <c r="O32" s="189" t="e">
        <f>M32+N32</f>
        <v>#DIV/0!</v>
      </c>
      <c r="P32" s="171">
        <f>E32+F32+G32</f>
        <v>0</v>
      </c>
      <c r="Q32" s="189" t="e">
        <f>P32/D32</f>
        <v>#DIV/0!</v>
      </c>
    </row>
    <row r="33" spans="1:17" ht="12.75">
      <c r="A33" s="176"/>
      <c r="B33" s="180" t="str">
        <f>[51]VALORIZACION!B27</f>
        <v>TRANSPORTE DE ELIMINACIÓN DE MATERIAL A DME D&lt;=1 km</v>
      </c>
      <c r="C33" s="186"/>
      <c r="D33" s="220">
        <f>+[51]RESUMEN!G26</f>
        <v>9213.36</v>
      </c>
      <c r="E33" s="221"/>
      <c r="F33" s="221"/>
      <c r="G33" s="187"/>
      <c r="H33" s="187"/>
      <c r="I33" s="187"/>
      <c r="J33" s="169"/>
      <c r="K33" s="188" t="str">
        <f>IF(L33=D33,"ok","falso")</f>
        <v>falso</v>
      </c>
      <c r="L33" s="185">
        <f>SUM(E33:G33)</f>
        <v>0</v>
      </c>
      <c r="M33" s="189">
        <f>E33/D33</f>
        <v>0</v>
      </c>
      <c r="N33" s="189">
        <f>F33/D33</f>
        <v>0</v>
      </c>
      <c r="O33" s="189">
        <f>M33+N33</f>
        <v>0</v>
      </c>
      <c r="P33" s="171">
        <f>E33+F33+G33</f>
        <v>0</v>
      </c>
      <c r="Q33" s="189">
        <f>P33/D33</f>
        <v>0</v>
      </c>
    </row>
    <row r="34" spans="1:17" ht="5.25" customHeight="1">
      <c r="A34" s="179"/>
      <c r="B34" s="180"/>
      <c r="C34" s="186"/>
      <c r="D34" s="181"/>
      <c r="E34" s="219"/>
      <c r="F34" s="182"/>
      <c r="G34" s="183"/>
      <c r="H34" s="183"/>
      <c r="I34" s="183"/>
      <c r="J34" s="184"/>
      <c r="K34" s="169"/>
      <c r="L34" s="185">
        <f>SUM(E34:G34)</f>
        <v>0</v>
      </c>
      <c r="M34" s="189" t="e">
        <f>E34/D34</f>
        <v>#DIV/0!</v>
      </c>
      <c r="N34" s="189" t="e">
        <f>F34/D34</f>
        <v>#DIV/0!</v>
      </c>
      <c r="O34" s="189" t="e">
        <f>M34+N34</f>
        <v>#DIV/0!</v>
      </c>
      <c r="P34" s="171">
        <f>E34+F34+G34</f>
        <v>0</v>
      </c>
      <c r="Q34" s="189" t="e">
        <f>P34/D34</f>
        <v>#DIV/0!</v>
      </c>
    </row>
    <row r="35" spans="1:17" ht="12.75">
      <c r="A35" s="176"/>
      <c r="B35" s="180" t="str">
        <f>[51]VALORIZACION!B28</f>
        <v xml:space="preserve"> TRANSPORTE DE ELIMINACIÓN DE MATERIAL A DME &gt;1 km</v>
      </c>
      <c r="C35" s="186"/>
      <c r="D35" s="220">
        <f>+[51]RESUMEN!G28</f>
        <v>13500.68</v>
      </c>
      <c r="E35" s="221"/>
      <c r="F35" s="186"/>
      <c r="G35" s="187"/>
      <c r="H35" s="187"/>
      <c r="I35" s="187"/>
      <c r="J35" s="169"/>
      <c r="K35" s="188" t="str">
        <f>IF(L35=D35,"ok","falso")</f>
        <v>falso</v>
      </c>
      <c r="L35" s="185">
        <f>SUM(E35:G35)</f>
        <v>0</v>
      </c>
      <c r="M35" s="189">
        <f>E35/D35</f>
        <v>0</v>
      </c>
      <c r="N35" s="189">
        <f>F35/D35</f>
        <v>0</v>
      </c>
      <c r="O35" s="189">
        <f>M35+N35</f>
        <v>0</v>
      </c>
      <c r="P35" s="171">
        <f>E35+F35+G35</f>
        <v>0</v>
      </c>
      <c r="Q35" s="189">
        <f>P35/D35</f>
        <v>0</v>
      </c>
    </row>
    <row r="36" spans="1:17" ht="5.25" customHeight="1">
      <c r="A36" s="179"/>
      <c r="B36" s="180"/>
      <c r="C36" s="186"/>
      <c r="D36" s="181"/>
      <c r="E36" s="219"/>
      <c r="F36" s="182"/>
      <c r="G36" s="183"/>
      <c r="H36" s="183"/>
      <c r="I36" s="183"/>
      <c r="J36" s="184"/>
      <c r="K36" s="169"/>
      <c r="L36" s="185"/>
      <c r="M36" s="189"/>
      <c r="N36" s="189"/>
      <c r="O36" s="189"/>
      <c r="Q36" s="189"/>
    </row>
    <row r="37" spans="1:17" ht="12.75">
      <c r="A37" s="178"/>
      <c r="B37" s="191" t="str">
        <f>[51]VALORIZACION!B29</f>
        <v xml:space="preserve">            OBRAS DE ARTE Y DRENAJE.</v>
      </c>
      <c r="C37" s="186"/>
      <c r="D37" s="220"/>
      <c r="E37" s="186"/>
      <c r="F37" s="186"/>
      <c r="G37" s="187"/>
      <c r="H37" s="187"/>
      <c r="I37" s="187"/>
      <c r="J37" s="169"/>
      <c r="K37" s="188"/>
      <c r="L37" s="185"/>
      <c r="M37" s="189"/>
      <c r="N37" s="189"/>
      <c r="O37" s="189"/>
      <c r="Q37" s="189"/>
    </row>
    <row r="38" spans="1:17" ht="12.75">
      <c r="A38" s="178"/>
      <c r="B38" s="192" t="str">
        <f>[51]VALORIZACION!B30</f>
        <v xml:space="preserve">                ALCANTARILLA TIPO I (0.80x0.80 m.)</v>
      </c>
      <c r="C38" s="186"/>
      <c r="D38" s="220"/>
      <c r="E38" s="186"/>
      <c r="F38" s="186"/>
      <c r="G38" s="187"/>
      <c r="H38" s="187"/>
      <c r="I38" s="187"/>
      <c r="J38" s="169"/>
      <c r="K38" s="188"/>
      <c r="L38" s="185"/>
      <c r="M38" s="189"/>
      <c r="N38" s="189"/>
      <c r="O38" s="189"/>
      <c r="Q38" s="189"/>
    </row>
    <row r="39" spans="1:17" ht="5.25" customHeight="1">
      <c r="A39" s="179"/>
      <c r="B39" s="180"/>
      <c r="C39" s="186"/>
      <c r="D39" s="181"/>
      <c r="E39" s="219"/>
      <c r="F39" s="182"/>
      <c r="G39" s="183"/>
      <c r="H39" s="183"/>
      <c r="I39" s="183"/>
      <c r="J39" s="184"/>
      <c r="K39" s="169"/>
      <c r="L39" s="185">
        <f t="shared" ref="L39:L54" si="6">SUM(E39:G39)</f>
        <v>0</v>
      </c>
      <c r="M39" s="189" t="e">
        <f t="shared" ref="M39:M54" si="7">E39/D39</f>
        <v>#DIV/0!</v>
      </c>
      <c r="N39" s="189" t="e">
        <f t="shared" ref="N39:N54" si="8">F39/D39</f>
        <v>#DIV/0!</v>
      </c>
      <c r="O39" s="189" t="e">
        <f t="shared" ref="O39:O54" si="9">M39+N39</f>
        <v>#DIV/0!</v>
      </c>
      <c r="P39" s="171">
        <f t="shared" ref="P39:P54" si="10">E39+F39+G39</f>
        <v>0</v>
      </c>
      <c r="Q39" s="189" t="e">
        <f t="shared" ref="Q39:Q54" si="11">P39/D39</f>
        <v>#DIV/0!</v>
      </c>
    </row>
    <row r="40" spans="1:17" ht="12.75">
      <c r="A40" s="176"/>
      <c r="B40" s="180" t="str">
        <f>[51]VALORIZACION!B31</f>
        <v>TRAZO, REPLANTEO Y CONTROL TOPOGRAFICO</v>
      </c>
      <c r="C40" s="186"/>
      <c r="D40" s="220">
        <f>+[51]RESUMEN!G30</f>
        <v>80094.94</v>
      </c>
      <c r="E40" s="443"/>
      <c r="F40" s="444"/>
      <c r="G40" s="187"/>
      <c r="H40" s="187"/>
      <c r="I40" s="187"/>
      <c r="J40" s="169"/>
      <c r="K40" s="188" t="str">
        <f>IF(L40=D40,"ok","falso")</f>
        <v>falso</v>
      </c>
      <c r="L40" s="185">
        <f t="shared" si="6"/>
        <v>0</v>
      </c>
      <c r="M40" s="189">
        <f t="shared" si="7"/>
        <v>0</v>
      </c>
      <c r="N40" s="189">
        <f t="shared" si="8"/>
        <v>0</v>
      </c>
      <c r="O40" s="189">
        <f t="shared" si="9"/>
        <v>0</v>
      </c>
      <c r="P40" s="171">
        <f t="shared" si="10"/>
        <v>0</v>
      </c>
      <c r="Q40" s="190">
        <f t="shared" si="11"/>
        <v>0</v>
      </c>
    </row>
    <row r="41" spans="1:17" ht="5.25" customHeight="1">
      <c r="A41" s="179"/>
      <c r="B41" s="180"/>
      <c r="C41" s="186"/>
      <c r="D41" s="181"/>
      <c r="E41" s="219"/>
      <c r="F41" s="445"/>
      <c r="G41" s="183"/>
      <c r="H41" s="183"/>
      <c r="I41" s="183"/>
      <c r="J41" s="184"/>
      <c r="K41" s="169"/>
      <c r="L41" s="185">
        <f t="shared" si="6"/>
        <v>0</v>
      </c>
      <c r="M41" s="189" t="e">
        <f t="shared" si="7"/>
        <v>#DIV/0!</v>
      </c>
      <c r="N41" s="189" t="e">
        <f t="shared" si="8"/>
        <v>#DIV/0!</v>
      </c>
      <c r="O41" s="189" t="e">
        <f t="shared" si="9"/>
        <v>#DIV/0!</v>
      </c>
      <c r="P41" s="171">
        <f t="shared" si="10"/>
        <v>0</v>
      </c>
      <c r="Q41" s="189" t="e">
        <f t="shared" si="11"/>
        <v>#DIV/0!</v>
      </c>
    </row>
    <row r="42" spans="1:17" ht="12.75">
      <c r="A42" s="176"/>
      <c r="B42" s="180" t="str">
        <f>[51]VALORIZACION!B32</f>
        <v>EXCAVACIÓN NO CLASIFICADA PARA ESTRUCTURAS</v>
      </c>
      <c r="C42" s="186"/>
      <c r="D42" s="220">
        <f>+[51]RESUMEN!G12</f>
        <v>92731.57</v>
      </c>
      <c r="E42" s="443"/>
      <c r="F42" s="444"/>
      <c r="G42" s="187"/>
      <c r="H42" s="187"/>
      <c r="I42" s="187"/>
      <c r="J42" s="169"/>
      <c r="K42" s="188" t="str">
        <f>IF(L42=D42,"ok","falso")</f>
        <v>falso</v>
      </c>
      <c r="L42" s="185">
        <f t="shared" si="6"/>
        <v>0</v>
      </c>
      <c r="M42" s="189">
        <f t="shared" si="7"/>
        <v>0</v>
      </c>
      <c r="N42" s="189">
        <f t="shared" si="8"/>
        <v>0</v>
      </c>
      <c r="O42" s="189">
        <f t="shared" si="9"/>
        <v>0</v>
      </c>
      <c r="P42" s="171">
        <f t="shared" si="10"/>
        <v>0</v>
      </c>
      <c r="Q42" s="189">
        <f t="shared" si="11"/>
        <v>0</v>
      </c>
    </row>
    <row r="43" spans="1:17" ht="5.25" customHeight="1">
      <c r="A43" s="179"/>
      <c r="B43" s="180"/>
      <c r="C43" s="186"/>
      <c r="D43" s="181"/>
      <c r="E43" s="219"/>
      <c r="F43" s="445"/>
      <c r="G43" s="183"/>
      <c r="H43" s="183"/>
      <c r="I43" s="183"/>
      <c r="J43" s="184"/>
      <c r="K43" s="169"/>
      <c r="L43" s="185">
        <f t="shared" si="6"/>
        <v>0</v>
      </c>
      <c r="M43" s="189" t="e">
        <f t="shared" si="7"/>
        <v>#DIV/0!</v>
      </c>
      <c r="N43" s="189" t="e">
        <f t="shared" si="8"/>
        <v>#DIV/0!</v>
      </c>
      <c r="O43" s="189" t="e">
        <f t="shared" si="9"/>
        <v>#DIV/0!</v>
      </c>
      <c r="P43" s="171">
        <f t="shared" si="10"/>
        <v>0</v>
      </c>
      <c r="Q43" s="189" t="e">
        <f t="shared" si="11"/>
        <v>#DIV/0!</v>
      </c>
    </row>
    <row r="44" spans="1:17" ht="12.75">
      <c r="A44" s="176"/>
      <c r="B44" s="180" t="str">
        <f>[51]VALORIZACION!B33</f>
        <v>CONCRETO CICLOPEO f'c=175 kg/cm2 + 30% PM</v>
      </c>
      <c r="C44" s="186"/>
      <c r="D44" s="220">
        <f>+[51]RESUMEN!G14</f>
        <v>430413.80000000005</v>
      </c>
      <c r="E44" s="443"/>
      <c r="F44" s="443"/>
      <c r="G44" s="187"/>
      <c r="H44" s="187"/>
      <c r="I44" s="187"/>
      <c r="J44" s="169"/>
      <c r="K44" s="188" t="str">
        <f>IF(L44=D44,"ok","falso")</f>
        <v>falso</v>
      </c>
      <c r="L44" s="185">
        <f t="shared" si="6"/>
        <v>0</v>
      </c>
      <c r="M44" s="189">
        <f t="shared" si="7"/>
        <v>0</v>
      </c>
      <c r="N44" s="189">
        <f t="shared" si="8"/>
        <v>0</v>
      </c>
      <c r="O44" s="189">
        <f t="shared" si="9"/>
        <v>0</v>
      </c>
      <c r="P44" s="171">
        <f t="shared" si="10"/>
        <v>0</v>
      </c>
      <c r="Q44" s="189">
        <f t="shared" si="11"/>
        <v>0</v>
      </c>
    </row>
    <row r="45" spans="1:17" ht="5.25" customHeight="1">
      <c r="A45" s="179"/>
      <c r="B45" s="180"/>
      <c r="C45" s="186"/>
      <c r="D45" s="181"/>
      <c r="E45" s="219"/>
      <c r="F45" s="445"/>
      <c r="G45" s="183"/>
      <c r="H45" s="183"/>
      <c r="I45" s="183"/>
      <c r="J45" s="184"/>
      <c r="K45" s="169"/>
      <c r="L45" s="185">
        <f t="shared" si="6"/>
        <v>0</v>
      </c>
      <c r="M45" s="189" t="e">
        <f t="shared" si="7"/>
        <v>#DIV/0!</v>
      </c>
      <c r="N45" s="189" t="e">
        <f t="shared" si="8"/>
        <v>#DIV/0!</v>
      </c>
      <c r="O45" s="189" t="e">
        <f t="shared" si="9"/>
        <v>#DIV/0!</v>
      </c>
      <c r="P45" s="171">
        <f t="shared" si="10"/>
        <v>0</v>
      </c>
      <c r="Q45" s="189" t="e">
        <f t="shared" si="11"/>
        <v>#DIV/0!</v>
      </c>
    </row>
    <row r="46" spans="1:17" ht="12.75">
      <c r="A46" s="176"/>
      <c r="B46" s="180" t="str">
        <f>[51]VALORIZACION!B34</f>
        <v>ACERO DE REFUERZO GRADO 60</v>
      </c>
      <c r="C46" s="186"/>
      <c r="D46" s="220">
        <f>+[51]RESUMEN!G16</f>
        <v>85391.61</v>
      </c>
      <c r="E46" s="443"/>
      <c r="F46" s="443"/>
      <c r="G46" s="187"/>
      <c r="H46" s="187"/>
      <c r="I46" s="187"/>
      <c r="J46" s="169"/>
      <c r="K46" s="188" t="str">
        <f>IF(L46=D46,"ok","falso")</f>
        <v>falso</v>
      </c>
      <c r="L46" s="185">
        <f t="shared" si="6"/>
        <v>0</v>
      </c>
      <c r="M46" s="189">
        <f t="shared" si="7"/>
        <v>0</v>
      </c>
      <c r="N46" s="189">
        <f t="shared" si="8"/>
        <v>0</v>
      </c>
      <c r="O46" s="189">
        <f t="shared" si="9"/>
        <v>0</v>
      </c>
      <c r="P46" s="171">
        <f t="shared" si="10"/>
        <v>0</v>
      </c>
      <c r="Q46" s="190">
        <f t="shared" si="11"/>
        <v>0</v>
      </c>
    </row>
    <row r="47" spans="1:17" ht="5.25" customHeight="1">
      <c r="A47" s="179"/>
      <c r="B47" s="180"/>
      <c r="C47" s="186"/>
      <c r="D47" s="181"/>
      <c r="E47" s="219"/>
      <c r="F47" s="445"/>
      <c r="G47" s="183"/>
      <c r="H47" s="183"/>
      <c r="I47" s="183"/>
      <c r="J47" s="184"/>
      <c r="K47" s="169"/>
      <c r="L47" s="185">
        <f t="shared" si="6"/>
        <v>0</v>
      </c>
      <c r="M47" s="189" t="e">
        <f t="shared" si="7"/>
        <v>#DIV/0!</v>
      </c>
      <c r="N47" s="189" t="e">
        <f t="shared" si="8"/>
        <v>#DIV/0!</v>
      </c>
      <c r="O47" s="189" t="e">
        <f t="shared" si="9"/>
        <v>#DIV/0!</v>
      </c>
      <c r="P47" s="171">
        <f t="shared" si="10"/>
        <v>0</v>
      </c>
      <c r="Q47" s="189" t="e">
        <f t="shared" si="11"/>
        <v>#DIV/0!</v>
      </c>
    </row>
    <row r="48" spans="1:17" ht="12.75">
      <c r="A48" s="176"/>
      <c r="B48" s="180" t="str">
        <f>[51]VALORIZACION!B35</f>
        <v xml:space="preserve"> ENCOFRADO Y DESENCOFRADO PARA OBRAS DE ARTE</v>
      </c>
      <c r="C48" s="186"/>
      <c r="D48" s="220">
        <f>+[51]RESUMEN!G18</f>
        <v>311288.70999999996</v>
      </c>
      <c r="E48" s="443"/>
      <c r="F48" s="443"/>
      <c r="G48" s="187"/>
      <c r="H48" s="187"/>
      <c r="I48" s="187"/>
      <c r="J48" s="169"/>
      <c r="K48" s="188" t="str">
        <f>IF(L48=D48,"ok","falso")</f>
        <v>falso</v>
      </c>
      <c r="L48" s="185">
        <f t="shared" si="6"/>
        <v>0</v>
      </c>
      <c r="M48" s="189">
        <f t="shared" si="7"/>
        <v>0</v>
      </c>
      <c r="N48" s="189">
        <f t="shared" si="8"/>
        <v>0</v>
      </c>
      <c r="O48" s="189">
        <f t="shared" si="9"/>
        <v>0</v>
      </c>
      <c r="P48" s="171">
        <f t="shared" si="10"/>
        <v>0</v>
      </c>
      <c r="Q48" s="189">
        <f t="shared" si="11"/>
        <v>0</v>
      </c>
    </row>
    <row r="49" spans="1:17" ht="5.25" customHeight="1">
      <c r="A49" s="179"/>
      <c r="B49" s="180"/>
      <c r="C49" s="186"/>
      <c r="D49" s="181"/>
      <c r="E49" s="219"/>
      <c r="F49" s="445"/>
      <c r="G49" s="183"/>
      <c r="H49" s="183"/>
      <c r="I49" s="183"/>
      <c r="J49" s="184"/>
      <c r="K49" s="169"/>
      <c r="L49" s="185">
        <f t="shared" si="6"/>
        <v>0</v>
      </c>
      <c r="M49" s="189" t="e">
        <f t="shared" si="7"/>
        <v>#DIV/0!</v>
      </c>
      <c r="N49" s="189" t="e">
        <f t="shared" si="8"/>
        <v>#DIV/0!</v>
      </c>
      <c r="O49" s="189" t="e">
        <f t="shared" si="9"/>
        <v>#DIV/0!</v>
      </c>
      <c r="P49" s="171">
        <f t="shared" si="10"/>
        <v>0</v>
      </c>
      <c r="Q49" s="189" t="e">
        <f t="shared" si="11"/>
        <v>#DIV/0!</v>
      </c>
    </row>
    <row r="50" spans="1:17" ht="12.75">
      <c r="A50" s="176"/>
      <c r="B50" s="180" t="str">
        <f>[51]VALORIZACION!B36</f>
        <v xml:space="preserve"> CONCRETO f'c=210 kg/cm2</v>
      </c>
      <c r="C50" s="186"/>
      <c r="D50" s="220">
        <f>+[51]RESUMEN!G20</f>
        <v>224193.1</v>
      </c>
      <c r="E50" s="443"/>
      <c r="F50" s="443"/>
      <c r="G50" s="187"/>
      <c r="H50" s="187"/>
      <c r="I50" s="187"/>
      <c r="J50" s="169"/>
      <c r="K50" s="188" t="str">
        <f>IF(L50=D50,"ok","falso")</f>
        <v>falso</v>
      </c>
      <c r="L50" s="185">
        <f t="shared" si="6"/>
        <v>0</v>
      </c>
      <c r="M50" s="189">
        <f t="shared" si="7"/>
        <v>0</v>
      </c>
      <c r="N50" s="189">
        <f t="shared" si="8"/>
        <v>0</v>
      </c>
      <c r="O50" s="189">
        <f t="shared" si="9"/>
        <v>0</v>
      </c>
      <c r="P50" s="171">
        <f t="shared" si="10"/>
        <v>0</v>
      </c>
      <c r="Q50" s="189">
        <f t="shared" si="11"/>
        <v>0</v>
      </c>
    </row>
    <row r="51" spans="1:17" ht="5.25" customHeight="1">
      <c r="A51" s="179"/>
      <c r="B51" s="180"/>
      <c r="C51" s="186"/>
      <c r="D51" s="181"/>
      <c r="E51" s="219"/>
      <c r="F51" s="445"/>
      <c r="G51" s="183"/>
      <c r="H51" s="183"/>
      <c r="I51" s="183"/>
      <c r="J51" s="184"/>
      <c r="K51" s="169"/>
      <c r="L51" s="185">
        <f t="shared" si="6"/>
        <v>0</v>
      </c>
      <c r="M51" s="189" t="e">
        <f t="shared" si="7"/>
        <v>#DIV/0!</v>
      </c>
      <c r="N51" s="189" t="e">
        <f t="shared" si="8"/>
        <v>#DIV/0!</v>
      </c>
      <c r="O51" s="189" t="e">
        <f t="shared" si="9"/>
        <v>#DIV/0!</v>
      </c>
      <c r="P51" s="171">
        <f t="shared" si="10"/>
        <v>0</v>
      </c>
      <c r="Q51" s="189" t="e">
        <f t="shared" si="11"/>
        <v>#DIV/0!</v>
      </c>
    </row>
    <row r="52" spans="1:17" ht="12.75">
      <c r="A52" s="176"/>
      <c r="B52" s="180" t="str">
        <f>[51]VALORIZACION!B37</f>
        <v>CONCRETO f'c=175 kg/cm2</v>
      </c>
      <c r="C52" s="186"/>
      <c r="D52" s="220">
        <f>+[51]RESUMEN!G22</f>
        <v>118992.08</v>
      </c>
      <c r="E52" s="443"/>
      <c r="F52" s="443"/>
      <c r="G52" s="187"/>
      <c r="H52" s="187"/>
      <c r="I52" s="187"/>
      <c r="J52" s="169"/>
      <c r="K52" s="188" t="str">
        <f>IF(L52=D52,"ok","falso")</f>
        <v>falso</v>
      </c>
      <c r="L52" s="185">
        <f t="shared" si="6"/>
        <v>0</v>
      </c>
      <c r="M52" s="189">
        <f t="shared" si="7"/>
        <v>0</v>
      </c>
      <c r="N52" s="189">
        <f t="shared" si="8"/>
        <v>0</v>
      </c>
      <c r="O52" s="189">
        <f t="shared" si="9"/>
        <v>0</v>
      </c>
      <c r="P52" s="171">
        <f t="shared" si="10"/>
        <v>0</v>
      </c>
      <c r="Q52" s="189">
        <f t="shared" si="11"/>
        <v>0</v>
      </c>
    </row>
    <row r="53" spans="1:17" ht="5.25" customHeight="1">
      <c r="A53" s="179"/>
      <c r="B53" s="180"/>
      <c r="C53" s="186"/>
      <c r="D53" s="181"/>
      <c r="E53" s="219"/>
      <c r="F53" s="445"/>
      <c r="G53" s="183"/>
      <c r="H53" s="183"/>
      <c r="I53" s="183"/>
      <c r="J53" s="184"/>
      <c r="K53" s="169"/>
      <c r="L53" s="185">
        <f t="shared" si="6"/>
        <v>0</v>
      </c>
      <c r="M53" s="189" t="e">
        <f t="shared" si="7"/>
        <v>#DIV/0!</v>
      </c>
      <c r="N53" s="189" t="e">
        <f t="shared" si="8"/>
        <v>#DIV/0!</v>
      </c>
      <c r="O53" s="189" t="e">
        <f t="shared" si="9"/>
        <v>#DIV/0!</v>
      </c>
      <c r="P53" s="171">
        <f t="shared" si="10"/>
        <v>0</v>
      </c>
      <c r="Q53" s="189" t="e">
        <f t="shared" si="11"/>
        <v>#DIV/0!</v>
      </c>
    </row>
    <row r="54" spans="1:17" ht="12.75">
      <c r="A54" s="176"/>
      <c r="B54" s="180" t="str">
        <f>[51]VALORIZACION!B38</f>
        <v xml:space="preserve"> RELLENO PARA ESTRUCTURAS CON MATERIAL PROPIO</v>
      </c>
      <c r="C54" s="186"/>
      <c r="D54" s="220">
        <f>+[51]RESUMEN!G24</f>
        <v>297472</v>
      </c>
      <c r="E54" s="444"/>
      <c r="F54" s="443"/>
      <c r="G54" s="449"/>
      <c r="H54" s="449"/>
      <c r="I54" s="449"/>
      <c r="J54" s="169"/>
      <c r="K54" s="188" t="str">
        <f>IF(L54=D54,"ok","falso")</f>
        <v>falso</v>
      </c>
      <c r="L54" s="185">
        <f t="shared" si="6"/>
        <v>0</v>
      </c>
      <c r="M54" s="189">
        <f t="shared" si="7"/>
        <v>0</v>
      </c>
      <c r="N54" s="189">
        <f t="shared" si="8"/>
        <v>0</v>
      </c>
      <c r="O54" s="189">
        <f t="shared" si="9"/>
        <v>0</v>
      </c>
      <c r="P54" s="171">
        <f t="shared" si="10"/>
        <v>0</v>
      </c>
      <c r="Q54" s="189">
        <f t="shared" si="11"/>
        <v>0</v>
      </c>
    </row>
    <row r="55" spans="1:17" ht="5.25" customHeight="1">
      <c r="A55" s="179"/>
      <c r="B55" s="180"/>
      <c r="C55" s="186"/>
      <c r="D55" s="181"/>
      <c r="E55" s="219"/>
      <c r="F55" s="182"/>
      <c r="G55" s="183"/>
      <c r="H55" s="183"/>
      <c r="I55" s="183"/>
      <c r="J55" s="184"/>
      <c r="K55" s="169"/>
      <c r="L55" s="185"/>
      <c r="M55" s="189"/>
      <c r="N55" s="189"/>
      <c r="O55" s="189"/>
      <c r="Q55" s="189"/>
    </row>
    <row r="56" spans="1:17" ht="12.75">
      <c r="A56" s="178"/>
      <c r="B56" s="192" t="str">
        <f>[51]VALORIZACION!B39</f>
        <v>MURO DE CONTENCION (L=100 m).</v>
      </c>
      <c r="C56" s="186"/>
      <c r="D56" s="220"/>
      <c r="E56" s="186"/>
      <c r="F56" s="186"/>
      <c r="G56" s="187"/>
      <c r="H56" s="187"/>
      <c r="I56" s="187"/>
      <c r="J56" s="169"/>
      <c r="K56" s="188"/>
      <c r="L56" s="185"/>
      <c r="M56" s="189"/>
      <c r="N56" s="189"/>
      <c r="O56" s="189"/>
      <c r="Q56" s="189"/>
    </row>
    <row r="57" spans="1:17" ht="5.25" customHeight="1">
      <c r="A57" s="179"/>
      <c r="B57" s="180"/>
      <c r="C57" s="186"/>
      <c r="D57" s="181"/>
      <c r="E57" s="219"/>
      <c r="F57" s="182"/>
      <c r="G57" s="183"/>
      <c r="H57" s="183"/>
      <c r="I57" s="183"/>
      <c r="J57" s="184"/>
      <c r="K57" s="169"/>
      <c r="L57" s="185">
        <f t="shared" ref="L57:L72" si="12">SUM(E57:G57)</f>
        <v>0</v>
      </c>
      <c r="M57" s="189" t="e">
        <f t="shared" ref="M57:M72" si="13">E57/D57</f>
        <v>#DIV/0!</v>
      </c>
      <c r="N57" s="189" t="e">
        <f t="shared" ref="N57:N72" si="14">F57/D57</f>
        <v>#DIV/0!</v>
      </c>
      <c r="O57" s="189" t="e">
        <f t="shared" ref="O57:O72" si="15">M57+N57</f>
        <v>#DIV/0!</v>
      </c>
      <c r="P57" s="171">
        <f t="shared" ref="P57:P72" si="16">E57+F57+G57</f>
        <v>0</v>
      </c>
      <c r="Q57" s="189" t="e">
        <f t="shared" ref="Q57:Q72" si="17">P57/D57</f>
        <v>#DIV/0!</v>
      </c>
    </row>
    <row r="58" spans="1:17" ht="12.75">
      <c r="A58" s="176"/>
      <c r="B58" s="180" t="str">
        <f>[51]VALORIZACION!B40</f>
        <v>TRAZO, REPLANTEO Y CONTROL TOPOGRAFICO</v>
      </c>
      <c r="C58" s="186"/>
      <c r="D58" s="220">
        <f>+[51]RESUMEN!G26</f>
        <v>9213.36</v>
      </c>
      <c r="E58" s="443"/>
      <c r="F58" s="221"/>
      <c r="G58" s="187"/>
      <c r="H58" s="187"/>
      <c r="I58" s="187"/>
      <c r="J58" s="169"/>
      <c r="K58" s="188" t="str">
        <f>IF(L58=D58,"ok","falso")</f>
        <v>falso</v>
      </c>
      <c r="L58" s="185">
        <f t="shared" si="12"/>
        <v>0</v>
      </c>
      <c r="M58" s="189">
        <f t="shared" si="13"/>
        <v>0</v>
      </c>
      <c r="N58" s="189">
        <f t="shared" si="14"/>
        <v>0</v>
      </c>
      <c r="O58" s="189">
        <f t="shared" si="15"/>
        <v>0</v>
      </c>
      <c r="P58" s="171">
        <f t="shared" si="16"/>
        <v>0</v>
      </c>
      <c r="Q58" s="190">
        <f t="shared" si="17"/>
        <v>0</v>
      </c>
    </row>
    <row r="59" spans="1:17" ht="5.25" customHeight="1">
      <c r="A59" s="179"/>
      <c r="B59" s="180"/>
      <c r="C59" s="186"/>
      <c r="D59" s="181"/>
      <c r="E59" s="219"/>
      <c r="F59" s="182"/>
      <c r="G59" s="187"/>
      <c r="H59" s="187"/>
      <c r="I59" s="187"/>
      <c r="J59" s="184"/>
      <c r="K59" s="169"/>
      <c r="L59" s="185">
        <f t="shared" si="12"/>
        <v>0</v>
      </c>
      <c r="M59" s="189" t="e">
        <f t="shared" si="13"/>
        <v>#DIV/0!</v>
      </c>
      <c r="N59" s="189" t="e">
        <f t="shared" si="14"/>
        <v>#DIV/0!</v>
      </c>
      <c r="O59" s="189" t="e">
        <f t="shared" si="15"/>
        <v>#DIV/0!</v>
      </c>
      <c r="P59" s="171">
        <f t="shared" si="16"/>
        <v>0</v>
      </c>
      <c r="Q59" s="189" t="e">
        <f t="shared" si="17"/>
        <v>#DIV/0!</v>
      </c>
    </row>
    <row r="60" spans="1:17" ht="12.75">
      <c r="A60" s="176"/>
      <c r="B60" s="180" t="str">
        <f>[51]VALORIZACION!B41</f>
        <v xml:space="preserve"> EXCAVACIÓN NO CLASIFICADA PARA ESTRUCTURAS</v>
      </c>
      <c r="C60" s="186"/>
      <c r="D60" s="220">
        <f>+[51]RESUMEN!G28</f>
        <v>13500.68</v>
      </c>
      <c r="E60" s="186"/>
      <c r="F60" s="221"/>
      <c r="G60" s="187"/>
      <c r="H60" s="187"/>
      <c r="I60" s="187"/>
      <c r="J60" s="169"/>
      <c r="K60" s="188" t="str">
        <f>IF(L60=D60,"ok","falso")</f>
        <v>falso</v>
      </c>
      <c r="L60" s="185">
        <f t="shared" si="12"/>
        <v>0</v>
      </c>
      <c r="M60" s="189">
        <f t="shared" si="13"/>
        <v>0</v>
      </c>
      <c r="N60" s="189">
        <f t="shared" si="14"/>
        <v>0</v>
      </c>
      <c r="O60" s="189">
        <f t="shared" si="15"/>
        <v>0</v>
      </c>
      <c r="P60" s="171">
        <f t="shared" si="16"/>
        <v>0</v>
      </c>
      <c r="Q60" s="189">
        <f t="shared" si="17"/>
        <v>0</v>
      </c>
    </row>
    <row r="61" spans="1:17" ht="5.25" customHeight="1">
      <c r="A61" s="179"/>
      <c r="B61" s="180"/>
      <c r="C61" s="186"/>
      <c r="D61" s="181"/>
      <c r="E61" s="219"/>
      <c r="F61" s="182"/>
      <c r="G61" s="187"/>
      <c r="H61" s="187"/>
      <c r="I61" s="187"/>
      <c r="J61" s="184"/>
      <c r="K61" s="169"/>
      <c r="L61" s="185">
        <f t="shared" si="12"/>
        <v>0</v>
      </c>
      <c r="M61" s="189" t="e">
        <f t="shared" si="13"/>
        <v>#DIV/0!</v>
      </c>
      <c r="N61" s="189" t="e">
        <f t="shared" si="14"/>
        <v>#DIV/0!</v>
      </c>
      <c r="O61" s="189" t="e">
        <f t="shared" si="15"/>
        <v>#DIV/0!</v>
      </c>
      <c r="P61" s="171">
        <f t="shared" si="16"/>
        <v>0</v>
      </c>
      <c r="Q61" s="189" t="e">
        <f t="shared" si="17"/>
        <v>#DIV/0!</v>
      </c>
    </row>
    <row r="62" spans="1:17" ht="12.75">
      <c r="A62" s="176"/>
      <c r="B62" s="180" t="str">
        <f>[51]VALORIZACION!B42</f>
        <v>ENCOFRADO Y DESENCOFRADO PARA OBRAS DE ARTE</v>
      </c>
      <c r="C62" s="186"/>
      <c r="D62" s="220">
        <f>+[51]RESUMEN!G30</f>
        <v>80094.94</v>
      </c>
      <c r="E62" s="186"/>
      <c r="F62" s="221"/>
      <c r="G62" s="187"/>
      <c r="H62" s="187"/>
      <c r="I62" s="187"/>
      <c r="J62" s="169"/>
      <c r="K62" s="188" t="str">
        <f>IF(L62=D62,"ok","falso")</f>
        <v>falso</v>
      </c>
      <c r="L62" s="185">
        <f t="shared" si="12"/>
        <v>0</v>
      </c>
      <c r="M62" s="189">
        <f t="shared" si="13"/>
        <v>0</v>
      </c>
      <c r="N62" s="189">
        <f t="shared" si="14"/>
        <v>0</v>
      </c>
      <c r="O62" s="189">
        <f t="shared" si="15"/>
        <v>0</v>
      </c>
      <c r="P62" s="171">
        <f t="shared" si="16"/>
        <v>0</v>
      </c>
      <c r="Q62" s="189">
        <f t="shared" si="17"/>
        <v>0</v>
      </c>
    </row>
    <row r="63" spans="1:17" ht="5.25" customHeight="1">
      <c r="A63" s="179"/>
      <c r="B63" s="180"/>
      <c r="C63" s="186"/>
      <c r="D63" s="181"/>
      <c r="E63" s="219"/>
      <c r="F63" s="182"/>
      <c r="G63" s="187"/>
      <c r="H63" s="187"/>
      <c r="I63" s="187"/>
      <c r="J63" s="184"/>
      <c r="K63" s="169"/>
      <c r="L63" s="185">
        <f t="shared" si="12"/>
        <v>0</v>
      </c>
      <c r="M63" s="189" t="e">
        <f t="shared" si="13"/>
        <v>#DIV/0!</v>
      </c>
      <c r="N63" s="189" t="e">
        <f t="shared" si="14"/>
        <v>#DIV/0!</v>
      </c>
      <c r="O63" s="189" t="e">
        <f t="shared" si="15"/>
        <v>#DIV/0!</v>
      </c>
      <c r="P63" s="171">
        <f t="shared" si="16"/>
        <v>0</v>
      </c>
      <c r="Q63" s="189" t="e">
        <f t="shared" si="17"/>
        <v>#DIV/0!</v>
      </c>
    </row>
    <row r="64" spans="1:17" ht="12.75">
      <c r="A64" s="176"/>
      <c r="B64" s="180" t="str">
        <f>[51]VALORIZACION!B43</f>
        <v xml:space="preserve"> CONCRETO CICLOPEO f'c=175 kg/cm2 + 30% PM</v>
      </c>
      <c r="C64" s="186"/>
      <c r="D64" s="220">
        <f>+[51]RESUMEN!G32</f>
        <v>171613.41</v>
      </c>
      <c r="E64" s="186"/>
      <c r="F64" s="221"/>
      <c r="G64" s="187"/>
      <c r="H64" s="187"/>
      <c r="I64" s="187"/>
      <c r="J64" s="169"/>
      <c r="K64" s="188" t="str">
        <f>IF(L64=D64,"ok","falso")</f>
        <v>falso</v>
      </c>
      <c r="L64" s="185">
        <f t="shared" si="12"/>
        <v>0</v>
      </c>
      <c r="M64" s="189">
        <f t="shared" si="13"/>
        <v>0</v>
      </c>
      <c r="N64" s="189">
        <f t="shared" si="14"/>
        <v>0</v>
      </c>
      <c r="O64" s="189">
        <f t="shared" si="15"/>
        <v>0</v>
      </c>
      <c r="P64" s="171">
        <f t="shared" si="16"/>
        <v>0</v>
      </c>
      <c r="Q64" s="189">
        <f t="shared" si="17"/>
        <v>0</v>
      </c>
    </row>
    <row r="65" spans="1:17" ht="5.25" customHeight="1">
      <c r="A65" s="179"/>
      <c r="B65" s="180"/>
      <c r="C65" s="186"/>
      <c r="D65" s="181"/>
      <c r="E65" s="219"/>
      <c r="F65" s="182"/>
      <c r="G65" s="187"/>
      <c r="H65" s="187"/>
      <c r="I65" s="187"/>
      <c r="J65" s="184"/>
      <c r="K65" s="169"/>
      <c r="L65" s="185">
        <f t="shared" si="12"/>
        <v>0</v>
      </c>
      <c r="M65" s="189" t="e">
        <f t="shared" si="13"/>
        <v>#DIV/0!</v>
      </c>
      <c r="N65" s="189" t="e">
        <f t="shared" si="14"/>
        <v>#DIV/0!</v>
      </c>
      <c r="O65" s="189" t="e">
        <f t="shared" si="15"/>
        <v>#DIV/0!</v>
      </c>
      <c r="P65" s="171">
        <f t="shared" si="16"/>
        <v>0</v>
      </c>
      <c r="Q65" s="189" t="e">
        <f t="shared" si="17"/>
        <v>#DIV/0!</v>
      </c>
    </row>
    <row r="66" spans="1:17" ht="12.75">
      <c r="A66" s="176"/>
      <c r="B66" s="180" t="str">
        <f>[51]VALORIZACION!B44</f>
        <v xml:space="preserve"> TUBERIA DE PVC 2" PARA DRENAJE</v>
      </c>
      <c r="C66" s="186"/>
      <c r="D66" s="220">
        <f>+[51]RESUMEN!G34</f>
        <v>225423.43</v>
      </c>
      <c r="E66" s="186"/>
      <c r="F66" s="221"/>
      <c r="G66" s="187"/>
      <c r="H66" s="187"/>
      <c r="I66" s="187"/>
      <c r="J66" s="169"/>
      <c r="K66" s="188" t="str">
        <f>IF(L66=D66,"ok","falso")</f>
        <v>falso</v>
      </c>
      <c r="L66" s="185">
        <f t="shared" si="12"/>
        <v>0</v>
      </c>
      <c r="M66" s="189">
        <f t="shared" si="13"/>
        <v>0</v>
      </c>
      <c r="N66" s="189">
        <f t="shared" si="14"/>
        <v>0</v>
      </c>
      <c r="O66" s="189">
        <f t="shared" si="15"/>
        <v>0</v>
      </c>
      <c r="P66" s="171">
        <f t="shared" si="16"/>
        <v>0</v>
      </c>
      <c r="Q66" s="189">
        <f t="shared" si="17"/>
        <v>0</v>
      </c>
    </row>
    <row r="67" spans="1:17" ht="5.25" customHeight="1">
      <c r="A67" s="179"/>
      <c r="B67" s="180"/>
      <c r="C67" s="186"/>
      <c r="D67" s="181"/>
      <c r="E67" s="219"/>
      <c r="F67" s="182"/>
      <c r="G67" s="187"/>
      <c r="H67" s="187"/>
      <c r="I67" s="187"/>
      <c r="J67" s="184"/>
      <c r="K67" s="169"/>
      <c r="L67" s="185">
        <f t="shared" si="12"/>
        <v>0</v>
      </c>
      <c r="M67" s="189" t="e">
        <f t="shared" si="13"/>
        <v>#DIV/0!</v>
      </c>
      <c r="N67" s="189" t="e">
        <f t="shared" si="14"/>
        <v>#DIV/0!</v>
      </c>
      <c r="O67" s="189" t="e">
        <f t="shared" si="15"/>
        <v>#DIV/0!</v>
      </c>
      <c r="P67" s="171">
        <f t="shared" si="16"/>
        <v>0</v>
      </c>
      <c r="Q67" s="189" t="e">
        <f t="shared" si="17"/>
        <v>#DIV/0!</v>
      </c>
    </row>
    <row r="68" spans="1:17" ht="12.75">
      <c r="A68" s="176"/>
      <c r="B68" s="180" t="str">
        <f>[51]VALORIZACION!B45</f>
        <v>TUBERIA DE PVC 4" PARA DRENAJE</v>
      </c>
      <c r="C68" s="186"/>
      <c r="D68" s="220">
        <f>+[51]RESUMEN!G37</f>
        <v>0</v>
      </c>
      <c r="E68" s="186"/>
      <c r="F68" s="221"/>
      <c r="G68" s="187"/>
      <c r="H68" s="187"/>
      <c r="I68" s="187"/>
      <c r="J68" s="169"/>
      <c r="K68" s="188" t="str">
        <f>IF(L68=D68,"ok","falso")</f>
        <v>ok</v>
      </c>
      <c r="L68" s="185">
        <f t="shared" si="12"/>
        <v>0</v>
      </c>
      <c r="M68" s="189" t="e">
        <f t="shared" si="13"/>
        <v>#DIV/0!</v>
      </c>
      <c r="N68" s="189" t="e">
        <f t="shared" si="14"/>
        <v>#DIV/0!</v>
      </c>
      <c r="O68" s="189" t="e">
        <f t="shared" si="15"/>
        <v>#DIV/0!</v>
      </c>
      <c r="P68" s="171">
        <f t="shared" si="16"/>
        <v>0</v>
      </c>
      <c r="Q68" s="190" t="e">
        <f t="shared" si="17"/>
        <v>#DIV/0!</v>
      </c>
    </row>
    <row r="69" spans="1:17" ht="5.25" customHeight="1">
      <c r="A69" s="179"/>
      <c r="B69" s="180"/>
      <c r="C69" s="186"/>
      <c r="D69" s="181"/>
      <c r="E69" s="219"/>
      <c r="F69" s="182"/>
      <c r="G69" s="187"/>
      <c r="H69" s="187"/>
      <c r="I69" s="187"/>
      <c r="J69" s="184"/>
      <c r="K69" s="169"/>
      <c r="L69" s="185">
        <f t="shared" si="12"/>
        <v>0</v>
      </c>
      <c r="M69" s="189" t="e">
        <f t="shared" si="13"/>
        <v>#DIV/0!</v>
      </c>
      <c r="N69" s="189" t="e">
        <f t="shared" si="14"/>
        <v>#DIV/0!</v>
      </c>
      <c r="O69" s="189" t="e">
        <f t="shared" si="15"/>
        <v>#DIV/0!</v>
      </c>
      <c r="P69" s="171">
        <f t="shared" si="16"/>
        <v>0</v>
      </c>
      <c r="Q69" s="189" t="e">
        <f t="shared" si="17"/>
        <v>#DIV/0!</v>
      </c>
    </row>
    <row r="70" spans="1:17" ht="12.75">
      <c r="A70" s="176"/>
      <c r="B70" s="180" t="str">
        <f>[51]VALORIZACION!B46</f>
        <v xml:space="preserve"> JUNTAS DE DILATACIÓN CON TECKNOPORT EN MUROS DE C.</v>
      </c>
      <c r="C70" s="186"/>
      <c r="D70" s="220">
        <f>+[51]RESUMEN!G39</f>
        <v>0</v>
      </c>
      <c r="E70" s="186"/>
      <c r="F70" s="221"/>
      <c r="G70" s="187"/>
      <c r="H70" s="187"/>
      <c r="I70" s="187"/>
      <c r="J70" s="169"/>
      <c r="K70" s="188" t="str">
        <f>IF(L70=D70,"ok","falso")</f>
        <v>ok</v>
      </c>
      <c r="L70" s="185">
        <f t="shared" si="12"/>
        <v>0</v>
      </c>
      <c r="M70" s="189" t="e">
        <f t="shared" si="13"/>
        <v>#DIV/0!</v>
      </c>
      <c r="N70" s="189" t="e">
        <f t="shared" si="14"/>
        <v>#DIV/0!</v>
      </c>
      <c r="O70" s="189" t="e">
        <f t="shared" si="15"/>
        <v>#DIV/0!</v>
      </c>
      <c r="P70" s="171">
        <f t="shared" si="16"/>
        <v>0</v>
      </c>
      <c r="Q70" s="189" t="e">
        <f t="shared" si="17"/>
        <v>#DIV/0!</v>
      </c>
    </row>
    <row r="71" spans="1:17" ht="5.25" customHeight="1">
      <c r="A71" s="179"/>
      <c r="B71" s="180"/>
      <c r="C71" s="186"/>
      <c r="D71" s="181"/>
      <c r="E71" s="219"/>
      <c r="F71" s="182"/>
      <c r="G71" s="187"/>
      <c r="H71" s="187"/>
      <c r="I71" s="187"/>
      <c r="J71" s="184"/>
      <c r="K71" s="169"/>
      <c r="L71" s="185">
        <f t="shared" si="12"/>
        <v>0</v>
      </c>
      <c r="M71" s="189" t="e">
        <f t="shared" si="13"/>
        <v>#DIV/0!</v>
      </c>
      <c r="N71" s="189" t="e">
        <f t="shared" si="14"/>
        <v>#DIV/0!</v>
      </c>
      <c r="O71" s="189" t="e">
        <f t="shared" si="15"/>
        <v>#DIV/0!</v>
      </c>
      <c r="P71" s="171">
        <f t="shared" si="16"/>
        <v>0</v>
      </c>
      <c r="Q71" s="189" t="e">
        <f t="shared" si="17"/>
        <v>#DIV/0!</v>
      </c>
    </row>
    <row r="72" spans="1:17" ht="12.75">
      <c r="A72" s="176"/>
      <c r="B72" s="180" t="str">
        <f>[51]VALORIZACION!B47</f>
        <v xml:space="preserve"> RELLENO PARA ESTRUCTURAS CON MATERIAL PROPIO</v>
      </c>
      <c r="C72" s="186"/>
      <c r="D72" s="220">
        <f>+[51]RESUMEN!G41</f>
        <v>0</v>
      </c>
      <c r="E72" s="186"/>
      <c r="F72" s="221"/>
      <c r="G72" s="187"/>
      <c r="H72" s="187"/>
      <c r="I72" s="187"/>
      <c r="J72" s="169"/>
      <c r="K72" s="188" t="str">
        <f>IF(L72=D72,"ok","falso")</f>
        <v>ok</v>
      </c>
      <c r="L72" s="185">
        <f t="shared" si="12"/>
        <v>0</v>
      </c>
      <c r="M72" s="189" t="e">
        <f t="shared" si="13"/>
        <v>#DIV/0!</v>
      </c>
      <c r="N72" s="189" t="e">
        <f t="shared" si="14"/>
        <v>#DIV/0!</v>
      </c>
      <c r="O72" s="189" t="e">
        <f t="shared" si="15"/>
        <v>#DIV/0!</v>
      </c>
      <c r="P72" s="171">
        <f t="shared" si="16"/>
        <v>0</v>
      </c>
      <c r="Q72" s="189" t="e">
        <f t="shared" si="17"/>
        <v>#DIV/0!</v>
      </c>
    </row>
    <row r="73" spans="1:17" ht="5.25" customHeight="1">
      <c r="A73" s="179"/>
      <c r="B73" s="180"/>
      <c r="C73" s="186"/>
      <c r="D73" s="181"/>
      <c r="E73" s="219"/>
      <c r="F73" s="182"/>
      <c r="G73" s="183"/>
      <c r="H73" s="183"/>
      <c r="I73" s="183"/>
      <c r="J73" s="184"/>
      <c r="K73" s="169"/>
      <c r="L73" s="185"/>
      <c r="M73" s="189"/>
      <c r="N73" s="189"/>
      <c r="O73" s="189"/>
      <c r="Q73" s="189"/>
    </row>
    <row r="74" spans="1:17" ht="12.75">
      <c r="A74" s="178"/>
      <c r="B74" s="192" t="str">
        <f>[51]VALORIZACION!B48</f>
        <v xml:space="preserve">                CUNETAS SIN REVESTIR</v>
      </c>
      <c r="C74" s="186"/>
      <c r="D74" s="220"/>
      <c r="E74" s="186"/>
      <c r="F74" s="186"/>
      <c r="G74" s="187"/>
      <c r="H74" s="187"/>
      <c r="I74" s="187"/>
      <c r="J74" s="169"/>
      <c r="K74" s="188"/>
      <c r="L74" s="185"/>
      <c r="M74" s="189"/>
      <c r="N74" s="189"/>
      <c r="O74" s="189"/>
      <c r="Q74" s="189"/>
    </row>
    <row r="75" spans="1:17" ht="5.25" customHeight="1">
      <c r="A75" s="179"/>
      <c r="B75" s="180"/>
      <c r="C75" s="186"/>
      <c r="D75" s="181"/>
      <c r="E75" s="219"/>
      <c r="F75" s="182"/>
      <c r="G75" s="183"/>
      <c r="H75" s="183"/>
      <c r="I75" s="183"/>
      <c r="J75" s="184"/>
      <c r="K75" s="169"/>
      <c r="L75" s="185">
        <f t="shared" ref="L75:L80" si="18">SUM(E75:G75)</f>
        <v>0</v>
      </c>
      <c r="M75" s="189" t="e">
        <f t="shared" ref="M75:M80" si="19">E75/D75</f>
        <v>#DIV/0!</v>
      </c>
      <c r="N75" s="189" t="e">
        <f t="shared" ref="N75:N80" si="20">F75/D75</f>
        <v>#DIV/0!</v>
      </c>
      <c r="O75" s="189" t="e">
        <f t="shared" ref="O75:O80" si="21">M75+N75</f>
        <v>#DIV/0!</v>
      </c>
      <c r="P75" s="171">
        <f t="shared" ref="P75:P80" si="22">E75+F75+G75</f>
        <v>0</v>
      </c>
      <c r="Q75" s="189" t="e">
        <f t="shared" ref="Q75:Q80" si="23">P75/D75</f>
        <v>#DIV/0!</v>
      </c>
    </row>
    <row r="76" spans="1:17" ht="12.75">
      <c r="A76" s="176"/>
      <c r="B76" s="180" t="str">
        <f>[51]VALORIZACION!B49</f>
        <v xml:space="preserve"> CONFORMACIÓN Y PERFILADO DE CUNETAS (MATERIAL SUELTO)</v>
      </c>
      <c r="C76" s="186"/>
      <c r="D76" s="220">
        <f>+[51]RESUMEN!G43</f>
        <v>3202637.94</v>
      </c>
      <c r="E76" s="186"/>
      <c r="F76" s="186"/>
      <c r="G76" s="450"/>
      <c r="H76" s="450"/>
      <c r="I76" s="450"/>
      <c r="J76" s="169"/>
      <c r="K76" s="188" t="str">
        <f>IF(L76=D76,"ok","falso")</f>
        <v>falso</v>
      </c>
      <c r="L76" s="185">
        <f t="shared" si="18"/>
        <v>0</v>
      </c>
      <c r="M76" s="189">
        <f t="shared" si="19"/>
        <v>0</v>
      </c>
      <c r="N76" s="189">
        <f t="shared" si="20"/>
        <v>0</v>
      </c>
      <c r="O76" s="189">
        <f t="shared" si="21"/>
        <v>0</v>
      </c>
      <c r="P76" s="171">
        <f t="shared" si="22"/>
        <v>0</v>
      </c>
      <c r="Q76" s="189">
        <f t="shared" si="23"/>
        <v>0</v>
      </c>
    </row>
    <row r="77" spans="1:17" ht="5.25" customHeight="1">
      <c r="A77" s="179"/>
      <c r="B77" s="180"/>
      <c r="C77" s="186"/>
      <c r="D77" s="181"/>
      <c r="E77" s="219"/>
      <c r="F77" s="182"/>
      <c r="G77" s="183"/>
      <c r="H77" s="183"/>
      <c r="I77" s="183"/>
      <c r="J77" s="184"/>
      <c r="K77" s="169"/>
      <c r="L77" s="185">
        <f t="shared" si="18"/>
        <v>0</v>
      </c>
      <c r="M77" s="189" t="e">
        <f t="shared" si="19"/>
        <v>#DIV/0!</v>
      </c>
      <c r="N77" s="189" t="e">
        <f t="shared" si="20"/>
        <v>#DIV/0!</v>
      </c>
      <c r="O77" s="189" t="e">
        <f t="shared" si="21"/>
        <v>#DIV/0!</v>
      </c>
      <c r="P77" s="171">
        <f t="shared" si="22"/>
        <v>0</v>
      </c>
      <c r="Q77" s="189" t="e">
        <f t="shared" si="23"/>
        <v>#DIV/0!</v>
      </c>
    </row>
    <row r="78" spans="1:17" ht="12.75">
      <c r="A78" s="176"/>
      <c r="B78" s="180" t="str">
        <f>[51]VALORIZACION!B50</f>
        <v xml:space="preserve"> CONFORMACIÓN Y PERFILADO DE CUNETAS (ROCA SUELTA)</v>
      </c>
      <c r="C78" s="186"/>
      <c r="D78" s="220">
        <f>+[51]RESUMEN!G45</f>
        <v>64052.76</v>
      </c>
      <c r="E78" s="186"/>
      <c r="F78" s="186"/>
      <c r="G78" s="450"/>
      <c r="H78" s="450"/>
      <c r="I78" s="450"/>
      <c r="J78" s="169"/>
      <c r="K78" s="188" t="str">
        <f>IF(L78=D78,"ok","falso")</f>
        <v>falso</v>
      </c>
      <c r="L78" s="185">
        <f t="shared" si="18"/>
        <v>0</v>
      </c>
      <c r="M78" s="189">
        <f t="shared" si="19"/>
        <v>0</v>
      </c>
      <c r="N78" s="189">
        <f t="shared" si="20"/>
        <v>0</v>
      </c>
      <c r="O78" s="189">
        <f t="shared" si="21"/>
        <v>0</v>
      </c>
      <c r="P78" s="171">
        <f t="shared" si="22"/>
        <v>0</v>
      </c>
      <c r="Q78" s="189">
        <f t="shared" si="23"/>
        <v>0</v>
      </c>
    </row>
    <row r="79" spans="1:17" ht="5.25" customHeight="1">
      <c r="A79" s="179"/>
      <c r="B79" s="180"/>
      <c r="C79" s="186"/>
      <c r="D79" s="181"/>
      <c r="E79" s="219"/>
      <c r="F79" s="182"/>
      <c r="G79" s="183"/>
      <c r="H79" s="183"/>
      <c r="I79" s="183"/>
      <c r="J79" s="184"/>
      <c r="K79" s="169"/>
      <c r="L79" s="185">
        <f t="shared" si="18"/>
        <v>0</v>
      </c>
      <c r="M79" s="189" t="e">
        <f t="shared" si="19"/>
        <v>#DIV/0!</v>
      </c>
      <c r="N79" s="189" t="e">
        <f t="shared" si="20"/>
        <v>#DIV/0!</v>
      </c>
      <c r="O79" s="189" t="e">
        <f t="shared" si="21"/>
        <v>#DIV/0!</v>
      </c>
      <c r="P79" s="171">
        <f t="shared" si="22"/>
        <v>0</v>
      </c>
      <c r="Q79" s="189" t="e">
        <f t="shared" si="23"/>
        <v>#DIV/0!</v>
      </c>
    </row>
    <row r="80" spans="1:17" ht="12.75">
      <c r="A80" s="176"/>
      <c r="B80" s="180" t="str">
        <f>[51]VALORIZACION!B51</f>
        <v>CONFORMACIÓN Y PERFILADO DE CUNETAS (ROCA FIJA)</v>
      </c>
      <c r="C80" s="186"/>
      <c r="D80" s="220">
        <f>+[51]RESUMEN!G47</f>
        <v>616828.06999999995</v>
      </c>
      <c r="E80" s="186"/>
      <c r="F80" s="186"/>
      <c r="G80" s="450"/>
      <c r="H80" s="450"/>
      <c r="I80" s="450"/>
      <c r="J80" s="169"/>
      <c r="K80" s="188" t="str">
        <f>IF(L80=D80,"ok","falso")</f>
        <v>falso</v>
      </c>
      <c r="L80" s="185">
        <f t="shared" si="18"/>
        <v>0</v>
      </c>
      <c r="M80" s="189">
        <f t="shared" si="19"/>
        <v>0</v>
      </c>
      <c r="N80" s="189">
        <f t="shared" si="20"/>
        <v>0</v>
      </c>
      <c r="O80" s="189">
        <f t="shared" si="21"/>
        <v>0</v>
      </c>
      <c r="P80" s="171">
        <f t="shared" si="22"/>
        <v>0</v>
      </c>
      <c r="Q80" s="189">
        <f t="shared" si="23"/>
        <v>0</v>
      </c>
    </row>
    <row r="81" spans="1:17" ht="5.25" customHeight="1">
      <c r="A81" s="179"/>
      <c r="B81" s="180"/>
      <c r="C81" s="186"/>
      <c r="D81" s="181"/>
      <c r="E81" s="219"/>
      <c r="F81" s="182"/>
      <c r="G81" s="183"/>
      <c r="H81" s="183"/>
      <c r="I81" s="183"/>
      <c r="J81" s="184"/>
      <c r="K81" s="169"/>
      <c r="L81" s="185"/>
      <c r="M81" s="189"/>
      <c r="N81" s="189"/>
      <c r="O81" s="189"/>
      <c r="Q81" s="189"/>
    </row>
    <row r="82" spans="1:17" ht="12.75" hidden="1" customHeight="1">
      <c r="A82" s="178"/>
      <c r="B82" s="191" t="str">
        <f>[51]VALORIZACION!B52</f>
        <v xml:space="preserve">            PUENTE TABLERO SECCIÓN COMPUESTA.</v>
      </c>
      <c r="C82" s="186"/>
      <c r="D82" s="220"/>
      <c r="E82" s="186"/>
      <c r="F82" s="186"/>
      <c r="G82" s="187"/>
      <c r="H82" s="187"/>
      <c r="I82" s="187"/>
      <c r="J82" s="169"/>
      <c r="K82" s="188"/>
      <c r="L82" s="185"/>
      <c r="M82" s="189"/>
      <c r="N82" s="189"/>
      <c r="O82" s="189"/>
      <c r="Q82" s="189"/>
    </row>
    <row r="83" spans="1:17" ht="12.75" hidden="1" customHeight="1">
      <c r="A83" s="178"/>
      <c r="B83" s="192" t="str">
        <f>[51]VALORIZACION!B53</f>
        <v xml:space="preserve">                TRABAJOS PRELIMINARES.</v>
      </c>
      <c r="C83" s="186"/>
      <c r="D83" s="220"/>
      <c r="E83" s="186"/>
      <c r="F83" s="186"/>
      <c r="G83" s="187"/>
      <c r="H83" s="187"/>
      <c r="I83" s="187"/>
      <c r="J83" s="169"/>
      <c r="K83" s="188"/>
      <c r="L83" s="185"/>
      <c r="M83" s="189"/>
      <c r="N83" s="189"/>
      <c r="O83" s="189"/>
      <c r="Q83" s="189"/>
    </row>
    <row r="84" spans="1:17" ht="5.25" hidden="1" customHeight="1">
      <c r="A84" s="179"/>
      <c r="B84" s="180"/>
      <c r="C84" s="186"/>
      <c r="D84" s="181"/>
      <c r="E84" s="219"/>
      <c r="F84" s="182"/>
      <c r="G84" s="183"/>
      <c r="H84" s="183"/>
      <c r="I84" s="183"/>
      <c r="J84" s="184"/>
      <c r="K84" s="169"/>
      <c r="L84" s="185"/>
      <c r="M84" s="189"/>
      <c r="N84" s="189"/>
      <c r="O84" s="189"/>
      <c r="Q84" s="189"/>
    </row>
    <row r="85" spans="1:17" ht="5.25" hidden="1" customHeight="1">
      <c r="A85" s="179"/>
      <c r="B85" s="180"/>
      <c r="C85" s="186"/>
      <c r="D85" s="181"/>
      <c r="E85" s="219"/>
      <c r="F85" s="182"/>
      <c r="G85" s="183"/>
      <c r="H85" s="183"/>
      <c r="I85" s="183"/>
      <c r="J85" s="184"/>
      <c r="K85" s="169"/>
      <c r="L85" s="185">
        <f t="shared" ref="L85:L90" si="24">SUM(E85:G85)</f>
        <v>0</v>
      </c>
      <c r="M85" s="189" t="e">
        <f t="shared" ref="M85:M90" si="25">E85/D85</f>
        <v>#DIV/0!</v>
      </c>
      <c r="N85" s="189" t="e">
        <f t="shared" ref="N85:N90" si="26">F85/D85</f>
        <v>#DIV/0!</v>
      </c>
      <c r="O85" s="189" t="e">
        <f t="shared" ref="O85:O90" si="27">M85+N85</f>
        <v>#DIV/0!</v>
      </c>
      <c r="P85" s="171">
        <f t="shared" ref="P85:P90" si="28">E85+F85+G85</f>
        <v>0</v>
      </c>
      <c r="Q85" s="189" t="e">
        <f t="shared" ref="Q85:Q90" si="29">P85/D85</f>
        <v>#DIV/0!</v>
      </c>
    </row>
    <row r="86" spans="1:17" ht="12.75" hidden="1" customHeight="1">
      <c r="A86" s="176"/>
      <c r="B86" s="180" t="str">
        <f>[51]VALORIZACION!B54</f>
        <v xml:space="preserve"> LIMPIEZA MANUAL DE TERRENO</v>
      </c>
      <c r="C86" s="186"/>
      <c r="D86" s="220">
        <f>+[51]RESUMEN!G49</f>
        <v>0</v>
      </c>
      <c r="E86" s="186"/>
      <c r="F86" s="186"/>
      <c r="G86" s="187"/>
      <c r="H86" s="187"/>
      <c r="I86" s="187"/>
      <c r="J86" s="169"/>
      <c r="K86" s="188" t="str">
        <f>IF(L86=D86,"ok","falso")</f>
        <v>ok</v>
      </c>
      <c r="L86" s="185">
        <f t="shared" si="24"/>
        <v>0</v>
      </c>
      <c r="M86" s="189" t="e">
        <f t="shared" si="25"/>
        <v>#DIV/0!</v>
      </c>
      <c r="N86" s="189" t="e">
        <f t="shared" si="26"/>
        <v>#DIV/0!</v>
      </c>
      <c r="O86" s="189" t="e">
        <f t="shared" si="27"/>
        <v>#DIV/0!</v>
      </c>
      <c r="P86" s="171">
        <f t="shared" si="28"/>
        <v>0</v>
      </c>
      <c r="Q86" s="189" t="e">
        <f t="shared" si="29"/>
        <v>#DIV/0!</v>
      </c>
    </row>
    <row r="87" spans="1:17" ht="5.25" hidden="1" customHeight="1">
      <c r="A87" s="179"/>
      <c r="B87" s="180"/>
      <c r="C87" s="186"/>
      <c r="D87" s="181"/>
      <c r="E87" s="219"/>
      <c r="F87" s="182"/>
      <c r="G87" s="183"/>
      <c r="H87" s="183"/>
      <c r="I87" s="183"/>
      <c r="J87" s="184"/>
      <c r="K87" s="169"/>
      <c r="L87" s="185">
        <f t="shared" si="24"/>
        <v>0</v>
      </c>
      <c r="M87" s="189" t="e">
        <f t="shared" si="25"/>
        <v>#DIV/0!</v>
      </c>
      <c r="N87" s="189" t="e">
        <f t="shared" si="26"/>
        <v>#DIV/0!</v>
      </c>
      <c r="O87" s="189" t="e">
        <f t="shared" si="27"/>
        <v>#DIV/0!</v>
      </c>
      <c r="P87" s="171">
        <f t="shared" si="28"/>
        <v>0</v>
      </c>
      <c r="Q87" s="189" t="e">
        <f t="shared" si="29"/>
        <v>#DIV/0!</v>
      </c>
    </row>
    <row r="88" spans="1:17" ht="12.75" hidden="1" customHeight="1">
      <c r="A88" s="176"/>
      <c r="B88" s="180" t="str">
        <f>[51]VALORIZACION!B55</f>
        <v>TRAZO, REPLANTEO Y CONTROL TOPOGRAFICO</v>
      </c>
      <c r="C88" s="186"/>
      <c r="D88" s="220">
        <f>+[51]RESUMEN!G51</f>
        <v>0</v>
      </c>
      <c r="E88" s="186"/>
      <c r="F88" s="186"/>
      <c r="G88" s="187"/>
      <c r="H88" s="187"/>
      <c r="I88" s="187"/>
      <c r="J88" s="169"/>
      <c r="K88" s="188" t="str">
        <f>IF(L88=D88,"ok","falso")</f>
        <v>ok</v>
      </c>
      <c r="L88" s="185">
        <f t="shared" si="24"/>
        <v>0</v>
      </c>
      <c r="M88" s="189" t="e">
        <f t="shared" si="25"/>
        <v>#DIV/0!</v>
      </c>
      <c r="N88" s="189" t="e">
        <f t="shared" si="26"/>
        <v>#DIV/0!</v>
      </c>
      <c r="O88" s="189" t="e">
        <f t="shared" si="27"/>
        <v>#DIV/0!</v>
      </c>
      <c r="P88" s="171">
        <f t="shared" si="28"/>
        <v>0</v>
      </c>
      <c r="Q88" s="189" t="e">
        <f t="shared" si="29"/>
        <v>#DIV/0!</v>
      </c>
    </row>
    <row r="89" spans="1:17" ht="5.25" hidden="1" customHeight="1">
      <c r="A89" s="179"/>
      <c r="B89" s="180"/>
      <c r="C89" s="186"/>
      <c r="D89" s="181"/>
      <c r="E89" s="219"/>
      <c r="F89" s="182"/>
      <c r="G89" s="183"/>
      <c r="H89" s="183"/>
      <c r="I89" s="183"/>
      <c r="J89" s="184"/>
      <c r="K89" s="169"/>
      <c r="L89" s="185">
        <f t="shared" si="24"/>
        <v>0</v>
      </c>
      <c r="M89" s="189" t="e">
        <f t="shared" si="25"/>
        <v>#DIV/0!</v>
      </c>
      <c r="N89" s="189" t="e">
        <f t="shared" si="26"/>
        <v>#DIV/0!</v>
      </c>
      <c r="O89" s="189" t="e">
        <f t="shared" si="27"/>
        <v>#DIV/0!</v>
      </c>
      <c r="P89" s="171">
        <f t="shared" si="28"/>
        <v>0</v>
      </c>
      <c r="Q89" s="189" t="e">
        <f t="shared" si="29"/>
        <v>#DIV/0!</v>
      </c>
    </row>
    <row r="90" spans="1:17" ht="12.75" hidden="1" customHeight="1">
      <c r="A90" s="176"/>
      <c r="B90" s="180" t="str">
        <f>[51]VALORIZACION!B56</f>
        <v>FLETE TERRESTRE DE MATERIALES A OBRA (PUENTE)</v>
      </c>
      <c r="C90" s="186"/>
      <c r="D90" s="220">
        <f>+[51]RESUMEN!G53</f>
        <v>0</v>
      </c>
      <c r="E90" s="186"/>
      <c r="F90" s="186"/>
      <c r="G90" s="187"/>
      <c r="H90" s="187"/>
      <c r="I90" s="187"/>
      <c r="J90" s="169"/>
      <c r="K90" s="188" t="str">
        <f>IF(L90=D90,"ok","falso")</f>
        <v>ok</v>
      </c>
      <c r="L90" s="185">
        <f t="shared" si="24"/>
        <v>0</v>
      </c>
      <c r="M90" s="189" t="e">
        <f t="shared" si="25"/>
        <v>#DIV/0!</v>
      </c>
      <c r="N90" s="189" t="e">
        <f t="shared" si="26"/>
        <v>#DIV/0!</v>
      </c>
      <c r="O90" s="189" t="e">
        <f t="shared" si="27"/>
        <v>#DIV/0!</v>
      </c>
      <c r="P90" s="171">
        <f t="shared" si="28"/>
        <v>0</v>
      </c>
      <c r="Q90" s="189" t="e">
        <f t="shared" si="29"/>
        <v>#DIV/0!</v>
      </c>
    </row>
    <row r="91" spans="1:17" ht="5.25" hidden="1" customHeight="1">
      <c r="A91" s="179"/>
      <c r="B91" s="180"/>
      <c r="C91" s="186"/>
      <c r="D91" s="181"/>
      <c r="E91" s="219"/>
      <c r="F91" s="182"/>
      <c r="G91" s="183"/>
      <c r="H91" s="183"/>
      <c r="I91" s="183"/>
      <c r="J91" s="184"/>
      <c r="K91" s="169"/>
      <c r="L91" s="185"/>
      <c r="M91" s="189"/>
      <c r="N91" s="189"/>
      <c r="O91" s="189"/>
      <c r="Q91" s="189"/>
    </row>
    <row r="92" spans="1:17" ht="12.75" hidden="1" customHeight="1">
      <c r="A92" s="178"/>
      <c r="B92" s="192" t="str">
        <f>[51]VALORIZACION!B57</f>
        <v xml:space="preserve">                MOVIMIENTO DE TIERRAS</v>
      </c>
      <c r="C92" s="186"/>
      <c r="D92" s="220"/>
      <c r="E92" s="186"/>
      <c r="F92" s="186"/>
      <c r="G92" s="187"/>
      <c r="H92" s="187"/>
      <c r="I92" s="187"/>
      <c r="J92" s="169"/>
      <c r="K92" s="188"/>
      <c r="L92" s="185"/>
      <c r="M92" s="189"/>
      <c r="N92" s="189"/>
      <c r="O92" s="189"/>
      <c r="Q92" s="189"/>
    </row>
    <row r="93" spans="1:17" ht="5.25" hidden="1" customHeight="1">
      <c r="A93" s="179"/>
      <c r="B93" s="180"/>
      <c r="C93" s="186"/>
      <c r="D93" s="181"/>
      <c r="E93" s="219"/>
      <c r="F93" s="182"/>
      <c r="G93" s="183"/>
      <c r="H93" s="183"/>
      <c r="I93" s="183"/>
      <c r="J93" s="184"/>
      <c r="K93" s="169"/>
      <c r="L93" s="185">
        <f t="shared" ref="L93:L98" si="30">SUM(E93:G93)</f>
        <v>0</v>
      </c>
      <c r="M93" s="189" t="e">
        <f t="shared" ref="M93:M98" si="31">E93/D93</f>
        <v>#DIV/0!</v>
      </c>
      <c r="N93" s="189" t="e">
        <f t="shared" ref="N93:N98" si="32">F93/D93</f>
        <v>#DIV/0!</v>
      </c>
      <c r="O93" s="189" t="e">
        <f t="shared" ref="O93:O98" si="33">M93+N93</f>
        <v>#DIV/0!</v>
      </c>
      <c r="P93" s="171">
        <f t="shared" ref="P93:P98" si="34">E93+F93+G93</f>
        <v>0</v>
      </c>
      <c r="Q93" s="189" t="e">
        <f t="shared" ref="Q93:Q98" si="35">P93/D93</f>
        <v>#DIV/0!</v>
      </c>
    </row>
    <row r="94" spans="1:17" ht="12.75" hidden="1" customHeight="1">
      <c r="A94" s="176"/>
      <c r="B94" s="180" t="str">
        <f>[51]VALORIZACION!B58</f>
        <v xml:space="preserve"> EXCAVACIONES.</v>
      </c>
      <c r="C94" s="186"/>
      <c r="D94" s="220">
        <f>+[51]RESUMEN!G55</f>
        <v>0</v>
      </c>
      <c r="E94" s="186"/>
      <c r="F94" s="186"/>
      <c r="G94" s="187"/>
      <c r="H94" s="187"/>
      <c r="I94" s="187"/>
      <c r="J94" s="169"/>
      <c r="K94" s="188" t="str">
        <f>IF(L94=D94,"ok","falso")</f>
        <v>ok</v>
      </c>
      <c r="L94" s="185">
        <f t="shared" si="30"/>
        <v>0</v>
      </c>
      <c r="M94" s="189" t="e">
        <f t="shared" si="31"/>
        <v>#DIV/0!</v>
      </c>
      <c r="N94" s="189" t="e">
        <f t="shared" si="32"/>
        <v>#DIV/0!</v>
      </c>
      <c r="O94" s="189" t="e">
        <f t="shared" si="33"/>
        <v>#DIV/0!</v>
      </c>
      <c r="P94" s="171">
        <f t="shared" si="34"/>
        <v>0</v>
      </c>
      <c r="Q94" s="189" t="e">
        <f t="shared" si="35"/>
        <v>#DIV/0!</v>
      </c>
    </row>
    <row r="95" spans="1:17" ht="5.25" hidden="1" customHeight="1">
      <c r="A95" s="179"/>
      <c r="B95" s="180"/>
      <c r="C95" s="186"/>
      <c r="D95" s="181"/>
      <c r="E95" s="219"/>
      <c r="F95" s="182"/>
      <c r="G95" s="183"/>
      <c r="H95" s="183"/>
      <c r="I95" s="183"/>
      <c r="J95" s="184"/>
      <c r="K95" s="169"/>
      <c r="L95" s="185">
        <f t="shared" si="30"/>
        <v>0</v>
      </c>
      <c r="M95" s="189" t="e">
        <f t="shared" si="31"/>
        <v>#DIV/0!</v>
      </c>
      <c r="N95" s="189" t="e">
        <f t="shared" si="32"/>
        <v>#DIV/0!</v>
      </c>
      <c r="O95" s="189" t="e">
        <f t="shared" si="33"/>
        <v>#DIV/0!</v>
      </c>
      <c r="P95" s="171">
        <f t="shared" si="34"/>
        <v>0</v>
      </c>
      <c r="Q95" s="189" t="e">
        <f t="shared" si="35"/>
        <v>#DIV/0!</v>
      </c>
    </row>
    <row r="96" spans="1:17" ht="12.75" hidden="1" customHeight="1">
      <c r="A96" s="176"/>
      <c r="B96" s="180" t="str">
        <f>[51]VALORIZACION!B59</f>
        <v xml:space="preserve"> EXCAVACIÓN EN SECO CON MAQUINARIA</v>
      </c>
      <c r="C96" s="186"/>
      <c r="D96" s="220">
        <f>+[51]RESUMEN!G57</f>
        <v>0</v>
      </c>
      <c r="E96" s="186"/>
      <c r="F96" s="186"/>
      <c r="G96" s="187"/>
      <c r="H96" s="187"/>
      <c r="I96" s="187"/>
      <c r="J96" s="169"/>
      <c r="K96" s="188" t="str">
        <f>IF(L96=D96,"ok","falso")</f>
        <v>ok</v>
      </c>
      <c r="L96" s="185">
        <f t="shared" si="30"/>
        <v>0</v>
      </c>
      <c r="M96" s="189" t="e">
        <f t="shared" si="31"/>
        <v>#DIV/0!</v>
      </c>
      <c r="N96" s="189" t="e">
        <f t="shared" si="32"/>
        <v>#DIV/0!</v>
      </c>
      <c r="O96" s="189" t="e">
        <f t="shared" si="33"/>
        <v>#DIV/0!</v>
      </c>
      <c r="P96" s="171">
        <f t="shared" si="34"/>
        <v>0</v>
      </c>
      <c r="Q96" s="189" t="e">
        <f t="shared" si="35"/>
        <v>#DIV/0!</v>
      </c>
    </row>
    <row r="97" spans="1:17" ht="5.25" hidden="1" customHeight="1">
      <c r="A97" s="179"/>
      <c r="B97" s="180"/>
      <c r="C97" s="186"/>
      <c r="D97" s="181"/>
      <c r="E97" s="219"/>
      <c r="F97" s="182"/>
      <c r="G97" s="183"/>
      <c r="H97" s="183"/>
      <c r="I97" s="183"/>
      <c r="J97" s="184"/>
      <c r="K97" s="169"/>
      <c r="L97" s="185">
        <f t="shared" si="30"/>
        <v>0</v>
      </c>
      <c r="M97" s="189" t="e">
        <f t="shared" si="31"/>
        <v>#DIV/0!</v>
      </c>
      <c r="N97" s="189" t="e">
        <f t="shared" si="32"/>
        <v>#DIV/0!</v>
      </c>
      <c r="O97" s="189" t="e">
        <f t="shared" si="33"/>
        <v>#DIV/0!</v>
      </c>
      <c r="P97" s="171">
        <f t="shared" si="34"/>
        <v>0</v>
      </c>
      <c r="Q97" s="189" t="e">
        <f t="shared" si="35"/>
        <v>#DIV/0!</v>
      </c>
    </row>
    <row r="98" spans="1:17" ht="12.75" hidden="1" customHeight="1">
      <c r="A98" s="176"/>
      <c r="B98" s="180" t="str">
        <f>[51]VALORIZACION!B60</f>
        <v>EXCAVACIÓN BAJO AGUA CON MAQUINARIA</v>
      </c>
      <c r="C98" s="186"/>
      <c r="D98" s="220">
        <f>+[51]RESUMEN!G59</f>
        <v>0</v>
      </c>
      <c r="E98" s="186"/>
      <c r="F98" s="186"/>
      <c r="G98" s="187"/>
      <c r="H98" s="187"/>
      <c r="I98" s="187"/>
      <c r="J98" s="169"/>
      <c r="K98" s="188" t="str">
        <f>IF(L98=D98,"ok","falso")</f>
        <v>ok</v>
      </c>
      <c r="L98" s="185">
        <f t="shared" si="30"/>
        <v>0</v>
      </c>
      <c r="M98" s="189" t="e">
        <f t="shared" si="31"/>
        <v>#DIV/0!</v>
      </c>
      <c r="N98" s="189" t="e">
        <f t="shared" si="32"/>
        <v>#DIV/0!</v>
      </c>
      <c r="O98" s="189" t="e">
        <f t="shared" si="33"/>
        <v>#DIV/0!</v>
      </c>
      <c r="P98" s="171">
        <f t="shared" si="34"/>
        <v>0</v>
      </c>
      <c r="Q98" s="189" t="e">
        <f t="shared" si="35"/>
        <v>#DIV/0!</v>
      </c>
    </row>
    <row r="99" spans="1:17" ht="5.25" hidden="1" customHeight="1">
      <c r="A99" s="179"/>
      <c r="B99" s="180"/>
      <c r="C99" s="186"/>
      <c r="D99" s="181"/>
      <c r="E99" s="219"/>
      <c r="F99" s="182"/>
      <c r="G99" s="183"/>
      <c r="H99" s="183"/>
      <c r="I99" s="183"/>
      <c r="J99" s="184"/>
      <c r="K99" s="169"/>
      <c r="L99" s="185"/>
      <c r="M99" s="189"/>
      <c r="N99" s="189"/>
      <c r="O99" s="189"/>
      <c r="Q99" s="189"/>
    </row>
    <row r="100" spans="1:17" ht="12.75" hidden="1" customHeight="1">
      <c r="A100" s="178"/>
      <c r="B100" s="180" t="str">
        <f>[51]VALORIZACION!B61</f>
        <v xml:space="preserve"> EXCAVACIÓN BAJO AGUA MANUAL</v>
      </c>
      <c r="C100" s="186"/>
      <c r="D100" s="220">
        <f>+[51]RESUMEN!G61</f>
        <v>0</v>
      </c>
      <c r="E100" s="186"/>
      <c r="F100" s="186"/>
      <c r="G100" s="187"/>
      <c r="H100" s="187"/>
      <c r="I100" s="187"/>
      <c r="J100" s="169"/>
      <c r="K100" s="188"/>
      <c r="L100" s="185"/>
      <c r="M100" s="189"/>
      <c r="N100" s="189"/>
      <c r="O100" s="189"/>
      <c r="Q100" s="189"/>
    </row>
    <row r="101" spans="1:17" ht="12.75" hidden="1" customHeight="1">
      <c r="A101" s="178"/>
      <c r="B101" s="195" t="str">
        <f>[51]VALORIZACION!B62</f>
        <v xml:space="preserve">                    RELLENOS.</v>
      </c>
      <c r="C101" s="186"/>
      <c r="D101" s="220"/>
      <c r="E101" s="186"/>
      <c r="F101" s="186"/>
      <c r="G101" s="187"/>
      <c r="H101" s="187"/>
      <c r="I101" s="187"/>
      <c r="J101" s="169"/>
      <c r="K101" s="188"/>
      <c r="L101" s="185"/>
      <c r="M101" s="189"/>
      <c r="N101" s="189"/>
      <c r="O101" s="189"/>
      <c r="Q101" s="189"/>
    </row>
    <row r="102" spans="1:17" ht="5.25" hidden="1" customHeight="1">
      <c r="A102" s="179"/>
      <c r="B102" s="180"/>
      <c r="C102" s="186"/>
      <c r="D102" s="181"/>
      <c r="E102" s="219"/>
      <c r="F102" s="182"/>
      <c r="G102" s="183"/>
      <c r="H102" s="183"/>
      <c r="I102" s="183"/>
      <c r="J102" s="184"/>
      <c r="K102" s="169"/>
      <c r="L102" s="185">
        <f>SUM(E102:G102)</f>
        <v>0</v>
      </c>
      <c r="M102" s="189" t="e">
        <f>E102/D102</f>
        <v>#DIV/0!</v>
      </c>
      <c r="N102" s="189" t="e">
        <f>F102/D102</f>
        <v>#DIV/0!</v>
      </c>
      <c r="O102" s="189" t="e">
        <f t="shared" ref="O102:O139" si="36">M102+N102</f>
        <v>#DIV/0!</v>
      </c>
      <c r="P102" s="171">
        <f>E102+F102+G102</f>
        <v>0</v>
      </c>
      <c r="Q102" s="189" t="e">
        <f>P102/D102</f>
        <v>#DIV/0!</v>
      </c>
    </row>
    <row r="103" spans="1:17" ht="12.75" hidden="1" customHeight="1">
      <c r="A103" s="176"/>
      <c r="B103" s="180" t="str">
        <f>[51]VALORIZACION!B63</f>
        <v xml:space="preserve"> RELLENO PARA ESTRUCTURAS CON MATERIAL PROPIO</v>
      </c>
      <c r="C103" s="186"/>
      <c r="D103" s="220">
        <f>+[51]RESUMEN!G61</f>
        <v>0</v>
      </c>
      <c r="E103" s="186"/>
      <c r="F103" s="186"/>
      <c r="G103" s="187"/>
      <c r="H103" s="187"/>
      <c r="I103" s="187"/>
      <c r="J103" s="169"/>
      <c r="K103" s="188" t="str">
        <f>IF(L103=D103,"ok","falso")</f>
        <v>ok</v>
      </c>
      <c r="L103" s="185">
        <f>SUM(E103:G103)</f>
        <v>0</v>
      </c>
      <c r="M103" s="189" t="e">
        <f>E103/D103</f>
        <v>#DIV/0!</v>
      </c>
      <c r="N103" s="189" t="e">
        <f>F103/D103</f>
        <v>#DIV/0!</v>
      </c>
      <c r="O103" s="189" t="e">
        <f t="shared" si="36"/>
        <v>#DIV/0!</v>
      </c>
      <c r="P103" s="171">
        <f>E103+F103+G103</f>
        <v>0</v>
      </c>
      <c r="Q103" s="189" t="e">
        <f>P103/D103</f>
        <v>#DIV/0!</v>
      </c>
    </row>
    <row r="104" spans="1:17" ht="12.75" hidden="1" customHeight="1">
      <c r="A104" s="178"/>
      <c r="B104" s="195" t="str">
        <f>[51]VALORIZACION!B64</f>
        <v xml:space="preserve">      ELIMINACION DE MATERIAL EXCEDENTE.</v>
      </c>
      <c r="C104" s="186"/>
      <c r="D104" s="220"/>
      <c r="E104" s="186"/>
      <c r="F104" s="186"/>
      <c r="G104" s="187"/>
      <c r="H104" s="187"/>
      <c r="I104" s="187"/>
      <c r="J104" s="169"/>
      <c r="K104" s="188"/>
      <c r="L104" s="185"/>
      <c r="M104" s="189"/>
      <c r="N104" s="189"/>
      <c r="O104" s="189"/>
      <c r="Q104" s="189"/>
    </row>
    <row r="105" spans="1:17" ht="5.25" hidden="1" customHeight="1">
      <c r="A105" s="179"/>
      <c r="B105" s="180"/>
      <c r="C105" s="186"/>
      <c r="D105" s="181"/>
      <c r="E105" s="219"/>
      <c r="F105" s="182"/>
      <c r="G105" s="183"/>
      <c r="H105" s="183"/>
      <c r="I105" s="183"/>
      <c r="J105" s="184"/>
      <c r="K105" s="169"/>
      <c r="L105" s="185">
        <f t="shared" ref="L105:L120" si="37">SUM(E105:G105)</f>
        <v>0</v>
      </c>
      <c r="M105" s="189" t="e">
        <f t="shared" ref="M105:M120" si="38">E105/D105</f>
        <v>#DIV/0!</v>
      </c>
      <c r="N105" s="189" t="e">
        <f t="shared" ref="N105:N120" si="39">F105/D105</f>
        <v>#DIV/0!</v>
      </c>
      <c r="O105" s="189" t="e">
        <f t="shared" si="36"/>
        <v>#DIV/0!</v>
      </c>
      <c r="P105" s="171">
        <f t="shared" ref="P105:P120" si="40">E105+F105+G105</f>
        <v>0</v>
      </c>
      <c r="Q105" s="189" t="e">
        <f t="shared" ref="Q105:Q120" si="41">P105/D105</f>
        <v>#DIV/0!</v>
      </c>
    </row>
    <row r="106" spans="1:17" ht="12.75" hidden="1" customHeight="1">
      <c r="A106" s="176"/>
      <c r="B106" s="180" t="str">
        <f>[51]VALORIZACION!B65</f>
        <v>TRANSPORTE DE ELIMINACIÓN DE MATERIAL A DME D&lt;=1 km</v>
      </c>
      <c r="C106" s="186"/>
      <c r="D106" s="220">
        <f>+[51]RESUMEN!G63</f>
        <v>0</v>
      </c>
      <c r="E106" s="186"/>
      <c r="F106" s="186"/>
      <c r="G106" s="187"/>
      <c r="H106" s="187"/>
      <c r="I106" s="187"/>
      <c r="J106" s="169"/>
      <c r="K106" s="188" t="str">
        <f>IF(L106=D106,"ok","falso")</f>
        <v>ok</v>
      </c>
      <c r="L106" s="185">
        <f t="shared" si="37"/>
        <v>0</v>
      </c>
      <c r="M106" s="189" t="e">
        <f t="shared" si="38"/>
        <v>#DIV/0!</v>
      </c>
      <c r="N106" s="189" t="e">
        <f t="shared" si="39"/>
        <v>#DIV/0!</v>
      </c>
      <c r="O106" s="189" t="e">
        <f t="shared" si="36"/>
        <v>#DIV/0!</v>
      </c>
      <c r="P106" s="171">
        <f t="shared" si="40"/>
        <v>0</v>
      </c>
      <c r="Q106" s="189" t="e">
        <f t="shared" si="41"/>
        <v>#DIV/0!</v>
      </c>
    </row>
    <row r="107" spans="1:17" ht="5.25" hidden="1" customHeight="1">
      <c r="A107" s="179"/>
      <c r="B107" s="180"/>
      <c r="C107" s="186"/>
      <c r="D107" s="181"/>
      <c r="E107" s="219"/>
      <c r="F107" s="182"/>
      <c r="G107" s="183"/>
      <c r="H107" s="183"/>
      <c r="I107" s="183"/>
      <c r="J107" s="184"/>
      <c r="K107" s="169"/>
      <c r="L107" s="185">
        <f t="shared" si="37"/>
        <v>0</v>
      </c>
      <c r="M107" s="189" t="e">
        <f t="shared" si="38"/>
        <v>#DIV/0!</v>
      </c>
      <c r="N107" s="189" t="e">
        <f t="shared" si="39"/>
        <v>#DIV/0!</v>
      </c>
      <c r="O107" s="189" t="e">
        <f t="shared" si="36"/>
        <v>#DIV/0!</v>
      </c>
      <c r="P107" s="171">
        <f t="shared" si="40"/>
        <v>0</v>
      </c>
      <c r="Q107" s="189" t="e">
        <f t="shared" si="41"/>
        <v>#DIV/0!</v>
      </c>
    </row>
    <row r="108" spans="1:17" ht="12.75" hidden="1" customHeight="1">
      <c r="A108" s="176"/>
      <c r="B108" s="192" t="str">
        <f>[51]VALORIZACION!B66</f>
        <v xml:space="preserve">                ENCOFRADO Y DESENCOFRADO.</v>
      </c>
      <c r="C108" s="186"/>
      <c r="D108" s="220">
        <f>+[51]RESUMEN!G65</f>
        <v>0</v>
      </c>
      <c r="E108" s="186"/>
      <c r="F108" s="186"/>
      <c r="G108" s="187"/>
      <c r="H108" s="187"/>
      <c r="I108" s="187"/>
      <c r="J108" s="169"/>
      <c r="K108" s="188" t="str">
        <f>IF(L108=D108,"ok","falso")</f>
        <v>ok</v>
      </c>
      <c r="L108" s="185">
        <f t="shared" si="37"/>
        <v>0</v>
      </c>
      <c r="M108" s="189" t="e">
        <f t="shared" si="38"/>
        <v>#DIV/0!</v>
      </c>
      <c r="N108" s="189" t="e">
        <f t="shared" si="39"/>
        <v>#DIV/0!</v>
      </c>
      <c r="O108" s="189" t="e">
        <f t="shared" si="36"/>
        <v>#DIV/0!</v>
      </c>
      <c r="P108" s="171">
        <f t="shared" si="40"/>
        <v>0</v>
      </c>
      <c r="Q108" s="189" t="e">
        <f t="shared" si="41"/>
        <v>#DIV/0!</v>
      </c>
    </row>
    <row r="109" spans="1:17" ht="5.25" hidden="1" customHeight="1">
      <c r="A109" s="179"/>
      <c r="B109" s="180"/>
      <c r="C109" s="186"/>
      <c r="D109" s="181"/>
      <c r="E109" s="219"/>
      <c r="F109" s="182"/>
      <c r="G109" s="183"/>
      <c r="H109" s="183"/>
      <c r="I109" s="183"/>
      <c r="J109" s="184"/>
      <c r="K109" s="169"/>
      <c r="L109" s="185">
        <f t="shared" si="37"/>
        <v>0</v>
      </c>
      <c r="M109" s="189" t="e">
        <f t="shared" si="38"/>
        <v>#DIV/0!</v>
      </c>
      <c r="N109" s="189" t="e">
        <f t="shared" si="39"/>
        <v>#DIV/0!</v>
      </c>
      <c r="O109" s="189" t="e">
        <f t="shared" si="36"/>
        <v>#DIV/0!</v>
      </c>
      <c r="P109" s="171">
        <f t="shared" si="40"/>
        <v>0</v>
      </c>
      <c r="Q109" s="189" t="e">
        <f t="shared" si="41"/>
        <v>#DIV/0!</v>
      </c>
    </row>
    <row r="110" spans="1:17" ht="12.75" hidden="1" customHeight="1">
      <c r="A110" s="176"/>
      <c r="B110" s="180" t="str">
        <f>[51]VALORIZACION!B67</f>
        <v xml:space="preserve"> ENCOFRADO Y DESENCOFRADO DE SUB ESTRUCTURA.</v>
      </c>
      <c r="C110" s="186"/>
      <c r="D110" s="220">
        <f>+[51]RESUMEN!G67</f>
        <v>0</v>
      </c>
      <c r="E110" s="186"/>
      <c r="F110" s="186"/>
      <c r="G110" s="187"/>
      <c r="H110" s="187"/>
      <c r="I110" s="187"/>
      <c r="J110" s="169"/>
      <c r="K110" s="188" t="str">
        <f>IF(L110=D110,"ok","falso")</f>
        <v>ok</v>
      </c>
      <c r="L110" s="185">
        <f t="shared" si="37"/>
        <v>0</v>
      </c>
      <c r="M110" s="189" t="e">
        <f t="shared" si="38"/>
        <v>#DIV/0!</v>
      </c>
      <c r="N110" s="189" t="e">
        <f t="shared" si="39"/>
        <v>#DIV/0!</v>
      </c>
      <c r="O110" s="189" t="e">
        <f t="shared" si="36"/>
        <v>#DIV/0!</v>
      </c>
      <c r="P110" s="171">
        <f t="shared" si="40"/>
        <v>0</v>
      </c>
      <c r="Q110" s="189" t="e">
        <f t="shared" si="41"/>
        <v>#DIV/0!</v>
      </c>
    </row>
    <row r="111" spans="1:17" ht="5.25" hidden="1" customHeight="1">
      <c r="A111" s="179"/>
      <c r="B111" s="180"/>
      <c r="C111" s="186"/>
      <c r="D111" s="181"/>
      <c r="E111" s="219"/>
      <c r="F111" s="182"/>
      <c r="G111" s="183"/>
      <c r="H111" s="183"/>
      <c r="I111" s="183"/>
      <c r="J111" s="184"/>
      <c r="K111" s="169"/>
      <c r="L111" s="185">
        <f t="shared" si="37"/>
        <v>0</v>
      </c>
      <c r="M111" s="189" t="e">
        <f t="shared" si="38"/>
        <v>#DIV/0!</v>
      </c>
      <c r="N111" s="189" t="e">
        <f t="shared" si="39"/>
        <v>#DIV/0!</v>
      </c>
      <c r="O111" s="189" t="e">
        <f t="shared" si="36"/>
        <v>#DIV/0!</v>
      </c>
      <c r="P111" s="171">
        <f t="shared" si="40"/>
        <v>0</v>
      </c>
      <c r="Q111" s="189" t="e">
        <f t="shared" si="41"/>
        <v>#DIV/0!</v>
      </c>
    </row>
    <row r="112" spans="1:17" ht="12.75" hidden="1" customHeight="1">
      <c r="A112" s="176"/>
      <c r="B112" s="180" t="str">
        <f>[51]VALORIZACION!B68</f>
        <v xml:space="preserve"> ENCOFRADO Y DESENCOFRADO NORMAL BAJO AGUA</v>
      </c>
      <c r="C112" s="186"/>
      <c r="D112" s="220">
        <f>+[51]RESUMEN!G69</f>
        <v>0</v>
      </c>
      <c r="E112" s="186"/>
      <c r="F112" s="186"/>
      <c r="G112" s="187"/>
      <c r="H112" s="187"/>
      <c r="I112" s="187"/>
      <c r="J112" s="169"/>
      <c r="K112" s="188" t="str">
        <f>IF(L112=D112,"ok","falso")</f>
        <v>ok</v>
      </c>
      <c r="L112" s="185">
        <f t="shared" si="37"/>
        <v>0</v>
      </c>
      <c r="M112" s="189" t="e">
        <f t="shared" si="38"/>
        <v>#DIV/0!</v>
      </c>
      <c r="N112" s="189" t="e">
        <f t="shared" si="39"/>
        <v>#DIV/0!</v>
      </c>
      <c r="O112" s="189" t="e">
        <f t="shared" si="36"/>
        <v>#DIV/0!</v>
      </c>
      <c r="P112" s="171">
        <f t="shared" si="40"/>
        <v>0</v>
      </c>
      <c r="Q112" s="189" t="e">
        <f t="shared" si="41"/>
        <v>#DIV/0!</v>
      </c>
    </row>
    <row r="113" spans="1:17" ht="5.25" hidden="1" customHeight="1">
      <c r="A113" s="179"/>
      <c r="B113" s="180"/>
      <c r="C113" s="186"/>
      <c r="D113" s="181"/>
      <c r="E113" s="219"/>
      <c r="F113" s="182"/>
      <c r="G113" s="183"/>
      <c r="H113" s="183"/>
      <c r="I113" s="183"/>
      <c r="J113" s="184"/>
      <c r="K113" s="169"/>
      <c r="L113" s="185">
        <f t="shared" si="37"/>
        <v>0</v>
      </c>
      <c r="M113" s="189" t="e">
        <f t="shared" si="38"/>
        <v>#DIV/0!</v>
      </c>
      <c r="N113" s="189" t="e">
        <f t="shared" si="39"/>
        <v>#DIV/0!</v>
      </c>
      <c r="O113" s="189" t="e">
        <f t="shared" si="36"/>
        <v>#DIV/0!</v>
      </c>
      <c r="P113" s="171">
        <f t="shared" si="40"/>
        <v>0</v>
      </c>
      <c r="Q113" s="189" t="e">
        <f t="shared" si="41"/>
        <v>#DIV/0!</v>
      </c>
    </row>
    <row r="114" spans="1:17" ht="12.75" hidden="1" customHeight="1">
      <c r="A114" s="176"/>
      <c r="B114" s="180" t="str">
        <f>[51]VALORIZACION!B69</f>
        <v xml:space="preserve"> ENCOFRADO Y DESENCOFRADO NORMAL DE ESTRIBOS</v>
      </c>
      <c r="C114" s="186"/>
      <c r="D114" s="220">
        <f>+[51]RESUMEN!G71</f>
        <v>0</v>
      </c>
      <c r="E114" s="186"/>
      <c r="F114" s="186"/>
      <c r="G114" s="187"/>
      <c r="H114" s="187"/>
      <c r="I114" s="187"/>
      <c r="J114" s="169"/>
      <c r="K114" s="188" t="str">
        <f>IF(L114=D114,"ok","falso")</f>
        <v>ok</v>
      </c>
      <c r="L114" s="185">
        <f t="shared" si="37"/>
        <v>0</v>
      </c>
      <c r="M114" s="189" t="e">
        <f t="shared" si="38"/>
        <v>#DIV/0!</v>
      </c>
      <c r="N114" s="189" t="e">
        <f t="shared" si="39"/>
        <v>#DIV/0!</v>
      </c>
      <c r="O114" s="189" t="e">
        <f t="shared" si="36"/>
        <v>#DIV/0!</v>
      </c>
      <c r="P114" s="171">
        <f t="shared" si="40"/>
        <v>0</v>
      </c>
      <c r="Q114" s="189" t="e">
        <f t="shared" si="41"/>
        <v>#DIV/0!</v>
      </c>
    </row>
    <row r="115" spans="1:17" ht="5.25" hidden="1" customHeight="1">
      <c r="A115" s="179"/>
      <c r="B115" s="180"/>
      <c r="C115" s="186"/>
      <c r="D115" s="181"/>
      <c r="E115" s="219"/>
      <c r="F115" s="182"/>
      <c r="G115" s="183"/>
      <c r="H115" s="183"/>
      <c r="I115" s="183"/>
      <c r="J115" s="184"/>
      <c r="K115" s="169"/>
      <c r="L115" s="185">
        <f t="shared" si="37"/>
        <v>0</v>
      </c>
      <c r="M115" s="189" t="e">
        <f t="shared" si="38"/>
        <v>#DIV/0!</v>
      </c>
      <c r="N115" s="189" t="e">
        <f t="shared" si="39"/>
        <v>#DIV/0!</v>
      </c>
      <c r="O115" s="189" t="e">
        <f t="shared" si="36"/>
        <v>#DIV/0!</v>
      </c>
      <c r="P115" s="171">
        <f t="shared" si="40"/>
        <v>0</v>
      </c>
      <c r="Q115" s="189" t="e">
        <f t="shared" si="41"/>
        <v>#DIV/0!</v>
      </c>
    </row>
    <row r="116" spans="1:17" ht="12.75" hidden="1" customHeight="1">
      <c r="A116" s="176"/>
      <c r="B116" s="180" t="str">
        <f>[51]VALORIZACION!B70</f>
        <v xml:space="preserve">  ENCOFRADO Y DESENCOFRADO CARAVISTA EN ESTRIBOS</v>
      </c>
      <c r="C116" s="186"/>
      <c r="D116" s="220">
        <f>+[51]RESUMEN!G73</f>
        <v>0</v>
      </c>
      <c r="E116" s="186"/>
      <c r="F116" s="186"/>
      <c r="G116" s="187"/>
      <c r="H116" s="187"/>
      <c r="I116" s="187"/>
      <c r="J116" s="169"/>
      <c r="K116" s="188" t="str">
        <f>IF(L116=D116,"ok","falso")</f>
        <v>ok</v>
      </c>
      <c r="L116" s="185">
        <f t="shared" si="37"/>
        <v>0</v>
      </c>
      <c r="M116" s="189" t="e">
        <f t="shared" si="38"/>
        <v>#DIV/0!</v>
      </c>
      <c r="N116" s="189" t="e">
        <f t="shared" si="39"/>
        <v>#DIV/0!</v>
      </c>
      <c r="O116" s="189" t="e">
        <f t="shared" si="36"/>
        <v>#DIV/0!</v>
      </c>
      <c r="P116" s="171">
        <f t="shared" si="40"/>
        <v>0</v>
      </c>
      <c r="Q116" s="189" t="e">
        <f t="shared" si="41"/>
        <v>#DIV/0!</v>
      </c>
    </row>
    <row r="117" spans="1:17" ht="5.25" hidden="1" customHeight="1">
      <c r="A117" s="179"/>
      <c r="B117" s="180"/>
      <c r="C117" s="186"/>
      <c r="D117" s="181"/>
      <c r="E117" s="219"/>
      <c r="F117" s="182"/>
      <c r="G117" s="183"/>
      <c r="H117" s="183"/>
      <c r="I117" s="183"/>
      <c r="J117" s="184"/>
      <c r="K117" s="169"/>
      <c r="L117" s="185">
        <f t="shared" si="37"/>
        <v>0</v>
      </c>
      <c r="M117" s="189" t="e">
        <f t="shared" si="38"/>
        <v>#DIV/0!</v>
      </c>
      <c r="N117" s="189" t="e">
        <f t="shared" si="39"/>
        <v>#DIV/0!</v>
      </c>
      <c r="O117" s="189" t="e">
        <f t="shared" si="36"/>
        <v>#DIV/0!</v>
      </c>
      <c r="P117" s="171">
        <f t="shared" si="40"/>
        <v>0</v>
      </c>
      <c r="Q117" s="189" t="e">
        <f t="shared" si="41"/>
        <v>#DIV/0!</v>
      </c>
    </row>
    <row r="118" spans="1:17" ht="12.75" hidden="1" customHeight="1">
      <c r="A118" s="176"/>
      <c r="B118" s="180" t="str">
        <f>[51]VALORIZACION!B71</f>
        <v>ENCOFRADO Y DESENCOFRADO DE SUPER ESTRUCTURA.</v>
      </c>
      <c r="C118" s="186"/>
      <c r="D118" s="220">
        <f>+[51]RESUMEN!G75</f>
        <v>0</v>
      </c>
      <c r="E118" s="186"/>
      <c r="F118" s="186"/>
      <c r="G118" s="187"/>
      <c r="H118" s="187"/>
      <c r="I118" s="187"/>
      <c r="J118" s="169"/>
      <c r="K118" s="188" t="str">
        <f>IF(L118=D118,"ok","falso")</f>
        <v>ok</v>
      </c>
      <c r="L118" s="185">
        <f t="shared" si="37"/>
        <v>0</v>
      </c>
      <c r="M118" s="189" t="e">
        <f t="shared" si="38"/>
        <v>#DIV/0!</v>
      </c>
      <c r="N118" s="189" t="e">
        <f t="shared" si="39"/>
        <v>#DIV/0!</v>
      </c>
      <c r="O118" s="189" t="e">
        <f t="shared" si="36"/>
        <v>#DIV/0!</v>
      </c>
      <c r="P118" s="171">
        <f t="shared" si="40"/>
        <v>0</v>
      </c>
      <c r="Q118" s="189" t="e">
        <f t="shared" si="41"/>
        <v>#DIV/0!</v>
      </c>
    </row>
    <row r="119" spans="1:17" ht="5.25" hidden="1" customHeight="1">
      <c r="A119" s="179"/>
      <c r="B119" s="180"/>
      <c r="C119" s="186"/>
      <c r="D119" s="181"/>
      <c r="E119" s="219"/>
      <c r="F119" s="182"/>
      <c r="G119" s="183"/>
      <c r="H119" s="183"/>
      <c r="I119" s="183"/>
      <c r="J119" s="184"/>
      <c r="K119" s="169"/>
      <c r="L119" s="185">
        <f t="shared" si="37"/>
        <v>0</v>
      </c>
      <c r="M119" s="189" t="e">
        <f t="shared" si="38"/>
        <v>#DIV/0!</v>
      </c>
      <c r="N119" s="189" t="e">
        <f t="shared" si="39"/>
        <v>#DIV/0!</v>
      </c>
      <c r="O119" s="189" t="e">
        <f t="shared" si="36"/>
        <v>#DIV/0!</v>
      </c>
      <c r="P119" s="171">
        <f t="shared" si="40"/>
        <v>0</v>
      </c>
      <c r="Q119" s="189" t="e">
        <f t="shared" si="41"/>
        <v>#DIV/0!</v>
      </c>
    </row>
    <row r="120" spans="1:17" ht="12.75" hidden="1" customHeight="1">
      <c r="A120" s="176"/>
      <c r="B120" s="180" t="str">
        <f>[51]VALORIZACION!B72</f>
        <v xml:space="preserve"> ENCOFRADO Y DESENCOFRADO CARAVISTA DE TABLERO</v>
      </c>
      <c r="C120" s="186"/>
      <c r="D120" s="220">
        <f>+[51]RESUMEN!G77</f>
        <v>0</v>
      </c>
      <c r="E120" s="186"/>
      <c r="F120" s="186"/>
      <c r="G120" s="187"/>
      <c r="H120" s="187"/>
      <c r="I120" s="187"/>
      <c r="J120" s="169"/>
      <c r="K120" s="188" t="str">
        <f>IF(L120=D120,"ok","falso")</f>
        <v>ok</v>
      </c>
      <c r="L120" s="185">
        <f t="shared" si="37"/>
        <v>0</v>
      </c>
      <c r="M120" s="189" t="e">
        <f t="shared" si="38"/>
        <v>#DIV/0!</v>
      </c>
      <c r="N120" s="189" t="e">
        <f t="shared" si="39"/>
        <v>#DIV/0!</v>
      </c>
      <c r="O120" s="189" t="e">
        <f t="shared" si="36"/>
        <v>#DIV/0!</v>
      </c>
      <c r="P120" s="171">
        <f t="shared" si="40"/>
        <v>0</v>
      </c>
      <c r="Q120" s="189" t="e">
        <f t="shared" si="41"/>
        <v>#DIV/0!</v>
      </c>
    </row>
    <row r="121" spans="1:17" ht="5.25" hidden="1" customHeight="1">
      <c r="A121" s="179"/>
      <c r="B121" s="180"/>
      <c r="C121" s="186"/>
      <c r="D121" s="181"/>
      <c r="E121" s="219"/>
      <c r="F121" s="182"/>
      <c r="G121" s="183"/>
      <c r="H121" s="183"/>
      <c r="I121" s="183"/>
      <c r="J121" s="184"/>
      <c r="K121" s="169"/>
      <c r="L121" s="185"/>
      <c r="M121" s="189"/>
      <c r="N121" s="189"/>
      <c r="O121" s="189"/>
      <c r="Q121" s="189"/>
    </row>
    <row r="122" spans="1:17" ht="12.75" hidden="1" customHeight="1">
      <c r="A122" s="178"/>
      <c r="B122" s="192" t="str">
        <f>[51]VALORIZACION!B73</f>
        <v xml:space="preserve">                OBRAS DE CONCRETO SIMPLE.</v>
      </c>
      <c r="C122" s="186"/>
      <c r="D122" s="220"/>
      <c r="E122" s="186"/>
      <c r="F122" s="186"/>
      <c r="G122" s="187"/>
      <c r="H122" s="187"/>
      <c r="I122" s="187"/>
      <c r="J122" s="169"/>
      <c r="K122" s="188"/>
      <c r="L122" s="185"/>
      <c r="M122" s="189"/>
      <c r="N122" s="189"/>
      <c r="O122" s="189"/>
      <c r="Q122" s="189"/>
    </row>
    <row r="123" spans="1:17" ht="5.25" hidden="1" customHeight="1">
      <c r="A123" s="179"/>
      <c r="B123" s="180"/>
      <c r="C123" s="186"/>
      <c r="D123" s="181"/>
      <c r="E123" s="219"/>
      <c r="F123" s="182"/>
      <c r="G123" s="183"/>
      <c r="H123" s="183"/>
      <c r="I123" s="183"/>
      <c r="J123" s="184"/>
      <c r="K123" s="169"/>
      <c r="L123" s="185">
        <f t="shared" ref="L123:L130" si="42">SUM(E123:G123)</f>
        <v>0</v>
      </c>
      <c r="M123" s="189" t="e">
        <f t="shared" ref="M123:M130" si="43">E123/D123</f>
        <v>#DIV/0!</v>
      </c>
      <c r="N123" s="189" t="e">
        <f t="shared" ref="N123:N130" si="44">F123/D123</f>
        <v>#DIV/0!</v>
      </c>
      <c r="O123" s="189" t="e">
        <f t="shared" si="36"/>
        <v>#DIV/0!</v>
      </c>
      <c r="P123" s="171">
        <f t="shared" ref="P123:P130" si="45">E123+F123+G123</f>
        <v>0</v>
      </c>
      <c r="Q123" s="189" t="e">
        <f t="shared" ref="Q123:Q130" si="46">P123/D123</f>
        <v>#DIV/0!</v>
      </c>
    </row>
    <row r="124" spans="1:17" ht="12.75" hidden="1" customHeight="1">
      <c r="A124" s="176"/>
      <c r="B124" s="180" t="str">
        <f>[51]VALORIZACION!B74</f>
        <v>CONCRETO CICLOPEO f'c=140 kg/cm2 + 30% PM</v>
      </c>
      <c r="C124" s="186"/>
      <c r="D124" s="220">
        <f>+[51]RESUMEN!G79</f>
        <v>0</v>
      </c>
      <c r="E124" s="186"/>
      <c r="F124" s="186"/>
      <c r="G124" s="187"/>
      <c r="H124" s="187"/>
      <c r="I124" s="187"/>
      <c r="J124" s="169"/>
      <c r="K124" s="188" t="str">
        <f>IF(L124=D124,"ok","falso")</f>
        <v>ok</v>
      </c>
      <c r="L124" s="185">
        <f t="shared" si="42"/>
        <v>0</v>
      </c>
      <c r="M124" s="189" t="e">
        <f t="shared" si="43"/>
        <v>#DIV/0!</v>
      </c>
      <c r="N124" s="189" t="e">
        <f t="shared" si="44"/>
        <v>#DIV/0!</v>
      </c>
      <c r="O124" s="189" t="e">
        <f t="shared" si="36"/>
        <v>#DIV/0!</v>
      </c>
      <c r="P124" s="171">
        <f t="shared" si="45"/>
        <v>0</v>
      </c>
      <c r="Q124" s="189" t="e">
        <f t="shared" si="46"/>
        <v>#DIV/0!</v>
      </c>
    </row>
    <row r="125" spans="1:17" ht="5.25" hidden="1" customHeight="1">
      <c r="A125" s="179"/>
      <c r="B125" s="180"/>
      <c r="C125" s="186"/>
      <c r="D125" s="181"/>
      <c r="E125" s="219"/>
      <c r="F125" s="182"/>
      <c r="G125" s="183"/>
      <c r="H125" s="183"/>
      <c r="I125" s="183"/>
      <c r="J125" s="184"/>
      <c r="K125" s="169"/>
      <c r="L125" s="185">
        <f t="shared" si="42"/>
        <v>0</v>
      </c>
      <c r="M125" s="189" t="e">
        <f t="shared" si="43"/>
        <v>#DIV/0!</v>
      </c>
      <c r="N125" s="189" t="e">
        <f t="shared" si="44"/>
        <v>#DIV/0!</v>
      </c>
      <c r="O125" s="189" t="e">
        <f t="shared" si="36"/>
        <v>#DIV/0!</v>
      </c>
      <c r="P125" s="171">
        <f t="shared" si="45"/>
        <v>0</v>
      </c>
      <c r="Q125" s="189" t="e">
        <f t="shared" si="46"/>
        <v>#DIV/0!</v>
      </c>
    </row>
    <row r="126" spans="1:17" ht="12.75" hidden="1" customHeight="1">
      <c r="A126" s="176"/>
      <c r="B126" s="180" t="str">
        <f>[51]VALORIZACION!B75</f>
        <v xml:space="preserve"> CONCRETO CICLOPEO f'c=175 kg/cm2 + 30% PG</v>
      </c>
      <c r="C126" s="186"/>
      <c r="D126" s="220">
        <f>+[51]RESUMEN!G81</f>
        <v>0</v>
      </c>
      <c r="E126" s="186"/>
      <c r="F126" s="186"/>
      <c r="G126" s="187"/>
      <c r="H126" s="187"/>
      <c r="I126" s="187"/>
      <c r="J126" s="169"/>
      <c r="K126" s="188" t="str">
        <f>IF(L126=D126,"ok","falso")</f>
        <v>ok</v>
      </c>
      <c r="L126" s="185">
        <f t="shared" si="42"/>
        <v>0</v>
      </c>
      <c r="M126" s="189" t="e">
        <f t="shared" si="43"/>
        <v>#DIV/0!</v>
      </c>
      <c r="N126" s="189" t="e">
        <f t="shared" si="44"/>
        <v>#DIV/0!</v>
      </c>
      <c r="O126" s="189" t="e">
        <f t="shared" si="36"/>
        <v>#DIV/0!</v>
      </c>
      <c r="P126" s="171">
        <f t="shared" si="45"/>
        <v>0</v>
      </c>
      <c r="Q126" s="189" t="e">
        <f t="shared" si="46"/>
        <v>#DIV/0!</v>
      </c>
    </row>
    <row r="127" spans="1:17" ht="5.25" hidden="1" customHeight="1">
      <c r="A127" s="179"/>
      <c r="B127" s="180"/>
      <c r="C127" s="186"/>
      <c r="D127" s="181"/>
      <c r="E127" s="219"/>
      <c r="F127" s="182"/>
      <c r="G127" s="183"/>
      <c r="H127" s="183"/>
      <c r="I127" s="183"/>
      <c r="J127" s="184"/>
      <c r="K127" s="169"/>
      <c r="L127" s="185">
        <f t="shared" si="42"/>
        <v>0</v>
      </c>
      <c r="M127" s="189" t="e">
        <f t="shared" si="43"/>
        <v>#DIV/0!</v>
      </c>
      <c r="N127" s="189" t="e">
        <f t="shared" si="44"/>
        <v>#DIV/0!</v>
      </c>
      <c r="O127" s="189" t="e">
        <f t="shared" si="36"/>
        <v>#DIV/0!</v>
      </c>
      <c r="P127" s="171">
        <f t="shared" si="45"/>
        <v>0</v>
      </c>
      <c r="Q127" s="189" t="e">
        <f t="shared" si="46"/>
        <v>#DIV/0!</v>
      </c>
    </row>
    <row r="128" spans="1:17" ht="12.75" hidden="1" customHeight="1">
      <c r="A128" s="176"/>
      <c r="B128" s="180" t="str">
        <f>[51]VALORIZACION!B76</f>
        <v xml:space="preserve">                    CONCRETO f'c=210 kg/cm2</v>
      </c>
      <c r="C128" s="186"/>
      <c r="D128" s="220">
        <f>+[51]RESUMEN!G83</f>
        <v>0</v>
      </c>
      <c r="E128" s="186"/>
      <c r="F128" s="186"/>
      <c r="G128" s="187"/>
      <c r="H128" s="187"/>
      <c r="I128" s="187"/>
      <c r="J128" s="169"/>
      <c r="K128" s="188" t="str">
        <f>IF(L128=D128,"ok","falso")</f>
        <v>ok</v>
      </c>
      <c r="L128" s="185">
        <f t="shared" si="42"/>
        <v>0</v>
      </c>
      <c r="M128" s="189" t="e">
        <f t="shared" si="43"/>
        <v>#DIV/0!</v>
      </c>
      <c r="N128" s="189" t="e">
        <f t="shared" si="44"/>
        <v>#DIV/0!</v>
      </c>
      <c r="O128" s="189" t="e">
        <f t="shared" si="36"/>
        <v>#DIV/0!</v>
      </c>
      <c r="P128" s="171">
        <f t="shared" si="45"/>
        <v>0</v>
      </c>
      <c r="Q128" s="189" t="e">
        <f t="shared" si="46"/>
        <v>#DIV/0!</v>
      </c>
    </row>
    <row r="129" spans="1:17" ht="5.25" hidden="1" customHeight="1">
      <c r="A129" s="179"/>
      <c r="B129" s="180"/>
      <c r="C129" s="186"/>
      <c r="D129" s="181"/>
      <c r="E129" s="219"/>
      <c r="F129" s="182"/>
      <c r="G129" s="183"/>
      <c r="H129" s="183"/>
      <c r="I129" s="183"/>
      <c r="J129" s="184"/>
      <c r="K129" s="169"/>
      <c r="L129" s="185">
        <f t="shared" si="42"/>
        <v>0</v>
      </c>
      <c r="M129" s="189" t="e">
        <f t="shared" si="43"/>
        <v>#DIV/0!</v>
      </c>
      <c r="N129" s="189" t="e">
        <f t="shared" si="44"/>
        <v>#DIV/0!</v>
      </c>
      <c r="O129" s="189" t="e">
        <f t="shared" si="36"/>
        <v>#DIV/0!</v>
      </c>
      <c r="P129" s="171">
        <f t="shared" si="45"/>
        <v>0</v>
      </c>
      <c r="Q129" s="189" t="e">
        <f t="shared" si="46"/>
        <v>#DIV/0!</v>
      </c>
    </row>
    <row r="130" spans="1:17" ht="12.75" hidden="1" customHeight="1">
      <c r="A130" s="176"/>
      <c r="B130" s="180" t="str">
        <f>[51]VALORIZACION!B77</f>
        <v xml:space="preserve">                    CONCRETO f'c=280 kg/cm2</v>
      </c>
      <c r="C130" s="186"/>
      <c r="D130" s="220">
        <f>+[51]RESUMEN!G85</f>
        <v>0</v>
      </c>
      <c r="E130" s="186"/>
      <c r="F130" s="186"/>
      <c r="G130" s="187"/>
      <c r="H130" s="187"/>
      <c r="I130" s="187"/>
      <c r="J130" s="169"/>
      <c r="K130" s="188" t="str">
        <f>IF(L130=D130,"ok","falso")</f>
        <v>ok</v>
      </c>
      <c r="L130" s="185">
        <f t="shared" si="42"/>
        <v>0</v>
      </c>
      <c r="M130" s="189" t="e">
        <f t="shared" si="43"/>
        <v>#DIV/0!</v>
      </c>
      <c r="N130" s="189" t="e">
        <f t="shared" si="44"/>
        <v>#DIV/0!</v>
      </c>
      <c r="O130" s="189" t="e">
        <f t="shared" si="36"/>
        <v>#DIV/0!</v>
      </c>
      <c r="P130" s="171">
        <f t="shared" si="45"/>
        <v>0</v>
      </c>
      <c r="Q130" s="189" t="e">
        <f t="shared" si="46"/>
        <v>#DIV/0!</v>
      </c>
    </row>
    <row r="131" spans="1:17" ht="5.25" hidden="1" customHeight="1">
      <c r="A131" s="179"/>
      <c r="B131" s="180"/>
      <c r="C131" s="186"/>
      <c r="D131" s="181"/>
      <c r="E131" s="219"/>
      <c r="F131" s="182"/>
      <c r="G131" s="183"/>
      <c r="H131" s="183"/>
      <c r="I131" s="183"/>
      <c r="J131" s="184"/>
      <c r="K131" s="169"/>
      <c r="L131" s="185"/>
      <c r="M131" s="189"/>
      <c r="N131" s="189"/>
      <c r="O131" s="189"/>
      <c r="Q131" s="189"/>
    </row>
    <row r="132" spans="1:17" ht="12.75" hidden="1" customHeight="1">
      <c r="A132" s="178"/>
      <c r="B132" s="192" t="str">
        <f>[51]VALORIZACION!B78</f>
        <v xml:space="preserve">                OBRAS DE CONCRETO ARMADO.</v>
      </c>
      <c r="C132" s="186"/>
      <c r="D132" s="220"/>
      <c r="E132" s="186"/>
      <c r="F132" s="186"/>
      <c r="G132" s="187"/>
      <c r="H132" s="187"/>
      <c r="I132" s="187"/>
      <c r="J132" s="169"/>
      <c r="K132" s="188"/>
      <c r="L132" s="185"/>
      <c r="M132" s="189"/>
      <c r="N132" s="189"/>
      <c r="O132" s="189"/>
      <c r="Q132" s="189"/>
    </row>
    <row r="133" spans="1:17" ht="12.75" hidden="1" customHeight="1">
      <c r="A133" s="178"/>
      <c r="B133" s="195" t="str">
        <f>[51]VALORIZACION!B79</f>
        <v xml:space="preserve">                    CONCRETO.</v>
      </c>
      <c r="C133" s="186"/>
      <c r="D133" s="220"/>
      <c r="E133" s="186"/>
      <c r="F133" s="186"/>
      <c r="G133" s="187"/>
      <c r="H133" s="187"/>
      <c r="I133" s="187"/>
      <c r="J133" s="169"/>
      <c r="K133" s="188"/>
      <c r="L133" s="185"/>
      <c r="M133" s="189"/>
      <c r="N133" s="189"/>
      <c r="O133" s="189"/>
      <c r="Q133" s="189"/>
    </row>
    <row r="134" spans="1:17" ht="5.25" hidden="1" customHeight="1">
      <c r="A134" s="179"/>
      <c r="B134" s="180"/>
      <c r="C134" s="186"/>
      <c r="D134" s="181"/>
      <c r="E134" s="219"/>
      <c r="F134" s="182"/>
      <c r="G134" s="183"/>
      <c r="H134" s="183"/>
      <c r="I134" s="183"/>
      <c r="J134" s="184"/>
      <c r="K134" s="169"/>
      <c r="L134" s="185">
        <f t="shared" ref="L134:L139" si="47">SUM(E134:G134)</f>
        <v>0</v>
      </c>
      <c r="M134" s="189" t="e">
        <f t="shared" ref="M134:M139" si="48">E134/D134</f>
        <v>#DIV/0!</v>
      </c>
      <c r="N134" s="189" t="e">
        <f t="shared" ref="N134:N139" si="49">F134/D134</f>
        <v>#DIV/0!</v>
      </c>
      <c r="O134" s="189" t="e">
        <f t="shared" si="36"/>
        <v>#DIV/0!</v>
      </c>
      <c r="P134" s="171">
        <f t="shared" ref="P134:P139" si="50">E134+F134+G134</f>
        <v>0</v>
      </c>
      <c r="Q134" s="189" t="e">
        <f t="shared" ref="Q134:Q139" si="51">P134/D134</f>
        <v>#DIV/0!</v>
      </c>
    </row>
    <row r="135" spans="1:17" ht="12.75" hidden="1" customHeight="1">
      <c r="A135" s="176"/>
      <c r="B135" s="180" t="str">
        <f>[51]VALORIZACION!B80</f>
        <v xml:space="preserve">                        CONCRETO f'c=210 kg/cm2</v>
      </c>
      <c r="C135" s="186"/>
      <c r="D135" s="220">
        <f>+[51]RESUMEN!G87</f>
        <v>0</v>
      </c>
      <c r="E135" s="186"/>
      <c r="F135" s="186"/>
      <c r="G135" s="187"/>
      <c r="H135" s="187"/>
      <c r="I135" s="187"/>
      <c r="J135" s="169"/>
      <c r="K135" s="188" t="str">
        <f>IF(L135=D135,"ok","falso")</f>
        <v>ok</v>
      </c>
      <c r="L135" s="185">
        <f t="shared" si="47"/>
        <v>0</v>
      </c>
      <c r="M135" s="189" t="e">
        <f t="shared" si="48"/>
        <v>#DIV/0!</v>
      </c>
      <c r="N135" s="189" t="e">
        <f t="shared" si="49"/>
        <v>#DIV/0!</v>
      </c>
      <c r="O135" s="189" t="e">
        <f t="shared" si="36"/>
        <v>#DIV/0!</v>
      </c>
      <c r="P135" s="171">
        <f t="shared" si="50"/>
        <v>0</v>
      </c>
      <c r="Q135" s="189" t="e">
        <f t="shared" si="51"/>
        <v>#DIV/0!</v>
      </c>
    </row>
    <row r="136" spans="1:17" ht="5.25" hidden="1" customHeight="1">
      <c r="A136" s="179"/>
      <c r="B136" s="180"/>
      <c r="C136" s="186"/>
      <c r="D136" s="181"/>
      <c r="E136" s="219"/>
      <c r="F136" s="182"/>
      <c r="G136" s="183"/>
      <c r="H136" s="183"/>
      <c r="I136" s="183"/>
      <c r="J136" s="184"/>
      <c r="K136" s="169"/>
      <c r="L136" s="185">
        <f t="shared" si="47"/>
        <v>0</v>
      </c>
      <c r="M136" s="189" t="e">
        <f t="shared" si="48"/>
        <v>#DIV/0!</v>
      </c>
      <c r="N136" s="189" t="e">
        <f t="shared" si="49"/>
        <v>#DIV/0!</v>
      </c>
      <c r="O136" s="189" t="e">
        <f t="shared" si="36"/>
        <v>#DIV/0!</v>
      </c>
      <c r="P136" s="171">
        <f t="shared" si="50"/>
        <v>0</v>
      </c>
      <c r="Q136" s="189" t="e">
        <f t="shared" si="51"/>
        <v>#DIV/0!</v>
      </c>
    </row>
    <row r="137" spans="1:17" ht="12.75" hidden="1" customHeight="1">
      <c r="A137" s="176"/>
      <c r="B137" s="180" t="str">
        <f>[51]VALORIZACION!B81</f>
        <v xml:space="preserve">                        CONCRETO f'c=280 kg/cm2</v>
      </c>
      <c r="C137" s="186"/>
      <c r="D137" s="220">
        <f>+[51]RESUMEN!G89</f>
        <v>0</v>
      </c>
      <c r="E137" s="186"/>
      <c r="F137" s="186"/>
      <c r="G137" s="187"/>
      <c r="H137" s="187"/>
      <c r="I137" s="187"/>
      <c r="J137" s="169"/>
      <c r="K137" s="188" t="str">
        <f>IF(L137=D137,"ok","falso")</f>
        <v>ok</v>
      </c>
      <c r="L137" s="185">
        <f t="shared" si="47"/>
        <v>0</v>
      </c>
      <c r="M137" s="189" t="e">
        <f t="shared" si="48"/>
        <v>#DIV/0!</v>
      </c>
      <c r="N137" s="189" t="e">
        <f t="shared" si="49"/>
        <v>#DIV/0!</v>
      </c>
      <c r="O137" s="189" t="e">
        <f t="shared" si="36"/>
        <v>#DIV/0!</v>
      </c>
      <c r="P137" s="171">
        <f t="shared" si="50"/>
        <v>0</v>
      </c>
      <c r="Q137" s="189" t="e">
        <f t="shared" si="51"/>
        <v>#DIV/0!</v>
      </c>
    </row>
    <row r="138" spans="1:17" ht="5.25" hidden="1" customHeight="1">
      <c r="A138" s="179"/>
      <c r="B138" s="180"/>
      <c r="C138" s="186"/>
      <c r="D138" s="181"/>
      <c r="E138" s="219"/>
      <c r="F138" s="182"/>
      <c r="G138" s="183"/>
      <c r="H138" s="183"/>
      <c r="I138" s="183"/>
      <c r="J138" s="184"/>
      <c r="K138" s="169"/>
      <c r="L138" s="185">
        <f t="shared" si="47"/>
        <v>0</v>
      </c>
      <c r="M138" s="189" t="e">
        <f t="shared" si="48"/>
        <v>#DIV/0!</v>
      </c>
      <c r="N138" s="189" t="e">
        <f t="shared" si="49"/>
        <v>#DIV/0!</v>
      </c>
      <c r="O138" s="189" t="e">
        <f t="shared" si="36"/>
        <v>#DIV/0!</v>
      </c>
      <c r="P138" s="171">
        <f t="shared" si="50"/>
        <v>0</v>
      </c>
      <c r="Q138" s="189" t="e">
        <f t="shared" si="51"/>
        <v>#DIV/0!</v>
      </c>
    </row>
    <row r="139" spans="1:17" ht="12.75" hidden="1" customHeight="1">
      <c r="A139" s="176"/>
      <c r="B139" s="180" t="str">
        <f>[51]VALORIZACION!B82</f>
        <v xml:space="preserve">                        CURADO DE CONCRETO</v>
      </c>
      <c r="C139" s="186"/>
      <c r="D139" s="220">
        <f>+[51]RESUMEN!G91</f>
        <v>0</v>
      </c>
      <c r="E139" s="186"/>
      <c r="F139" s="186"/>
      <c r="G139" s="187"/>
      <c r="H139" s="187"/>
      <c r="I139" s="187"/>
      <c r="J139" s="169"/>
      <c r="K139" s="188" t="str">
        <f>IF(L139=D139,"ok","falso")</f>
        <v>ok</v>
      </c>
      <c r="L139" s="185">
        <f t="shared" si="47"/>
        <v>0</v>
      </c>
      <c r="M139" s="189" t="e">
        <f t="shared" si="48"/>
        <v>#DIV/0!</v>
      </c>
      <c r="N139" s="189" t="e">
        <f t="shared" si="49"/>
        <v>#DIV/0!</v>
      </c>
      <c r="O139" s="189" t="e">
        <f t="shared" si="36"/>
        <v>#DIV/0!</v>
      </c>
      <c r="P139" s="171">
        <f t="shared" si="50"/>
        <v>0</v>
      </c>
      <c r="Q139" s="189" t="e">
        <f t="shared" si="51"/>
        <v>#DIV/0!</v>
      </c>
    </row>
    <row r="140" spans="1:17" ht="12.75" hidden="1" customHeight="1">
      <c r="A140" s="178"/>
      <c r="B140" s="195" t="str">
        <f>[51]VALORIZACION!B83</f>
        <v xml:space="preserve">                    ACERO.</v>
      </c>
      <c r="C140" s="186"/>
      <c r="D140" s="220"/>
      <c r="E140" s="186"/>
      <c r="F140" s="186"/>
      <c r="G140" s="187"/>
      <c r="H140" s="187"/>
      <c r="I140" s="187"/>
      <c r="J140" s="169"/>
      <c r="K140" s="188"/>
      <c r="L140" s="185"/>
      <c r="M140" s="189"/>
      <c r="N140" s="189"/>
      <c r="O140" s="189"/>
      <c r="Q140" s="189"/>
    </row>
    <row r="141" spans="1:17" ht="5.25" hidden="1" customHeight="1">
      <c r="A141" s="179"/>
      <c r="B141" s="180"/>
      <c r="C141" s="186"/>
      <c r="D141" s="181"/>
      <c r="E141" s="219"/>
      <c r="F141" s="182"/>
      <c r="G141" s="183"/>
      <c r="H141" s="183"/>
      <c r="I141" s="183"/>
      <c r="J141" s="184"/>
      <c r="K141" s="169"/>
      <c r="L141" s="185">
        <f t="shared" ref="L141:L146" si="52">SUM(E141:G141)</f>
        <v>0</v>
      </c>
      <c r="M141" s="189" t="e">
        <f t="shared" ref="M141:M146" si="53">E141/D141</f>
        <v>#DIV/0!</v>
      </c>
      <c r="N141" s="189" t="e">
        <f t="shared" ref="N141:N146" si="54">F141/D141</f>
        <v>#DIV/0!</v>
      </c>
      <c r="O141" s="189" t="e">
        <f t="shared" ref="O141:O200" si="55">M141+N141</f>
        <v>#DIV/0!</v>
      </c>
      <c r="P141" s="171">
        <f t="shared" ref="P141:P146" si="56">E141+F141+G141</f>
        <v>0</v>
      </c>
      <c r="Q141" s="189" t="e">
        <f t="shared" ref="Q141:Q146" si="57">P141/D141</f>
        <v>#DIV/0!</v>
      </c>
    </row>
    <row r="142" spans="1:17" ht="12.75" hidden="1" customHeight="1">
      <c r="A142" s="176"/>
      <c r="B142" s="180" t="str">
        <f>[51]VALORIZACION!B84</f>
        <v xml:space="preserve"> ACERO DE REFUERZO GRADO 60 EN CIMENTACIÓN</v>
      </c>
      <c r="C142" s="186"/>
      <c r="D142" s="220">
        <f>+[51]RESUMEN!G94</f>
        <v>0</v>
      </c>
      <c r="E142" s="186"/>
      <c r="F142" s="186"/>
      <c r="G142" s="187"/>
      <c r="H142" s="187"/>
      <c r="I142" s="187"/>
      <c r="J142" s="169"/>
      <c r="K142" s="188" t="str">
        <f>IF(L142=D142,"ok","falso")</f>
        <v>ok</v>
      </c>
      <c r="L142" s="185">
        <f t="shared" si="52"/>
        <v>0</v>
      </c>
      <c r="M142" s="189" t="e">
        <f t="shared" si="53"/>
        <v>#DIV/0!</v>
      </c>
      <c r="N142" s="189" t="e">
        <f t="shared" si="54"/>
        <v>#DIV/0!</v>
      </c>
      <c r="O142" s="189" t="e">
        <f t="shared" si="55"/>
        <v>#DIV/0!</v>
      </c>
      <c r="P142" s="171">
        <f t="shared" si="56"/>
        <v>0</v>
      </c>
      <c r="Q142" s="189" t="e">
        <f t="shared" si="57"/>
        <v>#DIV/0!</v>
      </c>
    </row>
    <row r="143" spans="1:17" ht="5.25" hidden="1" customHeight="1">
      <c r="A143" s="179"/>
      <c r="B143" s="180"/>
      <c r="C143" s="186"/>
      <c r="D143" s="181"/>
      <c r="E143" s="219"/>
      <c r="F143" s="182"/>
      <c r="G143" s="183"/>
      <c r="H143" s="183"/>
      <c r="I143" s="183"/>
      <c r="J143" s="184"/>
      <c r="K143" s="169"/>
      <c r="L143" s="185">
        <f t="shared" si="52"/>
        <v>0</v>
      </c>
      <c r="M143" s="189" t="e">
        <f t="shared" si="53"/>
        <v>#DIV/0!</v>
      </c>
      <c r="N143" s="189" t="e">
        <f t="shared" si="54"/>
        <v>#DIV/0!</v>
      </c>
      <c r="O143" s="189" t="e">
        <f t="shared" si="55"/>
        <v>#DIV/0!</v>
      </c>
      <c r="P143" s="171">
        <f t="shared" si="56"/>
        <v>0</v>
      </c>
      <c r="Q143" s="189" t="e">
        <f t="shared" si="57"/>
        <v>#DIV/0!</v>
      </c>
    </row>
    <row r="144" spans="1:17" ht="12.75" hidden="1" customHeight="1">
      <c r="A144" s="176"/>
      <c r="B144" s="180" t="str">
        <f>[51]VALORIZACION!B85</f>
        <v xml:space="preserve"> ACERO DE REFUERZO GRADO 60 EN ESTRIBOS</v>
      </c>
      <c r="C144" s="186"/>
      <c r="D144" s="220">
        <f>+[51]RESUMEN!G96</f>
        <v>0</v>
      </c>
      <c r="E144" s="186"/>
      <c r="F144" s="186"/>
      <c r="G144" s="187"/>
      <c r="H144" s="187"/>
      <c r="I144" s="187"/>
      <c r="J144" s="169"/>
      <c r="K144" s="188" t="str">
        <f>IF(L144=D144,"ok","falso")</f>
        <v>ok</v>
      </c>
      <c r="L144" s="185">
        <f t="shared" si="52"/>
        <v>0</v>
      </c>
      <c r="M144" s="189" t="e">
        <f t="shared" si="53"/>
        <v>#DIV/0!</v>
      </c>
      <c r="N144" s="189" t="e">
        <f t="shared" si="54"/>
        <v>#DIV/0!</v>
      </c>
      <c r="O144" s="189" t="e">
        <f t="shared" si="55"/>
        <v>#DIV/0!</v>
      </c>
      <c r="P144" s="171">
        <f t="shared" si="56"/>
        <v>0</v>
      </c>
      <c r="Q144" s="189" t="e">
        <f t="shared" si="57"/>
        <v>#DIV/0!</v>
      </c>
    </row>
    <row r="145" spans="1:17" ht="5.25" hidden="1" customHeight="1">
      <c r="A145" s="179"/>
      <c r="B145" s="180"/>
      <c r="C145" s="186"/>
      <c r="D145" s="181"/>
      <c r="E145" s="219"/>
      <c r="F145" s="182"/>
      <c r="G145" s="183"/>
      <c r="H145" s="183"/>
      <c r="I145" s="183"/>
      <c r="J145" s="184"/>
      <c r="K145" s="169"/>
      <c r="L145" s="185">
        <f t="shared" si="52"/>
        <v>0</v>
      </c>
      <c r="M145" s="189" t="e">
        <f t="shared" si="53"/>
        <v>#DIV/0!</v>
      </c>
      <c r="N145" s="189" t="e">
        <f t="shared" si="54"/>
        <v>#DIV/0!</v>
      </c>
      <c r="O145" s="189" t="e">
        <f t="shared" si="55"/>
        <v>#DIV/0!</v>
      </c>
      <c r="P145" s="171">
        <f t="shared" si="56"/>
        <v>0</v>
      </c>
      <c r="Q145" s="189" t="e">
        <f t="shared" si="57"/>
        <v>#DIV/0!</v>
      </c>
    </row>
    <row r="146" spans="1:17" ht="12.75" hidden="1" customHeight="1">
      <c r="A146" s="176"/>
      <c r="B146" s="180" t="str">
        <f>[51]VALORIZACION!B86</f>
        <v>ACERO DE REFUERZO GRADO 60 EN LOSA DE TABLERO</v>
      </c>
      <c r="C146" s="186"/>
      <c r="D146" s="220">
        <f>+[51]RESUMEN!G98</f>
        <v>0</v>
      </c>
      <c r="E146" s="186"/>
      <c r="F146" s="186"/>
      <c r="G146" s="187"/>
      <c r="H146" s="187"/>
      <c r="I146" s="187"/>
      <c r="J146" s="169"/>
      <c r="K146" s="188" t="str">
        <f>IF(L146=D146,"ok","falso")</f>
        <v>ok</v>
      </c>
      <c r="L146" s="185">
        <f t="shared" si="52"/>
        <v>0</v>
      </c>
      <c r="M146" s="189" t="e">
        <f t="shared" si="53"/>
        <v>#DIV/0!</v>
      </c>
      <c r="N146" s="189" t="e">
        <f t="shared" si="54"/>
        <v>#DIV/0!</v>
      </c>
      <c r="O146" s="189" t="e">
        <f t="shared" si="55"/>
        <v>#DIV/0!</v>
      </c>
      <c r="P146" s="171">
        <f t="shared" si="56"/>
        <v>0</v>
      </c>
      <c r="Q146" s="189" t="e">
        <f t="shared" si="57"/>
        <v>#DIV/0!</v>
      </c>
    </row>
    <row r="147" spans="1:17" ht="12.75" hidden="1" customHeight="1">
      <c r="A147" s="178"/>
      <c r="B147" s="195" t="str">
        <f>[51]VALORIZACION!B87</f>
        <v xml:space="preserve">                 ESTRUCTURA METÁLICA.</v>
      </c>
      <c r="C147" s="186"/>
      <c r="D147" s="220"/>
      <c r="E147" s="186"/>
      <c r="F147" s="186"/>
      <c r="G147" s="187"/>
      <c r="H147" s="187"/>
      <c r="I147" s="187"/>
      <c r="J147" s="169"/>
      <c r="K147" s="188"/>
      <c r="L147" s="185"/>
      <c r="M147" s="189"/>
      <c r="N147" s="189"/>
      <c r="O147" s="189"/>
      <c r="Q147" s="189"/>
    </row>
    <row r="148" spans="1:17" ht="5.25" hidden="1" customHeight="1">
      <c r="A148" s="179"/>
      <c r="B148" s="180"/>
      <c r="C148" s="186"/>
      <c r="D148" s="181"/>
      <c r="E148" s="219"/>
      <c r="F148" s="182"/>
      <c r="G148" s="183"/>
      <c r="H148" s="183"/>
      <c r="I148" s="183"/>
      <c r="J148" s="184"/>
      <c r="K148" s="169"/>
      <c r="L148" s="185">
        <f t="shared" ref="L148:L155" si="58">SUM(E148:G148)</f>
        <v>0</v>
      </c>
      <c r="M148" s="189" t="e">
        <f t="shared" ref="M148:M155" si="59">E148/D148</f>
        <v>#DIV/0!</v>
      </c>
      <c r="N148" s="189" t="e">
        <f t="shared" ref="N148:N155" si="60">F148/D148</f>
        <v>#DIV/0!</v>
      </c>
      <c r="O148" s="189" t="e">
        <f t="shared" si="55"/>
        <v>#DIV/0!</v>
      </c>
      <c r="P148" s="171">
        <f t="shared" ref="P148:P155" si="61">E148+F148+G148</f>
        <v>0</v>
      </c>
      <c r="Q148" s="189" t="e">
        <f t="shared" ref="Q148:Q155" si="62">P148/D148</f>
        <v>#DIV/0!</v>
      </c>
    </row>
    <row r="149" spans="1:17" ht="12.75" hidden="1" customHeight="1">
      <c r="A149" s="176"/>
      <c r="B149" s="180" t="str">
        <f>[51]VALORIZACION!B88</f>
        <v xml:space="preserve"> FABRICACIÓN DE ESTRUCTURA METÁLICA (ACERO A-709)</v>
      </c>
      <c r="C149" s="186"/>
      <c r="D149" s="220">
        <f>+[51]RESUMEN!G100</f>
        <v>0</v>
      </c>
      <c r="E149" s="186"/>
      <c r="F149" s="186"/>
      <c r="G149" s="187"/>
      <c r="H149" s="187"/>
      <c r="I149" s="187"/>
      <c r="J149" s="169"/>
      <c r="K149" s="188" t="str">
        <f>IF(L149=D149,"ok","falso")</f>
        <v>ok</v>
      </c>
      <c r="L149" s="185">
        <f t="shared" si="58"/>
        <v>0</v>
      </c>
      <c r="M149" s="189" t="e">
        <f t="shared" si="59"/>
        <v>#DIV/0!</v>
      </c>
      <c r="N149" s="189" t="e">
        <f t="shared" si="60"/>
        <v>#DIV/0!</v>
      </c>
      <c r="O149" s="189" t="e">
        <f t="shared" si="55"/>
        <v>#DIV/0!</v>
      </c>
      <c r="P149" s="171">
        <f t="shared" si="61"/>
        <v>0</v>
      </c>
      <c r="Q149" s="189" t="e">
        <f t="shared" si="62"/>
        <v>#DIV/0!</v>
      </c>
    </row>
    <row r="150" spans="1:17" ht="5.25" hidden="1" customHeight="1">
      <c r="A150" s="179"/>
      <c r="B150" s="180"/>
      <c r="C150" s="186"/>
      <c r="D150" s="181"/>
      <c r="E150" s="219"/>
      <c r="F150" s="182"/>
      <c r="G150" s="183"/>
      <c r="H150" s="183"/>
      <c r="I150" s="183"/>
      <c r="J150" s="184"/>
      <c r="K150" s="169"/>
      <c r="L150" s="185">
        <f t="shared" si="58"/>
        <v>0</v>
      </c>
      <c r="M150" s="189" t="e">
        <f t="shared" si="59"/>
        <v>#DIV/0!</v>
      </c>
      <c r="N150" s="189" t="e">
        <f t="shared" si="60"/>
        <v>#DIV/0!</v>
      </c>
      <c r="O150" s="189" t="e">
        <f t="shared" si="55"/>
        <v>#DIV/0!</v>
      </c>
      <c r="P150" s="171">
        <f t="shared" si="61"/>
        <v>0</v>
      </c>
      <c r="Q150" s="189" t="e">
        <f t="shared" si="62"/>
        <v>#DIV/0!</v>
      </c>
    </row>
    <row r="151" spans="1:17" ht="12.75" hidden="1" customHeight="1">
      <c r="A151" s="176"/>
      <c r="B151" s="180" t="str">
        <f>[51]VALORIZACION!B89</f>
        <v>PINTURA DE ESTRUCTURAS METÁLICAS</v>
      </c>
      <c r="C151" s="186"/>
      <c r="D151" s="220">
        <f>+[51]RESUMEN!G102</f>
        <v>0</v>
      </c>
      <c r="E151" s="186"/>
      <c r="F151" s="186"/>
      <c r="G151" s="187"/>
      <c r="H151" s="187"/>
      <c r="I151" s="187"/>
      <c r="J151" s="169"/>
      <c r="K151" s="188" t="str">
        <f>IF(L151=D151,"ok","falso")</f>
        <v>ok</v>
      </c>
      <c r="L151" s="185">
        <f t="shared" si="58"/>
        <v>0</v>
      </c>
      <c r="M151" s="189" t="e">
        <f t="shared" si="59"/>
        <v>#DIV/0!</v>
      </c>
      <c r="N151" s="189" t="e">
        <f t="shared" si="60"/>
        <v>#DIV/0!</v>
      </c>
      <c r="O151" s="189" t="e">
        <f t="shared" si="55"/>
        <v>#DIV/0!</v>
      </c>
      <c r="P151" s="171">
        <f t="shared" si="61"/>
        <v>0</v>
      </c>
      <c r="Q151" s="189" t="e">
        <f t="shared" si="62"/>
        <v>#DIV/0!</v>
      </c>
    </row>
    <row r="152" spans="1:17" ht="5.25" hidden="1" customHeight="1">
      <c r="A152" s="179"/>
      <c r="B152" s="180"/>
      <c r="C152" s="186"/>
      <c r="D152" s="181"/>
      <c r="E152" s="219"/>
      <c r="F152" s="182"/>
      <c r="G152" s="183"/>
      <c r="H152" s="183"/>
      <c r="I152" s="183"/>
      <c r="J152" s="184"/>
      <c r="K152" s="169"/>
      <c r="L152" s="185">
        <f t="shared" si="58"/>
        <v>0</v>
      </c>
      <c r="M152" s="189" t="e">
        <f t="shared" si="59"/>
        <v>#DIV/0!</v>
      </c>
      <c r="N152" s="189" t="e">
        <f t="shared" si="60"/>
        <v>#DIV/0!</v>
      </c>
      <c r="O152" s="189" t="e">
        <f t="shared" si="55"/>
        <v>#DIV/0!</v>
      </c>
      <c r="P152" s="171">
        <f t="shared" si="61"/>
        <v>0</v>
      </c>
      <c r="Q152" s="189" t="e">
        <f t="shared" si="62"/>
        <v>#DIV/0!</v>
      </c>
    </row>
    <row r="153" spans="1:17" ht="12.75" hidden="1" customHeight="1">
      <c r="A153" s="176"/>
      <c r="B153" s="180" t="str">
        <f>[51]VALORIZACION!B90</f>
        <v xml:space="preserve"> TRANSPORTE DE ESTRUCTURA METÁLICA A OBRA</v>
      </c>
      <c r="C153" s="186"/>
      <c r="D153" s="220">
        <f>+[51]RESUMEN!G104</f>
        <v>0</v>
      </c>
      <c r="E153" s="186"/>
      <c r="F153" s="186"/>
      <c r="G153" s="187"/>
      <c r="H153" s="187"/>
      <c r="I153" s="187"/>
      <c r="J153" s="169"/>
      <c r="K153" s="188" t="str">
        <f>IF(L153=D153,"ok","falso")</f>
        <v>ok</v>
      </c>
      <c r="L153" s="185">
        <f t="shared" si="58"/>
        <v>0</v>
      </c>
      <c r="M153" s="189" t="e">
        <f t="shared" si="59"/>
        <v>#DIV/0!</v>
      </c>
      <c r="N153" s="189" t="e">
        <f t="shared" si="60"/>
        <v>#DIV/0!</v>
      </c>
      <c r="O153" s="189" t="e">
        <f t="shared" si="55"/>
        <v>#DIV/0!</v>
      </c>
      <c r="P153" s="171">
        <f t="shared" si="61"/>
        <v>0</v>
      </c>
      <c r="Q153" s="189" t="e">
        <f t="shared" si="62"/>
        <v>#DIV/0!</v>
      </c>
    </row>
    <row r="154" spans="1:17" ht="5.25" hidden="1" customHeight="1">
      <c r="A154" s="179"/>
      <c r="B154" s="180"/>
      <c r="C154" s="186"/>
      <c r="D154" s="181"/>
      <c r="E154" s="219"/>
      <c r="F154" s="182"/>
      <c r="G154" s="183"/>
      <c r="H154" s="183"/>
      <c r="I154" s="183"/>
      <c r="J154" s="184"/>
      <c r="K154" s="169"/>
      <c r="L154" s="185">
        <f t="shared" si="58"/>
        <v>0</v>
      </c>
      <c r="M154" s="189" t="e">
        <f t="shared" si="59"/>
        <v>#DIV/0!</v>
      </c>
      <c r="N154" s="189" t="e">
        <f t="shared" si="60"/>
        <v>#DIV/0!</v>
      </c>
      <c r="O154" s="189" t="e">
        <f t="shared" si="55"/>
        <v>#DIV/0!</v>
      </c>
      <c r="P154" s="171">
        <f t="shared" si="61"/>
        <v>0</v>
      </c>
      <c r="Q154" s="189" t="e">
        <f t="shared" si="62"/>
        <v>#DIV/0!</v>
      </c>
    </row>
    <row r="155" spans="1:17" ht="12.75" hidden="1" customHeight="1">
      <c r="A155" s="176"/>
      <c r="B155" s="180" t="str">
        <f>[51]VALORIZACION!B91</f>
        <v xml:space="preserve"> MONTAJE Y LANZAMIENTO DE ESTRUCTURA METÁLICA</v>
      </c>
      <c r="C155" s="186"/>
      <c r="D155" s="220">
        <f>+[51]RESUMEN!G106</f>
        <v>0</v>
      </c>
      <c r="E155" s="186"/>
      <c r="F155" s="186"/>
      <c r="G155" s="187"/>
      <c r="H155" s="187"/>
      <c r="I155" s="187"/>
      <c r="J155" s="169"/>
      <c r="K155" s="188" t="str">
        <f>IF(L155=D155,"ok","falso")</f>
        <v>ok</v>
      </c>
      <c r="L155" s="185">
        <f t="shared" si="58"/>
        <v>0</v>
      </c>
      <c r="M155" s="189" t="e">
        <f t="shared" si="59"/>
        <v>#DIV/0!</v>
      </c>
      <c r="N155" s="189" t="e">
        <f t="shared" si="60"/>
        <v>#DIV/0!</v>
      </c>
      <c r="O155" s="189" t="e">
        <f t="shared" si="55"/>
        <v>#DIV/0!</v>
      </c>
      <c r="P155" s="171">
        <f t="shared" si="61"/>
        <v>0</v>
      </c>
      <c r="Q155" s="189" t="e">
        <f t="shared" si="62"/>
        <v>#DIV/0!</v>
      </c>
    </row>
    <row r="156" spans="1:17" ht="12.75" hidden="1" customHeight="1">
      <c r="A156" s="178"/>
      <c r="B156" s="192" t="str">
        <f>[51]VALORIZACION!B92</f>
        <v xml:space="preserve">                VARIOS.</v>
      </c>
      <c r="C156" s="186"/>
      <c r="D156" s="220"/>
      <c r="E156" s="186"/>
      <c r="F156" s="186"/>
      <c r="G156" s="187"/>
      <c r="H156" s="187"/>
      <c r="I156" s="187"/>
      <c r="J156" s="169"/>
      <c r="K156" s="188"/>
      <c r="L156" s="185"/>
      <c r="M156" s="189"/>
      <c r="N156" s="189"/>
      <c r="O156" s="189"/>
      <c r="Q156" s="189"/>
    </row>
    <row r="157" spans="1:17" ht="12.75" hidden="1" customHeight="1">
      <c r="A157" s="178"/>
      <c r="B157" s="195" t="str">
        <f>[51]VALORIZACION!B93</f>
        <v xml:space="preserve">                    TUBERÍA PARA DRENAJE.</v>
      </c>
      <c r="C157" s="186"/>
      <c r="D157" s="220"/>
      <c r="E157" s="186"/>
      <c r="F157" s="186"/>
      <c r="G157" s="187"/>
      <c r="H157" s="187"/>
      <c r="I157" s="187"/>
      <c r="J157" s="169"/>
      <c r="K157" s="188"/>
      <c r="L157" s="185"/>
      <c r="M157" s="189"/>
      <c r="N157" s="189"/>
      <c r="O157" s="189"/>
      <c r="Q157" s="189"/>
    </row>
    <row r="158" spans="1:17" ht="5.25" hidden="1" customHeight="1">
      <c r="A158" s="179"/>
      <c r="B158" s="180"/>
      <c r="C158" s="186"/>
      <c r="D158" s="181"/>
      <c r="E158" s="219"/>
      <c r="F158" s="182"/>
      <c r="G158" s="183"/>
      <c r="H158" s="183"/>
      <c r="I158" s="183"/>
      <c r="J158" s="184"/>
      <c r="K158" s="169"/>
      <c r="L158" s="185">
        <f>SUM(E158:G158)</f>
        <v>0</v>
      </c>
      <c r="M158" s="189" t="e">
        <f>E158/D158</f>
        <v>#DIV/0!</v>
      </c>
      <c r="N158" s="189" t="e">
        <f>F158/D158</f>
        <v>#DIV/0!</v>
      </c>
      <c r="O158" s="189" t="e">
        <f t="shared" si="55"/>
        <v>#DIV/0!</v>
      </c>
      <c r="P158" s="171">
        <f>E158+F158+G158</f>
        <v>0</v>
      </c>
      <c r="Q158" s="189" t="e">
        <f>P158/D158</f>
        <v>#DIV/0!</v>
      </c>
    </row>
    <row r="159" spans="1:17" ht="12.75" hidden="1" customHeight="1">
      <c r="A159" s="176"/>
      <c r="B159" s="180" t="str">
        <f>[51]VALORIZACION!B94</f>
        <v xml:space="preserve"> TUBERIA DE PVC 3" PARA DRENAJE</v>
      </c>
      <c r="C159" s="186"/>
      <c r="D159" s="220">
        <f>+[51]RESUMEN!G108</f>
        <v>0</v>
      </c>
      <c r="E159" s="186"/>
      <c r="F159" s="186"/>
      <c r="G159" s="187"/>
      <c r="H159" s="187"/>
      <c r="I159" s="187"/>
      <c r="J159" s="169"/>
      <c r="K159" s="188" t="str">
        <f>IF(L159=D159,"ok","falso")</f>
        <v>ok</v>
      </c>
      <c r="L159" s="185">
        <f>SUM(E159:G159)</f>
        <v>0</v>
      </c>
      <c r="M159" s="189" t="e">
        <f>E159/D159</f>
        <v>#DIV/0!</v>
      </c>
      <c r="N159" s="189" t="e">
        <f>F159/D159</f>
        <v>#DIV/0!</v>
      </c>
      <c r="O159" s="189" t="e">
        <f t="shared" si="55"/>
        <v>#DIV/0!</v>
      </c>
      <c r="P159" s="171">
        <f>E159+F159+G159</f>
        <v>0</v>
      </c>
      <c r="Q159" s="189" t="e">
        <f>P159/D159</f>
        <v>#DIV/0!</v>
      </c>
    </row>
    <row r="160" spans="1:17" ht="12.75" hidden="1" customHeight="1">
      <c r="A160" s="178"/>
      <c r="B160" s="195" t="str">
        <f>[51]VALORIZACION!B95</f>
        <v xml:space="preserve">                    BARANDA METÁLICA.</v>
      </c>
      <c r="C160" s="186"/>
      <c r="D160" s="220"/>
      <c r="E160" s="186"/>
      <c r="F160" s="186"/>
      <c r="G160" s="187"/>
      <c r="H160" s="187"/>
      <c r="I160" s="187"/>
      <c r="J160" s="169"/>
      <c r="K160" s="188"/>
      <c r="L160" s="185"/>
      <c r="M160" s="189"/>
      <c r="N160" s="189"/>
      <c r="O160" s="189"/>
      <c r="Q160" s="189"/>
    </row>
    <row r="161" spans="1:17" ht="5.25" hidden="1" customHeight="1">
      <c r="A161" s="179"/>
      <c r="B161" s="180"/>
      <c r="C161" s="186"/>
      <c r="D161" s="181"/>
      <c r="E161" s="219"/>
      <c r="F161" s="182"/>
      <c r="G161" s="183"/>
      <c r="H161" s="183"/>
      <c r="I161" s="183"/>
      <c r="J161" s="184"/>
      <c r="K161" s="169"/>
      <c r="L161" s="185">
        <f>SUM(E161:G161)</f>
        <v>0</v>
      </c>
      <c r="M161" s="189" t="e">
        <f>E161/D161</f>
        <v>#DIV/0!</v>
      </c>
      <c r="N161" s="189" t="e">
        <f>F161/D161</f>
        <v>#DIV/0!</v>
      </c>
      <c r="O161" s="189" t="e">
        <f t="shared" si="55"/>
        <v>#DIV/0!</v>
      </c>
      <c r="P161" s="171">
        <f>E161+F161+G161</f>
        <v>0</v>
      </c>
      <c r="Q161" s="189" t="e">
        <f>P161/D161</f>
        <v>#DIV/0!</v>
      </c>
    </row>
    <row r="162" spans="1:17" ht="12.75" hidden="1" customHeight="1">
      <c r="A162" s="176"/>
      <c r="B162" s="180" t="str">
        <f>[51]VALORIZACION!B96</f>
        <v>BARANDA METÁLICA, INC. PINTURA (SEGUN DISEÑO)</v>
      </c>
      <c r="C162" s="186"/>
      <c r="D162" s="220">
        <f>+[51]RESUMEN!G110</f>
        <v>0</v>
      </c>
      <c r="E162" s="186"/>
      <c r="F162" s="186"/>
      <c r="G162" s="187"/>
      <c r="H162" s="187"/>
      <c r="I162" s="187"/>
      <c r="J162" s="169"/>
      <c r="K162" s="188" t="str">
        <f>IF(L162=D162,"ok","falso")</f>
        <v>ok</v>
      </c>
      <c r="L162" s="185">
        <f>SUM(E162:G162)</f>
        <v>0</v>
      </c>
      <c r="M162" s="189" t="e">
        <f>E162/D162</f>
        <v>#DIV/0!</v>
      </c>
      <c r="N162" s="189" t="e">
        <f>F162/D162</f>
        <v>#DIV/0!</v>
      </c>
      <c r="O162" s="189" t="e">
        <f t="shared" si="55"/>
        <v>#DIV/0!</v>
      </c>
      <c r="P162" s="171">
        <f>E162+F162+G162</f>
        <v>0</v>
      </c>
      <c r="Q162" s="189" t="e">
        <f>P162/D162</f>
        <v>#DIV/0!</v>
      </c>
    </row>
    <row r="163" spans="1:17" ht="12.75" hidden="1" customHeight="1">
      <c r="A163" s="178"/>
      <c r="B163" s="195" t="str">
        <f>[51]VALORIZACION!B97</f>
        <v xml:space="preserve">                    PINTURA .</v>
      </c>
      <c r="C163" s="186"/>
      <c r="D163" s="220"/>
      <c r="E163" s="186"/>
      <c r="F163" s="186"/>
      <c r="G163" s="187"/>
      <c r="H163" s="187"/>
      <c r="I163" s="187"/>
      <c r="J163" s="169"/>
      <c r="K163" s="188"/>
      <c r="L163" s="185"/>
      <c r="M163" s="189"/>
      <c r="N163" s="189"/>
      <c r="O163" s="189"/>
      <c r="Q163" s="189"/>
    </row>
    <row r="164" spans="1:17" ht="5.25" hidden="1" customHeight="1">
      <c r="A164" s="179"/>
      <c r="B164" s="180"/>
      <c r="C164" s="186"/>
      <c r="D164" s="181"/>
      <c r="E164" s="219"/>
      <c r="F164" s="182"/>
      <c r="G164" s="183"/>
      <c r="H164" s="183"/>
      <c r="I164" s="183"/>
      <c r="J164" s="184"/>
      <c r="K164" s="169"/>
      <c r="L164" s="185">
        <f>SUM(E164:G164)</f>
        <v>0</v>
      </c>
      <c r="M164" s="189" t="e">
        <f>E164/D164</f>
        <v>#DIV/0!</v>
      </c>
      <c r="N164" s="189" t="e">
        <f>F164/D164</f>
        <v>#DIV/0!</v>
      </c>
      <c r="O164" s="189" t="e">
        <f t="shared" si="55"/>
        <v>#DIV/0!</v>
      </c>
      <c r="P164" s="171">
        <f>E164+F164+G164</f>
        <v>0</v>
      </c>
      <c r="Q164" s="189" t="e">
        <f>P164/D164</f>
        <v>#DIV/0!</v>
      </c>
    </row>
    <row r="165" spans="1:17" ht="12.75" hidden="1" customHeight="1">
      <c r="A165" s="176"/>
      <c r="B165" s="180" t="str">
        <f>[51]VALORIZACION!B98</f>
        <v xml:space="preserve"> PINTURA EN SARDINELES</v>
      </c>
      <c r="C165" s="186"/>
      <c r="D165" s="220">
        <f>+[51]RESUMEN!G112</f>
        <v>0</v>
      </c>
      <c r="E165" s="186"/>
      <c r="F165" s="186"/>
      <c r="G165" s="187"/>
      <c r="H165" s="187"/>
      <c r="I165" s="187"/>
      <c r="J165" s="169"/>
      <c r="K165" s="188" t="str">
        <f>IF(L165=D165,"ok","falso")</f>
        <v>ok</v>
      </c>
      <c r="L165" s="185">
        <f>SUM(E165:G165)</f>
        <v>0</v>
      </c>
      <c r="M165" s="189" t="e">
        <f>E165/D165</f>
        <v>#DIV/0!</v>
      </c>
      <c r="N165" s="189" t="e">
        <f>F165/D165</f>
        <v>#DIV/0!</v>
      </c>
      <c r="O165" s="189" t="e">
        <f t="shared" si="55"/>
        <v>#DIV/0!</v>
      </c>
      <c r="P165" s="171">
        <f>E165+F165+G165</f>
        <v>0</v>
      </c>
      <c r="Q165" s="189" t="e">
        <f>P165/D165</f>
        <v>#DIV/0!</v>
      </c>
    </row>
    <row r="166" spans="1:17" ht="12.75" hidden="1" customHeight="1">
      <c r="A166" s="178"/>
      <c r="B166" s="195" t="str">
        <f>[51]VALORIZACION!B99</f>
        <v xml:space="preserve">                    ELEMENTOS DE APOYO.</v>
      </c>
      <c r="C166" s="186"/>
      <c r="D166" s="220"/>
      <c r="E166" s="186"/>
      <c r="F166" s="186"/>
      <c r="G166" s="187"/>
      <c r="H166" s="187"/>
      <c r="I166" s="187"/>
      <c r="J166" s="169"/>
      <c r="K166" s="188"/>
      <c r="L166" s="185"/>
      <c r="M166" s="189"/>
      <c r="N166" s="189"/>
      <c r="O166" s="189"/>
      <c r="Q166" s="189"/>
    </row>
    <row r="167" spans="1:17" ht="5.25" hidden="1" customHeight="1">
      <c r="A167" s="179"/>
      <c r="B167" s="180"/>
      <c r="C167" s="186"/>
      <c r="D167" s="181"/>
      <c r="E167" s="219"/>
      <c r="F167" s="182"/>
      <c r="G167" s="183"/>
      <c r="H167" s="183"/>
      <c r="I167" s="183"/>
      <c r="J167" s="184"/>
      <c r="K167" s="169"/>
      <c r="L167" s="185">
        <f>SUM(E167:G167)</f>
        <v>0</v>
      </c>
      <c r="M167" s="189" t="e">
        <f>E167/D167</f>
        <v>#DIV/0!</v>
      </c>
      <c r="N167" s="189" t="e">
        <f>F167/D167</f>
        <v>#DIV/0!</v>
      </c>
      <c r="O167" s="189" t="e">
        <f t="shared" si="55"/>
        <v>#DIV/0!</v>
      </c>
      <c r="P167" s="171">
        <f>E167+F167+G167</f>
        <v>0</v>
      </c>
      <c r="Q167" s="189" t="e">
        <f>P167/D167</f>
        <v>#DIV/0!</v>
      </c>
    </row>
    <row r="168" spans="1:17" ht="12.75" hidden="1" customHeight="1">
      <c r="A168" s="176"/>
      <c r="B168" s="180" t="str">
        <f>[51]VALORIZACION!B100</f>
        <v xml:space="preserve"> APOYO DE NEOPRENO FIJO</v>
      </c>
      <c r="C168" s="186"/>
      <c r="D168" s="220">
        <f>+[51]RESUMEN!G114</f>
        <v>0</v>
      </c>
      <c r="E168" s="186"/>
      <c r="F168" s="186"/>
      <c r="G168" s="187"/>
      <c r="H168" s="187"/>
      <c r="I168" s="187"/>
      <c r="J168" s="169"/>
      <c r="K168" s="188" t="str">
        <f>IF(L168=D168,"ok","falso")</f>
        <v>ok</v>
      </c>
      <c r="L168" s="185">
        <f>SUM(E168:G168)</f>
        <v>0</v>
      </c>
      <c r="M168" s="189" t="e">
        <f>E168/D168</f>
        <v>#DIV/0!</v>
      </c>
      <c r="N168" s="189" t="e">
        <f>F168/D168</f>
        <v>#DIV/0!</v>
      </c>
      <c r="O168" s="189" t="e">
        <f t="shared" si="55"/>
        <v>#DIV/0!</v>
      </c>
      <c r="P168" s="171">
        <f>E168+F168+G168</f>
        <v>0</v>
      </c>
      <c r="Q168" s="189" t="e">
        <f>P168/D168</f>
        <v>#DIV/0!</v>
      </c>
    </row>
    <row r="169" spans="1:17" ht="5.25" hidden="1" customHeight="1">
      <c r="A169" s="179"/>
      <c r="B169" s="180"/>
      <c r="C169" s="186"/>
      <c r="D169" s="181"/>
      <c r="E169" s="219"/>
      <c r="F169" s="182"/>
      <c r="G169" s="183"/>
      <c r="H169" s="183"/>
      <c r="I169" s="183"/>
      <c r="J169" s="184"/>
      <c r="K169" s="169"/>
      <c r="L169" s="185">
        <f>SUM(E169:G169)</f>
        <v>0</v>
      </c>
      <c r="M169" s="189" t="e">
        <f>E169/D169</f>
        <v>#DIV/0!</v>
      </c>
      <c r="N169" s="189" t="e">
        <f>F169/D169</f>
        <v>#DIV/0!</v>
      </c>
      <c r="O169" s="189" t="e">
        <f t="shared" si="55"/>
        <v>#DIV/0!</v>
      </c>
      <c r="P169" s="171">
        <f>E169+F169+G169</f>
        <v>0</v>
      </c>
      <c r="Q169" s="189" t="e">
        <f>P169/D169</f>
        <v>#DIV/0!</v>
      </c>
    </row>
    <row r="170" spans="1:17" ht="12.75" hidden="1" customHeight="1">
      <c r="A170" s="176"/>
      <c r="B170" s="180" t="str">
        <f>[51]VALORIZACION!B101</f>
        <v xml:space="preserve"> APOYO DE NEOPRENO MOVIL</v>
      </c>
      <c r="C170" s="186"/>
      <c r="D170" s="220">
        <f>+[51]RESUMEN!G116</f>
        <v>0</v>
      </c>
      <c r="E170" s="186"/>
      <c r="F170" s="186"/>
      <c r="G170" s="187"/>
      <c r="H170" s="187"/>
      <c r="I170" s="187"/>
      <c r="J170" s="169"/>
      <c r="K170" s="188" t="str">
        <f>IF(L170=D170,"ok","falso")</f>
        <v>ok</v>
      </c>
      <c r="L170" s="185">
        <f>SUM(E170:G170)</f>
        <v>0</v>
      </c>
      <c r="M170" s="189" t="e">
        <f>E170/D170</f>
        <v>#DIV/0!</v>
      </c>
      <c r="N170" s="189" t="e">
        <f>F170/D170</f>
        <v>#DIV/0!</v>
      </c>
      <c r="O170" s="189" t="e">
        <f t="shared" si="55"/>
        <v>#DIV/0!</v>
      </c>
      <c r="P170" s="171">
        <f>E170+F170+G170</f>
        <v>0</v>
      </c>
      <c r="Q170" s="189" t="e">
        <f>P170/D170</f>
        <v>#DIV/0!</v>
      </c>
    </row>
    <row r="171" spans="1:17" ht="12.75" hidden="1" customHeight="1">
      <c r="A171" s="178"/>
      <c r="B171" s="195" t="str">
        <f>[51]VALORIZACION!B102</f>
        <v xml:space="preserve">                    UÑA DE HINCADO.</v>
      </c>
      <c r="C171" s="186"/>
      <c r="D171" s="220"/>
      <c r="E171" s="186"/>
      <c r="F171" s="186"/>
      <c r="G171" s="187"/>
      <c r="H171" s="187"/>
      <c r="I171" s="187"/>
      <c r="J171" s="169"/>
      <c r="K171" s="188"/>
      <c r="L171" s="185"/>
      <c r="M171" s="189"/>
      <c r="N171" s="189"/>
      <c r="O171" s="189"/>
      <c r="Q171" s="189"/>
    </row>
    <row r="172" spans="1:17" ht="5.25" hidden="1" customHeight="1">
      <c r="A172" s="179"/>
      <c r="B172" s="180"/>
      <c r="C172" s="186"/>
      <c r="D172" s="181"/>
      <c r="E172" s="219"/>
      <c r="F172" s="182"/>
      <c r="G172" s="183"/>
      <c r="H172" s="183"/>
      <c r="I172" s="183"/>
      <c r="J172" s="184"/>
      <c r="K172" s="169"/>
      <c r="L172" s="185">
        <f>SUM(E172:G172)</f>
        <v>0</v>
      </c>
      <c r="M172" s="189" t="e">
        <f>E172/D172</f>
        <v>#DIV/0!</v>
      </c>
      <c r="N172" s="189" t="e">
        <f>F172/D172</f>
        <v>#DIV/0!</v>
      </c>
      <c r="O172" s="189" t="e">
        <f t="shared" si="55"/>
        <v>#DIV/0!</v>
      </c>
      <c r="P172" s="171">
        <f>E172+F172+G172</f>
        <v>0</v>
      </c>
      <c r="Q172" s="189" t="e">
        <f>P172/D172</f>
        <v>#DIV/0!</v>
      </c>
    </row>
    <row r="173" spans="1:17" ht="12.75" hidden="1" customHeight="1">
      <c r="A173" s="176"/>
      <c r="B173" s="180" t="str">
        <f>[51]VALORIZACION!B103</f>
        <v>FABRICACIÓN DE ESTRUCTURA METÁLICA (UÑA)</v>
      </c>
      <c r="C173" s="186"/>
      <c r="D173" s="220">
        <f>+[51]RESUMEN!G118</f>
        <v>0</v>
      </c>
      <c r="E173" s="186"/>
      <c r="F173" s="186"/>
      <c r="G173" s="187"/>
      <c r="H173" s="187"/>
      <c r="I173" s="187"/>
      <c r="J173" s="169"/>
      <c r="K173" s="188" t="str">
        <f>IF(L173=D173,"ok","falso")</f>
        <v>ok</v>
      </c>
      <c r="L173" s="185">
        <f>SUM(E173:G173)</f>
        <v>0</v>
      </c>
      <c r="M173" s="189" t="e">
        <f>E173/D173</f>
        <v>#DIV/0!</v>
      </c>
      <c r="N173" s="189" t="e">
        <f>F173/D173</f>
        <v>#DIV/0!</v>
      </c>
      <c r="O173" s="189" t="e">
        <f t="shared" si="55"/>
        <v>#DIV/0!</v>
      </c>
      <c r="P173" s="171">
        <f>E173+F173+G173</f>
        <v>0</v>
      </c>
      <c r="Q173" s="189" t="e">
        <f>P173/D173</f>
        <v>#DIV/0!</v>
      </c>
    </row>
    <row r="174" spans="1:17" ht="12.75" hidden="1" customHeight="1">
      <c r="A174" s="178"/>
      <c r="B174" s="195" t="str">
        <f>[51]VALORIZACION!B104</f>
        <v xml:space="preserve">                    DOWELLS DE ANCLAJE.</v>
      </c>
      <c r="C174" s="186"/>
      <c r="D174" s="220"/>
      <c r="E174" s="186"/>
      <c r="F174" s="186"/>
      <c r="G174" s="187"/>
      <c r="H174" s="187"/>
      <c r="I174" s="187"/>
      <c r="J174" s="169"/>
      <c r="K174" s="188"/>
      <c r="L174" s="185"/>
      <c r="M174" s="189"/>
      <c r="N174" s="189"/>
      <c r="O174" s="189"/>
      <c r="Q174" s="189"/>
    </row>
    <row r="175" spans="1:17" ht="5.25" hidden="1" customHeight="1">
      <c r="A175" s="179"/>
      <c r="B175" s="180"/>
      <c r="C175" s="186"/>
      <c r="D175" s="181"/>
      <c r="E175" s="219"/>
      <c r="F175" s="182"/>
      <c r="G175" s="183"/>
      <c r="H175" s="183"/>
      <c r="I175" s="183"/>
      <c r="J175" s="184"/>
      <c r="K175" s="169"/>
      <c r="L175" s="185">
        <f>SUM(E175:G175)</f>
        <v>0</v>
      </c>
      <c r="M175" s="189" t="e">
        <f>E175/D175</f>
        <v>#DIV/0!</v>
      </c>
      <c r="N175" s="189" t="e">
        <f>F175/D175</f>
        <v>#DIV/0!</v>
      </c>
      <c r="O175" s="189" t="e">
        <f t="shared" si="55"/>
        <v>#DIV/0!</v>
      </c>
      <c r="P175" s="171">
        <f>E175+F175+G175</f>
        <v>0</v>
      </c>
      <c r="Q175" s="189" t="e">
        <f>P175/D175</f>
        <v>#DIV/0!</v>
      </c>
    </row>
    <row r="176" spans="1:17" ht="12.75" hidden="1" customHeight="1">
      <c r="A176" s="176"/>
      <c r="B176" s="180" t="str">
        <f>[51]VALORIZACION!B105</f>
        <v xml:space="preserve"> DOWELLS DE ANCLAJE D=1"</v>
      </c>
      <c r="C176" s="186"/>
      <c r="D176" s="220">
        <f>+[51]RESUMEN!G120</f>
        <v>0</v>
      </c>
      <c r="E176" s="186"/>
      <c r="F176" s="186"/>
      <c r="G176" s="187"/>
      <c r="H176" s="187"/>
      <c r="I176" s="187"/>
      <c r="J176" s="169"/>
      <c r="K176" s="188" t="str">
        <f>IF(L176=D176,"ok","falso")</f>
        <v>ok</v>
      </c>
      <c r="L176" s="185">
        <f>SUM(E176:G176)</f>
        <v>0</v>
      </c>
      <c r="M176" s="189" t="e">
        <f>E176/D176</f>
        <v>#DIV/0!</v>
      </c>
      <c r="N176" s="189" t="e">
        <f>F176/D176</f>
        <v>#DIV/0!</v>
      </c>
      <c r="O176" s="189" t="e">
        <f t="shared" si="55"/>
        <v>#DIV/0!</v>
      </c>
      <c r="P176" s="171">
        <f>E176+F176+G176</f>
        <v>0</v>
      </c>
      <c r="Q176" s="189" t="e">
        <f>P176/D176</f>
        <v>#DIV/0!</v>
      </c>
    </row>
    <row r="177" spans="1:17" ht="12.75" hidden="1" customHeight="1">
      <c r="A177" s="178"/>
      <c r="B177" s="195" t="str">
        <f>[51]VALORIZACION!B106</f>
        <v xml:space="preserve">                    LOSA DE APROXIMACIÓN.</v>
      </c>
      <c r="C177" s="186"/>
      <c r="D177" s="220"/>
      <c r="E177" s="186"/>
      <c r="F177" s="186"/>
      <c r="G177" s="187"/>
      <c r="H177" s="187"/>
      <c r="I177" s="187"/>
      <c r="J177" s="169"/>
      <c r="K177" s="188"/>
      <c r="L177" s="185"/>
      <c r="M177" s="189"/>
      <c r="N177" s="189"/>
      <c r="O177" s="189"/>
      <c r="Q177" s="189"/>
    </row>
    <row r="178" spans="1:17" ht="5.25" hidden="1" customHeight="1">
      <c r="A178" s="179"/>
      <c r="B178" s="180"/>
      <c r="C178" s="186"/>
      <c r="D178" s="181"/>
      <c r="E178" s="219"/>
      <c r="F178" s="182"/>
      <c r="G178" s="183"/>
      <c r="H178" s="183"/>
      <c r="I178" s="183"/>
      <c r="J178" s="184"/>
      <c r="K178" s="169"/>
      <c r="L178" s="185">
        <f t="shared" ref="L178:L185" si="63">SUM(E178:G178)</f>
        <v>0</v>
      </c>
      <c r="M178" s="189" t="e">
        <f t="shared" ref="M178:M185" si="64">E178/D178</f>
        <v>#DIV/0!</v>
      </c>
      <c r="N178" s="189" t="e">
        <f t="shared" ref="N178:N185" si="65">F178/D178</f>
        <v>#DIV/0!</v>
      </c>
      <c r="O178" s="189" t="e">
        <f t="shared" si="55"/>
        <v>#DIV/0!</v>
      </c>
      <c r="P178" s="171">
        <f t="shared" ref="P178:P185" si="66">E178+F178+G178</f>
        <v>0</v>
      </c>
      <c r="Q178" s="189" t="e">
        <f t="shared" ref="Q178:Q185" si="67">P178/D178</f>
        <v>#DIV/0!</v>
      </c>
    </row>
    <row r="179" spans="1:17" ht="12.75" hidden="1" customHeight="1">
      <c r="A179" s="176"/>
      <c r="B179" s="180" t="str">
        <f>[51]VALORIZACION!B107</f>
        <v xml:space="preserve"> ACERO DE REFUERZO GRADO 60</v>
      </c>
      <c r="C179" s="186"/>
      <c r="D179" s="220">
        <f>+[51]RESUMEN!G122</f>
        <v>0</v>
      </c>
      <c r="E179" s="186"/>
      <c r="F179" s="186"/>
      <c r="G179" s="187"/>
      <c r="H179" s="187"/>
      <c r="I179" s="187"/>
      <c r="J179" s="169"/>
      <c r="K179" s="188" t="str">
        <f>IF(L179=D179,"ok","falso")</f>
        <v>ok</v>
      </c>
      <c r="L179" s="185">
        <f t="shared" si="63"/>
        <v>0</v>
      </c>
      <c r="M179" s="189" t="e">
        <f t="shared" si="64"/>
        <v>#DIV/0!</v>
      </c>
      <c r="N179" s="189" t="e">
        <f t="shared" si="65"/>
        <v>#DIV/0!</v>
      </c>
      <c r="O179" s="189" t="e">
        <f t="shared" si="55"/>
        <v>#DIV/0!</v>
      </c>
      <c r="P179" s="171">
        <f t="shared" si="66"/>
        <v>0</v>
      </c>
      <c r="Q179" s="189" t="e">
        <f t="shared" si="67"/>
        <v>#DIV/0!</v>
      </c>
    </row>
    <row r="180" spans="1:17" ht="5.25" hidden="1" customHeight="1">
      <c r="A180" s="179"/>
      <c r="B180" s="180"/>
      <c r="C180" s="186"/>
      <c r="D180" s="181"/>
      <c r="E180" s="219"/>
      <c r="F180" s="182"/>
      <c r="G180" s="183"/>
      <c r="H180" s="183"/>
      <c r="I180" s="183"/>
      <c r="J180" s="184"/>
      <c r="K180" s="169"/>
      <c r="L180" s="185">
        <f t="shared" si="63"/>
        <v>0</v>
      </c>
      <c r="M180" s="189" t="e">
        <f t="shared" si="64"/>
        <v>#DIV/0!</v>
      </c>
      <c r="N180" s="189" t="e">
        <f t="shared" si="65"/>
        <v>#DIV/0!</v>
      </c>
      <c r="O180" s="189" t="e">
        <f t="shared" si="55"/>
        <v>#DIV/0!</v>
      </c>
      <c r="P180" s="171">
        <f t="shared" si="66"/>
        <v>0</v>
      </c>
      <c r="Q180" s="189" t="e">
        <f t="shared" si="67"/>
        <v>#DIV/0!</v>
      </c>
    </row>
    <row r="181" spans="1:17" ht="12.75" hidden="1" customHeight="1">
      <c r="A181" s="176"/>
      <c r="B181" s="180" t="str">
        <f>[51]VALORIZACION!B108</f>
        <v>ENCOFRADO Y DESENCOFRADO PARA OBRAS DE ARTE</v>
      </c>
      <c r="C181" s="186"/>
      <c r="D181" s="220">
        <f>+[51]RESUMEN!G124</f>
        <v>0</v>
      </c>
      <c r="E181" s="186"/>
      <c r="F181" s="186"/>
      <c r="G181" s="187"/>
      <c r="H181" s="187"/>
      <c r="I181" s="187"/>
      <c r="J181" s="169"/>
      <c r="K181" s="188" t="str">
        <f>IF(L181=D181,"ok","falso")</f>
        <v>ok</v>
      </c>
      <c r="L181" s="185">
        <f t="shared" si="63"/>
        <v>0</v>
      </c>
      <c r="M181" s="189" t="e">
        <f t="shared" si="64"/>
        <v>#DIV/0!</v>
      </c>
      <c r="N181" s="189" t="e">
        <f t="shared" si="65"/>
        <v>#DIV/0!</v>
      </c>
      <c r="O181" s="189" t="e">
        <f t="shared" si="55"/>
        <v>#DIV/0!</v>
      </c>
      <c r="P181" s="171">
        <f t="shared" si="66"/>
        <v>0</v>
      </c>
      <c r="Q181" s="189" t="e">
        <f t="shared" si="67"/>
        <v>#DIV/0!</v>
      </c>
    </row>
    <row r="182" spans="1:17" ht="5.25" hidden="1" customHeight="1">
      <c r="A182" s="179"/>
      <c r="B182" s="180"/>
      <c r="C182" s="186"/>
      <c r="D182" s="181"/>
      <c r="E182" s="219"/>
      <c r="F182" s="182"/>
      <c r="G182" s="183"/>
      <c r="H182" s="183"/>
      <c r="I182" s="183"/>
      <c r="J182" s="184"/>
      <c r="K182" s="169"/>
      <c r="L182" s="185">
        <f t="shared" si="63"/>
        <v>0</v>
      </c>
      <c r="M182" s="189" t="e">
        <f t="shared" si="64"/>
        <v>#DIV/0!</v>
      </c>
      <c r="N182" s="189" t="e">
        <f t="shared" si="65"/>
        <v>#DIV/0!</v>
      </c>
      <c r="O182" s="189" t="e">
        <f t="shared" si="55"/>
        <v>#DIV/0!</v>
      </c>
      <c r="P182" s="171">
        <f t="shared" si="66"/>
        <v>0</v>
      </c>
      <c r="Q182" s="189" t="e">
        <f t="shared" si="67"/>
        <v>#DIV/0!</v>
      </c>
    </row>
    <row r="183" spans="1:17" ht="12.75" hidden="1" customHeight="1">
      <c r="A183" s="176"/>
      <c r="B183" s="180" t="str">
        <f>[51]VALORIZACION!B109</f>
        <v xml:space="preserve"> CONCRETO f'c=210 kg/cm2</v>
      </c>
      <c r="C183" s="186"/>
      <c r="D183" s="220">
        <f>+[51]RESUMEN!G126</f>
        <v>0</v>
      </c>
      <c r="E183" s="186"/>
      <c r="F183" s="186"/>
      <c r="G183" s="187"/>
      <c r="H183" s="187"/>
      <c r="I183" s="187"/>
      <c r="J183" s="169"/>
      <c r="K183" s="188" t="str">
        <f>IF(L183=D183,"ok","falso")</f>
        <v>ok</v>
      </c>
      <c r="L183" s="185">
        <f t="shared" si="63"/>
        <v>0</v>
      </c>
      <c r="M183" s="189" t="e">
        <f t="shared" si="64"/>
        <v>#DIV/0!</v>
      </c>
      <c r="N183" s="189" t="e">
        <f t="shared" si="65"/>
        <v>#DIV/0!</v>
      </c>
      <c r="O183" s="189" t="e">
        <f t="shared" si="55"/>
        <v>#DIV/0!</v>
      </c>
      <c r="P183" s="171">
        <f t="shared" si="66"/>
        <v>0</v>
      </c>
      <c r="Q183" s="189" t="e">
        <f t="shared" si="67"/>
        <v>#DIV/0!</v>
      </c>
    </row>
    <row r="184" spans="1:17" ht="5.25" hidden="1" customHeight="1">
      <c r="A184" s="179"/>
      <c r="B184" s="180"/>
      <c r="C184" s="186"/>
      <c r="D184" s="181"/>
      <c r="E184" s="219"/>
      <c r="F184" s="182"/>
      <c r="G184" s="183"/>
      <c r="H184" s="183"/>
      <c r="I184" s="183"/>
      <c r="J184" s="184"/>
      <c r="K184" s="169"/>
      <c r="L184" s="185">
        <f t="shared" si="63"/>
        <v>0</v>
      </c>
      <c r="M184" s="189" t="e">
        <f t="shared" si="64"/>
        <v>#DIV/0!</v>
      </c>
      <c r="N184" s="189" t="e">
        <f t="shared" si="65"/>
        <v>#DIV/0!</v>
      </c>
      <c r="O184" s="189" t="e">
        <f t="shared" si="55"/>
        <v>#DIV/0!</v>
      </c>
      <c r="P184" s="171">
        <f t="shared" si="66"/>
        <v>0</v>
      </c>
      <c r="Q184" s="189" t="e">
        <f t="shared" si="67"/>
        <v>#DIV/0!</v>
      </c>
    </row>
    <row r="185" spans="1:17" ht="12.75" hidden="1" customHeight="1">
      <c r="A185" s="176"/>
      <c r="B185" s="180" t="str">
        <f>[51]VALORIZACION!B110</f>
        <v>CURADO DE CONCRETO</v>
      </c>
      <c r="C185" s="186"/>
      <c r="D185" s="220">
        <f>+[51]RESUMEN!G128</f>
        <v>0</v>
      </c>
      <c r="E185" s="186"/>
      <c r="F185" s="186"/>
      <c r="G185" s="187"/>
      <c r="H185" s="187"/>
      <c r="I185" s="187"/>
      <c r="J185" s="169"/>
      <c r="K185" s="188" t="str">
        <f>IF(L185=D185,"ok","falso")</f>
        <v>ok</v>
      </c>
      <c r="L185" s="185">
        <f t="shared" si="63"/>
        <v>0</v>
      </c>
      <c r="M185" s="189" t="e">
        <f t="shared" si="64"/>
        <v>#DIV/0!</v>
      </c>
      <c r="N185" s="189" t="e">
        <f t="shared" si="65"/>
        <v>#DIV/0!</v>
      </c>
      <c r="O185" s="189" t="e">
        <f t="shared" si="55"/>
        <v>#DIV/0!</v>
      </c>
      <c r="P185" s="171">
        <f t="shared" si="66"/>
        <v>0</v>
      </c>
      <c r="Q185" s="189" t="e">
        <f t="shared" si="67"/>
        <v>#DIV/0!</v>
      </c>
    </row>
    <row r="186" spans="1:17" ht="12.75">
      <c r="A186" s="178"/>
      <c r="B186" s="191" t="str">
        <f>[51]VALORIZACION!B111</f>
        <v xml:space="preserve">            PARTIDAS COMPLEMENTARIAS Y PRUEBAS DE LABORATORIO</v>
      </c>
      <c r="C186" s="186"/>
      <c r="D186" s="220"/>
      <c r="E186" s="186"/>
      <c r="F186" s="186"/>
      <c r="G186" s="187"/>
      <c r="H186" s="187"/>
      <c r="I186" s="187"/>
      <c r="J186" s="169"/>
      <c r="K186" s="188"/>
      <c r="L186" s="185"/>
      <c r="M186" s="189"/>
      <c r="N186" s="189"/>
      <c r="O186" s="189"/>
      <c r="Q186" s="189"/>
    </row>
    <row r="187" spans="1:17" ht="5.25" customHeight="1">
      <c r="A187" s="179"/>
      <c r="B187" s="180"/>
      <c r="C187" s="186"/>
      <c r="D187" s="181"/>
      <c r="E187" s="219"/>
      <c r="F187" s="182"/>
      <c r="G187" s="183"/>
      <c r="H187" s="183"/>
      <c r="I187" s="183"/>
      <c r="J187" s="184"/>
      <c r="K187" s="169"/>
      <c r="L187" s="185">
        <f t="shared" ref="L187:L200" si="68">SUM(E187:G187)</f>
        <v>0</v>
      </c>
      <c r="M187" s="189" t="e">
        <f t="shared" ref="M187:M200" si="69">E187/D187</f>
        <v>#DIV/0!</v>
      </c>
      <c r="N187" s="189" t="e">
        <f t="shared" ref="N187:N200" si="70">F187/D187</f>
        <v>#DIV/0!</v>
      </c>
      <c r="O187" s="189" t="e">
        <f t="shared" si="55"/>
        <v>#DIV/0!</v>
      </c>
      <c r="P187" s="171">
        <f t="shared" ref="P187:P200" si="71">E187+F187+G187</f>
        <v>0</v>
      </c>
      <c r="Q187" s="189" t="e">
        <f t="shared" ref="Q187:Q200" si="72">P187/D187</f>
        <v>#DIV/0!</v>
      </c>
    </row>
    <row r="188" spans="1:17" ht="12.75">
      <c r="A188" s="176"/>
      <c r="B188" s="180" t="str">
        <f>[51]VALORIZACION!B112</f>
        <v>DISEÑO DE MEZCLA (CONCRETO)</v>
      </c>
      <c r="C188" s="186"/>
      <c r="D188" s="220">
        <f>+[51]RESUMEN!G130</f>
        <v>0</v>
      </c>
      <c r="E188" s="443"/>
      <c r="F188" s="443"/>
      <c r="G188" s="450"/>
      <c r="H188" s="449"/>
      <c r="I188" s="449"/>
      <c r="J188" s="169"/>
      <c r="K188" s="188" t="str">
        <f>IF(L188=D188,"ok","falso")</f>
        <v>ok</v>
      </c>
      <c r="L188" s="185">
        <f t="shared" si="68"/>
        <v>0</v>
      </c>
      <c r="M188" s="189" t="e">
        <f t="shared" si="69"/>
        <v>#DIV/0!</v>
      </c>
      <c r="N188" s="189" t="e">
        <f t="shared" si="70"/>
        <v>#DIV/0!</v>
      </c>
      <c r="O188" s="189" t="e">
        <f t="shared" si="55"/>
        <v>#DIV/0!</v>
      </c>
      <c r="P188" s="171">
        <f t="shared" si="71"/>
        <v>0</v>
      </c>
      <c r="Q188" s="189" t="e">
        <f t="shared" si="72"/>
        <v>#DIV/0!</v>
      </c>
    </row>
    <row r="189" spans="1:17" ht="5.25" customHeight="1">
      <c r="A189" s="179"/>
      <c r="B189" s="180"/>
      <c r="C189" s="186"/>
      <c r="D189" s="181"/>
      <c r="E189" s="219"/>
      <c r="F189" s="445"/>
      <c r="G189" s="451"/>
      <c r="H189" s="451"/>
      <c r="I189" s="451"/>
      <c r="J189" s="184"/>
      <c r="K189" s="169"/>
      <c r="L189" s="185">
        <f t="shared" si="68"/>
        <v>0</v>
      </c>
      <c r="M189" s="189" t="e">
        <f t="shared" si="69"/>
        <v>#DIV/0!</v>
      </c>
      <c r="N189" s="189" t="e">
        <f t="shared" si="70"/>
        <v>#DIV/0!</v>
      </c>
      <c r="O189" s="189" t="e">
        <f t="shared" si="55"/>
        <v>#DIV/0!</v>
      </c>
      <c r="P189" s="171">
        <f t="shared" si="71"/>
        <v>0</v>
      </c>
      <c r="Q189" s="189" t="e">
        <f t="shared" si="72"/>
        <v>#DIV/0!</v>
      </c>
    </row>
    <row r="190" spans="1:17" ht="12.75">
      <c r="A190" s="176"/>
      <c r="B190" s="180" t="str">
        <f>[51]VALORIZACION!B113</f>
        <v xml:space="preserve"> TESTIGOS DE CONCRETO (BRIQUETAS) Y SLUMP TEST</v>
      </c>
      <c r="C190" s="186"/>
      <c r="D190" s="220">
        <f>+[51]RESUMEN!G132</f>
        <v>0</v>
      </c>
      <c r="E190" s="443"/>
      <c r="F190" s="443"/>
      <c r="G190" s="450"/>
      <c r="H190" s="449"/>
      <c r="I190" s="449"/>
      <c r="J190" s="169"/>
      <c r="K190" s="188" t="str">
        <f>IF(L190=D190,"ok","falso")</f>
        <v>ok</v>
      </c>
      <c r="L190" s="185">
        <f t="shared" si="68"/>
        <v>0</v>
      </c>
      <c r="M190" s="189" t="e">
        <f t="shared" si="69"/>
        <v>#DIV/0!</v>
      </c>
      <c r="N190" s="189" t="e">
        <f t="shared" si="70"/>
        <v>#DIV/0!</v>
      </c>
      <c r="O190" s="189" t="e">
        <f t="shared" si="55"/>
        <v>#DIV/0!</v>
      </c>
      <c r="P190" s="171">
        <f t="shared" si="71"/>
        <v>0</v>
      </c>
      <c r="Q190" s="189" t="e">
        <f t="shared" si="72"/>
        <v>#DIV/0!</v>
      </c>
    </row>
    <row r="191" spans="1:17" ht="5.25" customHeight="1">
      <c r="A191" s="179"/>
      <c r="B191" s="180"/>
      <c r="C191" s="186"/>
      <c r="D191" s="181"/>
      <c r="E191" s="219"/>
      <c r="F191" s="445"/>
      <c r="G191" s="451"/>
      <c r="H191" s="451"/>
      <c r="I191" s="451"/>
      <c r="J191" s="184"/>
      <c r="K191" s="169"/>
      <c r="L191" s="185">
        <f t="shared" si="68"/>
        <v>0</v>
      </c>
      <c r="M191" s="189" t="e">
        <f t="shared" si="69"/>
        <v>#DIV/0!</v>
      </c>
      <c r="N191" s="189" t="e">
        <f t="shared" si="70"/>
        <v>#DIV/0!</v>
      </c>
      <c r="O191" s="189" t="e">
        <f t="shared" si="55"/>
        <v>#DIV/0!</v>
      </c>
      <c r="P191" s="171">
        <f t="shared" si="71"/>
        <v>0</v>
      </c>
      <c r="Q191" s="189" t="e">
        <f t="shared" si="72"/>
        <v>#DIV/0!</v>
      </c>
    </row>
    <row r="192" spans="1:17" ht="12.75">
      <c r="A192" s="176"/>
      <c r="B192" s="180" t="str">
        <f>[51]VALORIZACION!B114</f>
        <v>PRUEBA DE CALIDAD DEL CONCRETO (PRUEBA A LA COMPRESION)</v>
      </c>
      <c r="C192" s="186"/>
      <c r="D192" s="220">
        <f>+[51]RESUMEN!G134</f>
        <v>0</v>
      </c>
      <c r="E192" s="443"/>
      <c r="F192" s="443"/>
      <c r="G192" s="450"/>
      <c r="H192" s="449"/>
      <c r="I192" s="449"/>
      <c r="J192" s="169"/>
      <c r="K192" s="188" t="str">
        <f>IF(L192=D192,"ok","falso")</f>
        <v>ok</v>
      </c>
      <c r="L192" s="185">
        <f t="shared" si="68"/>
        <v>0</v>
      </c>
      <c r="M192" s="189" t="e">
        <f t="shared" si="69"/>
        <v>#DIV/0!</v>
      </c>
      <c r="N192" s="189" t="e">
        <f t="shared" si="70"/>
        <v>#DIV/0!</v>
      </c>
      <c r="O192" s="189" t="e">
        <f t="shared" si="55"/>
        <v>#DIV/0!</v>
      </c>
      <c r="P192" s="171">
        <f t="shared" si="71"/>
        <v>0</v>
      </c>
      <c r="Q192" s="189" t="e">
        <f t="shared" si="72"/>
        <v>#DIV/0!</v>
      </c>
    </row>
    <row r="193" spans="1:17" ht="5.25" customHeight="1">
      <c r="A193" s="179"/>
      <c r="B193" s="180"/>
      <c r="C193" s="186"/>
      <c r="D193" s="181"/>
      <c r="E193" s="219"/>
      <c r="F193" s="445"/>
      <c r="G193" s="451"/>
      <c r="H193" s="451"/>
      <c r="I193" s="451"/>
      <c r="J193" s="184"/>
      <c r="K193" s="169"/>
      <c r="L193" s="185">
        <f t="shared" si="68"/>
        <v>0</v>
      </c>
      <c r="M193" s="189" t="e">
        <f t="shared" si="69"/>
        <v>#DIV/0!</v>
      </c>
      <c r="N193" s="189" t="e">
        <f t="shared" si="70"/>
        <v>#DIV/0!</v>
      </c>
      <c r="O193" s="189" t="e">
        <f t="shared" si="55"/>
        <v>#DIV/0!</v>
      </c>
      <c r="P193" s="171">
        <f t="shared" si="71"/>
        <v>0</v>
      </c>
      <c r="Q193" s="189" t="e">
        <f t="shared" si="72"/>
        <v>#DIV/0!</v>
      </c>
    </row>
    <row r="194" spans="1:17" ht="12.75">
      <c r="A194" s="176"/>
      <c r="B194" s="180" t="str">
        <f>[51]VALORIZACION!B115</f>
        <v xml:space="preserve"> PROCTOR DE CAMPO (COMPACTACIÓN)</v>
      </c>
      <c r="C194" s="186"/>
      <c r="D194" s="220">
        <f>+[51]RESUMEN!G36</f>
        <v>847271.32</v>
      </c>
      <c r="E194" s="443"/>
      <c r="F194" s="443"/>
      <c r="G194" s="450"/>
      <c r="H194" s="449"/>
      <c r="I194" s="449"/>
      <c r="J194" s="169"/>
      <c r="K194" s="188" t="str">
        <f>IF(L194=D194,"ok","falso")</f>
        <v>falso</v>
      </c>
      <c r="L194" s="185">
        <f t="shared" si="68"/>
        <v>0</v>
      </c>
      <c r="M194" s="189">
        <f t="shared" si="69"/>
        <v>0</v>
      </c>
      <c r="N194" s="189">
        <f t="shared" si="70"/>
        <v>0</v>
      </c>
      <c r="O194" s="189">
        <f t="shared" si="55"/>
        <v>0</v>
      </c>
      <c r="P194" s="171">
        <f t="shared" si="71"/>
        <v>0</v>
      </c>
      <c r="Q194" s="190">
        <f t="shared" si="72"/>
        <v>0</v>
      </c>
    </row>
    <row r="195" spans="1:17" ht="5.25" customHeight="1">
      <c r="A195" s="179"/>
      <c r="B195" s="180"/>
      <c r="C195" s="186"/>
      <c r="D195" s="181"/>
      <c r="E195" s="219"/>
      <c r="F195" s="445"/>
      <c r="G195" s="451"/>
      <c r="H195" s="451"/>
      <c r="I195" s="451"/>
      <c r="J195" s="184"/>
      <c r="K195" s="169"/>
      <c r="L195" s="185">
        <f t="shared" si="68"/>
        <v>0</v>
      </c>
      <c r="M195" s="189" t="e">
        <f t="shared" si="69"/>
        <v>#DIV/0!</v>
      </c>
      <c r="N195" s="189" t="e">
        <f t="shared" si="70"/>
        <v>#DIV/0!</v>
      </c>
      <c r="O195" s="189" t="e">
        <f t="shared" si="55"/>
        <v>#DIV/0!</v>
      </c>
      <c r="P195" s="171">
        <f t="shared" si="71"/>
        <v>0</v>
      </c>
      <c r="Q195" s="189" t="e">
        <f t="shared" si="72"/>
        <v>#DIV/0!</v>
      </c>
    </row>
    <row r="196" spans="1:17" ht="12.75">
      <c r="A196" s="176"/>
      <c r="B196" s="180" t="str">
        <f>[51]VALORIZACION!B116</f>
        <v>DENSIDAD DE CAMPO</v>
      </c>
      <c r="C196" s="186"/>
      <c r="D196" s="220">
        <f>+[51]RESUMEN!G38</f>
        <v>16738.03</v>
      </c>
      <c r="E196" s="443"/>
      <c r="F196" s="443"/>
      <c r="G196" s="450"/>
      <c r="H196" s="449"/>
      <c r="I196" s="449"/>
      <c r="J196" s="169"/>
      <c r="K196" s="188" t="str">
        <f>IF(L196=D196,"ok","falso")</f>
        <v>falso</v>
      </c>
      <c r="L196" s="185">
        <f t="shared" si="68"/>
        <v>0</v>
      </c>
      <c r="M196" s="189">
        <f t="shared" si="69"/>
        <v>0</v>
      </c>
      <c r="N196" s="189">
        <f t="shared" si="70"/>
        <v>0</v>
      </c>
      <c r="O196" s="189">
        <f t="shared" si="55"/>
        <v>0</v>
      </c>
      <c r="P196" s="171">
        <f t="shared" si="71"/>
        <v>0</v>
      </c>
      <c r="Q196" s="189">
        <f t="shared" si="72"/>
        <v>0</v>
      </c>
    </row>
    <row r="197" spans="1:17" ht="5.25" customHeight="1">
      <c r="A197" s="179"/>
      <c r="B197" s="180"/>
      <c r="C197" s="186"/>
      <c r="D197" s="181"/>
      <c r="E197" s="219"/>
      <c r="F197" s="182"/>
      <c r="G197" s="183"/>
      <c r="H197" s="451"/>
      <c r="I197" s="451"/>
      <c r="J197" s="184"/>
      <c r="K197" s="169"/>
      <c r="L197" s="185">
        <f t="shared" si="68"/>
        <v>0</v>
      </c>
      <c r="M197" s="189" t="e">
        <f t="shared" si="69"/>
        <v>#DIV/0!</v>
      </c>
      <c r="N197" s="189" t="e">
        <f t="shared" si="70"/>
        <v>#DIV/0!</v>
      </c>
      <c r="O197" s="189" t="e">
        <f t="shared" si="55"/>
        <v>#DIV/0!</v>
      </c>
      <c r="P197" s="171">
        <f t="shared" si="71"/>
        <v>0</v>
      </c>
      <c r="Q197" s="189" t="e">
        <f t="shared" si="72"/>
        <v>#DIV/0!</v>
      </c>
    </row>
    <row r="198" spans="1:17" ht="12.75">
      <c r="A198" s="176"/>
      <c r="B198" s="180" t="str">
        <f>[51]VALORIZACION!B117</f>
        <v xml:space="preserve"> PRUEBA DE CARGA DE SUPERESTRUCTURA (PUENTE)</v>
      </c>
      <c r="C198" s="186"/>
      <c r="D198" s="220">
        <f>+[51]RESUMEN!G40</f>
        <v>139366.72</v>
      </c>
      <c r="E198" s="186"/>
      <c r="F198" s="186"/>
      <c r="G198" s="187"/>
      <c r="H198" s="495"/>
      <c r="I198" s="495"/>
      <c r="J198" s="169"/>
      <c r="K198" s="188" t="str">
        <f>IF(L198=D198,"ok","falso")</f>
        <v>falso</v>
      </c>
      <c r="L198" s="185">
        <f t="shared" si="68"/>
        <v>0</v>
      </c>
      <c r="M198" s="189">
        <f t="shared" si="69"/>
        <v>0</v>
      </c>
      <c r="N198" s="189">
        <f t="shared" si="70"/>
        <v>0</v>
      </c>
      <c r="O198" s="189">
        <f t="shared" si="55"/>
        <v>0</v>
      </c>
      <c r="P198" s="171">
        <f t="shared" si="71"/>
        <v>0</v>
      </c>
      <c r="Q198" s="189">
        <f t="shared" si="72"/>
        <v>0</v>
      </c>
    </row>
    <row r="199" spans="1:17" ht="5.25" customHeight="1">
      <c r="A199" s="179"/>
      <c r="B199" s="180"/>
      <c r="C199" s="186"/>
      <c r="D199" s="181"/>
      <c r="E199" s="219"/>
      <c r="F199" s="182"/>
      <c r="G199" s="183"/>
      <c r="H199" s="451"/>
      <c r="I199" s="451"/>
      <c r="J199" s="184"/>
      <c r="K199" s="169"/>
      <c r="L199" s="185">
        <f t="shared" si="68"/>
        <v>0</v>
      </c>
      <c r="M199" s="189" t="e">
        <f t="shared" si="69"/>
        <v>#DIV/0!</v>
      </c>
      <c r="N199" s="189" t="e">
        <f t="shared" si="70"/>
        <v>#DIV/0!</v>
      </c>
      <c r="O199" s="189" t="e">
        <f t="shared" si="55"/>
        <v>#DIV/0!</v>
      </c>
      <c r="P199" s="171">
        <f t="shared" si="71"/>
        <v>0</v>
      </c>
      <c r="Q199" s="189" t="e">
        <f t="shared" si="72"/>
        <v>#DIV/0!</v>
      </c>
    </row>
    <row r="200" spans="1:17" ht="12.75">
      <c r="A200" s="176"/>
      <c r="B200" s="180" t="str">
        <f>[51]VALORIZACION!B118</f>
        <v>PLACA RECORDATORIA DE BRONCE</v>
      </c>
      <c r="C200" s="186"/>
      <c r="D200" s="220">
        <f>+[51]RESUMEN!G42</f>
        <v>0</v>
      </c>
      <c r="E200" s="186"/>
      <c r="F200" s="186"/>
      <c r="G200" s="450"/>
      <c r="H200" s="449"/>
      <c r="I200" s="449"/>
      <c r="J200" s="169"/>
      <c r="K200" s="188" t="str">
        <f>IF(L200=D200,"ok","falso")</f>
        <v>ok</v>
      </c>
      <c r="L200" s="185">
        <f t="shared" si="68"/>
        <v>0</v>
      </c>
      <c r="M200" s="189" t="e">
        <f t="shared" si="69"/>
        <v>#DIV/0!</v>
      </c>
      <c r="N200" s="189" t="e">
        <f t="shared" si="70"/>
        <v>#DIV/0!</v>
      </c>
      <c r="O200" s="189" t="e">
        <f t="shared" si="55"/>
        <v>#DIV/0!</v>
      </c>
      <c r="P200" s="171">
        <f t="shared" si="71"/>
        <v>0</v>
      </c>
      <c r="Q200" s="189" t="e">
        <f t="shared" si="72"/>
        <v>#DIV/0!</v>
      </c>
    </row>
    <row r="201" spans="1:17" ht="5.25" customHeight="1">
      <c r="A201" s="179"/>
      <c r="B201" s="180"/>
      <c r="C201" s="186"/>
      <c r="D201" s="181"/>
      <c r="E201" s="219"/>
      <c r="F201" s="182"/>
      <c r="G201" s="183"/>
      <c r="H201" s="183"/>
      <c r="I201" s="183"/>
      <c r="J201" s="184"/>
      <c r="K201" s="169"/>
      <c r="L201" s="185"/>
      <c r="M201" s="189"/>
      <c r="N201" s="189"/>
      <c r="O201" s="189"/>
      <c r="Q201" s="189"/>
    </row>
    <row r="202" spans="1:17" ht="12.75">
      <c r="A202" s="178"/>
      <c r="B202" s="191" t="str">
        <f>[51]VALORIZACION!B119</f>
        <v xml:space="preserve">            SEÑALIZACION Y SEGURIDAD VIAL</v>
      </c>
      <c r="C202" s="186"/>
      <c r="D202" s="220"/>
      <c r="E202" s="186"/>
      <c r="F202" s="186"/>
      <c r="G202" s="187"/>
      <c r="H202" s="187"/>
      <c r="I202" s="187"/>
      <c r="J202" s="169"/>
      <c r="K202" s="188"/>
      <c r="L202" s="185"/>
      <c r="M202" s="189"/>
      <c r="N202" s="189"/>
      <c r="O202" s="189"/>
      <c r="Q202" s="189"/>
    </row>
    <row r="203" spans="1:17" ht="5.25" customHeight="1">
      <c r="A203" s="179"/>
      <c r="B203" s="180"/>
      <c r="C203" s="186"/>
      <c r="D203" s="181"/>
      <c r="E203" s="219"/>
      <c r="F203" s="182"/>
      <c r="G203" s="183"/>
      <c r="H203" s="183"/>
      <c r="I203" s="183"/>
      <c r="J203" s="184"/>
      <c r="K203" s="169"/>
      <c r="L203" s="185">
        <f t="shared" ref="L203:L210" si="73">SUM(E203:G203)</f>
        <v>0</v>
      </c>
      <c r="M203" s="189" t="e">
        <f t="shared" ref="M203:M210" si="74">E203/D203</f>
        <v>#DIV/0!</v>
      </c>
      <c r="N203" s="189" t="e">
        <f t="shared" ref="N203:N210" si="75">F203/D203</f>
        <v>#DIV/0!</v>
      </c>
      <c r="O203" s="189" t="e">
        <f t="shared" ref="O203:O210" si="76">M203+N203</f>
        <v>#DIV/0!</v>
      </c>
      <c r="P203" s="171">
        <f t="shared" ref="P203:P210" si="77">E203+F203+G203</f>
        <v>0</v>
      </c>
      <c r="Q203" s="189" t="e">
        <f t="shared" ref="Q203:Q210" si="78">P203/D203</f>
        <v>#DIV/0!</v>
      </c>
    </row>
    <row r="204" spans="1:17" ht="12.75">
      <c r="A204" s="176"/>
      <c r="B204" s="180" t="str">
        <f>[51]VALORIZACION!B120</f>
        <v xml:space="preserve">                SEÑAL PREVENTIVA (0.60x0.60 m)</v>
      </c>
      <c r="C204" s="186"/>
      <c r="D204" s="220">
        <f>+[51]RESUMEN!G44</f>
        <v>160131.9</v>
      </c>
      <c r="E204" s="186"/>
      <c r="F204" s="186"/>
      <c r="G204" s="450"/>
      <c r="H204" s="450"/>
      <c r="I204" s="450"/>
      <c r="J204" s="169"/>
      <c r="K204" s="188" t="str">
        <f>IF(L204=D204,"ok","falso")</f>
        <v>falso</v>
      </c>
      <c r="L204" s="185">
        <f t="shared" si="73"/>
        <v>0</v>
      </c>
      <c r="M204" s="189">
        <f t="shared" si="74"/>
        <v>0</v>
      </c>
      <c r="N204" s="189">
        <f t="shared" si="75"/>
        <v>0</v>
      </c>
      <c r="O204" s="189">
        <f t="shared" si="76"/>
        <v>0</v>
      </c>
      <c r="P204" s="171">
        <f t="shared" si="77"/>
        <v>0</v>
      </c>
      <c r="Q204" s="189">
        <f t="shared" si="78"/>
        <v>0</v>
      </c>
    </row>
    <row r="205" spans="1:17" ht="5.25" customHeight="1">
      <c r="A205" s="179"/>
      <c r="B205" s="180"/>
      <c r="C205" s="186"/>
      <c r="D205" s="181"/>
      <c r="E205" s="219"/>
      <c r="F205" s="182"/>
      <c r="G205" s="183"/>
      <c r="H205" s="183"/>
      <c r="I205" s="183"/>
      <c r="J205" s="184"/>
      <c r="K205" s="169"/>
      <c r="L205" s="185">
        <f t="shared" si="73"/>
        <v>0</v>
      </c>
      <c r="M205" s="189" t="e">
        <f t="shared" si="74"/>
        <v>#DIV/0!</v>
      </c>
      <c r="N205" s="189" t="e">
        <f t="shared" si="75"/>
        <v>#DIV/0!</v>
      </c>
      <c r="O205" s="189" t="e">
        <f t="shared" si="76"/>
        <v>#DIV/0!</v>
      </c>
      <c r="P205" s="171">
        <f t="shared" si="77"/>
        <v>0</v>
      </c>
      <c r="Q205" s="189" t="e">
        <f t="shared" si="78"/>
        <v>#DIV/0!</v>
      </c>
    </row>
    <row r="206" spans="1:17" ht="12.75">
      <c r="A206" s="176"/>
      <c r="B206" s="180" t="str">
        <f>[51]VALORIZACION!B121</f>
        <v xml:space="preserve">                SEÑALES INFORMATIVAS</v>
      </c>
      <c r="C206" s="186"/>
      <c r="D206" s="220">
        <f>+[51]RESUMEN!G46</f>
        <v>3426822.5999999996</v>
      </c>
      <c r="E206" s="186"/>
      <c r="F206" s="186"/>
      <c r="G206" s="450"/>
      <c r="H206" s="450"/>
      <c r="I206" s="450"/>
      <c r="J206" s="169"/>
      <c r="K206" s="188" t="str">
        <f>IF(L206=D206,"ok","falso")</f>
        <v>falso</v>
      </c>
      <c r="L206" s="185">
        <f t="shared" si="73"/>
        <v>0</v>
      </c>
      <c r="M206" s="189">
        <f t="shared" si="74"/>
        <v>0</v>
      </c>
      <c r="N206" s="189">
        <f t="shared" si="75"/>
        <v>0</v>
      </c>
      <c r="O206" s="189">
        <f t="shared" si="76"/>
        <v>0</v>
      </c>
      <c r="P206" s="171">
        <f t="shared" si="77"/>
        <v>0</v>
      </c>
      <c r="Q206" s="189">
        <f t="shared" si="78"/>
        <v>0</v>
      </c>
    </row>
    <row r="207" spans="1:17" ht="5.25" customHeight="1">
      <c r="A207" s="179"/>
      <c r="B207" s="180"/>
      <c r="C207" s="186"/>
      <c r="D207" s="181"/>
      <c r="E207" s="219"/>
      <c r="F207" s="182"/>
      <c r="G207" s="183"/>
      <c r="H207" s="183"/>
      <c r="I207" s="183"/>
      <c r="J207" s="184"/>
      <c r="K207" s="169"/>
      <c r="L207" s="185">
        <f t="shared" si="73"/>
        <v>0</v>
      </c>
      <c r="M207" s="189" t="e">
        <f t="shared" si="74"/>
        <v>#DIV/0!</v>
      </c>
      <c r="N207" s="189" t="e">
        <f t="shared" si="75"/>
        <v>#DIV/0!</v>
      </c>
      <c r="O207" s="189" t="e">
        <f t="shared" si="76"/>
        <v>#DIV/0!</v>
      </c>
      <c r="P207" s="171">
        <f t="shared" si="77"/>
        <v>0</v>
      </c>
      <c r="Q207" s="189" t="e">
        <f t="shared" si="78"/>
        <v>#DIV/0!</v>
      </c>
    </row>
    <row r="208" spans="1:17" ht="12.75">
      <c r="A208" s="176"/>
      <c r="B208" s="180" t="str">
        <f>[51]VALORIZACION!B122</f>
        <v xml:space="preserve">                POSTES DE SOPORTE DE SEÑALES</v>
      </c>
      <c r="C208" s="186"/>
      <c r="D208" s="220">
        <f>+[51]RESUMEN!G48</f>
        <v>4043650.6699999995</v>
      </c>
      <c r="E208" s="186"/>
      <c r="F208" s="186"/>
      <c r="G208" s="450"/>
      <c r="H208" s="450"/>
      <c r="I208" s="450"/>
      <c r="J208" s="169"/>
      <c r="K208" s="188" t="str">
        <f>IF(L208=D208,"ok","falso")</f>
        <v>falso</v>
      </c>
      <c r="L208" s="185">
        <f t="shared" si="73"/>
        <v>0</v>
      </c>
      <c r="M208" s="189">
        <f t="shared" si="74"/>
        <v>0</v>
      </c>
      <c r="N208" s="189">
        <f t="shared" si="75"/>
        <v>0</v>
      </c>
      <c r="O208" s="189">
        <f t="shared" si="76"/>
        <v>0</v>
      </c>
      <c r="P208" s="171">
        <f t="shared" si="77"/>
        <v>0</v>
      </c>
      <c r="Q208" s="189">
        <f t="shared" si="78"/>
        <v>0</v>
      </c>
    </row>
    <row r="209" spans="1:17" ht="5.25" customHeight="1">
      <c r="A209" s="179"/>
      <c r="B209" s="180"/>
      <c r="C209" s="186"/>
      <c r="D209" s="181"/>
      <c r="E209" s="219"/>
      <c r="F209" s="182"/>
      <c r="G209" s="183"/>
      <c r="H209" s="183"/>
      <c r="I209" s="183"/>
      <c r="J209" s="184"/>
      <c r="K209" s="169"/>
      <c r="L209" s="185">
        <f t="shared" si="73"/>
        <v>0</v>
      </c>
      <c r="M209" s="189" t="e">
        <f t="shared" si="74"/>
        <v>#DIV/0!</v>
      </c>
      <c r="N209" s="189" t="e">
        <f t="shared" si="75"/>
        <v>#DIV/0!</v>
      </c>
      <c r="O209" s="189" t="e">
        <f t="shared" si="76"/>
        <v>#DIV/0!</v>
      </c>
      <c r="P209" s="171">
        <f t="shared" si="77"/>
        <v>0</v>
      </c>
      <c r="Q209" s="189" t="e">
        <f t="shared" si="78"/>
        <v>#DIV/0!</v>
      </c>
    </row>
    <row r="210" spans="1:17" ht="12.75">
      <c r="A210" s="176"/>
      <c r="B210" s="180" t="str">
        <f>[51]VALORIZACION!B123</f>
        <v xml:space="preserve">                POSTES DE KILOMETRAJE</v>
      </c>
      <c r="C210" s="186"/>
      <c r="D210" s="220">
        <f>+[51]RESUMEN!G50</f>
        <v>0</v>
      </c>
      <c r="E210" s="186"/>
      <c r="F210" s="186"/>
      <c r="G210" s="450"/>
      <c r="H210" s="450"/>
      <c r="I210" s="450"/>
      <c r="J210" s="169"/>
      <c r="K210" s="188" t="str">
        <f>IF(L210=D210,"ok","falso")</f>
        <v>ok</v>
      </c>
      <c r="L210" s="185">
        <f t="shared" si="73"/>
        <v>0</v>
      </c>
      <c r="M210" s="189" t="e">
        <f t="shared" si="74"/>
        <v>#DIV/0!</v>
      </c>
      <c r="N210" s="189" t="e">
        <f t="shared" si="75"/>
        <v>#DIV/0!</v>
      </c>
      <c r="O210" s="189" t="e">
        <f t="shared" si="76"/>
        <v>#DIV/0!</v>
      </c>
      <c r="P210" s="171">
        <f t="shared" si="77"/>
        <v>0</v>
      </c>
      <c r="Q210" s="189" t="e">
        <f t="shared" si="78"/>
        <v>#DIV/0!</v>
      </c>
    </row>
    <row r="211" spans="1:17" ht="5.25" customHeight="1">
      <c r="A211" s="179"/>
      <c r="B211" s="180"/>
      <c r="C211" s="186"/>
      <c r="D211" s="181"/>
      <c r="E211" s="219"/>
      <c r="F211" s="182"/>
      <c r="G211" s="183"/>
      <c r="H211" s="183"/>
      <c r="I211" s="183"/>
      <c r="J211" s="184"/>
      <c r="K211" s="169"/>
      <c r="L211" s="185"/>
      <c r="M211" s="189"/>
      <c r="N211" s="189"/>
      <c r="O211" s="189"/>
      <c r="Q211" s="189"/>
    </row>
    <row r="212" spans="1:17" ht="12.75">
      <c r="A212" s="178"/>
      <c r="B212" s="191" t="str">
        <f>[51]VALORIZACION!B124</f>
        <v xml:space="preserve">            FLETE TERRESTRE</v>
      </c>
      <c r="C212" s="186"/>
      <c r="D212" s="220"/>
      <c r="E212" s="186"/>
      <c r="F212" s="186"/>
      <c r="G212" s="187"/>
      <c r="H212" s="187"/>
      <c r="I212" s="187"/>
      <c r="J212" s="169"/>
      <c r="K212" s="188"/>
      <c r="L212" s="185"/>
      <c r="M212" s="189"/>
      <c r="N212" s="189"/>
      <c r="O212" s="189"/>
      <c r="Q212" s="189"/>
    </row>
    <row r="213" spans="1:17" ht="5.25" customHeight="1">
      <c r="A213" s="179"/>
      <c r="B213" s="180"/>
      <c r="C213" s="186"/>
      <c r="D213" s="181"/>
      <c r="E213" s="219"/>
      <c r="F213" s="182"/>
      <c r="G213" s="183"/>
      <c r="H213" s="183"/>
      <c r="I213" s="183"/>
      <c r="J213" s="184"/>
      <c r="K213" s="169"/>
      <c r="L213" s="185">
        <f>SUM(E213:G213)</f>
        <v>0</v>
      </c>
      <c r="M213" s="189" t="e">
        <f>E213/D213</f>
        <v>#DIV/0!</v>
      </c>
      <c r="N213" s="189" t="e">
        <f>F213/D213</f>
        <v>#DIV/0!</v>
      </c>
      <c r="O213" s="189" t="e">
        <f>M213+N213</f>
        <v>#DIV/0!</v>
      </c>
      <c r="P213" s="171">
        <f>E213+F213+G213</f>
        <v>0</v>
      </c>
      <c r="Q213" s="189" t="e">
        <f>P213/D213</f>
        <v>#DIV/0!</v>
      </c>
    </row>
    <row r="214" spans="1:17" ht="12.75">
      <c r="A214" s="176"/>
      <c r="B214" s="180" t="str">
        <f>[51]VALORIZACION!B125</f>
        <v xml:space="preserve">                FLETE TERRESTRE</v>
      </c>
      <c r="C214" s="186"/>
      <c r="D214" s="220">
        <f>+[51]RESUMEN!G52</f>
        <v>0</v>
      </c>
      <c r="E214" s="186"/>
      <c r="F214" s="186"/>
      <c r="G214" s="187"/>
      <c r="H214" s="187"/>
      <c r="I214" s="187"/>
      <c r="J214" s="169"/>
      <c r="K214" s="188" t="str">
        <f>IF(L214=D214,"ok","falso")</f>
        <v>ok</v>
      </c>
      <c r="L214" s="185">
        <f>SUM(E214:G214)</f>
        <v>0</v>
      </c>
      <c r="M214" s="189" t="e">
        <f>E214/D214</f>
        <v>#DIV/0!</v>
      </c>
      <c r="N214" s="189" t="e">
        <f>F214/D214</f>
        <v>#DIV/0!</v>
      </c>
      <c r="O214" s="189" t="e">
        <f>M214+N214</f>
        <v>#DIV/0!</v>
      </c>
      <c r="P214" s="171">
        <f>E214+F214+G214</f>
        <v>0</v>
      </c>
      <c r="Q214" s="189" t="e">
        <f>P214/D214</f>
        <v>#DIV/0!</v>
      </c>
    </row>
    <row r="215" spans="1:17" ht="5.25" customHeight="1">
      <c r="A215" s="179"/>
      <c r="B215" s="180"/>
      <c r="C215" s="186"/>
      <c r="D215" s="181"/>
      <c r="E215" s="219"/>
      <c r="F215" s="182"/>
      <c r="G215" s="183"/>
      <c r="H215" s="183"/>
      <c r="I215" s="183"/>
      <c r="J215" s="184"/>
      <c r="K215" s="169"/>
      <c r="L215" s="185"/>
      <c r="M215" s="189"/>
      <c r="N215" s="189"/>
      <c r="O215" s="189"/>
      <c r="Q215" s="189"/>
    </row>
    <row r="216" spans="1:17" ht="12.75">
      <c r="A216" s="178"/>
      <c r="B216" s="191" t="str">
        <f>[51]VALORIZACION!B126</f>
        <v xml:space="preserve">            MITIGACIÓN DE IMPACTO AMBIENTAL</v>
      </c>
      <c r="C216" s="186"/>
      <c r="D216" s="220"/>
      <c r="E216" s="186"/>
      <c r="F216" s="186"/>
      <c r="G216" s="187"/>
      <c r="H216" s="187"/>
      <c r="I216" s="187"/>
      <c r="J216" s="169"/>
      <c r="K216" s="188"/>
      <c r="L216" s="185"/>
      <c r="M216" s="189"/>
      <c r="N216" s="189"/>
      <c r="O216" s="189"/>
      <c r="Q216" s="189"/>
    </row>
    <row r="217" spans="1:17" ht="12.75">
      <c r="A217" s="178"/>
      <c r="B217" s="192" t="str">
        <f>[51]VALORIZACION!B127</f>
        <v xml:space="preserve">        PROGRAMA DE CIERRE DE OBRA, PROTECCION AMBIENTAL.</v>
      </c>
      <c r="C217" s="186"/>
      <c r="D217" s="220"/>
      <c r="E217" s="186"/>
      <c r="F217" s="186"/>
      <c r="G217" s="187"/>
      <c r="H217" s="187"/>
      <c r="I217" s="187"/>
      <c r="J217" s="169"/>
      <c r="K217" s="188"/>
      <c r="L217" s="185"/>
      <c r="M217" s="189"/>
      <c r="N217" s="189"/>
      <c r="O217" s="189"/>
      <c r="Q217" s="189"/>
    </row>
    <row r="218" spans="1:17" ht="5.25" customHeight="1">
      <c r="A218" s="179"/>
      <c r="B218" s="180"/>
      <c r="C218" s="186"/>
      <c r="D218" s="181"/>
      <c r="E218" s="219"/>
      <c r="F218" s="182"/>
      <c r="G218" s="183"/>
      <c r="H218" s="183"/>
      <c r="I218" s="183"/>
      <c r="J218" s="184"/>
      <c r="K218" s="169"/>
      <c r="L218" s="185">
        <f t="shared" ref="L218:L229" si="79">SUM(E218:G218)</f>
        <v>0</v>
      </c>
      <c r="M218" s="189" t="e">
        <f t="shared" ref="M218:M229" si="80">E218/D218</f>
        <v>#DIV/0!</v>
      </c>
      <c r="N218" s="189" t="e">
        <f t="shared" ref="N218:N229" si="81">F218/D218</f>
        <v>#DIV/0!</v>
      </c>
      <c r="O218" s="189" t="e">
        <f t="shared" ref="O218:O229" si="82">M218+N218</f>
        <v>#DIV/0!</v>
      </c>
      <c r="P218" s="171">
        <f t="shared" ref="P218:P229" si="83">E218+F218+G218</f>
        <v>0</v>
      </c>
      <c r="Q218" s="189" t="e">
        <f t="shared" ref="Q218:Q229" si="84">P218/D218</f>
        <v>#DIV/0!</v>
      </c>
    </row>
    <row r="219" spans="1:17" ht="12.75">
      <c r="A219" s="176"/>
      <c r="B219" s="180" t="str">
        <f>[51]VALORIZACION!B128</f>
        <v xml:space="preserve"> RETIRO Y ALMACENAMIENTO DE TOP SOIL</v>
      </c>
      <c r="C219" s="186"/>
      <c r="D219" s="220">
        <f>+[51]RESUMEN!G54</f>
        <v>0</v>
      </c>
      <c r="E219" s="186"/>
      <c r="F219" s="186"/>
      <c r="G219" s="450"/>
      <c r="H219" s="450"/>
      <c r="I219" s="450"/>
      <c r="J219" s="169"/>
      <c r="K219" s="188" t="str">
        <f>IF(L219=D219,"ok","falso")</f>
        <v>ok</v>
      </c>
      <c r="L219" s="185">
        <f t="shared" si="79"/>
        <v>0</v>
      </c>
      <c r="M219" s="189" t="e">
        <f t="shared" si="80"/>
        <v>#DIV/0!</v>
      </c>
      <c r="N219" s="189" t="e">
        <f t="shared" si="81"/>
        <v>#DIV/0!</v>
      </c>
      <c r="O219" s="189" t="e">
        <f t="shared" si="82"/>
        <v>#DIV/0!</v>
      </c>
      <c r="P219" s="171">
        <f t="shared" si="83"/>
        <v>0</v>
      </c>
      <c r="Q219" s="189" t="e">
        <f t="shared" si="84"/>
        <v>#DIV/0!</v>
      </c>
    </row>
    <row r="220" spans="1:17" ht="5.25" customHeight="1">
      <c r="A220" s="179"/>
      <c r="B220" s="180"/>
      <c r="C220" s="186"/>
      <c r="D220" s="181"/>
      <c r="E220" s="219"/>
      <c r="F220" s="182"/>
      <c r="G220" s="183"/>
      <c r="H220" s="183"/>
      <c r="I220" s="183"/>
      <c r="J220" s="184"/>
      <c r="K220" s="169"/>
      <c r="L220" s="185">
        <f t="shared" si="79"/>
        <v>0</v>
      </c>
      <c r="M220" s="189" t="e">
        <f t="shared" si="80"/>
        <v>#DIV/0!</v>
      </c>
      <c r="N220" s="189" t="e">
        <f t="shared" si="81"/>
        <v>#DIV/0!</v>
      </c>
      <c r="O220" s="189" t="e">
        <f t="shared" si="82"/>
        <v>#DIV/0!</v>
      </c>
      <c r="P220" s="171">
        <f t="shared" si="83"/>
        <v>0</v>
      </c>
      <c r="Q220" s="189" t="e">
        <f t="shared" si="84"/>
        <v>#DIV/0!</v>
      </c>
    </row>
    <row r="221" spans="1:17" ht="12.75">
      <c r="A221" s="176"/>
      <c r="B221" s="180" t="str">
        <f>[51]VALORIZACION!B129</f>
        <v xml:space="preserve"> REPOSICIÓN DE TOP SOIL</v>
      </c>
      <c r="C221" s="186"/>
      <c r="D221" s="220">
        <f>+[51]RESUMEN!G56</f>
        <v>0</v>
      </c>
      <c r="E221" s="186"/>
      <c r="F221" s="186"/>
      <c r="G221" s="450"/>
      <c r="H221" s="450"/>
      <c r="I221" s="450"/>
      <c r="J221" s="169"/>
      <c r="K221" s="188" t="str">
        <f>IF(L221=D221,"ok","falso")</f>
        <v>ok</v>
      </c>
      <c r="L221" s="185">
        <f t="shared" si="79"/>
        <v>0</v>
      </c>
      <c r="M221" s="189" t="e">
        <f t="shared" si="80"/>
        <v>#DIV/0!</v>
      </c>
      <c r="N221" s="189" t="e">
        <f t="shared" si="81"/>
        <v>#DIV/0!</v>
      </c>
      <c r="O221" s="189" t="e">
        <f t="shared" si="82"/>
        <v>#DIV/0!</v>
      </c>
      <c r="P221" s="171">
        <f t="shared" si="83"/>
        <v>0</v>
      </c>
      <c r="Q221" s="189" t="e">
        <f t="shared" si="84"/>
        <v>#DIV/0!</v>
      </c>
    </row>
    <row r="222" spans="1:17" ht="5.25" customHeight="1">
      <c r="A222" s="179"/>
      <c r="B222" s="180"/>
      <c r="C222" s="186"/>
      <c r="D222" s="181"/>
      <c r="E222" s="219"/>
      <c r="F222" s="182"/>
      <c r="G222" s="183"/>
      <c r="H222" s="183"/>
      <c r="I222" s="183"/>
      <c r="J222" s="184"/>
      <c r="K222" s="169"/>
      <c r="L222" s="185">
        <f t="shared" si="79"/>
        <v>0</v>
      </c>
      <c r="M222" s="189" t="e">
        <f t="shared" si="80"/>
        <v>#DIV/0!</v>
      </c>
      <c r="N222" s="189" t="e">
        <f t="shared" si="81"/>
        <v>#DIV/0!</v>
      </c>
      <c r="O222" s="189" t="e">
        <f t="shared" si="82"/>
        <v>#DIV/0!</v>
      </c>
      <c r="P222" s="171">
        <f t="shared" si="83"/>
        <v>0</v>
      </c>
      <c r="Q222" s="189" t="e">
        <f t="shared" si="84"/>
        <v>#DIV/0!</v>
      </c>
    </row>
    <row r="223" spans="1:17" ht="12.75">
      <c r="A223" s="176"/>
      <c r="B223" s="180" t="str">
        <f>[51]VALORIZACION!B130</f>
        <v>REVEGETACIÓN</v>
      </c>
      <c r="C223" s="186"/>
      <c r="D223" s="220">
        <f>+[51]RESUMEN!G58</f>
        <v>0</v>
      </c>
      <c r="E223" s="186"/>
      <c r="F223" s="186"/>
      <c r="G223" s="450"/>
      <c r="H223" s="450"/>
      <c r="I223" s="450"/>
      <c r="J223" s="169"/>
      <c r="K223" s="188" t="str">
        <f>IF(L223=D223,"ok","falso")</f>
        <v>ok</v>
      </c>
      <c r="L223" s="185">
        <f t="shared" si="79"/>
        <v>0</v>
      </c>
      <c r="M223" s="189" t="e">
        <f t="shared" si="80"/>
        <v>#DIV/0!</v>
      </c>
      <c r="N223" s="189" t="e">
        <f t="shared" si="81"/>
        <v>#DIV/0!</v>
      </c>
      <c r="O223" s="189" t="e">
        <f t="shared" si="82"/>
        <v>#DIV/0!</v>
      </c>
      <c r="P223" s="171">
        <f t="shared" si="83"/>
        <v>0</v>
      </c>
      <c r="Q223" s="189" t="e">
        <f t="shared" si="84"/>
        <v>#DIV/0!</v>
      </c>
    </row>
    <row r="224" spans="1:17" ht="5.25" customHeight="1">
      <c r="A224" s="179"/>
      <c r="B224" s="180"/>
      <c r="C224" s="186"/>
      <c r="D224" s="181"/>
      <c r="E224" s="219"/>
      <c r="F224" s="182"/>
      <c r="G224" s="183"/>
      <c r="H224" s="183"/>
      <c r="I224" s="183"/>
      <c r="J224" s="184"/>
      <c r="K224" s="169"/>
      <c r="L224" s="185">
        <f t="shared" si="79"/>
        <v>0</v>
      </c>
      <c r="M224" s="189" t="e">
        <f t="shared" si="80"/>
        <v>#DIV/0!</v>
      </c>
      <c r="N224" s="189" t="e">
        <f t="shared" si="81"/>
        <v>#DIV/0!</v>
      </c>
      <c r="O224" s="189" t="e">
        <f t="shared" si="82"/>
        <v>#DIV/0!</v>
      </c>
      <c r="P224" s="171">
        <f t="shared" si="83"/>
        <v>0</v>
      </c>
      <c r="Q224" s="189" t="e">
        <f t="shared" si="84"/>
        <v>#DIV/0!</v>
      </c>
    </row>
    <row r="225" spans="1:17" ht="12.75">
      <c r="A225" s="176"/>
      <c r="B225" s="180" t="str">
        <f>[51]VALORIZACION!B131</f>
        <v>READECUACIÓN DE DÉPOSITO DE MATERIALES EXCEDENTES</v>
      </c>
      <c r="C225" s="186"/>
      <c r="D225" s="220">
        <f>+[51]RESUMEN!G60</f>
        <v>0</v>
      </c>
      <c r="E225" s="186"/>
      <c r="F225" s="186"/>
      <c r="G225" s="450"/>
      <c r="H225" s="450"/>
      <c r="I225" s="450"/>
      <c r="J225" s="169"/>
      <c r="K225" s="188" t="str">
        <f>IF(L225=D225,"ok","falso")</f>
        <v>ok</v>
      </c>
      <c r="L225" s="185">
        <f t="shared" si="79"/>
        <v>0</v>
      </c>
      <c r="M225" s="189" t="e">
        <f t="shared" si="80"/>
        <v>#DIV/0!</v>
      </c>
      <c r="N225" s="189" t="e">
        <f t="shared" si="81"/>
        <v>#DIV/0!</v>
      </c>
      <c r="O225" s="189" t="e">
        <f t="shared" si="82"/>
        <v>#DIV/0!</v>
      </c>
      <c r="P225" s="171">
        <f t="shared" si="83"/>
        <v>0</v>
      </c>
      <c r="Q225" s="189" t="e">
        <f t="shared" si="84"/>
        <v>#DIV/0!</v>
      </c>
    </row>
    <row r="226" spans="1:17" ht="5.25" customHeight="1">
      <c r="A226" s="179"/>
      <c r="B226" s="180"/>
      <c r="C226" s="186"/>
      <c r="D226" s="181"/>
      <c r="E226" s="219"/>
      <c r="F226" s="182"/>
      <c r="G226" s="183"/>
      <c r="H226" s="183"/>
      <c r="I226" s="183"/>
      <c r="J226" s="184"/>
      <c r="K226" s="169"/>
      <c r="L226" s="185">
        <f t="shared" si="79"/>
        <v>0</v>
      </c>
      <c r="M226" s="189" t="e">
        <f t="shared" si="80"/>
        <v>#DIV/0!</v>
      </c>
      <c r="N226" s="189" t="e">
        <f t="shared" si="81"/>
        <v>#DIV/0!</v>
      </c>
      <c r="O226" s="189" t="e">
        <f t="shared" si="82"/>
        <v>#DIV/0!</v>
      </c>
      <c r="P226" s="171">
        <f t="shared" si="83"/>
        <v>0</v>
      </c>
      <c r="Q226" s="189" t="e">
        <f t="shared" si="84"/>
        <v>#DIV/0!</v>
      </c>
    </row>
    <row r="227" spans="1:17" ht="12.75">
      <c r="A227" s="176"/>
      <c r="B227" s="180" t="str">
        <f>[51]VALORIZACION!B132</f>
        <v>READECUACIÓN AMBIENTAL DE CAMPAMENTOS</v>
      </c>
      <c r="C227" s="186"/>
      <c r="D227" s="220">
        <f>+[51]RESUMEN!G62</f>
        <v>0</v>
      </c>
      <c r="E227" s="186"/>
      <c r="F227" s="186"/>
      <c r="G227" s="450"/>
      <c r="H227" s="450"/>
      <c r="I227" s="450"/>
      <c r="J227" s="169"/>
      <c r="K227" s="188" t="str">
        <f>IF(L227=D227,"ok","falso")</f>
        <v>ok</v>
      </c>
      <c r="L227" s="185">
        <f t="shared" si="79"/>
        <v>0</v>
      </c>
      <c r="M227" s="189" t="e">
        <f t="shared" si="80"/>
        <v>#DIV/0!</v>
      </c>
      <c r="N227" s="189" t="e">
        <f t="shared" si="81"/>
        <v>#DIV/0!</v>
      </c>
      <c r="O227" s="189" t="e">
        <f t="shared" si="82"/>
        <v>#DIV/0!</v>
      </c>
      <c r="P227" s="171">
        <f t="shared" si="83"/>
        <v>0</v>
      </c>
      <c r="Q227" s="189" t="e">
        <f t="shared" si="84"/>
        <v>#DIV/0!</v>
      </c>
    </row>
    <row r="228" spans="1:17" ht="5.25" customHeight="1">
      <c r="A228" s="179"/>
      <c r="B228" s="180"/>
      <c r="C228" s="186"/>
      <c r="D228" s="181"/>
      <c r="E228" s="219"/>
      <c r="F228" s="182"/>
      <c r="G228" s="183"/>
      <c r="H228" s="183"/>
      <c r="I228" s="183"/>
      <c r="J228" s="184"/>
      <c r="K228" s="169"/>
      <c r="L228" s="185">
        <f t="shared" si="79"/>
        <v>0</v>
      </c>
      <c r="M228" s="189" t="e">
        <f t="shared" si="80"/>
        <v>#DIV/0!</v>
      </c>
      <c r="N228" s="189" t="e">
        <f t="shared" si="81"/>
        <v>#DIV/0!</v>
      </c>
      <c r="O228" s="189" t="e">
        <f t="shared" si="82"/>
        <v>#DIV/0!</v>
      </c>
      <c r="P228" s="171">
        <f t="shared" si="83"/>
        <v>0</v>
      </c>
      <c r="Q228" s="189" t="e">
        <f t="shared" si="84"/>
        <v>#DIV/0!</v>
      </c>
    </row>
    <row r="229" spans="1:17" ht="12.75">
      <c r="A229" s="176"/>
      <c r="B229" s="180" t="str">
        <f>[51]VALORIZACION!B133</f>
        <v>READECUACIÓN AMBIENTAL DE ALMACENES Y PATIO DE MÁQUINAS</v>
      </c>
      <c r="C229" s="186"/>
      <c r="D229" s="220">
        <f>+[51]RESUMEN!G64</f>
        <v>0</v>
      </c>
      <c r="E229" s="186"/>
      <c r="F229" s="186"/>
      <c r="G229" s="450"/>
      <c r="H229" s="450"/>
      <c r="I229" s="450"/>
      <c r="J229" s="169"/>
      <c r="K229" s="188" t="str">
        <f>IF(L229=D229,"ok","falso")</f>
        <v>ok</v>
      </c>
      <c r="L229" s="185">
        <f t="shared" si="79"/>
        <v>0</v>
      </c>
      <c r="M229" s="189" t="e">
        <f t="shared" si="80"/>
        <v>#DIV/0!</v>
      </c>
      <c r="N229" s="189" t="e">
        <f t="shared" si="81"/>
        <v>#DIV/0!</v>
      </c>
      <c r="O229" s="189" t="e">
        <f t="shared" si="82"/>
        <v>#DIV/0!</v>
      </c>
      <c r="P229" s="171">
        <f t="shared" si="83"/>
        <v>0</v>
      </c>
      <c r="Q229" s="189" t="e">
        <f t="shared" si="84"/>
        <v>#DIV/0!</v>
      </c>
    </row>
    <row r="230" spans="1:17" ht="12.75">
      <c r="A230" s="178"/>
      <c r="B230" s="192" t="str">
        <f>[51]VALORIZACION!B134</f>
        <v xml:space="preserve">                PROGRAMA DE MONITOREO AMBIENTAL.</v>
      </c>
      <c r="C230" s="186"/>
      <c r="D230" s="220"/>
      <c r="E230" s="186"/>
      <c r="F230" s="186"/>
      <c r="G230" s="187"/>
      <c r="H230" s="187"/>
      <c r="I230" s="187"/>
      <c r="J230" s="169"/>
      <c r="K230" s="188"/>
      <c r="L230" s="185"/>
      <c r="M230" s="189"/>
      <c r="N230" s="189"/>
      <c r="O230" s="189"/>
      <c r="Q230" s="189"/>
    </row>
    <row r="231" spans="1:17" ht="5.25" customHeight="1">
      <c r="A231" s="179"/>
      <c r="B231" s="180"/>
      <c r="C231" s="186"/>
      <c r="D231" s="181"/>
      <c r="E231" s="219"/>
      <c r="F231" s="182"/>
      <c r="G231" s="183"/>
      <c r="H231" s="183"/>
      <c r="I231" s="183"/>
      <c r="J231" s="184"/>
      <c r="K231" s="169"/>
      <c r="L231" s="185">
        <f t="shared" ref="L231:L238" si="85">SUM(E231:G231)</f>
        <v>0</v>
      </c>
      <c r="M231" s="189" t="e">
        <f t="shared" ref="M231:M238" si="86">E231/D231</f>
        <v>#DIV/0!</v>
      </c>
      <c r="N231" s="189" t="e">
        <f t="shared" ref="N231:N238" si="87">F231/D231</f>
        <v>#DIV/0!</v>
      </c>
      <c r="O231" s="189" t="e">
        <f t="shared" ref="O231:O238" si="88">M231+N231</f>
        <v>#DIV/0!</v>
      </c>
      <c r="P231" s="171">
        <f t="shared" ref="P231:P238" si="89">E231+F231+G231</f>
        <v>0</v>
      </c>
      <c r="Q231" s="189" t="e">
        <f t="shared" ref="Q231:Q238" si="90">P231/D231</f>
        <v>#DIV/0!</v>
      </c>
    </row>
    <row r="232" spans="1:17" ht="12.75">
      <c r="A232" s="176"/>
      <c r="B232" s="180" t="str">
        <f>[51]VALORIZACION!B139</f>
        <v xml:space="preserve"> PROGRAMA DE MEDIDAS PREVENTIVAS, MITIGADORAS Y COR.</v>
      </c>
      <c r="C232" s="186"/>
      <c r="D232" s="220">
        <f>+[51]RESUMEN!G66</f>
        <v>0</v>
      </c>
      <c r="E232" s="186"/>
      <c r="F232" s="221"/>
      <c r="G232" s="450"/>
      <c r="H232" s="450"/>
      <c r="I232" s="450"/>
      <c r="J232" s="169"/>
      <c r="K232" s="188" t="str">
        <f>IF(L232=D232,"ok","falso")</f>
        <v>ok</v>
      </c>
      <c r="L232" s="185">
        <f t="shared" si="85"/>
        <v>0</v>
      </c>
      <c r="M232" s="189" t="e">
        <f t="shared" si="86"/>
        <v>#DIV/0!</v>
      </c>
      <c r="N232" s="189" t="e">
        <f t="shared" si="87"/>
        <v>#DIV/0!</v>
      </c>
      <c r="O232" s="189" t="e">
        <f t="shared" si="88"/>
        <v>#DIV/0!</v>
      </c>
      <c r="P232" s="171">
        <f t="shared" si="89"/>
        <v>0</v>
      </c>
      <c r="Q232" s="189" t="e">
        <f t="shared" si="90"/>
        <v>#DIV/0!</v>
      </c>
    </row>
    <row r="233" spans="1:17" ht="5.25" customHeight="1">
      <c r="A233" s="179"/>
      <c r="B233" s="180"/>
      <c r="C233" s="186"/>
      <c r="D233" s="181"/>
      <c r="E233" s="219"/>
      <c r="F233" s="182"/>
      <c r="G233" s="183"/>
      <c r="H233" s="183"/>
      <c r="I233" s="183"/>
      <c r="J233" s="184"/>
      <c r="K233" s="169"/>
      <c r="L233" s="185">
        <f t="shared" si="85"/>
        <v>0</v>
      </c>
      <c r="M233" s="189" t="e">
        <f t="shared" si="86"/>
        <v>#DIV/0!</v>
      </c>
      <c r="N233" s="189" t="e">
        <f t="shared" si="87"/>
        <v>#DIV/0!</v>
      </c>
      <c r="O233" s="189" t="e">
        <f t="shared" si="88"/>
        <v>#DIV/0!</v>
      </c>
      <c r="P233" s="171">
        <f t="shared" si="89"/>
        <v>0</v>
      </c>
      <c r="Q233" s="189" t="e">
        <f t="shared" si="90"/>
        <v>#DIV/0!</v>
      </c>
    </row>
    <row r="234" spans="1:17" ht="12.75">
      <c r="A234" s="176"/>
      <c r="B234" s="180" t="str">
        <f>[51]VALORIZACION!B140</f>
        <v xml:space="preserve"> PROGRAMA DE CAPACITACIÓN AMBIENTAL Y SEGURIDAD</v>
      </c>
      <c r="C234" s="186"/>
      <c r="D234" s="220">
        <f>+[51]RESUMEN!G68</f>
        <v>0</v>
      </c>
      <c r="E234" s="186"/>
      <c r="F234" s="221"/>
      <c r="G234" s="450"/>
      <c r="H234" s="450"/>
      <c r="I234" s="450"/>
      <c r="J234" s="169"/>
      <c r="K234" s="188" t="str">
        <f>IF(L234=D234,"ok","falso")</f>
        <v>ok</v>
      </c>
      <c r="L234" s="185">
        <f t="shared" si="85"/>
        <v>0</v>
      </c>
      <c r="M234" s="189" t="e">
        <f t="shared" si="86"/>
        <v>#DIV/0!</v>
      </c>
      <c r="N234" s="189" t="e">
        <f t="shared" si="87"/>
        <v>#DIV/0!</v>
      </c>
      <c r="O234" s="189" t="e">
        <f t="shared" si="88"/>
        <v>#DIV/0!</v>
      </c>
      <c r="P234" s="171">
        <f t="shared" si="89"/>
        <v>0</v>
      </c>
      <c r="Q234" s="189" t="e">
        <f t="shared" si="90"/>
        <v>#DIV/0!</v>
      </c>
    </row>
    <row r="235" spans="1:17" ht="5.25" customHeight="1">
      <c r="A235" s="179"/>
      <c r="B235" s="180"/>
      <c r="C235" s="186"/>
      <c r="D235" s="181"/>
      <c r="E235" s="219"/>
      <c r="F235" s="182"/>
      <c r="G235" s="183"/>
      <c r="H235" s="183"/>
      <c r="I235" s="183"/>
      <c r="J235" s="184"/>
      <c r="K235" s="169"/>
      <c r="L235" s="185">
        <f t="shared" si="85"/>
        <v>0</v>
      </c>
      <c r="M235" s="189" t="e">
        <f t="shared" si="86"/>
        <v>#DIV/0!</v>
      </c>
      <c r="N235" s="189" t="e">
        <f t="shared" si="87"/>
        <v>#DIV/0!</v>
      </c>
      <c r="O235" s="189" t="e">
        <f t="shared" si="88"/>
        <v>#DIV/0!</v>
      </c>
      <c r="P235" s="171">
        <f t="shared" si="89"/>
        <v>0</v>
      </c>
      <c r="Q235" s="189" t="e">
        <f t="shared" si="90"/>
        <v>#DIV/0!</v>
      </c>
    </row>
    <row r="236" spans="1:17" ht="12.75">
      <c r="A236" s="176"/>
      <c r="B236" s="180" t="str">
        <f>[51]VALORIZACION!B141</f>
        <v>PROGRAMA DE EDUCACIÓN AMBIENTAL Y SEGURIDAD VIAL</v>
      </c>
      <c r="C236" s="186"/>
      <c r="D236" s="220">
        <f>+[51]RESUMEN!G70</f>
        <v>0</v>
      </c>
      <c r="E236" s="186"/>
      <c r="F236" s="221"/>
      <c r="G236" s="450"/>
      <c r="H236" s="450"/>
      <c r="I236" s="450"/>
      <c r="J236" s="169"/>
      <c r="K236" s="188" t="str">
        <f>IF(L236=D236,"ok","falso")</f>
        <v>ok</v>
      </c>
      <c r="L236" s="185">
        <f t="shared" si="85"/>
        <v>0</v>
      </c>
      <c r="M236" s="189" t="e">
        <f t="shared" si="86"/>
        <v>#DIV/0!</v>
      </c>
      <c r="N236" s="189" t="e">
        <f t="shared" si="87"/>
        <v>#DIV/0!</v>
      </c>
      <c r="O236" s="189" t="e">
        <f t="shared" si="88"/>
        <v>#DIV/0!</v>
      </c>
      <c r="P236" s="171">
        <f t="shared" si="89"/>
        <v>0</v>
      </c>
      <c r="Q236" s="189" t="e">
        <f t="shared" si="90"/>
        <v>#DIV/0!</v>
      </c>
    </row>
    <row r="237" spans="1:17" ht="5.25" customHeight="1">
      <c r="A237" s="179"/>
      <c r="B237" s="180"/>
      <c r="C237" s="186"/>
      <c r="D237" s="181"/>
      <c r="E237" s="219"/>
      <c r="F237" s="182"/>
      <c r="G237" s="183"/>
      <c r="H237" s="183"/>
      <c r="I237" s="183"/>
      <c r="J237" s="184"/>
      <c r="K237" s="169"/>
      <c r="L237" s="185">
        <f t="shared" si="85"/>
        <v>0</v>
      </c>
      <c r="M237" s="189" t="e">
        <f t="shared" si="86"/>
        <v>#DIV/0!</v>
      </c>
      <c r="N237" s="189" t="e">
        <f t="shared" si="87"/>
        <v>#DIV/0!</v>
      </c>
      <c r="O237" s="189" t="e">
        <f t="shared" si="88"/>
        <v>#DIV/0!</v>
      </c>
      <c r="P237" s="171">
        <f t="shared" si="89"/>
        <v>0</v>
      </c>
      <c r="Q237" s="189" t="e">
        <f t="shared" si="90"/>
        <v>#DIV/0!</v>
      </c>
    </row>
    <row r="238" spans="1:17" ht="12.75">
      <c r="A238" s="176"/>
      <c r="B238" s="180" t="str">
        <f>[51]VALORIZACION!B142</f>
        <v>PROGRAMA DE PREVENCIÓN Y CONTINGENCIAS</v>
      </c>
      <c r="C238" s="186"/>
      <c r="D238" s="220">
        <f>+[51]RESUMEN!G72</f>
        <v>0</v>
      </c>
      <c r="E238" s="186"/>
      <c r="F238" s="221"/>
      <c r="G238" s="450"/>
      <c r="H238" s="450"/>
      <c r="I238" s="450"/>
      <c r="J238" s="169"/>
      <c r="K238" s="188" t="str">
        <f>IF(L238=D238,"ok","falso")</f>
        <v>ok</v>
      </c>
      <c r="L238" s="185">
        <f t="shared" si="85"/>
        <v>0</v>
      </c>
      <c r="M238" s="189" t="e">
        <f t="shared" si="86"/>
        <v>#DIV/0!</v>
      </c>
      <c r="N238" s="189" t="e">
        <f t="shared" si="87"/>
        <v>#DIV/0!</v>
      </c>
      <c r="O238" s="189" t="e">
        <f t="shared" si="88"/>
        <v>#DIV/0!</v>
      </c>
      <c r="P238" s="171">
        <f t="shared" si="89"/>
        <v>0</v>
      </c>
      <c r="Q238" s="189" t="e">
        <f t="shared" si="90"/>
        <v>#DIV/0!</v>
      </c>
    </row>
    <row r="239" spans="1:17" ht="12.75">
      <c r="A239" s="178"/>
      <c r="B239" s="191" t="str">
        <f>[51]VALORIZACION!B143</f>
        <v xml:space="preserve">            SEGURIDAD Y SALUD.</v>
      </c>
      <c r="C239" s="186"/>
      <c r="D239" s="220"/>
      <c r="E239" s="186"/>
      <c r="F239" s="186"/>
      <c r="G239" s="187"/>
      <c r="H239" s="187"/>
      <c r="I239" s="187"/>
      <c r="J239" s="169"/>
      <c r="K239" s="188"/>
      <c r="L239" s="185"/>
      <c r="M239" s="189"/>
      <c r="N239" s="189"/>
      <c r="O239" s="189"/>
      <c r="Q239" s="189"/>
    </row>
    <row r="240" spans="1:17" ht="5.25" customHeight="1">
      <c r="A240" s="179"/>
      <c r="B240" s="180"/>
      <c r="C240" s="186"/>
      <c r="D240" s="181"/>
      <c r="E240" s="219"/>
      <c r="F240" s="182"/>
      <c r="G240" s="183"/>
      <c r="H240" s="183"/>
      <c r="I240" s="183"/>
      <c r="J240" s="184"/>
      <c r="K240" s="169"/>
      <c r="L240" s="185">
        <f t="shared" ref="L240:L245" si="91">SUM(E240:G240)</f>
        <v>0</v>
      </c>
      <c r="M240" s="189" t="e">
        <f t="shared" ref="M240:M245" si="92">E240/D240</f>
        <v>#DIV/0!</v>
      </c>
      <c r="N240" s="189" t="e">
        <f t="shared" ref="N240:N245" si="93">F240/D240</f>
        <v>#DIV/0!</v>
      </c>
      <c r="O240" s="189" t="e">
        <f t="shared" ref="O240:O245" si="94">M240+N240</f>
        <v>#DIV/0!</v>
      </c>
      <c r="P240" s="171">
        <f t="shared" ref="P240:P245" si="95">E240+F240+G240</f>
        <v>0</v>
      </c>
      <c r="Q240" s="189" t="e">
        <f t="shared" ref="Q240:Q245" si="96">P240/D240</f>
        <v>#DIV/0!</v>
      </c>
    </row>
    <row r="241" spans="1:17" ht="12.75">
      <c r="A241" s="176"/>
      <c r="B241" s="180" t="str">
        <f>[51]VALORIZACION!B144</f>
        <v xml:space="preserve">                EQUIPOS DE PROTECCIÓN INDIVIDUAL</v>
      </c>
      <c r="C241" s="186"/>
      <c r="D241" s="220">
        <f>+[51]RESUMEN!G74</f>
        <v>0</v>
      </c>
      <c r="E241" s="443"/>
      <c r="F241" s="443"/>
      <c r="G241" s="449"/>
      <c r="H241" s="449"/>
      <c r="I241" s="449"/>
      <c r="J241" s="169"/>
      <c r="K241" s="188" t="str">
        <f>IF(L241=D241,"ok","falso")</f>
        <v>ok</v>
      </c>
      <c r="L241" s="185">
        <f t="shared" si="91"/>
        <v>0</v>
      </c>
      <c r="M241" s="189" t="e">
        <f t="shared" si="92"/>
        <v>#DIV/0!</v>
      </c>
      <c r="N241" s="189" t="e">
        <f t="shared" si="93"/>
        <v>#DIV/0!</v>
      </c>
      <c r="O241" s="189" t="e">
        <f t="shared" si="94"/>
        <v>#DIV/0!</v>
      </c>
      <c r="P241" s="171">
        <f t="shared" si="95"/>
        <v>0</v>
      </c>
      <c r="Q241" s="189" t="e">
        <f t="shared" si="96"/>
        <v>#DIV/0!</v>
      </c>
    </row>
    <row r="242" spans="1:17" ht="5.25" customHeight="1">
      <c r="A242" s="179"/>
      <c r="B242" s="180"/>
      <c r="C242" s="186"/>
      <c r="D242" s="181"/>
      <c r="E242" s="219"/>
      <c r="F242" s="445"/>
      <c r="G242" s="451"/>
      <c r="H242" s="451"/>
      <c r="I242" s="451"/>
      <c r="J242" s="184"/>
      <c r="K242" s="169"/>
      <c r="L242" s="185">
        <f t="shared" si="91"/>
        <v>0</v>
      </c>
      <c r="M242" s="189" t="e">
        <f t="shared" si="92"/>
        <v>#DIV/0!</v>
      </c>
      <c r="N242" s="189" t="e">
        <f t="shared" si="93"/>
        <v>#DIV/0!</v>
      </c>
      <c r="O242" s="189" t="e">
        <f t="shared" si="94"/>
        <v>#DIV/0!</v>
      </c>
      <c r="P242" s="171">
        <f t="shared" si="95"/>
        <v>0</v>
      </c>
      <c r="Q242" s="189" t="e">
        <f t="shared" si="96"/>
        <v>#DIV/0!</v>
      </c>
    </row>
    <row r="243" spans="1:17" ht="12.75">
      <c r="A243" s="176"/>
      <c r="B243" s="180" t="str">
        <f>[51]VALORIZACION!B145</f>
        <v xml:space="preserve">                EQUIPOS DE PROTECCIÓN COLECTIVA</v>
      </c>
      <c r="C243" s="186"/>
      <c r="D243" s="220">
        <f>+[51]RESUMEN!G76</f>
        <v>0</v>
      </c>
      <c r="E243" s="443"/>
      <c r="F243" s="443"/>
      <c r="G243" s="449"/>
      <c r="H243" s="449"/>
      <c r="I243" s="449"/>
      <c r="J243" s="169"/>
      <c r="K243" s="188" t="str">
        <f>IF(L243=D243,"ok","falso")</f>
        <v>ok</v>
      </c>
      <c r="L243" s="185">
        <f t="shared" si="91"/>
        <v>0</v>
      </c>
      <c r="M243" s="189" t="e">
        <f t="shared" si="92"/>
        <v>#DIV/0!</v>
      </c>
      <c r="N243" s="189" t="e">
        <f t="shared" si="93"/>
        <v>#DIV/0!</v>
      </c>
      <c r="O243" s="189" t="e">
        <f t="shared" si="94"/>
        <v>#DIV/0!</v>
      </c>
      <c r="P243" s="171">
        <f t="shared" si="95"/>
        <v>0</v>
      </c>
      <c r="Q243" s="189" t="e">
        <f t="shared" si="96"/>
        <v>#DIV/0!</v>
      </c>
    </row>
    <row r="244" spans="1:17" ht="5.25" customHeight="1">
      <c r="A244" s="179"/>
      <c r="B244" s="180"/>
      <c r="C244" s="186"/>
      <c r="D244" s="181"/>
      <c r="E244" s="219"/>
      <c r="F244" s="445"/>
      <c r="G244" s="451"/>
      <c r="H244" s="451"/>
      <c r="I244" s="451"/>
      <c r="J244" s="184"/>
      <c r="K244" s="169"/>
      <c r="L244" s="185">
        <f t="shared" si="91"/>
        <v>0</v>
      </c>
      <c r="M244" s="189" t="e">
        <f t="shared" si="92"/>
        <v>#DIV/0!</v>
      </c>
      <c r="N244" s="189" t="e">
        <f t="shared" si="93"/>
        <v>#DIV/0!</v>
      </c>
      <c r="O244" s="189" t="e">
        <f t="shared" si="94"/>
        <v>#DIV/0!</v>
      </c>
      <c r="P244" s="171">
        <f t="shared" si="95"/>
        <v>0</v>
      </c>
      <c r="Q244" s="189" t="e">
        <f t="shared" si="96"/>
        <v>#DIV/0!</v>
      </c>
    </row>
    <row r="245" spans="1:17" ht="12.75">
      <c r="A245" s="176"/>
      <c r="B245" s="180" t="str">
        <f>[51]VALORIZACION!B146</f>
        <v xml:space="preserve">                SEÑALIZACIÓN TEMPORAL DE SEGURIDAD Y AMBIENTAL</v>
      </c>
      <c r="C245" s="186"/>
      <c r="D245" s="220">
        <f>+[51]RESUMEN!G78</f>
        <v>0</v>
      </c>
      <c r="E245" s="443"/>
      <c r="F245" s="443"/>
      <c r="G245" s="449"/>
      <c r="H245" s="449"/>
      <c r="I245" s="449"/>
      <c r="J245" s="169"/>
      <c r="K245" s="188" t="str">
        <f>IF(L245=D245,"ok","falso")</f>
        <v>ok</v>
      </c>
      <c r="L245" s="185">
        <f t="shared" si="91"/>
        <v>0</v>
      </c>
      <c r="M245" s="189" t="e">
        <f t="shared" si="92"/>
        <v>#DIV/0!</v>
      </c>
      <c r="N245" s="189" t="e">
        <f t="shared" si="93"/>
        <v>#DIV/0!</v>
      </c>
      <c r="O245" s="189" t="e">
        <f t="shared" si="94"/>
        <v>#DIV/0!</v>
      </c>
      <c r="P245" s="171">
        <f t="shared" si="95"/>
        <v>0</v>
      </c>
      <c r="Q245" s="189" t="e">
        <f t="shared" si="96"/>
        <v>#DIV/0!</v>
      </c>
    </row>
    <row r="246" spans="1:17" ht="12.75">
      <c r="A246" s="178"/>
      <c r="B246" s="191" t="str">
        <f>[51]VALORIZACION!B147</f>
        <v xml:space="preserve">            PLAN DE MONITOREO ARQUEOLÓGICO.</v>
      </c>
      <c r="C246" s="186"/>
      <c r="D246" s="220"/>
      <c r="E246" s="186"/>
      <c r="F246" s="186"/>
      <c r="G246" s="187"/>
      <c r="H246" s="187"/>
      <c r="I246" s="187"/>
      <c r="J246" s="169"/>
      <c r="K246" s="188"/>
      <c r="L246" s="185"/>
      <c r="M246" s="189"/>
      <c r="N246" s="189"/>
      <c r="O246" s="189"/>
      <c r="Q246" s="189"/>
    </row>
    <row r="247" spans="1:17" ht="5.25" customHeight="1">
      <c r="A247" s="179"/>
      <c r="B247" s="180"/>
      <c r="C247" s="186"/>
      <c r="D247" s="181"/>
      <c r="E247" s="219"/>
      <c r="F247" s="182"/>
      <c r="G247" s="183"/>
      <c r="H247" s="183"/>
      <c r="I247" s="183"/>
      <c r="J247" s="184"/>
      <c r="K247" s="169"/>
      <c r="L247" s="185">
        <f t="shared" ref="L247:L255" si="97">SUM(E247:G247)</f>
        <v>0</v>
      </c>
      <c r="M247" s="189" t="e">
        <f>E247/D247</f>
        <v>#DIV/0!</v>
      </c>
      <c r="N247" s="189" t="e">
        <f>F247/D247</f>
        <v>#DIV/0!</v>
      </c>
      <c r="O247" s="189" t="e">
        <f>M247+N247</f>
        <v>#DIV/0!</v>
      </c>
      <c r="P247" s="171">
        <f t="shared" ref="P247:P256" si="98">E247+F247+G247</f>
        <v>0</v>
      </c>
      <c r="Q247" s="189" t="e">
        <f>P247/D247</f>
        <v>#DIV/0!</v>
      </c>
    </row>
    <row r="248" spans="1:17" ht="13.5" thickBot="1">
      <c r="A248" s="176"/>
      <c r="B248" s="224" t="str">
        <f>[51]VALORIZACION!B148</f>
        <v xml:space="preserve">                PLAN DE MONITOREO ARQUEÓLOGICO</v>
      </c>
      <c r="C248" s="225"/>
      <c r="D248" s="452">
        <f>+[51]RESUMEN!G80</f>
        <v>0</v>
      </c>
      <c r="E248" s="225"/>
      <c r="F248" s="225"/>
      <c r="G248" s="453"/>
      <c r="H248" s="187"/>
      <c r="I248" s="187"/>
      <c r="J248" s="169"/>
      <c r="K248" s="188" t="str">
        <f>IF(L248=D248,"ok","falso")</f>
        <v>ok</v>
      </c>
      <c r="L248" s="185">
        <f t="shared" si="97"/>
        <v>0</v>
      </c>
      <c r="M248" s="189" t="e">
        <f>E248/D248</f>
        <v>#DIV/0!</v>
      </c>
      <c r="N248" s="189" t="e">
        <f>F248/D248</f>
        <v>#DIV/0!</v>
      </c>
      <c r="O248" s="189" t="e">
        <f>M248+N248</f>
        <v>#DIV/0!</v>
      </c>
      <c r="P248" s="171">
        <f t="shared" si="98"/>
        <v>0</v>
      </c>
      <c r="Q248" s="189" t="e">
        <f>P248/D248</f>
        <v>#DIV/0!</v>
      </c>
    </row>
    <row r="249" spans="1:17" ht="13.5" thickBot="1">
      <c r="A249" s="198"/>
      <c r="B249" s="446"/>
      <c r="C249" s="447"/>
      <c r="D249" s="447"/>
      <c r="E249" s="448"/>
      <c r="F249" s="448"/>
      <c r="G249" s="448"/>
      <c r="H249" s="448"/>
      <c r="I249" s="448"/>
      <c r="J249" s="170"/>
      <c r="K249" s="188"/>
      <c r="L249" s="185">
        <f t="shared" si="97"/>
        <v>0</v>
      </c>
      <c r="N249" s="189" t="e">
        <f>F249/D249</f>
        <v>#DIV/0!</v>
      </c>
      <c r="O249" s="189" t="e">
        <f>M249+N249</f>
        <v>#DIV/0!</v>
      </c>
      <c r="P249" s="171">
        <f t="shared" si="98"/>
        <v>0</v>
      </c>
      <c r="Q249" s="189" t="e">
        <f>P249/D249</f>
        <v>#DIV/0!</v>
      </c>
    </row>
    <row r="250" spans="1:17" ht="12.75">
      <c r="A250" s="199"/>
      <c r="B250" s="226" t="s">
        <v>264</v>
      </c>
      <c r="C250" s="226"/>
      <c r="D250" s="200">
        <f>SUM(D11:D248)</f>
        <v>16949258.760779932</v>
      </c>
      <c r="E250" s="200"/>
      <c r="F250" s="200"/>
      <c r="G250" s="200"/>
      <c r="H250" s="200"/>
      <c r="I250" s="200"/>
      <c r="J250" s="196"/>
      <c r="K250" s="188" t="str">
        <f>IF(L250=D250,"ok","falso")</f>
        <v>falso</v>
      </c>
      <c r="L250" s="185">
        <f t="shared" si="97"/>
        <v>0</v>
      </c>
      <c r="M250" s="171">
        <f>E250+F250</f>
        <v>0</v>
      </c>
      <c r="N250" s="189">
        <f>M250/D250</f>
        <v>0</v>
      </c>
      <c r="O250" s="189">
        <f>M250+N250</f>
        <v>0</v>
      </c>
      <c r="P250" s="171">
        <f t="shared" si="98"/>
        <v>0</v>
      </c>
      <c r="Q250" s="190">
        <f>P250/D250</f>
        <v>0</v>
      </c>
    </row>
    <row r="251" spans="1:17">
      <c r="A251" s="197"/>
      <c r="B251" s="172"/>
      <c r="C251" s="172"/>
      <c r="D251" s="197"/>
      <c r="E251" s="198"/>
      <c r="F251" s="197"/>
      <c r="G251" s="198"/>
      <c r="H251" s="198"/>
      <c r="I251" s="198"/>
      <c r="J251" s="169"/>
      <c r="K251" s="188"/>
      <c r="L251" s="185">
        <f t="shared" si="97"/>
        <v>0</v>
      </c>
      <c r="P251" s="171">
        <f t="shared" si="98"/>
        <v>0</v>
      </c>
    </row>
    <row r="252" spans="1:17">
      <c r="A252" s="199"/>
      <c r="B252" s="226" t="s">
        <v>265</v>
      </c>
      <c r="C252" s="226"/>
      <c r="D252" s="200">
        <f>D250*0.07</f>
        <v>1186448.1132545953</v>
      </c>
      <c r="E252" s="200">
        <f>E250*0.07</f>
        <v>0</v>
      </c>
      <c r="F252" s="200">
        <f>F250*0.07</f>
        <v>0</v>
      </c>
      <c r="G252" s="200">
        <f>G250*0.07</f>
        <v>0</v>
      </c>
      <c r="H252" s="200"/>
      <c r="I252" s="200"/>
      <c r="J252" s="196"/>
      <c r="K252" s="188" t="str">
        <f>IF(L252=D252,"ok","falso")</f>
        <v>falso</v>
      </c>
      <c r="L252" s="185">
        <f t="shared" si="97"/>
        <v>0</v>
      </c>
      <c r="P252" s="171">
        <f t="shared" si="98"/>
        <v>0</v>
      </c>
    </row>
    <row r="253" spans="1:17">
      <c r="A253" s="197"/>
      <c r="B253" s="169"/>
      <c r="C253" s="169"/>
      <c r="D253" s="197"/>
      <c r="E253" s="198"/>
      <c r="F253" s="197"/>
      <c r="G253" s="198"/>
      <c r="H253" s="198"/>
      <c r="I253" s="198"/>
      <c r="J253" s="169"/>
      <c r="K253" s="188"/>
      <c r="L253" s="185">
        <f t="shared" si="97"/>
        <v>0</v>
      </c>
      <c r="P253" s="171">
        <f t="shared" si="98"/>
        <v>0</v>
      </c>
    </row>
    <row r="254" spans="1:17">
      <c r="A254" s="199"/>
      <c r="B254" s="227" t="s">
        <v>266</v>
      </c>
      <c r="C254" s="227"/>
      <c r="D254" s="201">
        <f>SUM(D250+D252)</f>
        <v>18135706.874034528</v>
      </c>
      <c r="E254" s="201">
        <f>SUM(E250+E252)</f>
        <v>0</v>
      </c>
      <c r="F254" s="201">
        <f>SUM(F250+F252)</f>
        <v>0</v>
      </c>
      <c r="G254" s="201">
        <f>SUM(G250+G252)</f>
        <v>0</v>
      </c>
      <c r="H254" s="201"/>
      <c r="I254" s="201"/>
      <c r="J254" s="196"/>
      <c r="K254" s="188" t="str">
        <f>IF(L254=D254,"ok","falso")</f>
        <v>falso</v>
      </c>
      <c r="L254" s="185">
        <f t="shared" si="97"/>
        <v>0</v>
      </c>
      <c r="P254" s="171">
        <f t="shared" si="98"/>
        <v>0</v>
      </c>
    </row>
    <row r="255" spans="1:17">
      <c r="A255" s="175"/>
      <c r="B255" s="228" t="s">
        <v>267</v>
      </c>
      <c r="C255" s="228"/>
      <c r="D255" s="202" t="s">
        <v>0</v>
      </c>
      <c r="E255" s="186">
        <f>SUM(E254/$D$254*100)</f>
        <v>0</v>
      </c>
      <c r="F255" s="186">
        <f>SUM(F254/$D$254*100)</f>
        <v>0</v>
      </c>
      <c r="G255" s="186">
        <f>SUM(G254/$D$254*100)</f>
        <v>0</v>
      </c>
      <c r="H255" s="186"/>
      <c r="I255" s="186"/>
      <c r="J255" s="169"/>
      <c r="K255" s="169"/>
      <c r="L255" s="185">
        <f t="shared" si="97"/>
        <v>0</v>
      </c>
      <c r="P255" s="171">
        <f t="shared" si="98"/>
        <v>0</v>
      </c>
    </row>
    <row r="256" spans="1:17">
      <c r="A256" s="199"/>
      <c r="B256" s="227" t="s">
        <v>268</v>
      </c>
      <c r="C256" s="227"/>
      <c r="D256" s="202" t="s">
        <v>0</v>
      </c>
      <c r="E256" s="199">
        <f>E255</f>
        <v>0</v>
      </c>
      <c r="F256" s="199">
        <f>+ROUND(E256+F255,2)</f>
        <v>0</v>
      </c>
      <c r="G256" s="199">
        <f>+ROUND(F256+G255,2)</f>
        <v>0</v>
      </c>
      <c r="H256" s="199"/>
      <c r="I256" s="199"/>
      <c r="J256" s="169"/>
      <c r="K256" s="188"/>
      <c r="L256" s="185"/>
      <c r="P256" s="171">
        <f t="shared" si="98"/>
        <v>0</v>
      </c>
    </row>
    <row r="257" spans="1:12">
      <c r="A257" s="169"/>
      <c r="B257" s="169"/>
      <c r="C257" s="169"/>
      <c r="D257" s="169"/>
      <c r="E257" s="169"/>
      <c r="F257" s="169"/>
      <c r="G257" s="169"/>
      <c r="H257" s="169"/>
      <c r="I257" s="169"/>
      <c r="J257" s="169"/>
      <c r="K257" s="169"/>
      <c r="L257" s="185"/>
    </row>
    <row r="258" spans="1:12">
      <c r="A258" s="169"/>
      <c r="B258" s="169"/>
      <c r="C258" s="169"/>
      <c r="D258" s="169"/>
      <c r="E258" s="169"/>
      <c r="F258" s="169"/>
      <c r="G258" s="169"/>
      <c r="H258" s="169"/>
      <c r="I258" s="169"/>
      <c r="J258" s="169"/>
      <c r="K258" s="169"/>
      <c r="L258" s="170"/>
    </row>
    <row r="259" spans="1:12">
      <c r="A259" s="169"/>
      <c r="B259" s="169"/>
      <c r="C259" s="169"/>
      <c r="D259" s="169"/>
      <c r="E259" s="169"/>
      <c r="F259" s="169"/>
      <c r="G259" s="169"/>
      <c r="H259" s="169"/>
      <c r="I259" s="169"/>
      <c r="J259" s="169"/>
      <c r="K259" s="169"/>
      <c r="L259" s="170"/>
    </row>
    <row r="260" spans="1:12">
      <c r="A260" s="169"/>
      <c r="B260" s="169"/>
      <c r="C260" s="169"/>
      <c r="D260" s="169"/>
      <c r="E260" s="169"/>
      <c r="F260" s="169"/>
      <c r="G260" s="169"/>
      <c r="H260" s="169"/>
      <c r="I260" s="169"/>
      <c r="J260" s="169"/>
      <c r="K260" s="169"/>
      <c r="L260" s="170"/>
    </row>
    <row r="261" spans="1:12">
      <c r="A261" s="169"/>
      <c r="B261" s="169"/>
      <c r="C261" s="169"/>
      <c r="D261" s="169"/>
      <c r="E261" s="169"/>
      <c r="F261" s="169"/>
      <c r="G261" s="169"/>
      <c r="H261" s="169"/>
      <c r="I261" s="169"/>
      <c r="J261" s="169"/>
      <c r="K261" s="169"/>
      <c r="L261" s="170"/>
    </row>
  </sheetData>
  <mergeCells count="9">
    <mergeCell ref="I7:I8"/>
    <mergeCell ref="A1:G1"/>
    <mergeCell ref="B7:B8"/>
    <mergeCell ref="D7:D8"/>
    <mergeCell ref="E7:E8"/>
    <mergeCell ref="F7:F8"/>
    <mergeCell ref="G7:G8"/>
    <mergeCell ref="C3:H3"/>
    <mergeCell ref="H7:H8"/>
  </mergeCells>
  <pageMargins left="0.6692913385826772" right="0.59055118110236227" top="0.86614173228346458" bottom="0.74803149606299213" header="0.31496062992125984" footer="0.31496062992125984"/>
  <pageSetup paperSize="9" scale="72" orientation="landscape" horizontalDpi="4294967293" r:id="rId1"/>
  <rowBreaks count="4" manualBreakCount="4">
    <brk id="36" max="8" man="1"/>
    <brk id="91" max="8" man="1"/>
    <brk id="185" max="8" man="1"/>
    <brk id="215" max="8"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39</vt:i4>
      </vt:variant>
      <vt:variant>
        <vt:lpstr>Rangos con nombre</vt:lpstr>
      </vt:variant>
      <vt:variant>
        <vt:i4>39</vt:i4>
      </vt:variant>
    </vt:vector>
  </HeadingPairs>
  <TitlesOfParts>
    <vt:vector size="78" baseType="lpstr">
      <vt:lpstr>Hoja2</vt:lpstr>
      <vt:lpstr>CRONGRAMA JULIO</vt:lpstr>
      <vt:lpstr>FICHA 1</vt:lpstr>
      <vt:lpstr>DATOS GENERALES</vt:lpstr>
      <vt:lpstr>Hoja5</vt:lpstr>
      <vt:lpstr>Hoja6</vt:lpstr>
      <vt:lpstr>Hoja7</vt:lpstr>
      <vt:lpstr>METRADOS PN</vt:lpstr>
      <vt:lpstr>FICHA 2 MAR</vt:lpstr>
      <vt:lpstr>PARTIDAS EJEC. dic</vt:lpstr>
      <vt:lpstr>P EJE MM</vt:lpstr>
      <vt:lpstr>P EJE PN</vt:lpstr>
      <vt:lpstr>RESUMEN GENERAL</vt:lpstr>
      <vt:lpstr>Curvaa SN (2)</vt:lpstr>
      <vt:lpstr>RES. VAL. </vt:lpstr>
      <vt:lpstr>MET AGOSTO</vt:lpstr>
      <vt:lpstr>Hoja4</vt:lpstr>
      <vt:lpstr>Hoja11</vt:lpstr>
      <vt:lpstr>Hoja10</vt:lpstr>
      <vt:lpstr>Hoja9</vt:lpstr>
      <vt:lpstr>Hoja3</vt:lpstr>
      <vt:lpstr>Hoja12</vt:lpstr>
      <vt:lpstr>Hoja8</vt:lpstr>
      <vt:lpstr>Hoja1</vt:lpstr>
      <vt:lpstr>P.NUEVAS PROYECTADAS</vt:lpstr>
      <vt:lpstr>MET.MM</vt:lpstr>
      <vt:lpstr>MET.PN</vt:lpstr>
      <vt:lpstr>VAL. AMP.2 COVID</vt:lpstr>
      <vt:lpstr>VAL AMP 3</vt:lpstr>
      <vt:lpstr>VAL. PRINC</vt:lpstr>
      <vt:lpstr>Hoja13</vt:lpstr>
      <vt:lpstr>VAL AMP 4 PN</vt:lpstr>
      <vt:lpstr>VAL AMP4 MM</vt:lpstr>
      <vt:lpstr>ABRIL </vt:lpstr>
      <vt:lpstr>Hoja14</vt:lpstr>
      <vt:lpstr>MET.ADIC</vt:lpstr>
      <vt:lpstr>MET.EXP</vt:lpstr>
      <vt:lpstr>CRON</vt:lpstr>
      <vt:lpstr>gantt (2)</vt:lpstr>
      <vt:lpstr>CRON!Área_de_impresión</vt:lpstr>
      <vt:lpstr>'Curvaa SN (2)'!Área_de_impresión</vt:lpstr>
      <vt:lpstr>'DATOS GENERALES'!Área_de_impresión</vt:lpstr>
      <vt:lpstr>'FICHA 1'!Área_de_impresión</vt:lpstr>
      <vt:lpstr>'FICHA 2 MAR'!Área_de_impresión</vt:lpstr>
      <vt:lpstr>'gantt (2)'!Área_de_impresión</vt:lpstr>
      <vt:lpstr>Hoja10!Área_de_impresión</vt:lpstr>
      <vt:lpstr>Hoja11!Área_de_impresión</vt:lpstr>
      <vt:lpstr>Hoja12!Área_de_impresión</vt:lpstr>
      <vt:lpstr>Hoja2!Área_de_impresión</vt:lpstr>
      <vt:lpstr>Hoja3!Área_de_impresión</vt:lpstr>
      <vt:lpstr>Hoja5!Área_de_impresión</vt:lpstr>
      <vt:lpstr>Hoja6!Área_de_impresión</vt:lpstr>
      <vt:lpstr>Hoja7!Área_de_impresión</vt:lpstr>
      <vt:lpstr>Hoja9!Área_de_impresión</vt:lpstr>
      <vt:lpstr>MET.ADIC!Área_de_impresión</vt:lpstr>
      <vt:lpstr>MET.EXP!Área_de_impresión</vt:lpstr>
      <vt:lpstr>MET.MM!Área_de_impresión</vt:lpstr>
      <vt:lpstr>MET.PN!Área_de_impresión</vt:lpstr>
      <vt:lpstr>'P EJE MM'!Área_de_impresión</vt:lpstr>
      <vt:lpstr>'P EJE PN'!Área_de_impresión</vt:lpstr>
      <vt:lpstr>'P.NUEVAS PROYECTADAS'!Área_de_impresión</vt:lpstr>
      <vt:lpstr>'PARTIDAS EJEC. dic'!Área_de_impresión</vt:lpstr>
      <vt:lpstr>'RES. VAL. '!Área_de_impresión</vt:lpstr>
      <vt:lpstr>'RESUMEN GENERAL'!Área_de_impresión</vt:lpstr>
      <vt:lpstr>'VAL AMP 3'!Área_de_impresión</vt:lpstr>
      <vt:lpstr>'VAL AMP 4 PN'!Área_de_impresión</vt:lpstr>
      <vt:lpstr>'VAL AMP4 MM'!Área_de_impresión</vt:lpstr>
      <vt:lpstr>'VAL. AMP.2 COVID'!Área_de_impresión</vt:lpstr>
      <vt:lpstr>'VAL. PRINC'!Área_de_impresión</vt:lpstr>
      <vt:lpstr>CRON!Títulos_a_imprimir</vt:lpstr>
      <vt:lpstr>MET.ADIC!Títulos_a_imprimir</vt:lpstr>
      <vt:lpstr>MET.EXP!Títulos_a_imprimir</vt:lpstr>
      <vt:lpstr>'PARTIDAS EJEC. dic'!Títulos_a_imprimir</vt:lpstr>
      <vt:lpstr>'VAL AMP 3'!Títulos_a_imprimir</vt:lpstr>
      <vt:lpstr>'VAL AMP 4 PN'!Títulos_a_imprimir</vt:lpstr>
      <vt:lpstr>'VAL AMP4 MM'!Títulos_a_imprimir</vt:lpstr>
      <vt:lpstr>'VAL. AMP.2 COVID'!Títulos_a_imprimir</vt:lpstr>
      <vt:lpstr>'VAL. PRINC'!Títulos_a_imprimir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RENNE</dc:creator>
  <cp:lastModifiedBy>pc</cp:lastModifiedBy>
  <cp:lastPrinted>2022-10-07T15:16:32Z</cp:lastPrinted>
  <dcterms:created xsi:type="dcterms:W3CDTF">2012-11-12T19:56:17Z</dcterms:created>
  <dcterms:modified xsi:type="dcterms:W3CDTF">2022-10-07T15:32:15Z</dcterms:modified>
</cp:coreProperties>
</file>